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ark - 3 colunas - STrat" sheetId="1" r:id="rId4"/>
    <sheet state="visible" name="Spark - 20 Colunas - S Trat" sheetId="2" r:id="rId5"/>
    <sheet state="visible" name="Spark - LLM 7b Llama - S Tratam" sheetId="3" r:id="rId6"/>
    <sheet state="visible" name="Página20" sheetId="4" r:id="rId7"/>
    <sheet state="visible" name="Spark - LLM 7b Llama - S Trat -" sheetId="5" r:id="rId8"/>
    <sheet state="visible" name="Spark - LLM 13b Llama - S - Fra" sheetId="6" r:id="rId9"/>
    <sheet state="visible" name="Spark - LLM 13b Llama - S - Pal" sheetId="7" r:id="rId10"/>
    <sheet state="visible" name="Spark - LLM 13b Llama - S - Con" sheetId="8" r:id="rId11"/>
    <sheet state="visible" name="Spark - LLM 7b Zephyr - S - Fra" sheetId="9" r:id="rId12"/>
    <sheet state="visible" name="Spark - LLM 7b Zephyr - S - Pal" sheetId="10" r:id="rId13"/>
    <sheet state="visible" name="Spark - LLM 7b Zephyr - S - Con" sheetId="11" r:id="rId14"/>
    <sheet state="visible" name="Spark - 3 Colunas - C Trat" sheetId="12" r:id="rId15"/>
    <sheet state="visible" name="Spark - 20 Colunas - C Trat" sheetId="13" r:id="rId16"/>
    <sheet state="visible" name="Spark - LLM 7b Llama - C Tratam" sheetId="14" r:id="rId17"/>
    <sheet state="visible" name="Página21" sheetId="15" r:id="rId18"/>
    <sheet state="visible" name="Spark - LLM 7b Llama - C Trat -" sheetId="16" r:id="rId19"/>
    <sheet state="visible" name="Spark - LLM 13b Llama - C Trata" sheetId="17" r:id="rId20"/>
    <sheet state="visible" name="Página22" sheetId="18" r:id="rId21"/>
    <sheet state="visible" name="Spark - LLM 13b Llama - C Tra -" sheetId="19" r:id="rId22"/>
    <sheet state="visible" name="Spark - LLM 7b Zephyr - C Trata" sheetId="20" r:id="rId23"/>
    <sheet state="visible" name="Página23" sheetId="21" r:id="rId24"/>
    <sheet state="visible" name="Spark - LLM 7b Zephyr - C Tra -" sheetId="22" r:id="rId25"/>
    <sheet state="visible" name="Flink - 3 Colunas - S Trat - Pa" sheetId="23" r:id="rId26"/>
    <sheet state="visible" name="Flink - 3 Colunas - S Tra - Con" sheetId="24" r:id="rId27"/>
    <sheet state="visible" name="Flink - 20 Colunas - S Trat - P" sheetId="25" r:id="rId28"/>
    <sheet state="visible" name="Flink - 20 Colunas - S Trat - C" sheetId="26" r:id="rId29"/>
    <sheet state="visible" name="Flink - LLM 7b Llama - S Tratam" sheetId="27" r:id="rId30"/>
    <sheet state="visible" name="Página24" sheetId="28" r:id="rId31"/>
    <sheet state="visible" name="Flink - LLM 7b Llama - S Tra - " sheetId="29" r:id="rId32"/>
    <sheet state="visible" name="Flink - LLM 13b Llama - S Trata" sheetId="30" r:id="rId33"/>
    <sheet state="visible" name="Página25" sheetId="31" r:id="rId34"/>
    <sheet state="visible" name="Flink - LLM 13b Llama - S Tra -" sheetId="32" r:id="rId35"/>
    <sheet state="visible" name="Flink - LLM 7b Zephyr - S Trata" sheetId="33" r:id="rId36"/>
    <sheet state="visible" name="Página26" sheetId="34" r:id="rId37"/>
    <sheet state="visible" name="Flink - LLM 7b Zephyr - S Tra -" sheetId="35" r:id="rId38"/>
    <sheet state="visible" name="Flink - 3 colunas - C Tratament" sheetId="36" r:id="rId39"/>
    <sheet state="visible" name="Flink - 3 Colunas - C Trat - Co" sheetId="37" r:id="rId40"/>
    <sheet state="visible" name="Flink - 20 colunas - C Tratamen" sheetId="38" r:id="rId41"/>
    <sheet state="visible" name="Flink - 20 Colunas - C Trat - C" sheetId="39" r:id="rId42"/>
    <sheet state="visible" name="Flink - LLM 7b Llama - Frases" sheetId="40" r:id="rId43"/>
    <sheet state="visible" name="Flink - LLM 7b Llama - Palavras" sheetId="41" r:id="rId44"/>
    <sheet state="visible" name="Flink - LLM 7b Llama - C Tra - " sheetId="42" r:id="rId45"/>
    <sheet state="visible" name="Flink - LLM 13b Llama - CTrat -" sheetId="43" r:id="rId46"/>
    <sheet state="visible" name="Página27" sheetId="44" r:id="rId47"/>
    <sheet state="visible" name="Flink - LLM 13b Llama - C Tra -" sheetId="45" r:id="rId48"/>
    <sheet state="visible" name="Flink - LLM 7b Zephyr - CTrat -" sheetId="46" r:id="rId49"/>
    <sheet state="visible" name="Página28" sheetId="47" r:id="rId50"/>
    <sheet state="visible" name="Flink - LLM 7b Zephyr - C Tra -" sheetId="48" r:id="rId51"/>
    <sheet state="visible" name="Spark - 3 colunas CTratamento -" sheetId="49" r:id="rId52"/>
    <sheet state="visible" name="Página29" sheetId="50" r:id="rId53"/>
    <sheet state="visible" name="Spark - 3 colunas - Tempo Execu" sheetId="51" r:id="rId54"/>
    <sheet state="visible" name="Spark - 20 colunas - Palavras" sheetId="52" r:id="rId55"/>
    <sheet state="visible" name="Spark - 20 colunas - Contagem P" sheetId="53" r:id="rId56"/>
    <sheet state="visible" name="Spark - 20 colunas - Tempo Exec" sheetId="54" r:id="rId57"/>
    <sheet state="visible" name="Spark - LLM 7b Llama CTrat - Fr" sheetId="55" r:id="rId58"/>
    <sheet state="visible" name="Spark - LLM 7b Llama CTrat - Pa" sheetId="56" r:id="rId59"/>
    <sheet state="visible" name="Spark - LLM 7b CTratamento - Co" sheetId="57" r:id="rId60"/>
    <sheet state="visible" name="Spark - LLM 7b Llama - Tempo Ex" sheetId="58" r:id="rId61"/>
    <sheet state="visible" name="Spark - LLM 13b Llama CTrat - F" sheetId="59" r:id="rId62"/>
    <sheet state="visible" name="Spark - LLM 13b Llama CTrat - P" sheetId="60" r:id="rId63"/>
    <sheet state="visible" name="Spark - LLM 13b CTratamento - C" sheetId="61" r:id="rId64"/>
    <sheet state="visible" name="Spark - LLM 13b CTratamento - T" sheetId="62" r:id="rId65"/>
    <sheet state="visible" name="Spark - LLM 7b Zephyr CTrat - F" sheetId="63" r:id="rId66"/>
    <sheet state="visible" name="Spark - LLM 7b Zephyr CTrat - P" sheetId="64" r:id="rId67"/>
    <sheet state="visible" name="Spark - LLM 7b Zephyr CTrat - C" sheetId="65" r:id="rId68"/>
    <sheet state="visible" name="Spark - LLM 7b Zephyr - Tempo E" sheetId="66" r:id="rId69"/>
    <sheet state="visible" name="Flink - 3 colunas CTrat - Palav" sheetId="67" r:id="rId70"/>
    <sheet state="visible" name="Flink - 3 colunas CTrat - Conta" sheetId="68" r:id="rId71"/>
    <sheet state="visible" name="Flink - 3 colunas CTrat- Tempo " sheetId="69" r:id="rId72"/>
    <sheet state="visible" name="Flink - 20 colunas CTrat - Pala" sheetId="70" r:id="rId73"/>
    <sheet state="visible" name="Flink - 20 colunas CTrat - Cont" sheetId="71" r:id="rId74"/>
    <sheet state="visible" name="Flink - 20 colunas CTrat- Tempo" sheetId="72" r:id="rId75"/>
    <sheet state="visible" name="Flink - LLM 7b Llama CTrat - Fr" sheetId="73" r:id="rId76"/>
    <sheet state="visible" name="Flink - LLM 7b Llama CTrat - Pa" sheetId="74" r:id="rId77"/>
    <sheet state="visible" name="Flink - LLM 7b Llama CTrat - Co" sheetId="75" r:id="rId78"/>
    <sheet state="visible" name="Flink - LLM 7b Llama CTrat- Tem" sheetId="76" r:id="rId79"/>
    <sheet state="visible" name="Flink - LLM 13b Llama CTrat - F" sheetId="77" r:id="rId80"/>
    <sheet state="visible" name="Flink - LLM 13b Llama CTrat - P" sheetId="78" r:id="rId81"/>
    <sheet state="visible" name="Flink - LLM 13b Llama CTrat - C" sheetId="79" r:id="rId82"/>
    <sheet state="visible" name="Flink - LLM 13b Llama CTrat- Te" sheetId="80" r:id="rId83"/>
    <sheet state="visible" name="Flink - LLM 7b Zephyr CTrat - F" sheetId="81" r:id="rId84"/>
    <sheet state="visible" name="Flink - LLM 7b Zephyr CTrat - P" sheetId="82" r:id="rId85"/>
    <sheet state="visible" name="Flink - LLM 7b Zephyr CTrat - C" sheetId="83" r:id="rId86"/>
    <sheet state="visible" name="Flink - LLM 7b Zephyr CTrat- Te" sheetId="84" r:id="rId87"/>
    <sheet state="visible" name="Spark - 3 Colunas C Trat - Pala" sheetId="85" r:id="rId88"/>
    <sheet state="visible" name="Spark - 3 Colunas C Trat - Cont" sheetId="86" r:id="rId89"/>
    <sheet state="visible" name="Spark - 3 Colunas CTrat - CPU R" sheetId="87" r:id="rId90"/>
    <sheet state="visible" name="Spark - 20 Colunas C Trat - Pal" sheetId="88" r:id="rId91"/>
    <sheet state="visible" name="Spark - 20 Colunas C Trat - Con" sheetId="89" r:id="rId92"/>
    <sheet state="visible" name="Spark - 20 Colunas CTrat - CPU " sheetId="90" r:id="rId93"/>
    <sheet state="visible" name="Spark - LLM 7b Llama C Trat - F" sheetId="91" r:id="rId94"/>
    <sheet state="visible" name="Spark - LLM 7b Llama C Trat - P" sheetId="92" r:id="rId95"/>
    <sheet state="visible" name="Spark - LLM 7b Llama C Trat - C" sheetId="93" r:id="rId96"/>
    <sheet state="visible" name="Spark - LLM 7b Llama CTrat - CP" sheetId="94" r:id="rId97"/>
    <sheet state="visible" name="Spark - LLM 13b Llama C Trat - " sheetId="95" r:id="rId98"/>
    <sheet state="visible" name="Página30" sheetId="96" r:id="rId99"/>
    <sheet state="visible" name="Página31" sheetId="97" r:id="rId100"/>
    <sheet state="visible" name="Spark - LLM 13b Llama CTrat - C" sheetId="98" r:id="rId101"/>
    <sheet state="visible" name="Spark - LLM 7b Zephyr C Trat - " sheetId="99" r:id="rId102"/>
    <sheet state="visible" name="Página32" sheetId="100" r:id="rId103"/>
    <sheet state="visible" name="Página33" sheetId="101" r:id="rId104"/>
    <sheet state="visible" name="Página34" sheetId="102" r:id="rId105"/>
    <sheet state="visible" name="Flink - 3 Colunas C Trat - Pala" sheetId="103" r:id="rId106"/>
    <sheet state="visible" name="Flink - 3 Colunas C Trat - Cont" sheetId="104" r:id="rId107"/>
    <sheet state="visible" name="Flink - 3 Colunas CTrat - CPU R" sheetId="105" r:id="rId108"/>
    <sheet state="visible" name="Flink - 20 Colunas C Trat - Pal" sheetId="106" r:id="rId109"/>
    <sheet state="visible" name="Flink - 20 Colunas C Trat - Con" sheetId="107" r:id="rId110"/>
    <sheet state="visible" name="Flink - 20 Colunas CTrat - CPU " sheetId="108" r:id="rId111"/>
    <sheet state="visible" name="Flink - LLM 7b Llama C Trat - F" sheetId="109" r:id="rId112"/>
    <sheet state="visible" name="Flink - LLM 7b Llama C Trat - P" sheetId="110" r:id="rId113"/>
    <sheet state="visible" name="Flink - LLM 7b Llama C Trat - C" sheetId="111" r:id="rId114"/>
    <sheet state="visible" name="Flink - LLM 7b Llama CTrat - CP" sheetId="112" r:id="rId115"/>
    <sheet state="visible" name="Flink - LLM 13b Llama C Trat - " sheetId="113" r:id="rId116"/>
    <sheet state="visible" name="Página35" sheetId="114" r:id="rId117"/>
    <sheet state="visible" name="Página36" sheetId="115" r:id="rId118"/>
    <sheet state="visible" name="Página37" sheetId="116" r:id="rId119"/>
    <sheet state="visible" name="Flink - LLM 7b Zephyr C Trat - " sheetId="117" r:id="rId120"/>
    <sheet state="visible" name="Página38" sheetId="118" r:id="rId121"/>
    <sheet state="visible" name="Página39" sheetId="119" r:id="rId122"/>
    <sheet state="visible" name="Página40" sheetId="120" r:id="rId123"/>
    <sheet state="visible" name="Comparativo Tempos" sheetId="121" r:id="rId124"/>
    <sheet state="visible" name="Comparativo CPU e RAM" sheetId="122" r:id="rId125"/>
    <sheet state="visible" name="Grandes Modelos de Linguagem - " sheetId="123" r:id="rId126"/>
    <sheet state="visible" name="Página41" sheetId="124" r:id="rId127"/>
    <sheet state="visible" name="Página42" sheetId="125" r:id="rId128"/>
  </sheets>
  <definedNames>
    <definedName hidden="1" localSheetId="1" name="_xlnm._FilterDatabase">'Spark - 20 Colunas - S Trat'!$A$1:$C$21</definedName>
    <definedName hidden="1" localSheetId="11" name="_xlnm._FilterDatabase">'Spark - 3 Colunas - C Trat'!$A$1:$C$21</definedName>
    <definedName hidden="1" localSheetId="38" name="_xlnm._FilterDatabase">'Flink - 20 Colunas - C Trat - C'!$L$1:$M$21</definedName>
    <definedName hidden="1" localSheetId="124" name="_xlnm._FilterDatabase">'Página42'!$P$5:$Q$211</definedName>
  </definedNames>
  <calcPr/>
</workbook>
</file>

<file path=xl/sharedStrings.xml><?xml version="1.0" encoding="utf-8"?>
<sst xmlns="http://schemas.openxmlformats.org/spreadsheetml/2006/main" count="39818" uniqueCount="13041">
  <si>
    <t>Gráfico de 3 Colunas</t>
  </si>
  <si>
    <t>Contagem Total de Amostras</t>
  </si>
  <si>
    <t>Contagem Freezer</t>
  </si>
  <si>
    <t>Contagem Ar Condicionado</t>
  </si>
  <si>
    <t>Contagem Microondas</t>
  </si>
  <si>
    <t>Itens</t>
  </si>
  <si>
    <t>Itens_Tratados</t>
  </si>
  <si>
    <t>Contagem</t>
  </si>
  <si>
    <t>Contagem Valores</t>
  </si>
  <si>
    <t>Total</t>
  </si>
  <si>
    <t>Ar Condicionado': 19</t>
  </si>
  <si>
    <t>Aspirador': 27</t>
  </si>
  <si>
    <t>Carregador de Celular': 19</t>
  </si>
  <si>
    <t>Carregador de Computador': 27</t>
  </si>
  <si>
    <t>Celular': 21</t>
  </si>
  <si>
    <t>Chuveiro Elétrico': 30</t>
  </si>
  <si>
    <t>Computador': 23</t>
  </si>
  <si>
    <t>Filtro de Linha': 20</t>
  </si>
  <si>
    <t>Fogão': 24</t>
  </si>
  <si>
    <t>Fone de Ouvido': 21</t>
  </si>
  <si>
    <t>Freezer': 26</t>
  </si>
  <si>
    <t>Liquidificador': 21</t>
  </si>
  <si>
    <t>Lustre': 26</t>
  </si>
  <si>
    <t>Microondas': 31</t>
  </si>
  <si>
    <t>Mouse de Computador': 20</t>
  </si>
  <si>
    <t>Purificador de Água': 28</t>
  </si>
  <si>
    <t>Relógio': 34</t>
  </si>
  <si>
    <t>Roteador': 26</t>
  </si>
  <si>
    <t>Teclado de Computador': 28</t>
  </si>
  <si>
    <t>Ventilador': 29</t>
  </si>
  <si>
    <t>Frases</t>
  </si>
  <si>
    <t xml:space="preserve">ótimo produto é esse creme hidratante. Gosto muito de usar.
ótimo carrinho para compras online. Facil de usar e rápido.
ótimo produto! Gostei muito desse sapato.
ótimo produto, muito satisfeito!
Parabéns pelo seu comentário! Vamos podemos ajudá-
ótimo produto, adorei!
 Meu novo carro é incrível! Muchas graças por ter comprado.
ótimo desse brinquedo para crianças. Muitos funções e bem madeiro.
ótimo esse brinquedo para crianças. Meus netos adoram!
ótimo produto essa creme para as mãos. Agora minhas mãos estão muito macias.
ótimo produto esse frigorifico. Funciona perfeitamente. Recomendo.
ótimo carrinho de compras on-line. Faça a compra sem hesitação.
ótimo produto! Gostei muito!
ótimo produto! Realmente ajudou a minha vida.
ótimo produto, muito bem feito e barato.
ótimo relogio. Me parece muito bem feito.
ótimo produto esse relógio solar. Funciona perfeitamente.
ótimo produto! Funciona perfeitamente e é fácil de usar.
ótimo produto, funciona perfeitamente! recomendo
ótimo refrigerador que comprei ontem. Funciona muito bem.
ótimo comprimento de cabelo. Veio com uma caixa de acessórios.
ótimo produto, é realmente incrível o resultado. Vale a pena investir.
ótimo produto! realmente funciona bem.
ótimo deseio esse livro. Gostei muito da escrita.
ótimo produto, muito satisfeito com a compra!
ótimo produto, recomendo.
ótimo produto! Funciona perfeitamente e é bem mais barato do que o outro.
ótimo esse telefone. Funciona muito bem. Recomendo.
ótimo produto dessa loja on line. entrega rápida, bem como o produto é de qualidade excelente.
ótimo! O meu novo carro é incrível. Gosto muito.
ótimo produto dessa loja online. Funciona bem e é bem custoso.
ótimo produto! Satisfação total.
ótimo relojoeira, é fácil de usar e durável.
ótimo produto! Recomendo muito.
ótimo carro! Gostei muito do design e da confortável.
ótimo produto esse chapéu. Adorei!
ótimo relojoeira. Perfeita para o meu estilo de vida activo.
ótimo produto! Satisfação total com o meu novo telemóvel.
ótimo produto! Gostei muito dessa creme para pele. Funciona bem e é fácil de aplicar.
ótimo produto, recomendo!
ótimo produto é essa câmera. Fotos incríveis.
Ótimo relojoeiro. Funciona perfeitamente e é fácil de usar.
ótimo produto, muito satisfeito com a compra!
ótimo produto, é realmente incrível.
ótimo relojoeira. Gosto bastante do design.
ótimo produto, veio em forma reciclada.
ótimo produto, é bem mais barato do que o outro que comprei recentemente e funciona perfeitamente.
ótimo produto esse refrigerante para caros.
ótimo produto! Vale a pena o dinheiro.
ótimo produto, super satisfeito!
ótimo produto, recomendo!
</t>
  </si>
  <si>
    <t>Palavras</t>
  </si>
  <si>
    <t>ótimo</t>
  </si>
  <si>
    <t>produto</t>
  </si>
  <si>
    <t>é</t>
  </si>
  <si>
    <t>esse</t>
  </si>
  <si>
    <t>creme</t>
  </si>
  <si>
    <t>hidratante</t>
  </si>
  <si>
    <t>gosto</t>
  </si>
  <si>
    <t>muito</t>
  </si>
  <si>
    <t>de</t>
  </si>
  <si>
    <t>usar</t>
  </si>
  <si>
    <t>carrinho</t>
  </si>
  <si>
    <t>para</t>
  </si>
  <si>
    <t>compras</t>
  </si>
  <si>
    <t>online</t>
  </si>
  <si>
    <t>facil</t>
  </si>
  <si>
    <t>e</t>
  </si>
  <si>
    <t>rápido</t>
  </si>
  <si>
    <t>gostei</t>
  </si>
  <si>
    <t>desse</t>
  </si>
  <si>
    <t>sapato</t>
  </si>
  <si>
    <t>satisfeito</t>
  </si>
  <si>
    <t>parabéns</t>
  </si>
  <si>
    <t>pelo</t>
  </si>
  <si>
    <t>seu</t>
  </si>
  <si>
    <t>comentário</t>
  </si>
  <si>
    <t>vamos</t>
  </si>
  <si>
    <t>podemos</t>
  </si>
  <si>
    <t>ajudá</t>
  </si>
  <si>
    <t>adorei</t>
  </si>
  <si>
    <t>meu</t>
  </si>
  <si>
    <t>novo</t>
  </si>
  <si>
    <t>carro</t>
  </si>
  <si>
    <t>incrível</t>
  </si>
  <si>
    <t>muchas</t>
  </si>
  <si>
    <t>graças</t>
  </si>
  <si>
    <t>por</t>
  </si>
  <si>
    <t>ter</t>
  </si>
  <si>
    <t>comprado</t>
  </si>
  <si>
    <t>brinquedo</t>
  </si>
  <si>
    <t>crianças</t>
  </si>
  <si>
    <t>muitos</t>
  </si>
  <si>
    <t>funções</t>
  </si>
  <si>
    <t>bem</t>
  </si>
  <si>
    <t>madeiro</t>
  </si>
  <si>
    <t>meus</t>
  </si>
  <si>
    <t>netos</t>
  </si>
  <si>
    <t>adoram</t>
  </si>
  <si>
    <t>essa</t>
  </si>
  <si>
    <t>as</t>
  </si>
  <si>
    <t>mãos</t>
  </si>
  <si>
    <t>agora</t>
  </si>
  <si>
    <t>minhas</t>
  </si>
  <si>
    <t>estão</t>
  </si>
  <si>
    <t>macias</t>
  </si>
  <si>
    <t>frigorifico</t>
  </si>
  <si>
    <t>funciona</t>
  </si>
  <si>
    <t>perfeitamente</t>
  </si>
  <si>
    <t>recomendo</t>
  </si>
  <si>
    <t>faça</t>
  </si>
  <si>
    <t>a</t>
  </si>
  <si>
    <t>compra</t>
  </si>
  <si>
    <t>sem</t>
  </si>
  <si>
    <t>hesitação</t>
  </si>
  <si>
    <t>realmente</t>
  </si>
  <si>
    <t>ajudou</t>
  </si>
  <si>
    <t>minha</t>
  </si>
  <si>
    <t>vida</t>
  </si>
  <si>
    <t>feito</t>
  </si>
  <si>
    <t>barato</t>
  </si>
  <si>
    <t>relogio</t>
  </si>
  <si>
    <t>me</t>
  </si>
  <si>
    <t>parece</t>
  </si>
  <si>
    <t>relógio</t>
  </si>
  <si>
    <t>solar</t>
  </si>
  <si>
    <t>fácil</t>
  </si>
  <si>
    <t>refrigerador</t>
  </si>
  <si>
    <t>que</t>
  </si>
  <si>
    <t>comprei</t>
  </si>
  <si>
    <t>ontem</t>
  </si>
  <si>
    <t>comprimento</t>
  </si>
  <si>
    <t>cabelo</t>
  </si>
  <si>
    <t>veio</t>
  </si>
  <si>
    <t>com</t>
  </si>
  <si>
    <t>uma</t>
  </si>
  <si>
    <t>caixa</t>
  </si>
  <si>
    <t>acessórios</t>
  </si>
  <si>
    <t>o</t>
  </si>
  <si>
    <t>resultado</t>
  </si>
  <si>
    <t>vale</t>
  </si>
  <si>
    <t>pena</t>
  </si>
  <si>
    <t>investir</t>
  </si>
  <si>
    <t>deseio</t>
  </si>
  <si>
    <t>livro</t>
  </si>
  <si>
    <t>da</t>
  </si>
  <si>
    <t>escrita</t>
  </si>
  <si>
    <t>mais</t>
  </si>
  <si>
    <t>do</t>
  </si>
  <si>
    <t>outro</t>
  </si>
  <si>
    <t>telefone</t>
  </si>
  <si>
    <t>dessa</t>
  </si>
  <si>
    <t>loja</t>
  </si>
  <si>
    <t>on</t>
  </si>
  <si>
    <t>line</t>
  </si>
  <si>
    <t>entrega</t>
  </si>
  <si>
    <t>rápida</t>
  </si>
  <si>
    <t>como</t>
  </si>
  <si>
    <t>qualidade</t>
  </si>
  <si>
    <t>excelente</t>
  </si>
  <si>
    <t>custoso</t>
  </si>
  <si>
    <t>satisfação</t>
  </si>
  <si>
    <t>total</t>
  </si>
  <si>
    <t>relojoeira</t>
  </si>
  <si>
    <t>durável</t>
  </si>
  <si>
    <t>design</t>
  </si>
  <si>
    <t>confortável</t>
  </si>
  <si>
    <t>chapéu</t>
  </si>
  <si>
    <t>perfeita</t>
  </si>
  <si>
    <t>estilo</t>
  </si>
  <si>
    <t>activo</t>
  </si>
  <si>
    <t>telemóvel</t>
  </si>
  <si>
    <t>pele</t>
  </si>
  <si>
    <t>aplicar</t>
  </si>
  <si>
    <t>câmera</t>
  </si>
  <si>
    <t>fotos</t>
  </si>
  <si>
    <t>incríveis</t>
  </si>
  <si>
    <t>relojoeiro</t>
  </si>
  <si>
    <t>bastante</t>
  </si>
  <si>
    <t>em</t>
  </si>
  <si>
    <t>forma</t>
  </si>
  <si>
    <t>reciclada</t>
  </si>
  <si>
    <t>recentemente</t>
  </si>
  <si>
    <t>refrigerante</t>
  </si>
  <si>
    <t>caros</t>
  </si>
  <si>
    <t>dinheiro</t>
  </si>
  <si>
    <t>super</t>
  </si>
  <si>
    <t>Contagem Palavras</t>
  </si>
  <si>
    <t>Palavras Brutas</t>
  </si>
  <si>
    <t>Palavras_Tratadas</t>
  </si>
  <si>
    <t>Palavra Final</t>
  </si>
  <si>
    <t>Valor</t>
  </si>
  <si>
    <t>Valor Tratado</t>
  </si>
  <si>
    <t>Max Valor</t>
  </si>
  <si>
    <t>{"valorA":"ótimo","valorB":1.0}</t>
  </si>
  <si>
    <t>{"valorA":"compras","valorB":1.0}</t>
  </si>
  <si>
    <t>{"valorA":"é","valorB":1.0}</t>
  </si>
  <si>
    <t>{"valorA":"para","valorB":1.0}</t>
  </si>
  <si>
    <t>{"valorA":"online","valorB":1.0}</t>
  </si>
  <si>
    <t>{"valorA":"carrinho","valorB":1.0}</t>
  </si>
  <si>
    <t>{"valorA":"facil","valorB":1.0}</t>
  </si>
  <si>
    <t>{"valorA":"usar","valorB":2.0}</t>
  </si>
  <si>
    <t>{"valorA":"sapato","valorB":1.0}</t>
  </si>
  <si>
    <t>{"valorA":"e","valorB":1.0}</t>
  </si>
  <si>
    <t>{"valorA":"creme","valorB":1.0}</t>
  </si>
  <si>
    <t>{"valorA":"de","valorB":2.0}</t>
  </si>
  <si>
    <t>{"valorA":"gosto","valorB":1.0}</t>
  </si>
  <si>
    <t>{"valorA":"rápido","valorB":1.0}</t>
  </si>
  <si>
    <t>{"valorA":"produto","valorB":2.0}</t>
  </si>
  <si>
    <t>{"valorA":"gostei","valorB":1.0}</t>
  </si>
  <si>
    <t>{"valorA":"ótimo","valorB":3.0}</t>
  </si>
  <si>
    <t>{"valorA":"esse","valorB":1.0}</t>
  </si>
  <si>
    <t>{"valorA":"muito","valorB":2.0}</t>
  </si>
  <si>
    <t>{"valorA":"hidratante","valorB":1.0}</t>
  </si>
  <si>
    <t>{"valorA":"desse","valorB":1.0}</t>
  </si>
  <si>
    <t>{"valorA":"seu","valorB":1.0}</t>
  </si>
  <si>
    <t>{"valorA":"é","valorB":2.0}</t>
  </si>
  <si>
    <t>{"valorA":"comentário","valorB":1.0}</t>
  </si>
  <si>
    <t>{"valorA":"parabéns","valorB":1.0}</t>
  </si>
  <si>
    <t>{"valorA":"meu","valorB":1.0}</t>
  </si>
  <si>
    <t>{"valorA":"comprado","valorB":1.0}</t>
  </si>
  <si>
    <t>{"valorA":"incrível","valorB":1.0}</t>
  </si>
  <si>
    <t>{"valorA":"por","valorB":1.0}</t>
  </si>
  <si>
    <t>{"valorA":"pelo","valorB":1.0}</t>
  </si>
  <si>
    <t>{"valorA":"muchas","valorB":1.0}</t>
  </si>
  <si>
    <t>{"valorA":"ter","valorB":1.0}</t>
  </si>
  <si>
    <t>{"valorA":"graças","valorB":1.0}</t>
  </si>
  <si>
    <t>{"valorA":"carro","valorB":1.0}</t>
  </si>
  <si>
    <t>{"valorA":"produto","valorB":4.0}</t>
  </si>
  <si>
    <t>{"valorA":"ótimo","valorB":5.0}</t>
  </si>
  <si>
    <t>{"valorA":"ajudá","valorB":1.0}</t>
  </si>
  <si>
    <t>{"valorA":"muito","valorB":3.0}</t>
  </si>
  <si>
    <t>{"valorA":"vamos","valorB":1.0}</t>
  </si>
  <si>
    <t>{"valorA":"podemos","valorB":1.0}</t>
  </si>
  <si>
    <t>{"valorA":"satisfeito","valorB":1.0}</t>
  </si>
  <si>
    <t>{"valorA":"novo","valorB":1.0}</t>
  </si>
  <si>
    <t>{"valorA":"adorei","valorB":1.0}</t>
  </si>
  <si>
    <t>{"valorA":"para","valorB":3.0}</t>
  </si>
  <si>
    <t>{"valorA":"netos","valorB":1.0}</t>
  </si>
  <si>
    <t>{"valorA":"bem","valorB":1.0}</t>
  </si>
  <si>
    <t>{"valorA":"adoram","valorB":1.0}</t>
  </si>
  <si>
    <t>{"valorA":"muitos","valorB":1.0}</t>
  </si>
  <si>
    <t>{"valorA":"e","valorB":2.0}</t>
  </si>
  <si>
    <t>{"valorA":"meus","valorB":1.0}</t>
  </si>
  <si>
    <t>{"valorA":"funções","valorB":1.0}</t>
  </si>
  <si>
    <t>{"valorA":"crianças","valorB":2.0}</t>
  </si>
  <si>
    <t>{"valorA":"ótimo","valorB":7.0}</t>
  </si>
  <si>
    <t>{"valorA":"esse","valorB":2.0}</t>
  </si>
  <si>
    <t>{"valorA":"brinquedo","valorB":2.0}</t>
  </si>
  <si>
    <t>{"valorA":"madeiro","valorB":1.0}</t>
  </si>
  <si>
    <t>{"valorA":"desse","valorB":2.0}</t>
  </si>
  <si>
    <t>{"valorA":"minhas","valorB":1.0}</t>
  </si>
  <si>
    <t>{"valorA":"macias","valorB":1.0}</t>
  </si>
  <si>
    <t>{"valorA":"para","valorB":4.0}</t>
  </si>
  <si>
    <t>{"valorA":"recomendo","valorB":1.0}</t>
  </si>
  <si>
    <t>{"valorA":"creme","valorB":2.0}</t>
  </si>
  <si>
    <t>{"valorA":"frigorifico","valorB":1.0}</t>
  </si>
  <si>
    <t>{"valorA":"agora","valorB":1.0}</t>
  </si>
  <si>
    <t>{"valorA":"estão","valorB":1.0}</t>
  </si>
  <si>
    <t>{"valorA":"mãos","valorB":2.0}</t>
  </si>
  <si>
    <t>{"valorA":"produto","valorB":6.0}</t>
  </si>
  <si>
    <t>{"valorA":"ótimo","valorB":9.0}</t>
  </si>
  <si>
    <t>{"valorA":"esse","valorB":3.0}</t>
  </si>
  <si>
    <t>{"valorA":"essa","valorB":1.0}</t>
  </si>
  <si>
    <t>{"valorA":"perfeitamente","valorB":1.0}</t>
  </si>
  <si>
    <t>{"valorA":"muito","valorB":4.0}</t>
  </si>
  <si>
    <t>{"valorA":"as","valorB":1.0}</t>
  </si>
  <si>
    <t>{"valorA":"funciona","valorB":1.0}</t>
  </si>
  <si>
    <t>{"valorA":"online","valorB":2.0}</t>
  </si>
  <si>
    <t>{"valorA":"compras","valorB":2.0}</t>
  </si>
  <si>
    <t>{"valorA":"vida","valorB":1.0}</t>
  </si>
  <si>
    <t>{"valorA":"carrinho","valorB":2.0}</t>
  </si>
  <si>
    <t>{"valorA":"faça","valorB":1.0}</t>
  </si>
  <si>
    <t>{"valorA":"hesitação","valorB":1.0}</t>
  </si>
  <si>
    <t>{"valorA":"de","valorB":3.0}</t>
  </si>
  <si>
    <t>{"valorA":"ajudou","valorB":1.0}</t>
  </si>
  <si>
    <t>{"valorA":"sem","valorB":1.0}</t>
  </si>
  <si>
    <t>{"valorA":"produto","valorB":8.0}</t>
  </si>
  <si>
    <t>{"valorA":"ótimo","valorB":12.0}</t>
  </si>
  <si>
    <t>{"valorA":"gostei","valorB":2.0}</t>
  </si>
  <si>
    <t>{"valorA":"realmente","valorB":1.0}</t>
  </si>
  <si>
    <t>{"valorA":"muito","valorB":5.0}</t>
  </si>
  <si>
    <t>{"valorA":"compra","valorB":1.0}</t>
  </si>
  <si>
    <t>{"valorA":"a","valorB":2.0}</t>
  </si>
  <si>
    <t>{"valorA":"minha","valorB":1.0}</t>
  </si>
  <si>
    <t>{"valorA":"barato","valorB":1.0}</t>
  </si>
  <si>
    <t>{"valorA":"relogio","valorB":1.0}</t>
  </si>
  <si>
    <t>{"valorA":"bem","valorB":3.0}</t>
  </si>
  <si>
    <t>{"valorA":"me","valorB":1.0}</t>
  </si>
  <si>
    <t>{"valorA":"e","valorB":3.0}</t>
  </si>
  <si>
    <t>{"valorA":"feito","valorB":2.0}</t>
  </si>
  <si>
    <t>{"valorA":"produto","valorB":9.0}</t>
  </si>
  <si>
    <t>{"valorA":"ótimo","valorB":14.0}</t>
  </si>
  <si>
    <t>{"valorA":"muito","valorB":7.0}</t>
  </si>
  <si>
    <t>{"valorA":"parece","valorB":1.0}</t>
  </si>
  <si>
    <t>{"valorA":"é","valorB":3.0}</t>
  </si>
  <si>
    <t>{"valorA":"recomendo","valorB":2.0}</t>
  </si>
  <si>
    <t>{"valorA":"solar","valorB":1.0}</t>
  </si>
  <si>
    <t>{"valorA":"usar","valorB":3.0}</t>
  </si>
  <si>
    <t>{"valorA":"e","valorB":4.0}</t>
  </si>
  <si>
    <t>{"valorA":"de","valorB":4.0}</t>
  </si>
  <si>
    <t>{"valorA":"produto","valorB":12.0}</t>
  </si>
  <si>
    <t>{"valorA":"relógio","valorB":1.0}</t>
  </si>
  <si>
    <t>{"valorA":"ótimo","valorB":17.0}</t>
  </si>
  <si>
    <t>{"valorA":"fácil","valorB":1.0}</t>
  </si>
  <si>
    <t>{"valorA":"esse","valorB":4.0}</t>
  </si>
  <si>
    <t>{"valorA":"perfeitamente","valorB":4.0}</t>
  </si>
  <si>
    <t>{"valorA":"funciona","valorB":4.0}</t>
  </si>
  <si>
    <t>{"valorA":"ontem","valorB":1.0}</t>
  </si>
  <si>
    <t>{"valorA":"com","valorB":1.0}</t>
  </si>
  <si>
    <t>{"valorA":"comprei","valorB":1.0}</t>
  </si>
  <si>
    <t>{"valorA":"refrigerador","valorB":1.0}</t>
  </si>
  <si>
    <t>{"valorA":"bem","valorB":4.0}</t>
  </si>
  <si>
    <t>{"valorA":"de","valorB":6.0}</t>
  </si>
  <si>
    <t>{"valorA":"que","valorB":1.0}</t>
  </si>
  <si>
    <t>{"valorA":"veio","valorB":1.0}</t>
  </si>
  <si>
    <t>{"valorA":"uma","valorB":1.0}</t>
  </si>
  <si>
    <t>{"valorA":"ótimo","valorB":19.0}</t>
  </si>
  <si>
    <t>{"valorA":"cabelo","valorB":1.0}</t>
  </si>
  <si>
    <t>{"valorA":"muito","valorB":8.0}</t>
  </si>
  <si>
    <t>{"valorA":"acessórios","valorB":1.0}</t>
  </si>
  <si>
    <t>{"valorA":"comprimento","valorB":1.0}</t>
  </si>
  <si>
    <t>{"valorA":"funciona","valorB":5.0}</t>
  </si>
  <si>
    <t>{"valorA":"caixa","valorB":1.0}</t>
  </si>
  <si>
    <t>{"valorA":"é","valorB":4.0}</t>
  </si>
  <si>
    <t>{"valorA":"investir","valorB":1.0}</t>
  </si>
  <si>
    <t>{"valorA":"pena","valorB":1.0}</t>
  </si>
  <si>
    <t>{"valorA":"bem","valorB":5.0}</t>
  </si>
  <si>
    <t>{"valorA":"incrível","valorB":2.0}</t>
  </si>
  <si>
    <t>{"valorA":"o","valorB":1.0}</t>
  </si>
  <si>
    <t>{"valorA":"livro","valorB":1.0}</t>
  </si>
  <si>
    <t>{"valorA":"vale","valorB":1.0}</t>
  </si>
  <si>
    <t>{"valorA":"produto","valorB":14.0}</t>
  </si>
  <si>
    <t>{"valorA":"resultado","valorB":1.0}</t>
  </si>
  <si>
    <t>{"valorA":"ótimo","valorB":22.0}</t>
  </si>
  <si>
    <t>{"valorA":"gostei","valorB":3.0}</t>
  </si>
  <si>
    <t>{"valorA":"esse","valorB":5.0}</t>
  </si>
  <si>
    <t>{"valorA":"realmente","valorB":3.0}</t>
  </si>
  <si>
    <t>{"valorA":"muito","valorB":9.0}</t>
  </si>
  <si>
    <t>{"valorA":"a","valorB":3.0}</t>
  </si>
  <si>
    <t>{"valorA":"deseio","valorB":1.0}</t>
  </si>
  <si>
    <t>{"valorA":"escrita","valorB":1.0}</t>
  </si>
  <si>
    <t>{"valorA":"da","valorB":1.0}</t>
  </si>
  <si>
    <t>{"valorA":"funciona","valorB":6.0}</t>
  </si>
  <si>
    <t>{"valorA":"recomendo","valorB":3.0}</t>
  </si>
  <si>
    <t>{"valorA":"é","valorB":5.0}</t>
  </si>
  <si>
    <t>{"valorA":"barato","valorB":2.0}</t>
  </si>
  <si>
    <t>{"valorA":"com","valorB":2.0}</t>
  </si>
  <si>
    <t>{"valorA":"outro","valorB":1.0}</t>
  </si>
  <si>
    <t>{"valorA":"bem","valorB":6.0}</t>
  </si>
  <si>
    <t>{"valorA":"e","valorB":5.0}</t>
  </si>
  <si>
    <t>{"valorA":"o","valorB":2.0}</t>
  </si>
  <si>
    <t>{"valorA":"que","valorB":2.0}</t>
  </si>
  <si>
    <t>{"valorA":"produto","valorB":17.0}</t>
  </si>
  <si>
    <t>{"valorA":"do","valorB":1.0}</t>
  </si>
  <si>
    <t>{"valorA":"ótimo","valorB":25.0}</t>
  </si>
  <si>
    <t>{"valorA":"mais","valorB":1.0}</t>
  </si>
  <si>
    <t>{"valorA":"perfeitamente","valorB":5.0}</t>
  </si>
  <si>
    <t>{"valorA":"muito","valorB":10.0}</t>
  </si>
  <si>
    <t>{"valorA":"satisfeito","valorB":2.0}</t>
  </si>
  <si>
    <t>{"valorA":"compra","valorB":2.0}</t>
  </si>
  <si>
    <t>{"valorA":"a","valorB":4.0}</t>
  </si>
  <si>
    <t>{"valorA":"funciona","valorB":7.0}</t>
  </si>
  <si>
    <t>{"valorA":"é","valorB":6.0}</t>
  </si>
  <si>
    <t>{"valorA":"recomendo","valorB":4.0}</t>
  </si>
  <si>
    <t>{"valorA":"qualidade","valorB":1.0}</t>
  </si>
  <si>
    <t>{"valorA":"rápida","valorB":1.0}</t>
  </si>
  <si>
    <t>{"valorA":"bem","valorB":8.0}</t>
  </si>
  <si>
    <t>{"valorA":"entrega","valorB":1.0}</t>
  </si>
  <si>
    <t>{"valorA":"de","valorB":7.0}</t>
  </si>
  <si>
    <t>{"valorA":"o","valorB":3.0}</t>
  </si>
  <si>
    <t>{"valorA":"on","valorB":1.0}</t>
  </si>
  <si>
    <t>{"valorA":"produto","valorB":19.0}</t>
  </si>
  <si>
    <t>{"valorA":"telefone","valorB":1.0}</t>
  </si>
  <si>
    <t>{"valorA":"ótimo","valorB":27.0}</t>
  </si>
  <si>
    <t>{"valorA":"esse","valorB":6.0}</t>
  </si>
  <si>
    <t>{"valorA":"excelente","valorB":1.0}</t>
  </si>
  <si>
    <t>{"valorA":"muito","valorB":11.0}</t>
  </si>
  <si>
    <t>{"valorA":"como","valorB":1.0}</t>
  </si>
  <si>
    <t>{"valorA":"dessa","valorB":1.0}</t>
  </si>
  <si>
    <t>{"valorA":"loja","valorB":1.0}</t>
  </si>
  <si>
    <t>{"valorA":"line","valorB":1.0}</t>
  </si>
  <si>
    <t>{"valorA":"funciona","valorB":8.0}</t>
  </si>
  <si>
    <t>{"valorA":"é","valorB":8.0}</t>
  </si>
  <si>
    <t>{"valorA":"online","valorB":3.0}</t>
  </si>
  <si>
    <t>{"valorA":"custoso","valorB":1.0}</t>
  </si>
  <si>
    <t>{"valorA":"meu","valorB":2.0}</t>
  </si>
  <si>
    <t>{"valorA":"bem","valorB":10.0}</t>
  </si>
  <si>
    <t>{"valorA":"incrível","valorB":3.0}</t>
  </si>
  <si>
    <t>{"valorA":"satisfação","valorB":1.0}</t>
  </si>
  <si>
    <t>{"valorA":"e","valorB":6.0}</t>
  </si>
  <si>
    <t>{"valorA":"o","valorB":4.0}</t>
  </si>
  <si>
    <t>{"valorA":"gosto","valorB":2.0}</t>
  </si>
  <si>
    <t>{"valorA":"carro","valorB":2.0}</t>
  </si>
  <si>
    <t>{"valorA":"produto","valorB":21.0}</t>
  </si>
  <si>
    <t>{"valorA":"ótimo","valorB":30.0}</t>
  </si>
  <si>
    <t>{"valorA":"muito","valorB":12.0}</t>
  </si>
  <si>
    <t>{"valorA":"total","valorB":1.0}</t>
  </si>
  <si>
    <t>{"valorA":"novo","valorB":2.0}</t>
  </si>
  <si>
    <t>{"valorA":"loja","valorB":2.0}</t>
  </si>
  <si>
    <t>{"valorA":"dessa","valorB":2.0}</t>
  </si>
  <si>
    <t>{"valorA":"funciona","valorB":9.0}</t>
  </si>
  <si>
    <t>{"valorA":"recomendo","valorB":5.0}</t>
  </si>
  <si>
    <t>{"valorA":"é","valorB":9.0}</t>
  </si>
  <si>
    <t>{"valorA":"chapéu","valorB":1.0}</t>
  </si>
  <si>
    <t>{"valorA":"usar","valorB":4.0}</t>
  </si>
  <si>
    <t>{"valorA":"e","valorB":8.0}</t>
  </si>
  <si>
    <t>{"valorA":"durável","valorB":1.0}</t>
  </si>
  <si>
    <t>{"valorA":"de","valorB":8.0}</t>
  </si>
  <si>
    <t>{"valorA":"carro","valorB":3.0}</t>
  </si>
  <si>
    <t>{"valorA":"produto","valorB":23.0}</t>
  </si>
  <si>
    <t>{"valorA":"do","valorB":2.0}</t>
  </si>
  <si>
    <t>{"valorA":"gostei","valorB":4.0}</t>
  </si>
  <si>
    <t>{"valorA":"ótimo","valorB":34.0}</t>
  </si>
  <si>
    <t>{"valorA":"esse","valorB":7.0}</t>
  </si>
  <si>
    <t>{"valorA":"fácil","valorB":2.0}</t>
  </si>
  <si>
    <t>{"valorA":"muito","valorB":14.0}</t>
  </si>
  <si>
    <t>{"valorA":"confortável","valorB":1.0}</t>
  </si>
  <si>
    <t>{"valorA":"relojoeira","valorB":1.0}</t>
  </si>
  <si>
    <t>{"valorA":"adorei","valorB":2.0}</t>
  </si>
  <si>
    <t>{"valorA":"design","valorB":1.0}</t>
  </si>
  <si>
    <t>{"valorA":"da","valorB":2.0}</t>
  </si>
  <si>
    <t>{"valorA":"para","valorB":5.0}</t>
  </si>
  <si>
    <t>{"valorA":"com","valorB":3.0}</t>
  </si>
  <si>
    <t>{"valorA":"activo","valorB":1.0}</t>
  </si>
  <si>
    <t>{"valorA":"vida","valorB":2.0}</t>
  </si>
  <si>
    <t>{"valorA":"meu","valorB":4.0}</t>
  </si>
  <si>
    <t>{"valorA":"satisfação","valorB":2.0}</t>
  </si>
  <si>
    <t>{"valorA":"o","valorB":6.0}</t>
  </si>
  <si>
    <t>{"valorA":"de","valorB":9.0}</t>
  </si>
  <si>
    <t>{"valorA":"telemóvel","valorB":1.0}</t>
  </si>
  <si>
    <t>{"valorA":"perfeita","valorB":1.0}</t>
  </si>
  <si>
    <t>{"valorA":"produto","valorB":24.0}</t>
  </si>
  <si>
    <t>{"valorA":"ótimo","valorB":36.0}</t>
  </si>
  <si>
    <t>{"valorA":"estilo","valorB":1.0}</t>
  </si>
  <si>
    <t>{"valorA":"total","valorB":2.0}</t>
  </si>
  <si>
    <t>{"valorA":"novo","valorB":3.0}</t>
  </si>
  <si>
    <t>{"valorA":"relojoeira","valorB":2.0}</t>
  </si>
  <si>
    <t>{"valorA":"para","valorB":6.0}</t>
  </si>
  <si>
    <t>{"valorA":"é","valorB":10.0}</t>
  </si>
  <si>
    <t>{"valorA":"aplicar","valorB":1.0}</t>
  </si>
  <si>
    <t>{"valorA":"recomendo","valorB":6.0}</t>
  </si>
  <si>
    <t>{"valorA":"bem","valorB":11.0}</t>
  </si>
  <si>
    <t>{"valorA":"pele","valorB":1.0}</t>
  </si>
  <si>
    <t>{"valorA":"e","valorB":9.0}</t>
  </si>
  <si>
    <t>{"valorA":"creme","valorB":3.0}</t>
  </si>
  <si>
    <t>{"valorA":"de","valorB":10.0}</t>
  </si>
  <si>
    <t>{"valorA":"produto","valorB":26.0}</t>
  </si>
  <si>
    <t>{"valorA":"gostei","valorB":5.0}</t>
  </si>
  <si>
    <t>{"valorA":"ótimo","valorB":38.0}</t>
  </si>
  <si>
    <t>{"valorA":"fácil","valorB":3.0}</t>
  </si>
  <si>
    <t>{"valorA":"muito","valorB":15.0}</t>
  </si>
  <si>
    <t>{"valorA":"dessa","valorB":3.0}</t>
  </si>
  <si>
    <t>{"valorA":"funciona","valorB":10.0}</t>
  </si>
  <si>
    <t>{"valorA":"é","valorB":12.0}</t>
  </si>
  <si>
    <t>{"valorA":"com","valorB":4.0}</t>
  </si>
  <si>
    <t>{"valorA":"relojoeiro","valorB":1.0}</t>
  </si>
  <si>
    <t>{"valorA":"fotos","valorB":1.0}</t>
  </si>
  <si>
    <t>{"valorA":"usar","valorB":5.0}</t>
  </si>
  <si>
    <t>{"valorA":"e","valorB":10.0}</t>
  </si>
  <si>
    <t>{"valorA":"de","valorB":11.0}</t>
  </si>
  <si>
    <t>{"valorA":"incríveis","valorB":1.0}</t>
  </si>
  <si>
    <t>{"valorA":"produto","valorB":28.0}</t>
  </si>
  <si>
    <t>{"valorA":"ótimo","valorB":41.0}</t>
  </si>
  <si>
    <t>{"valorA":"fácil","valorB":4.0}</t>
  </si>
  <si>
    <t>{"valorA":"câmera","valorB":1.0}</t>
  </si>
  <si>
    <t>{"valorA":"essa","valorB":2.0}</t>
  </si>
  <si>
    <t>{"valorA":"perfeitamente","valorB":6.0}</t>
  </si>
  <si>
    <t>{"valorA":"muito","valorB":16.0}</t>
  </si>
  <si>
    <t>{"valorA":"satisfeito","valorB":3.0}</t>
  </si>
  <si>
    <t>{"valorA":"compra","valorB":3.0}</t>
  </si>
  <si>
    <t>{"valorA":"a","valorB":5.0}</t>
  </si>
  <si>
    <t>{"valorA":"funciona","valorB":11.0}</t>
  </si>
  <si>
    <t>{"valorA":"é","valorB":13.0}</t>
  </si>
  <si>
    <t>{"valorA":"em","valorB":1.0}</t>
  </si>
  <si>
    <t>{"valorA":"bastante","valorB":1.0}</t>
  </si>
  <si>
    <t>{"valorA":"incrível","valorB":4.0}</t>
  </si>
  <si>
    <t>{"valorA":"forma","valorB":1.0}</t>
  </si>
  <si>
    <t>{"valorA":"gosto","valorB":3.0}</t>
  </si>
  <si>
    <t>{"valorA":"veio","valorB":2.0}</t>
  </si>
  <si>
    <t>{"valorA":"produto","valorB":30.0}</t>
  </si>
  <si>
    <t>{"valorA":"do","valorB":3.0}</t>
  </si>
  <si>
    <t>{"valorA":"reciclada","valorB":1.0}</t>
  </si>
  <si>
    <t>{"valorA":"ótimo","valorB":44.0}</t>
  </si>
  <si>
    <t>{"valorA":"realmente","valorB":4.0}</t>
  </si>
  <si>
    <t>{"valorA":"relojoeira","valorB":3.0}</t>
  </si>
  <si>
    <t>{"valorA":"design","valorB":2.0}</t>
  </si>
  <si>
    <t>{"valorA":"é","valorB":14.0}</t>
  </si>
  <si>
    <t>{"valorA":"para","valorB":7.0}</t>
  </si>
  <si>
    <t>{"valorA":"comprei","valorB":2.0}</t>
  </si>
  <si>
    <t>{"valorA":"barato","valorB":3.0}</t>
  </si>
  <si>
    <t>{"valorA":"recentemente","valorB":1.0}</t>
  </si>
  <si>
    <t>{"valorA":"pena","valorB":2.0}</t>
  </si>
  <si>
    <t>{"valorA":"bem","valorB":12.0}</t>
  </si>
  <si>
    <t>{"valorA":"outro","valorB":2.0}</t>
  </si>
  <si>
    <t>{"valorA":"o","valorB":8.0}</t>
  </si>
  <si>
    <t>{"valorA":"e","valorB":11.0}</t>
  </si>
  <si>
    <t>{"valorA":"dinheiro","valorB":1.0}</t>
  </si>
  <si>
    <t>{"valorA":"caros","valorB":1.0}</t>
  </si>
  <si>
    <t>{"valorA":"vale","valorB":2.0}</t>
  </si>
  <si>
    <t>{"valorA":"que","valorB":4.0}</t>
  </si>
  <si>
    <t>{"valorA":"produto","valorB":33.0}</t>
  </si>
  <si>
    <t>{"valorA":"do","valorB":4.0}</t>
  </si>
  <si>
    <t>{"valorA":"ótimo","valorB":47.0}</t>
  </si>
  <si>
    <t>{"valorA":"mais","valorB":2.0}</t>
  </si>
  <si>
    <t>{"valorA":"refrigerante","valorB":1.0}</t>
  </si>
  <si>
    <t>{"valorA":"esse","valorB":8.0}</t>
  </si>
  <si>
    <t>{"valorA":"perfeitamente","valorB":7.0}</t>
  </si>
  <si>
    <t>{"valorA":"a","valorB":6.0}</t>
  </si>
  <si>
    <t>{"valorA":"funciona","valorB":12.0}</t>
  </si>
  <si>
    <t>{"valorA":"recomendo","valorB":7.0}</t>
  </si>
  <si>
    <t>{"valorA":"super","valorB":1.0}</t>
  </si>
  <si>
    <t>{"valorA":"produto","valorB":35.0}</t>
  </si>
  <si>
    <t>{"valorA":"ótimo","valorB":49.0}</t>
  </si>
  <si>
    <t>{"valorA":"satisfeito","valorB":4.0}</t>
  </si>
  <si>
    <t xml:space="preserve">ótimo produto, mas não valorizei o preço que paguei.
ótimo produto, mas demorou muito a chegar. Desapontiado.
ótimo produto, mas não vale a pena o preço que custa.
ótimo preço e qualidade do meu televisor. Gosto muito.
ótimo câmera! Funciona muito bem e a qualidade é incrível.
ótimo produto, mas não valia a diferença em preço que paguei.
ótimo produto, valeu a espera. Me sinto feliz com minha compra.
ótimo produto para quem procura qualidade e confiabilidade. Recomendo.
ótimo tv. Gostei muito da qualidade do display.
ótimo preço para um produto tão bom como este. Recomendo a todos.
ótimo preço e qualidade para o meu scanner.
ótimo produto, valeu a espera. Gostei muito do resultado final.
ótimo produto, recomendo para todos. Funciona perfeitamente.
ótimo preço esse tv led. Funciona bem e é bonito.
ótimo produto para casa pequena, econômico e fácil de usar.
ótimo preço por um produto tão bom, não posso recomendar o suficiente.
ótimo produto para o preço que paguei. Funciona bem.
ótimo produto, valeu a espera. Gostei muito.
ótimo produto para quem busca um sistema de som bom e fácil de usar.
ótimo televisor. Gostaria de comprar outro da mesma marca.
ótimo produto para quem busca um monitor de alta qualidade. Recomendo.
ótimo produto, fácil de usuário e funciona perfeitamente.
ótimo produto para quem precisa de uma câmera portátil. Gostei muito.
                    Comentário
ótimo preço esse televisor. Funciona bem, mas não valeu a quantia que paguei.
ótimo valor o meu monitor. Gostei muito do preço e da qualidade.
ótimo produto, fácil de usar e econômico. Gostei muito.
ótimo produto. Gostaria de comprar mais um.
ótimo produto para a casa, é bem fácil de usar e limpa bem.
                **Resposta:**
ótimo preço para um produto tão bom! Eu adorooo.
ótimo meu novo televisor! Super fico feliz com a compra.
ótimo produto, mas é muito caro.
ótimo produto para o preço que paguei. Funciona bem.
ótima câmera. Fácil de usar e produz alta qualidade.
ótimo produto para o preço que paguei. Me alegra ter comprado.
ótimo produto, valeu a espera.
ótimo preço para um produto tão bom como esse. Gostei mucho.
ótimo produto. Gostei muito do tamanho e das funcionalidades.
ótimo tablet, fácil de usar e barato.
ótimo preço para o que eu compriei. Sempre compro aqui.
ótimo preço por um produto tão bom. Funciona perfeitamente.
ótimo produto, funciona perfeitamente, valeu a espera.
ótimo produto, mas muito caro.
ótimo produto, bem valorizado o preço que paguei.
ótimo câmera, valeu a espera.
ótimo produto, bem valido o dinheiro. Gosto muito.
ótimo meu leitor de tatuadores. Funciona perfeitamente.
ótimo preço-qualidade do meu scanner. Funciona bem.
Exemplos de comentários positivos:
ótima câmera, fácil de usar e bem durável.
ótimo preço por um produto tão bom. Adorei o meu novo chapéu.
                    Comentário
ótimo produto, fácil de usar e econômico. Gosto muito.
</t>
  </si>
  <si>
    <t>mas</t>
  </si>
  <si>
    <t>não</t>
  </si>
  <si>
    <t>valorizei</t>
  </si>
  <si>
    <t>preço</t>
  </si>
  <si>
    <t>paguei</t>
  </si>
  <si>
    <t>demorou</t>
  </si>
  <si>
    <t>chegar</t>
  </si>
  <si>
    <t>desapontiado</t>
  </si>
  <si>
    <t>custa</t>
  </si>
  <si>
    <t>televisor</t>
  </si>
  <si>
    <t>valia</t>
  </si>
  <si>
    <t>diferença</t>
  </si>
  <si>
    <t>valeu</t>
  </si>
  <si>
    <t>espera</t>
  </si>
  <si>
    <t>sinto</t>
  </si>
  <si>
    <t>feliz</t>
  </si>
  <si>
    <t>quem</t>
  </si>
  <si>
    <t>procura</t>
  </si>
  <si>
    <t>confiabilidade</t>
  </si>
  <si>
    <t>tv</t>
  </si>
  <si>
    <t>display</t>
  </si>
  <si>
    <t>um</t>
  </si>
  <si>
    <t>tão</t>
  </si>
  <si>
    <t>bom</t>
  </si>
  <si>
    <t>este</t>
  </si>
  <si>
    <t>todos</t>
  </si>
  <si>
    <t>scanner</t>
  </si>
  <si>
    <t>final</t>
  </si>
  <si>
    <t>led</t>
  </si>
  <si>
    <t>bonito</t>
  </si>
  <si>
    <t>casa</t>
  </si>
  <si>
    <t>pequena</t>
  </si>
  <si>
    <t>econômico</t>
  </si>
  <si>
    <t>posso</t>
  </si>
  <si>
    <t>recomendar</t>
  </si>
  <si>
    <t>suficiente</t>
  </si>
  <si>
    <t>busca</t>
  </si>
  <si>
    <t>sistema</t>
  </si>
  <si>
    <t>som</t>
  </si>
  <si>
    <t>gostaria</t>
  </si>
  <si>
    <t>comprar</t>
  </si>
  <si>
    <t>mesma</t>
  </si>
  <si>
    <t>marca</t>
  </si>
  <si>
    <t>monitor</t>
  </si>
  <si>
    <t>alta</t>
  </si>
  <si>
    <t>usuário</t>
  </si>
  <si>
    <t>precisa</t>
  </si>
  <si>
    <t>portátil</t>
  </si>
  <si>
    <t>quantia</t>
  </si>
  <si>
    <t>valor</t>
  </si>
  <si>
    <t>limpa</t>
  </si>
  <si>
    <t>resposta</t>
  </si>
  <si>
    <t>eu</t>
  </si>
  <si>
    <t>adorooo</t>
  </si>
  <si>
    <t>fico</t>
  </si>
  <si>
    <t>caro</t>
  </si>
  <si>
    <t>ótima</t>
  </si>
  <si>
    <t>produz</t>
  </si>
  <si>
    <t>alegra</t>
  </si>
  <si>
    <t>mucho</t>
  </si>
  <si>
    <t>tamanho</t>
  </si>
  <si>
    <t>das</t>
  </si>
  <si>
    <t>funcionalidades</t>
  </si>
  <si>
    <t>tablet</t>
  </si>
  <si>
    <t>compriei</t>
  </si>
  <si>
    <t>sempre</t>
  </si>
  <si>
    <t>compro</t>
  </si>
  <si>
    <t>aqui</t>
  </si>
  <si>
    <t>valorizado</t>
  </si>
  <si>
    <t>valido</t>
  </si>
  <si>
    <t>leitor</t>
  </si>
  <si>
    <t>tatuadores</t>
  </si>
  <si>
    <t>preçoqualidade</t>
  </si>
  <si>
    <t>exemplos</t>
  </si>
  <si>
    <t>comentários</t>
  </si>
  <si>
    <t>positivos</t>
  </si>
  <si>
    <t>{"valorA":"valorizei","valorB":1.0}</t>
  </si>
  <si>
    <t>{"valorA":"chegar","valorB":1.0}</t>
  </si>
  <si>
    <t>{"valorA":"demorou","valorB":1.0}</t>
  </si>
  <si>
    <t>{"valorA":"ótimo","valorB":2.0}</t>
  </si>
  <si>
    <t>{"valorA":"paguei","valorB":1.0}</t>
  </si>
  <si>
    <t>{"valorA":"mas","valorB":2.0}</t>
  </si>
  <si>
    <t>{"valorA":"muito","valorB":1.0}</t>
  </si>
  <si>
    <t>{"valorA":"a","valorB":1.0}</t>
  </si>
  <si>
    <t>{"valorA":"desapontiado","valorB":1.0}</t>
  </si>
  <si>
    <t>{"valorA":"não","valorB":1.0}</t>
  </si>
  <si>
    <t>{"valorA":"preço","valorB":1.0}</t>
  </si>
  <si>
    <t>{"valorA":"custa","valorB":1.0}</t>
  </si>
  <si>
    <t>{"valorA":"produto","valorB":3.0}</t>
  </si>
  <si>
    <t>{"valorA":"televisor","valorB":1.0}</t>
  </si>
  <si>
    <t>{"valorA":"ótimo","valorB":4.0}</t>
  </si>
  <si>
    <t>{"valorA":"mas","valorB":3.0}</t>
  </si>
  <si>
    <t>{"valorA":"não","valorB":2.0}</t>
  </si>
  <si>
    <t>{"valorA":"preço","valorB":3.0}</t>
  </si>
  <si>
    <t>{"valorA":"qualidade","valorB":2.0}</t>
  </si>
  <si>
    <t>{"valorA":"valia","valorB":1.0}</t>
  </si>
  <si>
    <t>{"valorA":"que","valorB":3.0}</t>
  </si>
  <si>
    <t>{"valorA":"ótimo","valorB":6.0}</t>
  </si>
  <si>
    <t>{"valorA":"paguei","valorB":2.0}</t>
  </si>
  <si>
    <t>{"valorA":"mas","valorB":4.0}</t>
  </si>
  <si>
    <t>{"valorA":"não","valorB":3.0}</t>
  </si>
  <si>
    <t>{"valorA":"diferença","valorB":1.0}</t>
  </si>
  <si>
    <t>{"valorA":"preço","valorB":4.0}</t>
  </si>
  <si>
    <t>{"valorA":"valeu","valorB":1.0}</t>
  </si>
  <si>
    <t>{"valorA":"sinto","valorB":1.0}</t>
  </si>
  <si>
    <t>{"valorA":"feliz","valorB":1.0}</t>
  </si>
  <si>
    <t>{"valorA":"espera","valorB":1.0}</t>
  </si>
  <si>
    <t>{"valorA":"produto","valorB":5.0}</t>
  </si>
  <si>
    <t>{"valorA":"ótimo","valorB":8.0}</t>
  </si>
  <si>
    <t>{"valorA":"qualidade","valorB":4.0}</t>
  </si>
  <si>
    <t>{"valorA":"tv","valorB":1.0}</t>
  </si>
  <si>
    <t>{"valorA":"display","valorB":1.0}</t>
  </si>
  <si>
    <t>{"valorA":"confiabilidade","valorB":1.0}</t>
  </si>
  <si>
    <t>{"valorA":"quem","valorB":1.0}</t>
  </si>
  <si>
    <t>{"valorA":"procura","valorB":1.0}</t>
  </si>
  <si>
    <t>{"valorA":"ótimo","valorB":10.0}</t>
  </si>
  <si>
    <t>{"valorA":"para","valorB":2.0}</t>
  </si>
  <si>
    <t>{"valorA":"tão","valorB":1.0}</t>
  </si>
  <si>
    <t>{"valorA":"bom","valorB":1.0}</t>
  </si>
  <si>
    <t>{"valorA":"produto","valorB":7.0}</t>
  </si>
  <si>
    <t>{"valorA":"todos","valorB":1.0}</t>
  </si>
  <si>
    <t>{"valorA":"este","valorB":1.0}</t>
  </si>
  <si>
    <t>{"valorA":"um","valorB":1.0}</t>
  </si>
  <si>
    <t>{"valorA":"preço","valorB":5.0}</t>
  </si>
  <si>
    <t>{"valorA":"ótimo","valorB":11.0}</t>
  </si>
  <si>
    <t>{"valorA":"qualidade","valorB":5.0}</t>
  </si>
  <si>
    <t>{"valorA":"scanner","valorB":1.0}</t>
  </si>
  <si>
    <t>{"valorA":"preço","valorB":6.0}</t>
  </si>
  <si>
    <t>{"valorA":"valeu","valorB":2.0}</t>
  </si>
  <si>
    <t>{"valorA":"espera","valorB":2.0}</t>
  </si>
  <si>
    <t>{"valorA":"final","valorB":1.0}</t>
  </si>
  <si>
    <t>{"valorA":"ótimo","valorB":13.0}</t>
  </si>
  <si>
    <t>{"valorA":"todos","valorB":2.0}</t>
  </si>
  <si>
    <t>{"valorA":"a","valorB":7.0}</t>
  </si>
  <si>
    <t>{"valorA":"funciona","valorB":2.0}</t>
  </si>
  <si>
    <t>{"valorA":"bonito","valorB":1.0}</t>
  </si>
  <si>
    <t>{"valorA":"tv","valorB":2.0}</t>
  </si>
  <si>
    <t>{"valorA":"bem","valorB":2.0}</t>
  </si>
  <si>
    <t>{"valorA":"led","valorB":1.0}</t>
  </si>
  <si>
    <t>{"valorA":"funciona","valorB":3.0}</t>
  </si>
  <si>
    <t>{"valorA":"preço","valorB":7.0}</t>
  </si>
  <si>
    <t>{"valorA":"ótimo","valorB":15.0}</t>
  </si>
  <si>
    <t>{"valorA":"econômico","valorB":1.0}</t>
  </si>
  <si>
    <t>{"valorA":"usar","valorB":1.0}</t>
  </si>
  <si>
    <t>{"valorA":"pequena","valorB":1.0}</t>
  </si>
  <si>
    <t>{"valorA":"de","valorB":1.0}</t>
  </si>
  <si>
    <t>{"valorA":"produto","valorB":10.0}</t>
  </si>
  <si>
    <t>{"valorA":"casa","valorB":1.0}</t>
  </si>
  <si>
    <t>{"valorA":"ótimo","valorB":16.0}</t>
  </si>
  <si>
    <t>{"valorA":"suficiente","valorB":1.0}</t>
  </si>
  <si>
    <t>{"valorA":"tão","valorB":2.0}</t>
  </si>
  <si>
    <t>{"valorA":"bom","valorB":2.0}</t>
  </si>
  <si>
    <t>{"valorA":"posso","valorB":1.0}</t>
  </si>
  <si>
    <t>{"valorA":"recomendar","valorB":1.0}</t>
  </si>
  <si>
    <t>{"valorA":"produto","valorB":11.0}</t>
  </si>
  <si>
    <t>{"valorA":"não","valorB":4.0}</t>
  </si>
  <si>
    <t>{"valorA":"um","valorB":2.0}</t>
  </si>
  <si>
    <t>{"valorA":"preço","valorB":8.0}</t>
  </si>
  <si>
    <t>{"valorA":"o","valorB":5.0}</t>
  </si>
  <si>
    <t>{"valorA":"paguei","valorB":3.0}</t>
  </si>
  <si>
    <t>{"valorA":"preço","valorB":9.0}</t>
  </si>
  <si>
    <t>{"valorA":"ótimo","valorB":18.0}</t>
  </si>
  <si>
    <t>{"valorA":"valeu","valorB":3.0}</t>
  </si>
  <si>
    <t>{"valorA":"espera","valorB":3.0}</t>
  </si>
  <si>
    <t>{"valorA":"produto","valorB":13.0}</t>
  </si>
  <si>
    <t>{"valorA":"muito","valorB":6.0}</t>
  </si>
  <si>
    <t>{"valorA":"a","valorB":8.0}</t>
  </si>
  <si>
    <t>{"valorA":"bom","valorB":3.0}</t>
  </si>
  <si>
    <t>{"valorA":"quem","valorB":2.0}</t>
  </si>
  <si>
    <t>{"valorA":"e","valorB":7.0}</t>
  </si>
  <si>
    <t>{"valorA":"som","valorB":1.0}</t>
  </si>
  <si>
    <t>{"valorA":"sistema","valorB":1.0}</t>
  </si>
  <si>
    <t>{"valorA":"busca","valorB":1.0}</t>
  </si>
  <si>
    <t>{"valorA":"um","valorB":3.0}</t>
  </si>
  <si>
    <t>{"valorA":"ótimo","valorB":20.0}</t>
  </si>
  <si>
    <t>{"valorA":"comprar","valorB":1.0}</t>
  </si>
  <si>
    <t>{"valorA":"gostaria","valorB":1.0}</t>
  </si>
  <si>
    <t>{"valorA":"televisor","valorB":2.0}</t>
  </si>
  <si>
    <t>{"valorA":"marca","valorB":1.0}</t>
  </si>
  <si>
    <t>{"valorA":"mesma","valorB":1.0}</t>
  </si>
  <si>
    <t>{"valorA":"ótimo","valorB":21.0}</t>
  </si>
  <si>
    <t>{"valorA":"para","valorB":8.0}</t>
  </si>
  <si>
    <t>{"valorA":"qualidade","valorB":6.0}</t>
  </si>
  <si>
    <t>{"valorA":"quem","valorB":3.0}</t>
  </si>
  <si>
    <t>{"valorA":"de","valorB":5.0}</t>
  </si>
  <si>
    <t>{"valorA":"monitor","valorB":1.0}</t>
  </si>
  <si>
    <t>{"valorA":"alta","valorB":1.0}</t>
  </si>
  <si>
    <t>{"valorA":"produto","valorB":15.0}</t>
  </si>
  <si>
    <t>{"valorA":"busca","valorB":2.0}</t>
  </si>
  <si>
    <t>{"valorA":"um","valorB":4.0}</t>
  </si>
  <si>
    <t>{"valorA":"usuário","valorB":1.0}</t>
  </si>
  <si>
    <t>{"valorA":"produto","valorB":16.0}</t>
  </si>
  <si>
    <t>{"valorA":"perfeitamente","valorB":2.0}</t>
  </si>
  <si>
    <t>{"valorA":"ótimo","valorB":23.0}</t>
  </si>
  <si>
    <t>{"valorA":"para","valorB":9.0}</t>
  </si>
  <si>
    <t>{"valorA":"precisa","valorB":1.0}</t>
  </si>
  <si>
    <t>{"valorA":"portátil","valorB":1.0}</t>
  </si>
  <si>
    <t>{"valorA":"quem","valorB":4.0}</t>
  </si>
  <si>
    <t>{"valorA":"câmera","valorB":2.0}</t>
  </si>
  <si>
    <t>{"valorA":"ótimo","valorB":24.0}</t>
  </si>
  <si>
    <t>{"valorA":"valeu","valorB":4.0}</t>
  </si>
  <si>
    <t>{"valorA":"que","valorB":5.0}</t>
  </si>
  <si>
    <t>{"valorA":"televisor","valorB":3.0}</t>
  </si>
  <si>
    <t>{"valorA":"paguei","valorB":4.0}</t>
  </si>
  <si>
    <t>{"valorA":"mas","valorB":5.0}</t>
  </si>
  <si>
    <t>{"valorA":"a","valorB":9.0}</t>
  </si>
  <si>
    <t>{"valorA":"não","valorB":5.0}</t>
  </si>
  <si>
    <t>{"valorA":"quantia","valorB":1.0}</t>
  </si>
  <si>
    <t>{"valorA":"preço","valorB":10.0}</t>
  </si>
  <si>
    <t>{"valorA":"qualidade","valorB":7.0}</t>
  </si>
  <si>
    <t>{"valorA":"meu","valorB":3.0}</t>
  </si>
  <si>
    <t>{"valorA":"valor","valorB":1.0}</t>
  </si>
  <si>
    <t>{"valorA":"monitor","valorB":2.0}</t>
  </si>
  <si>
    <t>{"valorA":"da","valorB":3.0}</t>
  </si>
  <si>
    <t>{"valorA":"preço","valorB":11.0}</t>
  </si>
  <si>
    <t>{"valorA":"ótimo","valorB":26.0}</t>
  </si>
  <si>
    <t>{"valorA":"econômico","valorB":2.0}</t>
  </si>
  <si>
    <t>{"valorA":"produto","valorB":18.0}</t>
  </si>
  <si>
    <t>{"valorA":"gostei","valorB":6.0}</t>
  </si>
  <si>
    <t>{"valorA":"comprar","valorB":2.0}</t>
  </si>
  <si>
    <t>{"valorA":"gostaria","valorB":2.0}</t>
  </si>
  <si>
    <t>{"valorA":"um","valorB":5.0}</t>
  </si>
  <si>
    <t>{"valorA":"ótimo","valorB":28.0}</t>
  </si>
  <si>
    <t>{"valorA":"para","valorB":10.0}</t>
  </si>
  <si>
    <t>{"valorA":"resposta","valorB":1.0}</t>
  </si>
  <si>
    <t>{"valorA":"limpa","valorB":1.0}</t>
  </si>
  <si>
    <t>{"valorA":"produto","valorB":20.0}</t>
  </si>
  <si>
    <t>{"valorA":"fácil","valorB":5.0}</t>
  </si>
  <si>
    <t>{"valorA":"casa","valorB":2.0}</t>
  </si>
  <si>
    <t>{"valorA":"a","valorB":10.0}</t>
  </si>
  <si>
    <t>{"valorA":"ótimo","valorB":29.0}</t>
  </si>
  <si>
    <t>{"valorA":"para","valorB":11.0}</t>
  </si>
  <si>
    <t>{"valorA":"adorooo","valorB":1.0}</t>
  </si>
  <si>
    <t>{"valorA":"tão","valorB":3.0}</t>
  </si>
  <si>
    <t>{"valorA":"bom","valorB":4.0}</t>
  </si>
  <si>
    <t>{"valorA":"eu","valorB":1.0}</t>
  </si>
  <si>
    <t>{"valorA":"um","valorB":6.0}</t>
  </si>
  <si>
    <t>{"valorA":"preço","valorB":12.0}</t>
  </si>
  <si>
    <t>{"valorA":"fico","valorB":1.0}</t>
  </si>
  <si>
    <t>{"valorA":"feliz","valorB":2.0}</t>
  </si>
  <si>
    <t>{"valorA":"televisor","valorB":4.0}</t>
  </si>
  <si>
    <t>{"valorA":"a","valorB":11.0}</t>
  </si>
  <si>
    <t>{"valorA":"ótimo","valorB":31.0}</t>
  </si>
  <si>
    <t>{"valorA":"caro","valorB":1.0}</t>
  </si>
  <si>
    <t>{"valorA":"produto","valorB":22.0}</t>
  </si>
  <si>
    <t>{"valorA":"mas","valorB":6.0}</t>
  </si>
  <si>
    <t>{"valorA":"para","valorB":12.0}</t>
  </si>
  <si>
    <t>{"valorA":"bem","valorB":7.0}</t>
  </si>
  <si>
    <t>{"valorA":"o","valorB":7.0}</t>
  </si>
  <si>
    <t>{"valorA":"que","valorB":6.0}</t>
  </si>
  <si>
    <t>{"valorA":"ótimo","valorB":32.0}</t>
  </si>
  <si>
    <t>{"valorA":"paguei","valorB":5.0}</t>
  </si>
  <si>
    <t>{"valorA":"preço","valorB":13.0}</t>
  </si>
  <si>
    <t>{"valorA":"ótima","valorB":1.0}</t>
  </si>
  <si>
    <t>{"valorA":"qualidade","valorB":8.0}</t>
  </si>
  <si>
    <t>{"valorA":"produz","valorB":1.0}</t>
  </si>
  <si>
    <t>{"valorA":"e","valorB":12.0}</t>
  </si>
  <si>
    <t>{"valorA":"alta","valorB":2.0}</t>
  </si>
  <si>
    <t>{"valorA":"fácil","valorB":6.0}</t>
  </si>
  <si>
    <t>{"valorA":"câmera","valorB":3.0}</t>
  </si>
  <si>
    <t>{"valorA":"para","valorB":13.0}</t>
  </si>
  <si>
    <t>{"valorA":"me","valorB":2.0}</t>
  </si>
  <si>
    <t>{"valorA":"alegra","valorB":1.0}</t>
  </si>
  <si>
    <t>{"valorA":"que","valorB":7.0}</t>
  </si>
  <si>
    <t>{"valorA":"paguei","valorB":6.0}</t>
  </si>
  <si>
    <t>{"valorA":"ótimo","valorB":33.0}</t>
  </si>
  <si>
    <t>{"valorA":"preço","valorB":14.0}</t>
  </si>
  <si>
    <t>{"valorA":"valeu","valorB":5.0}</t>
  </si>
  <si>
    <t>{"valorA":"espera","valorB":4.0}</t>
  </si>
  <si>
    <t>{"valorA":"produto","valorB":25.0}</t>
  </si>
  <si>
    <t>{"valorA":"a","valorB":12.0}</t>
  </si>
  <si>
    <t>{"valorA":"ótimo","valorB":35.0}</t>
  </si>
  <si>
    <t>{"valorA":"para","valorB":14.0}</t>
  </si>
  <si>
    <t>{"valorA":"tão","valorB":4.0}</t>
  </si>
  <si>
    <t>{"valorA":"mucho","valorB":1.0}</t>
  </si>
  <si>
    <t>{"valorA":"bom","valorB":5.0}</t>
  </si>
  <si>
    <t>{"valorA":"gostei","valorB":7.0}</t>
  </si>
  <si>
    <t>{"valorA":"como","valorB":2.0}</t>
  </si>
  <si>
    <t>{"valorA":"um","valorB":7.0}</t>
  </si>
  <si>
    <t>{"valorA":"preço","valorB":15.0}</t>
  </si>
  <si>
    <t>{"valorA":"e","valorB":13.0}</t>
  </si>
  <si>
    <t>{"valorA":"tamanho","valorB":1.0}</t>
  </si>
  <si>
    <t>{"valorA":"das","valorB":1.0}</t>
  </si>
  <si>
    <t>{"valorA":"produto","valorB":27.0}</t>
  </si>
  <si>
    <t>{"valorA":"do","valorB":5.0}</t>
  </si>
  <si>
    <t>{"valorA":"gostei","valorB":8.0}</t>
  </si>
  <si>
    <t>{"valorA":"funcionalidades","valorB":1.0}</t>
  </si>
  <si>
    <t>{"valorA":"ótimo","valorB":37.0}</t>
  </si>
  <si>
    <t>{"valorA":"tablet","valorB":1.0}</t>
  </si>
  <si>
    <t>{"valorA":"usar","valorB":6.0}</t>
  </si>
  <si>
    <t>{"valorA":"e","valorB":14.0}</t>
  </si>
  <si>
    <t>{"valorA":"de","valorB":12.0}</t>
  </si>
  <si>
    <t>{"valorA":"fácil","valorB":7.0}</t>
  </si>
  <si>
    <t>{"valorA":"para","valorB":15.0}</t>
  </si>
  <si>
    <t>{"valorA":"o","valorB":9.0}</t>
  </si>
  <si>
    <t>{"valorA":"eu","valorB":2.0}</t>
  </si>
  <si>
    <t>{"valorA":"que","valorB":8.0}</t>
  </si>
  <si>
    <t>{"valorA":"compriei","valorB":1.0}</t>
  </si>
  <si>
    <t>{"valorA":"aqui","valorB":1.0}</t>
  </si>
  <si>
    <t>{"valorA":"sempre","valorB":1.0}</t>
  </si>
  <si>
    <t>{"valorA":"compro","valorB":1.0}</t>
  </si>
  <si>
    <t>{"valorA":"preço","valorB":16.0}</t>
  </si>
  <si>
    <t>{"valorA":"ótimo","valorB":39.0}</t>
  </si>
  <si>
    <t>{"valorA":"tão","valorB":5.0}</t>
  </si>
  <si>
    <t>{"valorA":"por","valorB":2.0}</t>
  </si>
  <si>
    <t>{"valorA":"bom","valorB":6.0}</t>
  </si>
  <si>
    <t>{"valorA":"perfeitamente","valorB":3.0}</t>
  </si>
  <si>
    <t>{"valorA":"um","valorB":8.0}</t>
  </si>
  <si>
    <t>{"valorA":"preço","valorB":17.0}</t>
  </si>
  <si>
    <t>{"valorA":"ótimo","valorB":40.0}</t>
  </si>
  <si>
    <t>{"valorA":"valeu","valorB":6.0}</t>
  </si>
  <si>
    <t>{"valorA":"espera","valorB":5.0}</t>
  </si>
  <si>
    <t>{"valorA":"produto","valorB":29.0}</t>
  </si>
  <si>
    <t>{"valorA":"a","valorB":13.0}</t>
  </si>
  <si>
    <t>{"valorA":"caro","valorB":2.0}</t>
  </si>
  <si>
    <t>{"valorA":"mas","valorB":7.0}</t>
  </si>
  <si>
    <t>{"valorA":"ótimo","valorB":42.0}</t>
  </si>
  <si>
    <t>{"valorA":"valeu","valorB":7.0}</t>
  </si>
  <si>
    <t>{"valorA":"o","valorB":10.0}</t>
  </si>
  <si>
    <t>{"valorA":"espera","valorB":6.0}</t>
  </si>
  <si>
    <t>{"valorA":"que","valorB":9.0}</t>
  </si>
  <si>
    <t>{"valorA":"produto","valorB":31.0}</t>
  </si>
  <si>
    <t>{"valorA":"ótimo","valorB":43.0}</t>
  </si>
  <si>
    <t>{"valorA":"paguei","valorB":7.0}</t>
  </si>
  <si>
    <t>{"valorA":"câmera","valorB":4.0}</t>
  </si>
  <si>
    <t>{"valorA":"a","valorB":14.0}</t>
  </si>
  <si>
    <t>{"valorA":"valorizado","valorB":1.0}</t>
  </si>
  <si>
    <t>{"valorA":"preço","valorB":18.0}</t>
  </si>
  <si>
    <t>{"valorA":"bem","valorB":9.0}</t>
  </si>
  <si>
    <t>{"valorA":"o","valorB":11.0}</t>
  </si>
  <si>
    <t>{"valorA":"valido","valorB":1.0}</t>
  </si>
  <si>
    <t>{"valorA":"produto","valorB":32.0}</t>
  </si>
  <si>
    <t>{"valorA":"muito","valorB":13.0}</t>
  </si>
  <si>
    <t>{"valorA":"ótimo","valorB":45.0}</t>
  </si>
  <si>
    <t>{"valorA":"meu","valorB":5.0}</t>
  </si>
  <si>
    <t>{"valorA":"de","valorB":13.0}</t>
  </si>
  <si>
    <t>{"valorA":"leitor","valorB":1.0}</t>
  </si>
  <si>
    <t>{"valorA":"tatuadores","valorB":1.0}</t>
  </si>
  <si>
    <t>{"valorA":"ótimo","valorB":46.0}</t>
  </si>
  <si>
    <t>{"valorA":"exemplos","valorB":1.0}</t>
  </si>
  <si>
    <t>{"valorA":"preçoqualidade","valorB":1.0}</t>
  </si>
  <si>
    <t>{"valorA":"positivos","valorB":1.0}</t>
  </si>
  <si>
    <t>{"valorA":"meu","valorB":6.0}</t>
  </si>
  <si>
    <t>{"valorA":"comentários","valorB":1.0}</t>
  </si>
  <si>
    <t>{"valorA":"de","valorB":14.0}</t>
  </si>
  <si>
    <t>{"valorA":"scanner","valorB":2.0}</t>
  </si>
  <si>
    <t>{"valorA":"do","valorB":6.0}</t>
  </si>
  <si>
    <t>{"valorA":"ótima","valorB":2.0}</t>
  </si>
  <si>
    <t>{"valorA":"usar","valorB":7.0}</t>
  </si>
  <si>
    <t>{"valorA":"e","valorB":15.0}</t>
  </si>
  <si>
    <t>{"valorA":"de","valorB":15.0}</t>
  </si>
  <si>
    <t>{"valorA":"fácil","valorB":8.0}</t>
  </si>
  <si>
    <t>{"valorA":"câmera","valorB":5.0}</t>
  </si>
  <si>
    <t>{"valorA":"comentário","valorB":2.0}</t>
  </si>
  <si>
    <t>{"valorA":"tão","valorB":6.0}</t>
  </si>
  <si>
    <t>{"valorA":"meu","valorB":7.0}</t>
  </si>
  <si>
    <t>{"valorA":"por","valorB":3.0}</t>
  </si>
  <si>
    <t>{"valorA":"bom","valorB":7.0}</t>
  </si>
  <si>
    <t>{"valorA":"o","valorB":12.0}</t>
  </si>
  <si>
    <t>{"valorA":"um","valorB":9.0}</t>
  </si>
  <si>
    <t>{"valorA":"preço","valorB":19.0}</t>
  </si>
  <si>
    <t>{"valorA":"ótimo","valorB":48.0}</t>
  </si>
  <si>
    <t>{"valorA":"econômico","valorB":3.0}</t>
  </si>
  <si>
    <t>{"valorA":"usar","valorB":8.0}</t>
  </si>
  <si>
    <t>{"valorA":"e","valorB":16.0}</t>
  </si>
  <si>
    <t>{"valorA":"de","valorB":16.0}</t>
  </si>
  <si>
    <t>{"valorA":"produto","valorB":34.0}</t>
  </si>
  <si>
    <t>{"valorA":"fácil","valorB":9.0}</t>
  </si>
  <si>
    <t xml:space="preserve">Ótima cadeira de escritório. Muy confortável, recomendo!
Ótimo telefone celular. Funciona muito bem e tenho tudo o que eu preciso.
                    Com
Óptimo o sistema operacional Windows 10.
Ótimo aparelho. Funciona perfeitamente desde o primeiro momento.
Ótimo serviço prestado pela empresa, muito agradável com o atendimento e o produto é de exc
Ótimo rádio para dormir. Fui surpreso com o resultado.
Ótima lavadora. Fácil de limpar e funciona perfeitamente.
Ótimo blu-ray player. Acho que vale a pena comprar.
Ótimo lavadora esse. É muito rápido para limpar as roupa.
Ótimo lavador de louça. Sempre limpo com poucos problemas.
Ótimo refrigerador e barato. Recomendo bastante.
Óptimo o aparelho para quem tem dificuldades com a audição.
Ótimo tricotador de cabeleireiro. Valeu a pena!
Ótimo lavador de louças. Sempre funciona perfeitamente.
Ótimo ar condicionado, recomendo totalmente!
Ótima lavadora, super limpa.
Ótimo refrigerante. Funciona perfeitamente desde o primeiro momento.
Ótima luvas para lavar pratos. Recomendo!
Ótimo para cozinhar! Fogo controlável e aquecimento rápido.
Ótimo lavabo com muita potência.
Ótimo produto, muito satisfeita com a compra.
Ótima lavadora de roupas. Funciona perfeitamente desde o primeiro dia.
Ótimo produto, muito funcional.
Óptimo sistema de ar condicionado. Recomendo a todos!
Ótima lâmpada para dormir com a tecnologia da sonoluz.
Ótimo cabelo de barba. Fica bem aplicado e não irrita a pele.
                    Comentário
Óptimo e confortável o leito deste hotel. Recomendo.
Ótimo aparelho para quem precisa de uma lavadora leve, compacta e barata.
                    Comentário
Ótimo processador para o meu computador. Muitas coisas possíveis.
Ótimo fone de ouvido para dormir, muito confortável e barato.
Ótimo produto, recomendo a todos comprarem esse modelo.
Ótimo serviço, a empresa foi muito atenciosa comigo quando eu tive problemas com o produto.
Óptimo e funciona muito bem. Eu recomendo este modelo para quem precisa um bom fogão elétrico
Ótimo, meu rádio funciona perfeitamente desde o dia 1.
Ótimo tricotado para a minha cama. Recomendo!
Ótimo lavador de prata. Gostei muito da funcionalidade deles.
Ótimo lavador de pratos. Funciona perfeitamente e limpa muito bem.
Ótimo balanço elétrico para a casa. Achei muito barato o preço.
                    Coment
Ótimo produto, valeu o dinheiro!
Ótima cadeira para escritório. Fica muito confortável e ergonomicamente correta.
Ótimo aparelho eletrônico, realmente vale a pena.
Ótimo caixa de leite. Achei muito bom a qualidade do leite.
Ótimo lavador de pratos. Funciona muito bem e é muito fácil de limpar.
                    Com
Ótimo lavadora, funciona muito bem.
Óptimo, comprei no final da semana e já estou feliz com ele.
Ótimo lavador de prataria. Funciona perfeitamente desde o primeiro dia.
Ótima lavadora. Mantém os roupões novos mesmo com muitas vazadas.
                    Coment
Ótimo lavador de prataria. Fácil de usar e funciona perfeitamente.
                    Comentário
Ótimo refrigerador! Tem muita geladeira e congelador. Recomendo totalmente!!!
Ótimo equipamento, funciona perfeitamente desde que comprei.
</t>
  </si>
  <si>
    <t>cadeira</t>
  </si>
  <si>
    <t>escritório</t>
  </si>
  <si>
    <t>muy</t>
  </si>
  <si>
    <t>celular</t>
  </si>
  <si>
    <t>tenho</t>
  </si>
  <si>
    <t>tudo</t>
  </si>
  <si>
    <t>preciso</t>
  </si>
  <si>
    <t>óptimo</t>
  </si>
  <si>
    <t>operacional</t>
  </si>
  <si>
    <t>windows</t>
  </si>
  <si>
    <t>aparelho</t>
  </si>
  <si>
    <t>desde</t>
  </si>
  <si>
    <t>primeiro</t>
  </si>
  <si>
    <t>momento</t>
  </si>
  <si>
    <t>serviço</t>
  </si>
  <si>
    <t>prestado</t>
  </si>
  <si>
    <t>pela</t>
  </si>
  <si>
    <t>empresa</t>
  </si>
  <si>
    <t>agradável</t>
  </si>
  <si>
    <t>atendimento</t>
  </si>
  <si>
    <t>exc</t>
  </si>
  <si>
    <t>rádio</t>
  </si>
  <si>
    <t>dormir</t>
  </si>
  <si>
    <t>fui</t>
  </si>
  <si>
    <t>surpreso</t>
  </si>
  <si>
    <t>lavadora</t>
  </si>
  <si>
    <t>limpar</t>
  </si>
  <si>
    <t>bluray</t>
  </si>
  <si>
    <t>player</t>
  </si>
  <si>
    <t>acho</t>
  </si>
  <si>
    <t>roupa</t>
  </si>
  <si>
    <t>lavador</t>
  </si>
  <si>
    <t>louça</t>
  </si>
  <si>
    <t>limpo</t>
  </si>
  <si>
    <t>poucos</t>
  </si>
  <si>
    <t>problemas</t>
  </si>
  <si>
    <t>tem</t>
  </si>
  <si>
    <t>dificuldades</t>
  </si>
  <si>
    <t>audição</t>
  </si>
  <si>
    <t>tricotador</t>
  </si>
  <si>
    <t>cabeleireiro</t>
  </si>
  <si>
    <t>louças</t>
  </si>
  <si>
    <t>ar</t>
  </si>
  <si>
    <t>condicionado</t>
  </si>
  <si>
    <t>totalmente</t>
  </si>
  <si>
    <t>luvas</t>
  </si>
  <si>
    <t>lavar</t>
  </si>
  <si>
    <t>pratos</t>
  </si>
  <si>
    <t>cozinhar</t>
  </si>
  <si>
    <t>fogo</t>
  </si>
  <si>
    <t>controlável</t>
  </si>
  <si>
    <t>aquecimento</t>
  </si>
  <si>
    <t>lavabo</t>
  </si>
  <si>
    <t>muita</t>
  </si>
  <si>
    <t>potência</t>
  </si>
  <si>
    <t>satisfeita</t>
  </si>
  <si>
    <t>roupas</t>
  </si>
  <si>
    <t>dia</t>
  </si>
  <si>
    <t>funcional</t>
  </si>
  <si>
    <t>lâmpada</t>
  </si>
  <si>
    <t>tecnologia</t>
  </si>
  <si>
    <t>sonoluz</t>
  </si>
  <si>
    <t>barba</t>
  </si>
  <si>
    <t>fica</t>
  </si>
  <si>
    <t>aplicado</t>
  </si>
  <si>
    <t>irrita</t>
  </si>
  <si>
    <t>leito</t>
  </si>
  <si>
    <t>deste</t>
  </si>
  <si>
    <t>hotel</t>
  </si>
  <si>
    <t>leve</t>
  </si>
  <si>
    <t>compacta</t>
  </si>
  <si>
    <t>barata</t>
  </si>
  <si>
    <t>processador</t>
  </si>
  <si>
    <t>computador</t>
  </si>
  <si>
    <t>muitas</t>
  </si>
  <si>
    <t>coisas</t>
  </si>
  <si>
    <t>possíveis</t>
  </si>
  <si>
    <t>fone</t>
  </si>
  <si>
    <t>ouvido</t>
  </si>
  <si>
    <t>comprarem</t>
  </si>
  <si>
    <t>modelo</t>
  </si>
  <si>
    <t>foi</t>
  </si>
  <si>
    <t>atenciosa</t>
  </si>
  <si>
    <t>comigo</t>
  </si>
  <si>
    <t>quando</t>
  </si>
  <si>
    <t>tive</t>
  </si>
  <si>
    <t>fogão</t>
  </si>
  <si>
    <t>elétrico</t>
  </si>
  <si>
    <t>tricotado</t>
  </si>
  <si>
    <t>cama</t>
  </si>
  <si>
    <t>prata</t>
  </si>
  <si>
    <t>funcionalidade</t>
  </si>
  <si>
    <t>deles</t>
  </si>
  <si>
    <t>balanço</t>
  </si>
  <si>
    <t>achei</t>
  </si>
  <si>
    <t>coment</t>
  </si>
  <si>
    <t>ergonomicamente</t>
  </si>
  <si>
    <t>correta</t>
  </si>
  <si>
    <t>eletrônico</t>
  </si>
  <si>
    <t>leite</t>
  </si>
  <si>
    <t>no</t>
  </si>
  <si>
    <t>semana</t>
  </si>
  <si>
    <t>já</t>
  </si>
  <si>
    <t>estou</t>
  </si>
  <si>
    <t>ele</t>
  </si>
  <si>
    <t>prataria</t>
  </si>
  <si>
    <t>mantém</t>
  </si>
  <si>
    <t>os</t>
  </si>
  <si>
    <t>roupões</t>
  </si>
  <si>
    <t>novos</t>
  </si>
  <si>
    <t>mesmo</t>
  </si>
  <si>
    <t>vazadas</t>
  </si>
  <si>
    <t>geladeira</t>
  </si>
  <si>
    <t>congelador</t>
  </si>
  <si>
    <t>equipamento</t>
  </si>
  <si>
    <t>{"valorA":"tenho","valorB":1.0}</t>
  </si>
  <si>
    <t>{"valorA":"muy","valorB":1.0}</t>
  </si>
  <si>
    <t>{"valorA":"operacional","valorB":1.0}</t>
  </si>
  <si>
    <t>{"valorA":"preciso","valorB":1.0}</t>
  </si>
  <si>
    <t>{"valorA":"celular","valorB":1.0}</t>
  </si>
  <si>
    <t>{"valorA":"escritório","valorB":1.0}</t>
  </si>
  <si>
    <t>{"valorA":"óptimo","valorB":1.0}</t>
  </si>
  <si>
    <t>{"valorA":"10","valorB":1.0}</t>
  </si>
  <si>
    <t>{"valorA":"tudo","valorB":1.0}</t>
  </si>
  <si>
    <t>{"valorA":"cadeira","valorB":1.0}</t>
  </si>
  <si>
    <t>{"valorA":"windows","valorB":1.0}</t>
  </si>
  <si>
    <t>{"valorA":"serviço","valorB":1.0}</t>
  </si>
  <si>
    <t>{"valorA":"prestado","valorB":1.0}</t>
  </si>
  <si>
    <t>{"valorA":"agradável","valorB":1.0}</t>
  </si>
  <si>
    <t>{"valorA":"exc","valorB":1.0}</t>
  </si>
  <si>
    <t>{"valorA":"primeiro","valorB":1.0}</t>
  </si>
  <si>
    <t>{"valorA":"desde","valorB":1.0}</t>
  </si>
  <si>
    <t>{"valorA":"aparelho","valorB":1.0}</t>
  </si>
  <si>
    <t>{"valorA":"momento","valorB":1.0}</t>
  </si>
  <si>
    <t>{"valorA":"empresa","valorB":1.0}</t>
  </si>
  <si>
    <t>{"valorA":"produto","valorB":1.0}</t>
  </si>
  <si>
    <t>{"valorA":"atendimento","valorB":1.0}</t>
  </si>
  <si>
    <t>{"valorA":"pela","valorB":1.0}</t>
  </si>
  <si>
    <t>{"valorA":"dormir","valorB":1.0}</t>
  </si>
  <si>
    <t>{"valorA":"rádio","valorB":1.0}</t>
  </si>
  <si>
    <t>{"valorA":"fui","valorB":1.0}</t>
  </si>
  <si>
    <t>{"valorA":"limpar","valorB":1.0}</t>
  </si>
  <si>
    <t>{"valorA":"lavadora","valorB":1.0}</t>
  </si>
  <si>
    <t>{"valorA":"surpreso","valorB":1.0}</t>
  </si>
  <si>
    <t>{"valorA":"bluray","valorB":1.0}</t>
  </si>
  <si>
    <t>{"valorA":"roupa","valorB":1.0}</t>
  </si>
  <si>
    <t>{"valorA":"limpar","valorB":2.0}</t>
  </si>
  <si>
    <t>{"valorA":"player","valorB":1.0}</t>
  </si>
  <si>
    <t>{"valorA":"lavadora","valorB":2.0}</t>
  </si>
  <si>
    <t>{"valorA":"acho","valorB":1.0}</t>
  </si>
  <si>
    <t>{"valorA":"louça","valorB":1.0}</t>
  </si>
  <si>
    <t>{"valorA":"limpo","valorB":1.0}</t>
  </si>
  <si>
    <t>{"valorA":"lavador","valorB":1.0}</t>
  </si>
  <si>
    <t>{"valorA":"poucos","valorB":1.0}</t>
  </si>
  <si>
    <t>{"valorA":"problemas","valorB":1.0}</t>
  </si>
  <si>
    <t>{"valorA":"cabeleireiro","valorB":1.0}</t>
  </si>
  <si>
    <t>{"valorA":"com","valorB":5.0}</t>
  </si>
  <si>
    <t>{"valorA":"audição","valorB":1.0}</t>
  </si>
  <si>
    <t>{"valorA":"tricotador","valorB":1.0}</t>
  </si>
  <si>
    <t>{"valorA":"aparelho","valorB":2.0}</t>
  </si>
  <si>
    <t>{"valorA":"óptimo","valorB":2.0}</t>
  </si>
  <si>
    <t>{"valorA":"tem","valorB":1.0}</t>
  </si>
  <si>
    <t>{"valorA":"dificuldades","valorB":1.0}</t>
  </si>
  <si>
    <t>{"valorA":"totalmente","valorB":1.0}</t>
  </si>
  <si>
    <t>{"valorA":"condicionado","valorB":1.0}</t>
  </si>
  <si>
    <t>{"valorA":"ótima","valorB":3.0}</t>
  </si>
  <si>
    <t>{"valorA":"louças","valorB":1.0}</t>
  </si>
  <si>
    <t>{"valorA":"lavador","valorB":2.0}</t>
  </si>
  <si>
    <t>{"valorA":"ar","valorB":1.0}</t>
  </si>
  <si>
    <t>{"valorA":"lavadora","valorB":3.0}</t>
  </si>
  <si>
    <t>{"valorA":"sempre","valorB":2.0}</t>
  </si>
  <si>
    <t>{"valorA":"ótima","valorB":4.0}</t>
  </si>
  <si>
    <t>{"valorA":"primeiro","valorB":2.0}</t>
  </si>
  <si>
    <t>{"valorA":"pratos","valorB":1.0}</t>
  </si>
  <si>
    <t>{"valorA":"luvas","valorB":1.0}</t>
  </si>
  <si>
    <t>{"valorA":"desde","valorB":2.0}</t>
  </si>
  <si>
    <t>{"valorA":"momento","valorB":2.0}</t>
  </si>
  <si>
    <t>{"valorA":"lavar","valorB":1.0}</t>
  </si>
  <si>
    <t>{"valorA":"muita","valorB":1.0}</t>
  </si>
  <si>
    <t>{"valorA":"com","valorB":6.0}</t>
  </si>
  <si>
    <t>{"valorA":"cozinhar","valorB":1.0}</t>
  </si>
  <si>
    <t>{"valorA":"lavabo","valorB":1.0}</t>
  </si>
  <si>
    <t>{"valorA":"fogo","valorB":1.0}</t>
  </si>
  <si>
    <t>{"valorA":"rápido","valorB":2.0}</t>
  </si>
  <si>
    <t>{"valorA":"aquecimento","valorB":1.0}</t>
  </si>
  <si>
    <t>{"valorA":"potência","valorB":1.0}</t>
  </si>
  <si>
    <t>{"valorA":"controlável","valorB":1.0}</t>
  </si>
  <si>
    <t>{"valorA":"satisfeita","valorB":1.0}</t>
  </si>
  <si>
    <t>{"valorA":"com","valorB":7.0}</t>
  </si>
  <si>
    <t>{"valorA":"dia","valorB":1.0}</t>
  </si>
  <si>
    <t>{"valorA":"ótima","valorB":5.0}</t>
  </si>
  <si>
    <t>{"valorA":"primeiro","valorB":3.0}</t>
  </si>
  <si>
    <t>{"valorA":"roupas","valorB":1.0}</t>
  </si>
  <si>
    <t>{"valorA":"desde","valorB":3.0}</t>
  </si>
  <si>
    <t>{"valorA":"lavadora","valorB":4.0}</t>
  </si>
  <si>
    <t>{"valorA":"sonoluz","valorB":1.0}</t>
  </si>
  <si>
    <t>{"valorA":"com","valorB":8.0}</t>
  </si>
  <si>
    <t>{"valorA":"lâmpada","valorB":1.0}</t>
  </si>
  <si>
    <t>{"valorA":"tecnologia","valorB":1.0}</t>
  </si>
  <si>
    <t>{"valorA":"condicionado","valorB":2.0}</t>
  </si>
  <si>
    <t>{"valorA":"dormir","valorB":2.0}</t>
  </si>
  <si>
    <t>{"valorA":"ótima","valorB":6.0}</t>
  </si>
  <si>
    <t>{"valorA":"ar","valorB":2.0}</t>
  </si>
  <si>
    <t>{"valorA":"funcional","valorB":1.0}</t>
  </si>
  <si>
    <t>{"valorA":"óptimo","valorB":3.0}</t>
  </si>
  <si>
    <t>{"valorA":"sistema","valorB":2.0}</t>
  </si>
  <si>
    <t>{"valorA":"hotel","valorB":1.0}</t>
  </si>
  <si>
    <t>{"valorA":"aplicado","valorB":1.0}</t>
  </si>
  <si>
    <t>{"valorA":"irrita","valorB":1.0}</t>
  </si>
  <si>
    <t>{"valorA":"fica","valorB":1.0}</t>
  </si>
  <si>
    <t>{"valorA":"óptimo","valorB":4.0}</t>
  </si>
  <si>
    <t>{"valorA":"barba","valorB":1.0}</t>
  </si>
  <si>
    <t>{"valorA":"leito","valorB":1.0}</t>
  </si>
  <si>
    <t>{"valorA":"deste","valorB":1.0}</t>
  </si>
  <si>
    <t>{"valorA":"confortável","valorB":2.0}</t>
  </si>
  <si>
    <t>{"valorA":"computador","valorB":1.0}</t>
  </si>
  <si>
    <t>{"valorA":"coisas","valorB":1.0}</t>
  </si>
  <si>
    <t>{"valorA":"processador","valorB":1.0}</t>
  </si>
  <si>
    <t>{"valorA":"aparelho","valorB":3.0}</t>
  </si>
  <si>
    <t>{"valorA":"lavadora","valorB":5.0}</t>
  </si>
  <si>
    <t>{"valorA":"leve","valorB":1.0}</t>
  </si>
  <si>
    <t>{"valorA":"compacta","valorB":1.0}</t>
  </si>
  <si>
    <t>{"valorA":"barata","valorB":1.0}</t>
  </si>
  <si>
    <t>{"valorA":"possíveis","valorB":1.0}</t>
  </si>
  <si>
    <t>{"valorA":"muitas","valorB":1.0}</t>
  </si>
  <si>
    <t>{"valorA":"modelo","valorB":1.0}</t>
  </si>
  <si>
    <t>{"valorA":"dormir","valorB":3.0}</t>
  </si>
  <si>
    <t>{"valorA":"ouvido","valorB":1.0}</t>
  </si>
  <si>
    <t>{"valorA":"fone","valorB":1.0}</t>
  </si>
  <si>
    <t>{"valorA":"confortável","valorB":3.0}</t>
  </si>
  <si>
    <t>{"valorA":"comprarem","valorB":1.0}</t>
  </si>
  <si>
    <t>{"valorA":"recomendo","valorB":8.0}</t>
  </si>
  <si>
    <t>{"valorA":"precisa","valorB":2.0}</t>
  </si>
  <si>
    <t>{"valorA":"serviço","valorB":2.0}</t>
  </si>
  <si>
    <t>{"valorA":"com","valorB":9.0}</t>
  </si>
  <si>
    <t>{"valorA":"tive","valorB":1.0}</t>
  </si>
  <si>
    <t>{"valorA":"modelo","valorB":2.0}</t>
  </si>
  <si>
    <t>{"valorA":"quando","valorB":1.0}</t>
  </si>
  <si>
    <t>{"valorA":"fogão","valorB":1.0}</t>
  </si>
  <si>
    <t>{"valorA":"foi","valorB":1.0}</t>
  </si>
  <si>
    <t>{"valorA":"eu","valorB":3.0}</t>
  </si>
  <si>
    <t>{"valorA":"elétrico","valorB":1.0}</t>
  </si>
  <si>
    <t>{"valorA":"óptimo","valorB":5.0}</t>
  </si>
  <si>
    <t>{"valorA":"empresa","valorB":2.0}</t>
  </si>
  <si>
    <t>{"valorA":"comigo","valorB":1.0}</t>
  </si>
  <si>
    <t>{"valorA":"atenciosa","valorB":1.0}</t>
  </si>
  <si>
    <t>{"valorA":"problemas","valorB":2.0}</t>
  </si>
  <si>
    <t>{"valorA":"recomendo","valorB":9.0}</t>
  </si>
  <si>
    <t>{"valorA":"tricotado","valorB":1.0}</t>
  </si>
  <si>
    <t>{"valorA":"dia","valorB":2.0}</t>
  </si>
  <si>
    <t>{"valorA":"cama","valorB":1.0}</t>
  </si>
  <si>
    <t>{"valorA":"rádio","valorB":2.0}</t>
  </si>
  <si>
    <t>{"valorA":"o","valorB":13.0}</t>
  </si>
  <si>
    <t>{"valorA":"desde","valorB":4.0}</t>
  </si>
  <si>
    <t>{"valorA":"1","valorB":1.0}</t>
  </si>
  <si>
    <t>{"valorA":"deles","valorB":1.0}</t>
  </si>
  <si>
    <t>{"valorA":"pratos","valorB":2.0}</t>
  </si>
  <si>
    <t>{"valorA":"lavador","valorB":4.0}</t>
  </si>
  <si>
    <t>{"valorA":"limpa","valorB":2.0}</t>
  </si>
  <si>
    <t>{"valorA":"funcionalidade","valorB":1.0}</t>
  </si>
  <si>
    <t>{"valorA":"prata","valorB":1.0}</t>
  </si>
  <si>
    <t>{"valorA":"coment","valorB":1.0}</t>
  </si>
  <si>
    <t>{"valorA":"ótima","valorB":7.0}</t>
  </si>
  <si>
    <t>{"valorA":"escritório","valorB":2.0}</t>
  </si>
  <si>
    <t>{"valorA":"o","valorB":15.0}</t>
  </si>
  <si>
    <t>{"valorA":"fica","valorB":2.0}</t>
  </si>
  <si>
    <t>{"valorA":"elétrico","valorB":2.0}</t>
  </si>
  <si>
    <t>{"valorA":"ergonomicamente","valorB":1.0}</t>
  </si>
  <si>
    <t>{"valorA":"balanço","valorB":1.0}</t>
  </si>
  <si>
    <t>{"valorA":"correta","valorB":1.0}</t>
  </si>
  <si>
    <t>{"valorA":"confortável","valorB":4.0}</t>
  </si>
  <si>
    <t>{"valorA":"achei","valorB":1.0}</t>
  </si>
  <si>
    <t>{"valorA":"cadeira","valorB":2.0}</t>
  </si>
  <si>
    <t>{"valorA":"leite","valorB":2.0}</t>
  </si>
  <si>
    <t>{"valorA":"pena","valorB":3.0}</t>
  </si>
  <si>
    <t>{"valorA":"aparelho","valorB":4.0}</t>
  </si>
  <si>
    <t>{"valorA":"eletrônico","valorB":1.0}</t>
  </si>
  <si>
    <t>{"valorA":"achei","valorB":2.0}</t>
  </si>
  <si>
    <t>{"valorA":"com","valorB":10.0}</t>
  </si>
  <si>
    <t>{"valorA":"pratos","valorB":3.0}</t>
  </si>
  <si>
    <t>{"valorA":"limpar","valorB":3.0}</t>
  </si>
  <si>
    <t>{"valorA":"lavador","valorB":5.0}</t>
  </si>
  <si>
    <t>{"valorA":"lavadora","valorB":6.0}</t>
  </si>
  <si>
    <t>{"valorA":"ele","valorB":1.0}</t>
  </si>
  <si>
    <t>{"valorA":"com","valorB":11.0}</t>
  </si>
  <si>
    <t>{"valorA":"dia","valorB":3.0}</t>
  </si>
  <si>
    <t>{"valorA":"primeiro","valorB":4.0}</t>
  </si>
  <si>
    <t>{"valorA":"o","valorB":16.0}</t>
  </si>
  <si>
    <t>{"valorA":"de","valorB":17.0}</t>
  </si>
  <si>
    <t>{"valorA":"lavador","valorB":6.0}</t>
  </si>
  <si>
    <t>{"valorA":"estou","valorB":1.0}</t>
  </si>
  <si>
    <t>{"valorA":"desde","valorB":5.0}</t>
  </si>
  <si>
    <t>{"valorA":"óptimo","valorB":6.0}</t>
  </si>
  <si>
    <t>{"valorA":"já","valorB":1.0}</t>
  </si>
  <si>
    <t>{"valorA":"no","valorB":1.0}</t>
  </si>
  <si>
    <t>{"valorA":"perfeitamente","valorB":8.0}</t>
  </si>
  <si>
    <t>{"valorA":"prataria","valorB":1.0}</t>
  </si>
  <si>
    <t>{"valorA":"semana","valorB":1.0}</t>
  </si>
  <si>
    <t>{"valorA":"comentário","valorB":3.0}</t>
  </si>
  <si>
    <t>{"valorA":"coment","valorB":2.0}</t>
  </si>
  <si>
    <t>{"valorA":"com","valorB":12.0}</t>
  </si>
  <si>
    <t>{"valorA":"novos","valorB":1.0}</t>
  </si>
  <si>
    <t>{"valorA":"ótima","valorB":8.0}</t>
  </si>
  <si>
    <t>{"valorA":"de","valorB":19.0}</t>
  </si>
  <si>
    <t>{"valorA":"lavador","valorB":7.0}</t>
  </si>
  <si>
    <t>{"valorA":"lavadora","valorB":7.0}</t>
  </si>
  <si>
    <t>{"valorA":"os","valorB":1.0}</t>
  </si>
  <si>
    <t>{"valorA":"perfeitamente","valorB":9.0}</t>
  </si>
  <si>
    <t>{"valorA":"prataria","valorB":2.0}</t>
  </si>
  <si>
    <t>{"valorA":"roupões","valorB":1.0}</t>
  </si>
  <si>
    <t>{"valorA":"mesmo","valorB":1.0}</t>
  </si>
  <si>
    <t>{"valorA":"vazadas","valorB":1.0}</t>
  </si>
  <si>
    <t>{"valorA":"mantém","valorB":1.0}</t>
  </si>
  <si>
    <t>{"valorA":"muitas","valorB":2.0}</t>
  </si>
  <si>
    <t>{"valorA":"funciona","valorB":13.0}</t>
  </si>
  <si>
    <t>{"valorA":"recomendo","valorB":10.0}</t>
  </si>
  <si>
    <t>{"valorA":"muita","valorB":2.0}</t>
  </si>
  <si>
    <t>{"valorA":"totalmente","valorB":2.0}</t>
  </si>
  <si>
    <t>{"valorA":"refrigerador","valorB":2.0}</t>
  </si>
  <si>
    <t>{"valorA":"equipamento","valorB":1.0}</t>
  </si>
  <si>
    <t>{"valorA":"desde","valorB":6.0}</t>
  </si>
  <si>
    <t>{"valorA":"congelador","valorB":1.0}</t>
  </si>
  <si>
    <t>{"valorA":"tem","valorB":2.0}</t>
  </si>
  <si>
    <t>{"valorA":"perfeitamente","valorB":10.0}</t>
  </si>
  <si>
    <t>{"valorA":"geladeira","valorB":1.0}</t>
  </si>
  <si>
    <t>{"valorA":"funciona","valorB":14.0}</t>
  </si>
  <si>
    <t>{"valorA":"freezer","valorB":162.0}</t>
  </si>
  <si>
    <t>{"valorA":"ar condicionado","valorB":173.0}</t>
  </si>
  <si>
    <t>{"valorA":"microondas","valorB":165.0}</t>
  </si>
  <si>
    <t>Ar Condicionado': 25</t>
  </si>
  <si>
    <t>Aspirador': 33</t>
  </si>
  <si>
    <t>Carregador de Celular': 28</t>
  </si>
  <si>
    <t>Carregador de Computador': 25</t>
  </si>
  <si>
    <t>Chuveiro Elétrico': 28</t>
  </si>
  <si>
    <t>Computador': 26</t>
  </si>
  <si>
    <t>Filtro de Linha': 22</t>
  </si>
  <si>
    <t>Fogão': 27</t>
  </si>
  <si>
    <t>Fone de Ouvido': 22</t>
  </si>
  <si>
    <t>Freezer': 23</t>
  </si>
  <si>
    <t>Liquidificador': 29</t>
  </si>
  <si>
    <t>Lustre': 22</t>
  </si>
  <si>
    <t>Microondas': 25</t>
  </si>
  <si>
    <t>Mouse de Computador': 27</t>
  </si>
  <si>
    <t>Purificador de Água': 25</t>
  </si>
  <si>
    <t>Relógio': 25</t>
  </si>
  <si>
    <t>Roteador': 27</t>
  </si>
  <si>
    <t>Teclado de Computador': 18</t>
  </si>
  <si>
    <t>Ventilador': 22</t>
  </si>
  <si>
    <t xml:space="preserve">ótimo comprimento de braço para meu relogio. Facil de usar e confortável.
ótimo produto, é o meu novo favorito!
ótimo produto esse frigorífico. funciona muito bem.
ótimo relojoeira que comprei ontem. Funciona perfeitamente e é muito acessível.
ótimo relojoeiro. Gosto muito desse produto.
 Meu novo carro é incrível. Gosto muito.
ótimo relojoeiro. Funciona perfeitamente.
ótimo produto! realmente é confortável e fácil de usar.
ótimo produto esse sampler de cosméticos. Adorei!
ótimo produto! vale a pena o preço que paguei.
 Meu novo carro é incrível. Gostei muito do design e da performance.
ótimo produto essa creme hidratante. Me ajuda muito a manter minha pele humida.
                    Com
ótimo produto, é realmente incrível.
ótimo produto! Funciona perfeitamente e é fácil de usar.
ótimo produto essa faca de aluguel. Gostei muito.
ótimo produto! Realmente é incrível para a qualidade.
ótimo produto! recomendo muito!
ótimo relojoeira. Paguei bem pouco por isso.
 Meu novo carro é incrível. Funciona perfeitamente.
ótimo carro. Gostei muito do preço.
ótimo produto, muito satisfecho!
ótimo produto esse refrigerante. Funciona bem e é confiável.
ótimo produto! Realmente ajudou a melhorar minha vida cotidiana.
ótimo produto desse setor. Funciona perfeitamente.
ótimo desse parasol. Gostei muito. Perfecto para as praias.
ótimo produto dessa loja online. Recomendo!
ótimo relojoeira, funciona perfeitamente.
ótimo produto dessa loja on line. Recomendo.
 Meu novo telemóvel é incrível. Funciona perfeitamente e é fácil de usar.
ótimo produto, é realmente incrível.
Ótimo produto essa faca. Facil de limpar e manter.
ótimo e confortável este sofá que comprei. Vale a pena o preço que paguei.
ótimo comprimento de cabelo, é muito fácil usar e me faz parecer uma celebridade!
ótimo produto, recomendo!
ótimo produto essa creme hidratante.
ótimo esse fone de ouvido Bluetooth. Gostei muito.
ótimo produto essa creme corporal. Facil de aplicar e dura bem.
ótimo produto esse sampler de cosméticos. Recomendo.
 Meu novo carro é incrível! Gostei muito do design e da performance.
ótimo produto esse frigorifico. Funciona perfeitamente.
 Meu novo carro é incrível. Gostei muito da performance e confiabilidade.
ótimo produto, muito bem feito, vale a pena comprar!
ótimo desse relojoeira. Adorei.
ótimo produto! Realmente ajudou a melhorar minha vida diária.
ótimo produto dessa marca de câmera. Fica encantado com o resultado.
ótimo produto! Gostei muito, é confiável e funciona bem.
ótimo produto, é realmente incrível! Funciona perfeitamente e é fácil de usar.
ótimo produto, é incrível como funciona.
 Meu novo relogio é incrível. Gostei muito do design.
ótimo relojoeira. é incrível como ela funciona.
</t>
  </si>
  <si>
    <t>braço</t>
  </si>
  <si>
    <t>favorito</t>
  </si>
  <si>
    <t>frigorífico</t>
  </si>
  <si>
    <t>acessível</t>
  </si>
  <si>
    <t>sampler</t>
  </si>
  <si>
    <t>cosméticos</t>
  </si>
  <si>
    <t>performance</t>
  </si>
  <si>
    <t>ajuda</t>
  </si>
  <si>
    <t>manter</t>
  </si>
  <si>
    <t>humida</t>
  </si>
  <si>
    <t>faca</t>
  </si>
  <si>
    <t>aluguel</t>
  </si>
  <si>
    <t>pouco</t>
  </si>
  <si>
    <t>isso</t>
  </si>
  <si>
    <t>satisfecho</t>
  </si>
  <si>
    <t>confiável</t>
  </si>
  <si>
    <t>melhorar</t>
  </si>
  <si>
    <t>cotidiana</t>
  </si>
  <si>
    <t>setor</t>
  </si>
  <si>
    <t>parasol</t>
  </si>
  <si>
    <t>perfecto</t>
  </si>
  <si>
    <t>praias</t>
  </si>
  <si>
    <t>sofá</t>
  </si>
  <si>
    <t>faz</t>
  </si>
  <si>
    <t>parecer</t>
  </si>
  <si>
    <t>celebridade</t>
  </si>
  <si>
    <t>bluetooth</t>
  </si>
  <si>
    <t>corporal</t>
  </si>
  <si>
    <t>dura</t>
  </si>
  <si>
    <t>diária</t>
  </si>
  <si>
    <t>encantado</t>
  </si>
  <si>
    <t>ela</t>
  </si>
  <si>
    <t>{"valorA":"favorito","valorB":1.0}</t>
  </si>
  <si>
    <t>{"valorA":"braço","valorB":1.0}</t>
  </si>
  <si>
    <t>{"valorA":"frigorífico","valorB":1.0}</t>
  </si>
  <si>
    <t>{"valorA":"acessível","valorB":1.0}</t>
  </si>
  <si>
    <t>{"valorA":"relojoeiro","valorB":2.0}</t>
  </si>
  <si>
    <t>{"valorA":"sampler","valorB":1.0}</t>
  </si>
  <si>
    <t>{"valorA":"cosméticos","valorB":1.0}</t>
  </si>
  <si>
    <t>{"valorA":"performance","valorB":1.0}</t>
  </si>
  <si>
    <t>{"valorA":"é","valorB":7.0}</t>
  </si>
  <si>
    <t>{"valorA":"ajuda","valorB":1.0}</t>
  </si>
  <si>
    <t>{"valorA":"humida","valorB":1.0}</t>
  </si>
  <si>
    <t>{"valorA":"realmente","valorB":2.0}</t>
  </si>
  <si>
    <t>{"valorA":"manter","valorB":1.0}</t>
  </si>
  <si>
    <t>{"valorA":"aluguel","valorB":1.0}</t>
  </si>
  <si>
    <t>{"valorA":"faca","valorB":1.0}</t>
  </si>
  <si>
    <t>{"valorA":"pouco","valorB":1.0}</t>
  </si>
  <si>
    <t>{"valorA":"isso","valorB":1.0}</t>
  </si>
  <si>
    <t>{"valorA":"incrível","valorB":5.0}</t>
  </si>
  <si>
    <t>{"valorA":"satisfecho","valorB":1.0}</t>
  </si>
  <si>
    <t>{"valorA":"carro","valorB":4.0}</t>
  </si>
  <si>
    <t>{"valorA":"novo","valorB":4.0}</t>
  </si>
  <si>
    <t>{"valorA":"preço","valorB":2.0}</t>
  </si>
  <si>
    <t>{"valorA":"confiável","valorB":1.0}</t>
  </si>
  <si>
    <t>{"valorA":"melhorar","valorB":1.0}</t>
  </si>
  <si>
    <t>{"valorA":"cotidiana","valorB":1.0}</t>
  </si>
  <si>
    <t>{"valorA":"minha","valorB":2.0}</t>
  </si>
  <si>
    <t>{"valorA":"praias","valorB":1.0}</t>
  </si>
  <si>
    <t>{"valorA":"perfecto","valorB":1.0}</t>
  </si>
  <si>
    <t>{"valorA":"setor","valorB":1.0}</t>
  </si>
  <si>
    <t>{"valorA":"parasol","valorB":1.0}</t>
  </si>
  <si>
    <t>{"valorA":"desse","valorB":3.0}</t>
  </si>
  <si>
    <t>{"valorA":"incrível","valorB":6.0}</t>
  </si>
  <si>
    <t>{"valorA":"novo","valorB":5.0}</t>
  </si>
  <si>
    <t>{"valorA":"facil","valorB":2.0}</t>
  </si>
  <si>
    <t>{"valorA":"incrível","valorB":7.0}</t>
  </si>
  <si>
    <t>{"valorA":"essa","valorB":3.0}</t>
  </si>
  <si>
    <t>{"valorA":"realmente","valorB":5.0}</t>
  </si>
  <si>
    <t>{"valorA":"faca","valorB":2.0}</t>
  </si>
  <si>
    <t>{"valorA":"manter","valorB":2.0}</t>
  </si>
  <si>
    <t>{"valorA":"parecer","valorB":1.0}</t>
  </si>
  <si>
    <t>{"valorA":"faz","valorB":1.0}</t>
  </si>
  <si>
    <t>{"valorA":"sofá","valorB":1.0}</t>
  </si>
  <si>
    <t>{"valorA":"celebridade","valorB":1.0}</t>
  </si>
  <si>
    <t>{"valorA":"comprimento","valorB":2.0}</t>
  </si>
  <si>
    <t>{"valorA":"essa","valorB":4.0}</t>
  </si>
  <si>
    <t>{"valorA":"hidratante","valorB":2.0}</t>
  </si>
  <si>
    <t>{"valorA":"corporal","valorB":1.0}</t>
  </si>
  <si>
    <t>{"valorA":"facil","valorB":3.0}</t>
  </si>
  <si>
    <t>{"valorA":"dura","valorB":1.0}</t>
  </si>
  <si>
    <t>{"valorA":"bluetooth","valorB":1.0}</t>
  </si>
  <si>
    <t>{"valorA":"essa","valorB":5.0}</t>
  </si>
  <si>
    <t>{"valorA":"sampler","valorB":2.0}</t>
  </si>
  <si>
    <t>{"valorA":"cosméticos","valorB":2.0}</t>
  </si>
  <si>
    <t>{"valorA":"é","valorB":15.0}</t>
  </si>
  <si>
    <t>{"valorA":"incrível","valorB":8.0}</t>
  </si>
  <si>
    <t>{"valorA":"carro","valorB":5.0}</t>
  </si>
  <si>
    <t>{"valorA":"performance","valorB":2.0}</t>
  </si>
  <si>
    <t>{"valorA":"novo","valorB":6.0}</t>
  </si>
  <si>
    <t>{"valorA":"é","valorB":16.0}</t>
  </si>
  <si>
    <t>{"valorA":"meu","valorB":8.0}</t>
  </si>
  <si>
    <t>{"valorA":"incrível","valorB":9.0}</t>
  </si>
  <si>
    <t>{"valorA":"feito","valorB":1.0}</t>
  </si>
  <si>
    <t>{"valorA":"vale","valorB":3.0}</t>
  </si>
  <si>
    <t>{"valorA":"carro","valorB":6.0}</t>
  </si>
  <si>
    <t>{"valorA":"performance","valorB":3.0}</t>
  </si>
  <si>
    <t>{"valorA":"novo","valorB":7.0}</t>
  </si>
  <si>
    <t>{"valorA":"relojoeira","valorB":4.0}</t>
  </si>
  <si>
    <t>{"valorA":"desse","valorB":4.0}</t>
  </si>
  <si>
    <t>{"valorA":"melhorar","valorB":2.0}</t>
  </si>
  <si>
    <t>{"valorA":"ajudou","valorB":2.0}</t>
  </si>
  <si>
    <t>{"valorA":"realmente","valorB":6.0}</t>
  </si>
  <si>
    <t>{"valorA":"diária","valorB":1.0}</t>
  </si>
  <si>
    <t>{"valorA":"minha","valorB":3.0}</t>
  </si>
  <si>
    <t>{"valorA":"é","valorB":17.0}</t>
  </si>
  <si>
    <t>{"valorA":"confiável","valorB":2.0}</t>
  </si>
  <si>
    <t>{"valorA":"encantado","valorB":1.0}</t>
  </si>
  <si>
    <t>{"valorA":"muito","valorB":17.0}</t>
  </si>
  <si>
    <t>{"valorA":"é","valorB":20.0}</t>
  </si>
  <si>
    <t>{"valorA":"incrível","valorB":11.0}</t>
  </si>
  <si>
    <t>{"valorA":"realmente","valorB":7.0}</t>
  </si>
  <si>
    <t>{"valorA":"é","valorB":22.0}</t>
  </si>
  <si>
    <t>{"valorA":"relogio","valorB":2.0}</t>
  </si>
  <si>
    <t>{"valorA":"meu","valorB":9.0}</t>
  </si>
  <si>
    <t>{"valorA":"incrível","valorB":13.0}</t>
  </si>
  <si>
    <t>{"valorA":"ela","valorB":1.0}</t>
  </si>
  <si>
    <t>{"valorA":"gostei","valorB":9.0}</t>
  </si>
  <si>
    <t>{"valorA":"muito","valorB":18.0}</t>
  </si>
  <si>
    <t>{"valorA":"novo","valorB":8.0}</t>
  </si>
  <si>
    <t>{"valorA":"relojoeira","valorB":5.0}</t>
  </si>
  <si>
    <t>{"valorA":"design","valorB":3.0}</t>
  </si>
  <si>
    <t xml:space="preserve">ótimo TV, excelente qualidade de imagem e som.
ótimo produto para quem quer uma impressora de qualidade. Gosto muito dessa marca.
ótimo produto. Funciona bem e é fácil de usar.
ótimo tv led, imagem incrível, som muito bom. Gostei muito!
ótimo monitor, valeu a espera.
ótimo tv que comprei, muito bom para assistir filmes.
ótimo câmera. Faz fotos incríveis!
ótimo produto, mas o preço é muito alto.
ótimo produto, valer o dinheiro. Compri multiple vezes.
                    Por favor, coloque
ótimo produto, fácil de usar e econômico. Recomendo.
ótimo produto, recomendo. Funciona perfeitamente.
ótimo produto, valeu a espera.
ótimo produto, fácil de usar e de manter limpo. Gostei muito.
ótima qualidade esse televisor. Gosto muito do brilho e da clareza.
ótimo meu aspirador de pó. Funciona bem e é fácil de usar.
ótimo produto para quem busca qualidade e confiabilidade. Recomendo.
ótimo produto, mas a qualidade não é boa.
ótimo produto para quem precisa de um refrigerante portátil. Funciona perfeitamente.
ótimo tablet, fácil de usar e com muitas funcionalidades. Adorei!
ótimo produto, comprei para minha mãe e ela adora!
ótimo tv led, bem valorizado!
ótimo televisor. Precisamente o que precisava.
ótimo produto, mas não valeu a quantia que paguei por ele.
ótimo laptop, não tive problemas com ele, funciona perfeitamente.
ótimo carro. Gozo muito em dirigir.
ótimo meu scanner. Funciona muito bem. Gosto muito.
ótimo produto para quem busca um computador portátil leve e fácil de usar.
ótimo produto, valeu a espera. Gostei do preço também.
ótimo produto, comprei outro para o meu filho.
ótima câmera, fácil de usar e produz alta qualidade de imagem.
ótimo o meu frigorífico, fácil de usá-lo e economiza muito tempo na hora de fazer re
ótimo produto, recomendo para todos!
Dica: Para os comentários negativos, tente ser objet
ótimo produto, não preciso mudá-lo nunca mais. Gostei muito.
ótimo preço e qualidade desse geladeira. Recomendo.
ótimo produto para quem procura uma máquina de lazer barata.
ótimo produto, valeu a espera e o dinheiro que despendei.
ótimo produto, valera a pena comprá-lo!
ótimo preço pelo que eu paguei. Meu tablet é bem legais.
ótimo preço para um produto tão bom. Fico muito satisfeito.
ótimo produto, gosto muito do design e da qualidade.
ótimo preço para um produto tão bom. Amooooo!
ótimo produto para quem busca um computador portátil. Funciona muito bem.
ótimo produto, mas não valia a penalidade que paguei.
ótimo produto, valeu a espera. Me agrada muito.
ótimo tablet. Excelente custo-benefício.
ótimo produto para quem tem dores no pescoço. Gostei muito.
ótimo carro, gosto muito. Nunca tive problemas com ele.
ótimo tablet. Gastei horas assistindo filmes e jogando games sem problemas.
ótimo produto, mas a qualidade não é tão boa como esperava.
ótimo televisor. Gostando muito.
</t>
  </si>
  <si>
    <t>imagem</t>
  </si>
  <si>
    <t>quer</t>
  </si>
  <si>
    <t>impressora</t>
  </si>
  <si>
    <t>assistir</t>
  </si>
  <si>
    <t>filmes</t>
  </si>
  <si>
    <t>alto</t>
  </si>
  <si>
    <t>valer</t>
  </si>
  <si>
    <t>compri</t>
  </si>
  <si>
    <t>multiple</t>
  </si>
  <si>
    <t>vezes</t>
  </si>
  <si>
    <t>favor</t>
  </si>
  <si>
    <t>coloque</t>
  </si>
  <si>
    <t>brilho</t>
  </si>
  <si>
    <t>clareza</t>
  </si>
  <si>
    <t>aspirador</t>
  </si>
  <si>
    <t>pó</t>
  </si>
  <si>
    <t>boa</t>
  </si>
  <si>
    <t>mãe</t>
  </si>
  <si>
    <t>adora</t>
  </si>
  <si>
    <t>precisamente</t>
  </si>
  <si>
    <t>precisava</t>
  </si>
  <si>
    <t>laptop</t>
  </si>
  <si>
    <t>gozo</t>
  </si>
  <si>
    <t>dirigir</t>
  </si>
  <si>
    <t>também</t>
  </si>
  <si>
    <t>filho</t>
  </si>
  <si>
    <t>usálo</t>
  </si>
  <si>
    <t>economiza</t>
  </si>
  <si>
    <t>tempo</t>
  </si>
  <si>
    <t>na</t>
  </si>
  <si>
    <t>hora</t>
  </si>
  <si>
    <t>fazer</t>
  </si>
  <si>
    <t>re</t>
  </si>
  <si>
    <t>dica</t>
  </si>
  <si>
    <t>negativos</t>
  </si>
  <si>
    <t>tente</t>
  </si>
  <si>
    <t>ser</t>
  </si>
  <si>
    <t>objet</t>
  </si>
  <si>
    <t>mudálo</t>
  </si>
  <si>
    <t>nunca</t>
  </si>
  <si>
    <t>máquina</t>
  </si>
  <si>
    <t>lazer</t>
  </si>
  <si>
    <t>despendei</t>
  </si>
  <si>
    <t>valera</t>
  </si>
  <si>
    <t>comprálo</t>
  </si>
  <si>
    <t>legais</t>
  </si>
  <si>
    <t>amooooo</t>
  </si>
  <si>
    <t>penalidade</t>
  </si>
  <si>
    <t>agrada</t>
  </si>
  <si>
    <t>custobenefício</t>
  </si>
  <si>
    <t>dores</t>
  </si>
  <si>
    <t>pescoço</t>
  </si>
  <si>
    <t>gastei</t>
  </si>
  <si>
    <t>horas</t>
  </si>
  <si>
    <t>assistindo</t>
  </si>
  <si>
    <t>jogando</t>
  </si>
  <si>
    <t>games</t>
  </si>
  <si>
    <t>esperava</t>
  </si>
  <si>
    <t>gostando</t>
  </si>
  <si>
    <t>{"valorA":"imagem","valorB":1.0}</t>
  </si>
  <si>
    <t>{"valorA":"quer","valorB":1.0}</t>
  </si>
  <si>
    <t>{"valorA":"impressora","valorB":1.0}</t>
  </si>
  <si>
    <t>{"valorA":"imagem","valorB":2.0}</t>
  </si>
  <si>
    <t>{"valorA":"som","valorB":2.0}</t>
  </si>
  <si>
    <t>{"valorA":"tv","valorB":3.0}</t>
  </si>
  <si>
    <t>{"valorA":"filmes","valorB":1.0}</t>
  </si>
  <si>
    <t>{"valorA":"assistir","valorB":1.0}</t>
  </si>
  <si>
    <t>{"valorA":"alto","valorB":1.0}</t>
  </si>
  <si>
    <t>{"valorA":"mas","valorB":1.0}</t>
  </si>
  <si>
    <t>{"valorA":"valer","valorB":1.0}</t>
  </si>
  <si>
    <t>{"valorA":"favor","valorB":1.0}</t>
  </si>
  <si>
    <t>{"valorA":"compri","valorB":1.0}</t>
  </si>
  <si>
    <t>{"valorA":"coloque","valorB":1.0}</t>
  </si>
  <si>
    <t>{"valorA":"vezes","valorB":1.0}</t>
  </si>
  <si>
    <t>{"valorA":"multiple","valorB":1.0}</t>
  </si>
  <si>
    <t>{"valorA":"brilho","valorB":1.0}</t>
  </si>
  <si>
    <t>{"valorA":"qualidade","valorB":3.0}</t>
  </si>
  <si>
    <t>{"valorA":"clareza","valorB":1.0}</t>
  </si>
  <si>
    <t>{"valorA":"aspirador","valorB":1.0}</t>
  </si>
  <si>
    <t>{"valorA":"pó","valorB":1.0}</t>
  </si>
  <si>
    <t>{"valorA":"boa","valorB":1.0}</t>
  </si>
  <si>
    <t>{"valorA":"tv","valorB":4.0}</t>
  </si>
  <si>
    <t>{"valorA":"led","valorB":2.0}</t>
  </si>
  <si>
    <t>{"valorA":"mãe","valorB":1.0}</t>
  </si>
  <si>
    <t>{"valorA":"adora","valorB":1.0}</t>
  </si>
  <si>
    <t>{"valorA":"precisava","valorB":1.0}</t>
  </si>
  <si>
    <t>{"valorA":"precisamente","valorB":1.0}</t>
  </si>
  <si>
    <t>{"valorA":"ele","valorB":2.0}</t>
  </si>
  <si>
    <t>{"valorA":"laptop","valorB":1.0}</t>
  </si>
  <si>
    <t>{"valorA":"gozo","valorB":1.0}</t>
  </si>
  <si>
    <t>{"valorA":"dirigir","valorB":1.0}</t>
  </si>
  <si>
    <t>{"valorA":"portátil","valorB":2.0}</t>
  </si>
  <si>
    <t>{"valorA":"também","valorB":1.0}</t>
  </si>
  <si>
    <t>{"valorA":"comprei","valorB":3.0}</t>
  </si>
  <si>
    <t>{"valorA":"filho","valorB":1.0}</t>
  </si>
  <si>
    <t>{"valorA":"imagem","valorB":3.0}</t>
  </si>
  <si>
    <t>{"valorA":"re","valorB":1.0}</t>
  </si>
  <si>
    <t>{"valorA":"tempo","valorB":1.0}</t>
  </si>
  <si>
    <t>{"valorA":"hora","valorB":1.0}</t>
  </si>
  <si>
    <t>{"valorA":"usálo","valorB":1.0}</t>
  </si>
  <si>
    <t>{"valorA":"fazer","valorB":1.0}</t>
  </si>
  <si>
    <t>{"valorA":"economiza","valorB":1.0}</t>
  </si>
  <si>
    <t>{"valorA":"na","valorB":1.0}</t>
  </si>
  <si>
    <t>{"valorA":"nunca","valorB":1.0}</t>
  </si>
  <si>
    <t>{"valorA":"dica","valorB":1.0}</t>
  </si>
  <si>
    <t>{"valorA":"objet","valorB":1.0}</t>
  </si>
  <si>
    <t>{"valorA":"mudálo","valorB":1.0}</t>
  </si>
  <si>
    <t>{"valorA":"tente","valorB":1.0}</t>
  </si>
  <si>
    <t>{"valorA":"ser","valorB":1.0}</t>
  </si>
  <si>
    <t>{"valorA":"negativos","valorB":1.0}</t>
  </si>
  <si>
    <t>{"valorA":"máquina","valorB":1.0}</t>
  </si>
  <si>
    <t>{"valorA":"lazer","valorB":1.0}</t>
  </si>
  <si>
    <t>{"valorA":"quem","valorB":5.0}</t>
  </si>
  <si>
    <t>{"valorA":"uma","valorB":2.0}</t>
  </si>
  <si>
    <t>{"valorA":"despendei","valorB":1.0}</t>
  </si>
  <si>
    <t>{"valorA":"dinheiro","valorB":2.0}</t>
  </si>
  <si>
    <t>{"valorA":"valera","valorB":1.0}</t>
  </si>
  <si>
    <t>{"valorA":"comprálo","valorB":1.0}</t>
  </si>
  <si>
    <t>{"valorA":"legais","valorB":1.0}</t>
  </si>
  <si>
    <t>{"valorA":"tablet","valorB":2.0}</t>
  </si>
  <si>
    <t>{"valorA":"gosto","valorB":4.0}</t>
  </si>
  <si>
    <t>{"valorA":"amooooo","valorB":1.0}</t>
  </si>
  <si>
    <t>{"valorA":"computador","valorB":2.0}</t>
  </si>
  <si>
    <t>{"valorA":"portátil","valorB":3.0}</t>
  </si>
  <si>
    <t>{"valorA":"quem","valorB":6.0}</t>
  </si>
  <si>
    <t>{"valorA":"busca","valorB":3.0}</t>
  </si>
  <si>
    <t>{"valorA":"penalidade","valorB":1.0}</t>
  </si>
  <si>
    <t>{"valorA":"agrada","valorB":1.0}</t>
  </si>
  <si>
    <t>{"valorA":"tablet","valorB":3.0}</t>
  </si>
  <si>
    <t>{"valorA":"excelente","valorB":2.0}</t>
  </si>
  <si>
    <t>{"valorA":"custobenefício","valorB":1.0}</t>
  </si>
  <si>
    <t>{"valorA":"dores","valorB":1.0}</t>
  </si>
  <si>
    <t>{"valorA":"quem","valorB":7.0}</t>
  </si>
  <si>
    <t>{"valorA":"pescoço","valorB":1.0}</t>
  </si>
  <si>
    <t>{"valorA":"ele","valorB":3.0}</t>
  </si>
  <si>
    <t>{"valorA":"nunca","valorB":2.0}</t>
  </si>
  <si>
    <t>{"valorA":"tive","valorB":2.0}</t>
  </si>
  <si>
    <t>{"valorA":"gosto","valorB":5.0}</t>
  </si>
  <si>
    <t>{"valorA":"horas","valorB":1.0}</t>
  </si>
  <si>
    <t>{"valorA":"tablet","valorB":4.0}</t>
  </si>
  <si>
    <t>{"valorA":"assistindo","valorB":1.0}</t>
  </si>
  <si>
    <t>{"valorA":"filmes","valorB":2.0}</t>
  </si>
  <si>
    <t>{"valorA":"jogando","valorB":1.0}</t>
  </si>
  <si>
    <t>{"valorA":"games","valorB":1.0}</t>
  </si>
  <si>
    <t>{"valorA":"gastei","valorB":1.0}</t>
  </si>
  <si>
    <t>{"valorA":"problemas","valorB":3.0}</t>
  </si>
  <si>
    <t>{"valorA":"qualidade","valorB":9.0}</t>
  </si>
  <si>
    <t>{"valorA":"boa","valorB":2.0}</t>
  </si>
  <si>
    <t>{"valorA":"gostando","valorB":1.0}</t>
  </si>
  <si>
    <t>{"valorA":"esperava","valorB":1.0}</t>
  </si>
  <si>
    <t>{"valorA":"muito","valorB":19.0}</t>
  </si>
  <si>
    <t>{"valorA":"não","valorB":6.0}</t>
  </si>
  <si>
    <t xml:space="preserve">Ótima lâmpada LED. Gosto muito dela.
Ótima experiência comprando este produto. Recomendo a todos.
Ótimo fone de ouvido sem fio. O som é excelente.
Ótimo blitzador que comprei ontem. Trago muito prazer usando ele.
Ótimo computador de escritório. Funciona muito bem.
Ótimo lavadora de prataria. Traga o resultado esperado.
Ótimo lavador de pratos. Realmente valeu a pena.
Óptimo produto, muito satisfeita com a compra.
Ótimo sistema de som para o computador. Recomendo bastante!
Ótima toalha. Fácil de limpar e muita lã.
Ótimo serviço de limpeza da minha casa hoje!
Ótimo, o melhor que já comprei na vida.
Ótimo e barato esse processador para computador. Recomendo!
Ótimo raspador de cebola. Fácil de usar e limpo.
Ótima toalha para banho. Acho muito útil.
Ótimo modelo de TV. Recomendo fortemente.
Ótimo leitor para celular. Fácil de usar.
Ótima máquina de lavar roupa. Funciona muito bem.
Ótimo cabelo hidrátil! Acho que vale a pena comprar.
Ótimo monitor para jogo e trabalho.
Ótimo sistema operacional que comprei ontem.
Ótimo o jantar que tive hoje. O serviço foi excelente também.
Ótimo esse processador. Eu consigo jogar qualquer coisa nesse computador sem problemas.
                    Coment
Ótima limpa-vas. Fácil de usar e muito útil.
Ótimo modelo desse monitor. Achei muito bom.
Ótimo e barato esse processador de comida.
Ótimo para limpar o chão com rapidez. Gostei muito!
Óptimo modelo de geladeira para minha casa. Valeu a pena.
Ótimo lavador de prataria. Tudo funciona perfeitamente.
Ótima impressora, recomendo fortemente.
Ótimo aparelho. Funciona muito bem desde o primeiro momento.
Ótima lavadora, funciona perfeitamente desde o primeiro dia.
Ótimo aparelho para limpeza. Fácil de usar.
Óptimo para aqueles com problemas respiratórios.
Ótima lâmpada LED, muito brilhante e consumidora pouco.
Ótimo serviço aqui hoje, muito agradavel o atendimento foi rápido e amigável
Ótimo aparelho para aqueles que quiserem salvar dinheiro.
Ótimo cabelo de cadeira, muito confortável.
Ótimo armazenamento para mochilas. Fácil de usar e seguro.
Ótima qualidade para os sapatos. Valorável.
Óptimo aplicativo para quem tem problemas com o sono. Recomendo fortemente!
Ótimo e barato esse geladeira. Recomendo!
Ótimo cabelo eletricista. Meu cabelo ficou muito bom com essa nova marca de prod
Ótimo esse aparelho para fazer refeições rápidas. Recomendo bastante!
                    Com
Ótima impressora que comprei ontem. Foi muito fácil de configurar e funciona perfeitamente.
Ótimo o novo laminado da cozinha. Recomendo muito.
Ótima tela LCD para computador. Recomendo.
Ótimo cabelo para a banheira. Um dos melhores que já comprei.
Ótimo produto, muito confiável.
Ótimo produto, funciona muito bem mesmo com poucos recursos.
</t>
  </si>
  <si>
    <t>dela</t>
  </si>
  <si>
    <t>experiência</t>
  </si>
  <si>
    <t>comprando</t>
  </si>
  <si>
    <t>fio</t>
  </si>
  <si>
    <t>blitzador</t>
  </si>
  <si>
    <t>trago</t>
  </si>
  <si>
    <t>prazer</t>
  </si>
  <si>
    <t>usando</t>
  </si>
  <si>
    <t>traga</t>
  </si>
  <si>
    <t>esperado</t>
  </si>
  <si>
    <t>toalha</t>
  </si>
  <si>
    <t>lã</t>
  </si>
  <si>
    <t>limpeza</t>
  </si>
  <si>
    <t>hoje</t>
  </si>
  <si>
    <t>melhor</t>
  </si>
  <si>
    <t>raspador</t>
  </si>
  <si>
    <t>cebola</t>
  </si>
  <si>
    <t>banho</t>
  </si>
  <si>
    <t>útil</t>
  </si>
  <si>
    <t>fortemente</t>
  </si>
  <si>
    <t>hidrátil</t>
  </si>
  <si>
    <t>jogo</t>
  </si>
  <si>
    <t>trabalho</t>
  </si>
  <si>
    <t>jantar</t>
  </si>
  <si>
    <t>consigo</t>
  </si>
  <si>
    <t>jogar</t>
  </si>
  <si>
    <t>qualquer</t>
  </si>
  <si>
    <t>coisa</t>
  </si>
  <si>
    <t>nesse</t>
  </si>
  <si>
    <t>limpavas</t>
  </si>
  <si>
    <t>comida</t>
  </si>
  <si>
    <t>chão</t>
  </si>
  <si>
    <t>rapidez</t>
  </si>
  <si>
    <t>aqueles</t>
  </si>
  <si>
    <t>respiratórios</t>
  </si>
  <si>
    <t>brilhante</t>
  </si>
  <si>
    <t>consumidora</t>
  </si>
  <si>
    <t>agradavel</t>
  </si>
  <si>
    <t>amigável</t>
  </si>
  <si>
    <t>quiserem</t>
  </si>
  <si>
    <t>salvar</t>
  </si>
  <si>
    <t>armazenamento</t>
  </si>
  <si>
    <t>mochilas</t>
  </si>
  <si>
    <t>seguro</t>
  </si>
  <si>
    <t>sapatos</t>
  </si>
  <si>
    <t>valorável</t>
  </si>
  <si>
    <t>aplicativo</t>
  </si>
  <si>
    <t>sono</t>
  </si>
  <si>
    <t>eletricista</t>
  </si>
  <si>
    <t>ficou</t>
  </si>
  <si>
    <t>nova</t>
  </si>
  <si>
    <t>prod</t>
  </si>
  <si>
    <t>refeições</t>
  </si>
  <si>
    <t>rápidas</t>
  </si>
  <si>
    <t>configurar</t>
  </si>
  <si>
    <t>laminado</t>
  </si>
  <si>
    <t>cozinha</t>
  </si>
  <si>
    <t>tela</t>
  </si>
  <si>
    <t>lcd</t>
  </si>
  <si>
    <t>banheira</t>
  </si>
  <si>
    <t>dos</t>
  </si>
  <si>
    <t>melhores</t>
  </si>
  <si>
    <t>recursos</t>
  </si>
  <si>
    <t>{"valorA":"dela","valorB":1.0}</t>
  </si>
  <si>
    <t>{"valorA":"comprando","valorB":1.0}</t>
  </si>
  <si>
    <t>{"valorA":"experiência","valorB":1.0}</t>
  </si>
  <si>
    <t>{"valorA":"fio","valorB":1.0}</t>
  </si>
  <si>
    <t>{"valorA":"trago","valorB":1.0}</t>
  </si>
  <si>
    <t>{"valorA":"prazer","valorB":1.0}</t>
  </si>
  <si>
    <t>{"valorA":"usando","valorB":1.0}</t>
  </si>
  <si>
    <t>{"valorA":"blitzador","valorB":1.0}</t>
  </si>
  <si>
    <t>{"valorA":"traga","valorB":1.0}</t>
  </si>
  <si>
    <t>{"valorA":"esperado","valorB":1.0}</t>
  </si>
  <si>
    <t>{"valorA":"limpeza","valorB":1.0}</t>
  </si>
  <si>
    <t>{"valorA":"toalha","valorB":1.0}</t>
  </si>
  <si>
    <t>{"valorA":"lã","valorB":1.0}</t>
  </si>
  <si>
    <t>{"valorA":"hoje","valorB":1.0}</t>
  </si>
  <si>
    <t>{"valorA":"computador","valorB":3.0}</t>
  </si>
  <si>
    <t>{"valorA":"melhor","valorB":1.0}</t>
  </si>
  <si>
    <t>{"valorA":"cebola","valorB":1.0}</t>
  </si>
  <si>
    <t>{"valorA":"toalha","valorB":2.0}</t>
  </si>
  <si>
    <t>{"valorA":"banho","valorB":1.0}</t>
  </si>
  <si>
    <t>{"valorA":"útil","valorB":1.0}</t>
  </si>
  <si>
    <t>{"valorA":"raspador","valorB":1.0}</t>
  </si>
  <si>
    <t>{"valorA":"fortemente","valorB":1.0}</t>
  </si>
  <si>
    <t>{"valorA":"hidrátil","valorB":1.0}</t>
  </si>
  <si>
    <t>{"valorA":"acho","valorB":2.0}</t>
  </si>
  <si>
    <t>{"valorA":"ontem","valorB":2.0}</t>
  </si>
  <si>
    <t>{"valorA":"trabalho","valorB":1.0}</t>
  </si>
  <si>
    <t>{"valorA":"jogo","valorB":1.0}</t>
  </si>
  <si>
    <t>{"valorA":"nesse","valorB":1.0}</t>
  </si>
  <si>
    <t>{"valorA":"qualquer","valorB":1.0}</t>
  </si>
  <si>
    <t>{"valorA":"computador","valorB":4.0}</t>
  </si>
  <si>
    <t>{"valorA":"coisa","valorB":1.0}</t>
  </si>
  <si>
    <t>{"valorA":"processador","valorB":2.0}</t>
  </si>
  <si>
    <t>{"valorA":"jantar","valorB":1.0}</t>
  </si>
  <si>
    <t>{"valorA":"sem","valorB":2.0}</t>
  </si>
  <si>
    <t>{"valorA":"jogar","valorB":1.0}</t>
  </si>
  <si>
    <t>{"valorA":"hoje","valorB":2.0}</t>
  </si>
  <si>
    <t>{"valorA":"consigo","valorB":1.0}</t>
  </si>
  <si>
    <t>{"valorA":"limpavas","valorB":1.0}</t>
  </si>
  <si>
    <t>{"valorA":"útil","valorB":2.0}</t>
  </si>
  <si>
    <t>{"valorA":"rapidez","valorB":1.0}</t>
  </si>
  <si>
    <t>{"valorA":"processador","valorB":3.0}</t>
  </si>
  <si>
    <t>{"valorA":"comida","valorB":1.0}</t>
  </si>
  <si>
    <t>{"valorA":"chão","valorB":1.0}</t>
  </si>
  <si>
    <t>{"valorA":"modelo","valorB":3.0}</t>
  </si>
  <si>
    <t>{"valorA":"fortemente","valorB":2.0}</t>
  </si>
  <si>
    <t>{"valorA":"limpeza","valorB":2.0}</t>
  </si>
  <si>
    <t>{"valorA":"lâmpada","valorB":2.0}</t>
  </si>
  <si>
    <t>{"valorA":"respiratórios","valorB":1.0}</t>
  </si>
  <si>
    <t>{"valorA":"ótima","valorB":9.0}</t>
  </si>
  <si>
    <t>{"valorA":"brilhante","valorB":1.0}</t>
  </si>
  <si>
    <t>{"valorA":"aqueles","valorB":1.0}</t>
  </si>
  <si>
    <t>{"valorA":"consumidora","valorB":1.0}</t>
  </si>
  <si>
    <t>{"valorA":"serviço","valorB":3.0}</t>
  </si>
  <si>
    <t>{"valorA":"salvar","valorB":1.0}</t>
  </si>
  <si>
    <t>{"valorA":"agradavel","valorB":1.0}</t>
  </si>
  <si>
    <t>{"valorA":"foi","valorB":2.0}</t>
  </si>
  <si>
    <t>{"valorA":"quiserem","valorB":1.0}</t>
  </si>
  <si>
    <t>{"valorA":"aqueles","valorB":2.0}</t>
  </si>
  <si>
    <t>{"valorA":"hoje","valorB":3.0}</t>
  </si>
  <si>
    <t>{"valorA":"amigável","valorB":1.0}</t>
  </si>
  <si>
    <t>{"valorA":"armazenamento","valorB":1.0}</t>
  </si>
  <si>
    <t>{"valorA":"mochilas","valorB":1.0}</t>
  </si>
  <si>
    <t>{"valorA":"seguro","valorB":1.0}</t>
  </si>
  <si>
    <t>{"valorA":"cabelo","valorB":2.0}</t>
  </si>
  <si>
    <t>{"valorA":"aplicativo","valorB":1.0}</t>
  </si>
  <si>
    <t>{"valorA":"ótima","valorB":10.0}</t>
  </si>
  <si>
    <t>{"valorA":"fortemente","valorB":3.0}</t>
  </si>
  <si>
    <t>{"valorA":"valorável","valorB":1.0}</t>
  </si>
  <si>
    <t>{"valorA":"sapatos","valorB":1.0}</t>
  </si>
  <si>
    <t>{"valorA":"sono","valorB":1.0}</t>
  </si>
  <si>
    <t>{"valorA":"nova","valorB":1.0}</t>
  </si>
  <si>
    <t>{"valorA":"prod","valorB":1.0}</t>
  </si>
  <si>
    <t>{"valorA":"eletricista","valorB":1.0}</t>
  </si>
  <si>
    <t>{"valorA":"ficou","valorB":1.0}</t>
  </si>
  <si>
    <t>{"valorA":"de","valorB":20.0}</t>
  </si>
  <si>
    <t>{"valorA":"cabelo","valorB":4.0}</t>
  </si>
  <si>
    <t>{"valorA":"geladeira","valorB":2.0}</t>
  </si>
  <si>
    <t>{"valorA":"ontem","valorB":3.0}</t>
  </si>
  <si>
    <t>{"valorA":"comprei","valorB":4.0}</t>
  </si>
  <si>
    <t>{"valorA":"bastante","valorB":2.0}</t>
  </si>
  <si>
    <t>{"valorA":"ótima","valorB":11.0}</t>
  </si>
  <si>
    <t>{"valorA":"foi","valorB":3.0}</t>
  </si>
  <si>
    <t>{"valorA":"de","valorB":21.0}</t>
  </si>
  <si>
    <t>{"valorA":"configurar","valorB":1.0}</t>
  </si>
  <si>
    <t>{"valorA":"refeições","valorB":1.0}</t>
  </si>
  <si>
    <t>{"valorA":"rápidas","valorB":1.0}</t>
  </si>
  <si>
    <t>{"valorA":"impressora","valorB":2.0}</t>
  </si>
  <si>
    <t>{"valorA":"laminado","valorB":1.0}</t>
  </si>
  <si>
    <t>{"valorA":"computador","valorB":5.0}</t>
  </si>
  <si>
    <t>{"valorA":"ótima","valorB":12.0}</t>
  </si>
  <si>
    <t>{"valorA":"lcd","valorB":1.0}</t>
  </si>
  <si>
    <t>{"valorA":"tela","valorB":1.0}</t>
  </si>
  <si>
    <t>{"valorA":"cozinha","valorB":1.0}</t>
  </si>
  <si>
    <t>{"valorA":"para","valorB":16.0}</t>
  </si>
  <si>
    <t>{"valorA":"comprei","valorB":5.0}</t>
  </si>
  <si>
    <t>{"valorA":"banheira","valorB":1.0}</t>
  </si>
  <si>
    <t>{"valorA":"já","valorB":2.0}</t>
  </si>
  <si>
    <t>{"valorA":"cabelo","valorB":5.0}</t>
  </si>
  <si>
    <t>{"valorA":"melhores","valorB":1.0}</t>
  </si>
  <si>
    <t>{"valorA":"dos","valorB":1.0}</t>
  </si>
  <si>
    <t>{"valorA":"recursos","valorB":1.0}</t>
  </si>
  <si>
    <t>ar condicionado</t>
  </si>
  <si>
    <t>microondas</t>
  </si>
  <si>
    <t>freezer</t>
  </si>
  <si>
    <t>{"valorA":"ar condicionado","valorB":1}</t>
  </si>
  <si>
    <t>{"valorA":"freezer","valorB":1}</t>
  </si>
  <si>
    <t>{"valorA":"freezer","valorB":2}</t>
  </si>
  <si>
    <t>{"valorA":"freezer","valorB":3}</t>
  </si>
  <si>
    <t>{"valorA":"freezer","valorB":4}</t>
  </si>
  <si>
    <t>{"valorA":"freezer","valorB":5}</t>
  </si>
  <si>
    <t>{"valorA":"freezer","valorB":6}</t>
  </si>
  <si>
    <t>{"valorA":"freezer","valorB":7}</t>
  </si>
  <si>
    <t>{"valorA":"freezer","valorB":8}</t>
  </si>
  <si>
    <t>{"valorA":"freezer","valorB":9}</t>
  </si>
  <si>
    <t>{"valorA":"freezer","valorB":10}</t>
  </si>
  <si>
    <t>{"valorA":"freezer","valorB":11}</t>
  </si>
  <si>
    <t>{"valorA":"freezer","valorB":12}</t>
  </si>
  <si>
    <t>{"valorA":"freezer","valorB":13}</t>
  </si>
  <si>
    <t>{"valorA":"freezer","valorB":14}</t>
  </si>
  <si>
    <t>{"valorA":"freezer","valorB":15}</t>
  </si>
  <si>
    <t>{"valorA":"freezer","valorB":16}</t>
  </si>
  <si>
    <t>{"valorA":"freezer","valorB":17}</t>
  </si>
  <si>
    <t>{"valorA":"freezer","valorB":18}</t>
  </si>
  <si>
    <t>{"valorA":"freezer","valorB":19}</t>
  </si>
  <si>
    <t>{"valorA":"freezer","valorB":20}</t>
  </si>
  <si>
    <t>{"valorA":"freezer","valorB":21}</t>
  </si>
  <si>
    <t>{"valorA":"freezer","valorB":22}</t>
  </si>
  <si>
    <t>{"valorA":"freezer","valorB":23}</t>
  </si>
  <si>
    <t>{"valorA":"freezer","valorB":24}</t>
  </si>
  <si>
    <t>{"valorA":"freezer","valorB":25}</t>
  </si>
  <si>
    <t>{"valorA":"freezer","valorB":26}</t>
  </si>
  <si>
    <t>{"valorA":"freezer","valorB":27}</t>
  </si>
  <si>
    <t>{"valorA":"freezer","valorB":28}</t>
  </si>
  <si>
    <t>{"valorA":"freezer","valorB":29}</t>
  </si>
  <si>
    <t>{"valorA":"freezer","valorB":30}</t>
  </si>
  <si>
    <t>{"valorA":"freezer","valorB":31}</t>
  </si>
  <si>
    <t>{"valorA":"freezer","valorB":32}</t>
  </si>
  <si>
    <t>{"valorA":"freezer","valorB":33}</t>
  </si>
  <si>
    <t>{"valorA":"freezer","valorB":34}</t>
  </si>
  <si>
    <t>{"valorA":"microondas","valorB":1}</t>
  </si>
  <si>
    <t>{"valorA":"microondas","valorB":2}</t>
  </si>
  <si>
    <t>{"valorA":"ar condicionado","valorB":2}</t>
  </si>
  <si>
    <t>{"valorA":"microondas","valorB":3}</t>
  </si>
  <si>
    <t>{"valorA":"ar condicionado","valorB":3}</t>
  </si>
  <si>
    <t>{"valorA":"ar condicionado","valorB":4}</t>
  </si>
  <si>
    <t>{"valorA":"microondas","valorB":4}</t>
  </si>
  <si>
    <t>{"valorA":"ar condicionado","valorB":5}</t>
  </si>
  <si>
    <t>{"valorA":"microondas","valorB":5}</t>
  </si>
  <si>
    <t>{"valorA":"ar condicionado","valorB":6}</t>
  </si>
  <si>
    <t>{"valorA":"microondas","valorB":6}</t>
  </si>
  <si>
    <t>{"valorA":"microondas","valorB":7}</t>
  </si>
  <si>
    <t>{"valorA":"ar condicionado","valorB":7}</t>
  </si>
  <si>
    <t>{"valorA":"ar condicionado","valorB":8}</t>
  </si>
  <si>
    <t>{"valorA":"ar condicionado","valorB":9}</t>
  </si>
  <si>
    <t>{"valorA":"microondas","valorB":8}</t>
  </si>
  <si>
    <t>{"valorA":"ar condicionado","valorB":10}</t>
  </si>
  <si>
    <t>{"valorA":"ar condicionado","valorB":11}</t>
  </si>
  <si>
    <t>{"valorA":"ar condicionado","valorB":12}</t>
  </si>
  <si>
    <t>{"valorA":"microondas","valorB":9}</t>
  </si>
  <si>
    <t>{"valorA":"microondas","valorB":10}</t>
  </si>
  <si>
    <t>{"valorA":"microondas","valorB":11}</t>
  </si>
  <si>
    <t>{"valorA":"ar condicionado","valorB":13}</t>
  </si>
  <si>
    <t>{"valorA":"microondas","valorB":12}</t>
  </si>
  <si>
    <t>{"valorA":"ar condicionado","valorB":14}</t>
  </si>
  <si>
    <t>{"valorA":"ar condicionado","valorB":15}</t>
  </si>
  <si>
    <t>{"valorA":"ar condicionado","valorB":16}</t>
  </si>
  <si>
    <t>{"valorA":"microondas","valorB":13}</t>
  </si>
  <si>
    <t>{"valorA":"microondas","valorB":14}</t>
  </si>
  <si>
    <t>{"valorA":"microondas","valorB":15}</t>
  </si>
  <si>
    <t>{"valorA":"ar condicionado","valorB":17}</t>
  </si>
  <si>
    <t>{"valorA":"ar condicionado","valorB":18}</t>
  </si>
  <si>
    <t>{"valorA":"microondas","valorB":16}</t>
  </si>
  <si>
    <t>{"valorA":"ar condicionado","valorB":19}</t>
  </si>
  <si>
    <t>{"valorA":"microondas","valorB":17}</t>
  </si>
  <si>
    <t>{"valorA":"microondas","valorB":18}</t>
  </si>
  <si>
    <t>{"valorA":"ar condicionado","valorB":20}</t>
  </si>
  <si>
    <t>{"valorA":"microondas","valorB":19}</t>
  </si>
  <si>
    <t>{"valorA":"ar condicionado","valorB":21}</t>
  </si>
  <si>
    <t>{"valorA":"ar condicionado","valorB":22}</t>
  </si>
  <si>
    <t>{"valorA":"ar condicionado","valorB":23}</t>
  </si>
  <si>
    <t>{"valorA":"microondas","valorB":20}</t>
  </si>
  <si>
    <t>{"valorA":"microondas","valorB":21}</t>
  </si>
  <si>
    <t>{"valorA":"ar condicionado","valorB":24}</t>
  </si>
  <si>
    <t>{"valorA":"microondas","valorB":22}</t>
  </si>
  <si>
    <t>{"valorA":"microondas","valorB":23}</t>
  </si>
  <si>
    <t>{"valorA":"ar condicionado","valorB":25}</t>
  </si>
  <si>
    <t>{"valorA":"microondas","valorB":24}</t>
  </si>
  <si>
    <t>{"valorA":"ar condicionado","valorB":26}</t>
  </si>
  <si>
    <t>{"valorA":"ar condicionado","valorB":27}</t>
  </si>
  <si>
    <t>{"valorA":"microondas","valorB":25}</t>
  </si>
  <si>
    <t>{"valorA":"ar condicionado","valorB":28}</t>
  </si>
  <si>
    <t>{"valorA":"ar condicionado","valorB":29}</t>
  </si>
  <si>
    <t>{"valorA":"microondas","valorB":26}</t>
  </si>
  <si>
    <t>{"valorA":"ar condicionado","valorB":30}</t>
  </si>
  <si>
    <t>{"valorA":"microondas","valorB":27}</t>
  </si>
  <si>
    <t>{"valorA":"ar condicionado","valorB":31}</t>
  </si>
  <si>
    <t>{"valorA":"microondas","valorB":28}</t>
  </si>
  <si>
    <t>{"valorA":"microondas","valorB":29}</t>
  </si>
  <si>
    <t>{"valorA":"microondas","valorB":30}</t>
  </si>
  <si>
    <t>{"valorA":"microondas","valorB":31}</t>
  </si>
  <si>
    <t>{"valorA":"ar condicionado","valorB":32}</t>
  </si>
  <si>
    <t>{"valorA":"ar condicionado","valorB":33}</t>
  </si>
  <si>
    <t>{"valorA":"microondas","valorB":32}</t>
  </si>
  <si>
    <t>{"valorA":"ar condicionado","valorB":34}</t>
  </si>
  <si>
    <t>{"valorA":"microondas","valorB":33}</t>
  </si>
  <si>
    <t>{"valorA":"microondas","valorB":34}</t>
  </si>
  <si>
    <t>{"valorA":"ar condicionado","valorB":35}</t>
  </si>
  <si>
    <t>{"valorA":"ar condicionado","valorB":36}</t>
  </si>
  <si>
    <t>{"valorA":"microondas","valorB":35}</t>
  </si>
  <si>
    <t>{"valorA":"ar condicionado","valorB":37}</t>
  </si>
  <si>
    <t>{"valorA":"ar condicionado","valorB":38}</t>
  </si>
  <si>
    <t>{"valorA":"ar condicionado","valorB":39}</t>
  </si>
  <si>
    <t>{"valorA":"microondas","valorB":36}</t>
  </si>
  <si>
    <t>{"valorA":"ar condicionado","valorB":40}</t>
  </si>
  <si>
    <t>{"valorA":"microondas","valorB":37}</t>
  </si>
  <si>
    <t>{"valorA":"ar condicionado","valorB":41}</t>
  </si>
  <si>
    <t>{"valorA":"microondas","valorB":38}</t>
  </si>
  <si>
    <t>{"valorA":"freezer","valorB":35}</t>
  </si>
  <si>
    <t>{"valorA":"freezer","valorB":36}</t>
  </si>
  <si>
    <t>{"valorA":"microondas","valorB":39}</t>
  </si>
  <si>
    <t>{"valorA":"ar condicionado","valorB":42}</t>
  </si>
  <si>
    <t>{"valorA":"microondas","valorB":40}</t>
  </si>
  <si>
    <t>{"valorA":"ar condicionado","valorB":43}</t>
  </si>
  <si>
    <t>{"valorA":"microondas","valorB":41}</t>
  </si>
  <si>
    <t>{"valorA":"ar condicionado","valorB":44}</t>
  </si>
  <si>
    <t>{"valorA":"freezer","valorB":37}</t>
  </si>
  <si>
    <t>{"valorA":"ar condicionado","valorB":45}</t>
  </si>
  <si>
    <t>{"valorA":"freezer","valorB":38}</t>
  </si>
  <si>
    <t>{"valorA":"freezer","valorB":39}</t>
  </si>
  <si>
    <t>{"valorA":"freezer","valorB":40}</t>
  </si>
  <si>
    <t>{"valorA":"freezer","valorB":41}</t>
  </si>
  <si>
    <t>{"valorA":"microondas","valorB":42}</t>
  </si>
  <si>
    <t>{"valorA":"microondas","valorB":43}</t>
  </si>
  <si>
    <t>{"valorA":"microondas","valorB":44}</t>
  </si>
  <si>
    <t>{"valorA":"microondas","valorB":45}</t>
  </si>
  <si>
    <t>{"valorA":"ar condicionado","valorB":46}</t>
  </si>
  <si>
    <t>{"valorA":"freezer","valorB":42}</t>
  </si>
  <si>
    <t>{"valorA":"ar condicionado","valorB":47}</t>
  </si>
  <si>
    <t>{"valorA":"freezer","valorB":43}</t>
  </si>
  <si>
    <t>{"valorA":"freezer","valorB":44}</t>
  </si>
  <si>
    <t>{"valorA":"ar condicionado","valorB":48}</t>
  </si>
  <si>
    <t>{"valorA":"freezer","valorB":45}</t>
  </si>
  <si>
    <t>{"valorA":"freezer","valorB":46}</t>
  </si>
  <si>
    <t>{"valorA":"microondas","valorB":46}</t>
  </si>
  <si>
    <t>{"valorA":"ar condicionado","valorB":49}</t>
  </si>
  <si>
    <t>{"valorA":"microondas","valorB":47}</t>
  </si>
  <si>
    <t>{"valorA":"ar condicionado","valorB":50}</t>
  </si>
  <si>
    <t>{"valorA":"freezer","valorB":47}</t>
  </si>
  <si>
    <t>{"valorA":"ar condicionado","valorB":51}</t>
  </si>
  <si>
    <t>{"valorA":"ar condicionado","valorB":52}</t>
  </si>
  <si>
    <t>{"valorA":"freezer","valorB":48}</t>
  </si>
  <si>
    <t>{"valorA":"freezer","valorB":49}</t>
  </si>
  <si>
    <t>{"valorA":"microondas","valorB":48}</t>
  </si>
  <si>
    <t>{"valorA":"microondas","valorB":49}</t>
  </si>
  <si>
    <t>{"valorA":"microondas","valorB":50}</t>
  </si>
  <si>
    <t>{"valorA":"ar condicionado","valorB":53}</t>
  </si>
  <si>
    <t>{"valorA":"freezer","valorB":50}</t>
  </si>
  <si>
    <t>{"valorA":"microondas","valorB":51}</t>
  </si>
  <si>
    <t>{"valorA":"freezer","valorB":51}</t>
  </si>
  <si>
    <t>{"valorA":"ar condicionado","valorB":54}</t>
  </si>
  <si>
    <t>{"valorA":"ar condicionado","valorB":55}</t>
  </si>
  <si>
    <t>{"valorA":"microondas","valorB":52}</t>
  </si>
  <si>
    <t>{"valorA":"freezer","valorB":52}</t>
  </si>
  <si>
    <t>{"valorA":"freezer","valorB":53}</t>
  </si>
  <si>
    <t>{"valorA":"ar condicionado","valorB":56}</t>
  </si>
  <si>
    <t>{"valorA":"microondas","valorB":53}</t>
  </si>
  <si>
    <t>{"valorA":"microondas","valorB":54}</t>
  </si>
  <si>
    <t>{"valorA":"freezer","valorB":54}</t>
  </si>
  <si>
    <t>{"valorA":"freezer","valorB":55}</t>
  </si>
  <si>
    <t>{"valorA":"freezer","valorB":56}</t>
  </si>
  <si>
    <t>{"valorA":"freezer","valorB":57}</t>
  </si>
  <si>
    <t>{"valorA":"ar condicionado","valorB":57}</t>
  </si>
  <si>
    <t>{"valorA":"microondas","valorB":55}</t>
  </si>
  <si>
    <t>{"valorA":"microondas","valorB":56}</t>
  </si>
  <si>
    <t>{"valorA":"microondas","valorB":57}</t>
  </si>
  <si>
    <t>{"valorA":"freezer","valorB":58}</t>
  </si>
  <si>
    <t>{"valorA":"microondas","valorB":58}</t>
  </si>
  <si>
    <t>{"valorA":"microondas","valorB":59}</t>
  </si>
  <si>
    <t>{"valorA":"microondas","valorB":60}</t>
  </si>
  <si>
    <t>{"valorA":"ar condicionado","valorB":58}</t>
  </si>
  <si>
    <t>{"valorA":"microondas","valorB":61}</t>
  </si>
  <si>
    <t>{"valorA":"microondas","valorB":62}</t>
  </si>
  <si>
    <t>{"valorA":"ar condicionado","valorB":59}</t>
  </si>
  <si>
    <t>{"valorA":"microondas","valorB":63}</t>
  </si>
  <si>
    <t>{"valorA":"freezer","valorB":59}</t>
  </si>
  <si>
    <t>{"valorA":"microondas","valorB":64}</t>
  </si>
  <si>
    <t>{"valorA":"freezer","valorB":60}</t>
  </si>
  <si>
    <t>{"valorA":"freezer","valorB":61}</t>
  </si>
  <si>
    <t>{"valorA":"ar condicionado","valorB":60}</t>
  </si>
  <si>
    <t>{"valorA":"ar condicionado","valorB":61}</t>
  </si>
  <si>
    <t>{"valorA":"ar condicionado","valorB":62}</t>
  </si>
  <si>
    <t>{"valorA":"microondas","valorB":65}</t>
  </si>
  <si>
    <t>{"valorA":"ar condicionado","valorB":63}</t>
  </si>
  <si>
    <t>{"valorA":"ar condicionado","valorB":64}</t>
  </si>
  <si>
    <t>{"valorA":"microondas","valorB":66}</t>
  </si>
  <si>
    <t>{"valorA":"ar condicionado","valorB":65}</t>
  </si>
  <si>
    <t>{"valorA":"freezer","valorB":62}</t>
  </si>
  <si>
    <t>{"valorA":"microondas","valorB":67}</t>
  </si>
  <si>
    <t>{"valorA":"microondas","valorB":68}</t>
  </si>
  <si>
    <t>{"valorA":"microondas","valorB":69}</t>
  </si>
  <si>
    <t>{"valorA":"microondas","valorB":70}</t>
  </si>
  <si>
    <t>{"valorA":"ar condicionado","valorB":66}</t>
  </si>
  <si>
    <t>{"valorA":"freezer","valorB":63}</t>
  </si>
  <si>
    <t>{"valorA":"freezer","valorB":64}</t>
  </si>
  <si>
    <t>{"valorA":"freezer","valorB":65}</t>
  </si>
  <si>
    <t>{"valorA":"freezer","valorB":66}</t>
  </si>
  <si>
    <t>{"valorA":"microondas","valorB":71}</t>
  </si>
  <si>
    <t>{"valorA":"freezer","valorB":67}</t>
  </si>
  <si>
    <t>{"valorA":"freezer","valorB":68}</t>
  </si>
  <si>
    <t>{"valorA":"microondas","valorB":72}</t>
  </si>
  <si>
    <t>{"valorA":"freezer","valorB":69}</t>
  </si>
  <si>
    <t>{"valorA":"microondas","valorB":73}</t>
  </si>
  <si>
    <t>{"valorA":"ar condicionado","valorB":67}</t>
  </si>
  <si>
    <t>{"valorA":"ar condicionado","valorB":68}</t>
  </si>
  <si>
    <t>{"valorA":"ar condicionado","valorB":69}</t>
  </si>
  <si>
    <t>{"valorA":"freezer","valorB":70}</t>
  </si>
  <si>
    <t>{"valorA":"freezer","valorB":71}</t>
  </si>
  <si>
    <t>{"valorA":"ar condicionado","valorB":70}</t>
  </si>
  <si>
    <t>{"valorA":"ar condicionado","valorB":71}</t>
  </si>
  <si>
    <t>{"valorA":"microondas","valorB":74}</t>
  </si>
  <si>
    <t>{"valorA":"ar condicionado","valorB":72}</t>
  </si>
  <si>
    <t>{"valorA":"freezer","valorB":72}</t>
  </si>
  <si>
    <t>{"valorA":"freezer","valorB":73}</t>
  </si>
  <si>
    <t>{"valorA":"freezer","valorB":74}</t>
  </si>
  <si>
    <t>{"valorA":"ar condicionado","valorB":73}</t>
  </si>
  <si>
    <t>{"valorA":"ar condicionado","valorB":74}</t>
  </si>
  <si>
    <t>{"valorA":"ar condicionado","valorB":75}</t>
  </si>
  <si>
    <t>{"valorA":"microondas","valorB":75}</t>
  </si>
  <si>
    <t>{"valorA":"microondas","valorB":76}</t>
  </si>
  <si>
    <t>{"valorA":"ar condicionado","valorB":76}</t>
  </si>
  <si>
    <t>{"valorA":"ar condicionado","valorB":77}</t>
  </si>
  <si>
    <t>{"valorA":"freezer","valorB":75}</t>
  </si>
  <si>
    <t>{"valorA":"freezer","valorB":76}</t>
  </si>
  <si>
    <t>{"valorA":"microondas","valorB":77}</t>
  </si>
  <si>
    <t>{"valorA":"microondas","valorB":78}</t>
  </si>
  <si>
    <t>{"valorA":"ar condicionado","valorB":78}</t>
  </si>
  <si>
    <t>{"valorA":"freezer","valorB":77}</t>
  </si>
  <si>
    <t>{"valorA":"freezer","valorB":78}</t>
  </si>
  <si>
    <t>{"valorA":"microondas","valorB":79}</t>
  </si>
  <si>
    <t>{"valorA":"ar condicionado","valorB":79}</t>
  </si>
  <si>
    <t>{"valorA":"freezer","valorB":79}</t>
  </si>
  <si>
    <t>{"valorA":"freezer","valorB":80}</t>
  </si>
  <si>
    <t>{"valorA":"ar condicionado","valorB":80}</t>
  </si>
  <si>
    <t>{"valorA":"microondas","valorB":80}</t>
  </si>
  <si>
    <t>{"valorA":"freezer","valorB":81}</t>
  </si>
  <si>
    <t>{"valorA":"microondas","valorB":81}</t>
  </si>
  <si>
    <t>{"valorA":"ar condicionado","valorB":81}</t>
  </si>
  <si>
    <t>{"valorA":"ar condicionado","valorB":82}</t>
  </si>
  <si>
    <t>{"valorA":"ar condicionado","valorB":83}</t>
  </si>
  <si>
    <t>{"valorA":"microondas","valorB":82}</t>
  </si>
  <si>
    <t>{"valorA":"ar condicionado","valorB":84}</t>
  </si>
  <si>
    <t>{"valorA":"freezer","valorB":82}</t>
  </si>
  <si>
    <t>{"valorA":"ar condicionado","valorB":85}</t>
  </si>
  <si>
    <t>{"valorA":"freezer","valorB":83}</t>
  </si>
  <si>
    <t>{"valorA":"ar condicionado","valorB":86}</t>
  </si>
  <si>
    <t>{"valorA":"ar condicionado","valorB":87}</t>
  </si>
  <si>
    <t>{"valorA":"microondas","valorB":83}</t>
  </si>
  <si>
    <t>{"valorA":"freezer","valorB":84}</t>
  </si>
  <si>
    <t>{"valorA":"freezer","valorB":85}</t>
  </si>
  <si>
    <t>{"valorA":"freezer","valorB":86}</t>
  </si>
  <si>
    <t>{"valorA":"freezer","valorB":87}</t>
  </si>
  <si>
    <t>{"valorA":"ar condicionado","valorB":88}</t>
  </si>
  <si>
    <t>{"valorA":"freezer","valorB":88}</t>
  </si>
  <si>
    <t>{"valorA":"freezer","valorB":89}</t>
  </si>
  <si>
    <t>{"valorA":"freezer","valorB":90}</t>
  </si>
  <si>
    <t>{"valorA":"microondas","valorB":84}</t>
  </si>
  <si>
    <t>{"valorA":"freezer","valorB":91}</t>
  </si>
  <si>
    <t>{"valorA":"freezer","valorB":92}</t>
  </si>
  <si>
    <t>{"valorA":"ar condicionado","valorB":89}</t>
  </si>
  <si>
    <t>{"valorA":"ar condicionado","valorB":90}</t>
  </si>
  <si>
    <t>{"valorA":"ar condicionado","valorB":91}</t>
  </si>
  <si>
    <t>{"valorA":"microondas","valorB":85}</t>
  </si>
  <si>
    <t>{"valorA":"freezer","valorB":93}</t>
  </si>
  <si>
    <t>{"valorA":"freezer","valorB":94}</t>
  </si>
  <si>
    <t>{"valorA":"microondas","valorB":86}</t>
  </si>
  <si>
    <t>{"valorA":"freezer","valorB":95}</t>
  </si>
  <si>
    <t>{"valorA":"microondas","valorB":87}</t>
  </si>
  <si>
    <t>{"valorA":"freezer","valorB":96}</t>
  </si>
  <si>
    <t>{"valorA":"microondas","valorB":88}</t>
  </si>
  <si>
    <t>{"valorA":"ar condicionado","valorB":92}</t>
  </si>
  <si>
    <t>{"valorA":"ar condicionado","valorB":93}</t>
  </si>
  <si>
    <t>{"valorA":"freezer","valorB":97}</t>
  </si>
  <si>
    <t>{"valorA":"microondas","valorB":89}</t>
  </si>
  <si>
    <t>{"valorA":"ar condicionado","valorB":94}</t>
  </si>
  <si>
    <t>{"valorA":"microondas","valorB":90}</t>
  </si>
  <si>
    <t>{"valorA":"microondas","valorB":91}</t>
  </si>
  <si>
    <t>{"valorA":"ar condicionado","valorB":95}</t>
  </si>
  <si>
    <t>{"valorA":"ar condicionado","valorB":96}</t>
  </si>
  <si>
    <t>{"valorA":"microondas","valorB":92}</t>
  </si>
  <si>
    <t>{"valorA":"microondas","valorB":93}</t>
  </si>
  <si>
    <t>{"valorA":"ar condicionado","valorB":97}</t>
  </si>
  <si>
    <t>{"valorA":"freezer","valorB":98}</t>
  </si>
  <si>
    <t>{"valorA":"freezer","valorB":99}</t>
  </si>
  <si>
    <t>{"valorA":"freezer","valorB":100}</t>
  </si>
  <si>
    <t>{"valorA":"ar condicionado","valorB":98}</t>
  </si>
  <si>
    <t>{"valorA":"ar condicionado","valorB":99}</t>
  </si>
  <si>
    <t>{"valorA":"ar condicionado","valorB":100}</t>
  </si>
  <si>
    <t>{"valorA":"ar condicionado","valorB":101}</t>
  </si>
  <si>
    <t>{"valorA":"microondas","valorB":94}</t>
  </si>
  <si>
    <t>{"valorA":"microondas","valorB":95}</t>
  </si>
  <si>
    <t>{"valorA":"freezer","valorB":101}</t>
  </si>
  <si>
    <t>{"valorA":"freezer","valorB":102}</t>
  </si>
  <si>
    <t>{"valorA":"microondas","valorB":96}</t>
  </si>
  <si>
    <t>{"valorA":"ar condicionado","valorB":102}</t>
  </si>
  <si>
    <t>{"valorA":"ar condicionado","valorB":103}</t>
  </si>
  <si>
    <t>{"valorA":"freezer","valorB":103}</t>
  </si>
  <si>
    <t>{"valorA":"microondas","valorB":97}</t>
  </si>
  <si>
    <t>{"valorA":"microondas","valorB":98}</t>
  </si>
  <si>
    <t>{"valorA":"ar condicionado","valorB":104}</t>
  </si>
  <si>
    <t>{"valorA":"freezer","valorB":104}</t>
  </si>
  <si>
    <t>{"valorA":"freezer","valorB":105}</t>
  </si>
  <si>
    <t>{"valorA":"microondas","valorB":99}</t>
  </si>
  <si>
    <t>{"valorA":"ar condicionado","valorB":105}</t>
  </si>
  <si>
    <t>{"valorA":"microondas","valorB":100}</t>
  </si>
  <si>
    <t>{"valorA":"freezer","valorB":106}</t>
  </si>
  <si>
    <t>{"valorA":"microondas","valorB":101}</t>
  </si>
  <si>
    <t>{"valorA":"microondas","valorB":102}</t>
  </si>
  <si>
    <t>{"valorA":"freezer","valorB":107}</t>
  </si>
  <si>
    <t>{"valorA":"microondas","valorB":103}</t>
  </si>
  <si>
    <t>{"valorA":"microondas","valorB":104}</t>
  </si>
  <si>
    <t>{"valorA":"microondas","valorB":105}</t>
  </si>
  <si>
    <t>{"valorA":"ar condicionado","valorB":106}</t>
  </si>
  <si>
    <t>{"valorA":"freezer","valorB":108}</t>
  </si>
  <si>
    <t>{"valorA":"ar condicionado","valorB":107}</t>
  </si>
  <si>
    <t>{"valorA":"freezer","valorB":109}</t>
  </si>
  <si>
    <t>{"valorA":"microondas","valorB":106}</t>
  </si>
  <si>
    <t>{"valorA":"freezer","valorB":110}</t>
  </si>
  <si>
    <t>{"valorA":"microondas","valorB":107}</t>
  </si>
  <si>
    <t>{"valorA":"freezer","valorB":111}</t>
  </si>
  <si>
    <t>{"valorA":"ar condicionado","valorB":108}</t>
  </si>
  <si>
    <t>{"valorA":"microondas","valorB":108}</t>
  </si>
  <si>
    <t>{"valorA":"microondas","valorB":109}</t>
  </si>
  <si>
    <t>{"valorA":"freezer","valorB":112}</t>
  </si>
  <si>
    <t>{"valorA":"microondas","valorB":110}</t>
  </si>
  <si>
    <t>{"valorA":"ar condicionado","valorB":109}</t>
  </si>
  <si>
    <t>{"valorA":"freezer","valorB":113}</t>
  </si>
  <si>
    <t>{"valorA":"microondas","valorB":111}</t>
  </si>
  <si>
    <t>{"valorA":"freezer","valorB":114}</t>
  </si>
  <si>
    <t>{"valorA":"microondas","valorB":112}</t>
  </si>
  <si>
    <t>{"valorA":"freezer","valorB":115}</t>
  </si>
  <si>
    <t>{"valorA":"freezer","valorB":116}</t>
  </si>
  <si>
    <t>{"valorA":"ar condicionado","valorB":110}</t>
  </si>
  <si>
    <t>{"valorA":"freezer","valorB":117}</t>
  </si>
  <si>
    <t>{"valorA":"ar condicionado","valorB":111}</t>
  </si>
  <si>
    <t>{"valorA":"freezer","valorB":118}</t>
  </si>
  <si>
    <t>{"valorA":"ar condicionado","valorB":112}</t>
  </si>
  <si>
    <t>{"valorA":"microondas","valorB":113}</t>
  </si>
  <si>
    <t>{"valorA":"freezer","valorB":119}</t>
  </si>
  <si>
    <t>{"valorA":"microondas","valorB":114}</t>
  </si>
  <si>
    <t>{"valorA":"ar condicionado","valorB":113}</t>
  </si>
  <si>
    <t>{"valorA":"ar condicionado","valorB":114}</t>
  </si>
  <si>
    <t>{"valorA":"ar condicionado","valorB":115}</t>
  </si>
  <si>
    <t>{"valorA":"ar condicionado","valorB":116}</t>
  </si>
  <si>
    <t>{"valorA":"microondas","valorB":115}</t>
  </si>
  <si>
    <t>{"valorA":"ar condicionado","valorB":117}</t>
  </si>
  <si>
    <t>{"valorA":"ar condicionado","valorB":118}</t>
  </si>
  <si>
    <t>{"valorA":"ar condicionado","valorB":119}</t>
  </si>
  <si>
    <t>{"valorA":"freezer","valorB":120}</t>
  </si>
  <si>
    <t>{"valorA":"freezer","valorB":121}</t>
  </si>
  <si>
    <t>{"valorA":"freezer","valorB":122}</t>
  </si>
  <si>
    <t>{"valorA":"microondas","valorB":116}</t>
  </si>
  <si>
    <t>{"valorA":"microondas","valorB":117}</t>
  </si>
  <si>
    <t>{"valorA":"ar condicionado","valorB":120}</t>
  </si>
  <si>
    <t>{"valorA":"freezer","valorB":123}</t>
  </si>
  <si>
    <t>{"valorA":"freezer","valorB":124}</t>
  </si>
  <si>
    <t>{"valorA":"microondas","valorB":118}</t>
  </si>
  <si>
    <t>{"valorA":"freezer","valorB":125}</t>
  </si>
  <si>
    <t>{"valorA":"freezer","valorB":126}</t>
  </si>
  <si>
    <t>{"valorA":"freezer","valorB":127}</t>
  </si>
  <si>
    <t>{"valorA":"freezer","valorB":128}</t>
  </si>
  <si>
    <t>{"valorA":"ar condicionado","valorB":121}</t>
  </si>
  <si>
    <t>{"valorA":"ar condicionado","valorB":122}</t>
  </si>
  <si>
    <t>{"valorA":"microondas","valorB":119}</t>
  </si>
  <si>
    <t>{"valorA":"ar condicionado","valorB":123}</t>
  </si>
  <si>
    <t>{"valorA":"ar condicionado","valorB":124}</t>
  </si>
  <si>
    <t>{"valorA":"freezer","valorB":129}</t>
  </si>
  <si>
    <t>{"valorA":"ar condicionado","valorB":125}</t>
  </si>
  <si>
    <t>{"valorA":"freezer","valorB":130}</t>
  </si>
  <si>
    <t>{"valorA":"microondas","valorB":120}</t>
  </si>
  <si>
    <t>{"valorA":"microondas","valorB":121}</t>
  </si>
  <si>
    <t>{"valorA":"ar condicionado","valorB":126}</t>
  </si>
  <si>
    <t>{"valorA":"freezer","valorB":131}</t>
  </si>
  <si>
    <t>{"valorA":"microondas","valorB":122}</t>
  </si>
  <si>
    <t>{"valorA":"ar condicionado","valorB":127}</t>
  </si>
  <si>
    <t>{"valorA":"microondas","valorB":123}</t>
  </si>
  <si>
    <t>{"valorA":"ar condicionado","valorB":128}</t>
  </si>
  <si>
    <t>{"valorA":"microondas","valorB":124}</t>
  </si>
  <si>
    <t>{"valorA":"freezer","valorB":132}</t>
  </si>
  <si>
    <t>{"valorA":"ar condicionado","valorB":129}</t>
  </si>
  <si>
    <t>{"valorA":"microondas","valorB":125}</t>
  </si>
  <si>
    <t>{"valorA":"microondas","valorB":126}</t>
  </si>
  <si>
    <t>{"valorA":"freezer","valorB":133}</t>
  </si>
  <si>
    <t>{"valorA":"ar condicionado","valorB":130}</t>
  </si>
  <si>
    <t>{"valorA":"microondas","valorB":127}</t>
  </si>
  <si>
    <t>{"valorA":"microondas","valorB":128}</t>
  </si>
  <si>
    <t>{"valorA":"freezer","valorB":134}</t>
  </si>
  <si>
    <t>{"valorA":"ar condicionado","valorB":131}</t>
  </si>
  <si>
    <t>{"valorA":"ar condicionado","valorB":132}</t>
  </si>
  <si>
    <t>{"valorA":"freezer","valorB":135}</t>
  </si>
  <si>
    <t>{"valorA":"microondas","valorB":129}</t>
  </si>
  <si>
    <t>{"valorA":"ar condicionado","valorB":133}</t>
  </si>
  <si>
    <t>{"valorA":"freezer","valorB":136}</t>
  </si>
  <si>
    <t>{"valorA":"freezer","valorB":137}</t>
  </si>
  <si>
    <t>{"valorA":"microondas","valorB":130}</t>
  </si>
  <si>
    <t>{"valorA":"freezer","valorB":138}</t>
  </si>
  <si>
    <t>{"valorA":"ar condicionado","valorB":134}</t>
  </si>
  <si>
    <t>{"valorA":"freezer","valorB":139}</t>
  </si>
  <si>
    <t>{"valorA":"ar condicionado","valorB":135}</t>
  </si>
  <si>
    <t>{"valorA":"freezer","valorB":140}</t>
  </si>
  <si>
    <t>{"valorA":"microondas","valorB":131}</t>
  </si>
  <si>
    <t>{"valorA":"freezer","valorB":141}</t>
  </si>
  <si>
    <t>{"valorA":"ar condicionado","valorB":136}</t>
  </si>
  <si>
    <t>{"valorA":"microondas","valorB":132}</t>
  </si>
  <si>
    <t>{"valorA":"freezer","valorB":142}</t>
  </si>
  <si>
    <t>{"valorA":"microondas","valorB":133}</t>
  </si>
  <si>
    <t>{"valorA":"ar condicionado","valorB":137}</t>
  </si>
  <si>
    <t>{"valorA":"ar condicionado","valorB":138}</t>
  </si>
  <si>
    <t>{"valorA":"ar condicionado","valorB":139}</t>
  </si>
  <si>
    <t>{"valorA":"ar condicionado","valorB":140}</t>
  </si>
  <si>
    <t>{"valorA":"microondas","valorB":134}</t>
  </si>
  <si>
    <t>{"valorA":"freezer","valorB":143}</t>
  </si>
  <si>
    <t>{"valorA":"ar condicionado","valorB":141}</t>
  </si>
  <si>
    <t>{"valorA":"ar condicionado","valorB":142}</t>
  </si>
  <si>
    <t>{"valorA":"microondas","valorB":135}</t>
  </si>
  <si>
    <t>{"valorA":"freezer","valorB":144}</t>
  </si>
  <si>
    <t>{"valorA":"microondas","valorB":136}</t>
  </si>
  <si>
    <t>{"valorA":"ar condicionado","valorB":143}</t>
  </si>
  <si>
    <t>{"valorA":"ar condicionado","valorB":144}</t>
  </si>
  <si>
    <t>{"valorA":"microondas","valorB":137}</t>
  </si>
  <si>
    <t>{"valorA":"ar condicionado","valorB":145}</t>
  </si>
  <si>
    <t>{"valorA":"microondas","valorB":138}</t>
  </si>
  <si>
    <t>{"valorA":"microondas","valorB":139}</t>
  </si>
  <si>
    <t>{"valorA":"freezer","valorB":145}</t>
  </si>
  <si>
    <t>{"valorA":"ar condicionado","valorB":146}</t>
  </si>
  <si>
    <t>{"valorA":"microondas","valorB":140}</t>
  </si>
  <si>
    <t>{"valorA":"freezer","valorB":146}</t>
  </si>
  <si>
    <t>{"valorA":"microondas","valorB":141}</t>
  </si>
  <si>
    <t>{"valorA":"microondas","valorB":142}</t>
  </si>
  <si>
    <t>{"valorA":"ar condicionado","valorB":147}</t>
  </si>
  <si>
    <t>{"valorA":"microondas","valorB":143}</t>
  </si>
  <si>
    <t>{"valorA":"ar condicionado","valorB":148}</t>
  </si>
  <si>
    <t>{"valorA":"ar condicionado","valorB":149}</t>
  </si>
  <si>
    <t>{"valorA":"ar condicionado","valorB":150}</t>
  </si>
  <si>
    <t>{"valorA":"ar condicionado","valorB":151}</t>
  </si>
  <si>
    <t>{"valorA":"microondas","valorB":144}</t>
  </si>
  <si>
    <t>{"valorA":"freezer","valorB":147}</t>
  </si>
  <si>
    <t>{"valorA":"ar condicionado","valorB":152}</t>
  </si>
  <si>
    <t>{"valorA":"microondas","valorB":145}</t>
  </si>
  <si>
    <t>{"valorA":"freezer","valorB":148}</t>
  </si>
  <si>
    <t>{"valorA":"microondas","valorB":146}</t>
  </si>
  <si>
    <t>{"valorA":"freezer","valorB":149}</t>
  </si>
  <si>
    <t>{"valorA":"freezer","valorB":150}</t>
  </si>
  <si>
    <t>{"valorA":"microondas","valorB":147}</t>
  </si>
  <si>
    <t>{"valorA":"freezer","valorB":151}</t>
  </si>
  <si>
    <t>{"valorA":"microondas","valorB":148}</t>
  </si>
  <si>
    <t>{"valorA":"ar condicionado","valorB":153}</t>
  </si>
  <si>
    <t>{"valorA":"freezer","valorB":152}</t>
  </si>
  <si>
    <t>{"valorA":"microondas","valorB":149}</t>
  </si>
  <si>
    <t>{"valorA":"microondas","valorB":150}</t>
  </si>
  <si>
    <t>{"valorA":"ar condicionado","valorB":154}</t>
  </si>
  <si>
    <t>{"valorA":"ar condicionado","valorB":155}</t>
  </si>
  <si>
    <t>{"valorA":"microondas","valorB":151}</t>
  </si>
  <si>
    <t>{"valorA":"microondas","valorB":152}</t>
  </si>
  <si>
    <t>{"valorA":"microondas","valorB":153}</t>
  </si>
  <si>
    <t>{"valorA":"ar condicionado","valorB":156}</t>
  </si>
  <si>
    <t>{"valorA":"freezer","valorB":153}</t>
  </si>
  <si>
    <t>{"valorA":"microondas","valorB":154}</t>
  </si>
  <si>
    <t>{"valorA":"microondas","valorB":155}</t>
  </si>
  <si>
    <t>{"valorA":"freezer","valorB":154}</t>
  </si>
  <si>
    <t>{"valorA":"ar condicionado","valorB":157}</t>
  </si>
  <si>
    <t>{"valorA":"microondas","valorB":156}</t>
  </si>
  <si>
    <t>{"valorA":"freezer","valorB":155}</t>
  </si>
  <si>
    <t>{"valorA":"freezer","valorB":156}</t>
  </si>
  <si>
    <t>{"valorA":"ar condicionado","valorB":158}</t>
  </si>
  <si>
    <t>{"valorA":"microondas","valorB":157}</t>
  </si>
  <si>
    <t>{"valorA":"ar condicionado","valorB":159}</t>
  </si>
  <si>
    <t>{"valorA":"freezer","valorB":157}</t>
  </si>
  <si>
    <t>{"valorA":"freezer","valorB":158}</t>
  </si>
  <si>
    <t>{"valorA":"ar condicionado","valorB":160}</t>
  </si>
  <si>
    <t>{"valorA":"freezer","valorB":159}</t>
  </si>
  <si>
    <t>{"valorA":"ar condicionado","valorB":161}</t>
  </si>
  <si>
    <t>{"valorA":"microondas","valorB":158}</t>
  </si>
  <si>
    <t>{"valorA":"freezer","valorB":160}</t>
  </si>
  <si>
    <t>{"valorA":"freezer","valorB":161}</t>
  </si>
  <si>
    <t>{"valorA":"freezer","valorB":162}</t>
  </si>
  <si>
    <t>{"valorA":"freezer","valorB":163}</t>
  </si>
  <si>
    <t>{"valorA":"microondas","valorB":159}</t>
  </si>
  <si>
    <t>{"valorA":"ar condicionado","valorB":162}</t>
  </si>
  <si>
    <t>{"valorA":"microondas","valorB":160}</t>
  </si>
  <si>
    <t>{"valorA":"microondas","valorB":161}</t>
  </si>
  <si>
    <t>{"valorA":"freezer","valorB":164}</t>
  </si>
  <si>
    <t>{"valorA":"freezer","valorB":165}</t>
  </si>
  <si>
    <t>{"valorA":"ar condicionado","valorB":163}</t>
  </si>
  <si>
    <t>{"valorA":"ar condicionado","valorB":164}</t>
  </si>
  <si>
    <t>{"valorA":"ar condicionado","valorB":165}</t>
  </si>
  <si>
    <t>{"valorA":"microondas","valorB":162}</t>
  </si>
  <si>
    <t>{"valorA":"ar condicionado","valorB":166}</t>
  </si>
  <si>
    <t>{"valorA":"microondas","valorB":163}</t>
  </si>
  <si>
    <t>{"valorA":"ar condicionado","valorB":167}</t>
  </si>
  <si>
    <t>{"valorA":"ar condicionado","valorB":168}</t>
  </si>
  <si>
    <t>{"valorA":"ar condicionado","valorB":169}</t>
  </si>
  <si>
    <t>{"valorA":"freezer","valorB":166}</t>
  </si>
  <si>
    <t>{"valorA":"ar condicionado","valorB":170}</t>
  </si>
  <si>
    <t>{"valorA":"ar condicionado","valorB":171}</t>
  </si>
  <si>
    <t>chuveiro elétrico</t>
  </si>
  <si>
    <t>ventilador</t>
  </si>
  <si>
    <t>liquidificador</t>
  </si>
  <si>
    <t>fone de ouvido</t>
  </si>
  <si>
    <t>carregador de celular</t>
  </si>
  <si>
    <t>purificador de água</t>
  </si>
  <si>
    <t>carregador de computador</t>
  </si>
  <si>
    <t>filtro de linha</t>
  </si>
  <si>
    <t>teclado de computador</t>
  </si>
  <si>
    <t>roteador</t>
  </si>
  <si>
    <t>lustre</t>
  </si>
  <si>
    <t>mouse de computador</t>
  </si>
  <si>
    <t>Original</t>
  </si>
  <si>
    <t>{"valorA":"celular","valorB":1}</t>
  </si>
  <si>
    <t>{"valorA":"ventilador","valorB":1}</t>
  </si>
  <si>
    <t>{"valorA":"ventilador","valorB":2}</t>
  </si>
  <si>
    <t>{"valorA":"chuveiro elétrico","valorB":1}</t>
  </si>
  <si>
    <t>{"valorA":"fogão","valorB":1}</t>
  </si>
  <si>
    <t>{"valorA":"fone de ouvido","valorB":1}</t>
  </si>
  <si>
    <t>{"valorA":"relógio","valorB":1}</t>
  </si>
  <si>
    <t>{"valorA":"liquidificador","valorB":1}</t>
  </si>
  <si>
    <t>{"valorA":"chuveiro elétrico","valorB":2}</t>
  </si>
  <si>
    <t>{"valorA":"computador","valorB":1}</t>
  </si>
  <si>
    <t>{"valorA":"liquidificador","valorB":2}</t>
  </si>
  <si>
    <t>{"valorA":"relógio","valorB":2}</t>
  </si>
  <si>
    <t>{"valorA":"chuveiro elétrico","valorB":3}</t>
  </si>
  <si>
    <t>{"valorA":"chuveiro elétrico","valorB":4}</t>
  </si>
  <si>
    <t>{"valorA":"carregador de celular","valorB":1}</t>
  </si>
  <si>
    <t>{"valorA":"fone de ouvido","valorB":2}</t>
  </si>
  <si>
    <t>{"valorA":"relógio","valorB":3}</t>
  </si>
  <si>
    <t>{"valorA":"relógio","valorB":4}</t>
  </si>
  <si>
    <t>{"valorA":"purificador de água","valorB":1}</t>
  </si>
  <si>
    <t>{"valorA":"relógio","valorB":5}</t>
  </si>
  <si>
    <t>{"valorA":"carregador de computador","valorB":1}</t>
  </si>
  <si>
    <t>{"valorA":"purificador de água","valorB":2}</t>
  </si>
  <si>
    <t>{"valorA":"filtro de linha","valorB":1}</t>
  </si>
  <si>
    <t>{"valorA":"relógio","valorB":6}</t>
  </si>
  <si>
    <t>{"valorA":"teclado de computador","valorB":1}</t>
  </si>
  <si>
    <t>{"valorA":"carregador de computador","valorB":2}</t>
  </si>
  <si>
    <t>{"valorA":"chuveiro elétrico","valorB":5}</t>
  </si>
  <si>
    <t>{"valorA":"computador","valorB":2}</t>
  </si>
  <si>
    <t>{"valorA":"ventilador","valorB":3}</t>
  </si>
  <si>
    <t>{"valorA":"roteador","valorB":1}</t>
  </si>
  <si>
    <t>{"valorA":"purificador de água","valorB":3}</t>
  </si>
  <si>
    <t>{"valorA":"liquidificador","valorB":3}</t>
  </si>
  <si>
    <t>{"valorA":"lustre","valorB":1}</t>
  </si>
  <si>
    <t>{"valorA":"chuveiro elétrico","valorB":6}</t>
  </si>
  <si>
    <t>{"valorA":"fone de ouvido","valorB":3}</t>
  </si>
  <si>
    <t>{"valorA":"computador","valorB":3}</t>
  </si>
  <si>
    <t>{"valorA":"ventilador","valorB":4}</t>
  </si>
  <si>
    <t>{"valorA":"fogão","valorB":2}</t>
  </si>
  <si>
    <t>{"valorA":"teclado de computador","valorB":2}</t>
  </si>
  <si>
    <t>{"valorA":"lustre","valorB":2}</t>
  </si>
  <si>
    <t>{"valorA":"liquidificador","valorB":4}</t>
  </si>
  <si>
    <t>{"valorA":"fogão","valorB":3}</t>
  </si>
  <si>
    <t>{"valorA":"fone de ouvido","valorB":4}</t>
  </si>
  <si>
    <t>{"valorA":"teclado de computador","valorB":3}</t>
  </si>
  <si>
    <t>{"valorA":"lustre","valorB":3}</t>
  </si>
  <si>
    <t>{"valorA":"purificador de água","valorB":4}</t>
  </si>
  <si>
    <t>{"valorA":"aspirador","valorB":1}</t>
  </si>
  <si>
    <t>{"valorA":"aspirador","valorB":2}</t>
  </si>
  <si>
    <t>{"valorA":"chuveiro elétrico","valorB":7}</t>
  </si>
  <si>
    <t>{"valorA":"computador","valorB":4}</t>
  </si>
  <si>
    <t>{"valorA":"aspirador","valorB":3}</t>
  </si>
  <si>
    <t>{"valorA":"mouse de computador","valorB":1}</t>
  </si>
  <si>
    <t>{"valorA":"roteador","valorB":2}</t>
  </si>
  <si>
    <t>{"valorA":"liquidificador","valorB":5}</t>
  </si>
  <si>
    <t>{"valorA":"ventilador","valorB":5}</t>
  </si>
  <si>
    <t>{"valorA":"mouse de computador","valorB":2}</t>
  </si>
  <si>
    <t>{"valorA":"carregador de celular","valorB":2}</t>
  </si>
  <si>
    <t>{"valorA":"aspirador","valorB":4}</t>
  </si>
  <si>
    <t>{"valorA":"liquidificador","valorB":6}</t>
  </si>
  <si>
    <t>{"valorA":"fone de ouvido","valorB":5}</t>
  </si>
  <si>
    <t>{"valorA":"liquidificador","valorB":7}</t>
  </si>
  <si>
    <t>{"valorA":"chuveiro elétrico","valorB":8}</t>
  </si>
  <si>
    <t>{"valorA":"celular","valorB":2}</t>
  </si>
  <si>
    <t>{"valorA":"fogão","valorB":4}</t>
  </si>
  <si>
    <t>{"valorA":"mouse de computador","valorB":3}</t>
  </si>
  <si>
    <t>{"valorA":"filtro de linha","valorB":2}</t>
  </si>
  <si>
    <t>{"valorA":"liquidificador","valorB":8}</t>
  </si>
  <si>
    <t>{"valorA":"lustre","valorB":4}</t>
  </si>
  <si>
    <t>{"valorA":"purificador de água","valorB":5}</t>
  </si>
  <si>
    <t>{"valorA":"ventilador","valorB":6}</t>
  </si>
  <si>
    <t>{"valorA":"carregador de computador","valorB":3}</t>
  </si>
  <si>
    <t>{"valorA":"computador","valorB":5}</t>
  </si>
  <si>
    <t>{"valorA":"roteador","valorB":3}</t>
  </si>
  <si>
    <t>{"valorA":"relógio","valorB":7}</t>
  </si>
  <si>
    <t>{"valorA":"relógio","valorB":8}</t>
  </si>
  <si>
    <t>{"valorA":"ventilador","valorB":7}</t>
  </si>
  <si>
    <t>{"valorA":"computador","valorB":6}</t>
  </si>
  <si>
    <t>{"valorA":"roteador","valorB":4}</t>
  </si>
  <si>
    <t>{"valorA":"aspirador","valorB":5}</t>
  </si>
  <si>
    <t>{"valorA":"liquidificador","valorB":9}</t>
  </si>
  <si>
    <t>{"valorA":"teclado de computador","valorB":4}</t>
  </si>
  <si>
    <t>{"valorA":"fone de ouvido","valorB":6}</t>
  </si>
  <si>
    <t>{"valorA":"purificador de água","valorB":6}</t>
  </si>
  <si>
    <t>{"valorA":"fogão","valorB":5}</t>
  </si>
  <si>
    <t>{"valorA":"chuveiro elétrico","valorB":9}</t>
  </si>
  <si>
    <t>{"valorA":"carregador de computador","valorB":4}</t>
  </si>
  <si>
    <t>{"valorA":"celular","valorB":3}</t>
  </si>
  <si>
    <t>{"valorA":"chuveiro elétrico","valorB":10}</t>
  </si>
  <si>
    <t>{"valorA":"liquidificador","valorB":10}</t>
  </si>
  <si>
    <t>{"valorA":"carregador de computador","valorB":5}</t>
  </si>
  <si>
    <t>{"valorA":"fogão","valorB":6}</t>
  </si>
  <si>
    <t>{"valorA":"fone de ouvido","valorB":7}</t>
  </si>
  <si>
    <t>{"valorA":"fone de ouvido","valorB":8}</t>
  </si>
  <si>
    <t>{"valorA":"lustre","valorB":5}</t>
  </si>
  <si>
    <t>{"valorA":"filtro de linha","valorB":3}</t>
  </si>
  <si>
    <t>{"valorA":"carregador de celular","valorB":3}</t>
  </si>
  <si>
    <t>{"valorA":"filtro de linha","valorB":4}</t>
  </si>
  <si>
    <t>{"valorA":"aspirador","valorB":6}</t>
  </si>
  <si>
    <t>{"valorA":"computador","valorB":7}</t>
  </si>
  <si>
    <t>{"valorA":"carregador de celular","valorB":4}</t>
  </si>
  <si>
    <t>{"valorA":"celular","valorB":4}</t>
  </si>
  <si>
    <t>{"valorA":"computador","valorB":8}</t>
  </si>
  <si>
    <t>{"valorA":"filtro de linha","valorB":5}</t>
  </si>
  <si>
    <t>{"valorA":"carregador de celular","valorB":5}</t>
  </si>
  <si>
    <t>{"valorA":"teclado de computador","valorB":5}</t>
  </si>
  <si>
    <t>{"valorA":"carregador de celular","valorB":6}</t>
  </si>
  <si>
    <t>{"valorA":"mouse de computador","valorB":4}</t>
  </si>
  <si>
    <t>{"valorA":"chuveiro elétrico","valorB":11}</t>
  </si>
  <si>
    <t>{"valorA":"computador","valorB":9}</t>
  </si>
  <si>
    <t>{"valorA":"aspirador","valorB":7}</t>
  </si>
  <si>
    <t>{"valorA":"mouse de computador","valorB":5}</t>
  </si>
  <si>
    <t>{"valorA":"chuveiro elétrico","valorB":12}</t>
  </si>
  <si>
    <t>{"valorA":"relógio","valorB":9}</t>
  </si>
  <si>
    <t>{"valorA":"purificador de água","valorB":7}</t>
  </si>
  <si>
    <t>{"valorA":"carregador de computador","valorB":6}</t>
  </si>
  <si>
    <t>{"valorA":"carregador de computador","valorB":7}</t>
  </si>
  <si>
    <t>{"valorA":"liquidificador","valorB":11}</t>
  </si>
  <si>
    <t>{"valorA":"aspirador","valorB":8}</t>
  </si>
  <si>
    <t>{"valorA":"aspirador","valorB":9}</t>
  </si>
  <si>
    <t>{"valorA":"aspirador","valorB":10}</t>
  </si>
  <si>
    <t>{"valorA":"fogão","valorB":7}</t>
  </si>
  <si>
    <t>{"valorA":"ventilador","valorB":8}</t>
  </si>
  <si>
    <t>{"valorA":"celular","valorB":5}</t>
  </si>
  <si>
    <t>{"valorA":"chuveiro elétrico","valorB":13}</t>
  </si>
  <si>
    <t>{"valorA":"teclado de computador","valorB":6}</t>
  </si>
  <si>
    <t>{"valorA":"filtro de linha","valorB":6}</t>
  </si>
  <si>
    <t>{"valorA":"aspirador","valorB":11}</t>
  </si>
  <si>
    <t>{"valorA":"filtro de linha","valorB":7}</t>
  </si>
  <si>
    <t>{"valorA":"teclado de computador","valorB":7}</t>
  </si>
  <si>
    <t>{"valorA":"carregador de celular","valorB":7}</t>
  </si>
  <si>
    <t>{"valorA":"roteador","valorB":5}</t>
  </si>
  <si>
    <t>{"valorA":"computador","valorB":10}</t>
  </si>
  <si>
    <t>{"valorA":"fone de ouvido","valorB":9}</t>
  </si>
  <si>
    <t>{"valorA":"roteador","valorB":6}</t>
  </si>
  <si>
    <t>{"valorA":"aspirador","valorB":12}</t>
  </si>
  <si>
    <t>{"valorA":"filtro de linha","valorB":8}</t>
  </si>
  <si>
    <t>{"valorA":"fogão","valorB":8}</t>
  </si>
  <si>
    <t>{"valorA":"teclado de computador","valorB":8}</t>
  </si>
  <si>
    <t>{"valorA":"mouse de computador","valorB":6}</t>
  </si>
  <si>
    <t>{"valorA":"carregador de computador","valorB":8}</t>
  </si>
  <si>
    <t>{"valorA":"aspirador","valorB":13}</t>
  </si>
  <si>
    <t>{"valorA":"fogão","valorB":9}</t>
  </si>
  <si>
    <t>{"valorA":"filtro de linha","valorB":9}</t>
  </si>
  <si>
    <t>{"valorA":"relógio","valorB":10}</t>
  </si>
  <si>
    <t>{"valorA":"celular","valorB":6}</t>
  </si>
  <si>
    <t>{"valorA":"lustre","valorB":6}</t>
  </si>
  <si>
    <t>{"valorA":"relógio","valorB":11}</t>
  </si>
  <si>
    <t>{"valorA":"roteador","valorB":7}</t>
  </si>
  <si>
    <t>{"valorA":"fogão","valorB":10}</t>
  </si>
  <si>
    <t>{"valorA":"liquidificador","valorB":12}</t>
  </si>
  <si>
    <t>{"valorA":"teclado de computador","valorB":9}</t>
  </si>
  <si>
    <t>{"valorA":"celular","valorB":7}</t>
  </si>
  <si>
    <t>{"valorA":"fogão","valorB":11}</t>
  </si>
  <si>
    <t>{"valorA":"liquidificador","valorB":13}</t>
  </si>
  <si>
    <t>{"valorA":"relógio","valorB":12}</t>
  </si>
  <si>
    <t>{"valorA":"purificador de água","valorB":8}</t>
  </si>
  <si>
    <t>{"valorA":"teclado de computador","valorB":10}</t>
  </si>
  <si>
    <t>{"valorA":"fogão","valorB":12}</t>
  </si>
  <si>
    <t>{"valorA":"roteador","valorB":8}</t>
  </si>
  <si>
    <t>{"valorA":"ventilador","valorB":9}</t>
  </si>
  <si>
    <t>{"valorA":"chuveiro elétrico","valorB":14}</t>
  </si>
  <si>
    <t>{"valorA":"roteador","valorB":9}</t>
  </si>
  <si>
    <t>{"valorA":"liquidificador","valorB":14}</t>
  </si>
  <si>
    <t>{"valorA":"teclado de computador","valorB":11}</t>
  </si>
  <si>
    <t>{"valorA":"computador","valorB":11}</t>
  </si>
  <si>
    <t>{"valorA":"teclado de computador","valorB":12}</t>
  </si>
  <si>
    <t>{"valorA":"teclado de computador","valorB":13}</t>
  </si>
  <si>
    <t>{"valorA":"filtro de linha","valorB":10}</t>
  </si>
  <si>
    <t>{"valorA":"carregador de computador","valorB":9}</t>
  </si>
  <si>
    <t>{"valorA":"teclado de computador","valorB":14}</t>
  </si>
  <si>
    <t>{"valorA":"purificador de água","valorB":9}</t>
  </si>
  <si>
    <t>{"valorA":"carregador de celular","valorB":8}</t>
  </si>
  <si>
    <t>{"valorA":"computador","valorB":12}</t>
  </si>
  <si>
    <t>{"valorA":"aspirador","valorB":14}</t>
  </si>
  <si>
    <t>{"valorA":"carregador de computador","valorB":10}</t>
  </si>
  <si>
    <t>{"valorA":"celular","valorB":8}</t>
  </si>
  <si>
    <t>{"valorA":"celular","valorB":9}</t>
  </si>
  <si>
    <t>{"valorA":"filtro de linha","valorB":11}</t>
  </si>
  <si>
    <t>{"valorA":"carregador de computador","valorB":11}</t>
  </si>
  <si>
    <t>{"valorA":"roteador","valorB":10}</t>
  </si>
  <si>
    <t>{"valorA":"ventilador","valorB":10}</t>
  </si>
  <si>
    <t>{"valorA":"lustre","valorB":7}</t>
  </si>
  <si>
    <t>{"valorA":"mouse de computador","valorB":7}</t>
  </si>
  <si>
    <t>{"valorA":"filtro de linha","valorB":12}</t>
  </si>
  <si>
    <t>{"valorA":"ventilador","valorB":11}</t>
  </si>
  <si>
    <t>{"valorA":"fogão","valorB":13}</t>
  </si>
  <si>
    <t>{"valorA":"roteador","valorB":11}</t>
  </si>
  <si>
    <t>{"valorA":"roteador","valorB":12}</t>
  </si>
  <si>
    <t>{"valorA":"chuveiro elétrico","valorB":15}</t>
  </si>
  <si>
    <t>{"valorA":"roteador","valorB":13}</t>
  </si>
  <si>
    <t>{"valorA":"chuveiro elétrico","valorB":16}</t>
  </si>
  <si>
    <t>{"valorA":"computador","valorB":13}</t>
  </si>
  <si>
    <t>{"valorA":"teclado de computador","valorB":15}</t>
  </si>
  <si>
    <t>{"valorA":"carregador de celular","valorB":9}</t>
  </si>
  <si>
    <t>{"valorA":"roteador","valorB":14}</t>
  </si>
  <si>
    <t>{"valorA":"carregador de computador","valorB":12}</t>
  </si>
  <si>
    <t>{"valorA":"ventilador","valorB":12}</t>
  </si>
  <si>
    <t>{"valorA":"teclado de computador","valorB":16}</t>
  </si>
  <si>
    <t>{"valorA":"teclado de computador","valorB":17}</t>
  </si>
  <si>
    <t>{"valorA":"celular","valorB":10}</t>
  </si>
  <si>
    <t>{"valorA":"ventilador","valorB":13}</t>
  </si>
  <si>
    <t>{"valorA":"mouse de computador","valorB":8}</t>
  </si>
  <si>
    <t>{"valorA":"mouse de computador","valorB":9}</t>
  </si>
  <si>
    <t>{"valorA":"purificador de água","valorB":10}</t>
  </si>
  <si>
    <t>{"valorA":"aspirador","valorB":15}</t>
  </si>
  <si>
    <t>{"valorA":"filtro de linha","valorB":13}</t>
  </si>
  <si>
    <t>{"valorA":"roteador","valorB":15}</t>
  </si>
  <si>
    <t>{"valorA":"liquidificador","valorB":15}</t>
  </si>
  <si>
    <t>{"valorA":"fone de ouvido","valorB":10}</t>
  </si>
  <si>
    <t>{"valorA":"chuveiro elétrico","valorB":17}</t>
  </si>
  <si>
    <t>{"valorA":"lustre","valorB":8}</t>
  </si>
  <si>
    <t>{"valorA":"celular","valorB":11}</t>
  </si>
  <si>
    <t>{"valorA":"fone de ouvido","valorB":11}</t>
  </si>
  <si>
    <t>{"valorA":"mouse de computador","valorB":10}</t>
  </si>
  <si>
    <t>{"valorA":"liquidificador","valorB":16}</t>
  </si>
  <si>
    <t>{"valorA":"purificador de água","valorB":11}</t>
  </si>
  <si>
    <t>{"valorA":"lustre","valorB":9}</t>
  </si>
  <si>
    <t>{"valorA":"mouse de computador","valorB":11}</t>
  </si>
  <si>
    <t>{"valorA":"lustre","valorB":10}</t>
  </si>
  <si>
    <t>{"valorA":"carregador de celular","valorB":10}</t>
  </si>
  <si>
    <t>{"valorA":"celular","valorB":12}</t>
  </si>
  <si>
    <t>{"valorA":"roteador","valorB":16}</t>
  </si>
  <si>
    <t>{"valorA":"chuveiro elétrico","valorB":18}</t>
  </si>
  <si>
    <t>{"valorA":"filtro de linha","valorB":14}</t>
  </si>
  <si>
    <t>{"valorA":"fone de ouvido","valorB":12}</t>
  </si>
  <si>
    <t>{"valorA":"teclado de computador","valorB":18}</t>
  </si>
  <si>
    <t>{"valorA":"liquidificador","valorB":17}</t>
  </si>
  <si>
    <t>{"valorA":"carregador de celular","valorB":11}</t>
  </si>
  <si>
    <t>{"valorA":"relógio","valorB":13}</t>
  </si>
  <si>
    <t>{"valorA":"chuveiro elétrico","valorB":19}</t>
  </si>
  <si>
    <t>{"valorA":"teclado de computador","valorB":19}</t>
  </si>
  <si>
    <t>{"valorA":"relógio","valorB":14}</t>
  </si>
  <si>
    <t>{"valorA":"fone de ouvido","valorB":13}</t>
  </si>
  <si>
    <t>{"valorA":"relógio","valorB":15}</t>
  </si>
  <si>
    <t>{"valorA":"carregador de computador","valorB":13}</t>
  </si>
  <si>
    <t>{"valorA":"lustre","valorB":11}</t>
  </si>
  <si>
    <t>{"valorA":"purificador de água","valorB":12}</t>
  </si>
  <si>
    <t>{"valorA":"carregador de computador","valorB":14}</t>
  </si>
  <si>
    <t>{"valorA":"computador","valorB":14}</t>
  </si>
  <si>
    <t>{"valorA":"ventilador","valorB":14}</t>
  </si>
  <si>
    <t>{"valorA":"fone de ouvido","valorB":14}</t>
  </si>
  <si>
    <t>{"valorA":"carregador de celular","valorB":12}</t>
  </si>
  <si>
    <t>{"valorA":"mouse de computador","valorB":12}</t>
  </si>
  <si>
    <t>{"valorA":"computador","valorB":15}</t>
  </si>
  <si>
    <t>{"valorA":"liquidificador","valorB":18}</t>
  </si>
  <si>
    <t>{"valorA":"fogão","valorB":14}</t>
  </si>
  <si>
    <t>{"valorA":"purificador de água","valorB":13}</t>
  </si>
  <si>
    <t>{"valorA":"computador","valorB":16}</t>
  </si>
  <si>
    <t>{"valorA":"fogão","valorB":15}</t>
  </si>
  <si>
    <t>{"valorA":"teclado de computador","valorB":20}</t>
  </si>
  <si>
    <t>{"valorA":"carregador de celular","valorB":13}</t>
  </si>
  <si>
    <t>{"valorA":"carregador de computador","valorB":15}</t>
  </si>
  <si>
    <t>{"valorA":"carregador de computador","valorB":16}</t>
  </si>
  <si>
    <t>{"valorA":"chuveiro elétrico","valorB":20}</t>
  </si>
  <si>
    <t>{"valorA":"filtro de linha","valorB":15}</t>
  </si>
  <si>
    <t>{"valorA":"computador","valorB":17}</t>
  </si>
  <si>
    <t>{"valorA":"chuveiro elétrico","valorB":21}</t>
  </si>
  <si>
    <t>{"valorA":"aspirador","valorB":16}</t>
  </si>
  <si>
    <t>{"valorA":"roteador","valorB":17}</t>
  </si>
  <si>
    <t>{"valorA":"ventilador","valorB":15}</t>
  </si>
  <si>
    <t>{"valorA":"ventilador","valorB":16}</t>
  </si>
  <si>
    <t>{"valorA":"celular","valorB":13}</t>
  </si>
  <si>
    <t>{"valorA":"carregador de celular","valorB":14}</t>
  </si>
  <si>
    <t>{"valorA":"computador","valorB":18}</t>
  </si>
  <si>
    <t>{"valorA":"fone de ouvido","valorB":15}</t>
  </si>
  <si>
    <t>{"valorA":"filtro de linha","valorB":16}</t>
  </si>
  <si>
    <t>{"valorA":"ventilador","valorB":17}</t>
  </si>
  <si>
    <t>{"valorA":"chuveiro elétrico","valorB":22}</t>
  </si>
  <si>
    <t>{"valorA":"carregador de computador","valorB":17}</t>
  </si>
  <si>
    <t>{"valorA":"carregador de computador","valorB":18}</t>
  </si>
  <si>
    <t>{"valorA":"fogão","valorB":16}</t>
  </si>
  <si>
    <t>{"valorA":"liquidificador","valorB":19}</t>
  </si>
  <si>
    <t>{"valorA":"carregador de computador","valorB":19}</t>
  </si>
  <si>
    <t>{"valorA":"fogão","valorB":17}</t>
  </si>
  <si>
    <t>{"valorA":"ventilador","valorB":18}</t>
  </si>
  <si>
    <t>{"valorA":"liquidificador","valorB":20}</t>
  </si>
  <si>
    <t>{"valorA":"lustre","valorB":12}</t>
  </si>
  <si>
    <t>{"valorA":"filtro de linha","valorB":17}</t>
  </si>
  <si>
    <t>{"valorA":"teclado de computador","valorB":21}</t>
  </si>
  <si>
    <t>{"valorA":"roteador","valorB":18}</t>
  </si>
  <si>
    <t>{"valorA":"lustre","valorB":13}</t>
  </si>
  <si>
    <t>{"valorA":"aspirador","valorB":17}</t>
  </si>
  <si>
    <t>{"valorA":"teclado de computador","valorB":22}</t>
  </si>
  <si>
    <t>{"valorA":"filtro de linha","valorB":18}</t>
  </si>
  <si>
    <t>{"valorA":"relógio","valorB":16}</t>
  </si>
  <si>
    <t>{"valorA":"ventilador","valorB":19}</t>
  </si>
  <si>
    <t>{"valorA":"chuveiro elétrico","valorB":23}</t>
  </si>
  <si>
    <t>{"valorA":"carregador de celular","valorB":15}</t>
  </si>
  <si>
    <t>{"valorA":"filtro de linha","valorB":19}</t>
  </si>
  <si>
    <t>{"valorA":"fogão","valorB":18}</t>
  </si>
  <si>
    <t>{"valorA":"carregador de computador","valorB":20}</t>
  </si>
  <si>
    <t>{"valorA":"fogão","valorB":19}</t>
  </si>
  <si>
    <t>{"valorA":"aspirador","valorB":18}</t>
  </si>
  <si>
    <t>{"valorA":"fone de ouvido","valorB":16}</t>
  </si>
  <si>
    <t>{"valorA":"fogão","valorB":20}</t>
  </si>
  <si>
    <t>{"valorA":"liquidificador","valorB":21}</t>
  </si>
  <si>
    <t>{"valorA":"chuveiro elétrico","valorB":24}</t>
  </si>
  <si>
    <t>{"valorA":"carregador de computador","valorB":21}</t>
  </si>
  <si>
    <t>{"valorA":"purificador de água","valorB":14}</t>
  </si>
  <si>
    <t>{"valorA":"fogão","valorB":21}</t>
  </si>
  <si>
    <t>{"valorA":"computador","valorB":19}</t>
  </si>
  <si>
    <t>{"valorA":"teclado de computador","valorB":23}</t>
  </si>
  <si>
    <t>{"valorA":"lustre","valorB":14}</t>
  </si>
  <si>
    <t>{"valorA":"fone de ouvido","valorB":17}</t>
  </si>
  <si>
    <t>{"valorA":"roteador","valorB":19}</t>
  </si>
  <si>
    <t>{"valorA":"aspirador","valorB":19}</t>
  </si>
  <si>
    <t>{"valorA":"roteador","valorB":20}</t>
  </si>
  <si>
    <t>{"valorA":"carregador de celular","valorB":16}</t>
  </si>
  <si>
    <t>{"valorA":"ventilador","valorB":20}</t>
  </si>
  <si>
    <t>{"valorA":"fone de ouvido","valorB":18}</t>
  </si>
  <si>
    <t>{"valorA":"computador","valorB":20}</t>
  </si>
  <si>
    <t>{"valorA":"relógio","valorB":17}</t>
  </si>
  <si>
    <t>{"valorA":"celular","valorB":14}</t>
  </si>
  <si>
    <t>{"valorA":"teclado de computador","valorB":24}</t>
  </si>
  <si>
    <t>{"valorA":"mouse de computador","valorB":13}</t>
  </si>
  <si>
    <t>{"valorA":"roteador","valorB":21}</t>
  </si>
  <si>
    <t>{"valorA":"relógio","valorB":18}</t>
  </si>
  <si>
    <t>{"valorA":"computador","valorB":21}</t>
  </si>
  <si>
    <t>{"valorA":"ventilador","valorB":21}</t>
  </si>
  <si>
    <t>{"valorA":"aspirador","valorB":20}</t>
  </si>
  <si>
    <t>{"valorA":"filtro de linha","valorB":20}</t>
  </si>
  <si>
    <t>{"valorA":"purificador de água","valorB":15}</t>
  </si>
  <si>
    <t>{"valorA":"celular","valorB":15}</t>
  </si>
  <si>
    <t>{"valorA":"liquidificador","valorB":22}</t>
  </si>
  <si>
    <t>{"valorA":"ventilador","valorB":22}</t>
  </si>
  <si>
    <t>{"valorA":"aspirador","valorB":21}</t>
  </si>
  <si>
    <t>{"valorA":"filtro de linha","valorB":21}</t>
  </si>
  <si>
    <t>{"valorA":"ventilador","valorB":23}</t>
  </si>
  <si>
    <t>{"valorA":"filtro de linha","valorB":22}</t>
  </si>
  <si>
    <t>{"valorA":"purificador de água","valorB":16}</t>
  </si>
  <si>
    <t>{"valorA":"chuveiro elétrico","valorB":25}</t>
  </si>
  <si>
    <t>{"valorA":"lustre","valorB":15}</t>
  </si>
  <si>
    <t>{"valorA":"teclado de computador","valorB":25}</t>
  </si>
  <si>
    <t>{"valorA":"lustre","valorB":16}</t>
  </si>
  <si>
    <t>{"valorA":"teclado de computador","valorB":26}</t>
  </si>
  <si>
    <t>{"valorA":"roteador","valorB":22}</t>
  </si>
  <si>
    <t>{"valorA":"carregador de computador","valorB":22}</t>
  </si>
  <si>
    <t>{"valorA":"relógio","valorB":19}</t>
  </si>
  <si>
    <t>{"valorA":"filtro de linha","valorB":23}</t>
  </si>
  <si>
    <t>{"valorA":"carregador de computador","valorB":23}</t>
  </si>
  <si>
    <t>{"valorA":"ventilador","valorB":24}</t>
  </si>
  <si>
    <t>{"valorA":"celular","valorB":16}</t>
  </si>
  <si>
    <t>{"valorA":"computador","valorB":22}</t>
  </si>
  <si>
    <t>{"valorA":"lustre","valorB":17}</t>
  </si>
  <si>
    <t>{"valorA":"roteador","valorB":23}</t>
  </si>
  <si>
    <t>{"valorA":"fogão","valorB":22}</t>
  </si>
  <si>
    <t>{"valorA":"ventilador","valorB":25}</t>
  </si>
  <si>
    <t>{"valorA":"fone de ouvido","valorB":19}</t>
  </si>
  <si>
    <t>{"valorA":"aspirador","valorB":22}</t>
  </si>
  <si>
    <t>{"valorA":"relógio","valorB":20}</t>
  </si>
  <si>
    <t>{"valorA":"liquidificador","valorB":23}</t>
  </si>
  <si>
    <t>{"valorA":"lustre","valorB":18}</t>
  </si>
  <si>
    <t>{"valorA":"relógio","valorB":21}</t>
  </si>
  <si>
    <t>{"valorA":"fogão","valorB":23}</t>
  </si>
  <si>
    <t>{"valorA":"chuveiro elétrico","valorB":26}</t>
  </si>
  <si>
    <t>{"valorA":"roteador","valorB":24}</t>
  </si>
  <si>
    <t>{"valorA":"ventilador","valorB":26}</t>
  </si>
  <si>
    <t>{"valorA":"purificador de água","valorB":17}</t>
  </si>
  <si>
    <t>{"valorA":"chuveiro elétrico","valorB":27}</t>
  </si>
  <si>
    <t>{"valorA":"purificador de água","valorB":18}</t>
  </si>
  <si>
    <t>{"valorA":"mouse de computador","valorB":14}</t>
  </si>
  <si>
    <t>{"valorA":"mouse de computador","valorB":15}</t>
  </si>
  <si>
    <t>{"valorA":"chuveiro elétrico","valorB":28}</t>
  </si>
  <si>
    <t>{"valorA":"roteador","valorB":25}</t>
  </si>
  <si>
    <t>{"valorA":"carregador de computador","valorB":24}</t>
  </si>
  <si>
    <t>{"valorA":"roteador","valorB":26}</t>
  </si>
  <si>
    <t>{"valorA":"purificador de água","valorB":19}</t>
  </si>
  <si>
    <t>{"valorA":"mouse de computador","valorB":16}</t>
  </si>
  <si>
    <t>{"valorA":"aspirador","valorB":23}</t>
  </si>
  <si>
    <t>{"valorA":"relógio","valorB":22}</t>
  </si>
  <si>
    <t>{"valorA":"carregador de celular","valorB":17}</t>
  </si>
  <si>
    <t>{"valorA":"liquidificador","valorB":24}</t>
  </si>
  <si>
    <t>{"valorA":"teclado de computador","valorB":27}</t>
  </si>
  <si>
    <t>{"valorA":"aspirador","valorB":24}</t>
  </si>
  <si>
    <t>{"valorA":"mouse de computador","valorB":17}</t>
  </si>
  <si>
    <t>{"valorA":"computador","valorB":23}</t>
  </si>
  <si>
    <t>{"valorA":"aspirador","valorB":25}</t>
  </si>
  <si>
    <t>{"valorA":"computador","valorB":24}</t>
  </si>
  <si>
    <t>{"valorA":"relógio","valorB":23}</t>
  </si>
  <si>
    <t>{"valorA":"fone de ouvido","valorB":20}</t>
  </si>
  <si>
    <t>{"valorA":"lustre","valorB":19}</t>
  </si>
  <si>
    <t>{"valorA":"aspirador","valorB":26}</t>
  </si>
  <si>
    <t>{"valorA":"chuveiro elétrico","valorB":29}</t>
  </si>
  <si>
    <t>{"valorA":"filtro de linha","valorB":24}</t>
  </si>
  <si>
    <t>{"valorA":"computador","valorB":25}</t>
  </si>
  <si>
    <t>{"valorA":"chuveiro elétrico","valorB":30}</t>
  </si>
  <si>
    <t>{"valorA":"chuveiro elétrico","valorB":31}</t>
  </si>
  <si>
    <t>{"valorA":"celular","valorB":17}</t>
  </si>
  <si>
    <t>{"valorA":"relógio","valorB":24}</t>
  </si>
  <si>
    <t>{"valorA":"computador","valorB":26}</t>
  </si>
  <si>
    <t>{"valorA":"teclado de computador","valorB":28}</t>
  </si>
  <si>
    <t>{"valorA":"purificador de água","valorB":20}</t>
  </si>
  <si>
    <t>{"valorA":"celular","valorB":18}</t>
  </si>
  <si>
    <t>{"valorA":"mouse de computador","valorB":18}</t>
  </si>
  <si>
    <t>{"valorA":"fone de ouvido","valorB":21}</t>
  </si>
  <si>
    <t>{"valorA":"purificador de água","valorB":21}</t>
  </si>
  <si>
    <t>{"valorA":"chuveiro elétrico","valorB":32}</t>
  </si>
  <si>
    <t>{"valorA":"carregador de computador","valorB":25}</t>
  </si>
  <si>
    <t>{"valorA":"relógio","valorB":25}</t>
  </si>
  <si>
    <t>{"valorA":"celular","valorB":19}</t>
  </si>
  <si>
    <t>{"valorA":"relógio","valorB":26}</t>
  </si>
  <si>
    <t>{"valorA":"ventilador","valorB":27}</t>
  </si>
  <si>
    <t>{"valorA":"fogão","valorB":24}</t>
  </si>
  <si>
    <t>{"valorA":"chuveiro elétrico","valorB":33}</t>
  </si>
  <si>
    <t>{"valorA":"filtro de linha","valorB":25}</t>
  </si>
  <si>
    <t>{"valorA":"fogão","valorB":25}</t>
  </si>
  <si>
    <t>{"valorA":"aspirador","valorB":27}</t>
  </si>
  <si>
    <t>{"valorA":"lustre","valorB":20}</t>
  </si>
  <si>
    <t>{"valorA":"mouse de computador","valorB":19}</t>
  </si>
  <si>
    <t>{"valorA":"aspirador","valorB":28}</t>
  </si>
  <si>
    <t>{"valorA":"fone de ouvido","valorB":22}</t>
  </si>
  <si>
    <t>{"valorA":"celular","valorB":20}</t>
  </si>
  <si>
    <t>{"valorA":"mouse de computador","valorB":20}</t>
  </si>
  <si>
    <t>{"valorA":"computador","valorB":27}</t>
  </si>
  <si>
    <t>{"valorA":"relógio","valorB":27}</t>
  </si>
  <si>
    <t>{"valorA":"roteador","valorB":27}</t>
  </si>
  <si>
    <t>{"valorA":"ventilador","valorB":28}</t>
  </si>
  <si>
    <t>{"valorA":"teclado de computador","valorB":29}</t>
  </si>
  <si>
    <t>{"valorA":"aspirador","valorB":29}</t>
  </si>
  <si>
    <t>{"valorA":"liquidificador","valorB":25}</t>
  </si>
  <si>
    <t>{"valorA":"carregador de celular","valorB":18}</t>
  </si>
  <si>
    <t>{"valorA":"aspirador","valorB":30}</t>
  </si>
  <si>
    <t>{"valorA":"aspirador","valorB":31}</t>
  </si>
  <si>
    <t>{"valorA":"fone de ouvido","valorB":23}</t>
  </si>
  <si>
    <t>{"valorA":"roteador","valorB":28}</t>
  </si>
  <si>
    <t>{"valorA":"relógio","valorB":28}</t>
  </si>
  <si>
    <t>{"valorA":"fone de ouvido","valorB":24}</t>
  </si>
  <si>
    <t xml:space="preserve">ótimo esse brinquedo para crianças. Meus filhos adoram jogá-lo.
ótimo produto esse frigorífico. Funciona perfeitamente.
ótimo desse frigorífico. Gostei muito do resultado.
ótimo e confiável este scanner.
ótimo produto! Vale a pena o preço que paguei.
ótimo produto, muito satisfeito com a compra!
ótimo produto, meu filho adora ele.
ótimo produto! Funciona bem e é fácil de usar.
ótimo produto essa creme hidratante. Agradeço a compra.
ótimo produto! Adorei o resultado.
ótimo e confortável essa cadeira que comprei.
ótimo produto! Gostei muito do resultado.
ótimo desequeiro que comprei ontem. Funciona perfeitamente.
ótimo produto! Funciona perfeitamente e é fácil de usar.
ótimo produto, recomendo!
ótimo produto, serve bem para mim!
ótimo relojoeira. Perfecta para quem precisa de algo simples e fácil de usar.
ótimo e confortável essa cadeira de escritório que comprei.
ótimo produto essa creme para as mãos. Funciona perfeitamente.
ótimo carro. Funciona perfeitamente, é confortável e seguro.
ótimo produto! Bem mais barato do que o meu antigo e funciona perfeitamente
ótimo esse fone bluetooth. Gostei muito.
ótimo produto, muito satisfeito!
ótimo produto essa câmera. Fotoincríveis!
ótimo produto essa cadeira. Perfeita para minhas necessidades.
ótimo produto, muito satisfeito com o preço.
ótimo relojoeira. Funciona perfeitamente e é bela também.
ótimo relojoeiro que comprei ontem. Perfecto para mim.
ótimo produto. Gostei muito do resultado.
ótimo desse brinquedo para criança. Ele adora jogá-lo.
ótimo relojoeiro. Me encanta.
ótimo relojoeira. Perfeita para quem está começando a treinar.
ótimo comprimento deste chapéu. É perfeito para mim.
ótimo produto, é realmente incrível.
ótimo produto esse relogio de alta qualidade. Funciona bem e é precioso.
ótimo produto! Vale a pena o preço que paguei.
ótimo produto, gosto muito!
ótimo produto, bem melhor do que o meu antigo.
ótimo! Este produto é incrível. Vale a pena comprar.
ótimo produto esse refrigerante. Gostei muito da qualidade.
ótimo produto, fico feliz com a compra!
ótimo produto esse lavalier. Gostei muito.
ótimo produto dessa loja online. Gosto muito!
ótimo produto, é o melhor da categoría!
 Meu novo carro é incrível. Muito satisfeito com a compra!
ótimo produto, realmente útil. Adorei!
 Meu carro é incrível. Perfeito para mim.
ótimo relojoeira. Adorei.
ótimo produto, é realmente incrível. É o meu novo favorito.
ótimo esse chapéu de sol. É muito confortável.
</t>
  </si>
  <si>
    <t>filhos</t>
  </si>
  <si>
    <t>jogálo</t>
  </si>
  <si>
    <t>agradeço</t>
  </si>
  <si>
    <t>desequeiro</t>
  </si>
  <si>
    <t>serve</t>
  </si>
  <si>
    <t>mim</t>
  </si>
  <si>
    <t>perfecta</t>
  </si>
  <si>
    <t>algo</t>
  </si>
  <si>
    <t>simples</t>
  </si>
  <si>
    <t>antigo</t>
  </si>
  <si>
    <t>fotoincríveis</t>
  </si>
  <si>
    <t>necessidades</t>
  </si>
  <si>
    <t>bela</t>
  </si>
  <si>
    <t>criança</t>
  </si>
  <si>
    <t>encanta</t>
  </si>
  <si>
    <t>está</t>
  </si>
  <si>
    <t>começando</t>
  </si>
  <si>
    <t>treinar</t>
  </si>
  <si>
    <t>perfeito</t>
  </si>
  <si>
    <t>precioso</t>
  </si>
  <si>
    <t>lavalier</t>
  </si>
  <si>
    <t>categoría</t>
  </si>
  <si>
    <t>sol</t>
  </si>
  <si>
    <t>{"valorA":"confiável","valorB":1}</t>
  </si>
  <si>
    <t>Fórmula Contagem</t>
  </si>
  <si>
    <t>{"valorA":"funciona","valorB":1}</t>
  </si>
  <si>
    <t>CONT.VALORES('Flink - LLM 7b Llama - S/ Tratamento - Palavras'!A2:A369)</t>
  </si>
  <si>
    <t>{"valorA":"frigorífico","valorB":1}</t>
  </si>
  <si>
    <t>{"valorA":"para","valorB":1}</t>
  </si>
  <si>
    <t>{"valorA":"gostei","valorB":1}</t>
  </si>
  <si>
    <t>{"valorA":"este","valorB":1}</t>
  </si>
  <si>
    <t>{"valorA":"esse","valorB":1}</t>
  </si>
  <si>
    <t>{"valorA":"crianças","valorB":1}</t>
  </si>
  <si>
    <t>{"valorA":"desse","valorB":1}</t>
  </si>
  <si>
    <t>{"valorA":"adoram","valorB":1}</t>
  </si>
  <si>
    <t>{"valorA":"produto","valorB":1}</t>
  </si>
  <si>
    <t>{"valorA":"scanner","valorB":1}</t>
  </si>
  <si>
    <t>{"valorA":"meus","valorB":1}</t>
  </si>
  <si>
    <t>{"valorA":"muito","valorB":1}</t>
  </si>
  <si>
    <t>{"valorA":"o","valorB":1}</t>
  </si>
  <si>
    <t>{"valorA":"ótimo","valorB":1}</t>
  </si>
  <si>
    <t>{"valorA":"frigorífico","valorB":2}</t>
  </si>
  <si>
    <t>{"valorA":"vale","valorB":1}</t>
  </si>
  <si>
    <t>{"valorA":"que","valorB":1}</t>
  </si>
  <si>
    <t>{"valorA":"brinquedo","valorB":1}</t>
  </si>
  <si>
    <t>{"valorA":"filhos","valorB":1}</t>
  </si>
  <si>
    <t>{"valorA":"jogálo","valorB":1}</t>
  </si>
  <si>
    <t>{"valorA":"perfeitamente","valorB":1}</t>
  </si>
  <si>
    <t>{"valorA":"a","valorB":1}</t>
  </si>
  <si>
    <t>{"valorA":"resultado","valorB":1}</t>
  </si>
  <si>
    <t>{"valorA":"pena","valorB":1}</t>
  </si>
  <si>
    <t>{"valorA":"produto","valorB":2}</t>
  </si>
  <si>
    <t>{"valorA":"esse","valorB":2}</t>
  </si>
  <si>
    <t>{"valorA":"ótimo","valorB":2}</t>
  </si>
  <si>
    <t>{"valorA":"ótimo","valorB":3}</t>
  </si>
  <si>
    <t>{"valorA":"do","valorB":1}</t>
  </si>
  <si>
    <t>{"valorA":"preço","valorB":1}</t>
  </si>
  <si>
    <t>{"valorA":"paguei","valorB":1}</t>
  </si>
  <si>
    <t>{"valorA":"ótimo","valorB":4}</t>
  </si>
  <si>
    <t>{"valorA":"e","valorB":1}</t>
  </si>
  <si>
    <t>{"valorA":"ótimo","valorB":5}</t>
  </si>
  <si>
    <t>{"valorA":"a","valorB":2}</t>
  </si>
  <si>
    <t>{"valorA":"produto","valorB":3}</t>
  </si>
  <si>
    <t>{"valorA":"ótimo","valorB":6}</t>
  </si>
  <si>
    <t>{"valorA":"muito","valorB":2}</t>
  </si>
  <si>
    <t>{"valorA":"compra","valorB":1}</t>
  </si>
  <si>
    <t>{"valorA":"satisfeito","valorB":1}</t>
  </si>
  <si>
    <t>{"valorA":"com","valorB":1}</t>
  </si>
  <si>
    <t>{"valorA":"produto","valorB":4}</t>
  </si>
  <si>
    <t>{"valorA":"filho","valorB":1}</t>
  </si>
  <si>
    <t>{"valorA":"adora","valorB":1}</t>
  </si>
  <si>
    <t>{"valorA":"meu","valorB":1}</t>
  </si>
  <si>
    <t>{"valorA":"ótimo","valorB":7}</t>
  </si>
  <si>
    <t>{"valorA":"ele","valorB":1}</t>
  </si>
  <si>
    <t>{"valorA":"ótimo","valorB":8}</t>
  </si>
  <si>
    <t>{"valorA":"produto","valorB":5}</t>
  </si>
  <si>
    <t>{"valorA":"bem","valorB":1}</t>
  </si>
  <si>
    <t>{"valorA":"e","valorB":2}</t>
  </si>
  <si>
    <t>{"valorA":"fácil","valorB":1}</t>
  </si>
  <si>
    <t>{"valorA":"funciona","valorB":2}</t>
  </si>
  <si>
    <t>{"valorA":"é","valorB":1}</t>
  </si>
  <si>
    <t>{"valorA":"de","valorB":1}</t>
  </si>
  <si>
    <t>{"valorA":"usar","valorB":1}</t>
  </si>
  <si>
    <t>{"valorA":"produto","valorB":6}</t>
  </si>
  <si>
    <t>{"valorA":"essa","valorB":1}</t>
  </si>
  <si>
    <t>{"valorA":"ótimo","valorB":9}</t>
  </si>
  <si>
    <t>{"valorA":"agradeço","valorB":1}</t>
  </si>
  <si>
    <t>{"valorA":"a","valorB":3}</t>
  </si>
  <si>
    <t>{"valorA":"compra","valorB":2}</t>
  </si>
  <si>
    <t>{"valorA":"creme","valorB":1}</t>
  </si>
  <si>
    <t>{"valorA":"hidratante","valorB":1}</t>
  </si>
  <si>
    <t>{"valorA":"ótimo","valorB":10}</t>
  </si>
  <si>
    <t>{"valorA":"o","valorB":2}</t>
  </si>
  <si>
    <t>{"valorA":"adorei","valorB":1}</t>
  </si>
  <si>
    <t>{"valorA":"produto","valorB":7}</t>
  </si>
  <si>
    <t>{"valorA":"resultado","valorB":2}</t>
  </si>
  <si>
    <t>{"valorA":"que","valorB":2}</t>
  </si>
  <si>
    <t>{"valorA":"essa","valorB":2}</t>
  </si>
  <si>
    <t>{"valorA":"cadeira","valorB":1}</t>
  </si>
  <si>
    <t>{"valorA":"ótimo","valorB":11}</t>
  </si>
  <si>
    <t>{"valorA":"confortável","valorB":1}</t>
  </si>
  <si>
    <t>{"valorA":"comprei","valorB":1}</t>
  </si>
  <si>
    <t>{"valorA":"e","valorB":3}</t>
  </si>
  <si>
    <t>{"valorA":"ótimo","valorB":12}</t>
  </si>
  <si>
    <t>{"valorA":"gostei","valorB":2}</t>
  </si>
  <si>
    <t>{"valorA":"produto","valorB":8}</t>
  </si>
  <si>
    <t>{"valorA":"muito","valorB":3}</t>
  </si>
  <si>
    <t>{"valorA":"resultado","valorB":3}</t>
  </si>
  <si>
    <t>{"valorA":"do","valorB":2}</t>
  </si>
  <si>
    <t>{"valorA":"que","valorB":3}</t>
  </si>
  <si>
    <t>{"valorA":"desequeiro","valorB":1}</t>
  </si>
  <si>
    <t>{"valorA":"ótimo","valorB":13}</t>
  </si>
  <si>
    <t>{"valorA":"comprei","valorB":2}</t>
  </si>
  <si>
    <t>{"valorA":"funciona","valorB":3}</t>
  </si>
  <si>
    <t>{"valorA":"ontem","valorB":1}</t>
  </si>
  <si>
    <t>{"valorA":"perfeitamente","valorB":2}</t>
  </si>
  <si>
    <t>{"valorA":"funciona","valorB":4}</t>
  </si>
  <si>
    <t>{"valorA":"perfeitamente","valorB":3}</t>
  </si>
  <si>
    <t>{"valorA":"produto","valorB":9}</t>
  </si>
  <si>
    <t>{"valorA":"ótimo","valorB":14}</t>
  </si>
  <si>
    <t>{"valorA":"é","valorB":2}</t>
  </si>
  <si>
    <t>{"valorA":"de","valorB":2}</t>
  </si>
  <si>
    <t>{"valorA":"e","valorB":4}</t>
  </si>
  <si>
    <t>{"valorA":"fácil","valorB":2}</t>
  </si>
  <si>
    <t>{"valorA":"usar","valorB":2}</t>
  </si>
  <si>
    <t>{"valorA":"recomendo","valorB":1}</t>
  </si>
  <si>
    <t>{"valorA":"produto","valorB":10}</t>
  </si>
  <si>
    <t>{"valorA":"ótimo","valorB":15}</t>
  </si>
  <si>
    <t>{"valorA":"para","valorB":2}</t>
  </si>
  <si>
    <t>{"valorA":"produto","valorB":11}</t>
  </si>
  <si>
    <t>{"valorA":"ótimo","valorB":16}</t>
  </si>
  <si>
    <t>{"valorA":"serve","valorB":1}</t>
  </si>
  <si>
    <t>{"valorA":"bem","valorB":2}</t>
  </si>
  <si>
    <t>{"valorA":"mim","valorB":1}</t>
  </si>
  <si>
    <t>{"valorA":"quem","valorB":1}</t>
  </si>
  <si>
    <t>{"valorA":"perfecta","valorB":1}</t>
  </si>
  <si>
    <t>{"valorA":"ótimo","valorB":17}</t>
  </si>
  <si>
    <t>{"valorA":"de","valorB":3}</t>
  </si>
  <si>
    <t>{"valorA":"simples","valorB":1}</t>
  </si>
  <si>
    <t>{"valorA":"de","valorB":4}</t>
  </si>
  <si>
    <t>{"valorA":"usar","valorB":3}</t>
  </si>
  <si>
    <t>{"valorA":"e","valorB":5}</t>
  </si>
  <si>
    <t>{"valorA":"fácil","valorB":3}</t>
  </si>
  <si>
    <t>{"valorA":"algo","valorB":1}</t>
  </si>
  <si>
    <t>{"valorA":"relojoeira","valorB":1}</t>
  </si>
  <si>
    <t>{"valorA":"para","valorB":3}</t>
  </si>
  <si>
    <t>{"valorA":"precisa","valorB":1}</t>
  </si>
  <si>
    <t>{"valorA":"ótimo","valorB":18}</t>
  </si>
  <si>
    <t>{"valorA":"essa","valorB":3}</t>
  </si>
  <si>
    <t>{"valorA":"de","valorB":5}</t>
  </si>
  <si>
    <t>{"valorA":"confortável","valorB":2}</t>
  </si>
  <si>
    <t>{"valorA":"e","valorB":6}</t>
  </si>
  <si>
    <t>{"valorA":"cadeira","valorB":2}</t>
  </si>
  <si>
    <t>{"valorA":"comprei","valorB":3}</t>
  </si>
  <si>
    <t>{"valorA":"escritório","valorB":1}</t>
  </si>
  <si>
    <t>{"valorA":"que","valorB":4}</t>
  </si>
  <si>
    <t>{"valorA":"essa","valorB":4}</t>
  </si>
  <si>
    <t>{"valorA":"funciona","valorB":5}</t>
  </si>
  <si>
    <t>{"valorA":"perfeitamente","valorB":4}</t>
  </si>
  <si>
    <t>{"valorA":"produto","valorB":12}</t>
  </si>
  <si>
    <t>{"valorA":"para","valorB":4}</t>
  </si>
  <si>
    <t>{"valorA":"mãos","valorB":1}</t>
  </si>
  <si>
    <t>{"valorA":"ótimo","valorB":19}</t>
  </si>
  <si>
    <t>{"valorA":"creme","valorB":2}</t>
  </si>
  <si>
    <t>{"valorA":"as","valorB":1}</t>
  </si>
  <si>
    <t>{"valorA":"perfeitamente","valorB":5}</t>
  </si>
  <si>
    <t>{"valorA":"funciona","valorB":6}</t>
  </si>
  <si>
    <t>{"valorA":"ótimo","valorB":20}</t>
  </si>
  <si>
    <t>{"valorA":"é","valorB":3}</t>
  </si>
  <si>
    <t>{"valorA":"confortável","valorB":3}</t>
  </si>
  <si>
    <t>{"valorA":"carro","valorB":1}</t>
  </si>
  <si>
    <t>{"valorA":"e","valorB":7}</t>
  </si>
  <si>
    <t>{"valorA":"seguro","valorB":1}</t>
  </si>
  <si>
    <t>{"valorA":"mais","valorB":1}</t>
  </si>
  <si>
    <t>{"valorA":"que","valorB":5}</t>
  </si>
  <si>
    <t>{"valorA":"produto","valorB":13}</t>
  </si>
  <si>
    <t>{"valorA":"barato","valorB":1}</t>
  </si>
  <si>
    <t>{"valorA":"funciona","valorB":7}</t>
  </si>
  <si>
    <t>{"valorA":"meu","valorB":2}</t>
  </si>
  <si>
    <t>{"valorA":"antigo","valorB":1}</t>
  </si>
  <si>
    <t>{"valorA":"ótimo","valorB":21}</t>
  </si>
  <si>
    <t>{"valorA":"perfeitamente","valorB":6}</t>
  </si>
  <si>
    <t>{"valorA":"o","valorB":3}</t>
  </si>
  <si>
    <t>{"valorA":"bem","valorB":3}</t>
  </si>
  <si>
    <t>{"valorA":"do","valorB":3}</t>
  </si>
  <si>
    <t>{"valorA":"e","valorB":8}</t>
  </si>
  <si>
    <t>{"valorA":"muito","valorB":4}</t>
  </si>
  <si>
    <t>{"valorA":"gostei","valorB":3}</t>
  </si>
  <si>
    <t>{"valorA":"fone","valorB":1}</t>
  </si>
  <si>
    <t>{"valorA":"ótimo","valorB":22}</t>
  </si>
  <si>
    <t>{"valorA":"esse","valorB":3}</t>
  </si>
  <si>
    <t>{"valorA":"bluetooth","valorB":1}</t>
  </si>
  <si>
    <t>{"valorA":"ótimo","valorB":23}</t>
  </si>
  <si>
    <t>{"valorA":"muito","valorB":5}</t>
  </si>
  <si>
    <t>{"valorA":"produto","valorB":14}</t>
  </si>
  <si>
    <t>{"valorA":"satisfeito","valorB":2}</t>
  </si>
  <si>
    <t>{"valorA":"essa","valorB":5}</t>
  </si>
  <si>
    <t>{"valorA":"produto","valorB":15}</t>
  </si>
  <si>
    <t>{"valorA":"fotoincríveis","valorB":1}</t>
  </si>
  <si>
    <t>{"valorA":"ótimo","valorB":24}</t>
  </si>
  <si>
    <t>{"valorA":"câmera","valorB":1}</t>
  </si>
  <si>
    <t>{"valorA":"essa","valorB":6}</t>
  </si>
  <si>
    <t>{"valorA":"produto","valorB":16}</t>
  </si>
  <si>
    <t>{"valorA":"cadeira","valorB":3}</t>
  </si>
  <si>
    <t>{"valorA":"minhas","valorB":1}</t>
  </si>
  <si>
    <t>{"valorA":"perfeita","valorB":1}</t>
  </si>
  <si>
    <t>{"valorA":"para","valorB":5}</t>
  </si>
  <si>
    <t>{"valorA":"ótimo","valorB":25}</t>
  </si>
  <si>
    <t>{"valorA":"necessidades","valorB":1}</t>
  </si>
  <si>
    <t>{"valorA":"preço","valorB":2}</t>
  </si>
  <si>
    <t>{"valorA":"ótimo","valorB":26}</t>
  </si>
  <si>
    <t>{"valorA":"o","valorB":4}</t>
  </si>
  <si>
    <t>{"valorA":"muito","valorB":6}</t>
  </si>
  <si>
    <t>{"valorA":"produto","valorB":17}</t>
  </si>
  <si>
    <t>{"valorA":"satisfeito","valorB":3}</t>
  </si>
  <si>
    <t>{"valorA":"com","valorB":2}</t>
  </si>
  <si>
    <t>{"valorA":"relojoeira","valorB":2}</t>
  </si>
  <si>
    <t>{"valorA":"funciona","valorB":8}</t>
  </si>
  <si>
    <t>{"valorA":"perfeitamente","valorB":7}</t>
  </si>
  <si>
    <t>{"valorA":"ótimo","valorB":27}</t>
  </si>
  <si>
    <t>{"valorA":"é","valorB":4}</t>
  </si>
  <si>
    <t>{"valorA":"bela","valorB":1}</t>
  </si>
  <si>
    <t>{"valorA":"e","valorB":9}</t>
  </si>
  <si>
    <t>{"valorA":"também","valorB":1}</t>
  </si>
  <si>
    <t>{"valorA":"perfecto","valorB":1}</t>
  </si>
  <si>
    <t>{"valorA":"que","valorB":6}</t>
  </si>
  <si>
    <t>{"valorA":"relojoeiro","valorB":1}</t>
  </si>
  <si>
    <t>{"valorA":"ontem","valorB":2}</t>
  </si>
  <si>
    <t>{"valorA":"para","valorB":6}</t>
  </si>
  <si>
    <t>{"valorA":"ótimo","valorB":28}</t>
  </si>
  <si>
    <t>{"valorA":"comprei","valorB":4}</t>
  </si>
  <si>
    <t>{"valorA":"mim","valorB":2}</t>
  </si>
  <si>
    <t>{"valorA":"ótimo","valorB":29}</t>
  </si>
  <si>
    <t>{"valorA":"produto","valorB":18}</t>
  </si>
  <si>
    <t>{"valorA":"resultado","valorB":4}</t>
  </si>
  <si>
    <t>{"valorA":"gostei","valorB":4}</t>
  </si>
  <si>
    <t>{"valorA":"muito","valorB":7}</t>
  </si>
  <si>
    <t>{"valorA":"do","valorB":4}</t>
  </si>
  <si>
    <t>{"valorA":"adora","valorB":2}</t>
  </si>
  <si>
    <t>{"valorA":"criança","valorB":1}</t>
  </si>
  <si>
    <t>{"valorA":"jogálo","valorB":2}</t>
  </si>
  <si>
    <t>{"valorA":"para","valorB":7}</t>
  </si>
  <si>
    <t>{"valorA":"ótimo","valorB":30}</t>
  </si>
  <si>
    <t>{"valorA":"brinquedo","valorB":2}</t>
  </si>
  <si>
    <t>{"valorA":"desse","valorB":2}</t>
  </si>
  <si>
    <t>{"valorA":"ele","valorB":2}</t>
  </si>
  <si>
    <t>{"valorA":"ótimo","valorB":31}</t>
  </si>
  <si>
    <t>{"valorA":"encanta","valorB":1}</t>
  </si>
  <si>
    <t>{"valorA":"relojoeiro","valorB":2}</t>
  </si>
  <si>
    <t>{"valorA":"me","valorB":1}</t>
  </si>
  <si>
    <t>{"valorA":"relojoeira","valorB":3}</t>
  </si>
  <si>
    <t>{"valorA":"a","valorB":4}</t>
  </si>
  <si>
    <t>{"valorA":"perfeita","valorB":2}</t>
  </si>
  <si>
    <t>{"valorA":"treinar","valorB":1}</t>
  </si>
  <si>
    <t>{"valorA":"começando","valorB":1}</t>
  </si>
  <si>
    <t>{"valorA":"para","valorB":8}</t>
  </si>
  <si>
    <t>{"valorA":"ótimo","valorB":32}</t>
  </si>
  <si>
    <t>{"valorA":"quem","valorB":2}</t>
  </si>
  <si>
    <t>{"valorA":"está","valorB":1}</t>
  </si>
  <si>
    <t>{"valorA":"comprimento","valorB":1}</t>
  </si>
  <si>
    <t>{"valorA":"ótimo","valorB":33}</t>
  </si>
  <si>
    <t>{"valorA":"chapéu","valorB":1}</t>
  </si>
  <si>
    <t>{"valorA":"deste","valorB":1}</t>
  </si>
  <si>
    <t>{"valorA":"é","valorB":5}</t>
  </si>
  <si>
    <t>{"valorA":"para","valorB":9}</t>
  </si>
  <si>
    <t>{"valorA":"perfeito","valorB":1}</t>
  </si>
  <si>
    <t>{"valorA":"mim","valorB":3}</t>
  </si>
  <si>
    <t>{"valorA":"ótimo","valorB":34}</t>
  </si>
  <si>
    <t>{"valorA":"produto","valorB":19}</t>
  </si>
  <si>
    <t>{"valorA":"incrível","valorB":1}</t>
  </si>
  <si>
    <t>{"valorA":"realmente","valorB":1}</t>
  </si>
  <si>
    <t>{"valorA":"é","valorB":6}</t>
  </si>
  <si>
    <t>{"valorA":"ótimo","valorB":35}</t>
  </si>
  <si>
    <t>{"valorA":"produto","valorB":20}</t>
  </si>
  <si>
    <t>{"valorA":"relogio","valorB":1}</t>
  </si>
  <si>
    <t>{"valorA":"esse","valorB":4}</t>
  </si>
  <si>
    <t>{"valorA":"alta","valorB":1}</t>
  </si>
  <si>
    <t>{"valorA":"de","valorB":6}</t>
  </si>
  <si>
    <t>{"valorA":"funciona","valorB":9}</t>
  </si>
  <si>
    <t>{"valorA":"qualidade","valorB":1}</t>
  </si>
  <si>
    <t>{"valorA":"bem","valorB":4}</t>
  </si>
  <si>
    <t>{"valorA":"é","valorB":7}</t>
  </si>
  <si>
    <t>{"valorA":"e","valorB":10}</t>
  </si>
  <si>
    <t>{"valorA":"precioso","valorB":1}</t>
  </si>
  <si>
    <t>{"valorA":"o","valorB":5}</t>
  </si>
  <si>
    <t>{"valorA":"ótimo","valorB":36}</t>
  </si>
  <si>
    <t>{"valorA":"paguei","valorB":2}</t>
  </si>
  <si>
    <t>{"valorA":"preço","valorB":3}</t>
  </si>
  <si>
    <t>{"valorA":"que","valorB":7}</t>
  </si>
  <si>
    <t>{"valorA":"a","valorB":5}</t>
  </si>
  <si>
    <t>{"valorA":"vale","valorB":2}</t>
  </si>
  <si>
    <t>{"valorA":"produto","valorB":21}</t>
  </si>
  <si>
    <t>{"valorA":"pena","valorB":2}</t>
  </si>
  <si>
    <t>{"valorA":"produto","valorB":22}</t>
  </si>
  <si>
    <t>{"valorA":"ótimo","valorB":37}</t>
  </si>
  <si>
    <t>{"valorA":"muito","valorB":8}</t>
  </si>
  <si>
    <t>{"valorA":"gosto","valorB":1}</t>
  </si>
  <si>
    <t>{"valorA":"que","valorB":8}</t>
  </si>
  <si>
    <t>{"valorA":"meu","valorB":3}</t>
  </si>
  <si>
    <t>{"valorA":"o","valorB":6}</t>
  </si>
  <si>
    <t>{"valorA":"produto","valorB":23}</t>
  </si>
  <si>
    <t>{"valorA":"melhor","valorB":1}</t>
  </si>
  <si>
    <t>{"valorA":"ótimo","valorB":38}</t>
  </si>
  <si>
    <t>{"valorA":"bem","valorB":5}</t>
  </si>
  <si>
    <t>{"valorA":"do","valorB":5}</t>
  </si>
  <si>
    <t>{"valorA":"antigo","valorB":2}</t>
  </si>
  <si>
    <t>{"valorA":"ótimo","valorB":39}</t>
  </si>
  <si>
    <t>{"valorA":"pena","valorB":3}</t>
  </si>
  <si>
    <t>{"valorA":"produto","valorB":24}</t>
  </si>
  <si>
    <t>{"valorA":"é","valorB":8}</t>
  </si>
  <si>
    <t>{"valorA":"este","valorB":2}</t>
  </si>
  <si>
    <t>{"valorA":"comprar","valorB":1}</t>
  </si>
  <si>
    <t>{"valorA":"a","valorB":6}</t>
  </si>
  <si>
    <t>{"valorA":"vale","valorB":3}</t>
  </si>
  <si>
    <t>{"valorA":"incrível","valorB":2}</t>
  </si>
  <si>
    <t>{"valorA":"ótimo","valorB":40}</t>
  </si>
  <si>
    <t>{"valorA":"muito","valorB":9}</t>
  </si>
  <si>
    <t>{"valorA":"produto","valorB":25}</t>
  </si>
  <si>
    <t>{"valorA":"esse","valorB":5}</t>
  </si>
  <si>
    <t>{"valorA":"gostei","valorB":5}</t>
  </si>
  <si>
    <t>{"valorA":"da","valorB":1}</t>
  </si>
  <si>
    <t>{"valorA":"qualidade","valorB":2}</t>
  </si>
  <si>
    <t>{"valorA":"refrigerante","valorB":1}</t>
  </si>
  <si>
    <t>{"valorA":"a","valorB":7}</t>
  </si>
  <si>
    <t>{"valorA":"fico","valorB":1}</t>
  </si>
  <si>
    <t>{"valorA":"produto","valorB":26}</t>
  </si>
  <si>
    <t>{"valorA":"ótimo","valorB":41}</t>
  </si>
  <si>
    <t>{"valorA":"feliz","valorB":1}</t>
  </si>
  <si>
    <t>{"valorA":"com","valorB":3}</t>
  </si>
  <si>
    <t>{"valorA":"compra","valorB":3}</t>
  </si>
  <si>
    <t>{"valorA":"ótimo","valorB":42}</t>
  </si>
  <si>
    <t>{"valorA":"lavalier","valorB":1}</t>
  </si>
  <si>
    <t>{"valorA":"esse","valorB":6}</t>
  </si>
  <si>
    <t>{"valorA":"gostei","valorB":6}</t>
  </si>
  <si>
    <t>{"valorA":"produto","valorB":27}</t>
  </si>
  <si>
    <t>{"valorA":"muito","valorB":10}</t>
  </si>
  <si>
    <t>{"valorA":"ótimo","valorB":43}</t>
  </si>
  <si>
    <t>{"valorA":"loja","valorB":1}</t>
  </si>
  <si>
    <t>{"valorA":"dessa","valorB":1}</t>
  </si>
  <si>
    <t>{"valorA":"produto","valorB":28}</t>
  </si>
  <si>
    <t>{"valorA":"online","valorB":1}</t>
  </si>
  <si>
    <t>{"valorA":"muito","valorB":11}</t>
  </si>
  <si>
    <t>{"valorA":"gosto","valorB":2}</t>
  </si>
  <si>
    <t>{"valorA":"o","valorB":7}</t>
  </si>
  <si>
    <t>{"valorA":"é","valorB":9}</t>
  </si>
  <si>
    <t>{"valorA":"produto","valorB":29}</t>
  </si>
  <si>
    <t>{"valorA":"ótimo","valorB":44}</t>
  </si>
  <si>
    <t>{"valorA":"melhor","valorB":2}</t>
  </si>
  <si>
    <t>{"valorA":"da","valorB":2}</t>
  </si>
  <si>
    <t>{"valorA":"categoría","valorB":1}</t>
  </si>
  <si>
    <t>{"valorA":"é","valorB":10}</t>
  </si>
  <si>
    <t>{"valorA":"meu","valorB":4}</t>
  </si>
  <si>
    <t>{"valorA":"carro","valorB":2}</t>
  </si>
  <si>
    <t>{"valorA":"novo","valorB":1}</t>
  </si>
  <si>
    <t>{"valorA":"muito","valorB":12}</t>
  </si>
  <si>
    <t>{"valorA":"satisfeito","valorB":4}</t>
  </si>
  <si>
    <t>{"valorA":"a","valorB":8}</t>
  </si>
  <si>
    <t>{"valorA":"com","valorB":4}</t>
  </si>
  <si>
    <t>{"valorA":"incrível","valorB":3}</t>
  </si>
  <si>
    <t>{"valorA":"compra","valorB":4}</t>
  </si>
  <si>
    <t>{"valorA":"produto","valorB":30}</t>
  </si>
  <si>
    <t>{"valorA":"realmente","valorB":2}</t>
  </si>
  <si>
    <t>{"valorA":"ótimo","valorB":45}</t>
  </si>
  <si>
    <t>{"valorA":"adorei","valorB":2}</t>
  </si>
  <si>
    <t>{"valorA":"útil","valorB":1}</t>
  </si>
  <si>
    <t>{"valorA":"é","valorB":11}</t>
  </si>
  <si>
    <t>{"valorA":"incrível","valorB":4}</t>
  </si>
  <si>
    <t>{"valorA":"carro","valorB":3}</t>
  </si>
  <si>
    <t>{"valorA":"meu","valorB":5}</t>
  </si>
  <si>
    <t>{"valorA":"perfeito","valorB":2}</t>
  </si>
  <si>
    <t>{"valorA":"para","valorB":10}</t>
  </si>
  <si>
    <t>{"valorA":"mim","valorB":4}</t>
  </si>
  <si>
    <t>{"valorA":"ótimo","valorB":46}</t>
  </si>
  <si>
    <t>{"valorA":"relojoeira","valorB":4}</t>
  </si>
  <si>
    <t>{"valorA":"adorei","valorB":3}</t>
  </si>
  <si>
    <t>{"valorA":"produto","valorB":31}</t>
  </si>
  <si>
    <t>{"valorA":"é","valorB":12}</t>
  </si>
  <si>
    <t>{"valorA":"realmente","valorB":3}</t>
  </si>
  <si>
    <t>{"valorA":"ótimo","valorB":47}</t>
  </si>
  <si>
    <t>{"valorA":"é","valorB":13}</t>
  </si>
  <si>
    <t>{"valorA":"incrível","valorB":5}</t>
  </si>
  <si>
    <t>{"valorA":"favorito","valorB":1}</t>
  </si>
  <si>
    <t>{"valorA":"meu","valorB":6}</t>
  </si>
  <si>
    <t>{"valorA":"novo","valorB":2}</t>
  </si>
  <si>
    <t>{"valorA":"o","valorB":8}</t>
  </si>
  <si>
    <t>{"valorA":"de","valorB":7}</t>
  </si>
  <si>
    <t>{"valorA":"é","valorB":14}</t>
  </si>
  <si>
    <t>{"valorA":"ótimo","valorB":48}</t>
  </si>
  <si>
    <t>{"valorA":"sol","valorB":1}</t>
  </si>
  <si>
    <t>{"valorA":"esse","valorB":7}</t>
  </si>
  <si>
    <t>{"valorA":"muito","valorB":13}</t>
  </si>
  <si>
    <t>{"valorA":"chapéu","valorB":2}</t>
  </si>
  <si>
    <t>{"valorA":"confortável","valorB":4}</t>
  </si>
  <si>
    <t xml:space="preserve">ótimo laptop. Funciona bem e é confiável.
ótimo preço para um produto tão bom como este.
ótimo produto, fácil de usar, funciona perfeitamente.
ótimo tablet para crianças. Meus filhos adoram brincar com ele.
ótimo produto, fácil de usar e econômico. Recomendo para quem precisa.
ótimo televisor, excelente qualidade de imagem e som. Amooo!
ótimo produto, mas não valeu o preço que paguei.
ótimo câmera de fotos. Funciona muito bem.
Resumo:
* Use frases curt
ótimo preço para um produto tão bom. Fico feliz com a compra.
ótimo produto, fácil de usar e funciona muito bem.
ótimo produto, comprei para meu filho e ele adora.
ótimo produto, fácil de usar e economicamente viável. Recomendo!
                Resumo:
ótimo preço para um produto tão bom, super recomendo!
ótimo televisor, recomendo.
ótimo produto, fácil de usar e econômico. Recomendo.
ótimo tablet, fácil de usar e rápido. Gosto muito.
Resposta:
Para começ
ótimo produto, fácil de usar e de manter. Gostei muito.
ótimo televisor. Vejo tudo bem.
ótimo produto, fácil de usar e econômico. Gostei!
ótimo preço, bom produto! Gostando muito do meu blender.
ótimo produto. Recomendo para quem busca uma boa quality-price.
ótima opção o meu scanner. Funciona muito bem.
ótimo produto, valorizado a preço muito econômico. Recomendo!
ótimo tablet. Funciona perfeitamente. Gosto muito.
ótimo produto, recomendo para todos.
ótimo preço e qualidade desse blender. Fico satisfeito.
ótimo produto, mas não valeu o preço que paguei.
ótimo produto, fácil de usar e funciona bem.
ótimo produto para o preço que paguei. Funciona bem.
ótimo preço para um produto tão bom como este.
ótimo produto, muito bem construído, recomendo.
ótimo tv, gostei muito do brilho e da qualidade de imagem.
ótimo produto, mas a preço muito caro.
ótimo produto, fácil de usar e não precisa muita manutenção. Gostei muito!
ótimo laptop. Fico muito satisfeito com a compra.
Resumo:
* Eu odeio me
ótimo produto, valeu cada penny que paguei.
                    Resumo: Esper
ótimo produto, valorização excelente. Me alegra ter comprado.
ótimo televisor, valeu a espera.
ótimo preço e qualidade esse televisor. Gostei muito.
                */
As follows are ten comments,
ótimo produto para quem busca um laptop leve e fácil de carregar. Funciona bem.
ótimo televisor. Preciso para assistir filmes em casa.
ótimo produto para quem busca um computador portátil. Funciona perfeitamente.
Resumo:
ótimo carro. Gastei muito dinheiro, mas valeu a pena.
ótimo preço pra um produto tão bom como esse leitor de mesa. Funciona perfeitamente.
ótimo televisor. Valorizado muito bem o preço.
ótimo produto, recomendo a todos os meus amigos.
ótimo produto, vale a pena comprar.
ótimo produto, mas muito caro pra mim. Não valeu a quinta partida.
ótimo produto. Recomendo para quem procura um computador portátil de qualidade.
ótimo televisor! Gostei muito do brilho e da qualidade de imagem.
</t>
  </si>
  <si>
    <t>brincar</t>
  </si>
  <si>
    <t>amooo</t>
  </si>
  <si>
    <t>resumo</t>
  </si>
  <si>
    <t>use</t>
  </si>
  <si>
    <t>frases</t>
  </si>
  <si>
    <t>curt</t>
  </si>
  <si>
    <t>economicamente</t>
  </si>
  <si>
    <t>viável</t>
  </si>
  <si>
    <t>começ</t>
  </si>
  <si>
    <t>vejo</t>
  </si>
  <si>
    <t>blender</t>
  </si>
  <si>
    <t>qualityprice</t>
  </si>
  <si>
    <t>opção</t>
  </si>
  <si>
    <t>construído</t>
  </si>
  <si>
    <t>manutenção</t>
  </si>
  <si>
    <t>odeio</t>
  </si>
  <si>
    <t>cada</t>
  </si>
  <si>
    <t>penny</t>
  </si>
  <si>
    <t>esper</t>
  </si>
  <si>
    <t>valorização</t>
  </si>
  <si>
    <t>follows</t>
  </si>
  <si>
    <t>are</t>
  </si>
  <si>
    <t>ten</t>
  </si>
  <si>
    <t>comments</t>
  </si>
  <si>
    <t>carregar</t>
  </si>
  <si>
    <t>pra</t>
  </si>
  <si>
    <t>mesa</t>
  </si>
  <si>
    <t>amigos</t>
  </si>
  <si>
    <t>quinta</t>
  </si>
  <si>
    <t>partida</t>
  </si>
  <si>
    <t>{"valorA":"bom","valorB":1}</t>
  </si>
  <si>
    <t>{"valorA":"tão","valorB":1}</t>
  </si>
  <si>
    <t>{"valorA":"um","valorB":1}</t>
  </si>
  <si>
    <t>{"valorA":"laptop","valorB":1}</t>
  </si>
  <si>
    <t>{"valorA":"como","valorB":1}</t>
  </si>
  <si>
    <t>{"valorA":"tablet","valorB":1}</t>
  </si>
  <si>
    <t>{"valorA":"brincar","valorB":1}</t>
  </si>
  <si>
    <t>{"valorA":"econômico","valorB":1}</t>
  </si>
  <si>
    <t>{"valorA":"televisor","valorB":1}</t>
  </si>
  <si>
    <t>{"valorA":"imagem","valorB":1}</t>
  </si>
  <si>
    <t>{"valorA":"amooo","valorB":1}</t>
  </si>
  <si>
    <t>{"valorA":"excelente","valorB":1}</t>
  </si>
  <si>
    <t>{"valorA":"som","valorB":1}</t>
  </si>
  <si>
    <t>{"valorA":"mas","valorB":1}</t>
  </si>
  <si>
    <t>{"valorA":"valeu","valorB":1}</t>
  </si>
  <si>
    <t>{"valorA":"não","valorB":1}</t>
  </si>
  <si>
    <t>{"valorA":"fotos","valorB":1}</t>
  </si>
  <si>
    <t>{"valorA":"use","valorB":1}</t>
  </si>
  <si>
    <t>{"valorA":"resumo","valorB":1}</t>
  </si>
  <si>
    <t>{"valorA":"frases","valorB":1}</t>
  </si>
  <si>
    <t>{"valorA":"curt","valorB":1}</t>
  </si>
  <si>
    <t>{"valorA":"bom","valorB":2}</t>
  </si>
  <si>
    <t>{"valorA":"tão","valorB":2}</t>
  </si>
  <si>
    <t>{"valorA":"um","valorB":2}</t>
  </si>
  <si>
    <t>{"valorA":"economicamente","valorB":1}</t>
  </si>
  <si>
    <t>{"valorA":"recomendo","valorB":2}</t>
  </si>
  <si>
    <t>{"valorA":"resumo","valorB":2}</t>
  </si>
  <si>
    <t>{"valorA":"viável","valorB":1}</t>
  </si>
  <si>
    <t>{"valorA":"fácil","valorB":4}</t>
  </si>
  <si>
    <t>{"valorA":"usar","valorB":4}</t>
  </si>
  <si>
    <t>{"valorA":"tão","valorB":3}</t>
  </si>
  <si>
    <t>{"valorA":"preço","valorB":4}</t>
  </si>
  <si>
    <t>{"valorA":"um","valorB":3}</t>
  </si>
  <si>
    <t>{"valorA":"super","valorB":1}</t>
  </si>
  <si>
    <t>{"valorA":"bom","valorB":3}</t>
  </si>
  <si>
    <t>{"valorA":"recomendo","valorB":3}</t>
  </si>
  <si>
    <t>{"valorA":"televisor","valorB":2}</t>
  </si>
  <si>
    <t>{"valorA":"recomendo","valorB":4}</t>
  </si>
  <si>
    <t>{"valorA":"fácil","valorB":5}</t>
  </si>
  <si>
    <t>{"valorA":"usar","valorB":5}</t>
  </si>
  <si>
    <t>{"valorA":"econômico","valorB":2}</t>
  </si>
  <si>
    <t>{"valorA":"recomendo","valorB":5}</t>
  </si>
  <si>
    <t>{"valorA":"tablet","valorB":2}</t>
  </si>
  <si>
    <t>{"valorA":"fácil","valorB":6}</t>
  </si>
  <si>
    <t>{"valorA":"rápido","valorB":1}</t>
  </si>
  <si>
    <t>{"valorA":"resposta","valorB":1}</t>
  </si>
  <si>
    <t>{"valorA":"de","valorB":8}</t>
  </si>
  <si>
    <t>{"valorA":"usar","valorB":6}</t>
  </si>
  <si>
    <t>{"valorA":"começ","valorB":1}</t>
  </si>
  <si>
    <t>{"valorA":"de","valorB":9}</t>
  </si>
  <si>
    <t>{"valorA":"manter","valorB":1}</t>
  </si>
  <si>
    <t>{"valorA":"fácil","valorB":7}</t>
  </si>
  <si>
    <t>{"valorA":"usar","valorB":7}</t>
  </si>
  <si>
    <t>{"valorA":"de","valorB":10}</t>
  </si>
  <si>
    <t>{"valorA":"vejo","valorB":1}</t>
  </si>
  <si>
    <t>{"valorA":"televisor","valorB":3}</t>
  </si>
  <si>
    <t>{"valorA":"tudo","valorB":1}</t>
  </si>
  <si>
    <t>{"valorA":"fácil","valorB":8}</t>
  </si>
  <si>
    <t>{"valorA":"de","valorB":11}</t>
  </si>
  <si>
    <t>{"valorA":"usar","valorB":8}</t>
  </si>
  <si>
    <t>{"valorA":"econômico","valorB":3}</t>
  </si>
  <si>
    <t>{"valorA":"bom","valorB":4}</t>
  </si>
  <si>
    <t>{"valorA":"gostando","valorB":1}</t>
  </si>
  <si>
    <t>{"valorA":"preço","valorB":5}</t>
  </si>
  <si>
    <t>{"valorA":"blender","valorB":1}</t>
  </si>
  <si>
    <t>{"valorA":"qualityprice","valorB":1}</t>
  </si>
  <si>
    <t>{"valorA":"busca","valorB":1}</t>
  </si>
  <si>
    <t>{"valorA":"uma","valorB":1}</t>
  </si>
  <si>
    <t>{"valorA":"recomendo","valorB":6}</t>
  </si>
  <si>
    <t>{"valorA":"boa","valorB":1}</t>
  </si>
  <si>
    <t>{"valorA":"ótima","valorB":1}</t>
  </si>
  <si>
    <t>{"valorA":"opção","valorB":1}</t>
  </si>
  <si>
    <t>{"valorA":"valorizado","valorB":1}</t>
  </si>
  <si>
    <t>{"valorA":"econômico","valorB":4}</t>
  </si>
  <si>
    <t>{"valorA":"preço","valorB":6}</t>
  </si>
  <si>
    <t>{"valorA":"recomendo","valorB":7}</t>
  </si>
  <si>
    <t>{"valorA":"tablet","valorB":3}</t>
  </si>
  <si>
    <t>{"valorA":"todos","valorB":1}</t>
  </si>
  <si>
    <t>{"valorA":"recomendo","valorB":8}</t>
  </si>
  <si>
    <t>{"valorA":"fico","valorB":2}</t>
  </si>
  <si>
    <t>{"valorA":"e","valorB":11}</t>
  </si>
  <si>
    <t>{"valorA":"preço","valorB":7}</t>
  </si>
  <si>
    <t>{"valorA":"blender","valorB":2}</t>
  </si>
  <si>
    <t>{"valorA":"mas","valorB":2}</t>
  </si>
  <si>
    <t>{"valorA":"preço","valorB":8}</t>
  </si>
  <si>
    <t>{"valorA":"valeu","valorB":2}</t>
  </si>
  <si>
    <t>{"valorA":"não","valorB":2}</t>
  </si>
  <si>
    <t>{"valorA":"de","valorB":12}</t>
  </si>
  <si>
    <t>{"valorA":"usar","valorB":9}</t>
  </si>
  <si>
    <t>{"valorA":"fácil","valorB":9}</t>
  </si>
  <si>
    <t>{"valorA":"e","valorB":12}</t>
  </si>
  <si>
    <t>{"valorA":"bem","valorB":6}</t>
  </si>
  <si>
    <t>{"valorA":"paguei","valorB":3}</t>
  </si>
  <si>
    <t>{"valorA":"bem","valorB":7}</t>
  </si>
  <si>
    <t>{"valorA":"preço","valorB":9}</t>
  </si>
  <si>
    <t>{"valorA":"tão","valorB":4}</t>
  </si>
  <si>
    <t>{"valorA":"bom","valorB":5}</t>
  </si>
  <si>
    <t>{"valorA":"para","valorB":11}</t>
  </si>
  <si>
    <t>{"valorA":"como","valorB":2}</t>
  </si>
  <si>
    <t>{"valorA":"preço","valorB":10}</t>
  </si>
  <si>
    <t>{"valorA":"um","valorB":4}</t>
  </si>
  <si>
    <t>{"valorA":"bem","valorB":8}</t>
  </si>
  <si>
    <t>{"valorA":"construído","valorB":1}</t>
  </si>
  <si>
    <t>{"valorA":"recomendo","valorB":9}</t>
  </si>
  <si>
    <t>{"valorA":"qualidade","valorB":3}</t>
  </si>
  <si>
    <t>{"valorA":"de","valorB":13}</t>
  </si>
  <si>
    <t>{"valorA":"imagem","valorB":2}</t>
  </si>
  <si>
    <t>{"valorA":"e","valorB":13}</t>
  </si>
  <si>
    <t>{"valorA":"tv","valorB":1}</t>
  </si>
  <si>
    <t>{"valorA":"brilho","valorB":1}</t>
  </si>
  <si>
    <t>{"valorA":"mas","valorB":3}</t>
  </si>
  <si>
    <t>{"valorA":"caro","valorB":1}</t>
  </si>
  <si>
    <t>{"valorA":"preço","valorB":11}</t>
  </si>
  <si>
    <t>{"valorA":"de","valorB":14}</t>
  </si>
  <si>
    <t>{"valorA":"usar","valorB":10}</t>
  </si>
  <si>
    <t>{"valorA":"fácil","valorB":10}</t>
  </si>
  <si>
    <t>{"valorA":"manutenção","valorB":1}</t>
  </si>
  <si>
    <t>{"valorA":"e","valorB":14}</t>
  </si>
  <si>
    <t>{"valorA":"precisa","valorB":2}</t>
  </si>
  <si>
    <t>{"valorA":"não","valorB":3}</t>
  </si>
  <si>
    <t>{"valorA":"muita","valorB":1}</t>
  </si>
  <si>
    <t>{"valorA":"fico","valorB":3}</t>
  </si>
  <si>
    <t>{"valorA":"laptop","valorB":2}</t>
  </si>
  <si>
    <t>{"valorA":"eu","valorB":1}</t>
  </si>
  <si>
    <t>{"valorA":"odeio","valorB":1}</t>
  </si>
  <si>
    <t>{"valorA":"resumo","valorB":3}</t>
  </si>
  <si>
    <t>{"valorA":"penny","valorB":1}</t>
  </si>
  <si>
    <t>{"valorA":"paguei","valorB":4}</t>
  </si>
  <si>
    <t>{"valorA":"resumo","valorB":4}</t>
  </si>
  <si>
    <t>{"valorA":"valeu","valorB":3}</t>
  </si>
  <si>
    <t>{"valorA":"esper","valorB":1}</t>
  </si>
  <si>
    <t>{"valorA":"cada","valorB":1}</t>
  </si>
  <si>
    <t>{"valorA":"me","valorB":2}</t>
  </si>
  <si>
    <t>{"valorA":"valorização","valorB":1}</t>
  </si>
  <si>
    <t>{"valorA":"excelente","valorB":2}</t>
  </si>
  <si>
    <t>{"valorA":"alegra","valorB":1}</t>
  </si>
  <si>
    <t>{"valorA":"comprado","valorB":1}</t>
  </si>
  <si>
    <t>{"valorA":"ter","valorB":1}</t>
  </si>
  <si>
    <t>{"valorA":"espera","valorB":1}</t>
  </si>
  <si>
    <t>{"valorA":"televisor","valorB":4}</t>
  </si>
  <si>
    <t>{"valorA":"valeu","valorB":4}</t>
  </si>
  <si>
    <t>{"valorA":"e","valorB":15}</t>
  </si>
  <si>
    <t>{"valorA":"follows","valorB":1}</t>
  </si>
  <si>
    <t>{"valorA":"muito","valorB":14}</t>
  </si>
  <si>
    <t>{"valorA":"qualidade","valorB":4}</t>
  </si>
  <si>
    <t>{"valorA":"televisor","valorB":5}</t>
  </si>
  <si>
    <t>{"valorA":"are","valorB":1}</t>
  </si>
  <si>
    <t>{"valorA":"ten","valorB":1}</t>
  </si>
  <si>
    <t>{"valorA":"comments","valorB":1}</t>
  </si>
  <si>
    <t>{"valorA":"preço","valorB":12}</t>
  </si>
  <si>
    <t>{"valorA":"leve","valorB":1}</t>
  </si>
  <si>
    <t>{"valorA":"para","valorB":12}</t>
  </si>
  <si>
    <t>{"valorA":"carregar","valorB":1}</t>
  </si>
  <si>
    <t>{"valorA":"busca","valorB":2}</t>
  </si>
  <si>
    <t>{"valorA":"e","valorB":16}</t>
  </si>
  <si>
    <t>{"valorA":"laptop","valorB":3}</t>
  </si>
  <si>
    <t>{"valorA":"um","valorB":5}</t>
  </si>
  <si>
    <t>{"valorA":"de","valorB":15}</t>
  </si>
  <si>
    <t>{"valorA":"quem","valorB":3}</t>
  </si>
  <si>
    <t>{"valorA":"fácil","valorB":11}</t>
  </si>
  <si>
    <t>{"valorA":"bem","valorB":9}</t>
  </si>
  <si>
    <t>{"valorA":"casa","valorB":1}</t>
  </si>
  <si>
    <t>{"valorA":"para","valorB":13}</t>
  </si>
  <si>
    <t>{"valorA":"filmes","valorB":1}</t>
  </si>
  <si>
    <t>{"valorA":"preciso","valorB":1}</t>
  </si>
  <si>
    <t>{"valorA":"televisor","valorB":6}</t>
  </si>
  <si>
    <t>{"valorA":"em","valorB":1}</t>
  </si>
  <si>
    <t>{"valorA":"assistir","valorB":1}</t>
  </si>
  <si>
    <t>{"valorA":"resumo","valorB":5}</t>
  </si>
  <si>
    <t>{"valorA":"quem","valorB":4}</t>
  </si>
  <si>
    <t>{"valorA":"para","valorB":14}</t>
  </si>
  <si>
    <t>{"valorA":"busca","valorB":3}</t>
  </si>
  <si>
    <t>{"valorA":"funciona","valorB":10}</t>
  </si>
  <si>
    <t>{"valorA":"um","valorB":6}</t>
  </si>
  <si>
    <t>{"valorA":"portátil","valorB":1}</t>
  </si>
  <si>
    <t>{"valorA":"muito","valorB":15}</t>
  </si>
  <si>
    <t>{"valorA":"mas","valorB":4}</t>
  </si>
  <si>
    <t>{"valorA":"dinheiro","valorB":1}</t>
  </si>
  <si>
    <t>{"valorA":"gastei","valorB":1}</t>
  </si>
  <si>
    <t>{"valorA":"valeu","valorB":5}</t>
  </si>
  <si>
    <t>{"valorA":"bom","valorB":6}</t>
  </si>
  <si>
    <t>{"valorA":"mesa","valorB":1}</t>
  </si>
  <si>
    <t>{"valorA":"pra","valorB":1}</t>
  </si>
  <si>
    <t>{"valorA":"leitor","valorB":1}</t>
  </si>
  <si>
    <t>{"valorA":"de","valorB":16}</t>
  </si>
  <si>
    <t>{"valorA":"como","valorB":3}</t>
  </si>
  <si>
    <t>{"valorA":"tão","valorB":5}</t>
  </si>
  <si>
    <t>{"valorA":"preço","valorB":13}</t>
  </si>
  <si>
    <t>{"valorA":"funciona","valorB":11}</t>
  </si>
  <si>
    <t>{"valorA":"um","valorB":7}</t>
  </si>
  <si>
    <t>{"valorA":"televisor","valorB":7}</t>
  </si>
  <si>
    <t>{"valorA":"valorizado","valorB":2}</t>
  </si>
  <si>
    <t>{"valorA":"muito","valorB":16}</t>
  </si>
  <si>
    <t>{"valorA":"bem","valorB":10}</t>
  </si>
  <si>
    <t>{"valorA":"preço","valorB":14}</t>
  </si>
  <si>
    <t>{"valorA":"todos","valorB":2}</t>
  </si>
  <si>
    <t>{"valorA":"amigos","valorB":1}</t>
  </si>
  <si>
    <t>{"valorA":"os","valorB":1}</t>
  </si>
  <si>
    <t>{"valorA":"meus","valorB":2}</t>
  </si>
  <si>
    <t>{"valorA":"recomendo","valorB":10}</t>
  </si>
  <si>
    <t>{"valorA":"mas","valorB":5}</t>
  </si>
  <si>
    <t>{"valorA":"muito","valorB":17}</t>
  </si>
  <si>
    <t>{"valorA":"caro","valorB":2}</t>
  </si>
  <si>
    <t>{"valorA":"a","valorB":9}</t>
  </si>
  <si>
    <t>{"valorA":"partida","valorB":1}</t>
  </si>
  <si>
    <t>{"valorA":"pra","valorB":2}</t>
  </si>
  <si>
    <t>{"valorA":"valeu","valorB":6}</t>
  </si>
  <si>
    <t>{"valorA":"quinta","valorB":1}</t>
  </si>
  <si>
    <t>{"valorA":"não","valorB":4}</t>
  </si>
  <si>
    <t>{"valorA":"portátil","valorB":2}</t>
  </si>
  <si>
    <t>{"valorA":"produto","valorB":32}</t>
  </si>
  <si>
    <t>{"valorA":"qualidade","valorB":5}</t>
  </si>
  <si>
    <t>{"valorA":"procura","valorB":1}</t>
  </si>
  <si>
    <t>{"valorA":"de","valorB":17}</t>
  </si>
  <si>
    <t>{"valorA":"para","valorB":15}</t>
  </si>
  <si>
    <t>{"valorA":"quem","valorB":5}</t>
  </si>
  <si>
    <t>{"valorA":"recomendo","valorB":11}</t>
  </si>
  <si>
    <t>{"valorA":"um","valorB":8}</t>
  </si>
  <si>
    <t>{"valorA":"de","valorB":18}</t>
  </si>
  <si>
    <t>{"valorA":"qualidade","valorB":6}</t>
  </si>
  <si>
    <t>{"valorA":"muito","valorB":18}</t>
  </si>
  <si>
    <t>{"valorA":"ótimo","valorB":49}</t>
  </si>
  <si>
    <t>{"valorA":"televisor","valorB":8}</t>
  </si>
  <si>
    <t>{"valorA":"imagem","valorB":3}</t>
  </si>
  <si>
    <t>{"valorA":"e","valorB":17}</t>
  </si>
  <si>
    <t>{"valorA":"brilho","valorB":2}</t>
  </si>
  <si>
    <t xml:space="preserve">Ótimo serviço ao comprar o blu-ray player, muito satisfeito com a compra.
Ótimo celular, funciona perfeitamente.
Ótimo cabine para armazenamento. Bem organizado.
Ótimo telefone celular. Bastante útil e funciona muito bem.
Ótima cadeira de escritório. É muito confortável.
Ótima calculadora. Sempre funciona muito bem.
Ótimo lavador de pratos. Funciona muito bem com poucos defeitos.
Ótimo lavador de pratos. Limpa tudo muito bem.
Ótimo aparelho de TV, muito bom a respeito do preço!
Ótimo aparelho esse. Me surpreendeu.
Ótimo leitor Kindle. Amo ler com ele em qualquer lugar.
Ótimo e confiável esse blender. Recomendo muito.
Ótimo leitor de DVD/Blue Ray. Funciona perfeitamente.
Ótimo modelo de refrigerador, comprei um mês atrás e ainda funciona muito bem.
                    Coment
Óptimo o aspirador que comprei ontem! Gosto muito desse produto.
Ótimo caixa de som para o carro. Música muito mais agradável agora.
                    Coment
Ótimo lavabo. Gosto bastante.
Ótimo lavador de pratos. Lave tudo com muita facilidade.
Ótimo aparelho para o preço! Fiquei muito satisfeita com a compra.
Ótima cadeira de escritório. Fica muito confortável e prática.
Ótimo produto para quem precisa de uma máquina que seja silenciosa, leve e portátil.
Ótima câmera para quem começa a fotografar.
Ótima câmera fotográfica, funciona muito bem. Recomendo para quem quer uma excelente qualidade
Ótimo geladeira com muitos funcionamentos, achei incrível o valor que paguei por ele
Ótimo pneu para o meu carro. Gosto bastante.
Ótima mesa de escritório! Valeu a pena comprar.
Ótimo modelo de geladeira. Funciona tudo certo desde o momento em que comprei.
                    Coment
Ótima lâmpada LED. Ela é incrível, brilhante e economiza muito dinheiro na
Ótimo produto, muita qualidade. O cabelinho ficou estilo bom.
Ótimo, o DVD player que comprei foi muito bom até agora.
Ótimo o frigorifico que comprei há um mês. Funciona muito bem.
                    Comentário
Ótimo cabelinho reto, estilo relaxado. Me encanta!
Ótimo produto esses sapatos.
Ótimo econômico o refrigerante. Foi muito útil na hora do quarto da festa de anivers
Ótimo cadeirante elétrico. Achei bastante confortável.
Ótima cadeira de escritório. Recomendo!
Ótimo aquecedor para banho. Funciona muito bem.
Ótimo sistema de ar condicionado. Funciona muito bem.
Ótima cadeira para trabalhar em casa!
Ótimo eficiente esse lavadora. Acho que valeu a pena o investimento.
                    Comentário
Ótimo balanço para a casa dos meus filhos. Eles adoram.
Ótimo aparelho de TV. Recomendo bastante!
Óptimo cabelo de aço para ferramentas elétricas.
Ótimo lavador de pratos. Tudo funciona corretamente e limpa tudo perfeitamente.
                    Com
Ótima cadeira gamer, muito confortável.
Ótima opção para quem tem pouco espaço em sua casa.
Ótimo computador portátil. Fácil de carregar e funciona tudo bem.
Ótimo sistema de ar condicionado. Recomendo sem reservas.
Ótimo eficaz essa lavadora. Fui surpreendido com o resultado final.
Ótima calculadora. Funciona muito bem.
</t>
  </si>
  <si>
    <t>ao</t>
  </si>
  <si>
    <t>cabine</t>
  </si>
  <si>
    <t>organizado</t>
  </si>
  <si>
    <t>calculadora</t>
  </si>
  <si>
    <t>defeitos</t>
  </si>
  <si>
    <t>respeito</t>
  </si>
  <si>
    <t>surpreendeu</t>
  </si>
  <si>
    <t>kindle</t>
  </si>
  <si>
    <t>amo</t>
  </si>
  <si>
    <t>ler</t>
  </si>
  <si>
    <t>lugar</t>
  </si>
  <si>
    <t>dvdblue</t>
  </si>
  <si>
    <t>ray</t>
  </si>
  <si>
    <t>mês</t>
  </si>
  <si>
    <t>atrás</t>
  </si>
  <si>
    <t>ainda</t>
  </si>
  <si>
    <t>música</t>
  </si>
  <si>
    <t>lave</t>
  </si>
  <si>
    <t>facilidade</t>
  </si>
  <si>
    <t>fiquei</t>
  </si>
  <si>
    <t>prática</t>
  </si>
  <si>
    <t>seja</t>
  </si>
  <si>
    <t>silenciosa</t>
  </si>
  <si>
    <t>começa</t>
  </si>
  <si>
    <t>fotografar</t>
  </si>
  <si>
    <t>fotográfica</t>
  </si>
  <si>
    <t>funcionamentos</t>
  </si>
  <si>
    <t>pneu</t>
  </si>
  <si>
    <t>certo</t>
  </si>
  <si>
    <t>cabelinho</t>
  </si>
  <si>
    <t>dvd</t>
  </si>
  <si>
    <t>até</t>
  </si>
  <si>
    <t>há</t>
  </si>
  <si>
    <t>reto</t>
  </si>
  <si>
    <t>relaxado</t>
  </si>
  <si>
    <t>esses</t>
  </si>
  <si>
    <t>quarto</t>
  </si>
  <si>
    <t>festa</t>
  </si>
  <si>
    <t>anivers</t>
  </si>
  <si>
    <t>cadeirante</t>
  </si>
  <si>
    <t>aquecedor</t>
  </si>
  <si>
    <t>trabalhar</t>
  </si>
  <si>
    <t>eficiente</t>
  </si>
  <si>
    <t>investimento</t>
  </si>
  <si>
    <t>eles</t>
  </si>
  <si>
    <t>aço</t>
  </si>
  <si>
    <t>ferramentas</t>
  </si>
  <si>
    <t>elétricas</t>
  </si>
  <si>
    <t>corretamente</t>
  </si>
  <si>
    <t>gamer</t>
  </si>
  <si>
    <t>espaço</t>
  </si>
  <si>
    <t>sua</t>
  </si>
  <si>
    <t>reservas</t>
  </si>
  <si>
    <t>eficaz</t>
  </si>
  <si>
    <t>surpreendido</t>
  </si>
  <si>
    <t>{"valorA":"bastante","valorB":1}</t>
  </si>
  <si>
    <t>{"valorA":"armazenamento","valorB":1}</t>
  </si>
  <si>
    <t>{"valorA":"ao","valorB":1}</t>
  </si>
  <si>
    <t>{"valorA":"bluray","valorB":1}</t>
  </si>
  <si>
    <t>{"valorA":"organizado","valorB":1}</t>
  </si>
  <si>
    <t>{"valorA":"serviço","valorB":1}</t>
  </si>
  <si>
    <t>{"valorA":"cabine","valorB":1}</t>
  </si>
  <si>
    <t>{"valorA":"player","valorB":1}</t>
  </si>
  <si>
    <t>{"valorA":"telefone","valorB":1}</t>
  </si>
  <si>
    <t>{"valorA":"ótima","valorB":2}</t>
  </si>
  <si>
    <t>{"valorA":"calculadora","valorB":1}</t>
  </si>
  <si>
    <t>{"valorA":"sempre","valorB":1}</t>
  </si>
  <si>
    <t>{"valorA":"lavador","valorB":1}</t>
  </si>
  <si>
    <t>{"valorA":"poucos","valorB":1}</t>
  </si>
  <si>
    <t>{"valorA":"pratos","valorB":1}</t>
  </si>
  <si>
    <t>{"valorA":"defeitos","valorB":1}</t>
  </si>
  <si>
    <t>{"valorA":"lavador","valorB":2}</t>
  </si>
  <si>
    <t>{"valorA":"pratos","valorB":2}</t>
  </si>
  <si>
    <t>{"valorA":"limpa","valorB":1}</t>
  </si>
  <si>
    <t>{"valorA":"respeito","valorB":1}</t>
  </si>
  <si>
    <t>{"valorA":"aparelho","valorB":1}</t>
  </si>
  <si>
    <t>{"valorA":"surpreendeu","valorB":1}</t>
  </si>
  <si>
    <t>{"valorA":"aparelho","valorB":2}</t>
  </si>
  <si>
    <t>{"valorA":"kindle","valorB":1}</t>
  </si>
  <si>
    <t>{"valorA":"amo","valorB":1}</t>
  </si>
  <si>
    <t>{"valorA":"lugar","valorB":1}</t>
  </si>
  <si>
    <t>{"valorA":"ler","valorB":1}</t>
  </si>
  <si>
    <t>{"valorA":"qualquer","valorB":1}</t>
  </si>
  <si>
    <t>{"valorA":"dvdblue","valorB":1}</t>
  </si>
  <si>
    <t>{"valorA":"leitor","valorB":2}</t>
  </si>
  <si>
    <t>{"valorA":"ray","valorB":1}</t>
  </si>
  <si>
    <t>{"valorA":"modelo","valorB":1}</t>
  </si>
  <si>
    <t>{"valorA":"refrigerador","valorB":1}</t>
  </si>
  <si>
    <t>{"valorA":"mês","valorB":1}</t>
  </si>
  <si>
    <t>{"valorA":"ainda","valorB":1}</t>
  </si>
  <si>
    <t>{"valorA":"atrás","valorB":1}</t>
  </si>
  <si>
    <t>{"valorA":"coment","valorB":1}</t>
  </si>
  <si>
    <t>{"valorA":"óptimo","valorB":1}</t>
  </si>
  <si>
    <t>{"valorA":"caixa","valorB":1}</t>
  </si>
  <si>
    <t>{"valorA":"música","valorB":1}</t>
  </si>
  <si>
    <t>{"valorA":"agradável","valorB":1}</t>
  </si>
  <si>
    <t>{"valorA":"agora","valorB":1}</t>
  </si>
  <si>
    <t>{"valorA":"coment","valorB":2}</t>
  </si>
  <si>
    <t>{"valorA":"lavabo","valorB":1}</t>
  </si>
  <si>
    <t>{"valorA":"bastante","valorB":2}</t>
  </si>
  <si>
    <t>{"valorA":"lavador","valorB":3}</t>
  </si>
  <si>
    <t>{"valorA":"pratos","valorB":3}</t>
  </si>
  <si>
    <t>{"valorA":"facilidade","valorB":1}</t>
  </si>
  <si>
    <t>{"valorA":"tudo","valorB":2}</t>
  </si>
  <si>
    <t>{"valorA":"lave","valorB":1}</t>
  </si>
  <si>
    <t>{"valorA":"aparelho","valorB":3}</t>
  </si>
  <si>
    <t>{"valorA":"com","valorB":5}</t>
  </si>
  <si>
    <t>{"valorA":"satisfeita","valorB":1}</t>
  </si>
  <si>
    <t>{"valorA":"fiquei","valorB":1}</t>
  </si>
  <si>
    <t>{"valorA":"ótima","valorB":3}</t>
  </si>
  <si>
    <t>{"valorA":"prática","valorB":1}</t>
  </si>
  <si>
    <t>{"valorA":"fica","valorB":1}</t>
  </si>
  <si>
    <t>{"valorA":"escritório","valorB":2}</t>
  </si>
  <si>
    <t>{"valorA":"máquina","valorB":1}</t>
  </si>
  <si>
    <t>{"valorA":"seja","valorB":1}</t>
  </si>
  <si>
    <t>{"valorA":"silenciosa","valorB":1}</t>
  </si>
  <si>
    <t>{"valorA":"ótima","valorB":4}</t>
  </si>
  <si>
    <t>{"valorA":"começa","valorB":1}</t>
  </si>
  <si>
    <t>{"valorA":"fotografar","valorB":1}</t>
  </si>
  <si>
    <t>{"valorA":"ótima","valorB":5}</t>
  </si>
  <si>
    <t>{"valorA":"quer","valorB":1}</t>
  </si>
  <si>
    <t>{"valorA":"câmera","valorB":2}</t>
  </si>
  <si>
    <t>{"valorA":"fotográfica","valorB":1}</t>
  </si>
  <si>
    <t>{"valorA":"uma","valorB":2}</t>
  </si>
  <si>
    <t>{"valorA":"achei","valorB":1}</t>
  </si>
  <si>
    <t>{"valorA":"com","valorB":6}</t>
  </si>
  <si>
    <t>{"valorA":"funcionamentos","valorB":1}</t>
  </si>
  <si>
    <t>{"valorA":"muitos","valorB":1}</t>
  </si>
  <si>
    <t>{"valorA":"geladeira","valorB":1}</t>
  </si>
  <si>
    <t>{"valorA":"valor","valorB":1}</t>
  </si>
  <si>
    <t>{"valorA":"por","valorB":1}</t>
  </si>
  <si>
    <t>{"valorA":"pneu","valorB":1}</t>
  </si>
  <si>
    <t>{"valorA":"gosto","valorB":3}</t>
  </si>
  <si>
    <t>{"valorA":"bastante","valorB":3}</t>
  </si>
  <si>
    <t>{"valorA":"ótima","valorB":6}</t>
  </si>
  <si>
    <t>{"valorA":"escritório","valorB":3}</t>
  </si>
  <si>
    <t>{"valorA":"comprar","valorB":2}</t>
  </si>
  <si>
    <t>{"valorA":"modelo","valorB":2}</t>
  </si>
  <si>
    <t>{"valorA":"tudo","valorB":3}</t>
  </si>
  <si>
    <t>{"valorA":"certo","valorB":1}</t>
  </si>
  <si>
    <t>{"valorA":"geladeira","valorB":2}</t>
  </si>
  <si>
    <t>{"valorA":"momento","valorB":1}</t>
  </si>
  <si>
    <t>{"valorA":"desde","valorB":1}</t>
  </si>
  <si>
    <t>{"valorA":"coment","valorB":3}</t>
  </si>
  <si>
    <t>{"valorA":"em","valorB":2}</t>
  </si>
  <si>
    <t>{"valorA":"ótima","valorB":7}</t>
  </si>
  <si>
    <t>{"valorA":"led","valorB":1}</t>
  </si>
  <si>
    <t>{"valorA":"lâmpada","valorB":1}</t>
  </si>
  <si>
    <t>{"valorA":"ela","valorB":1}</t>
  </si>
  <si>
    <t>{"valorA":"na","valorB":1}</t>
  </si>
  <si>
    <t>{"valorA":"brilhante","valorB":1}</t>
  </si>
  <si>
    <t>{"valorA":"economiza","valorB":1}</t>
  </si>
  <si>
    <t>{"valorA":"muita","valorB":2}</t>
  </si>
  <si>
    <t>{"valorA":"ficou","valorB":1}</t>
  </si>
  <si>
    <t>{"valorA":"cabelinho","valorB":1}</t>
  </si>
  <si>
    <t>{"valorA":"estilo","valorB":1}</t>
  </si>
  <si>
    <t>{"valorA":"dvd","valorB":1}</t>
  </si>
  <si>
    <t>{"valorA":"o","valorB":9}</t>
  </si>
  <si>
    <t>{"valorA":"player","valorB":2}</t>
  </si>
  <si>
    <t>{"valorA":"foi","valorB":1}</t>
  </si>
  <si>
    <t>{"valorA":"agora","valorB":2}</t>
  </si>
  <si>
    <t>{"valorA":"até","valorB":1}</t>
  </si>
  <si>
    <t>{"valorA":"comprei","valorB":5}</t>
  </si>
  <si>
    <t>{"valorA":"o","valorB":10}</t>
  </si>
  <si>
    <t>{"valorA":"há","valorB":1}</t>
  </si>
  <si>
    <t>{"valorA":"frigorifico","valorB":1}</t>
  </si>
  <si>
    <t>{"valorA":"comentário","valorB":1}</t>
  </si>
  <si>
    <t>{"valorA":"mês","valorB":2}</t>
  </si>
  <si>
    <t>{"valorA":"relaxado","valorB":1}</t>
  </si>
  <si>
    <t>{"valorA":"cabelinho","valorB":2}</t>
  </si>
  <si>
    <t>{"valorA":"reto","valorB":1}</t>
  </si>
  <si>
    <t>{"valorA":"estilo","valorB":2}</t>
  </si>
  <si>
    <t>{"valorA":"esses","valorB":1}</t>
  </si>
  <si>
    <t>{"valorA":"sapatos","valorB":1}</t>
  </si>
  <si>
    <t>{"valorA":"o","valorB":11}</t>
  </si>
  <si>
    <t>{"valorA":"foi","valorB":2}</t>
  </si>
  <si>
    <t>{"valorA":"na","valorB":2}</t>
  </si>
  <si>
    <t>{"valorA":"hora","valorB":1}</t>
  </si>
  <si>
    <t>{"valorA":"quarto","valorB":1}</t>
  </si>
  <si>
    <t>{"valorA":"festa","valorB":1}</t>
  </si>
  <si>
    <t>{"valorA":"útil","valorB":2}</t>
  </si>
  <si>
    <t>{"valorA":"anivers","valorB":1}</t>
  </si>
  <si>
    <t>{"valorA":"cadeirante","valorB":1}</t>
  </si>
  <si>
    <t>{"valorA":"achei","valorB":2}</t>
  </si>
  <si>
    <t>{"valorA":"elétrico","valorB":1}</t>
  </si>
  <si>
    <t>{"valorA":"bastante","valorB":4}</t>
  </si>
  <si>
    <t>{"valorA":"ótima","valorB":8}</t>
  </si>
  <si>
    <t>{"valorA":"escritório","valorB":4}</t>
  </si>
  <si>
    <t>{"valorA":"aquecedor","valorB":1}</t>
  </si>
  <si>
    <t>{"valorA":"muito","valorB":19}</t>
  </si>
  <si>
    <t>{"valorA":"banho","valorB":1}</t>
  </si>
  <si>
    <t>{"valorA":"condicionado","valorB":1}</t>
  </si>
  <si>
    <t>{"valorA":"sistema","valorB":1}</t>
  </si>
  <si>
    <t>{"valorA":"muito","valorB":20}</t>
  </si>
  <si>
    <t>{"valorA":"ar","valorB":1}</t>
  </si>
  <si>
    <t>{"valorA":"em","valorB":3}</t>
  </si>
  <si>
    <t>{"valorA":"cadeira","valorB":4}</t>
  </si>
  <si>
    <t>{"valorA":"ótima","valorB":9}</t>
  </si>
  <si>
    <t>{"valorA":"trabalhar","valorB":1}</t>
  </si>
  <si>
    <t>{"valorA":"acho","valorB":1}</t>
  </si>
  <si>
    <t>{"valorA":"lavadora","valorB":1}</t>
  </si>
  <si>
    <t>{"valorA":"eficiente","valorB":1}</t>
  </si>
  <si>
    <t>{"valorA":"o","valorB":12}</t>
  </si>
  <si>
    <t>{"valorA":"investimento","valorB":1}</t>
  </si>
  <si>
    <t>{"valorA":"comentário","valorB":2}</t>
  </si>
  <si>
    <t>{"valorA":"dos","valorB":1}</t>
  </si>
  <si>
    <t>{"valorA":"balanço","valorB":1}</t>
  </si>
  <si>
    <t>{"valorA":"casa","valorB":2}</t>
  </si>
  <si>
    <t>{"valorA":"eles","valorB":1}</t>
  </si>
  <si>
    <t>{"valorA":"aparelho","valorB":4}</t>
  </si>
  <si>
    <t>{"valorA":"tv","valorB":2}</t>
  </si>
  <si>
    <t>{"valorA":"bastante","valorB":5}</t>
  </si>
  <si>
    <t>{"valorA":"cabelo","valorB":1}</t>
  </si>
  <si>
    <t>{"valorA":"óptimo","valorB":2}</t>
  </si>
  <si>
    <t>{"valorA":"elétricas","valorB":1}</t>
  </si>
  <si>
    <t>{"valorA":"aço","valorB":1}</t>
  </si>
  <si>
    <t>{"valorA":"ferramentas","valorB":1}</t>
  </si>
  <si>
    <t>{"valorA":"lavador","valorB":4}</t>
  </si>
  <si>
    <t>{"valorA":"limpa","valorB":2}</t>
  </si>
  <si>
    <t>{"valorA":"tudo","valorB":4}</t>
  </si>
  <si>
    <t>{"valorA":"pratos","valorB":4}</t>
  </si>
  <si>
    <t>{"valorA":"funciona","valorB":12}</t>
  </si>
  <si>
    <t>{"valorA":"tudo","valorB":5}</t>
  </si>
  <si>
    <t>{"valorA":"com","valorB":7}</t>
  </si>
  <si>
    <t>{"valorA":"corretamente","valorB":1}</t>
  </si>
  <si>
    <t>{"valorA":"ótima","valorB":10}</t>
  </si>
  <si>
    <t>{"valorA":"gamer","valorB":1}</t>
  </si>
  <si>
    <t>{"valorA":"cadeira","valorB":5}</t>
  </si>
  <si>
    <t>{"valorA":"muito","valorB":21}</t>
  </si>
  <si>
    <t>{"valorA":"ótima","valorB":11}</t>
  </si>
  <si>
    <t>{"valorA":"tem","valorB":1}</t>
  </si>
  <si>
    <t>{"valorA":"em","valorB":4}</t>
  </si>
  <si>
    <t>{"valorA":"casa","valorB":3}</t>
  </si>
  <si>
    <t>{"valorA":"pouco","valorB":1}</t>
  </si>
  <si>
    <t>{"valorA":"espaço","valorB":1}</t>
  </si>
  <si>
    <t>{"valorA":"sua","valorB":1}</t>
  </si>
  <si>
    <t>{"valorA":"de","valorB":19}</t>
  </si>
  <si>
    <t>{"valorA":"funciona","valorB":13}</t>
  </si>
  <si>
    <t>{"valorA":"bem","valorB":11}</t>
  </si>
  <si>
    <t>{"valorA":"tudo","valorB":6}</t>
  </si>
  <si>
    <t>{"valorA":"sistema","valorB":2}</t>
  </si>
  <si>
    <t>{"valorA":"de","valorB":20}</t>
  </si>
  <si>
    <t>{"valorA":"condicionado","valorB":2}</t>
  </si>
  <si>
    <t>{"valorA":"sem","valorB":1}</t>
  </si>
  <si>
    <t>{"valorA":"ar","valorB":2}</t>
  </si>
  <si>
    <t>{"valorA":"reservas","valorB":1}</t>
  </si>
  <si>
    <t>{"valorA":"eficaz","valorB":1}</t>
  </si>
  <si>
    <t>{"valorA":"surpreendido","valorB":1}</t>
  </si>
  <si>
    <t>{"valorA":"final","valorB":1}</t>
  </si>
  <si>
    <t>{"valorA":"lavadora","valorB":2}</t>
  </si>
  <si>
    <t>{"valorA":"fui","valorB":1}</t>
  </si>
  <si>
    <t>{"valorA":"com","valorB":8}</t>
  </si>
  <si>
    <t>{"valorA":"o","valorB":13}</t>
  </si>
  <si>
    <t>{"valorA":"ótima","valorB":12}</t>
  </si>
  <si>
    <t>{"valorA":"calculadora","valorB":2}</t>
  </si>
  <si>
    <t>{"valorA":"funciona","valorB":14}</t>
  </si>
  <si>
    <t>{"valorA":"muito","valorB":22}</t>
  </si>
  <si>
    <t>{"valorA":"bem","valorB":12}</t>
  </si>
  <si>
    <t>{"valorA":"freezer","valorB":167}</t>
  </si>
  <si>
    <t>{"valorA":"freezer","valorB":168}</t>
  </si>
  <si>
    <t>{"valorA":"freezer","valorB":169}</t>
  </si>
  <si>
    <t>{"valorA":"freezer","valorB":170}</t>
  </si>
  <si>
    <t>{"valorA":"freezer","valorB":171}</t>
  </si>
  <si>
    <t>{"valorA":"freezer","valorB":172}</t>
  </si>
  <si>
    <t>{"valorA":"freezer","valorB":173}</t>
  </si>
  <si>
    <t>{"valorA":"freezer","valorB":174}</t>
  </si>
  <si>
    <t>b</t>
  </si>
  <si>
    <t>{"valorA":"carregador de celular","valorB":19}</t>
  </si>
  <si>
    <t>{"valorA":"carregador de celular","valorB":20}</t>
  </si>
  <si>
    <t>{"valorA":"carregador de celular","valorB":21}</t>
  </si>
  <si>
    <t>{"valorA":"celular","valorB":21}</t>
  </si>
  <si>
    <t>{"valorA":"carregador de celular","valorB":22}</t>
  </si>
  <si>
    <t>{"valorA":"carregador de celular","valorB":23}</t>
  </si>
  <si>
    <t>{"valorA":"celular","valorB":22}</t>
  </si>
  <si>
    <t>{"valorA":"purificador de água","valorB":22}</t>
  </si>
  <si>
    <t>{"valorA":"carregador de celular","valorB":24}</t>
  </si>
  <si>
    <t>{"valorA":"purificador de água","valorB":23}</t>
  </si>
  <si>
    <t>{"valorA":"celular","valorB":23}</t>
  </si>
  <si>
    <t>{"valorA":"carregador de celular","valorB":25}</t>
  </si>
  <si>
    <t>{"valorA":"celular","valorB":24}</t>
  </si>
  <si>
    <t>{"valorA":"celular","valorB":25}</t>
  </si>
  <si>
    <t>{"valorA":"lustre","valorB":21}</t>
  </si>
  <si>
    <t>{"valorA":"lustre","valorB":22}</t>
  </si>
  <si>
    <t>{"valorA":"purificador de água","valorB":24}</t>
  </si>
  <si>
    <t>{"valorA":"carregador de celular","valorB":26}</t>
  </si>
  <si>
    <t>{"valorA":"celular","valorB":26}</t>
  </si>
  <si>
    <t>{"valorA":"purificador de água","valorB":25}</t>
  </si>
  <si>
    <t>{"valorA":"celular","valorB":27}</t>
  </si>
  <si>
    <t>{"valorA":"lustre","valorB":23}</t>
  </si>
  <si>
    <t>{"valorA":"carregador de celular","valorB":27}</t>
  </si>
  <si>
    <t>{"valorA":"purificador de água","valorB":26}</t>
  </si>
  <si>
    <t>{"valorA":"lustre","valorB":24}</t>
  </si>
  <si>
    <t>{"valorA":"mouse de computador","valorB":21}</t>
  </si>
  <si>
    <t>{"valorA":"mouse de computador","valorB":22}</t>
  </si>
  <si>
    <t>{"valorA":"celular","valorB":28}</t>
  </si>
  <si>
    <t>{"valorA":"carregador de celular","valorB":28}</t>
  </si>
  <si>
    <t>{"valorA":"carregador de celular","valorB":29}</t>
  </si>
  <si>
    <t>{"valorA":"lustre","valorB":25}</t>
  </si>
  <si>
    <t>{"valorA":"lustre","valorB":26}</t>
  </si>
  <si>
    <t>{"valorA":"carregador de celular","valorB":30}</t>
  </si>
  <si>
    <t>{"valorA":"liquidificador","valorB":26}</t>
  </si>
  <si>
    <t>{"valorA":"lustre","valorB":27}</t>
  </si>
  <si>
    <t>{"valorA":"liquidificador","valorB":27}</t>
  </si>
  <si>
    <t>{"valorA":"carregador de celular","valorB":31}</t>
  </si>
  <si>
    <t>{"valorA":"lustre","valorB":28}</t>
  </si>
  <si>
    <t>{"valorA":"celular","valorB":29}</t>
  </si>
  <si>
    <t>{"valorA":"celular","valorB":30}</t>
  </si>
  <si>
    <t>{"valorA":"lustre","valorB":29}</t>
  </si>
  <si>
    <t>{"valorA":"lustre","valorB":30}</t>
  </si>
  <si>
    <t>{"valorA":"carregador de celular","valorB":32}</t>
  </si>
  <si>
    <t>{"valorA":"teclado de computador","valorB":30}</t>
  </si>
  <si>
    <t>Texto</t>
  </si>
  <si>
    <t xml:space="preserve">ótimo relojoeira. Gostei muito do design e da qualidade.
ótimo produto! Me encanta!
ótimo esse sorvete gelado que comprei ontem. Delicioso!
ótimo produto desse painel de sol. Gostei muito.
ótimo e confortável essa cadeira. Volto a comprá-la.
ótimo relojoeira! funciona bem e é fácil de usar.
 Meu novo carro é incrível. Gostei muito da performance.
ótimo produto! Me alegra muito ter comprado.
ótimo! Esse frigorifico é incrível. Funciona perfeitamente e é fácil de usar.
ótimo carro, bem no seu preço!
ótimo produto, funciona perfeitamente, recomendo.
ótimo produto esse desatendido. Bem mais barato e funciona bem.
ótimo produto esse pano de limpeza. Funciona muito bem.
ótimo produto! Adorei!
Ótimo relogio. Funciona bem e é acessível para quem tem um orçamento limitado.
ótimo refrigerador. Gostei muito do seu design e funcionalidade.
ótimo relojoeira. Perfeita para mulheres.
ótimo relojoeiro. Gostei muito.
ótimo comprimento de corda para esta televisão.
 Meu novo carro é incrível. Funciona perfeitamente.
ótimo produto essa câmera. Foto incríveis.
ótimo e confortável essa cadeira. Adorei!
ótimo relojoeira. Gostei muito.
Ótimo produto! Funciona perfeitamente e é fácil de usar. Recomendo!
ótimo produto! Funciona perfeitamente!
ótimo produto dessa empresa! Funciona perfeitamente.
ótimo produto é esse conditionador para cabelos. Funciona perfeitamente!
ótimo produto, recomendo!
ótimo produto essa creme hidratante. Meu pele agora está muito mais suave.
                    Comentário
ótimo produto, muito bem feito! recomendo.
ótimo produto esse refrigerador. Funciona perfeitamente.
ótimo produto, entrega rápida e emocionante!
ótimo! Esse relogio é incrível!
ótimo relojoeiro. Perfeito para o meu bolso.
 Meu novo televisor é incrível. Funciona perfeitamente.
 Meu carro novo é incrível! Melhor qualidade do que o meu antigo.
ótimo produto! Meu filho adora brincar com ele.
ótimo produto, é incrível, recomendo!
ótimo produto, funciona perfeitamente!
 Meu novo carro é incrível! Mais rápido e confortável do que o meu antigo.
ótimo produto, meu filho adora brincar com ele.
ótimo produto! Funciona perfeitamente e é fácil de usar.
ótimo produto, muito satisfeito!
 Meu novo carro é incrível. Funciona perfeitamente e é muito confortável.
                    Coment
ótimo esse relogio. Perfeito para mim.
ótimo produto esse condicionador de ar. Funciona bem e é fácil de usar.
ótimo produto! Funciona perfeitamente e é fácil de usar.
ótimo produto, realmente é incrível. Vale a pena comprar.
ótimo comprimento do cabo desse telefone. Pega bem no bolso.
ótimo relojoeira. Excelente qualidade.
</t>
  </si>
  <si>
    <t>sorvete</t>
  </si>
  <si>
    <t>gelado</t>
  </si>
  <si>
    <t>delicioso</t>
  </si>
  <si>
    <t>painel</t>
  </si>
  <si>
    <t>volto</t>
  </si>
  <si>
    <t>comprála</t>
  </si>
  <si>
    <t>desatendido</t>
  </si>
  <si>
    <t>pano</t>
  </si>
  <si>
    <t>orçamento</t>
  </si>
  <si>
    <t>limitado</t>
  </si>
  <si>
    <t>mulheres</t>
  </si>
  <si>
    <t>corda</t>
  </si>
  <si>
    <t>esta</t>
  </si>
  <si>
    <t>televisão</t>
  </si>
  <si>
    <t>foto</t>
  </si>
  <si>
    <t>conditionador</t>
  </si>
  <si>
    <t>cabelos</t>
  </si>
  <si>
    <t>suave</t>
  </si>
  <si>
    <t>emocionante</t>
  </si>
  <si>
    <t>bolso</t>
  </si>
  <si>
    <t>condicionador</t>
  </si>
  <si>
    <t>cabo</t>
  </si>
  <si>
    <t>pega</t>
  </si>
  <si>
    <t>{"valorA":"delicioso","valorB":1}</t>
  </si>
  <si>
    <t>{"valorA":"sorvete","valorB":1}</t>
  </si>
  <si>
    <t>{"valorA":"painel","valorB":1}</t>
  </si>
  <si>
    <t>{"valorA":"design","valorB":1}</t>
  </si>
  <si>
    <t>{"valorA":"gelado","valorB":1}</t>
  </si>
  <si>
    <t>{"valorA":"volto","valorB":1}</t>
  </si>
  <si>
    <t>{"valorA":"comprála","valorB":1}</t>
  </si>
  <si>
    <t>{"valorA":"performance","valorB":1}</t>
  </si>
  <si>
    <t>{"valorA":"seu","valorB":1}</t>
  </si>
  <si>
    <t>{"valorA":"no","valorB":1}</t>
  </si>
  <si>
    <t>{"valorA":"desatendido","valorB":1}</t>
  </si>
  <si>
    <t>{"valorA":"pano","valorB":1}</t>
  </si>
  <si>
    <t>{"valorA":"limpeza","valorB":1}</t>
  </si>
  <si>
    <t>{"valorA":"acessível","valorB":1}</t>
  </si>
  <si>
    <t>{"valorA":"orçamento","valorB":1}</t>
  </si>
  <si>
    <t>{"valorA":"limitado","valorB":1}</t>
  </si>
  <si>
    <t>{"valorA":"design","valorB":2}</t>
  </si>
  <si>
    <t>{"valorA":"seu","valorB":2}</t>
  </si>
  <si>
    <t>{"valorA":"funcionalidade","valorB":1}</t>
  </si>
  <si>
    <t>{"valorA":"mulheres","valorB":1}</t>
  </si>
  <si>
    <t>{"valorA":"televisão","valorB":1}</t>
  </si>
  <si>
    <t>{"valorA":"corda","valorB":1}</t>
  </si>
  <si>
    <t>{"valorA":"esta","valorB":1}</t>
  </si>
  <si>
    <t>{"valorA":"foto","valorB":1}</t>
  </si>
  <si>
    <t>{"valorA":"incríveis","valorB":1}</t>
  </si>
  <si>
    <t>{"valorA":"empresa","valorB":1}</t>
  </si>
  <si>
    <t>{"valorA":"conditionador","valorB":1}</t>
  </si>
  <si>
    <t>{"valorA":"cabelos","valorB":1}</t>
  </si>
  <si>
    <t>{"valorA":"mais","valorB":2}</t>
  </si>
  <si>
    <t>{"valorA":"pele","valorB":1}</t>
  </si>
  <si>
    <t>{"valorA":"suave","valorB":1}</t>
  </si>
  <si>
    <t>{"valorA":"feito","valorB":1}</t>
  </si>
  <si>
    <t>{"valorA":"refrigerador","valorB":2}</t>
  </si>
  <si>
    <t>{"valorA":"perfeitamente","valorB":8}</t>
  </si>
  <si>
    <t>{"valorA":"entrega","valorB":1}</t>
  </si>
  <si>
    <t>{"valorA":"emocionante","valorB":1}</t>
  </si>
  <si>
    <t>{"valorA":"rápida","valorB":1}</t>
  </si>
  <si>
    <t>{"valorA":"relogio","valorB":2}</t>
  </si>
  <si>
    <t>{"valorA":"bolso","valorB":1}</t>
  </si>
  <si>
    <t>{"valorA":"novo","valorB":3}</t>
  </si>
  <si>
    <t>{"valorA":"perfeitamente","valorB":9}</t>
  </si>
  <si>
    <t>{"valorA":"novo","valorB":4}</t>
  </si>
  <si>
    <t>{"valorA":"incrível","valorB":6}</t>
  </si>
  <si>
    <t>{"valorA":"meu","valorB":7}</t>
  </si>
  <si>
    <t>{"valorA":"carro","valorB":4}</t>
  </si>
  <si>
    <t>{"valorA":"meu","valorB":8}</t>
  </si>
  <si>
    <t>{"valorA":"incrível","valorB":7}</t>
  </si>
  <si>
    <t>{"valorA":"perfeitamente","valorB":10}</t>
  </si>
  <si>
    <t>{"valorA":"meu","valorB":9}</t>
  </si>
  <si>
    <t>{"valorA":"mais","valorB":3}</t>
  </si>
  <si>
    <t>{"valorA":"novo","valorB":5}</t>
  </si>
  <si>
    <t>{"valorA":"meu","valorB":10}</t>
  </si>
  <si>
    <t>{"valorA":"carro","valorB":5}</t>
  </si>
  <si>
    <t>{"valorA":"incrível","valorB":8}</t>
  </si>
  <si>
    <t>{"valorA":"filho","valorB":2}</t>
  </si>
  <si>
    <t>{"valorA":"meu","valorB":11}</t>
  </si>
  <si>
    <t>{"valorA":"brincar","valorB":2}</t>
  </si>
  <si>
    <t>{"valorA":"funciona","valorB":15}</t>
  </si>
  <si>
    <t>{"valorA":"perfeitamente","valorB":11}</t>
  </si>
  <si>
    <t>{"valorA":"é","valorB":15}</t>
  </si>
  <si>
    <t>{"valorA":"meu","valorB":12}</t>
  </si>
  <si>
    <t>{"valorA":"novo","valorB":6}</t>
  </si>
  <si>
    <t>{"valorA":"perfeitamente","valorB":12}</t>
  </si>
  <si>
    <t>{"valorA":"funciona","valorB":16}</t>
  </si>
  <si>
    <t>{"valorA":"é","valorB":16}</t>
  </si>
  <si>
    <t>{"valorA":"incrível","valorB":9}</t>
  </si>
  <si>
    <t>{"valorA":"carro","valorB":6}</t>
  </si>
  <si>
    <t>{"valorA":"esse","valorB":8}</t>
  </si>
  <si>
    <t>{"valorA":"relogio","valorB":3}</t>
  </si>
  <si>
    <t>{"valorA":"esse","valorB":9}</t>
  </si>
  <si>
    <t>{"valorA":"condicionador","valorB":1}</t>
  </si>
  <si>
    <t>{"valorA":"funciona","valorB":17}</t>
  </si>
  <si>
    <t>{"valorA":"é","valorB":17}</t>
  </si>
  <si>
    <t>{"valorA":"perfeitamente","valorB":13}</t>
  </si>
  <si>
    <t>{"valorA":"funciona","valorB":18}</t>
  </si>
  <si>
    <t>{"valorA":"é","valorB":18}</t>
  </si>
  <si>
    <t>{"valorA":"incrível","valorB":10}</t>
  </si>
  <si>
    <t>{"valorA":"é","valorB":19}</t>
  </si>
  <si>
    <t>{"valorA":"comprimento","valorB":2}</t>
  </si>
  <si>
    <t>{"valorA":"pega","valorB":1}</t>
  </si>
  <si>
    <t>{"valorA":"cabo","valorB":1}</t>
  </si>
  <si>
    <t>{"valorA":"bolso","valorB":2}</t>
  </si>
  <si>
    <t>{"valorA":"no","valorB":2}</t>
  </si>
  <si>
    <t>{"valorA":"relojoeira","valorB":5}</t>
  </si>
  <si>
    <t xml:space="preserve">ótimo produto! Meu filho adora brincar com ele.
ótimo produto, funciona bem e é fácil de usar.
ótimo produto para o preço que paguei. Me senti bem usufruindo.
ótimo produto para a casa, é uma ótima compra.
ótimo produto para o preço, mas não valeu a compra.
ótimo câmera. Funciona muito bem. Gosto muito dela.
ótimo câmera, fotos incríveis! Gosto muito.
ótimo produto, preço muito boa qualidade excelente.
Resumo:
Espero que você tenha
ótimo meu frigorífico, é muito espaçoso.
ótimo preço e qualidade do meu monitor. Gostaria de comprar novamente.
Resumo:
O com
ótimo produto, valeu a espera. Funciona perfeitamente.
ótimo produto para quem busca uma bateria de qualidade. Gostei muito.
ótimo preço para um produto tão bom. Gostei muito do meu blender.
ótimo meu smartwatch. Funciona perfeitamente.
ótimo produto, valeu a espera. Gostei do preço também.
ótimo laptop, recomendo!
                    A seguir estão alguns exemplos de comentários sobre produtos que voc
ótimo televisor. Precisamente o que precisava.
ótimo produto, funciona bem. Achei que valeria a compra.
Resumo:
Obs
ótimo tablet com preço very acessível. Funciona bem.
ótimo preço para um produto tão bom. Gostei do resultado.
ótimo produto, comprei para o meu pai e ele é feliz com ele!
ótimo produto, comprei para o meu pai e ele está muito satisfeito.
ótimo tv led que comprei, super feliz com a compra!
ótimo produto, fácil de usar e durável.
ótimo meu smartwatch. Gostei muito do preço também.
ótimo produto, mas faltando funcionalidades.
ótimo produto, mas o preço é muito alto. Gostaria de ver uma redução nos preços.
                    Coment
ótimo produto para quem busca qualidade e confiabilidade.
ótimo produto para o preço que paguei. Gostei muito.
ótimo preço, mas não gostei do produto.
ótimo câmera! Funciona perfeitamente e é muito fácil de usar.
ótimo produto, valeu a espera. Gostei muito.
ótimo produto para o preço que paguei. Funciona perfeitamente.
ótimo o meu blender. É fácil de usar e limpa com facilidade.
ótimo produto para quem busca uma boa qualidade e preço acessível.
ótimo preço esse telesscope. Funciona bem.
ótimo produto para quem busca um relógio funcional e bonito.
ótimo preço para um produto tão bom. Eu amo o meu televisor.
ótimo produto, recomendo para quem precisa de um computador portátil.
ótimo produto, fácil de usar e barato. Gosto muito do resultado.
ótimo produto, funciona bem e é fácil de usar. Recomendo para todos!
Resposta:
ótimo produto, valeu a espera.
ótimo produto para quem precisa de uma câmera portátil. Funciona perfeitamente.
ótimo produto, recomendo muito.
ótimo produto, mas é muito caro.
ótimo tablet. Gostei muito do preço e das funcionalidades.
ótimo produto, recomendo a todos. Sem defeitos.
ótimo produto, valeu a espera e o preço que paguei.
Notes:
* Use a descri
ótima qualidade para o preço que paguei. Recomendo.
ótimo preço para esse monitor de computador. Funciona bem.
</t>
  </si>
  <si>
    <t>senti</t>
  </si>
  <si>
    <t>usufruindo</t>
  </si>
  <si>
    <t>espero</t>
  </si>
  <si>
    <t>você</t>
  </si>
  <si>
    <t>tenha</t>
  </si>
  <si>
    <t>espaçoso</t>
  </si>
  <si>
    <t>novamente</t>
  </si>
  <si>
    <t>bateria</t>
  </si>
  <si>
    <t>smartwatch</t>
  </si>
  <si>
    <t>seguir</t>
  </si>
  <si>
    <t>alguns</t>
  </si>
  <si>
    <t>sobre</t>
  </si>
  <si>
    <t>produtos</t>
  </si>
  <si>
    <t>voc</t>
  </si>
  <si>
    <t>valeria</t>
  </si>
  <si>
    <t>obs</t>
  </si>
  <si>
    <t>very</t>
  </si>
  <si>
    <t>pai</t>
  </si>
  <si>
    <t>faltando</t>
  </si>
  <si>
    <t>ver</t>
  </si>
  <si>
    <t>redução</t>
  </si>
  <si>
    <t>nos</t>
  </si>
  <si>
    <t>preços</t>
  </si>
  <si>
    <t>telesscope</t>
  </si>
  <si>
    <t>notes</t>
  </si>
  <si>
    <t>descri</t>
  </si>
  <si>
    <t>{"valorA":"usufruindo","valorB":1}</t>
  </si>
  <si>
    <t>{"valorA":"senti","valorB":1}</t>
  </si>
  <si>
    <t>{"valorA":"dela","valorB":1}</t>
  </si>
  <si>
    <t>{"valorA":"você","valorB":1}</t>
  </si>
  <si>
    <t>{"valorA":"tenha","valorB":1}</t>
  </si>
  <si>
    <t>{"valorA":"espero","valorB":1}</t>
  </si>
  <si>
    <t>{"valorA":"espaçoso","valorB":1}</t>
  </si>
  <si>
    <t>{"valorA":"monitor","valorB":1}</t>
  </si>
  <si>
    <t>{"valorA":"novamente","valorB":1}</t>
  </si>
  <si>
    <t>{"valorA":"gostaria","valorB":1}</t>
  </si>
  <si>
    <t>{"valorA":"bateria","valorB":1}</t>
  </si>
  <si>
    <t>{"valorA":"smartwatch","valorB":1}</t>
  </si>
  <si>
    <t>{"valorA":"espera","valorB":2}</t>
  </si>
  <si>
    <t>{"valorA":"seguir","valorB":1}</t>
  </si>
  <si>
    <t>{"valorA":"estão","valorB":1}</t>
  </si>
  <si>
    <t>{"valorA":"exemplos","valorB":1}</t>
  </si>
  <si>
    <t>{"valorA":"produtos","valorB":1}</t>
  </si>
  <si>
    <t>{"valorA":"alguns","valorB":1}</t>
  </si>
  <si>
    <t>{"valorA":"sobre","valorB":1}</t>
  </si>
  <si>
    <t>{"valorA":"comentários","valorB":1}</t>
  </si>
  <si>
    <t>{"valorA":"voc","valorB":1}</t>
  </si>
  <si>
    <t>{"valorA":"precisava","valorB":1}</t>
  </si>
  <si>
    <t>{"valorA":"precisamente","valorB":1}</t>
  </si>
  <si>
    <t>{"valorA":"valeria","valorB":1}</t>
  </si>
  <si>
    <t>{"valorA":"obs","valorB":1}</t>
  </si>
  <si>
    <t>{"valorA":"very","valorB":1}</t>
  </si>
  <si>
    <t>{"valorA":"pai","valorB":1}</t>
  </si>
  <si>
    <t>{"valorA":"ele","valorB":3}</t>
  </si>
  <si>
    <t>{"valorA":"pai","valorB":2}</t>
  </si>
  <si>
    <t>{"valorA":"ele","valorB":4}</t>
  </si>
  <si>
    <t>{"valorA":"feliz","valorB":2}</t>
  </si>
  <si>
    <t>{"valorA":"durável","valorB":1}</t>
  </si>
  <si>
    <t>{"valorA":"smartwatch","valorB":2}</t>
  </si>
  <si>
    <t>{"valorA":"também","valorB":2}</t>
  </si>
  <si>
    <t>{"valorA":"faltando","valorB":1}</t>
  </si>
  <si>
    <t>{"valorA":"funcionalidades","valorB":1}</t>
  </si>
  <si>
    <t>{"valorA":"redução","valorB":1}</t>
  </si>
  <si>
    <t>{"valorA":"gostaria","valorB":2}</t>
  </si>
  <si>
    <t>{"valorA":"alto","valorB":1}</t>
  </si>
  <si>
    <t>{"valorA":"ver","valorB":1}</t>
  </si>
  <si>
    <t>{"valorA":"uma","valorB":3}</t>
  </si>
  <si>
    <t>{"valorA":"preços","valorB":1}</t>
  </si>
  <si>
    <t>{"valorA":"nos","valorB":1}</t>
  </si>
  <si>
    <t>{"valorA":"confiabilidade","valorB":1}</t>
  </si>
  <si>
    <t>{"valorA":"gostei","valorB":7}</t>
  </si>
  <si>
    <t>{"valorA":"do","valorB":6}</t>
  </si>
  <si>
    <t>{"valorA":"câmera","valorB":3}</t>
  </si>
  <si>
    <t>{"valorA":"gostei","valorB":8}</t>
  </si>
  <si>
    <t>{"valorA":"espera","valorB":3}</t>
  </si>
  <si>
    <t>{"valorA":"uma","valorB":4}</t>
  </si>
  <si>
    <t>{"valorA":"boa","valorB":2}</t>
  </si>
  <si>
    <t>{"valorA":"acessível","valorB":2}</t>
  </si>
  <si>
    <t>{"valorA":"preço","valorB":15}</t>
  </si>
  <si>
    <t>{"valorA":"telesscope","valorB":1}</t>
  </si>
  <si>
    <t>{"valorA":"bonito","valorB":1}</t>
  </si>
  <si>
    <t>{"valorA":"funcional","valorB":1}</t>
  </si>
  <si>
    <t>{"valorA":"busca","valorB":4}</t>
  </si>
  <si>
    <t>{"valorA":"preço","valorB":16}</t>
  </si>
  <si>
    <t>{"valorA":"do","valorB":7}</t>
  </si>
  <si>
    <t>{"valorA":"para","valorB":16}</t>
  </si>
  <si>
    <t>{"valorA":"espera","valorB":4}</t>
  </si>
  <si>
    <t>{"valorA":"para","valorB":17}</t>
  </si>
  <si>
    <t>{"valorA":"câmera","valorB":4}</t>
  </si>
  <si>
    <t>{"valorA":"quem","valorB":6}</t>
  </si>
  <si>
    <t>{"valorA":"uma","valorB":5}</t>
  </si>
  <si>
    <t>{"valorA":"gostei","valorB":9}</t>
  </si>
  <si>
    <t>{"valorA":"do","valorB":8}</t>
  </si>
  <si>
    <t>{"valorA":"funcionalidades","valorB":2}</t>
  </si>
  <si>
    <t>{"valorA":"preço","valorB":17}</t>
  </si>
  <si>
    <t>{"valorA":"das","valorB":1}</t>
  </si>
  <si>
    <t>{"valorA":"produto","valorB":33}</t>
  </si>
  <si>
    <t>{"valorA":"a","valorB":10}</t>
  </si>
  <si>
    <t>{"valorA":"produto","valorB":34}</t>
  </si>
  <si>
    <t>{"valorA":"preço","valorB":18}</t>
  </si>
  <si>
    <t>{"valorA":"descri","valorB":1}</t>
  </si>
  <si>
    <t>{"valorA":"que","valorB":9}</t>
  </si>
  <si>
    <t>{"valorA":"notes","valorB":1}</t>
  </si>
  <si>
    <t>{"valorA":"a","valorB":11}</t>
  </si>
  <si>
    <t>{"valorA":"a","valorB":12}</t>
  </si>
  <si>
    <t>{"valorA":"espera","valorB":5}</t>
  </si>
  <si>
    <t>{"valorA":"que","valorB":10}</t>
  </si>
  <si>
    <t>{"valorA":"para","valorB":18}</t>
  </si>
  <si>
    <t>{"valorA":"preço","valorB":19}</t>
  </si>
  <si>
    <t>{"valorA":"paguei","valorB":5}</t>
  </si>
  <si>
    <t>{"valorA":"preço","valorB":20}</t>
  </si>
  <si>
    <t>{"valorA":"para","valorB":19}</t>
  </si>
  <si>
    <t>{"valorA":"monitor","valorB":2}</t>
  </si>
  <si>
    <t xml:space="preserve">Ótimo e barato o meu novo relogió digital. Recomendo.
Ótimo lavadora de prataria, bem mais eficiente do que a minha antiga.
                    Comentário
Ótimo cabelo certo para o meu cabelo fininho.
Ótimo rádio AM/FM. Gosto muito desse produto.
Ótimo leitor de e-books. Funciona muito bem em todas as minhas devices.
Ótimo cabelo certo para o meu cabelo franzido.
Óptico incrível. Eu amo!
Ótimo cadeado para a porta da garagem. Gosto muito.
Ótima limpa-vassoura. Funciona perfeitamente desde o momento em que comprei.
                    Com
Ótima máquina de lavar roupa. Fácil de usar e limpo os roupões com muita qualidade
Ótima cadeira ergonomica. Tranquilo e confortável.
Ótima cadeira reclinável! Valeu a pena o dinheiro.
Ótimo cadeirante motorizado. Foi a melhor compra que fiz hoje.
Ótima mesa de escritório! Estou muito satisfeita com meu compra.
Ótimo ar condicionado. Fica tudo frio na casa.
Ótimo produto, excelente preço. Recomendo!
Ótima mesa de jantar para a nossa família. Tranquilamente pode sediar até 6 pessoas.
Ótimo celular. Fica com vida útil muito bom.
Ótimo lavadora escondera. Estou muito satisfeita com ele.
Ótimo refrigerador. Funciona muito bem desde o dia em que comprei.
Ótimo ar-condicionado! Funciona perfeitamente desde o momento em que comprei.
                    Comentário
Ótimo lavador de prataria. É rápido, fácil e funciona muito bem.
                    Com
Ótima lampada LED. Gosto bastante.
Ótimo cabelo de arame para cozinha. Funciona muito bem.
Ótimo cabelo de pelúcia para o meu sofá. Recomendo!
Ótima lâmpada para dormir. Recomendo muito.
Ótimo aparelho! Tudo o que eu preciso num único dispositivo.
Ótimo lavador de pratos. Realmente fácil de limpar.
Ótimo produto. Gosto muito desse blender.
Ótimo blu-ray player! Funciona perfeitamente.
Ótimo geladeira com baixo consumo elétrico. Gosto muito.
Ótimo econômico essa lâmpada LED. Ganhei muito com isso.
                    Com
Ótimo para quem tem muita folha seca aos poucos. Foi um compra incrível.
Ótimo geladeira de caminho com preço acessível. Recomendo!
Ótimo cabeçalho para computador. Achei muito bom.
Ótimo para dormir no quarto. Ouça muita coisa.
Ótimo sistema de aquecimento central para minha casa. Recomendo totalmente.
Ótimo aparelho de limpeza. Fácil de usar e funciona muito bem.
                    Comentário
Ótima lâmpada led! Funciona muito bem e economiza muito com a energia elétrica.
Ótimo aparelho. Recomendo fortemente!
Óptimo e rápido o serviço online deste site.
Ótimo moinho para grãos. Vale a pena o preço.
Ótima máquina de lavar roupa. Funciona muito bem desde o primeiro dia.
                    Comentário
Ótimo lavador de louça. Funciona bem e economiza água.
Ótimo eficiente esse refrigerador.
Ótimo modelo de lavadora. Faz tudo muito bem.
Ótimo mudo para o quarto da nora. Achei muito bom.
Ótimo celular. Funciona muito bem sem travamentos ou congelamento em momentos críticos.
Ótima toalha para banho. Quase sem água nem fofura.
Óptimo o leitor de livros eletrônico que comprei ontem!
</t>
  </si>
  <si>
    <t>relogió</t>
  </si>
  <si>
    <t>digital</t>
  </si>
  <si>
    <t>antiga</t>
  </si>
  <si>
    <t>fininho</t>
  </si>
  <si>
    <t>amfm</t>
  </si>
  <si>
    <t>ebooks</t>
  </si>
  <si>
    <t>todas</t>
  </si>
  <si>
    <t>devices</t>
  </si>
  <si>
    <t>franzido</t>
  </si>
  <si>
    <t>óptico</t>
  </si>
  <si>
    <t>cadeado</t>
  </si>
  <si>
    <t>porta</t>
  </si>
  <si>
    <t>garagem</t>
  </si>
  <si>
    <t>limpavassoura</t>
  </si>
  <si>
    <t>ergonomica</t>
  </si>
  <si>
    <t>tranquilo</t>
  </si>
  <si>
    <t>reclinável</t>
  </si>
  <si>
    <t>motorizado</t>
  </si>
  <si>
    <t>fiz</t>
  </si>
  <si>
    <t>frio</t>
  </si>
  <si>
    <t>nossa</t>
  </si>
  <si>
    <t>família</t>
  </si>
  <si>
    <t>tranquilamente</t>
  </si>
  <si>
    <t>pode</t>
  </si>
  <si>
    <t>sediar</t>
  </si>
  <si>
    <t>pessoas</t>
  </si>
  <si>
    <t>escondera</t>
  </si>
  <si>
    <t>arcondicionado</t>
  </si>
  <si>
    <t>lampada</t>
  </si>
  <si>
    <t>arame</t>
  </si>
  <si>
    <t>pelúcia</t>
  </si>
  <si>
    <t>num</t>
  </si>
  <si>
    <t>único</t>
  </si>
  <si>
    <t>dispositivo</t>
  </si>
  <si>
    <t>baixo</t>
  </si>
  <si>
    <t>consumo</t>
  </si>
  <si>
    <t>ganhei</t>
  </si>
  <si>
    <t>folha</t>
  </si>
  <si>
    <t>seca</t>
  </si>
  <si>
    <t>aos</t>
  </si>
  <si>
    <t>caminho</t>
  </si>
  <si>
    <t>cabeçalho</t>
  </si>
  <si>
    <t>ouça</t>
  </si>
  <si>
    <t>central</t>
  </si>
  <si>
    <t>energia</t>
  </si>
  <si>
    <t>elétrica</t>
  </si>
  <si>
    <t>site</t>
  </si>
  <si>
    <t>moinho</t>
  </si>
  <si>
    <t>grãos</t>
  </si>
  <si>
    <t>água</t>
  </si>
  <si>
    <t>mudo</t>
  </si>
  <si>
    <t>nora</t>
  </si>
  <si>
    <t>travamentos</t>
  </si>
  <si>
    <t>ou</t>
  </si>
  <si>
    <t>congelamento</t>
  </si>
  <si>
    <t>momentos</t>
  </si>
  <si>
    <t>críticos</t>
  </si>
  <si>
    <t>quase</t>
  </si>
  <si>
    <t>nem</t>
  </si>
  <si>
    <t>fofura</t>
  </si>
  <si>
    <t>livros</t>
  </si>
  <si>
    <t>{"valorA":"fininho","valorB":1}</t>
  </si>
  <si>
    <t>{"valorA":"prataria","valorB":1}</t>
  </si>
  <si>
    <t>{"valorA":"digital","valorB":1}</t>
  </si>
  <si>
    <t>{"valorA":"antiga","valorB":1}</t>
  </si>
  <si>
    <t>{"valorA":"cabelo","valorB":2}</t>
  </si>
  <si>
    <t>{"valorA":"relogió","valorB":1}</t>
  </si>
  <si>
    <t>{"valorA":"amfm","valorB":1}</t>
  </si>
  <si>
    <t>{"valorA":"minha","valorB":1}</t>
  </si>
  <si>
    <t>{"valorA":"rádio","valorB":1}</t>
  </si>
  <si>
    <t>{"valorA":"ebooks","valorB":1}</t>
  </si>
  <si>
    <t>{"valorA":"devices","valorB":1}</t>
  </si>
  <si>
    <t>{"valorA":"todas","valorB":1}</t>
  </si>
  <si>
    <t>{"valorA":"certo","valorB":2}</t>
  </si>
  <si>
    <t>{"valorA":"cabelo","valorB":3}</t>
  </si>
  <si>
    <t>{"valorA":"franzido","valorB":1}</t>
  </si>
  <si>
    <t>{"valorA":"cabelo","valorB":4}</t>
  </si>
  <si>
    <t>{"valorA":"óptico","valorB":1}</t>
  </si>
  <si>
    <t>{"valorA":"cadeado","valorB":1}</t>
  </si>
  <si>
    <t>{"valorA":"porta","valorB":1}</t>
  </si>
  <si>
    <t>{"valorA":"garagem","valorB":1}</t>
  </si>
  <si>
    <t>{"valorA":"limpavassoura","valorB":1}</t>
  </si>
  <si>
    <t>{"valorA":"lavar","valorB":1}</t>
  </si>
  <si>
    <t>{"valorA":"roupa","valorB":1}</t>
  </si>
  <si>
    <t>{"valorA":"limpo","valorB":1}</t>
  </si>
  <si>
    <t>{"valorA":"roupões","valorB":1}</t>
  </si>
  <si>
    <t>{"valorA":"tranquilo","valorB":1}</t>
  </si>
  <si>
    <t>{"valorA":"ergonomica","valorB":1}</t>
  </si>
  <si>
    <t>{"valorA":"reclinável","valorB":1}</t>
  </si>
  <si>
    <t>{"valorA":"fiz","valorB":1}</t>
  </si>
  <si>
    <t>{"valorA":"hoje","valorB":1}</t>
  </si>
  <si>
    <t>{"valorA":"motorizado","valorB":1}</t>
  </si>
  <si>
    <t>{"valorA":"estou","valorB":1}</t>
  </si>
  <si>
    <t>{"valorA":"frio","valorB":1}</t>
  </si>
  <si>
    <t>{"valorA":"tranquilamente","valorB":1}</t>
  </si>
  <si>
    <t>{"valorA":"mesa","valorB":2}</t>
  </si>
  <si>
    <t>{"valorA":"sediar","valorB":1}</t>
  </si>
  <si>
    <t>{"valorA":"pode","valorB":1}</t>
  </si>
  <si>
    <t>{"valorA":"nossa","valorB":1}</t>
  </si>
  <si>
    <t>{"valorA":"6","valorB":1}</t>
  </si>
  <si>
    <t>{"valorA":"pessoas","valorB":1}</t>
  </si>
  <si>
    <t>{"valorA":"família","valorB":1}</t>
  </si>
  <si>
    <t>{"valorA":"jantar","valorB":1}</t>
  </si>
  <si>
    <t>{"valorA":"fica","valorB":2}</t>
  </si>
  <si>
    <t>{"valorA":"vida","valorB":1}</t>
  </si>
  <si>
    <t>{"valorA":"escondera","valorB":1}</t>
  </si>
  <si>
    <t>{"valorA":"estou","valorB":2}</t>
  </si>
  <si>
    <t>{"valorA":"satisfeita","valorB":2}</t>
  </si>
  <si>
    <t>{"valorA":"desde","valorB":2}</t>
  </si>
  <si>
    <t>{"valorA":"dia","valorB":1}</t>
  </si>
  <si>
    <t>{"valorA":"arcondicionado","valorB":1}</t>
  </si>
  <si>
    <t>{"valorA":"desde","valorB":3}</t>
  </si>
  <si>
    <t>{"valorA":"momento","valorB":2}</t>
  </si>
  <si>
    <t>{"valorA":"prataria","valorB":2}</t>
  </si>
  <si>
    <t>{"valorA":"lampada","valorB":1}</t>
  </si>
  <si>
    <t>{"valorA":"cozinha","valorB":1}</t>
  </si>
  <si>
    <t>{"valorA":"cabelo","valorB":5}</t>
  </si>
  <si>
    <t>{"valorA":"arame","valorB":1}</t>
  </si>
  <si>
    <t>{"valorA":"cabelo","valorB":6}</t>
  </si>
  <si>
    <t>{"valorA":"pelúcia","valorB":1}</t>
  </si>
  <si>
    <t>{"valorA":"sofá","valorB":1}</t>
  </si>
  <si>
    <t>{"valorA":"dormir","valorB":1}</t>
  </si>
  <si>
    <t>{"valorA":"num","valorB":1}</t>
  </si>
  <si>
    <t>{"valorA":"eu","valorB":2}</t>
  </si>
  <si>
    <t>{"valorA":"único","valorB":1}</t>
  </si>
  <si>
    <t>{"valorA":"dispositivo","valorB":1}</t>
  </si>
  <si>
    <t>{"valorA":"limpar","valorB":1}</t>
  </si>
  <si>
    <t>{"valorA":"gosto","valorB":4}</t>
  </si>
  <si>
    <t>{"valorA":"consumo","valorB":1}</t>
  </si>
  <si>
    <t>{"valorA":"baixo","valorB":1}</t>
  </si>
  <si>
    <t>{"valorA":"gosto","valorB":5}</t>
  </si>
  <si>
    <t>{"valorA":"lâmpada","valorB":2}</t>
  </si>
  <si>
    <t>{"valorA":"ganhei","valorB":1}</t>
  </si>
  <si>
    <t>{"valorA":"led","valorB":2}</t>
  </si>
  <si>
    <t>{"valorA":"isso","valorB":1}</t>
  </si>
  <si>
    <t>{"valorA":"com","valorB":9}</t>
  </si>
  <si>
    <t>{"valorA":"folha","valorB":1}</t>
  </si>
  <si>
    <t>{"valorA":"seca","valorB":1}</t>
  </si>
  <si>
    <t>{"valorA":"aos","valorB":1}</t>
  </si>
  <si>
    <t>{"valorA":"com","valorB":10}</t>
  </si>
  <si>
    <t>{"valorA":"caminho","valorB":1}</t>
  </si>
  <si>
    <t>{"valorA":"cabeçalho","valorB":1}</t>
  </si>
  <si>
    <t>{"valorA":"dormir","valorB":2}</t>
  </si>
  <si>
    <t>{"valorA":"coisa","valorB":1}</t>
  </si>
  <si>
    <t>{"valorA":"muita","valorB":3}</t>
  </si>
  <si>
    <t>{"valorA":"ouça","valorB":1}</t>
  </si>
  <si>
    <t>{"valorA":"totalmente","valorB":1}</t>
  </si>
  <si>
    <t>{"valorA":"aquecimento","valorB":1}</t>
  </si>
  <si>
    <t>{"valorA":"central","valorB":1}</t>
  </si>
  <si>
    <t>{"valorA":"minha","valorB":2}</t>
  </si>
  <si>
    <t>{"valorA":"comentário","valorB":3}</t>
  </si>
  <si>
    <t>{"valorA":"lâmpada","valorB":3}</t>
  </si>
  <si>
    <t>{"valorA":"led","valorB":3}</t>
  </si>
  <si>
    <t>{"valorA":"energia","valorB":1}</t>
  </si>
  <si>
    <t>{"valorA":"com","valorB":11}</t>
  </si>
  <si>
    <t>{"valorA":"elétrica","valorB":1}</t>
  </si>
  <si>
    <t>{"valorA":"fortemente","valorB":1}</t>
  </si>
  <si>
    <t>{"valorA":"rápido","valorB":2}</t>
  </si>
  <si>
    <t>{"valorA":"site","valorB":1}</t>
  </si>
  <si>
    <t>{"valorA":"grãos","valorB":1}</t>
  </si>
  <si>
    <t>{"valorA":"moinho","valorB":1}</t>
  </si>
  <si>
    <t>{"valorA":"máquina","valorB":2}</t>
  </si>
  <si>
    <t>{"valorA":"roupa","valorB":2}</t>
  </si>
  <si>
    <t>{"valorA":"lavar","valorB":2}</t>
  </si>
  <si>
    <t>{"valorA":"dia","valorB":2}</t>
  </si>
  <si>
    <t>{"valorA":"desde","valorB":4}</t>
  </si>
  <si>
    <t>{"valorA":"primeiro","valorB":1}</t>
  </si>
  <si>
    <t>{"valorA":"comentário","valorB":4}</t>
  </si>
  <si>
    <t>{"valorA":"louça","valorB":1}</t>
  </si>
  <si>
    <t>{"valorA":"economiza","valorB":2}</t>
  </si>
  <si>
    <t>{"valorA":"água","valorB":1}</t>
  </si>
  <si>
    <t>{"valorA":"eficiente","valorB":2}</t>
  </si>
  <si>
    <t>{"valorA":"lavadora","valorB":3}</t>
  </si>
  <si>
    <t>{"valorA":"faz","valorB":1}</t>
  </si>
  <si>
    <t>{"valorA":"mudo","valorB":1}</t>
  </si>
  <si>
    <t>{"valorA":"nora","valorB":1}</t>
  </si>
  <si>
    <t>{"valorA":"quarto","valorB":2}</t>
  </si>
  <si>
    <t>{"valorA":"travamentos","valorB":1}</t>
  </si>
  <si>
    <t>{"valorA":"ou","valorB":1}</t>
  </si>
  <si>
    <t>{"valorA":"momentos","valorB":1}</t>
  </si>
  <si>
    <t>{"valorA":"congelamento","valorB":1}</t>
  </si>
  <si>
    <t>{"valorA":"em","valorB":5}</t>
  </si>
  <si>
    <t>{"valorA":"críticos","valorB":1}</t>
  </si>
  <si>
    <t>{"valorA":"sem","valorB":2}</t>
  </si>
  <si>
    <t>{"valorA":"fofura","valorB":1}</t>
  </si>
  <si>
    <t>{"valorA":"toalha","valorB":1}</t>
  </si>
  <si>
    <t>{"valorA":"água","valorB":2}</t>
  </si>
  <si>
    <t>{"valorA":"quase","valorB":1}</t>
  </si>
  <si>
    <t>{"valorA":"nem","valorB":1}</t>
  </si>
  <si>
    <t>{"valorA":"eletrônico","valorB":1}</t>
  </si>
  <si>
    <t>{"valorA":"o","valorB":14}</t>
  </si>
  <si>
    <t>{"valorA":"livros","valorB":1}</t>
  </si>
  <si>
    <t>{"valorA":"freezer","valorB":3.0}</t>
  </si>
  <si>
    <t>{"valorA":"ar condicionado","valorB":11.0}</t>
  </si>
  <si>
    <t>{"valorA":"microondas","valorB":4.0}</t>
  </si>
  <si>
    <t>{"valorA":"freezer","valorB":20.0}</t>
  </si>
  <si>
    <t>{"valorA":"ar condicionado","valorB":27.0}</t>
  </si>
  <si>
    <t>{"valorA":"microondas","valorB":26.0}</t>
  </si>
  <si>
    <t>{"valorA":"freezer","valorB":37.0}</t>
  </si>
  <si>
    <t>{"valorA":"ar condicionado","valorB":43.0}</t>
  </si>
  <si>
    <t>{"valorA":"microondas","valorB":39.0}</t>
  </si>
  <si>
    <t>{"valorA":"freezer","valorB":51.0}</t>
  </si>
  <si>
    <t>{"valorA":"ar condicionado","valorB":66.0}</t>
  </si>
  <si>
    <t>{"valorA":"microondas","valorB":56.0}</t>
  </si>
  <si>
    <t>{"valorA":"freezer","valorB":65.0}</t>
  </si>
  <si>
    <t>{"valorA":"ar condicionado","valorB":81.0}</t>
  </si>
  <si>
    <t>{"valorA":"microondas","valorB":75.0}</t>
  </si>
  <si>
    <t>{"valorA":"freezer","valorB":82.0}</t>
  </si>
  <si>
    <t>{"valorA":"ar condicionado","valorB":98.0}</t>
  </si>
  <si>
    <t>{"valorA":"microondas","valorB":87.0}</t>
  </si>
  <si>
    <t>{"valorA":"freezer","valorB":103.0}</t>
  </si>
  <si>
    <t>{"valorA":"ar condicionado","valorB":107.0}</t>
  </si>
  <si>
    <t>{"valorA":"microondas","valorB":103.0}</t>
  </si>
  <si>
    <t>{"valorA":"freezer","valorB":121.0}</t>
  </si>
  <si>
    <t>{"valorA":"ar condicionado","valorB":126.0}</t>
  </si>
  <si>
    <t>{"valorA":"microondas","valorB":116.0}</t>
  </si>
  <si>
    <t>{"valorA":"freezer","valorB":138.0}</t>
  </si>
  <si>
    <t>{"valorA":"ar condicionado","valorB":135.0}</t>
  </si>
  <si>
    <t>{"valorA":"microondas","valorB":138.0}</t>
  </si>
  <si>
    <t>{"valorA":"freezer","valorB":153.0}</t>
  </si>
  <si>
    <t>{"valorA":"ar condicionado","valorB":145.0}</t>
  </si>
  <si>
    <t>{"valorA":"microondas","valorB":159.0}</t>
  </si>
  <si>
    <t>{"valorA":"freezer","valorB":163.0}</t>
  </si>
  <si>
    <t>{"valorA":"ar condicionado","valorB":158.0}</t>
  </si>
  <si>
    <t>{"valorA":"microondas","valorB":179.0}</t>
  </si>
  <si>
    <t>3 colunas com tratamento</t>
  </si>
  <si>
    <t>Tempo</t>
  </si>
  <si>
    <t>Tempo Tratado</t>
  </si>
  <si>
    <t>MÉDIA</t>
  </si>
  <si>
    <t>DESV. PADRÃO</t>
  </si>
  <si>
    <t>Tempo de Execução:35.508811segundos</t>
  </si>
  <si>
    <t>Tempo de Execução:35.673048segundos</t>
  </si>
  <si>
    <t>Tempo de Execução:35.818284segundos</t>
  </si>
  <si>
    <t>Tempo de Execução:62.347641segundos</t>
  </si>
  <si>
    <t>Tempo de Execução:63.708596segundos</t>
  </si>
  <si>
    <t>Tempo de Execução:72.128434segundos</t>
  </si>
  <si>
    <t>Tempo de Execução:87.734524segundos</t>
  </si>
  <si>
    <t>Tempo de Execução:89.587807segundos</t>
  </si>
  <si>
    <t>Tempo de Execução:99.993107segundos</t>
  </si>
  <si>
    <t>Tempo de Execução:115.121425segundos</t>
  </si>
  <si>
    <t>Tempo de Execução:116.832859segundos</t>
  </si>
  <si>
    <t>Tempo de Execução:125.586507segundos</t>
  </si>
  <si>
    <t>Tempo de Execução:138.675514segundos</t>
  </si>
  <si>
    <t>Tempo de Execução:140.686322segundos</t>
  </si>
  <si>
    <t>Tempo de Execução:149.077045segundos</t>
  </si>
  <si>
    <t>Tempo de Execução:162.055436segundos</t>
  </si>
  <si>
    <t>Tempo de Execução:163.414747segundos</t>
  </si>
  <si>
    <t>Tempo de Execução:172.430601segundos</t>
  </si>
  <si>
    <t>Tempo de Execução:186.001183segundos</t>
  </si>
  <si>
    <t>Tempo de Execução:187.482294segundos</t>
  </si>
  <si>
    <t>Tempo de Execução:196.863055segundos</t>
  </si>
  <si>
    <t>Tempo de Execução:211.726539segundos</t>
  </si>
  <si>
    <t>Tempo de Execução:213.249769segundos</t>
  </si>
  <si>
    <t>Tempo de Execução:222.033766segundos</t>
  </si>
  <si>
    <t>Tempo de Execução:236.666222segundos</t>
  </si>
  <si>
    <t>Tempo de Execução:237.856508segundos</t>
  </si>
  <si>
    <t>Tempo de Execução:246.593187segundos</t>
  </si>
  <si>
    <t>Tempo de Execução:260.585398segundos</t>
  </si>
  <si>
    <t>Tempo de Execução:262.081482segundos</t>
  </si>
  <si>
    <t>Tempo de Execução:271.953343segundos</t>
  </si>
  <si>
    <t>Tempo de Execução:286.811278segundos</t>
  </si>
  <si>
    <t>Tempo de Execução:288.448937segundos</t>
  </si>
  <si>
    <t>Tempo de Execução:298.359442segundos</t>
  </si>
  <si>
    <t>{"valorA":"teclado de computador","valorB":1.0}</t>
  </si>
  <si>
    <t>{"valorA":"filtro de linha","valorB":1.0}</t>
  </si>
  <si>
    <t>{"valorA":"roteador","valorB":1.0}</t>
  </si>
  <si>
    <t>{"valorA":"fone de ouvido","valorB":1.0}</t>
  </si>
  <si>
    <t>{"valorA":"carregador de computador","valorB":1.0}</t>
  </si>
  <si>
    <t>{"valorA":"purificador de água","valorB":1.0}</t>
  </si>
  <si>
    <t>{"valorA":"liquidificador","valorB":2.0}</t>
  </si>
  <si>
    <t>{"valorA":"chuveiro elétrico","valorB":1.0}</t>
  </si>
  <si>
    <t>{"valorA":"mouse de computador","valorB":1.0}</t>
  </si>
  <si>
    <t>{"valorA":"freezer","valorB":6.0}</t>
  </si>
  <si>
    <t>{"valorA":"ar condicionado","valorB":3.0}</t>
  </si>
  <si>
    <t>{"valorA":"filtro de linha","valorB":6.0}</t>
  </si>
  <si>
    <t>{"valorA":"celular","valorB":2.0}</t>
  </si>
  <si>
    <t>{"valorA":"carregador de celular","valorB":2.0}</t>
  </si>
  <si>
    <t>{"valorA":"purificador de água","valorB":3.0}</t>
  </si>
  <si>
    <t>{"valorA":"lustre","valorB":1.0}</t>
  </si>
  <si>
    <t>{"valorA":"microondas","valorB":3.0}</t>
  </si>
  <si>
    <t>{"valorA":"relógio","valorB":10.0}</t>
  </si>
  <si>
    <t>{"valorA":"carregador de computador","valorB":4.0}</t>
  </si>
  <si>
    <t>{"valorA":"ventilador","valorB":6.0}</t>
  </si>
  <si>
    <t>{"valorA":"fone de ouvido","valorB":2.0}</t>
  </si>
  <si>
    <t>{"valorA":"roteador","valorB":4.0}</t>
  </si>
  <si>
    <t>{"valorA":"teclado de computador","valorB":2.0}</t>
  </si>
  <si>
    <t>{"valorA":"liquidificador","valorB":4.0}</t>
  </si>
  <si>
    <t>{"valorA":"computador","valorB":8.0}</t>
  </si>
  <si>
    <t>{"valorA":"chuveiro elétrico","valorB":3.0}</t>
  </si>
  <si>
    <t>{"valorA":"mouse de computador","valorB":2.0}</t>
  </si>
  <si>
    <t>{"valorA":"freezer","valorB":7.0}</t>
  </si>
  <si>
    <t>{"valorA":"ar condicionado","valorB":5.0}</t>
  </si>
  <si>
    <t>{"valorA":"fogão","valorB":9.0}</t>
  </si>
  <si>
    <t>{"valorA":"filtro de linha","valorB":9.0}</t>
  </si>
  <si>
    <t>{"valorA":"aspirador","valorB":6.0}</t>
  </si>
  <si>
    <t>{"valorA":"celular","valorB":3.0}</t>
  </si>
  <si>
    <t>{"valorA":"carregador de celular","valorB":3.0}</t>
  </si>
  <si>
    <t>{"valorA":"purificador de água","valorB":5.0}</t>
  </si>
  <si>
    <t>{"valorA":"lustre","valorB":2.0}</t>
  </si>
  <si>
    <t>{"valorA":"microondas","valorB":6.0}</t>
  </si>
  <si>
    <t>{"valorA":"relógio","valorB":11.0}</t>
  </si>
  <si>
    <t>{"valorA":"carregador de computador","valorB":5.0}</t>
  </si>
  <si>
    <t>{"valorA":"ventilador","valorB":8.0}</t>
  </si>
  <si>
    <t>{"valorA":"fone de ouvido","valorB":7.0}</t>
  </si>
  <si>
    <t>{"valorA":"roteador","valorB":7.0}</t>
  </si>
  <si>
    <t>{"valorA":"teclado de computador","valorB":4.0}</t>
  </si>
  <si>
    <t>{"valorA":"liquidificador","valorB":7.0}</t>
  </si>
  <si>
    <t>{"valorA":"computador","valorB":9.0}</t>
  </si>
  <si>
    <t>{"valorA":"mouse de computador","valorB":4.0}</t>
  </si>
  <si>
    <t>{"valorA":"ar condicionado","valorB":8.0}</t>
  </si>
  <si>
    <t>{"valorA":"filtro de linha","valorB":10.0}</t>
  </si>
  <si>
    <t>{"valorA":"fogão","valorB":11.0}</t>
  </si>
  <si>
    <t>{"valorA":"aspirador","valorB":11.0}</t>
  </si>
  <si>
    <t>{"valorA":"celular","valorB":6.0}</t>
  </si>
  <si>
    <t>{"valorA":"carregador de celular","valorB":7.0}</t>
  </si>
  <si>
    <t>{"valorA":"purificador de água","valorB":9.0}</t>
  </si>
  <si>
    <t>{"valorA":"lustre","valorB":6.0}</t>
  </si>
  <si>
    <t>{"valorA":"relógio","valorB":15.0}</t>
  </si>
  <si>
    <t>{"valorA":"carregador de computador","valorB":8.0}</t>
  </si>
  <si>
    <t>{"valorA":"ventilador","valorB":13.0}</t>
  </si>
  <si>
    <t>{"valorA":"fone de ouvido","valorB":8.0}</t>
  </si>
  <si>
    <t>{"valorA":"roteador","valorB":11.0}</t>
  </si>
  <si>
    <t>{"valorA":"teclado de computador","valorB":6.0}</t>
  </si>
  <si>
    <t>{"valorA":"liquidificador","valorB":10.0}</t>
  </si>
  <si>
    <t>{"valorA":"computador","valorB":13.0}</t>
  </si>
  <si>
    <t>{"valorA":"chuveiro elétrico","valorB":5.0}</t>
  </si>
  <si>
    <t>{"valorA":"freezer","valorB":9.0}</t>
  </si>
  <si>
    <t>{"valorA":"mouse de computador","valorB":7.0}</t>
  </si>
  <si>
    <t>{"valorA":"ar condicionado","valorB":10.0}</t>
  </si>
  <si>
    <t>{"valorA":"filtro de linha","valorB":13.0}</t>
  </si>
  <si>
    <t>{"valorA":"fogão","valorB":13.0}</t>
  </si>
  <si>
    <t>{"valorA":"celular","valorB":7.0}</t>
  </si>
  <si>
    <t>{"valorA":"purificador de água","valorB":15.0}</t>
  </si>
  <si>
    <t>{"valorA":"lustre","valorB":10.0}</t>
  </si>
  <si>
    <t>{"valorA":"microondas","valorB":7.0}</t>
  </si>
  <si>
    <t>{"valorA":"relógio","valorB":20.0}</t>
  </si>
  <si>
    <t>{"valorA":"carregador de computador","valorB":11.0}</t>
  </si>
  <si>
    <t>{"valorA":"ventilador","valorB":14.0}</t>
  </si>
  <si>
    <t>{"valorA":"fone de ouvido","valorB":10.0}</t>
  </si>
  <si>
    <t>{"valorA":"roteador","valorB":14.0}</t>
  </si>
  <si>
    <t>{"valorA":"teclado de computador","valorB":8.0}</t>
  </si>
  <si>
    <t>{"valorA":"liquidificador","valorB":13.0}</t>
  </si>
  <si>
    <t>{"valorA":"computador","valorB":14.0}</t>
  </si>
  <si>
    <t>{"valorA":"chuveiro elétrico","valorB":7.0}</t>
  </si>
  <si>
    <t>{"valorA":"mouse de computador","valorB":9.0}</t>
  </si>
  <si>
    <t>{"valorA":"freezer","valorB":12.0}</t>
  </si>
  <si>
    <t>{"valorA":"ar condicionado","valorB":12.0}</t>
  </si>
  <si>
    <t>{"valorA":"filtro de linha","valorB":15.0}</t>
  </si>
  <si>
    <t>{"valorA":"aspirador","valorB":15.0}</t>
  </si>
  <si>
    <t>{"valorA":"fogão","valorB":14.0}</t>
  </si>
  <si>
    <t>{"valorA":"celular","valorB":10.0}</t>
  </si>
  <si>
    <t>{"valorA":"carregador de celular","valorB":9.0}</t>
  </si>
  <si>
    <t>{"valorA":"purificador de água","valorB":16.0}</t>
  </si>
  <si>
    <t>{"valorA":"lustre","valorB":11.0}</t>
  </si>
  <si>
    <t>{"valorA":"microondas","valorB":9.0}</t>
  </si>
  <si>
    <t>{"valorA":"relógio","valorB":22.0}</t>
  </si>
  <si>
    <t>{"valorA":"carregador de computador","valorB":15.0}</t>
  </si>
  <si>
    <t>{"valorA":"ventilador","valorB":17.0}</t>
  </si>
  <si>
    <t>{"valorA":"fone de ouvido","valorB":15.0}</t>
  </si>
  <si>
    <t>{"valorA":"roteador","valorB":16.0}</t>
  </si>
  <si>
    <t>{"valorA":"teclado de computador","valorB":9.0}</t>
  </si>
  <si>
    <t>{"valorA":"liquidificador","valorB":16.0}</t>
  </si>
  <si>
    <t>{"valorA":"computador","valorB":16.0}</t>
  </si>
  <si>
    <t>{"valorA":"chuveiro elétrico","valorB":8.0}</t>
  </si>
  <si>
    <t>{"valorA":"mouse de computador","valorB":11.0}</t>
  </si>
  <si>
    <t>{"valorA":"freezer","valorB":15.0}</t>
  </si>
  <si>
    <t>{"valorA":"ar condicionado","valorB":15.0}</t>
  </si>
  <si>
    <t>{"valorA":"filtro de linha","valorB":16.0}</t>
  </si>
  <si>
    <t>{"valorA":"fogão","valorB":17.0}</t>
  </si>
  <si>
    <t>{"valorA":"aspirador","valorB":19.0}</t>
  </si>
  <si>
    <t>{"valorA":"carregador de celular","valorB":12.0}</t>
  </si>
  <si>
    <t>{"valorA":"purificador de água","valorB":19.0}</t>
  </si>
  <si>
    <t>{"valorA":"lustre","valorB":14.0}</t>
  </si>
  <si>
    <t>{"valorA":"relógio","valorB":24.0}</t>
  </si>
  <si>
    <t>{"valorA":"carregador de computador","valorB":16.0}</t>
  </si>
  <si>
    <t>{"valorA":"ventilador","valorB":19.0}</t>
  </si>
  <si>
    <t>{"valorA":"fone de ouvido","valorB":20.0}</t>
  </si>
  <si>
    <t>{"valorA":"roteador","valorB":21.0}</t>
  </si>
  <si>
    <t>{"valorA":"teclado de computador","valorB":11.0}</t>
  </si>
  <si>
    <t>{"valorA":"computador","valorB":19.0}</t>
  </si>
  <si>
    <t>{"valorA":"liquidificador","valorB":20.0}</t>
  </si>
  <si>
    <t>{"valorA":"chuveiro elétrico","valorB":11.0}</t>
  </si>
  <si>
    <t>{"valorA":"freezer","valorB":18.0}</t>
  </si>
  <si>
    <t>{"valorA":"ar condicionado","valorB":16.0}</t>
  </si>
  <si>
    <t>{"valorA":"filtro de linha","valorB":17.0}</t>
  </si>
  <si>
    <t>{"valorA":"aspirador","valorB":20.0}</t>
  </si>
  <si>
    <t>{"valorA":"fogão","valorB":21.0}</t>
  </si>
  <si>
    <t>{"valorA":"celular","valorB":14.0}</t>
  </si>
  <si>
    <t>{"valorA":"carregador de celular","valorB":15.0}</t>
  </si>
  <si>
    <t>{"valorA":"purificador de água","valorB":22.0}</t>
  </si>
  <si>
    <t>{"valorA":"lustre","valorB":15.0}</t>
  </si>
  <si>
    <t>{"valorA":"microondas","valorB":10.0}</t>
  </si>
  <si>
    <t>{"valorA":"carregador de computador","valorB":18.0}</t>
  </si>
  <si>
    <t>{"valorA":"relógio","valorB":27.0}</t>
  </si>
  <si>
    <t>{"valorA":"ventilador","valorB":22.0}</t>
  </si>
  <si>
    <t>{"valorA":"roteador","valorB":24.0}</t>
  </si>
  <si>
    <t>{"valorA":"teclado de computador","valorB":13.0}</t>
  </si>
  <si>
    <t>{"valorA":"computador","valorB":22.0}</t>
  </si>
  <si>
    <t>{"valorA":"liquidificador","valorB":21.0}</t>
  </si>
  <si>
    <t>{"valorA":"chuveiro elétrico","valorB":13.0}</t>
  </si>
  <si>
    <t>{"valorA":"mouse de computador","valorB":13.0}</t>
  </si>
  <si>
    <t>{"valorA":"freezer","valorB":21.0}</t>
  </si>
  <si>
    <t>{"valorA":"ar condicionado","valorB":18.0}</t>
  </si>
  <si>
    <t>{"valorA":"aspirador","valorB":21.0}</t>
  </si>
  <si>
    <t>{"valorA":"fogão","valorB":22.0}</t>
  </si>
  <si>
    <t>{"valorA":"filtro de linha","valorB":22.0}</t>
  </si>
  <si>
    <t>{"valorA":"celular","valorB":15.0}</t>
  </si>
  <si>
    <t>{"valorA":"carregador de celular","valorB":19.0}</t>
  </si>
  <si>
    <t>{"valorA":"purificador de água","valorB":25.0}</t>
  </si>
  <si>
    <t>{"valorA":"lustre","valorB":22.0}</t>
  </si>
  <si>
    <t>{"valorA":"microondas","valorB":11.0}</t>
  </si>
  <si>
    <t>{"valorA":"carregador de computador","valorB":21.0}</t>
  </si>
  <si>
    <t>{"valorA":"ventilador","valorB":25.0}</t>
  </si>
  <si>
    <t>{"valorA":"fone de ouvido","valorB":23.0}</t>
  </si>
  <si>
    <t>{"valorA":"roteador","valorB":25.0}</t>
  </si>
  <si>
    <t>{"valorA":"teclado de computador","valorB":14.0}</t>
  </si>
  <si>
    <t>{"valorA":"computador","valorB":23.0}</t>
  </si>
  <si>
    <t>{"valorA":"liquidificador","valorB":22.0}</t>
  </si>
  <si>
    <t>{"valorA":"chuveiro elétrico","valorB":17.0}</t>
  </si>
  <si>
    <t>{"valorA":"mouse de computador","valorB":15.0}</t>
  </si>
  <si>
    <t>{"valorA":"freezer","valorB":22.0}</t>
  </si>
  <si>
    <t>{"valorA":"filtro de linha","valorB":23.0}</t>
  </si>
  <si>
    <t>{"valorA":"aspirador","valorB":25.0}</t>
  </si>
  <si>
    <t>{"valorA":"fogão","valorB":27.0}</t>
  </si>
  <si>
    <t>{"valorA":"celular","valorB":18.0}</t>
  </si>
  <si>
    <t>{"valorA":"purificador de água","valorB":27.0}</t>
  </si>
  <si>
    <t>{"valorA":"lustre","valorB":24.0}</t>
  </si>
  <si>
    <t>{"valorA":"microondas","valorB":12.0}</t>
  </si>
  <si>
    <t>{"valorA":"relógio","valorB":31.0}</t>
  </si>
  <si>
    <t>{"valorA":"carregador de computador","valorB":23.0}</t>
  </si>
  <si>
    <t>{"valorA":"ventilador","valorB":30.0}</t>
  </si>
  <si>
    <t>{"valorA":"fone de ouvido","valorB":24.0}</t>
  </si>
  <si>
    <t>{"valorA":"roteador","valorB":30.0}</t>
  </si>
  <si>
    <t>{"valorA":"teclado de computador","valorB":16.0}</t>
  </si>
  <si>
    <t>{"valorA":"liquidificador","valorB":23.0}</t>
  </si>
  <si>
    <t>{"valorA":"computador","valorB":24.0}</t>
  </si>
  <si>
    <t>{"valorA":"chuveiro elétrico","valorB":20.0}</t>
  </si>
  <si>
    <t>{"valorA":"mouse de computador","valorB":18.0}</t>
  </si>
  <si>
    <t>{"valorA":"freezer","valorB":23.0}</t>
  </si>
  <si>
    <t>{"valorA":"ar condicionado","valorB":20.0}</t>
  </si>
  <si>
    <t>{"valorA":"filtro de linha","valorB":26.0}</t>
  </si>
  <si>
    <t>{"valorA":"aspirador","valorB":27.0}</t>
  </si>
  <si>
    <t>{"valorA":"fogão","valorB":29.0}</t>
  </si>
  <si>
    <t>{"valorA":"celular","valorB":20.0}</t>
  </si>
  <si>
    <t>{"valorA":"carregador de celular","valorB":22.0}</t>
  </si>
  <si>
    <t>{"valorA":"purificador de água","valorB":29.0}</t>
  </si>
  <si>
    <t>{"valorA":"lustre","valorB":29.0}</t>
  </si>
  <si>
    <t>{"valorA":"microondas","valorB":14.0}</t>
  </si>
  <si>
    <t>{"valorA":"relógio","valorB":34.0}</t>
  </si>
  <si>
    <t>{"valorA":"carregador de computador","valorB":28.0}</t>
  </si>
  <si>
    <t>{"valorA":"ventilador","valorB":32.0}</t>
  </si>
  <si>
    <t>{"valorA":"fone de ouvido","valorB":26.0}</t>
  </si>
  <si>
    <t>{"valorA":"roteador","valorB":32.0}</t>
  </si>
  <si>
    <t>{"valorA":"mouse de computador","valorB":19.0}</t>
  </si>
  <si>
    <t>{"valorA":"freezer","valorB":24.0}</t>
  </si>
  <si>
    <t>{"valorA":"ar condicionado","valorB":21.0}</t>
  </si>
  <si>
    <t>{"valorA":"fogão","valorB":30.0}</t>
  </si>
  <si>
    <t>{"valorA":"microondas","valorB":15.0}</t>
  </si>
  <si>
    <t>{"valorA":"ventilador","valorB":33.0}</t>
  </si>
  <si>
    <t>{"valorA":"roteador","valorB":33.0}</t>
  </si>
  <si>
    <t>{"valorA":"teclado de computador","valorB":17.0}</t>
  </si>
  <si>
    <t>20 colunas</t>
  </si>
  <si>
    <t>DESV. PADRAO</t>
  </si>
  <si>
    <t>Tempo de Execução:35.772785segundos</t>
  </si>
  <si>
    <t>Tempo de Execução:35.927975segundos</t>
  </si>
  <si>
    <t>Tempo de Execução:36.081937segundos</t>
  </si>
  <si>
    <t>Tempo de Execução:36.27732segundos</t>
  </si>
  <si>
    <t>Tempo de Execução:36.549402segundos</t>
  </si>
  <si>
    <t>Tempo de Execução:36.88382segundos</t>
  </si>
  <si>
    <t>Tempo de Execução:37.206185segundos</t>
  </si>
  <si>
    <t>Tempo de Execução:37.566958segundos</t>
  </si>
  <si>
    <t>Tempo de Execução:37.95283segundos</t>
  </si>
  <si>
    <t>Tempo de Execução:60.605092segundos</t>
  </si>
  <si>
    <t>Tempo de Execução:60.900532segundos</t>
  </si>
  <si>
    <t>Tempo de Execução:62.120534segundos</t>
  </si>
  <si>
    <t>Tempo de Execução:63.085244segundos</t>
  </si>
  <si>
    <t>Tempo de Execução:63.444132segundos</t>
  </si>
  <si>
    <t>Tempo de Execução:64.795049segundos</t>
  </si>
  <si>
    <t>Tempo de Execução:66.22626segundos</t>
  </si>
  <si>
    <t>Tempo de Execução:66.732774segundos</t>
  </si>
  <si>
    <t>Tempo de Execução:67.129928segundos</t>
  </si>
  <si>
    <t>Tempo de Execução:69.082863segundos</t>
  </si>
  <si>
    <t>Tempo de Execução:71.678986segundos</t>
  </si>
  <si>
    <t>Tempo de Execução:72.111273segundos</t>
  </si>
  <si>
    <t>Tempo de Execução:73.901823segundos</t>
  </si>
  <si>
    <t>Tempo de Execução:74.405248segundos</t>
  </si>
  <si>
    <t>Tempo de Execução:74.897941segundos</t>
  </si>
  <si>
    <t>Tempo de Execução:75.602483segundos</t>
  </si>
  <si>
    <t>Tempo de Execução:77.912819segundos</t>
  </si>
  <si>
    <t>Tempo de Execução:79.439689segundos</t>
  </si>
  <si>
    <t>Tempo de Execução:81.949058segundos</t>
  </si>
  <si>
    <t>Tempo de Execução:85.842272segundos</t>
  </si>
  <si>
    <t>Tempo de Execução:86.357492segundos</t>
  </si>
  <si>
    <t>Tempo de Execução:87.735245segundos</t>
  </si>
  <si>
    <t>Tempo de Execução:88.776039segundos</t>
  </si>
  <si>
    <t>Tempo de Execução:89.32362segundos</t>
  </si>
  <si>
    <t>Tempo de Execução:90.515521segundos</t>
  </si>
  <si>
    <t>Tempo de Execução:92.031411segundos</t>
  </si>
  <si>
    <t>Tempo de Execução:92.619648segundos</t>
  </si>
  <si>
    <t>Tempo de Execução:93.212509segundos</t>
  </si>
  <si>
    <t>Tempo de Execução:93.736837segundos</t>
  </si>
  <si>
    <t>Tempo de Execução:95.117207segundos</t>
  </si>
  <si>
    <t>Tempo de Execução:97.821909segundos</t>
  </si>
  <si>
    <t>Tempo de Execução:98.479225segundos</t>
  </si>
  <si>
    <t>Tempo de Execução:100.455144segundos</t>
  </si>
  <si>
    <t>Tempo de Execução:100.962498segundos</t>
  </si>
  <si>
    <t>Tempo de Execução:101.571462segundos</t>
  </si>
  <si>
    <t>Tempo de Execução:102.144734segundos</t>
  </si>
  <si>
    <t>Tempo de Execução:103.970197segundos</t>
  </si>
  <si>
    <t>Tempo de Execução:105.66362segundos</t>
  </si>
  <si>
    <t>Tempo de Execução:107.718214segundos</t>
  </si>
  <si>
    <t>Tempo de Execução:112.200857segundos</t>
  </si>
  <si>
    <t>Tempo de Execução:112.763732segundos</t>
  </si>
  <si>
    <t>Tempo de Execução:115.259469segundos</t>
  </si>
  <si>
    <t>Tempo de Execução:116.977605segundos</t>
  </si>
  <si>
    <t>Tempo de Execução:118.261047segundos</t>
  </si>
  <si>
    <t>Tempo de Execução:118.682759segundos</t>
  </si>
  <si>
    <t>Tempo de Execução:119.031531segundos</t>
  </si>
  <si>
    <t>Tempo de Execução:119.687783segundos</t>
  </si>
  <si>
    <t>Tempo de Execução:121.496978segundos</t>
  </si>
  <si>
    <t>Tempo de Execução:124.284612segundos</t>
  </si>
  <si>
    <t>Tempo de Execução:124.868455segundos</t>
  </si>
  <si>
    <t>Tempo de Execução:126.797733segundos</t>
  </si>
  <si>
    <t>Tempo de Execução:127.290899segundos</t>
  </si>
  <si>
    <t>Tempo de Execução:127.880386segundos</t>
  </si>
  <si>
    <t>Tempo de Execução:130.046242segundos</t>
  </si>
  <si>
    <t>Tempo de Execução:131.249887segundos</t>
  </si>
  <si>
    <t>Tempo de Execução:133.248138segundos</t>
  </si>
  <si>
    <t>Tempo de Execução:137.107416segundos</t>
  </si>
  <si>
    <t>Tempo de Execução:137.60032segundos</t>
  </si>
  <si>
    <t>Tempo de Execução:138.623489segundos</t>
  </si>
  <si>
    <t>Tempo de Execução:139.624775segundos</t>
  </si>
  <si>
    <t>Tempo de Execução:140.256603segundos</t>
  </si>
  <si>
    <t>Tempo de Execução:141.195132segundos</t>
  </si>
  <si>
    <t>Tempo de Execução:142.730072segundos</t>
  </si>
  <si>
    <t>Tempo de Execução:143.185671segundos</t>
  </si>
  <si>
    <t>Tempo de Execução:143.701505segundos</t>
  </si>
  <si>
    <t>Tempo de Execução:147.488024segundos</t>
  </si>
  <si>
    <t>Tempo de Execução:148.016314segundos</t>
  </si>
  <si>
    <t>Tempo de Execução:149.822394segundos</t>
  </si>
  <si>
    <t>Tempo de Execução:150.411134segundos</t>
  </si>
  <si>
    <t>Tempo de Execução:150.93643segundos</t>
  </si>
  <si>
    <t>Tempo de Execução:151.484903segundos</t>
  </si>
  <si>
    <t>Tempo de Execução:153.424013segundos</t>
  </si>
  <si>
    <t>Tempo de Execução:154.971926segundos</t>
  </si>
  <si>
    <t>Tempo de Execução:157.033876segundos</t>
  </si>
  <si>
    <t>Tempo de Execução:161.627093segundos</t>
  </si>
  <si>
    <t>Tempo de Execução:162.026259segundos</t>
  </si>
  <si>
    <t>Tempo de Execução:163.476462segundos</t>
  </si>
  <si>
    <t>Tempo de Execução:164.543102segundos</t>
  </si>
  <si>
    <t>Tempo de Execução:164.938889segundos</t>
  </si>
  <si>
    <t>Tempo de Execução:166.489431segundos</t>
  </si>
  <si>
    <t>Tempo de Execução:167.916241segundos</t>
  </si>
  <si>
    <t>Tempo de Execução:168.300994segundos</t>
  </si>
  <si>
    <t>Tempo de Execução:168.686047segundos</t>
  </si>
  <si>
    <t>Tempo de Execução:169.075656segundos</t>
  </si>
  <si>
    <t>Tempo de Execução:170.775515segundos</t>
  </si>
  <si>
    <t>Tempo de Execução:173.148474segundos</t>
  </si>
  <si>
    <t>Tempo de Execução:173.984016segundos</t>
  </si>
  <si>
    <t>Tempo de Execução:175.35868segundos</t>
  </si>
  <si>
    <t>Tempo de Execução:175.748892segundos</t>
  </si>
  <si>
    <t>Tempo de Execução:176.107196segundos</t>
  </si>
  <si>
    <t>Tempo de Execução:176.715414segundos</t>
  </si>
  <si>
    <t>Tempo de Execução:178.5866segundos</t>
  </si>
  <si>
    <t>Tempo de Execução:179.832163segundos</t>
  </si>
  <si>
    <t>Tempo de Execução:181.715661segundos</t>
  </si>
  <si>
    <t>Tempo de Execução:185.846209segundos</t>
  </si>
  <si>
    <t>Tempo de Execução:186.214977segundos</t>
  </si>
  <si>
    <t>Tempo de Execução:187.327796segundos</t>
  </si>
  <si>
    <t>Tempo de Execução:188.301338segundos</t>
  </si>
  <si>
    <t>Tempo de Execução:188.661957segundos</t>
  </si>
  <si>
    <t>Tempo de Execução:189.927157segundos</t>
  </si>
  <si>
    <t>Tempo de Execução:191.269708segundos</t>
  </si>
  <si>
    <t>Tempo de Execução:191.633274segundos</t>
  </si>
  <si>
    <t>Tempo de Execução:191.98181segundos</t>
  </si>
  <si>
    <t>Tempo de Execução:193.805342segundos</t>
  </si>
  <si>
    <t>Tempo de Execução:196.047864segundos</t>
  </si>
  <si>
    <t>Tempo de Execução:196.411687segundos</t>
  </si>
  <si>
    <t>Tempo de Execução:198.441969segundos</t>
  </si>
  <si>
    <t>Tempo de Execução:198.811113segundos</t>
  </si>
  <si>
    <t>Tempo de Execução:199.868922segundos</t>
  </si>
  <si>
    <t>Tempo de Execução:201.495331segundos</t>
  </si>
  <si>
    <t>Tempo de Execução:202.686833segundos</t>
  </si>
  <si>
    <t>Tempo de Execução:204.692083segundos</t>
  </si>
  <si>
    <t>Tempo de Execução:208.679054segundos</t>
  </si>
  <si>
    <t>Tempo de Execução:209.100945segundos</t>
  </si>
  <si>
    <t>Tempo de Execução:210.453749segundos</t>
  </si>
  <si>
    <t>Tempo de Execução:211.812709segundos</t>
  </si>
  <si>
    <t>Tempo de Execução:213.382503segundos</t>
  </si>
  <si>
    <t>Tempo de Execução:214.788553segundos</t>
  </si>
  <si>
    <t>Tempo de Execução:215.160403segundos</t>
  </si>
  <si>
    <t>Tempo de Execução:215.51912segundos</t>
  </si>
  <si>
    <t>Tempo de Execução:215.879439segundos</t>
  </si>
  <si>
    <t>Tempo de Execução:217.567114segundos</t>
  </si>
  <si>
    <t>Tempo de Execução:219.784051segundos</t>
  </si>
  <si>
    <t>Tempo de Execução:220.442374segundos</t>
  </si>
  <si>
    <t>Tempo de Execução:221.997418segundos</t>
  </si>
  <si>
    <t>Tempo de Execução:222.530358segundos</t>
  </si>
  <si>
    <t>Tempo de Execução:222.899062segundos</t>
  </si>
  <si>
    <t>Tempo de Execução:223.474015segundos</t>
  </si>
  <si>
    <t>Tempo de Execução:227.073257segundos</t>
  </si>
  <si>
    <t>Tempo de Execução:228.870557segundos</t>
  </si>
  <si>
    <t>Tempo de Execução:232.921514segundos</t>
  </si>
  <si>
    <t>Tempo de Execução:233.34414segundos</t>
  </si>
  <si>
    <t>Tempo de Execução:234.399885segundos</t>
  </si>
  <si>
    <t>Tempo de Execução:235.45743segundos</t>
  </si>
  <si>
    <t>Tempo de Execução:235.820282segundos</t>
  </si>
  <si>
    <t>Tempo de Execução:236.846335segundos</t>
  </si>
  <si>
    <t>Tempo de Execução:238.379704segundos</t>
  </si>
  <si>
    <t>Tempo de Execução:238.749053segundos</t>
  </si>
  <si>
    <t>Tempo de Execução:239.110424segundos</t>
  </si>
  <si>
    <t>Tempo de Execução:239.473683segundos</t>
  </si>
  <si>
    <t>Tempo de Execução:241.133015segundos</t>
  </si>
  <si>
    <t>Tempo de Execução:243.462896segundos</t>
  </si>
  <si>
    <t>Tempo de Execução:243.837745segundos</t>
  </si>
  <si>
    <t>Tempo de Execução:245.449758segundos</t>
  </si>
  <si>
    <t>Tempo de Execução:245.830231segundos</t>
  </si>
  <si>
    <t>Tempo de Execução:246.927732segundos</t>
  </si>
  <si>
    <t>Tempo de Execução:248.781103segundos</t>
  </si>
  <si>
    <t>Tempo de Execução:250.273862segundos</t>
  </si>
  <si>
    <t>Tempo de Execução:251.987515segundos</t>
  </si>
  <si>
    <t>Tempo de Execução:255.871805segundos</t>
  </si>
  <si>
    <t>Tempo de Execução:256.238945segundos</t>
  </si>
  <si>
    <t>Tempo de Execução:257.327253segundos</t>
  </si>
  <si>
    <t>Tempo de Execução:258.454364segundos</t>
  </si>
  <si>
    <t>Tempo de Execução:258.824084segundos</t>
  </si>
  <si>
    <t>Tempo de Execução:261.210377segundos</t>
  </si>
  <si>
    <t>Tempo de Execução:261.578466segundos</t>
  </si>
  <si>
    <t>Tempo de Execução:261.937255segundos</t>
  </si>
  <si>
    <t>Tempo de Execução:262.310514segundos</t>
  </si>
  <si>
    <t>Tempo de Execução:266.264588segundos</t>
  </si>
  <si>
    <t>Tempo de Execução:266.638802segundos</t>
  </si>
  <si>
    <t>Tempo de Execução:268.391099segundos</t>
  </si>
  <si>
    <t>Tempo de Execução:268.849718segundos</t>
  </si>
  <si>
    <t>Tempo de Execução:269.226995segundos</t>
  </si>
  <si>
    <t>Tempo de Execução:269.892058segundos</t>
  </si>
  <si>
    <t>Tempo de Execução:272.082493segundos</t>
  </si>
  <si>
    <t>Tempo de Execução:273.81881segundos</t>
  </si>
  <si>
    <t>Tempo de Execução:275.649816segundos</t>
  </si>
  <si>
    <t>Tempo de Execução:279.690551segundos</t>
  </si>
  <si>
    <t>Tempo de Execução:280.078418segundos</t>
  </si>
  <si>
    <t>Tempo de Execução:281.49939segundos</t>
  </si>
  <si>
    <t>Tempo de Execução:282.651606segundos</t>
  </si>
  <si>
    <t>Tempo de Execução:283.05198segundos</t>
  </si>
  <si>
    <t>Tempo de Execução:284.618406segundos</t>
  </si>
  <si>
    <t>Tempo de Execução:285.950672segundos</t>
  </si>
  <si>
    <t>Tempo de Execução:286.319651segundos</t>
  </si>
  <si>
    <t>Tempo de Execução:286.689961segundos</t>
  </si>
  <si>
    <t>Tempo de Execução:287.062872segundos</t>
  </si>
  <si>
    <t>Tempo de Execução:288.959426segundos</t>
  </si>
  <si>
    <t>Tempo de Execução:291.119493segundos</t>
  </si>
  <si>
    <t>Tempo de Execução:291.488556segundos</t>
  </si>
  <si>
    <t>Tempo de Execução:293.406823segundos</t>
  </si>
  <si>
    <t>Tempo de Execução:293.791139segundos</t>
  </si>
  <si>
    <t>Tempo de Execução:294.172762segundos</t>
  </si>
  <si>
    <t>Tempo de Execução:294.995832segundos</t>
  </si>
  <si>
    <t>Tempo de Execução:297.108007segundos</t>
  </si>
  <si>
    <t>Tempo de Execução:298.610194segundos</t>
  </si>
  <si>
    <t>Tempo de Execução:307.199613segundos</t>
  </si>
  <si>
    <t>Tempo de Execução:307.591759segundos</t>
  </si>
  <si>
    <t>Tempo de Execução:308.809635segundos</t>
  </si>
  <si>
    <t>Tempo de Execução:310.253954segundos</t>
  </si>
  <si>
    <t>Tempo de Execução:317.423518segundos</t>
  </si>
  <si>
    <t>Tempo de Execução:318.88855segundos</t>
  </si>
  <si>
    <t>Tempo de Execução:322.775779segundos</t>
  </si>
  <si>
    <t>Tempo de Execução:324.930409segundos</t>
  </si>
  <si>
    <t xml:space="preserve">ótimo relojoeira. Paguei bem pouco por ela.
ótimo produto essa mochila. É muito prática e confortável.
ótimo desequeis. Gostei muito do resultado.
Ótimo preço dessa mochila. Funciona bem.
ótimo produto, vendeu-me bem. Gostei bastante do resultados.
Ótimo produto dessa loja online. Super satisfeito com a compra.
ótimo desse fone de ouvido bluetooth. Gostei muito do som.
ótimo produto. Funciona perfeitamente, recomendo!
ótimo produto! É incrível o que faz. Recomendo!
ótimo produto desse chuveiro. Funciona perfeitamente.
ótimo produto esse câmera reflexo. Funciona perfeitamente.
ótimo produto! Gostei muito do seu funcionamento.
ótimo esse brinquedo para meu neto. Adoramos!
ótimo esse cortador de cabelos. Gostei muito da qualidade do produto.
ótimo relojoeira. Muito satisfeito com a compra.
ótimo produto esse suplemento alimentício. Gostei muito.
ótimo produto! Gosto muito da qualidade e do preço.
ótimo carrinho de compras online!
ótimo produto dessa empresa. Bem feito e funciona bem.
ótimo desse relogio. É muito preciso e fácil de usar.
ótimo produto, muito satisfeito.
ótimo e confiável este carregador de telefone.
ótimo produto! Realmente é incrível. Funciona perfeitamente e eu adorno.
ótimo produto! Realmente ajudou a melhorar minha vida diária.
ótimo produto, mas demasiado caro para o meu orçamento.
ótimo produto! Gostei muito, é fácil de usar e funciona perfeitamente.
 Meu novo carro é incrível! Melhor que o meu antigo totalmente.
ótimo e confortável essa cadeira. Perfecta para a minha casa.
ótimo produto essa caixa de ferramentas. Realmente útil.
ótimo produto esse termo de café. Muito bacalhau!
ótimo produto! Realmente é incrível, faz tudo o que prometeu.
ótimo produto essa caixa de ferramentas.
ótimo produto! Funciona perfeitamente.
ótimo produto! Funciona perfeitamente e é fácil de usar.
ótimo produto, recomendo!
Ótimo e confortável o meu novo sofá. Adorei!
ótimo relojoeira! É muito leve e fácil de usar.
ótimo e confiável desse carro. Funciona perfeitamente.
ótimo produto desse relogio. Bem mais preciso do que o meu antigo.
ótimo produto, recomendo!
ótimo produto! Funciona perfeitamente e é fácil de usar. Recomendo!
ótimo! Esse relógio é perfeito para mim. Funciona bem e é fácil de usar.
ótimo produto, eu adoraria comprar outro um dia.
ótimo produto esse condicionador de ar. Gostei muito.
ótimo e confortável essa cadeira.
ótimo produto, é realmente incrível. Me parece muito bem no meu carro.
ótimo produto dessa loja on line.
ótimo produto esse laptops que comprei ontem. Facil de usar e muito rápido.
ótimo produto, funciona perfeitamente, é muito recomendável.
ótimo produto dessa loja online. Funciona perfeitamente.
</t>
  </si>
  <si>
    <t>mochila</t>
  </si>
  <si>
    <t>desequeis</t>
  </si>
  <si>
    <t>vendeume</t>
  </si>
  <si>
    <t>resultados</t>
  </si>
  <si>
    <t>chuveiro</t>
  </si>
  <si>
    <t>reflexo</t>
  </si>
  <si>
    <t>funcionamento</t>
  </si>
  <si>
    <t>neto</t>
  </si>
  <si>
    <t>adoramos</t>
  </si>
  <si>
    <t>cortador</t>
  </si>
  <si>
    <t>suplemento</t>
  </si>
  <si>
    <t>alimentício</t>
  </si>
  <si>
    <t>carregador</t>
  </si>
  <si>
    <t>adorno</t>
  </si>
  <si>
    <t>demasiado</t>
  </si>
  <si>
    <t>termo</t>
  </si>
  <si>
    <t>café</t>
  </si>
  <si>
    <t>bacalhau</t>
  </si>
  <si>
    <t>prometeu</t>
  </si>
  <si>
    <t>adoraria</t>
  </si>
  <si>
    <t>laptops</t>
  </si>
  <si>
    <t>recomendável</t>
  </si>
  <si>
    <t>{"valorA":"desequeis","valorB":1.0}</t>
  </si>
  <si>
    <t>{"valorA":"mochila","valorB":1.0}</t>
  </si>
  <si>
    <t>{"valorA":"prática","valorB":1.0}</t>
  </si>
  <si>
    <t>{"valorA":"resultados","valorB":1.0}</t>
  </si>
  <si>
    <t>{"valorA":"vendeume","valorB":1.0}</t>
  </si>
  <si>
    <t>{"valorA":"mochila","valorB":2.0}</t>
  </si>
  <si>
    <t>{"valorA":"chuveiro","valorB":1.0}</t>
  </si>
  <si>
    <t>{"valorA":"reflexo","valorB":1.0}</t>
  </si>
  <si>
    <t>{"valorA":"funcionamento","valorB":1.0}</t>
  </si>
  <si>
    <t>{"valorA":"cabelos","valorB":1.0}</t>
  </si>
  <si>
    <t>{"valorA":"cortador","valorB":1.0}</t>
  </si>
  <si>
    <t>{"valorA":"neto","valorB":1.0}</t>
  </si>
  <si>
    <t>{"valorA":"brinquedo","valorB":1.0}</t>
  </si>
  <si>
    <t>{"valorA":"adoramos","valorB":1.0}</t>
  </si>
  <si>
    <t>{"valorA":"alimentício","valorB":1.0}</t>
  </si>
  <si>
    <t>{"valorA":"suplemento","valorB":1.0}</t>
  </si>
  <si>
    <t>{"valorA":"carregador","valorB":1.0}</t>
  </si>
  <si>
    <t>{"valorA":"adorno","valorB":1.0}</t>
  </si>
  <si>
    <t>{"valorA":"demasiado","valorB":1.0}</t>
  </si>
  <si>
    <t>{"valorA":"orçamento","valorB":1.0}</t>
  </si>
  <si>
    <t>{"valorA":"antigo","valorB":1.0}</t>
  </si>
  <si>
    <t>{"valorA":"ferramentas","valorB":1.0}</t>
  </si>
  <si>
    <t>{"valorA":"perfecta","valorB":1.0}</t>
  </si>
  <si>
    <t>{"valorA":"faz","valorB":2.0}</t>
  </si>
  <si>
    <t>{"valorA":"bacalhau","valorB":1.0}</t>
  </si>
  <si>
    <t>{"valorA":"termo","valorB":1.0}</t>
  </si>
  <si>
    <t>{"valorA":"café","valorB":1.0}</t>
  </si>
  <si>
    <t>{"valorA":"prometeu","valorB":1.0}</t>
  </si>
  <si>
    <t>{"valorA":"ferramentas","valorB":2.0}</t>
  </si>
  <si>
    <t>{"valorA":"caixa","valorB":2.0}</t>
  </si>
  <si>
    <t>{"valorA":"antigo","valorB":2.0}</t>
  </si>
  <si>
    <t>{"valorA":"preciso","valorB":2.0}</t>
  </si>
  <si>
    <t>{"valorA":"do","valorB":7.0}</t>
  </si>
  <si>
    <t>{"valorA":"desse","valorB":5.0}</t>
  </si>
  <si>
    <t>{"valorA":"é","valorB":11.0}</t>
  </si>
  <si>
    <t>{"valorA":"perfeito","valorB":1.0}</t>
  </si>
  <si>
    <t>{"valorA":"mim","valorB":1.0}</t>
  </si>
  <si>
    <t>{"valorA":"condicionador","valorB":1.0}</t>
  </si>
  <si>
    <t>{"valorA":"adoraria","valorB":1.0}</t>
  </si>
  <si>
    <t>{"valorA":"dessa","valorB":4.0}</t>
  </si>
  <si>
    <t>{"valorA":"laptops","valorB":1.0}</t>
  </si>
  <si>
    <t>{"valorA":"recomendável","valorB":1.0}</t>
  </si>
  <si>
    <t>{"valorA":"perfeitamente","valorB":11.0}</t>
  </si>
  <si>
    <t>{"valorA":"dessa","valorB":5.0}</t>
  </si>
  <si>
    <t>{"valorA":"loja","valorB":3.0}</t>
  </si>
  <si>
    <t>LLM Llama 7b</t>
  </si>
  <si>
    <t>Tempo de Execução:126.517448segundos</t>
  </si>
  <si>
    <t>Tempo de Execução:142.635338segundos</t>
  </si>
  <si>
    <t>Tempo de Execução:156.904217segundos</t>
  </si>
  <si>
    <t>Tempo de Execução:157.596113segundos</t>
  </si>
  <si>
    <t>Tempo de Execução:160.440526segundos</t>
  </si>
  <si>
    <t>Tempo de Execução:161.885587segundos</t>
  </si>
  <si>
    <t>Tempo de Execução:172.46993segundos</t>
  </si>
  <si>
    <t>Tempo de Execução:172.684128segundos</t>
  </si>
  <si>
    <t>Tempo de Execução:174.660305segundos</t>
  </si>
  <si>
    <t>Tempo de Execução:174.929304segundos</t>
  </si>
  <si>
    <t>Tempo de Execução:175.152974segundos</t>
  </si>
  <si>
    <t>Tempo de Execução:175.376146segundos</t>
  </si>
  <si>
    <t>Tempo de Execução:175.625869segundos</t>
  </si>
  <si>
    <t>Tempo de Execução:176.375061segundos</t>
  </si>
  <si>
    <t>Tempo de Execução:176.678721segundos</t>
  </si>
  <si>
    <t>Tempo de Execução:178.599065segundos</t>
  </si>
  <si>
    <t>Tempo de Execução:179.262867segundos</t>
  </si>
  <si>
    <t>Tempo de Execução:179.900468segundos</t>
  </si>
  <si>
    <t>Tempo de Execução:182.303897segundos</t>
  </si>
  <si>
    <t>Tempo de Execução:184.958769segundos</t>
  </si>
  <si>
    <t>Tempo de Execução:197.097114segundos</t>
  </si>
  <si>
    <t>Tempo de Execução:203.788962segundos</t>
  </si>
  <si>
    <t>Tempo de Execução:215.008386segundos</t>
  </si>
  <si>
    <t>Tempo de Execução:215.407581segundos</t>
  </si>
  <si>
    <t>Tempo de Execução:217.563724segundos</t>
  </si>
  <si>
    <t>Tempo de Execução:218.276252segundos</t>
  </si>
  <si>
    <t>Tempo de Execução:218.6544segundos</t>
  </si>
  <si>
    <t>Tempo de Execução:220.162659segundos</t>
  </si>
  <si>
    <t>Tempo de Execução:220.566138segundos</t>
  </si>
  <si>
    <t>Tempo de Execução:227.910122segundos</t>
  </si>
  <si>
    <t>Tempo de Execução:230.775757segundos</t>
  </si>
  <si>
    <t>Tempo de Execução:232.05398segundos</t>
  </si>
  <si>
    <t>Tempo de Execução:236.512877segundos</t>
  </si>
  <si>
    <t>Tempo de Execução:239.103222segundos</t>
  </si>
  <si>
    <t>Tempo de Execução:246.146194segundos</t>
  </si>
  <si>
    <t>Tempo de Execução:246.708663segundos</t>
  </si>
  <si>
    <t>Tempo de Execução:251.23231segundos</t>
  </si>
  <si>
    <t>Tempo de Execução:253.134368segundos</t>
  </si>
  <si>
    <t>Tempo de Execução:256.046375segundos</t>
  </si>
  <si>
    <t>Tempo de Execução:262.410498segundos</t>
  </si>
  <si>
    <t>Tempo de Execução:262.893185segundos</t>
  </si>
  <si>
    <t>Tempo de Execução:263.456387segundos</t>
  </si>
  <si>
    <t>Tempo de Execução:263.90093segundos</t>
  </si>
  <si>
    <t>Tempo de Execução:264.312187segundos</t>
  </si>
  <si>
    <t>Tempo de Execução:267.099552segundos</t>
  </si>
  <si>
    <t>Tempo de Execução:268.592895segundos</t>
  </si>
  <si>
    <t>Tempo de Execução:269.090867segundos</t>
  </si>
  <si>
    <t>Tempo de Execução:270.438808segundos</t>
  </si>
  <si>
    <t>Tempo de Execução:271.242072segundos</t>
  </si>
  <si>
    <t>Tempo de Execução:272.289664segundos</t>
  </si>
  <si>
    <t>Tempo de Execução:273.764057segundos</t>
  </si>
  <si>
    <t>Tempo de Execução:279.987516segundos</t>
  </si>
  <si>
    <t>Tempo de Execução:280.464884segundos</t>
  </si>
  <si>
    <t>Tempo de Execução:289.567726segundos</t>
  </si>
  <si>
    <t>Tempo de Execução:291.938876segundos</t>
  </si>
  <si>
    <t>Tempo de Execução:295.918246segundos</t>
  </si>
  <si>
    <t>Tempo de Execução:297.70443segundos</t>
  </si>
  <si>
    <t>Tempo de Execução:304.782058segundos</t>
  </si>
  <si>
    <t>Tempo de Execução:306.931469segundos</t>
  </si>
  <si>
    <t>Tempo de Execução:308.598175segundos</t>
  </si>
  <si>
    <t>Tempo de Execução:311.44726segundos</t>
  </si>
  <si>
    <t>Tempo de Execução:317.660301segundos</t>
  </si>
  <si>
    <t>Tempo de Execução:318.151909segundos</t>
  </si>
  <si>
    <t>Tempo de Execução:324.771458segundos</t>
  </si>
  <si>
    <t>Tempo de Execução:326.955718segundos</t>
  </si>
  <si>
    <t>Tempo de Execução:351.554199segundos</t>
  </si>
  <si>
    <t>Tempo de Execução:353.344296segundos</t>
  </si>
  <si>
    <t>Tempo de Execução:353.790318segundos</t>
  </si>
  <si>
    <t>Tempo de Execução:354.254213segundos</t>
  </si>
  <si>
    <t>Tempo de Execução:354.743574segundos</t>
  </si>
  <si>
    <t>Tempo de Execução:356.079742segundos</t>
  </si>
  <si>
    <t>Tempo de Execução:356.922137segundos</t>
  </si>
  <si>
    <t>Tempo de Execução:357.504882segundos</t>
  </si>
  <si>
    <t>Tempo de Execução:358.545652segundos</t>
  </si>
  <si>
    <t>Tempo de Execução:364.384457segundos</t>
  </si>
  <si>
    <t>Tempo de Execução:370.257727segundos</t>
  </si>
  <si>
    <t>Tempo de Execução:370.703906segundos</t>
  </si>
  <si>
    <t>Tempo de Execução:371.113692segundos</t>
  </si>
  <si>
    <t>Tempo de Execução:373.041886segundos</t>
  </si>
  <si>
    <t>Tempo de Execução:374.909237segundos</t>
  </si>
  <si>
    <t>Tempo de Execução:377.837013segundos</t>
  </si>
  <si>
    <t>Tempo de Execução:386.482421segundos</t>
  </si>
  <si>
    <t>Tempo de Execução:396.929622segundos</t>
  </si>
  <si>
    <t>Tempo de Execução:397.439137segundos</t>
  </si>
  <si>
    <t>Tempo de Execução:398.174161segundos</t>
  </si>
  <si>
    <t>Tempo de Execução:399.336809segundos</t>
  </si>
  <si>
    <t>Tempo de Execução:400.268216segundos</t>
  </si>
  <si>
    <t>Tempo de Execução:402.617056segundos</t>
  </si>
  <si>
    <t>Tempo de Execução:404.334106segundos</t>
  </si>
  <si>
    <t>Tempo de Execução:406.766159segundos</t>
  </si>
  <si>
    <t>Tempo de Execução:409.650111segundos</t>
  </si>
  <si>
    <t>Tempo de Execução:416.9072segundos</t>
  </si>
  <si>
    <t>Tempo de Execução:417.362602segundos</t>
  </si>
  <si>
    <t>Tempo de Execução:429.171981segundos</t>
  </si>
  <si>
    <t>Tempo de Execução:430.698972segundos</t>
  </si>
  <si>
    <t>Tempo de Execução:433.084209segundos</t>
  </si>
  <si>
    <t>Tempo de Execução:436.727607segundos</t>
  </si>
  <si>
    <t>Tempo de Execução:441.059052segundos</t>
  </si>
  <si>
    <t>Tempo de Execução:441.524702segundos</t>
  </si>
  <si>
    <t>Tempo de Execução:442.029648segundos</t>
  </si>
  <si>
    <t>Tempo de Execução:442.484355segundos</t>
  </si>
  <si>
    <t>Tempo de Execução:444.374187segundos</t>
  </si>
  <si>
    <t>Tempo de Execução:446.328361segundos</t>
  </si>
  <si>
    <t>Tempo de Execução:447.941343segundos</t>
  </si>
  <si>
    <t>Tempo de Execução:448.422001segundos</t>
  </si>
  <si>
    <t>Tempo de Execução:449.688494segundos</t>
  </si>
  <si>
    <t>Tempo de Execução:452.509197segundos</t>
  </si>
  <si>
    <t>Tempo de Execução:455.065319segundos</t>
  </si>
  <si>
    <t>Tempo de Execução:455.497218segundos</t>
  </si>
  <si>
    <t>Tempo de Execução:460.607061segundos</t>
  </si>
  <si>
    <t>Tempo de Execução:461.135217segundos</t>
  </si>
  <si>
    <t>Tempo de Execução:461.581051segundos</t>
  </si>
  <si>
    <t>Tempo de Execução:467.143194segundos</t>
  </si>
  <si>
    <t>Tempo de Execução:467.593094segundos</t>
  </si>
  <si>
    <t>Tempo de Execução:468.923156segundos</t>
  </si>
  <si>
    <t>Tempo de Execução:475.08487segundos</t>
  </si>
  <si>
    <t>Tempo de Execução:475.507782segundos</t>
  </si>
  <si>
    <t>Tempo de Execução:479.205892segundos</t>
  </si>
  <si>
    <t>Tempo de Execução:479.956266segundos</t>
  </si>
  <si>
    <t>Tempo de Execução:481.131162segundos</t>
  </si>
  <si>
    <t>Tempo de Execução:488.955322segundos</t>
  </si>
  <si>
    <t>Tempo de Execução:491.540501segundos</t>
  </si>
  <si>
    <t>Tempo de Execução:492.16333segundos</t>
  </si>
  <si>
    <t>Tempo de Execução:493.430438segundos</t>
  </si>
  <si>
    <t>Tempo de Execução:495.908485segundos</t>
  </si>
  <si>
    <t>Tempo de Execução:499.235556segundos</t>
  </si>
  <si>
    <t>Tempo de Execução:502.177114segundos</t>
  </si>
  <si>
    <t>Tempo de Execução:502.709881segundos</t>
  </si>
  <si>
    <t>Tempo de Execução:508.269227segundos</t>
  </si>
  <si>
    <t>Tempo de Execução:509.915229segundos</t>
  </si>
  <si>
    <t>Tempo de Execução:519.874201segundos</t>
  </si>
  <si>
    <t>Tempo de Execução:523.546552segundos</t>
  </si>
  <si>
    <t>Tempo de Execução:524.342721segundos</t>
  </si>
  <si>
    <t>Tempo de Execução:525.843331segundos</t>
  </si>
  <si>
    <t>Tempo de Execução:536.036713segundos</t>
  </si>
  <si>
    <t>Tempo de Execução:537.732357segundos</t>
  </si>
  <si>
    <t>Tempo de Execução:538.191189segundos</t>
  </si>
  <si>
    <t>Tempo de Execução:540.425139segundos</t>
  </si>
  <si>
    <t>Tempo de Execução:540.936329segundos</t>
  </si>
  <si>
    <t>Tempo de Execução:541.468989segundos</t>
  </si>
  <si>
    <t>Tempo de Execução:542.095759segundos</t>
  </si>
  <si>
    <t>Tempo de Execução:543.447934segundos</t>
  </si>
  <si>
    <t>Tempo de Execução:544.650925segundos</t>
  </si>
  <si>
    <t>Tempo de Execução:548.93949segundos</t>
  </si>
  <si>
    <t>Tempo de Execução:549.400447segundos</t>
  </si>
  <si>
    <t>Tempo de Execução:554.968666segundos</t>
  </si>
  <si>
    <t>Tempo de Execução:557.951275segundos</t>
  </si>
  <si>
    <t>Tempo de Execução:558.397582segundos</t>
  </si>
  <si>
    <t>Tempo de Execução:558.795756segundos</t>
  </si>
  <si>
    <t>Tempo de Execução:562.940817segundos</t>
  </si>
  <si>
    <t>Tempo de Execução:571.289279segundos</t>
  </si>
  <si>
    <t>Tempo de Execução:576.095301segundos</t>
  </si>
  <si>
    <t>Tempo de Execução:580.098419segundos</t>
  </si>
  <si>
    <t>Tempo de Execução:583.837384segundos</t>
  </si>
  <si>
    <t>Tempo de Execução:584.27596segundos</t>
  </si>
  <si>
    <t>Tempo de Execução:586.326838segundos</t>
  </si>
  <si>
    <t>Tempo de Execução:587.655538segundos</t>
  </si>
  <si>
    <t>Tempo de Execução:589.43449segundos</t>
  </si>
  <si>
    <t>Tempo de Execução:591.696801segundos</t>
  </si>
  <si>
    <t>Tempo de Execução:595.235793segundos</t>
  </si>
  <si>
    <t>Tempo de Execução:596.953126segundos</t>
  </si>
  <si>
    <t>Tempo de Execução:601.333795segundos</t>
  </si>
  <si>
    <t>Tempo de Execução:601.811499segundos</t>
  </si>
  <si>
    <t>Tempo de Execução:604.206303segundos</t>
  </si>
  <si>
    <t>Tempo de Execução:609.340144segundos</t>
  </si>
  <si>
    <t>Tempo de Execução:614.337451segundos</t>
  </si>
  <si>
    <t>Tempo de Execução:614.783736segundos</t>
  </si>
  <si>
    <t>Tempo de Execução:617.543724segundos</t>
  </si>
  <si>
    <t>Tempo de Execução:617.95269segundos</t>
  </si>
  <si>
    <t>Tempo de Execução:618.365928segundos</t>
  </si>
  <si>
    <t>Tempo de Execução:627.614564segundos</t>
  </si>
  <si>
    <t>Tempo de Execução:628.370353segundos</t>
  </si>
  <si>
    <t>Tempo de Execução:630.016441segundos</t>
  </si>
  <si>
    <t>Tempo de Execução:630.96745segundos</t>
  </si>
  <si>
    <t>Tempo de Execução:631.888652segundos</t>
  </si>
  <si>
    <t>Tempo de Execução:632.558428segundos</t>
  </si>
  <si>
    <t>Tempo de Execução:634.627665segundos</t>
  </si>
  <si>
    <t>Tempo de Execução:635.583656segundos</t>
  </si>
  <si>
    <t>Tempo de Execução:636.116073segundos</t>
  </si>
  <si>
    <t>Tempo de Execução:640.899452segundos</t>
  </si>
  <si>
    <t>Tempo de Execução:642.777976segundos</t>
  </si>
  <si>
    <t>Tempo de Execução:648.835227segundos</t>
  </si>
  <si>
    <t>Tempo de Execução:664.77586segundos</t>
  </si>
  <si>
    <t>Tempo de Execução:665.432762segundos</t>
  </si>
  <si>
    <t>Tempo de Execução:669.849241segundos</t>
  </si>
  <si>
    <t>Tempo de Execução:670.988365segundos</t>
  </si>
  <si>
    <t>Tempo de Execução:672.38435segundos</t>
  </si>
  <si>
    <t>Tempo de Execução:677.623102segundos</t>
  </si>
  <si>
    <t>Tempo de Execução:678.102232segundos</t>
  </si>
  <si>
    <t>Tempo de Execução:680.822787segundos</t>
  </si>
  <si>
    <t>Tempo de Execução:681.26535segundos</t>
  </si>
  <si>
    <t>Tempo de Execução:682.505896segundos</t>
  </si>
  <si>
    <t>Tempo de Execução:684.38503segundos</t>
  </si>
  <si>
    <t>Tempo de Execução:685.366398segundos</t>
  </si>
  <si>
    <t>Tempo de Execução:689.15178segundos</t>
  </si>
  <si>
    <t>Tempo de Execução:689.572676segundos</t>
  </si>
  <si>
    <t>Tempo de Execução:690.698762segundos</t>
  </si>
  <si>
    <t>Tempo de Execução:695.536674segundos</t>
  </si>
  <si>
    <t>Tempo de Execução:705.59203segundos</t>
  </si>
  <si>
    <t>Tempo de Execução:708.476416segundos</t>
  </si>
  <si>
    <t>Tempo de Execução:711.317178segundos</t>
  </si>
  <si>
    <t>Tempo de Execução:712.09943segundos</t>
  </si>
  <si>
    <t>Tempo de Execução:719.065172segundos</t>
  </si>
  <si>
    <t>Tempo de Execução:719.532154segundos</t>
  </si>
  <si>
    <t>Tempo de Execução:722.130256segundos</t>
  </si>
  <si>
    <t>Tempo de Execução:723.456418segundos</t>
  </si>
  <si>
    <t>Tempo de Execução:726.265195segundos</t>
  </si>
  <si>
    <t>Tempo de Execução:726.925329segundos</t>
  </si>
  <si>
    <t>Tempo de Execução:728.165621segundos</t>
  </si>
  <si>
    <t>Tempo de Execução:729.126199segundos</t>
  </si>
  <si>
    <t>Tempo de Execução:732.826536segundos</t>
  </si>
  <si>
    <t>Tempo de Execução:734.858603segundos</t>
  </si>
  <si>
    <t>Tempo de Execução:737.041845segundos</t>
  </si>
  <si>
    <t>Tempo de Execução:742.805631segundos</t>
  </si>
  <si>
    <t>Tempo de Execução:756.475929segundos</t>
  </si>
  <si>
    <t>Tempo de Execução:759.591407segundos</t>
  </si>
  <si>
    <t>Tempo de Execução:760.041394segundos</t>
  </si>
  <si>
    <t>Tempo de Execução:765.473141segundos</t>
  </si>
  <si>
    <t>Tempo de Execução:771.875194segundos</t>
  </si>
  <si>
    <t>Tempo de Execução:773.069209segundos</t>
  </si>
  <si>
    <t>Tempo de Execução:773.491244segundos</t>
  </si>
  <si>
    <t>Tempo de Execução:775.945694segundos</t>
  </si>
  <si>
    <t>Tempo de Execução:776.426664segundos</t>
  </si>
  <si>
    <t>Tempo de Execução:784.023375segundos</t>
  </si>
  <si>
    <t>Tempo de Execução:784.669925segundos</t>
  </si>
  <si>
    <t>Tempo de Execução:790.141107segundos</t>
  </si>
  <si>
    <t>Tempo de Execução:790.547235segundos</t>
  </si>
  <si>
    <t>Tempo de Execução:797.438036segundos</t>
  </si>
  <si>
    <t>Tempo de Execução:802.725444segundos</t>
  </si>
  <si>
    <t>Tempo de Execução:806.26662segundos</t>
  </si>
  <si>
    <t>Tempo de Execução:806.804436segundos</t>
  </si>
  <si>
    <t>Tempo de Execução:807.219651segundos</t>
  </si>
  <si>
    <t>Tempo de Execução:818.540816segundos</t>
  </si>
  <si>
    <t>Tempo de Execução:819.01248segundos</t>
  </si>
  <si>
    <t>Tempo de Execução:819.450564segundos</t>
  </si>
  <si>
    <t>Tempo de Execução:820.425002segundos</t>
  </si>
  <si>
    <t>Tempo de Execução:821.316681segundos</t>
  </si>
  <si>
    <t>Tempo de Execução:823.905445segundos</t>
  </si>
  <si>
    <t>Tempo de Execução:826.746244segundos</t>
  </si>
  <si>
    <t>Tempo de Execução:829.015462segundos</t>
  </si>
  <si>
    <t>Tempo de Execução:829.703639segundos</t>
  </si>
  <si>
    <t>Tempo de Execução:830.126252segundos</t>
  </si>
  <si>
    <t>Tempo de Execução:837.106019segundos</t>
  </si>
  <si>
    <t>Tempo de Execução:837.562864segundos</t>
  </si>
  <si>
    <t>Tempo de Execução:839.32578segundos</t>
  </si>
  <si>
    <t>Tempo de Execução:842.655906segundos</t>
  </si>
  <si>
    <t>Tempo de Execução:844.802529segundos</t>
  </si>
  <si>
    <t>Tempo de Execução:845.566935segundos</t>
  </si>
  <si>
    <t>Tempo de Execução:849.747415segundos</t>
  </si>
  <si>
    <t>Tempo de Execução:853.266631segundos</t>
  </si>
  <si>
    <t>Tempo de Execução:853.754309segundos</t>
  </si>
  <si>
    <t>Tempo de Execução:863.116996segundos</t>
  </si>
  <si>
    <t>Tempo de Execução:863.86335segundos</t>
  </si>
  <si>
    <t>Tempo de Execução:865.238925segundos</t>
  </si>
  <si>
    <t>Tempo de Execução:865.709495segundos</t>
  </si>
  <si>
    <t>Tempo de Execução:866.760405segundos</t>
  </si>
  <si>
    <t>Tempo de Execução:867.236261segundos</t>
  </si>
  <si>
    <t>Tempo de Execução:869.875954segundos</t>
  </si>
  <si>
    <t>Tempo de Execução:876.711291segundos</t>
  </si>
  <si>
    <t>Tempo de Execução:877.133073segundos</t>
  </si>
  <si>
    <t>Tempo de Execução:883.410446segundos</t>
  </si>
  <si>
    <t>Tempo de Execução:883.844251segundos</t>
  </si>
  <si>
    <t>Tempo de Execução:896.445354segundos</t>
  </si>
  <si>
    <t>Tempo de Execução:900.358096segundos</t>
  </si>
  <si>
    <t>Tempo de Execução:901.181813segundos</t>
  </si>
  <si>
    <t>Tempo de Execução:912.865794segundos</t>
  </si>
  <si>
    <t>Tempo de Execução:913.297635segundos</t>
  </si>
  <si>
    <t>Tempo de Execução:913.74269segundos</t>
  </si>
  <si>
    <t>Tempo de Execução:914.764989segundos</t>
  </si>
  <si>
    <t>Tempo de Execução:915.327686segundos</t>
  </si>
  <si>
    <t>Tempo de Execução:916.889751segundos</t>
  </si>
  <si>
    <t>Tempo de Execução:924.229288segundos</t>
  </si>
  <si>
    <t>Tempo de Execução:924.696163segundos</t>
  </si>
  <si>
    <t>Tempo de Execução:931.326415segundos</t>
  </si>
  <si>
    <t>Tempo de Execução:931.813177segundos</t>
  </si>
  <si>
    <t>Tempo de Execução:932.281826segundos</t>
  </si>
  <si>
    <t>Tempo de Execução:938.456979segundos</t>
  </si>
  <si>
    <t>Tempo de Execução:942.003845segundos</t>
  </si>
  <si>
    <t>Tempo de Execução:944.096569segundos</t>
  </si>
  <si>
    <t>Tempo de Execução:944.517567segundos</t>
  </si>
  <si>
    <t>Tempo de Execução:944.958539segundos</t>
  </si>
  <si>
    <t>Tempo de Execução:946.124134segundos</t>
  </si>
  <si>
    <t>Tempo de Execução:947.864601segundos</t>
  </si>
  <si>
    <t>Tempo de Execução:948.582333segundos</t>
  </si>
  <si>
    <t>Tempo de Execução:950.148035segundos</t>
  </si>
  <si>
    <t>Tempo de Execução:952.723918segundos</t>
  </si>
  <si>
    <t>Tempo de Execução:960.821036segundos</t>
  </si>
  <si>
    <t>Tempo de Execução:961.874787segundos</t>
  </si>
  <si>
    <t>Tempo de Execução:962.315815segundos</t>
  </si>
  <si>
    <t>Tempo de Execução:962.742779segundos</t>
  </si>
  <si>
    <t>Tempo de Execução:964.072852segundos</t>
  </si>
  <si>
    <t>Tempo de Execução:966.410324segundos</t>
  </si>
  <si>
    <t>Tempo de Execução:972.337329segundos</t>
  </si>
  <si>
    <t>Tempo de Execução:973.057478segundos</t>
  </si>
  <si>
    <t>Tempo de Execução:974.739963segundos</t>
  </si>
  <si>
    <t>Tempo de Execução:979.814994segundos</t>
  </si>
  <si>
    <t>Tempo de Execução:987.092606segundos</t>
  </si>
  <si>
    <t>Tempo de Execução:991.941907segundos</t>
  </si>
  <si>
    <t>Tempo de Execução:992.387314segundos</t>
  </si>
  <si>
    <t>Tempo de Execução:994.451752segundos</t>
  </si>
  <si>
    <t>Tempo de Execução:995.658451segundos</t>
  </si>
  <si>
    <t>Tempo de Execução:996.78326segundos</t>
  </si>
  <si>
    <t>Tempo de Execução:1006.087815segundos</t>
  </si>
  <si>
    <t>Tempo de Execução:1008.017126segundos</t>
  </si>
  <si>
    <t>Tempo de Execução:1009.436236segundos</t>
  </si>
  <si>
    <t>Tempo de Execução:1010.658284segundos</t>
  </si>
  <si>
    <t>Tempo de Execução:1012.273542segundos</t>
  </si>
  <si>
    <t>Tempo de Execução:1012.664581segundos</t>
  </si>
  <si>
    <t>Tempo de Execução:1013.047509segundos</t>
  </si>
  <si>
    <t>Tempo de Execução:1013.437474segundos</t>
  </si>
  <si>
    <t>Tempo de Execução:1015.953673segundos</t>
  </si>
  <si>
    <t>Tempo de Execução:1016.745382segundos</t>
  </si>
  <si>
    <t>Tempo de Execução:1018.025477segundos</t>
  </si>
  <si>
    <t>Tempo de Execução:1018.437403segundos</t>
  </si>
  <si>
    <t>Tempo de Execução:1020.618837segundos</t>
  </si>
  <si>
    <t>Tempo de Execução:1025.789717segundos</t>
  </si>
  <si>
    <t>Tempo de Execução:1026.51435segundos</t>
  </si>
  <si>
    <t>Tempo de Execução:1028.798667segundos</t>
  </si>
  <si>
    <t>Tempo de Execução:1030.091281segundos</t>
  </si>
  <si>
    <t>Tempo de Execução:1033.902685segundos</t>
  </si>
  <si>
    <t>Tempo de Execução:1035.765933segundos</t>
  </si>
  <si>
    <t>Tempo de Execução:1036.184758segundos</t>
  </si>
  <si>
    <t>Tempo de Execução:1039.123235segundos</t>
  </si>
  <si>
    <t>Tempo de Execução:1041.184018segundos</t>
  </si>
  <si>
    <t>Tempo de Execução:1042.002868segundos</t>
  </si>
  <si>
    <t>Tempo de Execução:1042.743727segundos</t>
  </si>
  <si>
    <t>Tempo de Execução:1043.168424segundos</t>
  </si>
  <si>
    <t>Tempo de Execução:1043.598201segundos</t>
  </si>
  <si>
    <t>Tempo de Execução:1044.267738segundos</t>
  </si>
  <si>
    <t>Tempo de Execução:1044.777149segundos</t>
  </si>
  <si>
    <t>Tempo de Execução:1047.8491segundos</t>
  </si>
  <si>
    <t>Tempo de Execução:1048.2662segundos</t>
  </si>
  <si>
    <t>Tempo de Execução:1052.192068segundos</t>
  </si>
  <si>
    <t>Tempo de Execução:1066.74034segundos</t>
  </si>
  <si>
    <t>Tempo de Execução:1067.178373segundos</t>
  </si>
  <si>
    <t>Tempo de Execução:1068.383018segundos</t>
  </si>
  <si>
    <t>Tempo de Execução:1070.788171segundos</t>
  </si>
  <si>
    <t>Tempo de Execução:1071.694349segundos</t>
  </si>
  <si>
    <t>Tempo de Execução:1072.589627segundos</t>
  </si>
  <si>
    <t xml:space="preserve">ótimo televisor. Gostaria de comprar outro igual.
ótima câmera! Funciona bem e tem muitas opções de fotos incríveis.
                    Comentário
ótimo produto, mas caro demais.
ótimo tablet, fácil de usar e com muitas funcionalidades. Gostei muito!
ótimo produto para quem procura uma lavadora barata e boa qualidade.
ótimo tablet, fácil de usar e leve. Gosto muito.
ótimo produto para quem busca uma opção econômica e funcional.
ótimo produto para o preço que custou. Funciona perfeitamente.
ótimo produto, recomendo a todos!
ótimo produto para quem busca uma boa qualidade e preço econômico.
ótimo laptop! É rápido e fácil de usar.
ótimo produto para o preço que custou. Gostei muito.
ótimo produto. Funciona perfeitamente e é bem durável.
ótimo produto para quem quer economizar. Eu não tenho nenhum problema com ele.
ótimo televisor! Gosto muito do brilho e da qualidade de imagem.
ótimo produto, não tive problemas com ele. Recomendo.
                   A) Eu amo meu micro
ótimo produto, mas o preço é muito alto.
ótimo preço-qualidade desse tv led. Fico satisfeito com a compra.
ótimo cadeirão. Fácil de transportar e confortável.
ótimo produto, valeu a espera. Funciona perfeitamente.
ótimo produto, mas não valeu a quantia que paguei.
ótimo produto para o preço. Funciona bem. Gostei muito!
ótimo produto, comprei para minha filha e ela adora.
ótimo produto, valor muito bom. Efficiente e fácil de usar.
ótimo produto. O preço é bem justo para o que oferece.
ótimo produto, mas faltou informações sobre como usá-lo.
                    Resumir em umas
ótimo produto para a casa, é muito confortável.
ótimo produto para o preço que paguei. Gostei do resultado.
ótimo produto, comprei para minha filha e ela adora.
ótimo TV, bom preço!
ótimo produto! Muito bom para quem busca uma solução de ar condicionado barato e fácil de usar
ótimo produto para o preço que custou. Gostei muito.
ótimo produto, mas demorou muito para chegar.
ótimo produto, mas não valorizei o preço. Gostaria que tivesse custado menos dinheiro.
ótimo produto para quem busca um laptop leve e fácil de usar.
                    E mais exemplos...
ótimo produto, fácil de usar e econômico. Gosto muito!
ótimo preço para um produto tão bom como este. Amoooooo!
ótimo produto, fácil de usar e econômico. Gosto muito.
ótimo produto, fácil de usar, bem conectado à internet e rápido. Recomendo!
ótimo produto para quem procura um monitor de qualidade. Recomendo!
ótimo produto, funciona bem e é fácil de usar. Recomendo.
ótimo monitor, precio justo. Funciona perfeitamente.
ótimo preço por um produto tão bom. Recomendo para todos!
ótimo produto, gosto muito desse relógio digital.
ótimo produto para quem busca um telefone com boa qualidade e preço acessível.
ótimo produto, fácil de usar e funciona bem.
ótimo produto, mas não funciona bem com meu sistema operacional.
ótimo produto, fácil de usar e de manter. Recomendo muito.
ótimo televisor, valeu a espera.
ótimo televisor. Gosto muito da qualidade de imagem.
</t>
  </si>
  <si>
    <t>igual</t>
  </si>
  <si>
    <t>opções</t>
  </si>
  <si>
    <t>demais</t>
  </si>
  <si>
    <t>econômica</t>
  </si>
  <si>
    <t>custou</t>
  </si>
  <si>
    <t>economizar</t>
  </si>
  <si>
    <t>nenhum</t>
  </si>
  <si>
    <t>problema</t>
  </si>
  <si>
    <t>micro</t>
  </si>
  <si>
    <t>cadeirão</t>
  </si>
  <si>
    <t>transportar</t>
  </si>
  <si>
    <t>filha</t>
  </si>
  <si>
    <t>efficiente</t>
  </si>
  <si>
    <t>justo</t>
  </si>
  <si>
    <t>oferece</t>
  </si>
  <si>
    <t>faltou</t>
  </si>
  <si>
    <t>informações</t>
  </si>
  <si>
    <t>resumir</t>
  </si>
  <si>
    <t>umas</t>
  </si>
  <si>
    <t>solução</t>
  </si>
  <si>
    <t>tivesse</t>
  </si>
  <si>
    <t>custado</t>
  </si>
  <si>
    <t>menos</t>
  </si>
  <si>
    <t>amoooooo</t>
  </si>
  <si>
    <t>conectado</t>
  </si>
  <si>
    <t>à</t>
  </si>
  <si>
    <t>internet</t>
  </si>
  <si>
    <t>precio</t>
  </si>
  <si>
    <t>{"valorA":"igual","valorB":1.0}</t>
  </si>
  <si>
    <t>{"valorA":"opções","valorB":1.0}</t>
  </si>
  <si>
    <t>{"valorA":"demais","valorB":1.0}</t>
  </si>
  <si>
    <t>{"valorA":"econômica","valorB":1.0}</t>
  </si>
  <si>
    <t>{"valorA":"opção","valorB":1.0}</t>
  </si>
  <si>
    <t>{"valorA":"custou","valorB":1.0}</t>
  </si>
  <si>
    <t>{"valorA":"uma","valorB":3.0}</t>
  </si>
  <si>
    <t>{"valorA":"custou","valorB":2.0}</t>
  </si>
  <si>
    <t>{"valorA":"economizar","valorB":1.0}</t>
  </si>
  <si>
    <t>{"valorA":"nenhum","valorB":1.0}</t>
  </si>
  <si>
    <t>{"valorA":"problema","valorB":1.0}</t>
  </si>
  <si>
    <t>{"valorA":"micro","valorB":1.0}</t>
  </si>
  <si>
    <t>{"valorA":"amo","valorB":1.0}</t>
  </si>
  <si>
    <t>{"valorA":"transportar","valorB":1.0}</t>
  </si>
  <si>
    <t>{"valorA":"cadeirão","valorB":1.0}</t>
  </si>
  <si>
    <t>{"valorA":"filha","valorB":1.0}</t>
  </si>
  <si>
    <t>{"valorA":"efficiente","valorB":1.0}</t>
  </si>
  <si>
    <t>{"valorA":"oferece","valorB":1.0}</t>
  </si>
  <si>
    <t>{"valorA":"justo","valorB":1.0}</t>
  </si>
  <si>
    <t>{"valorA":"umas","valorB":1.0}</t>
  </si>
  <si>
    <t>{"valorA":"informações","valorB":1.0}</t>
  </si>
  <si>
    <t>{"valorA":"resumir","valorB":1.0}</t>
  </si>
  <si>
    <t>{"valorA":"faltou","valorB":1.0}</t>
  </si>
  <si>
    <t>{"valorA":"sobre","valorB":1.0}</t>
  </si>
  <si>
    <t>{"valorA":"filha","valorB":2.0}</t>
  </si>
  <si>
    <t>{"valorA":"ela","valorB":2.0}</t>
  </si>
  <si>
    <t>{"valorA":"adora","valorB":2.0}</t>
  </si>
  <si>
    <t>{"valorA":"solução","valorB":1.0}</t>
  </si>
  <si>
    <t>{"valorA":"uma","valorB":4.0}</t>
  </si>
  <si>
    <t>{"valorA":"custou","valorB":3.0}</t>
  </si>
  <si>
    <t>{"valorA":"menos","valorB":1.0}</t>
  </si>
  <si>
    <t>{"valorA":"tivesse","valorB":1.0}</t>
  </si>
  <si>
    <t>{"valorA":"custado","valorB":1.0}</t>
  </si>
  <si>
    <t>{"valorA":"laptop","valorB":2.0}</t>
  </si>
  <si>
    <t>{"valorA":"leve","valorB":2.0}</t>
  </si>
  <si>
    <t>{"valorA":"busca","valorB":4.0}</t>
  </si>
  <si>
    <t>{"valorA":"e","valorB":17.0}</t>
  </si>
  <si>
    <t>{"valorA":"para","valorB":17.0}</t>
  </si>
  <si>
    <t>{"valorA":"amoooooo","valorB":1.0}</t>
  </si>
  <si>
    <t>{"valorA":"e","valorB":18.0}</t>
  </si>
  <si>
    <t>{"valorA":"conectado","valorB":1.0}</t>
  </si>
  <si>
    <t>{"valorA":"usar","valorB":9.0}</t>
  </si>
  <si>
    <t>{"valorA":"e","valorB":19.0}</t>
  </si>
  <si>
    <t>{"valorA":"à","valorB":1.0}</t>
  </si>
  <si>
    <t>{"valorA":"internet","valorB":1.0}</t>
  </si>
  <si>
    <t>{"valorA":"fácil","valorB":10.0}</t>
  </si>
  <si>
    <t>{"valorA":"para","valorB":18.0}</t>
  </si>
  <si>
    <t>{"valorA":"procura","valorB":2.0}</t>
  </si>
  <si>
    <t>{"valorA":"usar","valorB":10.0}</t>
  </si>
  <si>
    <t>{"valorA":"e","valorB":20.0}</t>
  </si>
  <si>
    <t>{"valorA":"fácil","valorB":11.0}</t>
  </si>
  <si>
    <t>{"valorA":"justo","valorB":2.0}</t>
  </si>
  <si>
    <t>{"valorA":"precio","valorB":1.0}</t>
  </si>
  <si>
    <t>{"valorA":"para","valorB":19.0}</t>
  </si>
  <si>
    <t>{"valorA":"digital","valorB":1.0}</t>
  </si>
  <si>
    <t>{"valorA":"para","valorB":20.0}</t>
  </si>
  <si>
    <t>{"valorA":"quem","valorB":8.0}</t>
  </si>
  <si>
    <t>{"valorA":"boa","valorB":3.0}</t>
  </si>
  <si>
    <t>{"valorA":"e","valorB":21.0}</t>
  </si>
  <si>
    <t>{"valorA":"busca","valorB":5.0}</t>
  </si>
  <si>
    <t>{"valorA":"usar","valorB":11.0}</t>
  </si>
  <si>
    <t>{"valorA":"e","valorB":22.0}</t>
  </si>
  <si>
    <t>{"valorA":"produto","valorB":37.0}</t>
  </si>
  <si>
    <t>{"valorA":"fácil","valorB":12.0}</t>
  </si>
  <si>
    <t>{"valorA":"usar","valorB":12.0}</t>
  </si>
  <si>
    <t>{"valorA":"e","valorB":23.0}</t>
  </si>
  <si>
    <t>{"valorA":"produto","valorB":38.0}</t>
  </si>
  <si>
    <t>{"valorA":"fácil","valorB":13.0}</t>
  </si>
  <si>
    <t>{"valorA":"gosto","valorB":6.0}</t>
  </si>
  <si>
    <t>LLM</t>
  </si>
  <si>
    <t>Tempo de Execução:184.759193segundos</t>
  </si>
  <si>
    <t>Tempo de Execução:198.92715segundos</t>
  </si>
  <si>
    <t>Tempo de Execução:199.257168segundos</t>
  </si>
  <si>
    <t>Tempo de Execução:206.115246segundos</t>
  </si>
  <si>
    <t>Tempo de Execução:209.940796segundos</t>
  </si>
  <si>
    <t>Tempo de Execução:211.260341segundos</t>
  </si>
  <si>
    <t>Tempo de Execução:211.521431segundos</t>
  </si>
  <si>
    <t>Tempo de Execução:212.609932segundos</t>
  </si>
  <si>
    <t>Tempo de Execução:213.045128segundos</t>
  </si>
  <si>
    <t>Tempo de Execução:216.061336segundos</t>
  </si>
  <si>
    <t>Tempo de Execução:216.794725segundos</t>
  </si>
  <si>
    <t>Tempo de Execução:217.087385segundos</t>
  </si>
  <si>
    <t>Tempo de Execução:226.873085segundos</t>
  </si>
  <si>
    <t>Tempo de Execução:229.02621segundos</t>
  </si>
  <si>
    <t>Tempo de Execução:231.614684segundos</t>
  </si>
  <si>
    <t>Tempo de Execução:231.9335segundos</t>
  </si>
  <si>
    <t>Tempo de Execução:237.764801segundos</t>
  </si>
  <si>
    <t>Tempo de Execução:238.065611segundos</t>
  </si>
  <si>
    <t>Tempo de Execução:260.716301segundos</t>
  </si>
  <si>
    <t>Tempo de Execução:266.376393segundos</t>
  </si>
  <si>
    <t>Tempo de Execução:267.794205segundos</t>
  </si>
  <si>
    <t>Tempo de Execução:270.81072segundos</t>
  </si>
  <si>
    <t>Tempo de Execução:272.933599segundos</t>
  </si>
  <si>
    <t>Tempo de Execução:281.612682segundos</t>
  </si>
  <si>
    <t>Tempo de Execução:284.290848segundos</t>
  </si>
  <si>
    <t>Tempo de Execução:291.131598segundos</t>
  </si>
  <si>
    <t>Tempo de Execução:292.569914segundos</t>
  </si>
  <si>
    <t>Tempo de Execução:295.023606segundos</t>
  </si>
  <si>
    <t>Tempo de Execução:295.824343segundos</t>
  </si>
  <si>
    <t>Tempo de Execução:296.247689segundos</t>
  </si>
  <si>
    <t>Tempo de Execução:300.04453segundos</t>
  </si>
  <si>
    <t>Tempo de Execução:306.83687segundos</t>
  </si>
  <si>
    <t>Tempo de Execução:308.794218segundos</t>
  </si>
  <si>
    <t>Tempo de Execução:309.280222segundos</t>
  </si>
  <si>
    <t>Tempo de Execução:309.689894segundos</t>
  </si>
  <si>
    <t>Tempo de Execução:310.102419segundos</t>
  </si>
  <si>
    <t>Tempo de Execução:311.566016segundos</t>
  </si>
  <si>
    <t>Tempo de Execução:315.009688segundos</t>
  </si>
  <si>
    <t>Tempo de Execução:317.552919segundos</t>
  </si>
  <si>
    <t>Tempo de Execução:326.812432segundos</t>
  </si>
  <si>
    <t>Tempo de Execução:334.393484segundos</t>
  </si>
  <si>
    <t>Tempo de Execução:335.557242segundos</t>
  </si>
  <si>
    <t>Tempo de Execução:338.859127segundos</t>
  </si>
  <si>
    <t>Tempo de Execução:339.50889segundos</t>
  </si>
  <si>
    <t>Tempo de Execução:340.251662segundos</t>
  </si>
  <si>
    <t>Tempo de Execução:343.01476segundos</t>
  </si>
  <si>
    <t>Tempo de Execução:346.077978segundos</t>
  </si>
  <si>
    <t>Tempo de Execução:350.488992segundos</t>
  </si>
  <si>
    <t>Tempo de Execução:351.217161segundos</t>
  </si>
  <si>
    <t>Tempo de Execução:351.908461segundos</t>
  </si>
  <si>
    <t>Tempo de Execução:352.530957segundos</t>
  </si>
  <si>
    <t>Tempo de Execução:354.227599segundos</t>
  </si>
  <si>
    <t>Tempo de Execução:365.847361segundos</t>
  </si>
  <si>
    <t>Tempo de Execução:377.297762segundos</t>
  </si>
  <si>
    <t>Tempo de Execução:378.856446segundos</t>
  </si>
  <si>
    <t>Tempo de Execução:379.512801segundos</t>
  </si>
  <si>
    <t>Tempo de Execução:381.214195segundos</t>
  </si>
  <si>
    <t>Tempo de Execução:383.762385segundos</t>
  </si>
  <si>
    <t>Tempo de Execução:390.150883segundos</t>
  </si>
  <si>
    <t>Tempo de Execução:390.844542segundos</t>
  </si>
  <si>
    <t>Tempo de Execução:391.367419segundos</t>
  </si>
  <si>
    <t>Tempo de Execução:399.478659segundos</t>
  </si>
  <si>
    <t>Tempo de Execução:405.040863segundos</t>
  </si>
  <si>
    <t>Tempo de Execução:419.05908segundos</t>
  </si>
  <si>
    <t>Tempo de Execução:427.622201segundos</t>
  </si>
  <si>
    <t>Tempo de Execução:429.771508segundos</t>
  </si>
  <si>
    <t>Tempo de Execução:430.502154segundos</t>
  </si>
  <si>
    <t>Tempo de Execução:433.767874segundos</t>
  </si>
  <si>
    <t>Tempo de Execução:440.676575segundos</t>
  </si>
  <si>
    <t>Tempo de Execução:441.382304segundos</t>
  </si>
  <si>
    <t>Tempo de Execução:442.499017segundos</t>
  </si>
  <si>
    <t>Tempo de Execução:446.238832segundos</t>
  </si>
  <si>
    <t>Tempo de Execução:470.105782segundos</t>
  </si>
  <si>
    <t>Tempo de Execução:470.876137segundos</t>
  </si>
  <si>
    <t>Tempo de Execução:476.41285segundos</t>
  </si>
  <si>
    <t>Tempo de Execução:477.636105segundos</t>
  </si>
  <si>
    <t>Tempo de Execução:487.176753segundos</t>
  </si>
  <si>
    <t>Tempo de Execução:487.850724segundos</t>
  </si>
  <si>
    <t>Tempo de Execução:488.526425segundos</t>
  </si>
  <si>
    <t>Tempo de Execução:489.712691segundos</t>
  </si>
  <si>
    <t>Tempo de Execução:498.558531segundos</t>
  </si>
  <si>
    <t>Tempo de Execução:501.054249segundos</t>
  </si>
  <si>
    <t>Tempo de Execução:501.756615segundos</t>
  </si>
  <si>
    <t>Tempo de Execução:502.445499segundos</t>
  </si>
  <si>
    <t>Tempo de Execução:503.031508segundos</t>
  </si>
  <si>
    <t>Tempo de Execução:503.666415segundos</t>
  </si>
  <si>
    <t>Tempo de Execução:508.048896segundos</t>
  </si>
  <si>
    <t>Tempo de Execução:512.556655segundos</t>
  </si>
  <si>
    <t>Tempo de Execução:513.390893segundos</t>
  </si>
  <si>
    <t>Tempo de Execução:514.073595segundos</t>
  </si>
  <si>
    <t>Tempo de Execução:515.036905segundos</t>
  </si>
  <si>
    <t>Tempo de Execução:523.466051segundos</t>
  </si>
  <si>
    <t>Tempo de Execução:524.34398segundos</t>
  </si>
  <si>
    <t>Tempo de Execução:528.627809segundos</t>
  </si>
  <si>
    <t>Tempo de Execução:543.049163segundos</t>
  </si>
  <si>
    <t>Tempo de Execução:552.749274segundos</t>
  </si>
  <si>
    <t>Tempo de Execução:554.713927segundos</t>
  </si>
  <si>
    <t>Tempo de Execução:555.461119segundos</t>
  </si>
  <si>
    <t>Tempo de Execução:556.011018segundos</t>
  </si>
  <si>
    <t>Tempo de Execução:559.446216segundos</t>
  </si>
  <si>
    <t>Tempo de Execução:566.053426segundos</t>
  </si>
  <si>
    <t>Tempo de Execução:567.413601segundos</t>
  </si>
  <si>
    <t>Tempo de Execução:572.408435segundos</t>
  </si>
  <si>
    <t>Tempo de Execução:583.926043segundos</t>
  </si>
  <si>
    <t>Tempo de Execução:587.366953segundos</t>
  </si>
  <si>
    <t>Tempo de Execução:588.104624segundos</t>
  </si>
  <si>
    <t>Tempo de Execução:599.153456segundos</t>
  </si>
  <si>
    <t>Tempo de Execução:600.160396segundos</t>
  </si>
  <si>
    <t>Tempo de Execução:603.098655segundos</t>
  </si>
  <si>
    <t>Tempo de Execução:610.355953segundos</t>
  </si>
  <si>
    <t>Tempo de Execução:617.710892segundos</t>
  </si>
  <si>
    <t>Tempo de Execução:618.320005segundos</t>
  </si>
  <si>
    <t>Tempo de Execução:620.670553segundos</t>
  </si>
  <si>
    <t>Tempo de Execução:621.399551segundos</t>
  </si>
  <si>
    <t>Tempo de Execução:622.120511segundos</t>
  </si>
  <si>
    <t>Tempo de Execução:625.644117segundos</t>
  </si>
  <si>
    <t>Tempo de Execução:627.241346segundos</t>
  </si>
  <si>
    <t>Tempo de Execução:631.775607segundos</t>
  </si>
  <si>
    <t>Tempo de Execução:633.572009segundos</t>
  </si>
  <si>
    <t>Tempo de Execução:636.384714segundos</t>
  </si>
  <si>
    <t>Tempo de Execução:646.146799segundos</t>
  </si>
  <si>
    <t>Tempo de Execução:647.871457segundos</t>
  </si>
  <si>
    <t>Tempo de Execução:656.593281segundos</t>
  </si>
  <si>
    <t>Tempo de Execução:668.165175segundos</t>
  </si>
  <si>
    <t>Tempo de Execução:668.726553segundos</t>
  </si>
  <si>
    <t>Tempo de Execução:670.162977segundos</t>
  </si>
  <si>
    <t>Tempo de Execução:689.385233segundos</t>
  </si>
  <si>
    <t>Tempo de Execução:689.991624segundos</t>
  </si>
  <si>
    <t>Tempo de Execução:690.599174segundos</t>
  </si>
  <si>
    <t>Tempo de Execução:691.176983segundos</t>
  </si>
  <si>
    <t>Tempo de Execução:697.653567segundos</t>
  </si>
  <si>
    <t>Tempo de Execução:698.37309segundos</t>
  </si>
  <si>
    <t>Tempo de Execução:699.125436segundos</t>
  </si>
  <si>
    <t>Tempo de Execução:703.033358segundos</t>
  </si>
  <si>
    <t>Tempo de Execução:710.82782segundos</t>
  </si>
  <si>
    <t>Tempo de Execução:716.054217segundos</t>
  </si>
  <si>
    <t>Tempo de Execução:716.91593segundos</t>
  </si>
  <si>
    <t>Tempo de Execução:719.075152segundos</t>
  </si>
  <si>
    <t>Tempo de Execução:721.660406segundos</t>
  </si>
  <si>
    <t>Tempo de Execução:723.93821segundos</t>
  </si>
  <si>
    <t>Tempo de Execução:734.151366segundos</t>
  </si>
  <si>
    <t>Tempo de Execução:744.907543segundos</t>
  </si>
  <si>
    <t>Tempo de Execução:745.51181segundos</t>
  </si>
  <si>
    <t>Tempo de Execução:751.207348segundos</t>
  </si>
  <si>
    <t>Tempo de Execução:752.860294segundos</t>
  </si>
  <si>
    <t>Tempo de Execução:754.419016segundos</t>
  </si>
  <si>
    <t>Tempo de Execução:758.068763segundos</t>
  </si>
  <si>
    <t>Tempo de Execução:758.569256segundos</t>
  </si>
  <si>
    <t>Tempo de Execução:763.09393segundos</t>
  </si>
  <si>
    <t>Tempo de Execução:764.213433segundos</t>
  </si>
  <si>
    <t>Tempo de Execução:767.219586segundos</t>
  </si>
  <si>
    <t>Tempo de Execução:771.760012segundos</t>
  </si>
  <si>
    <t>Tempo de Execução:773.892443segundos</t>
  </si>
  <si>
    <t>Tempo de Execução:782.032947segundos</t>
  </si>
  <si>
    <t>Tempo de Execução:785.188036segundos</t>
  </si>
  <si>
    <t>Tempo de Execução:793.530176segundos</t>
  </si>
  <si>
    <t>Tempo de Execução:795.337145segundos</t>
  </si>
  <si>
    <t>Tempo de Execução:797.051736segundos</t>
  </si>
  <si>
    <t>Tempo de Execução:800.79716segundos</t>
  </si>
  <si>
    <t>Tempo de Execução:801.459373segundos</t>
  </si>
  <si>
    <t>Tempo de Execução:802.110089segundos</t>
  </si>
  <si>
    <t>Tempo de Execução:802.747926segundos</t>
  </si>
  <si>
    <t>Tempo de Execução:804.370719segundos</t>
  </si>
  <si>
    <t>Tempo de Execução:807.522432segundos</t>
  </si>
  <si>
    <t>Tempo de Execução:809.392296segundos</t>
  </si>
  <si>
    <t>Tempo de Execução:830.60211segundos</t>
  </si>
  <si>
    <t>Tempo de Execução:831.272338segundos</t>
  </si>
  <si>
    <t>Tempo de Execução:845.656398segundos</t>
  </si>
  <si>
    <t>Tempo de Execução:847.136707segundos</t>
  </si>
  <si>
    <t>Tempo de Execução:847.546921segundos</t>
  </si>
  <si>
    <t>Tempo de Execução:849.928108segundos</t>
  </si>
  <si>
    <t>Tempo de Execução:852.493674segundos</t>
  </si>
  <si>
    <t>Tempo de Execução:870.661508segundos</t>
  </si>
  <si>
    <t>Tempo de Execução:884.980307segundos</t>
  </si>
  <si>
    <t>Tempo de Execução:889.467523segundos</t>
  </si>
  <si>
    <t>Tempo de Execução:890.509889segundos</t>
  </si>
  <si>
    <t>Tempo de Execução:892.858291segundos</t>
  </si>
  <si>
    <t>Tempo de Execução:897.360678segundos</t>
  </si>
  <si>
    <t>Tempo de Execução:900.467658segundos</t>
  </si>
  <si>
    <t>Tempo de Execução:913.828253segundos</t>
  </si>
  <si>
    <t>Tempo de Execução:931.122266segundos</t>
  </si>
  <si>
    <t>Tempo de Execução:933.557822segundos</t>
  </si>
  <si>
    <t>Tempo de Execução:934.822354segundos</t>
  </si>
  <si>
    <t>Tempo de Execução:935.494026segundos</t>
  </si>
  <si>
    <t>Tempo de Execução:938.1547segundos</t>
  </si>
  <si>
    <t>Tempo de Execução:941.090962segundos</t>
  </si>
  <si>
    <t>Tempo de Execução:942.181048segundos</t>
  </si>
  <si>
    <t>Tempo de Execução:945.895459segundos</t>
  </si>
  <si>
    <t>Tempo de Execução:951.609502segundos</t>
  </si>
  <si>
    <t>Tempo de Execução:962.810667segundos</t>
  </si>
  <si>
    <t>Tempo de Execução:966.559494segundos</t>
  </si>
  <si>
    <t>Tempo de Execução:978.057301segundos</t>
  </si>
  <si>
    <t>Tempo de Execução:978.852495segundos</t>
  </si>
  <si>
    <t>Tempo de Execução:979.589892segundos</t>
  </si>
  <si>
    <t>Tempo de Execução:982.966276segundos</t>
  </si>
  <si>
    <t>Tempo de Execução:989.91344segundos</t>
  </si>
  <si>
    <t>Tempo de Execução:991.079502segundos</t>
  </si>
  <si>
    <t>Tempo de Execução:996.234526segundos</t>
  </si>
  <si>
    <t>Tempo de Execução:999.544514segundos</t>
  </si>
  <si>
    <t>Tempo de Execução:1006.972396segundos</t>
  </si>
  <si>
    <t>Tempo de Execução:1008.417811segundos</t>
  </si>
  <si>
    <t>Tempo de Execução:1011.215203segundos</t>
  </si>
  <si>
    <t>Tempo de Execução:1011.699493segundos</t>
  </si>
  <si>
    <t>Tempo de Execução:1012.596488segundos</t>
  </si>
  <si>
    <t>Tempo de Execução:1021.900037segundos</t>
  </si>
  <si>
    <t>Tempo de Execução:1022.366149segundos</t>
  </si>
  <si>
    <t>Tempo de Execução:1023.874631segundos</t>
  </si>
  <si>
    <t>Tempo de Execução:1024.877375segundos</t>
  </si>
  <si>
    <t>Tempo de Execução:1026.407604segundos</t>
  </si>
  <si>
    <t>Tempo de Execução:1029.868555segundos</t>
  </si>
  <si>
    <t>Tempo de Execução:1032.563142segundos</t>
  </si>
  <si>
    <t>Tempo de Execução:1033.918757segundos</t>
  </si>
  <si>
    <t>Tempo de Execução:1037.984segundos</t>
  </si>
  <si>
    <t>Tempo de Execução:1042.793231segundos</t>
  </si>
  <si>
    <t>Tempo de Execução:1043.501164segundos</t>
  </si>
  <si>
    <t>Tempo de Execução:1051.420067segundos</t>
  </si>
  <si>
    <t>Tempo de Execução:1055.628124segundos</t>
  </si>
  <si>
    <t>Tempo de Execução:1056.930617segundos</t>
  </si>
  <si>
    <t>Tempo de Execução:1059.63044segundos</t>
  </si>
  <si>
    <t>Tempo de Execução:1069.243214segundos</t>
  </si>
  <si>
    <t>Tempo de Execução:1071.479947segundos</t>
  </si>
  <si>
    <t>Tempo de Execução:1072.612237segundos</t>
  </si>
  <si>
    <t>Tempo de Execução:1084.700531segundos</t>
  </si>
  <si>
    <t>Tempo de Execução:1092.257607segundos</t>
  </si>
  <si>
    <t>Tempo de Execução:1092.884483segundos</t>
  </si>
  <si>
    <t>Tempo de Execução:1094.382581segundos</t>
  </si>
  <si>
    <t>Tempo de Execução:1115.146932segundos</t>
  </si>
  <si>
    <t>Tempo de Execução:1116.422668segundos</t>
  </si>
  <si>
    <t>Tempo de Execução:1118.330824segundos</t>
  </si>
  <si>
    <t>Tempo de Execução:1119.731351segundos</t>
  </si>
  <si>
    <t>Tempo de Execução:1122.084113segundos</t>
  </si>
  <si>
    <t>Tempo de Execução:1124.161733segundos</t>
  </si>
  <si>
    <t>Tempo de Execução:1126.030377segundos</t>
  </si>
  <si>
    <t>Tempo de Execução:1130.28549segundos</t>
  </si>
  <si>
    <t>Tempo de Execução:1137.75703segundos</t>
  </si>
  <si>
    <t>Tempo de Execução:1138.445345segundos</t>
  </si>
  <si>
    <t>Tempo de Execução:1166.048733segundos</t>
  </si>
  <si>
    <t>Tempo de Execução:1166.719414segundos</t>
  </si>
  <si>
    <t>Tempo de Execução:1171.03499segundos</t>
  </si>
  <si>
    <t>Tempo de Execução:1171.808372segundos</t>
  </si>
  <si>
    <t>Tempo de Execução:1173.921171segundos</t>
  </si>
  <si>
    <t>Tempo de Execução:1174.743861segundos</t>
  </si>
  <si>
    <t>Tempo de Execução:1183.755347segundos</t>
  </si>
  <si>
    <t>Tempo de Execução:1186.543157segundos</t>
  </si>
  <si>
    <t>Tempo de Execução:1199.042444segundos</t>
  </si>
  <si>
    <t>Tempo de Execução:1199.760934segundos</t>
  </si>
  <si>
    <t>Tempo de Execução:1209.142296segundos</t>
  </si>
  <si>
    <t>Tempo de Execução:1209.788394segundos</t>
  </si>
  <si>
    <t>Tempo de Execução:1210.385907segundos</t>
  </si>
  <si>
    <t>Tempo de Execução:1211.115177segundos</t>
  </si>
  <si>
    <t>Tempo de Execução:1211.753161segundos</t>
  </si>
  <si>
    <t>Tempo de Execução:1212.418023segundos</t>
  </si>
  <si>
    <t>Tempo de Execução:1213.049198segundos</t>
  </si>
  <si>
    <t>Tempo de Execução:1213.666933segundos</t>
  </si>
  <si>
    <t>Tempo de Execução:1214.455053segundos</t>
  </si>
  <si>
    <t>Tempo de Execução:1218.753365segundos</t>
  </si>
  <si>
    <t>Tempo de Execução:1224.739588segundos</t>
  </si>
  <si>
    <t>Tempo de Execução:1225.237865segundos</t>
  </si>
  <si>
    <t>Tempo de Execução:1239.687373segundos</t>
  </si>
  <si>
    <t>Tempo de Execução:1245.445734segundos</t>
  </si>
  <si>
    <t>Tempo de Execução:1258.705781segundos</t>
  </si>
  <si>
    <t>Tempo de Execução:1270.306252segundos</t>
  </si>
  <si>
    <t>Tempo de Execução:1275.497492segundos</t>
  </si>
  <si>
    <t>Tempo de Execução:1278.099072segundos</t>
  </si>
  <si>
    <t>Tempo de Execução:1283.834461segundos</t>
  </si>
  <si>
    <t>Tempo de Execução:1288.787015segundos</t>
  </si>
  <si>
    <t>Tempo de Execução:1289.460913segundos</t>
  </si>
  <si>
    <t>Tempo de Execução:1291.624356segundos</t>
  </si>
  <si>
    <t>Tempo de Execução:1292.246418segundos</t>
  </si>
  <si>
    <t>Tempo de Execução:1292.8849segundos</t>
  </si>
  <si>
    <t>Tempo de Execução:1293.613929segundos</t>
  </si>
  <si>
    <t>Tempo de Execução:1297.448794segundos</t>
  </si>
  <si>
    <t>Tempo de Execução:1304.885377segundos</t>
  </si>
  <si>
    <t>Tempo de Execução:1305.671792segundos</t>
  </si>
  <si>
    <t>Tempo de Execução:1306.365605segundos</t>
  </si>
  <si>
    <t>Tempo de Execução:1307.735671segundos</t>
  </si>
  <si>
    <t>Tempo de Execução:1311.117714segundos</t>
  </si>
  <si>
    <t>Tempo de Execução:1319.467201segundos</t>
  </si>
  <si>
    <t>Tempo de Execução:1327.349307segundos</t>
  </si>
  <si>
    <t>Tempo de Execução:1339.402226segundos</t>
  </si>
  <si>
    <t>Tempo de Execução:1344.575094segundos</t>
  </si>
  <si>
    <t>Tempo de Execução:1345.173477segundos</t>
  </si>
  <si>
    <t>Tempo de Execução:1354.833338segundos</t>
  </si>
  <si>
    <t>Tempo de Execução:1357.274811segundos</t>
  </si>
  <si>
    <t>Tempo de Execução:1358.184081segundos</t>
  </si>
  <si>
    <t>Tempo de Execução:1358.848422segundos</t>
  </si>
  <si>
    <t>Tempo de Execução:1362.61327segundos</t>
  </si>
  <si>
    <t>Tempo de Execução:1363.228365segundos</t>
  </si>
  <si>
    <t>Tempo de Execução:1369.60591segundos</t>
  </si>
  <si>
    <t>Tempo de Execução:1371.146663segundos</t>
  </si>
  <si>
    <t>Tempo de Execução:1382.735581segundos</t>
  </si>
  <si>
    <t>Tempo de Execução:1390.530907segundos</t>
  </si>
  <si>
    <t>Tempo de Execução:1393.707945segundos</t>
  </si>
  <si>
    <t>Tempo de Execução:1396.949488segundos</t>
  </si>
  <si>
    <t>Tempo de Execução:1404.413187segundos</t>
  </si>
  <si>
    <t>Tempo de Execução:1405.075338segundos</t>
  </si>
  <si>
    <t>Tempo de Execução:1407.000638segundos</t>
  </si>
  <si>
    <t>Tempo de Execução:1408.150191segundos</t>
  </si>
  <si>
    <t>Tempo de Execução:1412.927802segundos</t>
  </si>
  <si>
    <t>Tempo de Execução:1417.681435segundos</t>
  </si>
  <si>
    <t>Tempo de Execução:1420.060839segundos</t>
  </si>
  <si>
    <t>Tempo de Execução:1420.822213segundos</t>
  </si>
  <si>
    <t>Tempo de Execução:1421.854888segundos</t>
  </si>
  <si>
    <t>Tempo de Execução:1426.181649segundos</t>
  </si>
  <si>
    <t>Tempo de Execução:1426.953801segundos</t>
  </si>
  <si>
    <t>Tempo de Execução:1439.320168segundos</t>
  </si>
  <si>
    <t>Tempo de Execução:1441.494794segundos</t>
  </si>
  <si>
    <t>Tempo de Execução:1442.506085segundos</t>
  </si>
  <si>
    <t>Tempo de Execução:1443.21906segundos</t>
  </si>
  <si>
    <t>Tempo de Execução:1444.087831segundos</t>
  </si>
  <si>
    <t>Tempo de Execução:1455.135751segundos</t>
  </si>
  <si>
    <t>Tempo de Execução:1455.760558segundos</t>
  </si>
  <si>
    <t>Tempo de Execução:1456.74317segundos</t>
  </si>
  <si>
    <t>Tempo de Execução:1457.384035segundos</t>
  </si>
  <si>
    <t>Tempo de Execução:1458.02966segundos</t>
  </si>
  <si>
    <t>Tempo de Execução:1467.532529segundos</t>
  </si>
  <si>
    <t>Tempo de Execução:1468.409346segundos</t>
  </si>
  <si>
    <t>Tempo de Execução:1473.725991segundos</t>
  </si>
  <si>
    <t>Tempo de Execução:1486.769569segundos</t>
  </si>
  <si>
    <t>Tempo de Execução:1489.884568segundos</t>
  </si>
  <si>
    <t>Tempo de Execução:1491.297168segundos</t>
  </si>
  <si>
    <t>Tempo de Execução:1494.758092segundos</t>
  </si>
  <si>
    <t>Tempo de Execução:1503.117152segundos</t>
  </si>
  <si>
    <t>Tempo de Execução:1504.42472segundos</t>
  </si>
  <si>
    <t>Tempo de Execução:1505.471452segundos</t>
  </si>
  <si>
    <t>Tempo de Execução:1508.118155segundos</t>
  </si>
  <si>
    <t>Tempo de Execução:1521.167116segundos</t>
  </si>
  <si>
    <t>Tempo de Execução:1529.382649segundos</t>
  </si>
  <si>
    <t>Tempo de Execução:1532.722972segundos</t>
  </si>
  <si>
    <t>Tempo de Execução:1537.851652segundos</t>
  </si>
  <si>
    <t>Tempo de Execução:1550.13471segundos</t>
  </si>
  <si>
    <t>Tempo de Execução:1551.31054segundos</t>
  </si>
  <si>
    <t>Tempo de Execução:1556.755128segundos</t>
  </si>
  <si>
    <t>Tempo de Execução:1558.583653segundos</t>
  </si>
  <si>
    <t>Tempo de Execução:1563.641586segundos</t>
  </si>
  <si>
    <t>Tempo de Execução:1564.181489segundos</t>
  </si>
  <si>
    <t>Tempo de Execução:1568.948019segundos</t>
  </si>
  <si>
    <t>Tempo de Execução:1582.140696segundos</t>
  </si>
  <si>
    <t>Tempo de Execução:1586.149794segundos</t>
  </si>
  <si>
    <t>Tempo de Execução:1586.941126segundos</t>
  </si>
  <si>
    <t>Tempo de Execução:1590.710839segundos</t>
  </si>
  <si>
    <t>Tempo de Execução:1598.90951segundos</t>
  </si>
  <si>
    <t>Tempo de Execução:1599.722segundos</t>
  </si>
  <si>
    <t>Tempo de Execução:1600.305045segundos</t>
  </si>
  <si>
    <t>Tempo de Execução:1602.312331segundos</t>
  </si>
  <si>
    <t>Tempo de Execução:1617.3669segundos</t>
  </si>
  <si>
    <t>Tempo de Execução:1618.199798segundos</t>
  </si>
  <si>
    <t>Tempo de Execução:1630.903078segundos</t>
  </si>
  <si>
    <t>Tempo de Execução:1631.576969segundos</t>
  </si>
  <si>
    <t>Tempo de Execução:1634.576493segundos</t>
  </si>
  <si>
    <t>Tempo de Execução:1635.123896segundos</t>
  </si>
  <si>
    <t>Tempo de Execução:1637.540046segundos</t>
  </si>
  <si>
    <t>Tempo de Execução:1641.761176segundos</t>
  </si>
  <si>
    <t>Tempo de Execução:1642.660884segundos</t>
  </si>
  <si>
    <t>Tempo de Execução:1647.462769segundos</t>
  </si>
  <si>
    <t>Tempo de Execução:1648.861542segundos</t>
  </si>
  <si>
    <t>Tempo de Execução:1649.820424segundos</t>
  </si>
  <si>
    <t>Tempo de Execução:1666.44479segundos</t>
  </si>
  <si>
    <t>Tempo de Execução:1667.102079segundos</t>
  </si>
  <si>
    <t>Tempo de Execução:1668.505857segundos</t>
  </si>
  <si>
    <t>Tempo de Execução:1682.293113segundos</t>
  </si>
  <si>
    <t>Tempo de Execução:1683.627271segundos</t>
  </si>
  <si>
    <t>Tempo de Execução:1684.877564segundos</t>
  </si>
  <si>
    <t>Tempo de Execução:1688.444259segundos</t>
  </si>
  <si>
    <t>Tempo de Execução:1697.194812segundos</t>
  </si>
  <si>
    <t>Tempo de Execução:1698.889071segundos</t>
  </si>
  <si>
    <t>Tempo de Execução:1711.53127segundos</t>
  </si>
  <si>
    <t>Tempo de Execução:1717.51984segundos</t>
  </si>
  <si>
    <t>Tempo de Execução:1718.233396segundos</t>
  </si>
  <si>
    <t>Tempo de Execução:1730.123034segundos</t>
  </si>
  <si>
    <t>Tempo de Execução:1730.823635segundos</t>
  </si>
  <si>
    <t>Tempo de Execução:1734.527612segundos</t>
  </si>
  <si>
    <t>Tempo de Execução:1735.322014segundos</t>
  </si>
  <si>
    <t>Tempo de Execução:1748.052965segundos</t>
  </si>
  <si>
    <t>Tempo de Execução:1749.917454segundos</t>
  </si>
  <si>
    <t>Tempo de Execução:1751.146252segundos</t>
  </si>
  <si>
    <t>Tempo de Execução:1761.643412segundos</t>
  </si>
  <si>
    <t>Tempo de Execução:1784.924671segundos</t>
  </si>
  <si>
    <t>Tempo de Execução:1789.313572segundos</t>
  </si>
  <si>
    <t>Tempo de Execução:1801.123699segundos</t>
  </si>
  <si>
    <t>Tempo de Execução:1802.015038segundos</t>
  </si>
  <si>
    <t>Tempo de Execução:1803.698384segundos</t>
  </si>
  <si>
    <t>Tempo de Execução:1811.820761segundos</t>
  </si>
  <si>
    <t>Tempo de Execução:1818.677746segundos</t>
  </si>
  <si>
    <t>Tempo de Execução:1819.414188segundos</t>
  </si>
  <si>
    <t>Tempo de Execução:1827.155128segundos</t>
  </si>
  <si>
    <t>Tempo de Execução:1832.841977segundos</t>
  </si>
  <si>
    <t>Tempo de Execução:1835.999479segundos</t>
  </si>
  <si>
    <t>Tempo de Execução:1849.38637segundos</t>
  </si>
  <si>
    <t>Tempo de Execução:1850.829937segundos</t>
  </si>
  <si>
    <t>Tempo de Execução:1856.292062segundos</t>
  </si>
  <si>
    <t>Tempo de Execução:1863.288725segundos</t>
  </si>
  <si>
    <t>Tempo de Execução:1863.922233segundos</t>
  </si>
  <si>
    <t>Tempo de Execução:1891.615196segundos</t>
  </si>
  <si>
    <t>Tempo de Execução:1894.273211segundos</t>
  </si>
  <si>
    <t>Tempo de Execução:1899.782536segundos</t>
  </si>
  <si>
    <t>Tempo de Execução:1900.433371segundos</t>
  </si>
  <si>
    <t>Tempo de Execução:1901.226972segundos</t>
  </si>
  <si>
    <t>Tempo de Execução:1905.710314segundos</t>
  </si>
  <si>
    <t>Tempo de Execução:1914.041842segundos</t>
  </si>
  <si>
    <t>Tempo de Execução:1920.143644segundos</t>
  </si>
  <si>
    <t>Tempo de Execução:1922.635523segundos</t>
  </si>
  <si>
    <t>Tempo de Execução:1923.325342segundos</t>
  </si>
  <si>
    <t>Tempo de Execução:1936.046333segundos</t>
  </si>
  <si>
    <t>Tempo de Execução:1937.579208segundos</t>
  </si>
  <si>
    <t>Tempo de Execução:1938.243783segundos</t>
  </si>
  <si>
    <t>Tempo de Execução:1938.921583segundos</t>
  </si>
  <si>
    <t>Tempo de Execução:1951.338168segundos</t>
  </si>
  <si>
    <t>Tempo de Execução:1952.139309segundos</t>
  </si>
  <si>
    <t>Tempo de Execução:1953.315982segundos</t>
  </si>
  <si>
    <t>Tempo de Execução:1964.2297segundos</t>
  </si>
  <si>
    <t>Tempo de Execução:1964.880513segundos</t>
  </si>
  <si>
    <t>Tempo de Execução:1965.529512segundos</t>
  </si>
  <si>
    <t>Tempo de Execução:1973.465336segundos</t>
  </si>
  <si>
    <t>Tempo de Execução:1975.438682segundos</t>
  </si>
  <si>
    <t>Tempo de Execução:1978.592044segundos</t>
  </si>
  <si>
    <t>Tempo de Execução:1983.285307segundos</t>
  </si>
  <si>
    <t>Tempo de Execução:1984.058767segundos</t>
  </si>
  <si>
    <t>Tempo de Execução:1987.105442segundos</t>
  </si>
  <si>
    <t>Tempo de Execução:1987.736506segundos</t>
  </si>
  <si>
    <t>Tempo de Execução:1999.606934segundos</t>
  </si>
  <si>
    <t>Tempo de Execução:2000.841761segundos</t>
  </si>
  <si>
    <t>Tempo de Execução:2001.862489segundos</t>
  </si>
  <si>
    <t>Tempo de Execução:2004.801956segundos</t>
  </si>
  <si>
    <t>Tempo de Execução:2007.993824segundos</t>
  </si>
  <si>
    <t>Tempo de Execução:2009.984319segundos</t>
  </si>
  <si>
    <t>Tempo de Execução:2015.406753segundos</t>
  </si>
  <si>
    <t>Tempo de Execução:2024.922016segundos</t>
  </si>
  <si>
    <t>Tempo de Execução:2038.664082segundos</t>
  </si>
  <si>
    <t>Tempo de Execução:2043.237753segundos</t>
  </si>
  <si>
    <t>Tempo de Execução:2044.112665segundos</t>
  </si>
  <si>
    <t>Tempo de Execução:2057.599756segundos</t>
  </si>
  <si>
    <t>Tempo de Execução:2058.327402segundos</t>
  </si>
  <si>
    <t>Tempo de Execução:2059.804546segundos</t>
  </si>
  <si>
    <t>Tempo de Execução:2062.98016segundos</t>
  </si>
  <si>
    <t>Tempo de Execução:2070.603215segundos</t>
  </si>
  <si>
    <t>Tempo de Execução:2086.520319segundos</t>
  </si>
  <si>
    <t>Tempo de Execução:2099.27065segundos</t>
  </si>
  <si>
    <t>Tempo de Execução:2101.670161segundos</t>
  </si>
  <si>
    <t>Tempo de Execução:2102.350527segundos</t>
  </si>
  <si>
    <t>Tempo de Execução:2106.109441segundos</t>
  </si>
  <si>
    <t>Tempo de Execução:2113.549728segundos</t>
  </si>
  <si>
    <t>Tempo de Execução:2119.603897segundos</t>
  </si>
  <si>
    <t>Tempo de Execução:2120.714824segundos</t>
  </si>
  <si>
    <t>Tempo de Execução:2123.118272segundos</t>
  </si>
  <si>
    <t>Tempo de Execução:2127.329703segundos</t>
  </si>
  <si>
    <t>Tempo de Execução:2128.04163segundos</t>
  </si>
  <si>
    <t>Tempo de Execução:2130.142568segundos</t>
  </si>
  <si>
    <t>Tempo de Execução:2134.139387segundos</t>
  </si>
  <si>
    <t xml:space="preserve">Ótimo trilho para o carro. Meu antigo estava péssimo.
Ótimo produto essa roupa de banho. Recomendo fortemente!
Ótima pasta de dente! Recomendo fortemente.
Ótimo aparelho para a minha casa. Recomendo fortemente.
Ótimo mínico frigorífico, muito conveniente para a minha cozinha pequena.
Ótimo aparelho para aqueles que amam jogos eletrônicos.
Ótimo carrinho de compras! Fácil de empurrar e manobrar em estrados inclinados.
Ótimo lavadora de roupa. Funciona bem e foi barato também.
Ótimo serviço de limpeza aqui no salão! Aconselho fortemente.
Ótimo o café da minha cafeteira recém-comprada. Acho incrivelmente bom.
                    Com
Ótimo caixa de som, super bom e confiável.
Ótimo aquecedor de água para banho.
Ótimo lavabo de cozinha com várias características práticas.
Ótima lâmpada LED. É muito mais econômico do que a minha lâmpada antiga.
Ótimo sistema de ar condicionado para dormir. Tem sensores automáticos e funciona perfeitamente.
Ótimo mudo de lençóis. Sento muito confortável com ele.
Ótimo serviço de limpeza que contratei ontem. Muito satisfeita com o resultado final.
Ótimo produto essa lâmpada LED. Utilizo desde ontem sem problemas.
Ótimo aparelho eletrônico! Fiz a compra no site oficial da empresa.
Ótimo aquecedor de água. Fica pronto em segundos.
Ótimo tricotado. Mantém o aquecimento muito bem.
Ótimo cabelo eletricista para relaxamento.
Ótimo aparelho para quem deseja comprar um TV a preço barato.
Ótimo tostador eletrônico. Funciona muito bem.
Ótimo bluetooth. Funciona perfeitamente desde o primeiro momento.
Ótima mesa para escritório. Fácil de limpar e muito confortavel.
Ótima cadeira para trabalhar!
Óptico muito bom. Valeu a pena o dinheiro gasto.
Ótimo aparelho, muita funcionalidade em um só dispositivo.
Ótimo cabelo cerado. Bastante bom o resultado.
Ótimo o refrigerador que comprei na semana passada. Gosto bastante desse modelo.
                    Comentário
Ótima cadeira de escritório. Eu adoro trabalhar em ela.
Ótima mesa de jantar com estilo elegante. Recomendo fortemente.
Ótimo cabelo para lustrar o carro. Meu automóvel nunca se vem tão bonito.
Ótimo, o cálice está tudo bem. Recomendo para todos quem quer comprar um novo cálice.
Ótimo sistema para a minha empresa. Funciona perfeitamente.
Ótimo aparelho para quem quer limpar suas coisas com rapidez.
Ótimo aquecedor de colchões. Quem precisar, recomendo.
Ótimo mascaró de pelúcia que comprei ontem. Minha filhinha adora ele!
                    Com
Ótimo lavador de pratos. Gosto muito dele.
Ótimo carrinho de supermercado. Fácil de empurrar.
Ótima mesa para o quarto da minha filha. Gostei muito dela.
Ótimo rádio portátil! Baterias duram muito tempo.
Ótimo aparelho para aqueles que quiserem um produto bem-feito.
Ótimo lavabo! Trago muita água e limpa tudo com facilidade.
Ótimo bluetooth headset. Recomendo para quem procura um produto desse tipo.
                    Comentário
Ótimo produto, funciona muito bem.
Ótimo aparelho. Funciona perfeitamente desde o dia da compra.
Ótimo mascarótopo. Realmente funciona.
Ótimo lavador de pratos. Recomendo com muita vantagem sobre meu antigo.
                    Comentário
</t>
  </si>
  <si>
    <t>trilho</t>
  </si>
  <si>
    <t>estava</t>
  </si>
  <si>
    <t>péssimo</t>
  </si>
  <si>
    <t>pasta</t>
  </si>
  <si>
    <t>dente</t>
  </si>
  <si>
    <t>mínico</t>
  </si>
  <si>
    <t>conveniente</t>
  </si>
  <si>
    <t>amam</t>
  </si>
  <si>
    <t>jogos</t>
  </si>
  <si>
    <t>eletrônicos</t>
  </si>
  <si>
    <t>empurrar</t>
  </si>
  <si>
    <t>manobrar</t>
  </si>
  <si>
    <t>estrados</t>
  </si>
  <si>
    <t>inclinados</t>
  </si>
  <si>
    <t>salão</t>
  </si>
  <si>
    <t>aconselho</t>
  </si>
  <si>
    <t>cafeteira</t>
  </si>
  <si>
    <t>recémcomprada</t>
  </si>
  <si>
    <t>incrivelmente</t>
  </si>
  <si>
    <t>várias</t>
  </si>
  <si>
    <t>características</t>
  </si>
  <si>
    <t>práticas</t>
  </si>
  <si>
    <t>sensores</t>
  </si>
  <si>
    <t>automáticos</t>
  </si>
  <si>
    <t>lençóis</t>
  </si>
  <si>
    <t>sento</t>
  </si>
  <si>
    <t>contratei</t>
  </si>
  <si>
    <t>utilizo</t>
  </si>
  <si>
    <t>oficial</t>
  </si>
  <si>
    <t>pronto</t>
  </si>
  <si>
    <t>segundos</t>
  </si>
  <si>
    <t>relaxamento</t>
  </si>
  <si>
    <t>deseja</t>
  </si>
  <si>
    <t>tostador</t>
  </si>
  <si>
    <t>confortavel</t>
  </si>
  <si>
    <t>gasto</t>
  </si>
  <si>
    <t>só</t>
  </si>
  <si>
    <t>cerado</t>
  </si>
  <si>
    <t>passada</t>
  </si>
  <si>
    <t>adoro</t>
  </si>
  <si>
    <t>elegante</t>
  </si>
  <si>
    <t>lustrar</t>
  </si>
  <si>
    <t>automóvel</t>
  </si>
  <si>
    <t>se</t>
  </si>
  <si>
    <t>vem</t>
  </si>
  <si>
    <t>cálice</t>
  </si>
  <si>
    <t>suas</t>
  </si>
  <si>
    <t>colchões</t>
  </si>
  <si>
    <t>precisar</t>
  </si>
  <si>
    <t>mascaró</t>
  </si>
  <si>
    <t>filhinha</t>
  </si>
  <si>
    <t>dele</t>
  </si>
  <si>
    <t>supermercado</t>
  </si>
  <si>
    <t>baterias</t>
  </si>
  <si>
    <t>duram</t>
  </si>
  <si>
    <t>bemfeito</t>
  </si>
  <si>
    <t>headset</t>
  </si>
  <si>
    <t>tipo</t>
  </si>
  <si>
    <t>mascarótopo</t>
  </si>
  <si>
    <t>vantagem</t>
  </si>
  <si>
    <t>{"valorA":"péssimo","valorB":1.0}</t>
  </si>
  <si>
    <t>{"valorA":"estava","valorB":1.0}</t>
  </si>
  <si>
    <t>{"valorA":"trilho","valorB":1.0}</t>
  </si>
  <si>
    <t>{"valorA":"dente","valorB":1.0}</t>
  </si>
  <si>
    <t>{"valorA":"pasta","valorB":1.0}</t>
  </si>
  <si>
    <t>{"valorA":"mínico","valorB":1.0}</t>
  </si>
  <si>
    <t>{"valorA":"jogos","valorB":1.0}</t>
  </si>
  <si>
    <t>{"valorA":"eletrônicos","valorB":1.0}</t>
  </si>
  <si>
    <t>{"valorA":"conveniente","valorB":1.0}</t>
  </si>
  <si>
    <t>{"valorA":"amam","valorB":1.0}</t>
  </si>
  <si>
    <t>{"valorA":"roupa","valorB":2.0}</t>
  </si>
  <si>
    <t>{"valorA":"estrados","valorB":1.0}</t>
  </si>
  <si>
    <t>{"valorA":"inclinados","valorB":1.0}</t>
  </si>
  <si>
    <t>{"valorA":"empurrar","valorB":1.0}</t>
  </si>
  <si>
    <t>{"valorA":"manobrar","valorB":1.0}</t>
  </si>
  <si>
    <t>{"valorA":"incrivelmente","valorB":1.0}</t>
  </si>
  <si>
    <t>{"valorA":"aconselho","valorB":1.0}</t>
  </si>
  <si>
    <t>{"valorA":"cafeteira","valorB":1.0}</t>
  </si>
  <si>
    <t>{"valorA":"fortemente","valorB":4.0}</t>
  </si>
  <si>
    <t>{"valorA":"recémcomprada","valorB":1.0}</t>
  </si>
  <si>
    <t>{"valorA":"salão","valorB":1.0}</t>
  </si>
  <si>
    <t>{"valorA":"água","valorB":1.0}</t>
  </si>
  <si>
    <t>{"valorA":"banho","valorB":2.0}</t>
  </si>
  <si>
    <t>{"valorA":"aquecedor","valorB":1.0}</t>
  </si>
  <si>
    <t>{"valorA":"práticas","valorB":1.0}</t>
  </si>
  <si>
    <t>{"valorA":"cozinha","valorB":2.0}</t>
  </si>
  <si>
    <t>{"valorA":"várias","valorB":1.0}</t>
  </si>
  <si>
    <t>{"valorA":"características","valorB":1.0}</t>
  </si>
  <si>
    <t>{"valorA":"automáticos","valorB":1.0}</t>
  </si>
  <si>
    <t>{"valorA":"sensores","valorB":1.0}</t>
  </si>
  <si>
    <t>{"valorA":"antiga","valorB":1.0}</t>
  </si>
  <si>
    <t>{"valorA":"minha","valorB":4.0}</t>
  </si>
  <si>
    <t>{"valorA":"mudo","valorB":1.0}</t>
  </si>
  <si>
    <t>{"valorA":"contratei","valorB":1.0}</t>
  </si>
  <si>
    <t>{"valorA":"lençóis","valorB":1.0}</t>
  </si>
  <si>
    <t>{"valorA":"sento","valorB":1.0}</t>
  </si>
  <si>
    <t>{"valorA":"lâmpada","valorB":3.0}</t>
  </si>
  <si>
    <t>{"valorA":"utilizo","valorB":1.0}</t>
  </si>
  <si>
    <t>{"valorA":"em","valorB":2.0}</t>
  </si>
  <si>
    <t>{"valorA":"água","valorB":2.0}</t>
  </si>
  <si>
    <t>{"valorA":"segundos","valorB":1.0}</t>
  </si>
  <si>
    <t>{"valorA":"oficial","valorB":1.0}</t>
  </si>
  <si>
    <t>{"valorA":"aquecedor","valorB":2.0}</t>
  </si>
  <si>
    <t>{"valorA":"site","valorB":1.0}</t>
  </si>
  <si>
    <t>{"valorA":"no","valorB":2.0}</t>
  </si>
  <si>
    <t>{"valorA":"fiz","valorB":1.0}</t>
  </si>
  <si>
    <t>{"valorA":"pronto","valorB":1.0}</t>
  </si>
  <si>
    <t>{"valorA":"relaxamento","valorB":1.0}</t>
  </si>
  <si>
    <t>{"valorA":"deseja","valorB":1.0}</t>
  </si>
  <si>
    <t>{"valorA":"tostador","valorB":1.0}</t>
  </si>
  <si>
    <t>{"valorA":"eletrônico","valorB":2.0}</t>
  </si>
  <si>
    <t>{"valorA":"mesa","valorB":1.0}</t>
  </si>
  <si>
    <t>{"valorA":"confortavel","valorB":1.0}</t>
  </si>
  <si>
    <t>{"valorA":"óptico","valorB":1.0}</t>
  </si>
  <si>
    <t>{"valorA":"gasto","valorB":1.0}</t>
  </si>
  <si>
    <t>{"valorA":"trabalhar","valorB":1.0}</t>
  </si>
  <si>
    <t>{"valorA":"em","valorB":3.0}</t>
  </si>
  <si>
    <t>{"valorA":"só","valorB":1.0}</t>
  </si>
  <si>
    <t>{"valorA":"cerado","valorB":1.0}</t>
  </si>
  <si>
    <t>{"valorA":"dispositivo","valorB":1.0}</t>
  </si>
  <si>
    <t>{"valorA":"aparelho","valorB":5.0}</t>
  </si>
  <si>
    <t>{"valorA":"resultado","valorB":2.0}</t>
  </si>
  <si>
    <t>{"valorA":"adoro","valorB":1.0}</t>
  </si>
  <si>
    <t>{"valorA":"em","valorB":4.0}</t>
  </si>
  <si>
    <t>{"valorA":"passada","valorB":1.0}</t>
  </si>
  <si>
    <t>{"valorA":"trabalhar","valorB":2.0}</t>
  </si>
  <si>
    <t>{"valorA":"elegante","valorB":1.0}</t>
  </si>
  <si>
    <t>{"valorA":"fortemente","valorB":5.0}</t>
  </si>
  <si>
    <t>{"valorA":"mesa","valorB":2.0}</t>
  </si>
  <si>
    <t>{"valorA":"vem","valorB":1.0}</t>
  </si>
  <si>
    <t>{"valorA":"está","valorB":1.0}</t>
  </si>
  <si>
    <t>{"valorA":"cálice","valorB":2.0}</t>
  </si>
  <si>
    <t>{"valorA":"cabelo","valorB":3.0}</t>
  </si>
  <si>
    <t>{"valorA":"automóvel","valorB":1.0}</t>
  </si>
  <si>
    <t>{"valorA":"se","valorB":1.0}</t>
  </si>
  <si>
    <t>{"valorA":"lustrar","valorB":1.0}</t>
  </si>
  <si>
    <t>{"valorA":"suas","valorB":1.0}</t>
  </si>
  <si>
    <t>{"valorA":"quer","valorB":2.0}</t>
  </si>
  <si>
    <t>{"valorA":"aparelho","valorB":6.0}</t>
  </si>
  <si>
    <t>{"valorA":"minha","valorB":5.0}</t>
  </si>
  <si>
    <t>{"valorA":"precisar","valorB":1.0}</t>
  </si>
  <si>
    <t>{"valorA":"aquecedor","valorB":3.0}</t>
  </si>
  <si>
    <t>{"valorA":"colchões","valorB":1.0}</t>
  </si>
  <si>
    <t>{"valorA":"filhinha","valorB":1.0}</t>
  </si>
  <si>
    <t>{"valorA":"pelúcia","valorB":1.0}</t>
  </si>
  <si>
    <t>{"valorA":"dele","valorB":1.0}</t>
  </si>
  <si>
    <t>{"valorA":"mascaró","valorB":1.0}</t>
  </si>
  <si>
    <t>{"valorA":"minha","valorB":6.0}</t>
  </si>
  <si>
    <t>{"valorA":"empurrar","valorB":2.0}</t>
  </si>
  <si>
    <t>{"valorA":"quarto","valorB":1.0}</t>
  </si>
  <si>
    <t>{"valorA":"supermercado","valorB":1.0}</t>
  </si>
  <si>
    <t>{"valorA":"mesa","valorB":3.0}</t>
  </si>
  <si>
    <t>{"valorA":"minha","valorB":7.0}</t>
  </si>
  <si>
    <t>{"valorA":"duram","valorB":1.0}</t>
  </si>
  <si>
    <t>{"valorA":"bemfeito","valorB":1.0}</t>
  </si>
  <si>
    <t>{"valorA":"baterias","valorB":1.0}</t>
  </si>
  <si>
    <t>{"valorA":"aparelho","valorB":7.0}</t>
  </si>
  <si>
    <t>{"valorA":"água","valorB":3.0}</t>
  </si>
  <si>
    <t>{"valorA":"lavabo","valorB":2.0}</t>
  </si>
  <si>
    <t>{"valorA":"facilidade","valorB":1.0}</t>
  </si>
  <si>
    <t>{"valorA":"tudo","valorB":2.0}</t>
  </si>
  <si>
    <t>{"valorA":"headset","valorB":1.0}</t>
  </si>
  <si>
    <t>{"valorA":"tipo","valorB":1.0}</t>
  </si>
  <si>
    <t>{"valorA":"bluetooth","valorB":2.0}</t>
  </si>
  <si>
    <t>{"valorA":"aparelho","valorB":8.0}</t>
  </si>
  <si>
    <t>{"valorA":"da","valorB":4.0}</t>
  </si>
  <si>
    <t>{"valorA":"mascarótopo","valorB":1.0}</t>
  </si>
  <si>
    <t>{"valorA":"muita","valorB":3.0}</t>
  </si>
  <si>
    <t>{"valorA":"vantagem","valorB":1.0}</t>
  </si>
  <si>
    <t>{"valorA":"de","valorB":22.0}</t>
  </si>
  <si>
    <t>Tempo de Execução:144.544686segundos</t>
  </si>
  <si>
    <t>Tempo de Execução:160.320778segundos</t>
  </si>
  <si>
    <t>Tempo de Execução:160.579212segundos</t>
  </si>
  <si>
    <t>Tempo de Execução:160.784299segundos</t>
  </si>
  <si>
    <t>Tempo de Execução:165.981876segundos</t>
  </si>
  <si>
    <t>Tempo de Execução:168.26859segundos</t>
  </si>
  <si>
    <t>Tempo de Execução:168.654793segundos</t>
  </si>
  <si>
    <t>Tempo de Execução:170.948911segundos</t>
  </si>
  <si>
    <t>Tempo de Execução:176.035197segundos</t>
  </si>
  <si>
    <t>Tempo de Execução:176.611447segundos</t>
  </si>
  <si>
    <t>Tempo de Execução:176.877359segundos</t>
  </si>
  <si>
    <t>Tempo de Execução:179.237326segundos</t>
  </si>
  <si>
    <t>Tempo de Execução:185.753699segundos</t>
  </si>
  <si>
    <t>Tempo de Execução:187.561494segundos</t>
  </si>
  <si>
    <t>Tempo de Execução:187.851573segundos</t>
  </si>
  <si>
    <t>Tempo de Execução:189.434167segundos</t>
  </si>
  <si>
    <t>Tempo de Execução:191.004283segundos</t>
  </si>
  <si>
    <t>Tempo de Execução:193.445924segundos</t>
  </si>
  <si>
    <t>Tempo de Execução:194.627803segundos</t>
  </si>
  <si>
    <t>Tempo de Execução:201.606788segundos</t>
  </si>
  <si>
    <t>Tempo de Execução:206.551849segundos</t>
  </si>
  <si>
    <t>Tempo de Execução:207.057332segundos</t>
  </si>
  <si>
    <t>Tempo de Execução:209.837059segundos</t>
  </si>
  <si>
    <t>Tempo de Execução:228.784237segundos</t>
  </si>
  <si>
    <t>Tempo de Execução:230.567102segundos</t>
  </si>
  <si>
    <t>Tempo de Execução:234.463404segundos</t>
  </si>
  <si>
    <t>Tempo de Execução:239.03543segundos</t>
  </si>
  <si>
    <t>Tempo de Execução:241.457009segundos</t>
  </si>
  <si>
    <t>Tempo de Execução:246.182872segundos</t>
  </si>
  <si>
    <t>Tempo de Execução:250.507468segundos</t>
  </si>
  <si>
    <t>Tempo de Execução:250.871691segundos</t>
  </si>
  <si>
    <t>Tempo de Execução:266.778708segundos</t>
  </si>
  <si>
    <t>Tempo de Execução:269.311349segundos</t>
  </si>
  <si>
    <t>Tempo de Execução:274.718071segundos</t>
  </si>
  <si>
    <t>Tempo de Execução:275.544435segundos</t>
  </si>
  <si>
    <t>Tempo de Execução:277.302182segundos</t>
  </si>
  <si>
    <t>Tempo de Execução:278.226005segundos</t>
  </si>
  <si>
    <t>Tempo de Execução:278.900987segundos</t>
  </si>
  <si>
    <t>Tempo de Execução:279.650434segundos</t>
  </si>
  <si>
    <t>Tempo de Execução:281.767395segundos</t>
  </si>
  <si>
    <t>Tempo de Execução:285.862072segundos</t>
  </si>
  <si>
    <t>Tempo de Execução:289.004374segundos</t>
  </si>
  <si>
    <t>Tempo de Execução:293.748096segundos</t>
  </si>
  <si>
    <t>Tempo de Execução:294.218675segundos</t>
  </si>
  <si>
    <t>Tempo de Execução:298.938139segundos</t>
  </si>
  <si>
    <t>Tempo de Execução:301.880908segundos</t>
  </si>
  <si>
    <t>Tempo de Execução:303.027095segundos</t>
  </si>
  <si>
    <t>Tempo de Execução:305.015698segundos</t>
  </si>
  <si>
    <t>Tempo de Execução:306.527545segundos</t>
  </si>
  <si>
    <t>Tempo de Execução:307.39467segundos</t>
  </si>
  <si>
    <t>Tempo de Execução:309.47503segundos</t>
  </si>
  <si>
    <t>Tempo de Execução:310.130607segundos</t>
  </si>
  <si>
    <t>Tempo de Execução:316.276639segundos</t>
  </si>
  <si>
    <t>Tempo de Execução:318.894812segundos</t>
  </si>
  <si>
    <t>Tempo de Execução:321.060877segundos</t>
  </si>
  <si>
    <t>Tempo de Execução:321.750699segundos</t>
  </si>
  <si>
    <t>Tempo de Execução:322.306227segundos</t>
  </si>
  <si>
    <t>Tempo de Execução:330.563576segundos</t>
  </si>
  <si>
    <t>Tempo de Execução:336.537612segundos</t>
  </si>
  <si>
    <t>Tempo de Execução:337.25209segundos</t>
  </si>
  <si>
    <t>Tempo de Execução:339.046724segundos</t>
  </si>
  <si>
    <t>Tempo de Execução:347.776974segundos</t>
  </si>
  <si>
    <t>Tempo de Execução:355.419798segundos</t>
  </si>
  <si>
    <t>Tempo de Execução:356.104259segundos</t>
  </si>
  <si>
    <t>Tempo de Execução:356.718876segundos</t>
  </si>
  <si>
    <t>Tempo de Execução:357.877452segundos</t>
  </si>
  <si>
    <t>Tempo de Execução:360.866575segundos</t>
  </si>
  <si>
    <t>Tempo de Execução:367.837004segundos</t>
  </si>
  <si>
    <t>Tempo de Execução:368.512105segundos</t>
  </si>
  <si>
    <t>Tempo de Execução:369.229507segundos</t>
  </si>
  <si>
    <t>Tempo de Execução:370.029906segundos</t>
  </si>
  <si>
    <t>Tempo de Execução:375.578773segundos</t>
  </si>
  <si>
    <t>Tempo de Execução:378.47765segundos</t>
  </si>
  <si>
    <t>Tempo de Execução:380.340591segundos</t>
  </si>
  <si>
    <t>Tempo de Execução:382.733341segundos</t>
  </si>
  <si>
    <t>Tempo de Execução:388.288053segundos</t>
  </si>
  <si>
    <t>Tempo de Execução:388.939311segundos</t>
  </si>
  <si>
    <t>Tempo de Execução:391.514829segundos</t>
  </si>
  <si>
    <t>Tempo de Execução:391.957911segundos</t>
  </si>
  <si>
    <t>Tempo de Execução:393.40188segundos</t>
  </si>
  <si>
    <t>Tempo de Execução:393.797987segundos</t>
  </si>
  <si>
    <t>Tempo de Execução:398.198593segundos</t>
  </si>
  <si>
    <t>Tempo de Execução:400.430683segundos</t>
  </si>
  <si>
    <t>Tempo de Execução:400.884919segundos</t>
  </si>
  <si>
    <t>Tempo de Execução:409.696008segundos</t>
  </si>
  <si>
    <t>Tempo de Execução:413.580971segundos</t>
  </si>
  <si>
    <t>Tempo de Execução:413.971229segundos</t>
  </si>
  <si>
    <t>Tempo de Execução:414.377776segundos</t>
  </si>
  <si>
    <t>Tempo de Execução:414.798301segundos</t>
  </si>
  <si>
    <t>Tempo de Execução:416.633566segundos</t>
  </si>
  <si>
    <t>Tempo de Execução:427.231772segundos</t>
  </si>
  <si>
    <t>Tempo de Execução:427.732305segundos</t>
  </si>
  <si>
    <t>Tempo de Execução:437.178239segundos</t>
  </si>
  <si>
    <t>Tempo de Execução:444.61649segundos</t>
  </si>
  <si>
    <t>Tempo de Execução:449.311758segundos</t>
  </si>
  <si>
    <t>Tempo de Execução:451.289183segundos</t>
  </si>
  <si>
    <t>Tempo de Execução:457.744356segundos</t>
  </si>
  <si>
    <t>Tempo de Execução:467.435937segundos</t>
  </si>
  <si>
    <t>Tempo de Execução:469.875783segundos</t>
  </si>
  <si>
    <t>Tempo de Execução:470.401429segundos</t>
  </si>
  <si>
    <t>Tempo de Execução:474.185814segundos</t>
  </si>
  <si>
    <t>Tempo de Execução:486.843131segundos</t>
  </si>
  <si>
    <t>Tempo de Execução:487.321845segundos</t>
  </si>
  <si>
    <t>Tempo de Execução:487.741468segundos</t>
  </si>
  <si>
    <t>Tempo de Execução:491.959083segundos</t>
  </si>
  <si>
    <t>Tempo de Execução:492.405897segundos</t>
  </si>
  <si>
    <t>Tempo de Execução:494.406886segundos</t>
  </si>
  <si>
    <t>Tempo de Execução:496.858124segundos</t>
  </si>
  <si>
    <t>Tempo de Execução:497.313575segundos</t>
  </si>
  <si>
    <t>Tempo de Execução:501.896845segundos</t>
  </si>
  <si>
    <t>Tempo de Execução:502.32599segundos</t>
  </si>
  <si>
    <t>Tempo de Execução:505.945826segundos</t>
  </si>
  <si>
    <t>Tempo de Execução:508.679877segundos</t>
  </si>
  <si>
    <t>Tempo de Execução:509.936818segundos</t>
  </si>
  <si>
    <t>Tempo de Execução:511.401298segundos</t>
  </si>
  <si>
    <t>Tempo de Execução:511.840182segundos</t>
  </si>
  <si>
    <t>Tempo de Execução:514.137306segundos</t>
  </si>
  <si>
    <t>Tempo de Execução:514.814814segundos</t>
  </si>
  <si>
    <t>Tempo de Execução:516.504317segundos</t>
  </si>
  <si>
    <t>Tempo de Execução:517.078556segundos</t>
  </si>
  <si>
    <t>Tempo de Execução:518.285429segundos</t>
  </si>
  <si>
    <t>Tempo de Execução:519.222547segundos</t>
  </si>
  <si>
    <t>Tempo de Execução:521.095786segundos</t>
  </si>
  <si>
    <t>Tempo de Execução:522.190714segundos</t>
  </si>
  <si>
    <t>Tempo de Execução:525.397447segundos</t>
  </si>
  <si>
    <t>Tempo de Execução:526.825881segundos</t>
  </si>
  <si>
    <t>Tempo de Execução:531.52367segundos</t>
  </si>
  <si>
    <t>Tempo de Execução:531.935469segundos</t>
  </si>
  <si>
    <t>Tempo de Execução:532.344138segundos</t>
  </si>
  <si>
    <t>Tempo de Execução:534.057032segundos</t>
  </si>
  <si>
    <t>Tempo de Execução:534.876672segundos</t>
  </si>
  <si>
    <t>Tempo de Execução:535.287494segundos</t>
  </si>
  <si>
    <t>Tempo de Execução:542.212145segundos</t>
  </si>
  <si>
    <t>Tempo de Execução:542.859948segundos</t>
  </si>
  <si>
    <t>Tempo de Execução:545.192361segundos</t>
  </si>
  <si>
    <t>Tempo de Execução:547.486653segundos</t>
  </si>
  <si>
    <t>Tempo de Execução:548.189433segundos</t>
  </si>
  <si>
    <t>Tempo de Execução:559.234442segundos</t>
  </si>
  <si>
    <t>Tempo de Execução:561.968064segundos</t>
  </si>
  <si>
    <t>Tempo de Execução:563.374737segundos</t>
  </si>
  <si>
    <t>Tempo de Execução:563.880373segundos</t>
  </si>
  <si>
    <t>Tempo de Execução:567.714116segundos</t>
  </si>
  <si>
    <t>Tempo de Execução:570.685535segundos</t>
  </si>
  <si>
    <t>Tempo de Execução:575.884001segundos</t>
  </si>
  <si>
    <t>Tempo de Execução:580.780659segundos</t>
  </si>
  <si>
    <t>Tempo de Execução:586.342367segundos</t>
  </si>
  <si>
    <t>Tempo de Execução:607.339557segundos</t>
  </si>
  <si>
    <t>Tempo de Execução:611.203537segundos</t>
  </si>
  <si>
    <t>Tempo de Execução:611.643992segundos</t>
  </si>
  <si>
    <t>Tempo de Execução:612.864652segundos</t>
  </si>
  <si>
    <t>Tempo de Execução:614.170576segundos</t>
  </si>
  <si>
    <t>Tempo de Execução:617.545383segundos</t>
  </si>
  <si>
    <t>Tempo de Execução:621.85516segundos</t>
  </si>
  <si>
    <t>Tempo de Execução:626.130392segundos</t>
  </si>
  <si>
    <t>Tempo de Execução:632.882886segundos</t>
  </si>
  <si>
    <t>Tempo de Execução:633.544693segundos</t>
  </si>
  <si>
    <t>Tempo de Execução:636.185564segundos</t>
  </si>
  <si>
    <t>Tempo de Execução:639.897269segundos</t>
  </si>
  <si>
    <t>Tempo de Execução:647.633403segundos</t>
  </si>
  <si>
    <t>Tempo de Execução:648.627763segundos</t>
  </si>
  <si>
    <t>Tempo de Execução:649.638669segundos</t>
  </si>
  <si>
    <t>Tempo de Execução:651.481551segundos</t>
  </si>
  <si>
    <t>Tempo de Execução:654.656283segundos</t>
  </si>
  <si>
    <t>Tempo de Execução:658.142672segundos</t>
  </si>
  <si>
    <t>Tempo de Execução:660.418509segundos</t>
  </si>
  <si>
    <t>Tempo de Execução:661.564997segundos</t>
  </si>
  <si>
    <t>Tempo de Execução:665.482967segundos</t>
  </si>
  <si>
    <t>Tempo de Execução:666.680339segundos</t>
  </si>
  <si>
    <t>Tempo de Execução:667.470477segundos</t>
  </si>
  <si>
    <t>Tempo de Execução:669.117983segundos</t>
  </si>
  <si>
    <t>Tempo de Execução:669.847768segundos</t>
  </si>
  <si>
    <t>Tempo de Execução:672.424559segundos</t>
  </si>
  <si>
    <t>Tempo de Execução:680.182949segundos</t>
  </si>
  <si>
    <t>Tempo de Execução:680.7877segundos</t>
  </si>
  <si>
    <t>Tempo de Execução:690.971497segundos</t>
  </si>
  <si>
    <t>Tempo de Execução:691.467148segundos</t>
  </si>
  <si>
    <t>Tempo de Execução:694.849058segundos</t>
  </si>
  <si>
    <t>Tempo de Execução:701.195577segundos</t>
  </si>
  <si>
    <t>Tempo de Execução:708.693237segundos</t>
  </si>
  <si>
    <t>Tempo de Execução:709.564017segundos</t>
  </si>
  <si>
    <t>Tempo de Execução:712.544926segundos</t>
  </si>
  <si>
    <t>Tempo de Execução:715.846161segundos</t>
  </si>
  <si>
    <t>Tempo de Execução:717.546542segundos</t>
  </si>
  <si>
    <t>Tempo de Execução:725.149794segundos</t>
  </si>
  <si>
    <t>Tempo de Execução:725.693673segundos</t>
  </si>
  <si>
    <t>Tempo de Execução:728.006442segundos</t>
  </si>
  <si>
    <t>Tempo de Execução:735.611737segundos</t>
  </si>
  <si>
    <t>Tempo de Execução:737.212299segundos</t>
  </si>
  <si>
    <t>Tempo de Execução:739.94645segundos</t>
  </si>
  <si>
    <t>Tempo de Execução:746.426988segundos</t>
  </si>
  <si>
    <t>Tempo de Execução:748.578071segundos</t>
  </si>
  <si>
    <t>Tempo de Execução:754.011164segundos</t>
  </si>
  <si>
    <t>Tempo de Execução:757.707546segundos</t>
  </si>
  <si>
    <t>Tempo de Execução:761.202598segundos</t>
  </si>
  <si>
    <t>Tempo de Execução:761.703646segundos</t>
  </si>
  <si>
    <t>Tempo de Execução:762.776716segundos</t>
  </si>
  <si>
    <t>Tempo de Execução:764.436878segundos</t>
  </si>
  <si>
    <t>Tempo de Execução:765.604237segundos</t>
  </si>
  <si>
    <t>Tempo de Execução:766.401971segundos</t>
  </si>
  <si>
    <t>Tempo de Execução:771.636858segundos</t>
  </si>
  <si>
    <t>Tempo de Execução:781.404961segundos</t>
  </si>
  <si>
    <t>Tempo de Execução:781.813237segundos</t>
  </si>
  <si>
    <t>Tempo de Execução:786.008049segundos</t>
  </si>
  <si>
    <t>Tempo de Execução:786.424864segundos</t>
  </si>
  <si>
    <t>Tempo de Execução:787.1568segundos</t>
  </si>
  <si>
    <t>Tempo de Execução:787.70765segundos</t>
  </si>
  <si>
    <t>Tempo de Execução:788.12884segundos</t>
  </si>
  <si>
    <t>Tempo de Execução:790.596177segundos</t>
  </si>
  <si>
    <t>Tempo de Execução:794.751411segundos</t>
  </si>
  <si>
    <t>Tempo de Execução:797.41739segundos</t>
  </si>
  <si>
    <t>Tempo de Execução:801.695997segundos</t>
  </si>
  <si>
    <t>Tempo de Execução:802.16482segundos</t>
  </si>
  <si>
    <t>Tempo de Execução:802.577112segundos</t>
  </si>
  <si>
    <t>Tempo de Execução:803.631329segundos</t>
  </si>
  <si>
    <t>Tempo de Execução:804.274712segundos</t>
  </si>
  <si>
    <t>Tempo de Execução:804.97934segundos</t>
  </si>
  <si>
    <t>Tempo de Execução:812.61397segundos</t>
  </si>
  <si>
    <t>Tempo de Execução:818.382508segundos</t>
  </si>
  <si>
    <t>Tempo de Execução:826.307804segundos</t>
  </si>
  <si>
    <t>Tempo de Execução:828.246278segundos</t>
  </si>
  <si>
    <t>Tempo de Execução:829.150235segundos</t>
  </si>
  <si>
    <t>Tempo de Execução:834.096903segundos</t>
  </si>
  <si>
    <t>Tempo de Execução:834.505049segundos</t>
  </si>
  <si>
    <t>Tempo de Execução:834.94073segundos</t>
  </si>
  <si>
    <t>Tempo de Execução:837.254991segundos</t>
  </si>
  <si>
    <t>Tempo de Execução:849.352937segundos</t>
  </si>
  <si>
    <t>Tempo de Execução:851.053634segundos</t>
  </si>
  <si>
    <t>Tempo de Execução:852.522203segundos</t>
  </si>
  <si>
    <t>Tempo de Execução:854.277295segundos</t>
  </si>
  <si>
    <t>Tempo de Execução:858.231989segundos</t>
  </si>
  <si>
    <t>Tempo de Execução:867.974099segundos</t>
  </si>
  <si>
    <t>Tempo de Execução:868.447716segundos</t>
  </si>
  <si>
    <t>Tempo de Execução:869.647753segundos</t>
  </si>
  <si>
    <t>Tempo de Execução:877.993682segundos</t>
  </si>
  <si>
    <t>Tempo de Execução:880.364198segundos</t>
  </si>
  <si>
    <t>Tempo de Execução:880.809305segundos</t>
  </si>
  <si>
    <t>Tempo de Execução:883.594555segundos</t>
  </si>
  <si>
    <t>Tempo de Execução:888.427258segundos</t>
  </si>
  <si>
    <t>Tempo de Execução:888.829196segundos</t>
  </si>
  <si>
    <t>Tempo de Execução:893.616304segundos</t>
  </si>
  <si>
    <t>Tempo de Execução:894.760295segundos</t>
  </si>
  <si>
    <t>Tempo de Execução:896.398001segundos</t>
  </si>
  <si>
    <t>Tempo de Execução:899.407067segundos</t>
  </si>
  <si>
    <t>Tempo de Execução:906.110042segundos</t>
  </si>
  <si>
    <t>Tempo de Execução:911.253929segundos</t>
  </si>
  <si>
    <t>Tempo de Execução:912.302945segundos</t>
  </si>
  <si>
    <t>Tempo de Execução:914.324503segundos</t>
  </si>
  <si>
    <t>Tempo de Execução:915.333924segundos</t>
  </si>
  <si>
    <t>Tempo de Execução:916.899964segundos</t>
  </si>
  <si>
    <t>Tempo de Execução:917.33012segundos</t>
  </si>
  <si>
    <t>Tempo de Execução:917.73339segundos</t>
  </si>
  <si>
    <t>Tempo de Execução:922.265419segundos</t>
  </si>
  <si>
    <t>Tempo de Execução:927.158186segundos</t>
  </si>
  <si>
    <t>Tempo de Execução:928.398988segundos</t>
  </si>
  <si>
    <t>Tempo de Execução:928.801226segundos</t>
  </si>
  <si>
    <t>Tempo de Execução:929.219591segundos</t>
  </si>
  <si>
    <t>Tempo de Execução:930.89179segundos</t>
  </si>
  <si>
    <t>Tempo de Execução:933.433173segundos</t>
  </si>
  <si>
    <t>Tempo de Execução:938.661837segundos</t>
  </si>
  <si>
    <t>Tempo de Execução:939.096709segundos</t>
  </si>
  <si>
    <t>Tempo de Execução:942.941039segundos</t>
  </si>
  <si>
    <t>Tempo de Execução:946.784365segundos</t>
  </si>
  <si>
    <t>Tempo de Execução:948.821604segundos</t>
  </si>
  <si>
    <t>Tempo de Execução:953.04383segundos</t>
  </si>
  <si>
    <t>Tempo de Execução:953.59162segundos</t>
  </si>
  <si>
    <t>Tempo de Execução:954.24037segundos</t>
  </si>
  <si>
    <t>Tempo de Execução:959.057732segundos</t>
  </si>
  <si>
    <t>Tempo de Execução:962.030476segundos</t>
  </si>
  <si>
    <t>Tempo de Execução:969.2833segundos</t>
  </si>
  <si>
    <t>Tempo de Execução:975.014598segundos</t>
  </si>
  <si>
    <t>Tempo de Execução:976.637538segundos</t>
  </si>
  <si>
    <t>Tempo de Execução:980.612404segundos</t>
  </si>
  <si>
    <t>Tempo de Execução:983.395928segundos</t>
  </si>
  <si>
    <t>Tempo de Execução:989.087481segundos</t>
  </si>
  <si>
    <t>Tempo de Execução:993.280903segundos</t>
  </si>
  <si>
    <t>Tempo de Execução:1003.081947segundos</t>
  </si>
  <si>
    <t>Tempo de Execução:1003.508625segundos</t>
  </si>
  <si>
    <t>Tempo de Execução:1003.949974segundos</t>
  </si>
  <si>
    <t>Tempo de Execução:1006.437349segundos</t>
  </si>
  <si>
    <t>Tempo de Execução:1006.854945segundos</t>
  </si>
  <si>
    <t>Tempo de Execução:1011.047061segundos</t>
  </si>
  <si>
    <t>Tempo de Execução:1011.469309segundos</t>
  </si>
  <si>
    <t>Tempo de Execução:1015.210315segundos</t>
  </si>
  <si>
    <t>Tempo de Execução:1017.217743segundos</t>
  </si>
  <si>
    <t>Tempo de Execução:1019.062317segundos</t>
  </si>
  <si>
    <t>Tempo de Execução:1019.783841segundos</t>
  </si>
  <si>
    <t>Tempo de Execução:1020.288807segundos</t>
  </si>
  <si>
    <t>Tempo de Execução:1022.942351segundos</t>
  </si>
  <si>
    <t>Tempo de Execução:1029.447715segundos</t>
  </si>
  <si>
    <t>Tempo de Execução:1032.314729segundos</t>
  </si>
  <si>
    <t>Tempo de Execução:1032.797253segundos</t>
  </si>
  <si>
    <t>Tempo de Execução:1033.787024segundos</t>
  </si>
  <si>
    <t>Tempo de Execução:1037.861199segundos</t>
  </si>
  <si>
    <t>Tempo de Execução:1039.003128segundos</t>
  </si>
  <si>
    <t>Tempo de Execução:1039.418273segundos</t>
  </si>
  <si>
    <t>Tempo de Execução:1040.402197segundos</t>
  </si>
  <si>
    <t>Tempo de Execução:1041.734751segundos</t>
  </si>
  <si>
    <t>Tempo de Execução:1042.229857segundos</t>
  </si>
  <si>
    <t>Tempo de Execução:1043.553746segundos</t>
  </si>
  <si>
    <t>Tempo de Execução:1049.584079segundos</t>
  </si>
  <si>
    <t>Tempo de Execução:1049.997973segundos</t>
  </si>
  <si>
    <t>Tempo de Execução:1052.353693segundos</t>
  </si>
  <si>
    <t>Tempo de Execução:1055.17913segundos</t>
  </si>
  <si>
    <t>Tempo de Execução:1058.487401segundos</t>
  </si>
  <si>
    <t>Tempo de Execução:1063.317964segundos</t>
  </si>
  <si>
    <t>Tempo de Execução:1065.340252segundos</t>
  </si>
  <si>
    <t>Tempo de Execução:1068.73556segundos</t>
  </si>
  <si>
    <t>Tempo de Execução:1072.640382segundos</t>
  </si>
  <si>
    <t>Tempo de Execução:1075.896742segundos</t>
  </si>
  <si>
    <t>Tempo de Execução:1078.347199segundos</t>
  </si>
  <si>
    <t>Tempo de Execução:1081.211735segundos</t>
  </si>
  <si>
    <t>Tempo de Execução:1084.676623segundos</t>
  </si>
  <si>
    <t>Tempo de Execução:1086.027099segundos</t>
  </si>
  <si>
    <t>Tempo de Execução:1089.173155segundos</t>
  </si>
  <si>
    <t>Tempo de Execução:1090.863426segundos</t>
  </si>
  <si>
    <t>Tempo de Execução:1095.684658segundos</t>
  </si>
  <si>
    <t>Tempo de Execução:1100.659296segundos</t>
  </si>
  <si>
    <t>Tempo de Execução:1111.062573segundos</t>
  </si>
  <si>
    <t>Tempo de Execução:1111.785429segundos</t>
  </si>
  <si>
    <t>Tempo de Execução:1113.597931segundos</t>
  </si>
  <si>
    <t>Tempo de Execução:1118.020352segundos</t>
  </si>
  <si>
    <t>Tempo de Execução:1124.554982segundos</t>
  </si>
  <si>
    <t>Tempo de Execução:1140.883043segundos</t>
  </si>
  <si>
    <t>Tempo de Execução:1141.297317segundos</t>
  </si>
  <si>
    <t>Tempo de Execução:1141.764973segundos</t>
  </si>
  <si>
    <t>Tempo de Execução:1144.232995segundos</t>
  </si>
  <si>
    <t>Tempo de Execução:1144.690078segundos</t>
  </si>
  <si>
    <t>Tempo de Execução:1157.328741segundos</t>
  </si>
  <si>
    <t>Tempo de Execução:1159.664915segundos</t>
  </si>
  <si>
    <t>Tempo de Execução:1160.876723segundos</t>
  </si>
  <si>
    <t>Tempo de Execução:1161.669207segundos</t>
  </si>
  <si>
    <t>Tempo de Execução:1162.518804segundos</t>
  </si>
  <si>
    <t>Tempo de Execução:1166.675829segundos</t>
  </si>
  <si>
    <t>Tempo de Execução:1167.091266segundos</t>
  </si>
  <si>
    <t>Tempo de Execução:1170.656624segundos</t>
  </si>
  <si>
    <t>Tempo de Execução:1173.710734segundos</t>
  </si>
  <si>
    <t>Tempo de Execução:1176.187495segundos</t>
  </si>
  <si>
    <t>Tempo de Execução:1182.180709segundos</t>
  </si>
  <si>
    <t>Tempo de Execução:1182.585943segundos</t>
  </si>
  <si>
    <t>Tempo de Execução:1186.805484segundos</t>
  </si>
  <si>
    <t>Tempo de Execução:1192.162568segundos</t>
  </si>
  <si>
    <t>Tempo de Execução:1194.623647segundos</t>
  </si>
  <si>
    <t>Tempo de Execução:1196.902993segundos</t>
  </si>
  <si>
    <t>Tempo de Execução:1201.549333segundos</t>
  </si>
  <si>
    <t>Tempo de Execução:1201.974122segundos</t>
  </si>
  <si>
    <t>Tempo de Execução:1202.735778segundos</t>
  </si>
  <si>
    <t>Tempo de Execução:1203.170453segundos</t>
  </si>
  <si>
    <t>Tempo de Execução:1210.123524segundos</t>
  </si>
  <si>
    <t>Tempo de Execução:1212.745549segundos</t>
  </si>
  <si>
    <t>Tempo de Execução:1215.281087segundos</t>
  </si>
  <si>
    <t>Tempo de Execução:1215.790574segundos</t>
  </si>
  <si>
    <t>Tempo de Execução:1216.562758segundos</t>
  </si>
  <si>
    <t>Tempo de Execução:1217.05988segundos</t>
  </si>
  <si>
    <t>Tempo de Execução:1219.471162segundos</t>
  </si>
  <si>
    <t>Tempo de Execução:1227.151245segundos</t>
  </si>
  <si>
    <t>Tempo de Execução:1227.828811segundos</t>
  </si>
  <si>
    <t>Tempo de Execução:1232.864497segundos</t>
  </si>
  <si>
    <t>Tempo de Execução:1235.085673segundos</t>
  </si>
  <si>
    <t>Tempo de Execução:1237.537304segundos</t>
  </si>
  <si>
    <t>Tempo de Execução:1237.960619segundos</t>
  </si>
  <si>
    <t>Tempo de Execução:1242.791145segundos</t>
  </si>
  <si>
    <t>Tempo de Execução:1245.218937segundos</t>
  </si>
  <si>
    <t>Tempo de Execução:1254.060041segundos</t>
  </si>
  <si>
    <t>Tempo de Execução:1254.467709segundos</t>
  </si>
  <si>
    <t>Tempo de Execução:1255.832722segundos</t>
  </si>
  <si>
    <t>Tempo de Execução:1258.380349segundos</t>
  </si>
  <si>
    <t>Tempo de Execução:1258.818361segundos</t>
  </si>
  <si>
    <t>Tempo de Execução:1260.857991segundos</t>
  </si>
  <si>
    <t>Tempo de Execução:1262.132628segundos</t>
  </si>
  <si>
    <t>Tempo de Execução:1265.315906segundos</t>
  </si>
  <si>
    <t>Tempo de Execução:1273.15815segundos</t>
  </si>
  <si>
    <t>Tempo de Execução:1277.846477segundos</t>
  </si>
  <si>
    <t>Tempo de Execução:1280.226437segundos</t>
  </si>
  <si>
    <t>Tempo de Execução:1280.633712segundos</t>
  </si>
  <si>
    <t>Tempo de Execução:1282.909163segundos</t>
  </si>
  <si>
    <t>Tempo de Execução:1287.332959segundos</t>
  </si>
  <si>
    <t>Tempo de Execução:1294.095671segundos</t>
  </si>
  <si>
    <t>Tempo de Execução:1297.03048segundos</t>
  </si>
  <si>
    <t>Tempo de Execução:1303.801086segundos</t>
  </si>
  <si>
    <t>Tempo de Execução:1308.069804segundos</t>
  </si>
  <si>
    <t>Tempo de Execução:1318.427724segundos</t>
  </si>
  <si>
    <t>Tempo de Execução:1326.234362segundos</t>
  </si>
  <si>
    <t>Tempo de Execução:1326.694337segundos</t>
  </si>
  <si>
    <t>Tempo de Execução:1327.110981segundos</t>
  </si>
  <si>
    <t>Tempo de Execução:1334.392746segundos</t>
  </si>
  <si>
    <t>Tempo de Execução:1334.849264segundos</t>
  </si>
  <si>
    <t>Tempo de Execução:1337.005025segundos</t>
  </si>
  <si>
    <t>Tempo de Execução:1337.440838segundos</t>
  </si>
  <si>
    <t>Tempo de Execução:1339.992087segundos</t>
  </si>
  <si>
    <t>Tempo de Execução:1342.000595segundos</t>
  </si>
  <si>
    <t>Tempo de Execução:1342.749993segundos</t>
  </si>
  <si>
    <t>Tempo de Execução:1348.313549segundos</t>
  </si>
  <si>
    <t>Tempo de Execução:1350.104733segundos</t>
  </si>
  <si>
    <t>Tempo de Execução:1350.514485segundos</t>
  </si>
  <si>
    <t>Tempo de Execução:1355.068764segundos</t>
  </si>
  <si>
    <t>Tempo de Execução:1355.628864segundos</t>
  </si>
  <si>
    <t>Tempo de Execução:1358.330236segundos</t>
  </si>
  <si>
    <t>Tempo de Execução:1360.745176segundos</t>
  </si>
  <si>
    <t>Tempo de Execução:1362.461404segundos</t>
  </si>
  <si>
    <t>Tempo de Execução:1366.53557segundos</t>
  </si>
  <si>
    <t>Tempo de Execução:1366.972816segundos</t>
  </si>
  <si>
    <t>Tempo de Execução:1368.181212segundos</t>
  </si>
  <si>
    <t>Tempo de Execução:1368.610655segundos</t>
  </si>
  <si>
    <t>Tempo de Execução:1387.222321segundos</t>
  </si>
  <si>
    <t>Tempo de Execução:1388.544279segundos</t>
  </si>
  <si>
    <t>Tempo de Execução:1392.511071segundos</t>
  </si>
  <si>
    <t>Tempo de Execução:1393.551014segundos</t>
  </si>
  <si>
    <t>Tempo de Execução:1396.454101segundos</t>
  </si>
  <si>
    <t>Tempo de Execução:1396.897869segundos</t>
  </si>
  <si>
    <t>Tempo de Execução:1397.335868segundos</t>
  </si>
  <si>
    <t>Tempo de Execução:1397.769651segundos</t>
  </si>
  <si>
    <t>Tempo de Execução:1398.359472segundos</t>
  </si>
  <si>
    <t>Tempo de Execução:1400.75385segundos</t>
  </si>
  <si>
    <t>Tempo de Execução:1403.815537segundos</t>
  </si>
  <si>
    <t>Tempo de Execução:1405.525547segundos</t>
  </si>
  <si>
    <t>Tempo de Execução:1406.721681segundos</t>
  </si>
  <si>
    <t>Tempo de Execução:1407.932935segundos</t>
  </si>
  <si>
    <t>Tempo de Execução:1412.29242segundos</t>
  </si>
  <si>
    <t>Tempo de Execução:1417.924123segundos</t>
  </si>
  <si>
    <t>{"valorA":"microondas","valorB":164}</t>
  </si>
  <si>
    <t>{"valorA":"microondas","valorB":165}</t>
  </si>
  <si>
    <t>{"valorA":"microondas","valorB":166}</t>
  </si>
  <si>
    <t>{"valorA":"microondas","valorB":167}</t>
  </si>
  <si>
    <t>{"valorA":"microondas","valorB":168}</t>
  </si>
  <si>
    <t>{"valorA":"microondas","valorB":169}</t>
  </si>
  <si>
    <t>{"valorA":"microondas","valorB":170}</t>
  </si>
  <si>
    <t>{"valorA":"microondas","valorB":171}</t>
  </si>
  <si>
    <t>{"valorA":"microondas","valorB":172}</t>
  </si>
  <si>
    <t>{"valorA":"microondas","valorB":173}</t>
  </si>
  <si>
    <t>{"valorA":"microondas","valorB":174}</t>
  </si>
  <si>
    <t>{"valorA":"microondas","valorB":175}</t>
  </si>
  <si>
    <t>{"valorA":"microondas","valorB":176}</t>
  </si>
  <si>
    <t>{"valorA":"microondas","valorB":177}</t>
  </si>
  <si>
    <t>{"valorA":"microondas","valorB":178}</t>
  </si>
  <si>
    <t>3 colunas</t>
  </si>
  <si>
    <t>Tempo de Execução:33.700117segundos</t>
  </si>
  <si>
    <t>Tempo de Execução:33.822944segundos</t>
  </si>
  <si>
    <t>Tempo de Execução:33.927843segundos</t>
  </si>
  <si>
    <t>Tempo de Execução:34.014175segundos</t>
  </si>
  <si>
    <t>Tempo de Execução:34.098293segundos</t>
  </si>
  <si>
    <t>Tempo de Execução:34.175116segundos</t>
  </si>
  <si>
    <t>Tempo de Execução:34.257531segundos</t>
  </si>
  <si>
    <t>Tempo de Execução:34.336696segundos</t>
  </si>
  <si>
    <t>Tempo de Execução:34.423752segundos</t>
  </si>
  <si>
    <t>Tempo de Execução:34.542313segundos</t>
  </si>
  <si>
    <t>Tempo de Execução:34.646681segundos</t>
  </si>
  <si>
    <t>Tempo de Execução:34.741599segundos</t>
  </si>
  <si>
    <t>Tempo de Execução:34.843205segundos</t>
  </si>
  <si>
    <t>Tempo de Execução:34.933766segundos</t>
  </si>
  <si>
    <t>Tempo de Execução:35.05434segundos</t>
  </si>
  <si>
    <t>Tempo de Execução:35.164674segundos</t>
  </si>
  <si>
    <t>Tempo de Execução:35.264064segundos</t>
  </si>
  <si>
    <t>Tempo de Execução:35.35481segundos</t>
  </si>
  <si>
    <t>Tempo de Execução:35.458253segundos</t>
  </si>
  <si>
    <t>Tempo de Execução:35.577557segundos</t>
  </si>
  <si>
    <t>Tempo de Execução:35.680699segundos</t>
  </si>
  <si>
    <t>Tempo de Execução:35.770263segundos</t>
  </si>
  <si>
    <t>Tempo de Execução:35.884859segundos</t>
  </si>
  <si>
    <t>Tempo de Execução:35.983208segundos</t>
  </si>
  <si>
    <t>Tempo de Execução:36.093276segundos</t>
  </si>
  <si>
    <t>Tempo de Execução:36.164579segundos</t>
  </si>
  <si>
    <t>Tempo de Execução:36.251242segundos</t>
  </si>
  <si>
    <t>Tempo de Execução:36.351661segundos</t>
  </si>
  <si>
    <t>Tempo de Execução:36.440711segundos</t>
  </si>
  <si>
    <t>Tempo de Execução:36.532951segundos</t>
  </si>
  <si>
    <t>Tempo de Execução:36.630521segundos</t>
  </si>
  <si>
    <t>Tempo de Execução:36.95447segundos</t>
  </si>
  <si>
    <t>Tempo de Execução:37.495392segundos</t>
  </si>
  <si>
    <t>Tempo de Execução:38.033481segundos</t>
  </si>
  <si>
    <t>Tempo de Execução:38.472208segundos</t>
  </si>
  <si>
    <t>Tempo de Execução:39.021264segundos</t>
  </si>
  <si>
    <t>Tempo de Execução:39.559761segundos</t>
  </si>
  <si>
    <t>Tempo de Execução:39.993105segundos</t>
  </si>
  <si>
    <t>Tempo de Execução:40.536909segundos</t>
  </si>
  <si>
    <t>Tempo de Execução:41.084404segundos</t>
  </si>
  <si>
    <t>Tempo de Execução:41.516885segundos</t>
  </si>
  <si>
    <t>Tempo de Execução:42.063278segundos</t>
  </si>
  <si>
    <t>Tempo de Execução:42.61079segundos</t>
  </si>
  <si>
    <t>Tempo de Execução:43.033898segundos</t>
  </si>
  <si>
    <t>Tempo de Execução:43.576635segundos</t>
  </si>
  <si>
    <t>Tempo de Execução:44.123234segundos</t>
  </si>
  <si>
    <t>Tempo de Execução:44.556123segundos</t>
  </si>
  <si>
    <t>Tempo de Execução:45.0988segundos</t>
  </si>
  <si>
    <t>Tempo de Execução:45.643226segundos</t>
  </si>
  <si>
    <t>Tempo de Execução:46.078138segundos</t>
  </si>
  <si>
    <t>Tempo de Execução:46.622771segundos</t>
  </si>
  <si>
    <t>Tempo de Execução:47.175639segundos</t>
  </si>
  <si>
    <t>Tempo de Execução:47.602432segundos</t>
  </si>
  <si>
    <t>Tempo de Execução:48.148309segundos</t>
  </si>
  <si>
    <t>Tempo de Execução:48.683698segundos</t>
  </si>
  <si>
    <t>Tempo de Execução:49.117876segundos</t>
  </si>
  <si>
    <t>Tempo de Execução:49.660539segundos</t>
  </si>
  <si>
    <t>Tempo de Execução:50.203833segundos</t>
  </si>
  <si>
    <t>Tempo de Execução:50.639453segundos</t>
  </si>
  <si>
    <t>Tempo de Execução:51.181889segundos</t>
  </si>
  <si>
    <t>Tempo de Execução:51.724305segundos</t>
  </si>
  <si>
    <t>Tempo de Execução:52.157122segundos</t>
  </si>
  <si>
    <t>Tempo de Execução:52.704267segundos</t>
  </si>
  <si>
    <t>Tempo de Execução:53.257816segundos</t>
  </si>
  <si>
    <t>Tempo de Execução:53.681373segundos</t>
  </si>
  <si>
    <t>Tempo de Execução:54.223136segundos</t>
  </si>
  <si>
    <t>Tempo de Execução:54.76453segundos</t>
  </si>
  <si>
    <t>Tempo de Execução:55.202831segundos</t>
  </si>
  <si>
    <t>Tempo de Execução:55.749979segundos</t>
  </si>
  <si>
    <t>Tempo de Execução:56.285424segundos</t>
  </si>
  <si>
    <t>Tempo de Execução:56.719268segundos</t>
  </si>
  <si>
    <t>Tempo de Execução:57.262275segundos</t>
  </si>
  <si>
    <t>Tempo de Execução:57.811592segundos</t>
  </si>
  <si>
    <t>Tempo de Execução:58.241518segundos</t>
  </si>
  <si>
    <t>Tempo de Execução:58.787614segundos</t>
  </si>
  <si>
    <t>Tempo de Execução:59.222283segundos</t>
  </si>
  <si>
    <t>Tempo de Execução:59.767201segundos</t>
  </si>
  <si>
    <t>Tempo de Execução:60.308252segundos</t>
  </si>
  <si>
    <t>Tempo de Execução:60.743712segundos</t>
  </si>
  <si>
    <t>Tempo de Execução:61.285153segundos</t>
  </si>
  <si>
    <t>Tempo de Execução:61.826771segundos</t>
  </si>
  <si>
    <t>Tempo de Execução:62.257856segundos</t>
  </si>
  <si>
    <t>Tempo de Execução:62.804199segundos</t>
  </si>
  <si>
    <t>Tempo de Execução:63.351105segundos</t>
  </si>
  <si>
    <t>Tempo de Execução:63.782589segundos</t>
  </si>
  <si>
    <t>Tempo de Execução:64.324109segundos</t>
  </si>
  <si>
    <t>Tempo de Execução:64.86451segundos</t>
  </si>
  <si>
    <t>Tempo de Execução:65.302227segundos</t>
  </si>
  <si>
    <t>Tempo de Execução:65.844671segundos</t>
  </si>
  <si>
    <t>Tempo de Execução:66.395375segundos</t>
  </si>
  <si>
    <t>Tempo de Execução:66.823542segundos</t>
  </si>
  <si>
    <t>Tempo de Execução:67.367008segundos</t>
  </si>
  <si>
    <t>Tempo de Execução:67.91021segundos</t>
  </si>
  <si>
    <t>Tempo de Execução:68.348541segundos</t>
  </si>
  <si>
    <t>Tempo de Execução:68.893257segundos</t>
  </si>
  <si>
    <t>Tempo de Execução:69.437777segundos</t>
  </si>
  <si>
    <t>Tempo de Execução:69.870783segundos</t>
  </si>
  <si>
    <t>Tempo de Execução:70.41287segundos</t>
  </si>
  <si>
    <t>Tempo de Execução:70.84429segundos</t>
  </si>
  <si>
    <t>Tempo de Execução:71.388719segundos</t>
  </si>
  <si>
    <t>Tempo de Execução:71.934413segundos</t>
  </si>
  <si>
    <t>Tempo de Execução:72.373135segundos</t>
  </si>
  <si>
    <t>Tempo de Execução:72.909094segundos</t>
  </si>
  <si>
    <t>Tempo de Execução:73.456205segundos</t>
  </si>
  <si>
    <t>Tempo de Execução:73.887692segundos</t>
  </si>
  <si>
    <t>Tempo de Execução:74.433119segundos</t>
  </si>
  <si>
    <t>Tempo de Execução:74.975414segundos</t>
  </si>
  <si>
    <t>Tempo de Execução:75.411272segundos</t>
  </si>
  <si>
    <t>Tempo de Execução:75.954455segundos</t>
  </si>
  <si>
    <t>Tempo de Execução:76.49716segundos</t>
  </si>
  <si>
    <t>Tempo de Execução:76.932115segundos</t>
  </si>
  <si>
    <t>Tempo de Execução:77.479646segundos</t>
  </si>
  <si>
    <t>Tempo de Execução:78.021101segundos</t>
  </si>
  <si>
    <t>Tempo de Execução:78.457987segundos</t>
  </si>
  <si>
    <t>Tempo de Execução:79.000772segundos</t>
  </si>
  <si>
    <t>Tempo de Execução:79.551738segundos</t>
  </si>
  <si>
    <t>Tempo de Execução:79.982821segundos</t>
  </si>
  <si>
    <t>Tempo de Execução:80.524442segundos</t>
  </si>
  <si>
    <t>Tempo de Execução:81.068179segundos</t>
  </si>
  <si>
    <t>Tempo de Execução:81.505773segundos</t>
  </si>
  <si>
    <t>Tempo de Execução:82.052915segundos</t>
  </si>
  <si>
    <t>Tempo de Execução:82.488394segundos</t>
  </si>
  <si>
    <t>Tempo de Execução:83.030839segundos</t>
  </si>
  <si>
    <t>Tempo de Execução:83.575055segundos</t>
  </si>
  <si>
    <t>Tempo de Execução:84.011218segundos</t>
  </si>
  <si>
    <t>Tempo de Execução:84.552861segundos</t>
  </si>
  <si>
    <t>Tempo de Execução:85.099869segundos</t>
  </si>
  <si>
    <t>Tempo de Execução:85.534568segundos</t>
  </si>
  <si>
    <t>Tempo de Execução:86.079876segundos</t>
  </si>
  <si>
    <t>Tempo de Execução:86.625148segundos</t>
  </si>
  <si>
    <t>Tempo de Execução:87.06736segundos</t>
  </si>
  <si>
    <t>Tempo de Execução:87.604757segundos</t>
  </si>
  <si>
    <t>Tempo de Execução:88.040359segundos</t>
  </si>
  <si>
    <t>Tempo de Execução:88.585309segundos</t>
  </si>
  <si>
    <t>Tempo de Execução:89.126165segundos</t>
  </si>
  <si>
    <t>Tempo de Execução:89.556067segundos</t>
  </si>
  <si>
    <t>Tempo de Execução:90.099143segundos</t>
  </si>
  <si>
    <t>Tempo de Execução:90.644045segundos</t>
  </si>
  <si>
    <t>Tempo de Execução:91.078722segundos</t>
  </si>
  <si>
    <t>Tempo de Execução:91.621443segundos</t>
  </si>
  <si>
    <t>Tempo de Execução:92.165921segundos</t>
  </si>
  <si>
    <t>Tempo de Execução:92.601647segundos</t>
  </si>
  <si>
    <t>Tempo de Execução:93.143309segundos</t>
  </si>
  <si>
    <t>Tempo de Execução:93.68667segundos</t>
  </si>
  <si>
    <t>Tempo de Execução:94.121996segundos</t>
  </si>
  <si>
    <t>Tempo de Execução:94.667096segundos</t>
  </si>
  <si>
    <t>Tempo de Execução:95.216174segundos</t>
  </si>
  <si>
    <t>Tempo de Execução:95.646371segundos</t>
  </si>
  <si>
    <t>Tempo de Execução:96.190282segundos</t>
  </si>
  <si>
    <t>Tempo de Execução:96.733384segundos</t>
  </si>
  <si>
    <t>Tempo de Execução:97.169152segundos</t>
  </si>
  <si>
    <t>Tempo de Execução:97.709967segundos</t>
  </si>
  <si>
    <t>Tempo de Execução:98.256003segundos</t>
  </si>
  <si>
    <t>Tempo de Execução:98.691367segundos</t>
  </si>
  <si>
    <t>Tempo de Execução:99.241417segundos</t>
  </si>
  <si>
    <t>Tempo de Execução:99.674955segundos</t>
  </si>
  <si>
    <t>Tempo de Execução:100.217408segundos</t>
  </si>
  <si>
    <t>Tempo de Execução:100.762197segundos</t>
  </si>
  <si>
    <t>Tempo de Execução:101.198883segundos</t>
  </si>
  <si>
    <t>Tempo de Execução:101.739687segundos</t>
  </si>
  <si>
    <t>Tempo de Execução:102.28434segundos</t>
  </si>
  <si>
    <t>Tempo de Execução:102.714804segundos</t>
  </si>
  <si>
    <t>Tempo de Execução:103.258483segundos</t>
  </si>
  <si>
    <t>Tempo de Execução:103.804374segundos</t>
  </si>
  <si>
    <t>Tempo de Execução:104.238359segundos</t>
  </si>
  <si>
    <t>Tempo de Execução:104.783967segundos</t>
  </si>
  <si>
    <t>Tempo de Execução:105.331424segundos</t>
  </si>
  <si>
    <t>Tempo de Execução:105.766608segundos</t>
  </si>
  <si>
    <t>Tempo de Execução:106.306439segundos</t>
  </si>
  <si>
    <t>Tempo de Execução:106.852856segundos</t>
  </si>
  <si>
    <t>Tempo de Execução:107.289477segundos</t>
  </si>
  <si>
    <t>Tempo de Execução:107.831629segundos</t>
  </si>
  <si>
    <t>Tempo de Execução:108.375691segundos</t>
  </si>
  <si>
    <t>Tempo de Execução:108.81023segundos</t>
  </si>
  <si>
    <t>Tempo de Execução:109.355138segundos</t>
  </si>
  <si>
    <t>Tempo de Execução:109.894367segundos</t>
  </si>
  <si>
    <t>Tempo de Execução:110.333186segundos</t>
  </si>
  <si>
    <t>Tempo de Execução:110.873057segundos</t>
  </si>
  <si>
    <t>Tempo de Execução:111.417274segundos</t>
  </si>
  <si>
    <t>Tempo de Execução:111.863471segundos</t>
  </si>
  <si>
    <t>Tempo de Execução:112.401693segundos</t>
  </si>
  <si>
    <t>Tempo de Execução:112.837313segundos</t>
  </si>
  <si>
    <t>Tempo de Execução:113.385026segundos</t>
  </si>
  <si>
    <t>Tempo de Execução:113.931309segundos</t>
  </si>
  <si>
    <t>Tempo de Execução:114.36351segundos</t>
  </si>
  <si>
    <t>Tempo de Execução:114.911091segundos</t>
  </si>
  <si>
    <t>Tempo de Execução:115.454088segundos</t>
  </si>
  <si>
    <t>Tempo de Execução:115.891316segundos</t>
  </si>
  <si>
    <t>Tempo de Execução:116.434367segundos</t>
  </si>
  <si>
    <t>Tempo de Execução:116.977678segundos</t>
  </si>
  <si>
    <t>Tempo de Execução:117.414831segundos</t>
  </si>
  <si>
    <t>Tempo de Execução:117.95998segundos</t>
  </si>
  <si>
    <t>Tempo de Execução:118.507782segundos</t>
  </si>
  <si>
    <t>Tempo de Execução:118.943861segundos</t>
  </si>
  <si>
    <t>Tempo de Execução:119.486791segundos</t>
  </si>
  <si>
    <t>Tempo de Execução:119.920732segundos</t>
  </si>
  <si>
    <t>Tempo de Execução:120.465784segundos</t>
  </si>
  <si>
    <t>Tempo de Execução:121.010056segundos</t>
  </si>
  <si>
    <t>Tempo de Execução:121.442003segundos</t>
  </si>
  <si>
    <t>Tempo de Execução:121.985819segundos</t>
  </si>
  <si>
    <t>Tempo de Execução:122.534088segundos</t>
  </si>
  <si>
    <t>Tempo de Execução:122.967269segundos</t>
  </si>
  <si>
    <t>Tempo de Execução:123.513022segundos</t>
  </si>
  <si>
    <t>Tempo de Execução:124.058454segundos</t>
  </si>
  <si>
    <t>Tempo de Execução:124.491009segundos</t>
  </si>
  <si>
    <t>Tempo de Execução:125.038029segundos</t>
  </si>
  <si>
    <t>Tempo de Execução:125.578509segundos</t>
  </si>
  <si>
    <t>Tempo de Execução:126.014581segundos</t>
  </si>
  <si>
    <t>Tempo de Execução:126.55963segundos</t>
  </si>
  <si>
    <t>Tempo de Execução:126.991501segundos</t>
  </si>
  <si>
    <t>Tempo de Execução:127.535633segundos</t>
  </si>
  <si>
    <t>Tempo de Execução:128.080463segundos</t>
  </si>
  <si>
    <t>Tempo de Execução:128.518971segundos</t>
  </si>
  <si>
    <t>Tempo de Execução:129.06607segundos</t>
  </si>
  <si>
    <t>Tempo de Execução:129.607783segundos</t>
  </si>
  <si>
    <t>Tempo de Execução:130.040653segundos</t>
  </si>
  <si>
    <t>Tempo de Execução:130.586219segundos</t>
  </si>
  <si>
    <t>Tempo de Execução:131.133256segundos</t>
  </si>
  <si>
    <t>Tempo de Execução:131.566402segundos</t>
  </si>
  <si>
    <t>Tempo de Execução:132.111339segundos</t>
  </si>
  <si>
    <t>Tempo de Execução:132.654744segundos</t>
  </si>
  <si>
    <t>Tempo de Execução:133.092582segundos</t>
  </si>
  <si>
    <t>Tempo de Execução:133.632895segundos</t>
  </si>
  <si>
    <t>Tempo de Execução:134.173641segundos</t>
  </si>
  <si>
    <t>Tempo de Execução:134.60724segundos</t>
  </si>
  <si>
    <t>Tempo de Execução:135.152854segundos</t>
  </si>
  <si>
    <t>Tempo de Execução:135.697379segundos</t>
  </si>
  <si>
    <t>Tempo de Execução:136.131192segundos</t>
  </si>
  <si>
    <t>Tempo de Execução:136.675233segundos</t>
  </si>
  <si>
    <t>Tempo de Execução:137.109648segundos</t>
  </si>
  <si>
    <t>Tempo de Execução:137.654125segundos</t>
  </si>
  <si>
    <t>Tempo de Execução:138.205057segundos</t>
  </si>
  <si>
    <t>Tempo de Execução:138.638335segundos</t>
  </si>
  <si>
    <t>Tempo de Execução:139.179976segundos</t>
  </si>
  <si>
    <t>Tempo de Execução:139.727409segundos</t>
  </si>
  <si>
    <t>Tempo de Execução:140.160478segundos</t>
  </si>
  <si>
    <t>Tempo de Execução:140.704997segundos</t>
  </si>
  <si>
    <t>Tempo de Execução:141.257694segundos</t>
  </si>
  <si>
    <t>Tempo de Execução:141.68708segundos</t>
  </si>
  <si>
    <t>Tempo de Execução:142.230595segundos</t>
  </si>
  <si>
    <t>Tempo de Execução:142.663888segundos</t>
  </si>
  <si>
    <t>Tempo de Execução:143.208755segundos</t>
  </si>
  <si>
    <t>Tempo de Execução:143.761299segundos</t>
  </si>
  <si>
    <t>Tempo de Execução:144.19034segundos</t>
  </si>
  <si>
    <t>Tempo de Execução:144.735284segundos</t>
  </si>
  <si>
    <t>Tempo de Execução:145.281327segundos</t>
  </si>
  <si>
    <t>Tempo de Execução:145.716205segundos</t>
  </si>
  <si>
    <t>Tempo de Execução:146.264321segundos</t>
  </si>
  <si>
    <t>Tempo de Execução:146.806969segundos</t>
  </si>
  <si>
    <t>Tempo de Execução:147.244137segundos</t>
  </si>
  <si>
    <t>Tempo de Execução:147.789283segundos</t>
  </si>
  <si>
    <t>Tempo de Execução:148.328268segundos</t>
  </si>
  <si>
    <t>Tempo de Execução:148.762489segundos</t>
  </si>
  <si>
    <t>Tempo de Execução:149.306103segundos</t>
  </si>
  <si>
    <t>Tempo de Execução:149.84826segundos</t>
  </si>
  <si>
    <t>Tempo de Execução:150.295071segundos</t>
  </si>
  <si>
    <t>Tempo de Execução:150.830098segundos</t>
  </si>
  <si>
    <t>Tempo de Execução:151.265047segundos</t>
  </si>
  <si>
    <t>Tempo de Execução:151.809959segundos</t>
  </si>
  <si>
    <t>Tempo de Execução:152.353135segundos</t>
  </si>
  <si>
    <t>Tempo de Execução:152.790757segundos</t>
  </si>
  <si>
    <t>Tempo de Execução:153.334231segundos</t>
  </si>
  <si>
    <t>Tempo de Execução:153.879725segundos</t>
  </si>
  <si>
    <t>Tempo de Execução:154.314151segundos</t>
  </si>
  <si>
    <t>Tempo de Execução:154.85433segundos</t>
  </si>
  <si>
    <t>Tempo de Execução:155.398525segundos</t>
  </si>
  <si>
    <t>Tempo de Execução:155.834526segundos</t>
  </si>
  <si>
    <t>Tempo de Execução:156.380142segundos</t>
  </si>
  <si>
    <t>Tempo de Execução:156.817949segundos</t>
  </si>
  <si>
    <t>Tempo de Execução:157.358855segundos</t>
  </si>
  <si>
    <t>Tempo de Execução:157.917556segundos</t>
  </si>
  <si>
    <t>Tempo de Execução:158.445454segundos</t>
  </si>
  <si>
    <t>Tempo de Execução:159.169422segundos</t>
  </si>
  <si>
    <t>Tempo de Execução:159.422754segundos</t>
  </si>
  <si>
    <t>Tempo de Execução:159.964947segundos</t>
  </si>
  <si>
    <t>Tempo de Execução:160.401127segundos</t>
  </si>
  <si>
    <t>Tempo de Execução:160.942759segundos</t>
  </si>
  <si>
    <t>Tempo de Execução:161.502219segundos</t>
  </si>
  <si>
    <t>Tempo de Execução:161.917921segundos</t>
  </si>
  <si>
    <t>Tempo de Execução:162.463778segundos</t>
  </si>
  <si>
    <t>Tempo de Execução:162.899778segundos</t>
  </si>
  <si>
    <t>Tempo de Execução:163.444669segundos</t>
  </si>
  <si>
    <t>Tempo de Execução:163.988888segundos</t>
  </si>
  <si>
    <t>Tempo de Execução:164.438401segundos</t>
  </si>
  <si>
    <t>Tempo de Execução:165.017007segundos</t>
  </si>
  <si>
    <t>Tempo de Execução:165.505223segundos</t>
  </si>
  <si>
    <t>Tempo de Execução:165.944077segundos</t>
  </si>
  <si>
    <t>Tempo de Execução:166.488855segundos</t>
  </si>
  <si>
    <t>Tempo de Execução:167.035506segundos</t>
  </si>
  <si>
    <t>Tempo de Execução:167.4701segundos</t>
  </si>
  <si>
    <t>Tempo de Execução:168.01716segundos</t>
  </si>
  <si>
    <t>Tempo de Execução:168.562303segundos</t>
  </si>
  <si>
    <t>Tempo de Execução:168.996999segundos</t>
  </si>
  <si>
    <t>Tempo de Execução:169.541865segundos</t>
  </si>
  <si>
    <t>Tempo de Execução:169.978738segundos</t>
  </si>
  <si>
    <t>Tempo de Execução:170.519397segundos</t>
  </si>
  <si>
    <t>Tempo de Execução:171.062114segundos</t>
  </si>
  <si>
    <t>Tempo de Execução:171.498958segundos</t>
  </si>
  <si>
    <t>Tempo de Execução:172.044461segundos</t>
  </si>
  <si>
    <t>Tempo de Execução:172.590584segundos</t>
  </si>
  <si>
    <t>Tempo de Execução:173.027065segundos</t>
  </si>
  <si>
    <t>Tempo de Execução:173.568514segundos</t>
  </si>
  <si>
    <t>Tempo de Execução:174.112208segundos</t>
  </si>
  <si>
    <t>Tempo de Execução:174.547531segundos</t>
  </si>
  <si>
    <t>Tempo de Execução:175.094139segundos</t>
  </si>
  <si>
    <t>Tempo de Execução:175.639575segundos</t>
  </si>
  <si>
    <t>Tempo de Execução:176.081417segundos</t>
  </si>
  <si>
    <t>Tempo de Execução:176.615917segundos</t>
  </si>
  <si>
    <t>Tempo de Execução:177.156517segundos</t>
  </si>
  <si>
    <t>Tempo de Execução:177.592745segundos</t>
  </si>
  <si>
    <t>Tempo de Execução:178.136982segundos</t>
  </si>
  <si>
    <t>Tempo de Execução:178.67803segundos</t>
  </si>
  <si>
    <t>Tempo de Execução:179.114621segundos</t>
  </si>
  <si>
    <t>Tempo de Execução:179.658299segundos</t>
  </si>
  <si>
    <t>Tempo de Execução:180.093312segundos</t>
  </si>
  <si>
    <t>Tempo de Execução:180.639172segundos</t>
  </si>
  <si>
    <t>Tempo de Execução:181.18043segundos</t>
  </si>
  <si>
    <t>Tempo de Execução:181.616702segundos</t>
  </si>
  <si>
    <t>Tempo de Execução:182.168638segundos</t>
  </si>
  <si>
    <t>Tempo de Execução:182.711581segundos</t>
  </si>
  <si>
    <t>Tempo de Execução:183.245567segundos</t>
  </si>
  <si>
    <t>Tempo de Execução:183.687359segundos</t>
  </si>
  <si>
    <t>Tempo de Execução:184.231551segundos</t>
  </si>
  <si>
    <t>Tempo de Execução:184.666777segundos</t>
  </si>
  <si>
    <t>Tempo de Execução:185.209795segundos</t>
  </si>
  <si>
    <t>Tempo de Execução:185.756939segundos</t>
  </si>
  <si>
    <t>Tempo de Execução:186.194199segundos</t>
  </si>
  <si>
    <t>Tempo de Execução:186.734745segundos</t>
  </si>
  <si>
    <t>Tempo de Execução:187.171583segundos</t>
  </si>
  <si>
    <t>Tempo de Execução:187.718899segundos</t>
  </si>
  <si>
    <t>Tempo de Execução:188.259702segundos</t>
  </si>
  <si>
    <t>Tempo de Execução:188.696545segundos</t>
  </si>
  <si>
    <t>Tempo de Execução:189.23851segundos</t>
  </si>
  <si>
    <t>Tempo de Execução:189.789332segundos</t>
  </si>
  <si>
    <t>Tempo de Execução:190.21894segundos</t>
  </si>
  <si>
    <t>Tempo de Execução:190.76811segundos</t>
  </si>
  <si>
    <t>Tempo de Execução:191.312425segundos</t>
  </si>
  <si>
    <t>Tempo de Execução:191.754068segundos</t>
  </si>
  <si>
    <t>Tempo de Execução:192.296475segundos</t>
  </si>
  <si>
    <t>Tempo de Execução:192.730339segundos</t>
  </si>
  <si>
    <t>Tempo de Execução:193.272446segundos</t>
  </si>
  <si>
    <t>Tempo de Execução:193.815528segundos</t>
  </si>
  <si>
    <t>Tempo de Execução:194.250836segundos</t>
  </si>
  <si>
    <t>Tempo de Execução:194.802805segundos</t>
  </si>
  <si>
    <t>Tempo de Execução:195.339902segundos</t>
  </si>
  <si>
    <t>Tempo de Execução:195.771367segundos</t>
  </si>
  <si>
    <t>Tempo de Execução:196.313738segundos</t>
  </si>
  <si>
    <t>Tempo de Execução:196.854741segundos</t>
  </si>
  <si>
    <t>Tempo de Execução:197.288875segundos</t>
  </si>
  <si>
    <t>Tempo de Execução:197.834456segundos</t>
  </si>
  <si>
    <t>Tempo de Execução:198.383587segundos</t>
  </si>
  <si>
    <t>Tempo de Execução:198.811676segundos</t>
  </si>
  <si>
    <t>Tempo de Execução:199.359899segundos</t>
  </si>
  <si>
    <t>Tempo de Execução:199.903635segundos</t>
  </si>
  <si>
    <t>Tempo de Execução:200.338179segundos</t>
  </si>
  <si>
    <t>Tempo de Execução:200.885793segundos</t>
  </si>
  <si>
    <t>Tempo de Execução:201.317724segundos</t>
  </si>
  <si>
    <t>Tempo de Execução:201.860861segundos</t>
  </si>
  <si>
    <t>Tempo de Execução:202.405144segundos</t>
  </si>
  <si>
    <t>Tempo de Execução:202.839979segundos</t>
  </si>
  <si>
    <t>Tempo de Execução:203.392115segundos</t>
  </si>
  <si>
    <t>Tempo de Execução:203.930449segundos</t>
  </si>
  <si>
    <t>Tempo de Execução:204.365732segundos</t>
  </si>
  <si>
    <t>Tempo de Execução:204.911327segundos</t>
  </si>
  <si>
    <t>Tempo de Execução:205.453045segundos</t>
  </si>
  <si>
    <t>Tempo de Execução:205.887173segundos</t>
  </si>
  <si>
    <t>Tempo de Execução:206.428783segundos</t>
  </si>
  <si>
    <t>Tempo de Execução:206.967927segundos</t>
  </si>
  <si>
    <t>Tempo de Execução:207.404677segundos</t>
  </si>
  <si>
    <t>Tempo de Execução:207.944179segundos</t>
  </si>
  <si>
    <t>Tempo de Execução:208.489252segundos</t>
  </si>
  <si>
    <t>Tempo de Execução:208.922478segundos</t>
  </si>
  <si>
    <t>Tempo de Execução:209.468494segundos</t>
  </si>
  <si>
    <t>Tempo de Execução:210.011371segundos</t>
  </si>
  <si>
    <t>Tempo de Execução:210.442559segundos</t>
  </si>
  <si>
    <t>Tempo de Execução:210.986146segundos</t>
  </si>
  <si>
    <t>Tempo de Execução:211.531894segundos</t>
  </si>
  <si>
    <t>Tempo de Execução:211.964963segundos</t>
  </si>
  <si>
    <t>Tempo de Execução:212.508466segundos</t>
  </si>
  <si>
    <t>Tempo de Execução:213.05308segundos</t>
  </si>
  <si>
    <t>Tempo de Execução:213.486182segundos</t>
  </si>
  <si>
    <t>Tempo de Execução:214.027411segundos</t>
  </si>
  <si>
    <t>Tempo de Execução:214.463904segundos</t>
  </si>
  <si>
    <t>Tempo de Execução:215.010397segundos</t>
  </si>
  <si>
    <t>Tempo de Execução:215.564556segundos</t>
  </si>
  <si>
    <t>Tempo de Execução:215.988619segundos</t>
  </si>
  <si>
    <t>Tempo de Execução:216.532184segundos</t>
  </si>
  <si>
    <t>Tempo de Execução:217.075441segundos</t>
  </si>
  <si>
    <t>Tempo de Execução:217.517487segundos</t>
  </si>
  <si>
    <t>Tempo de Execução:218.057647segundos</t>
  </si>
  <si>
    <t>Tempo de Execução:218.599401segundos</t>
  </si>
  <si>
    <t>Tempo de Execução:219.030261segundos</t>
  </si>
  <si>
    <t>Tempo de Execução:219.569657segundos</t>
  </si>
  <si>
    <t>Tempo de Execução:220.117143segundos</t>
  </si>
  <si>
    <t>Tempo de Execução:220.552619segundos</t>
  </si>
  <si>
    <t>Tempo de Execução:221.095639segundos</t>
  </si>
  <si>
    <t>Tempo de Execução:221.644554segundos</t>
  </si>
  <si>
    <t>Tempo de Execução:222.073909segundos</t>
  </si>
  <si>
    <t>Tempo de Execução:222.616774segundos</t>
  </si>
  <si>
    <t>Tempo de Execução:223.050052segundos</t>
  </si>
  <si>
    <t>Tempo de Execução:223.592965segundos</t>
  </si>
  <si>
    <t>Tempo de Execução:224.136072segundos</t>
  </si>
  <si>
    <t>Tempo de Execução:224.576263segundos</t>
  </si>
  <si>
    <t>Tempo de Execução:225.117484segundos</t>
  </si>
  <si>
    <t>Tempo de Execução:225.657843segundos</t>
  </si>
  <si>
    <t>Tempo de Execução:226.095855segundos</t>
  </si>
  <si>
    <t>Tempo de Execução:226.631919segundos</t>
  </si>
  <si>
    <t>Tempo de Execução:227.172933segundos</t>
  </si>
  <si>
    <t>Tempo de Execução:227.606102segundos</t>
  </si>
  <si>
    <t>Tempo de Execução:228.149258segundos</t>
  </si>
  <si>
    <t>Tempo de Execução:228.689535segundos</t>
  </si>
  <si>
    <t>Tempo de Execução:229.128302segundos</t>
  </si>
  <si>
    <t>Tempo de Execução:229.672028segundos</t>
  </si>
  <si>
    <t>Tempo de Execução:230.215037segundos</t>
  </si>
  <si>
    <t>Tempo de Execução:230.645486segundos</t>
  </si>
  <si>
    <t>Tempo de Execução:231.194838segundos</t>
  </si>
  <si>
    <t>Tempo de Execução:231.73236segundos</t>
  </si>
  <si>
    <t>Tempo de Execução:232.166752segundos</t>
  </si>
  <si>
    <t>Tempo de Execução:232.713693segundos</t>
  </si>
  <si>
    <t>Tempo de Execução:233.262526segundos</t>
  </si>
  <si>
    <t>Tempo de Execução:233.688807segundos</t>
  </si>
  <si>
    <t>Tempo de Execução:234.234126segundos</t>
  </si>
  <si>
    <t>Tempo de Execução:234.775553segundos</t>
  </si>
  <si>
    <t>Tempo de Execução:235.212227segundos</t>
  </si>
  <si>
    <t>Tempo de Execução:235.751803segundos</t>
  </si>
  <si>
    <t>Tempo de Execução:236.305955segundos</t>
  </si>
  <si>
    <t>Tempo de Execução:238.251006segundos</t>
  </si>
  <si>
    <t>Tempo de Execução:238.684908segundos</t>
  </si>
  <si>
    <t>Tempo de Execução:239.227036segundos</t>
  </si>
  <si>
    <t>Tempo de Execução:239.767768segundos</t>
  </si>
  <si>
    <t>Tempo de Execução:240.208543segundos</t>
  </si>
  <si>
    <t>Tempo de Execução:240.753488segundos</t>
  </si>
  <si>
    <t>Tempo de Execução:241.297525segundos</t>
  </si>
  <si>
    <t>Tempo de Execução:241.725621segundos</t>
  </si>
  <si>
    <t>Tempo de Execução:242.265439segundos</t>
  </si>
  <si>
    <t>Tempo de Execução:242.80786segundos</t>
  </si>
  <si>
    <t>Tempo de Execução:243.241913segundos</t>
  </si>
  <si>
    <t>Tempo de Execução:243.783716segundos</t>
  </si>
  <si>
    <t>Tempo de Execução:244.323098segundos</t>
  </si>
  <si>
    <t>Tempo de Execução:244.757928segundos</t>
  </si>
  <si>
    <t>Tempo de Execução:245.30329segundos</t>
  </si>
  <si>
    <t>Tempo de Execução:245.84994segundos</t>
  </si>
  <si>
    <t>Tempo de Execução:246.287119segundos</t>
  </si>
  <si>
    <t>Tempo de Execução:246.82799segundos</t>
  </si>
  <si>
    <t>Tempo de Execução:247.261844segundos</t>
  </si>
  <si>
    <t>Tempo de Execução:247.803272segundos</t>
  </si>
  <si>
    <t>Tempo de Execução:248.348071segundos</t>
  </si>
  <si>
    <t>Tempo de Execução:249.812436segundos</t>
  </si>
  <si>
    <t>Tempo de Execução:249.908418segundos</t>
  </si>
  <si>
    <t>Tempo de Execução:250.008542segundos</t>
  </si>
  <si>
    <t>Tempo de Execução:250.306278segundos</t>
  </si>
  <si>
    <t>Tempo de Execução:250.845197segundos</t>
  </si>
  <si>
    <t>Tempo de Execução:251.386478segundos</t>
  </si>
  <si>
    <t>Tempo de Execução:251.822882segundos</t>
  </si>
  <si>
    <t>Tempo de Execução:252.361727segundos</t>
  </si>
  <si>
    <t>Tempo de Execução:252.904953segundos</t>
  </si>
  <si>
    <t>Tempo de Execução:253.34142segundos</t>
  </si>
  <si>
    <t>Tempo de Execução:253.884858segundos</t>
  </si>
  <si>
    <t>Tempo de Execução:254.427969segundos</t>
  </si>
  <si>
    <t>Tempo de Execução:254.865676segundos</t>
  </si>
  <si>
    <t>Tempo de Execução:255.406017segundos</t>
  </si>
  <si>
    <t>Tempo de Execução:255.946833segundos</t>
  </si>
  <si>
    <t>Tempo de Execução:256.380975segundos</t>
  </si>
  <si>
    <t>Tempo de Execução:256.927466segundos</t>
  </si>
  <si>
    <t>Tempo de Execução:257.467986segundos</t>
  </si>
  <si>
    <t>Tempo de Execução:257.901132segundos</t>
  </si>
  <si>
    <t>Tempo de Execução:258.445307segundos</t>
  </si>
  <si>
    <t>Tempo de Execução:258.879446segundos</t>
  </si>
  <si>
    <t>Tempo de Execução:259.420849segundos</t>
  </si>
  <si>
    <t>Tempo de Execução:259.963424segundos</t>
  </si>
  <si>
    <t>Tempo de Execução:260.395095segundos</t>
  </si>
  <si>
    <t>Tempo de Execução:260.939651segundos</t>
  </si>
  <si>
    <t>Tempo de Execução:261.488593segundos</t>
  </si>
  <si>
    <t>Tempo de Execução:261.922707segundos</t>
  </si>
  <si>
    <t>Tempo de Execução:262.461536segundos</t>
  </si>
  <si>
    <t>Tempo de Execução:263.007223segundos</t>
  </si>
  <si>
    <t>Tempo de Execução:263.443041segundos</t>
  </si>
  <si>
    <t>Tempo de Execução:263.981121segundos</t>
  </si>
  <si>
    <t>Tempo de Execução:264.527835segundos</t>
  </si>
  <si>
    <t>Tempo de Execução:264.962865segundos</t>
  </si>
  <si>
    <t>Tempo de Execução:265.511592segundos</t>
  </si>
  <si>
    <t>Tempo de Execução:266.049228segundos</t>
  </si>
  <si>
    <t>Tempo de Execução:266.481484segundos</t>
  </si>
  <si>
    <t>Tempo de Execução:267.033251segundos</t>
  </si>
  <si>
    <t>Tempo de Execução:267.465885segundos</t>
  </si>
  <si>
    <t>Tempo de Execução:268.010738segundos</t>
  </si>
  <si>
    <t>Tempo de Execução:268.547831segundos</t>
  </si>
  <si>
    <t>Tempo de Execução:268.989117segundos</t>
  </si>
  <si>
    <t>Tempo de Execução:269.526205segundos</t>
  </si>
  <si>
    <t>Tempo de Execução:270.071296segundos</t>
  </si>
  <si>
    <t>Tempo de Execução:270.609688segundos</t>
  </si>
  <si>
    <t>Tempo de Execução:271.043066segundos</t>
  </si>
  <si>
    <t>Tempo de Execução:271.58955segundos</t>
  </si>
  <si>
    <t>Tempo de Execução:272.021323segundos</t>
  </si>
  <si>
    <t>Tempo de Execução:272.56507segundos</t>
  </si>
  <si>
    <t>Tempo de Execução:273.109164segundos</t>
  </si>
  <si>
    <t>Tempo de Execução:273.546785segundos</t>
  </si>
  <si>
    <t>Tempo de Execução:274.090001segundos</t>
  </si>
  <si>
    <t>Tempo de Execução:274.633932segundos</t>
  </si>
  <si>
    <t>Tempo de Execução:275.06848segundos</t>
  </si>
  <si>
    <t>{"valorA":"ventilador","valorB":29}</t>
  </si>
  <si>
    <t>{"valorA":"aspirador","valorB":32}</t>
  </si>
  <si>
    <t>{"valorA":"ventilador","valorB":30}</t>
  </si>
  <si>
    <t>{"valorA":"ventilador","valorB":31}</t>
  </si>
  <si>
    <t>{"valorA":"filtro de linha","valorB":26}</t>
  </si>
  <si>
    <t>{"valorA":"aspirador","valorB":33}</t>
  </si>
  <si>
    <t>{"valorA":"ventilador","valorB":32}</t>
  </si>
  <si>
    <t>{"valorA":"aspirador","valorB":34}</t>
  </si>
  <si>
    <t>{"valorA":"aspirador","valorB":35}</t>
  </si>
  <si>
    <t>Tempo de Execução:143.192231segundos</t>
  </si>
  <si>
    <t>Tempo de Execução:143.313882segundos</t>
  </si>
  <si>
    <t>Tempo de Execução:143.409408segundos</t>
  </si>
  <si>
    <t>Tempo de Execução:143.508941segundos</t>
  </si>
  <si>
    <t>Tempo de Execução:143.623704segundos</t>
  </si>
  <si>
    <t>Tempo de Execução:143.769039segundos</t>
  </si>
  <si>
    <t>Tempo de Execução:143.879937segundos</t>
  </si>
  <si>
    <t>Tempo de Execução:143.998778segundos</t>
  </si>
  <si>
    <t>Tempo de Execução:144.137176segundos</t>
  </si>
  <si>
    <t>Tempo de Execução:144.286125segundos</t>
  </si>
  <si>
    <t>Tempo de Execução:144.43963segundos</t>
  </si>
  <si>
    <t>Tempo de Execução:144.580068segundos</t>
  </si>
  <si>
    <t>Tempo de Execução:144.728768segundos</t>
  </si>
  <si>
    <t>Tempo de Execução:144.867914segundos</t>
  </si>
  <si>
    <t>Tempo de Execução:145.014096segundos</t>
  </si>
  <si>
    <t>Tempo de Execução:145.494582segundos</t>
  </si>
  <si>
    <t>Tempo de Execução:146.038962segundos</t>
  </si>
  <si>
    <t>Tempo de Execução:146.578398segundos</t>
  </si>
  <si>
    <t>Tempo de Execução:147.121444segundos</t>
  </si>
  <si>
    <t>Tempo de Execução:147.560518segundos</t>
  </si>
  <si>
    <t>Tempo de Execução:148.126573segundos</t>
  </si>
  <si>
    <t>Tempo de Execução:148.534759segundos</t>
  </si>
  <si>
    <t>Tempo de Execução:149.18471segundos</t>
  </si>
  <si>
    <t>Tempo de Execução:149.516258segundos</t>
  </si>
  <si>
    <t>Tempo de Execução:150.058794segundos</t>
  </si>
  <si>
    <t>Tempo de Execução:150.601477segundos</t>
  </si>
  <si>
    <t>Tempo de Execução:151.156159segundos</t>
  </si>
  <si>
    <t>Tempo de Execução:151.581205segundos</t>
  </si>
  <si>
    <t>Tempo de Execução:152.120711segundos</t>
  </si>
  <si>
    <t>Tempo de Execução:152.556121segundos</t>
  </si>
  <si>
    <t>Tempo de Execução:153.099106segundos</t>
  </si>
  <si>
    <t>Tempo de Execução:153.639592segundos</t>
  </si>
  <si>
    <t>Tempo de Execução:154.177564segundos</t>
  </si>
  <si>
    <t>Tempo de Execução:154.617142segundos</t>
  </si>
  <si>
    <t>Tempo de Execução:155.193388segundos</t>
  </si>
  <si>
    <t>Tempo de Execução:155.593611segundos</t>
  </si>
  <si>
    <t>Tempo de Execução:156.166049segundos</t>
  </si>
  <si>
    <t>Tempo de Execução:156.679457segundos</t>
  </si>
  <si>
    <t>Tempo de Execução:157.216979segundos</t>
  </si>
  <si>
    <t>Tempo de Execução:157.68597segundos</t>
  </si>
  <si>
    <t>Tempo de Execução:158.096166segundos</t>
  </si>
  <si>
    <t>Tempo de Execução:158.643118segundos</t>
  </si>
  <si>
    <t>Tempo de Execução:159.183406segundos</t>
  </si>
  <si>
    <t>Tempo de Execução:159.61851segundos</t>
  </si>
  <si>
    <t>Tempo de Execução:160.190353segundos</t>
  </si>
  <si>
    <t>Tempo de Execução:160.825391segundos</t>
  </si>
  <si>
    <t>Tempo de Execução:161.141986segundos</t>
  </si>
  <si>
    <t>Tempo de Execução:161.683015segundos</t>
  </si>
  <si>
    <t>Tempo de Execução:162.226811segundos</t>
  </si>
  <si>
    <t>Tempo de Execução:162.768624segundos</t>
  </si>
  <si>
    <t>Tempo de Execução:163.210731segundos</t>
  </si>
  <si>
    <t>Tempo de Execução:163.747109segundos</t>
  </si>
  <si>
    <t>Tempo de Execução:164.185996segundos</t>
  </si>
  <si>
    <t>Tempo de Execução:164.727896segundos</t>
  </si>
  <si>
    <t>Tempo de Execução:165.164102segundos</t>
  </si>
  <si>
    <t>Tempo de Execução:165.706005segundos</t>
  </si>
  <si>
    <t>Tempo de Execução:166.352798segundos</t>
  </si>
  <si>
    <t>Tempo de Execução:166.684348segundos</t>
  </si>
  <si>
    <t>Tempo de Execução:167.223835segundos</t>
  </si>
  <si>
    <t>Tempo de Execução:167.868441segundos</t>
  </si>
  <si>
    <t>Tempo de Execução:168.198048segundos</t>
  </si>
  <si>
    <t>Tempo de Execução:168.736177segundos</t>
  </si>
  <si>
    <t>Tempo de Execução:169.280984segundos</t>
  </si>
  <si>
    <t>Tempo de Execução:169.81639segundos</t>
  </si>
  <si>
    <t>Tempo de Execução:170.357804segundos</t>
  </si>
  <si>
    <t>Tempo de Execução:170.798742segundos</t>
  </si>
  <si>
    <t>Tempo de Execução:171.228838segundos</t>
  </si>
  <si>
    <t>Tempo de Execução:171.771597segundos</t>
  </si>
  <si>
    <t>Tempo de Execução:172.417932segundos</t>
  </si>
  <si>
    <t>Tempo de Execução:172.852479segundos</t>
  </si>
  <si>
    <t>Tempo de Execução:173.292469segundos</t>
  </si>
  <si>
    <t>Tempo de Execução:173.836489segundos</t>
  </si>
  <si>
    <t>Tempo de Execução:174.267865segundos</t>
  </si>
  <si>
    <t>Tempo de Execução:174.815194segundos</t>
  </si>
  <si>
    <t>Tempo de Execução:175.351887segundos</t>
  </si>
  <si>
    <t>Tempo de Execução:175.889719segundos</t>
  </si>
  <si>
    <t>Tempo de Execução:176.327947segundos</t>
  </si>
  <si>
    <t>Tempo de Execução:176.868754segundos</t>
  </si>
  <si>
    <t>Tempo de Execução:177.404327segundos</t>
  </si>
  <si>
    <t>Tempo de Execução:177.9473segundos</t>
  </si>
  <si>
    <t>Tempo de Execução:178.390006segundos</t>
  </si>
  <si>
    <t>Tempo de Execução:178.823327segundos</t>
  </si>
  <si>
    <t>Tempo de Execução:179.364104segundos</t>
  </si>
  <si>
    <t>Tempo de Execução:179.797228segundos</t>
  </si>
  <si>
    <t>Tempo de Execução:180.339141segundos</t>
  </si>
  <si>
    <t>Tempo de Execução:180.882822segundos</t>
  </si>
  <si>
    <t>Tempo de Execução:181.417884segundos</t>
  </si>
  <si>
    <t>Tempo de Execução:181.857329segundos</t>
  </si>
  <si>
    <t>Tempo de Execução:182.400986segundos</t>
  </si>
  <si>
    <t>Tempo de Execução:182.836353segundos</t>
  </si>
  <si>
    <t>Tempo de Execução:183.380072segundos</t>
  </si>
  <si>
    <t>Tempo de Execução:183.92441segundos</t>
  </si>
  <si>
    <t>Tempo de Execução:184.35391segundos</t>
  </si>
  <si>
    <t>Tempo de Execução:184.898927segundos</t>
  </si>
  <si>
    <t>Tempo de Execução:185.544087segundos</t>
  </si>
  <si>
    <t>Tempo de Execução:185.979781segundos</t>
  </si>
  <si>
    <t>Tempo de Execução:186.420218segundos</t>
  </si>
  <si>
    <t>Tempo de Execução:186.96008segundos</t>
  </si>
  <si>
    <t>Tempo de Execução:187.394634segundos</t>
  </si>
  <si>
    <t>Tempo de Execução:187.937999segundos</t>
  </si>
  <si>
    <t>Tempo de Execução:188.478521segundos</t>
  </si>
  <si>
    <t>Tempo de Execução:188.916318segundos</t>
  </si>
  <si>
    <t>Tempo de Execução:189.456157segundos</t>
  </si>
  <si>
    <t>Tempo de Execução:189.997975segundos</t>
  </si>
  <si>
    <t>Tempo de Execução:190.535913segundos</t>
  </si>
  <si>
    <t>Tempo de Execução:190.973063segundos</t>
  </si>
  <si>
    <t>Tempo de Execução:191.508472segundos</t>
  </si>
  <si>
    <t>Tempo de Execução:192.04885segundos</t>
  </si>
  <si>
    <t>Tempo de Execução:192.492451segundos</t>
  </si>
  <si>
    <t>Tempo de Execução:193.030619segundos</t>
  </si>
  <si>
    <t>Tempo de Execução:193.565357segundos</t>
  </si>
  <si>
    <t>Tempo de Execução:194.105296segundos</t>
  </si>
  <si>
    <t>Tempo de Execução:194.543056segundos</t>
  </si>
  <si>
    <t>Tempo de Execução:195.081092segundos</t>
  </si>
  <si>
    <t>Tempo de Execução:195.620007segundos</t>
  </si>
  <si>
    <t>Tempo de Execução:196.058667segundos</t>
  </si>
  <si>
    <t>Tempo de Execução:196.491807segundos</t>
  </si>
  <si>
    <t>Tempo de Execução:197.032911segundos</t>
  </si>
  <si>
    <t>Tempo de Execução:197.570424segundos</t>
  </si>
  <si>
    <t>Tempo de Execução:198.011644segundos</t>
  </si>
  <si>
    <t>Tempo de Execução:198.558594segundos</t>
  </si>
  <si>
    <t>Tempo de Execução:198.987379segundos</t>
  </si>
  <si>
    <t>Tempo de Execução:199.5307segundos</t>
  </si>
  <si>
    <t>Tempo de Execução:200.174085segundos</t>
  </si>
  <si>
    <t>Tempo de Execução:200.506862segundos</t>
  </si>
  <si>
    <t>Tempo de Execução:201.050314segundos</t>
  </si>
  <si>
    <t>Tempo de Execução:201.594319segundos</t>
  </si>
  <si>
    <t>Tempo de Execução:202.028644segundos</t>
  </si>
  <si>
    <t>Tempo de Execução:202.567414segundos</t>
  </si>
  <si>
    <t>Tempo de Execução:203.213758segundos</t>
  </si>
  <si>
    <t>Tempo de Execução:203.546057segundos</t>
  </si>
  <si>
    <t>Tempo de Execução:204.088196segundos</t>
  </si>
  <si>
    <t>Tempo de Execução:204.73456segundos</t>
  </si>
  <si>
    <t>Tempo de Execução:205.168261segundos</t>
  </si>
  <si>
    <t>Tempo de Execução:205.608704segundos</t>
  </si>
  <si>
    <t>Tempo de Execução:206.253408segundos</t>
  </si>
  <si>
    <t>Tempo de Execução:206.68704segundos</t>
  </si>
  <si>
    <t>Tempo de Execução:207.231198segundos</t>
  </si>
  <si>
    <t>Tempo de Execução:207.670473segundos</t>
  </si>
  <si>
    <t>Tempo de Execução:208.206313segundos</t>
  </si>
  <si>
    <t>Tempo de Execução:208.748719segundos</t>
  </si>
  <si>
    <t>Tempo de Execução:209.190744segundos</t>
  </si>
  <si>
    <t>Tempo de Execução:209.622037segundos</t>
  </si>
  <si>
    <t>Tempo de Execução:210.270475segundos</t>
  </si>
  <si>
    <t>Tempo de Execução:210.60056segundos</t>
  </si>
  <si>
    <t>Tempo de Execução:211.142706segundos</t>
  </si>
  <si>
    <t>Tempo de Execução:211.788602segundos</t>
  </si>
  <si>
    <t>Tempo de Execução:212.118769segundos</t>
  </si>
  <si>
    <t>Tempo de Execução:212.659089segundos</t>
  </si>
  <si>
    <t>Tempo de Execução:213.305561segundos</t>
  </si>
  <si>
    <t>Tempo de Execução:213.739654segundos</t>
  </si>
  <si>
    <t>Tempo de Execução:214.179693segundos</t>
  </si>
  <si>
    <t>Tempo de Execução:214.722349segundos</t>
  </si>
  <si>
    <t>Tempo de Execução:215.259576segundos</t>
  </si>
  <si>
    <t>Tempo de Execução:215.701096segundos</t>
  </si>
  <si>
    <t>Tempo de Execução:216.24255segundos</t>
  </si>
  <si>
    <t>Tempo de Execução:216.780089segundos</t>
  </si>
  <si>
    <t>Tempo de Execução:217.220877segundos</t>
  </si>
  <si>
    <t>Tempo de Execução:217.761425segundos</t>
  </si>
  <si>
    <t>Tempo de Execução:218.198088segundos</t>
  </si>
  <si>
    <t>Tempo de Execução:218.736811segundos</t>
  </si>
  <si>
    <t>Tempo de Execução:219.287839segundos</t>
  </si>
  <si>
    <t>Tempo de Execução:219.721928segundos</t>
  </si>
  <si>
    <t>Tempo de Execução:220.256699segundos</t>
  </si>
  <si>
    <t>Tempo de Execução:220.800073segundos</t>
  </si>
  <si>
    <t>Tempo de Execução:221.234696segundos</t>
  </si>
  <si>
    <t>Tempo de Execução:221.779742segundos</t>
  </si>
  <si>
    <t>Tempo de Execução:222.322565segundos</t>
  </si>
  <si>
    <t>Tempo de Execução:222.856549segundos</t>
  </si>
  <si>
    <t>Tempo de Execução:223.293385segundos</t>
  </si>
  <si>
    <t>Tempo de Execução:223.838402segundos</t>
  </si>
  <si>
    <t>Tempo de Execução:224.272218segundos</t>
  </si>
  <si>
    <t>Tempo de Execução:224.819008segundos</t>
  </si>
  <si>
    <t>Tempo de Execução:225.253647segundos</t>
  </si>
  <si>
    <t>Tempo de Execução:225.794657segundos</t>
  </si>
  <si>
    <t>Tempo de Execução:226.438744segundos</t>
  </si>
  <si>
    <t>Tempo de Execução:226.982781segundos</t>
  </si>
  <si>
    <t>Tempo de Execução:227.415962segundos</t>
  </si>
  <si>
    <t>Tempo de Execução:227.956329segundos</t>
  </si>
  <si>
    <t>Tempo de Execução:228.290303segundos</t>
  </si>
  <si>
    <t>Tempo de Execução:228.826789segundos</t>
  </si>
  <si>
    <t>Tempo de Execução:229.475587segundos</t>
  </si>
  <si>
    <t>Tempo de Execução:229.808706segundos</t>
  </si>
  <si>
    <t>Tempo de Execução:230.348179segundos</t>
  </si>
  <si>
    <t>Tempo de Execução:230.993698segundos</t>
  </si>
  <si>
    <t>Tempo de Execução:231.325238segundos</t>
  </si>
  <si>
    <t>Tempo de Execução:231.867718segundos</t>
  </si>
  <si>
    <t>Tempo de Execução:232.512978segundos</t>
  </si>
  <si>
    <t>Tempo de Execução:232.947823segundos</t>
  </si>
  <si>
    <t>Tempo de Execução:233.492062segundos</t>
  </si>
  <si>
    <t>Tempo de Execução:234.033277segundos</t>
  </si>
  <si>
    <t>Tempo de Execução:234.359597segundos</t>
  </si>
  <si>
    <t>Tempo de Execução:234.902734segundos</t>
  </si>
  <si>
    <t>Tempo de Execução:235.552409segundos</t>
  </si>
  <si>
    <t>Tempo de Execução:235.881931segundos</t>
  </si>
  <si>
    <t>Tempo de Execução:236.425787segundos</t>
  </si>
  <si>
    <t>Tempo de Execução:237.068382segundos</t>
  </si>
  <si>
    <t>Tempo de Execução:237.396511segundos</t>
  </si>
  <si>
    <t>Tempo de Execução:237.93944segundos</t>
  </si>
  <si>
    <t>Tempo de Execução:238.587415segundos</t>
  </si>
  <si>
    <t>Tempo de Execução:239.021301segundos</t>
  </si>
  <si>
    <t>Tempo de Execução:239.459965segundos</t>
  </si>
  <si>
    <t>Tempo de Execução:240.004373segundos</t>
  </si>
  <si>
    <t>Tempo de Execução:240.545706segundos</t>
  </si>
  <si>
    <t>Tempo de Execução:241.088271segundos</t>
  </si>
  <si>
    <t>Tempo de Execução:241.630216segundos</t>
  </si>
  <si>
    <t>Tempo de Execução:242.063821segundos</t>
  </si>
  <si>
    <t>Tempo de Execução:242.619022segundos</t>
  </si>
  <si>
    <t>Tempo de Execução:243.046409segundos</t>
  </si>
  <si>
    <t>Tempo de Execução:243.479645segundos</t>
  </si>
  <si>
    <t>Tempo de Execução:244.021407segundos</t>
  </si>
  <si>
    <t>Tempo de Execução:244.66681segundos</t>
  </si>
  <si>
    <t>Tempo de Execução:244.999354segundos</t>
  </si>
  <si>
    <t>Tempo de Execução:245.53929segundos</t>
  </si>
  <si>
    <t>Tempo de Execução:246.186413segundos</t>
  </si>
  <si>
    <t>Tempo de Execução:246.619417segundos</t>
  </si>
  <si>
    <t>Tempo de Execução:247.163667segundos</t>
  </si>
  <si>
    <t>Tempo de Execução:247.593877segundos</t>
  </si>
  <si>
    <t>Tempo de Execução:248.034082segundos</t>
  </si>
  <si>
    <t>Tempo de Execução:248.57575segundos</t>
  </si>
  <si>
    <t>Tempo de Execução:249.009607segundos</t>
  </si>
  <si>
    <t>Tempo de Execução:249.55374segundos</t>
  </si>
  <si>
    <t>Tempo de Execução:250.199083segundos</t>
  </si>
  <si>
    <t>Tempo de Execução:250.631787segundos</t>
  </si>
  <si>
    <t>Tempo de Execução:251.072084segundos</t>
  </si>
  <si>
    <t>Tempo de Execução:251.611654segundos</t>
  </si>
  <si>
    <t>Tempo de Execução:252.146515segundos</t>
  </si>
  <si>
    <t>Tempo de Execução:252.688821segundos</t>
  </si>
  <si>
    <t>Tempo de Execução:253.232266segundos</t>
  </si>
  <si>
    <t>Tempo de Execução:253.667465segundos</t>
  </si>
  <si>
    <t>Tempo de Execução:254.107314segundos</t>
  </si>
  <si>
    <t>Tempo de Execução:254.648371segundos</t>
  </si>
  <si>
    <t>Tempo de Execução:255.083172segundos</t>
  </si>
  <si>
    <t>Tempo de Execução:255.625484segundos</t>
  </si>
  <si>
    <t>Tempo de Execução:256.27098segundos</t>
  </si>
  <si>
    <t>Tempo de Execução:256.705225segundos</t>
  </si>
  <si>
    <t>Tempo de Execução:257.247496segundos</t>
  </si>
  <si>
    <t>Tempo de Execução:257.686122segundos</t>
  </si>
  <si>
    <t>Tempo de Execução:258.126487segundos</t>
  </si>
  <si>
    <t>Tempo de Execução:258.660024segundos</t>
  </si>
  <si>
    <t>Tempo de Execução:259.20684segundos</t>
  </si>
  <si>
    <t>Tempo de Execução:259.640338segundos</t>
  </si>
  <si>
    <t>Tempo de Execução:260.180725segundos</t>
  </si>
  <si>
    <t>Tempo de Execução:260.823055segundos</t>
  </si>
  <si>
    <t>Tempo de Execução:261.258968segundos</t>
  </si>
  <si>
    <t>Tempo de Execução:261.696748segundos</t>
  </si>
  <si>
    <t>Tempo de Execução:262.238216segundos</t>
  </si>
  <si>
    <t>Tempo de Execução:262.673597segundos</t>
  </si>
  <si>
    <t>Tempo de Execução:263.217759segundos</t>
  </si>
  <si>
    <t>Tempo de Execução:263.764725segundos</t>
  </si>
  <si>
    <t>Tempo de Execução:264.196259segundos</t>
  </si>
  <si>
    <t>Tempo de Execução:264.740058segundos</t>
  </si>
  <si>
    <t>Tempo de Execução:265.283718segundos</t>
  </si>
  <si>
    <t>Tempo de Execução:265.81896segundos</t>
  </si>
  <si>
    <t>Tempo de Execução:266.359114segundos</t>
  </si>
  <si>
    <t>Tempo de Execução:266.798844segundos</t>
  </si>
  <si>
    <t>Tempo de Execução:267.232647segundos</t>
  </si>
  <si>
    <t>Tempo de Execução:267.774838segundos</t>
  </si>
  <si>
    <t>Tempo de Execução:268.320277segundos</t>
  </si>
  <si>
    <t>Tempo de Execução:268.752494segundos</t>
  </si>
  <si>
    <t>Tempo de Execução:269.295506segundos</t>
  </si>
  <si>
    <t>Tempo de Execução:269.941553segundos</t>
  </si>
  <si>
    <t>Tempo de Execução:270.373289segundos</t>
  </si>
  <si>
    <t>Tempo de Execução:270.916772segundos</t>
  </si>
  <si>
    <t>Tempo de Execução:271.355655segundos</t>
  </si>
  <si>
    <t>Tempo de Execução:271.891958segundos</t>
  </si>
  <si>
    <t>Tempo de Execução:272.433785segundos</t>
  </si>
  <si>
    <t>Tempo de Execução:272.865337segundos</t>
  </si>
  <si>
    <t>Tempo de Execução:273.304388segundos</t>
  </si>
  <si>
    <t>Tempo de Execução:273.845828segundos</t>
  </si>
  <si>
    <t>Tempo de Execução:274.387318segundos</t>
  </si>
  <si>
    <t>Tempo de Execução:274.929283segundos</t>
  </si>
  <si>
    <t>Tempo de Execução:275.468283segundos</t>
  </si>
  <si>
    <t>Tempo de Execução:275.80029segundos</t>
  </si>
  <si>
    <t>Tempo de Execução:276.344393segundos</t>
  </si>
  <si>
    <t>Tempo de Execução:276.989063segundos</t>
  </si>
  <si>
    <t>Tempo de Execução:277.42152segundos</t>
  </si>
  <si>
    <t>Tempo de Execução:277.862151segundos</t>
  </si>
  <si>
    <t>Tempo de Execução:278.401613segundos</t>
  </si>
  <si>
    <t>Tempo de Execução:278.836942segundos</t>
  </si>
  <si>
    <t>Tempo de Execução:279.373165segundos</t>
  </si>
  <si>
    <t>Tempo de Execução:279.922931segundos</t>
  </si>
  <si>
    <t>Tempo de Execução:280.351488segundos</t>
  </si>
  <si>
    <t>Tempo de Execução:280.895763segundos</t>
  </si>
  <si>
    <t>Tempo de Execução:281.438373segundos</t>
  </si>
  <si>
    <t>Tempo de Execução:281.873345segundos</t>
  </si>
  <si>
    <t>Tempo de Execução:282.520228segundos</t>
  </si>
  <si>
    <t>Tempo de Execução:282.957152segundos</t>
  </si>
  <si>
    <t>Tempo de Execução:283.494001segundos</t>
  </si>
  <si>
    <t>Tempo de Execução:283.932229segundos</t>
  </si>
  <si>
    <t>Tempo de Execução:284.473459segundos</t>
  </si>
  <si>
    <t>Tempo de Execução:285.009949segundos</t>
  </si>
  <si>
    <t>Tempo de Execução:285.554849segundos</t>
  </si>
  <si>
    <t>Tempo de Execução:285.99346segundos</t>
  </si>
  <si>
    <t>Tempo de Execução:286.429259segundos</t>
  </si>
  <si>
    <t>Tempo de Execução:286.974069segundos</t>
  </si>
  <si>
    <t>Tempo de Execução:287.52597segundos</t>
  </si>
  <si>
    <t>Tempo de Execução:287.951754segundos</t>
  </si>
  <si>
    <t>Tempo de Execução:288.494119segundos</t>
  </si>
  <si>
    <t>Tempo de Execução:289.028361segundos</t>
  </si>
  <si>
    <t>Tempo de Execução:289.465581segundos</t>
  </si>
  <si>
    <t>Tempo de Execução:290.005439segundos</t>
  </si>
  <si>
    <t>Tempo de Execução:290.440144segundos</t>
  </si>
  <si>
    <t>Tempo de Execução:290.982554segundos</t>
  </si>
  <si>
    <t>Tempo de Execução:291.62579segundos</t>
  </si>
  <si>
    <t>Tempo de Execução:292.061675segundos</t>
  </si>
  <si>
    <t>Tempo de Execução:292.602648segundos</t>
  </si>
  <si>
    <t>Tempo de Execução:293.042284segundos</t>
  </si>
  <si>
    <t>Tempo de Execução:293.574154segundos</t>
  </si>
  <si>
    <t>Tempo de Execução:294.012712segundos</t>
  </si>
  <si>
    <t>Tempo de Execução:294.552451segundos</t>
  </si>
  <si>
    <t>Tempo de Execução:295.093495segundos</t>
  </si>
  <si>
    <t>Tempo de Execução:295.540771segundos</t>
  </si>
  <si>
    <t>Tempo de Execução:296.084663segundos</t>
  </si>
  <si>
    <t>Tempo de Execução:296.50763segundos</t>
  </si>
  <si>
    <t>Tempo de Execução:297.05045segundos</t>
  </si>
  <si>
    <t>Tempo de Execução:297.696535segundos</t>
  </si>
  <si>
    <t>Tempo de Execução:298.029044segundos</t>
  </si>
  <si>
    <t>Tempo de Execução:298.573509segundos</t>
  </si>
  <si>
    <t>Tempo de Execução:299.1196segundos</t>
  </si>
  <si>
    <t>Tempo de Execução:299.550482segundos</t>
  </si>
  <si>
    <t>Tempo de Execução:300.093916segundos</t>
  </si>
  <si>
    <t>Tempo de Execução:300.529213segundos</t>
  </si>
  <si>
    <t>Tempo de Execução:301.069284segundos</t>
  </si>
  <si>
    <t>Tempo de Execução:301.718415segundos</t>
  </si>
  <si>
    <t>Tempo de Execução:302.152449segundos</t>
  </si>
  <si>
    <t>Tempo de Execução:302.591037segundos</t>
  </si>
  <si>
    <t>Tempo de Execução:303.134951segundos</t>
  </si>
  <si>
    <t>Tempo de Execução:303.568845segundos</t>
  </si>
  <si>
    <t>Tempo de Execução:304.113632segundos</t>
  </si>
  <si>
    <t>Tempo de Execução:304.760171segundos</t>
  </si>
  <si>
    <t>Tempo de Execução:305.08766segundos</t>
  </si>
  <si>
    <t>Tempo de Execução:305.63549segundos</t>
  </si>
  <si>
    <t>Tempo de Execução:306.280869segundos</t>
  </si>
  <si>
    <t>Tempo de Execução:306.714219segundos</t>
  </si>
  <si>
    <t>Tempo de Execução:307.275727segundos</t>
  </si>
  <si>
    <t>Tempo de Execução:307.806892segundos</t>
  </si>
  <si>
    <t>Tempo de Execução:308.136115segundos</t>
  </si>
  <si>
    <t>Tempo de Execução:308.678217segundos</t>
  </si>
  <si>
    <t>Tempo de Execução:309.225055segundos</t>
  </si>
  <si>
    <t>Tempo de Execução:309.665188segundos</t>
  </si>
  <si>
    <t>Tempo de Execução:310.201369segundos</t>
  </si>
  <si>
    <t>Tempo de Execução:310.74784segundos</t>
  </si>
  <si>
    <t>Tempo de Execução:311.18078segundos</t>
  </si>
  <si>
    <t>Tempo de Execução:311.721166segundos</t>
  </si>
  <si>
    <t>Tempo de Execução:312.266866segundos</t>
  </si>
  <si>
    <t>Tempo de Execução:312.80176segundos</t>
  </si>
  <si>
    <t>Tempo de Execução:313.240523segundos</t>
  </si>
  <si>
    <t>Tempo de Execução:313.785811segundos</t>
  </si>
  <si>
    <t>Tempo de Execução:314.221517segundos</t>
  </si>
  <si>
    <t>Tempo de Execução:314.765429segundos</t>
  </si>
  <si>
    <t>Tempo de Execução:315.200228segundos</t>
  </si>
  <si>
    <t>Tempo de Execução:315.73984segundos</t>
  </si>
  <si>
    <t>Tempo de Execução:316.286612segundos</t>
  </si>
  <si>
    <t>Tempo de Execução:316.722412segundos</t>
  </si>
  <si>
    <t>Tempo de Execução:317.269082segundos</t>
  </si>
  <si>
    <t>Tempo de Execução:317.813318segundos</t>
  </si>
  <si>
    <t>Tempo de Execução:318.247444segundos</t>
  </si>
  <si>
    <t>Tempo de Execução:318.788269segundos</t>
  </si>
  <si>
    <t>Tempo de Execução:319.333865segundos</t>
  </si>
  <si>
    <t>Tempo de Execução:319.863408segundos</t>
  </si>
  <si>
    <t>Tempo de Execução:320.304015segundos</t>
  </si>
  <si>
    <t>Tempo de Execução:320.846003segundos</t>
  </si>
  <si>
    <t>Tempo de Execução:321.28001segundos</t>
  </si>
  <si>
    <t>Tempo de Execução:321.825302segundos</t>
  </si>
  <si>
    <t>Tempo de Execução:322.366157segundos</t>
  </si>
  <si>
    <t>Tempo de Execução:322.800864segundos</t>
  </si>
  <si>
    <t>Tempo de Execução:323.341468segundos</t>
  </si>
  <si>
    <t>Tempo de Execução:323.888508segundos</t>
  </si>
  <si>
    <t>Tempo de Execução:324.4227segundos</t>
  </si>
  <si>
    <t>Tempo de Execução:324.861922segundos</t>
  </si>
  <si>
    <t>Tempo de Execução:325.410918segundos</t>
  </si>
  <si>
    <t>Tempo de Execução:327.099593segundos</t>
  </si>
  <si>
    <t>Tempo de Execução:327.336963segundos</t>
  </si>
  <si>
    <t>Tempo de Execução:327.685919segundos</t>
  </si>
  <si>
    <t>Tempo de Execução:328.121194segundos</t>
  </si>
  <si>
    <t>Tempo de Execução:328.661794segundos</t>
  </si>
  <si>
    <t>Tempo de Execução:329.209905segundos</t>
  </si>
  <si>
    <t>Tempo de Execução:329.644035segundos</t>
  </si>
  <si>
    <t>Tempo de Execução:330.185699segundos</t>
  </si>
  <si>
    <t>Tempo de Execução:330.727831segundos</t>
  </si>
  <si>
    <t>Tempo de Execução:331.161547segundos</t>
  </si>
  <si>
    <t>Tempo de Execução:331.707segundos</t>
  </si>
  <si>
    <t>Tempo de Execução:332.255999segundos</t>
  </si>
  <si>
    <t>Tempo de Execução:332.686608segundos</t>
  </si>
  <si>
    <t>Tempo de Execução:333.228415segundos</t>
  </si>
  <si>
    <t>Tempo de Execução:333.775264segundos</t>
  </si>
  <si>
    <t>Tempo de Execução:334.20563segundos</t>
  </si>
  <si>
    <t>Tempo de Execução:334.744763segundos</t>
  </si>
  <si>
    <t>Tempo de Execução:335.284933segundos</t>
  </si>
  <si>
    <t>Tempo de Execução:335.720248segundos</t>
  </si>
  <si>
    <t>Tempo de Execução:336.260058segundos</t>
  </si>
  <si>
    <t>Tempo de Execução:336.804867segundos</t>
  </si>
  <si>
    <t>Tempo de Execução:337.238219segundos</t>
  </si>
  <si>
    <t>Tempo de Execução:337.780609segundos</t>
  </si>
  <si>
    <t>Tempo de Execução:338.320961segundos</t>
  </si>
  <si>
    <t>Tempo de Execução:338.753373segundos</t>
  </si>
  <si>
    <t>Tempo de Execução:339.293714segundos</t>
  </si>
  <si>
    <t>Tempo de Execução:339.937962segundos</t>
  </si>
  <si>
    <t>Tempo de Execução:340.269316segundos</t>
  </si>
  <si>
    <t>Tempo de Execução:340.810362segundos</t>
  </si>
  <si>
    <t>Tempo de Execução:341.450975segundos</t>
  </si>
  <si>
    <t>Tempo de Execução:341.89318segundos</t>
  </si>
  <si>
    <t>Tempo de Execução:342.348707segundos</t>
  </si>
  <si>
    <t>Tempo de Execução:342.870394segundos</t>
  </si>
  <si>
    <t>Tempo de Execução:343.304103segundos</t>
  </si>
  <si>
    <t>Tempo de Execução:343.84513segundos</t>
  </si>
  <si>
    <t>Tempo de Execução:344.387053segundos</t>
  </si>
  <si>
    <t>Tempo de Execução:344.932875segundos</t>
  </si>
  <si>
    <t>Tempo de Execução:345.490024segundos</t>
  </si>
  <si>
    <t>Tempo de Execução:345.91549segundos</t>
  </si>
  <si>
    <t>Tempo de Execução:346.457443segundos</t>
  </si>
  <si>
    <t>Tempo de Execução:346.893145segundos</t>
  </si>
  <si>
    <t>Tempo de Execução:347.431827segundos</t>
  </si>
  <si>
    <t>Tempo de Execução:347.966963segundos</t>
  </si>
  <si>
    <t>Tempo de Execução:348.504043segundos</t>
  </si>
  <si>
    <t>Tempo de Execução:348.946591segundos</t>
  </si>
  <si>
    <t>Tempo de Execução:349.488022segundos</t>
  </si>
  <si>
    <t>Tempo de Execução:350.027654segundos</t>
  </si>
  <si>
    <t>Tempo de Execução:350.469576segundos</t>
  </si>
  <si>
    <t>Tempo de Execução:351.009705segundos</t>
  </si>
  <si>
    <t>Tempo de Execução:351.442035segundos</t>
  </si>
  <si>
    <t>Tempo de Execução:351.987022segundos</t>
  </si>
  <si>
    <t>Tempo de Execução:352.632805segundos</t>
  </si>
  <si>
    <t>Tempo de Execução:352.965431segundos</t>
  </si>
  <si>
    <t>Tempo de Execução:353.503507segundos</t>
  </si>
  <si>
    <t>Tempo de Execução:354.051707segundos</t>
  </si>
  <si>
    <t>Tempo de Execução:354.587745segundos</t>
  </si>
  <si>
    <t>Tempo de Execução:355.028237segundos</t>
  </si>
  <si>
    <t>Tempo de Execução:355.565864segundos</t>
  </si>
  <si>
    <t>Tempo de Execução:356.002394segundos</t>
  </si>
  <si>
    <t>Tempo de Execução:356.546358segundos</t>
  </si>
  <si>
    <t>Tempo de Execução:357.09037segundos</t>
  </si>
  <si>
    <t>Tempo de Execução:357.520235segundos</t>
  </si>
  <si>
    <t>Tempo de Execução:358.080167segundos</t>
  </si>
  <si>
    <t>Tempo de Execução:358.604333segundos</t>
  </si>
  <si>
    <t>Tempo de Execução:359.156912segundos</t>
  </si>
  <si>
    <t>Tempo de Execução:359.694386segundos</t>
  </si>
  <si>
    <t>Tempo de Execução:360.23454segundos</t>
  </si>
  <si>
    <t>Tempo de Execução:360.700949segundos</t>
  </si>
  <si>
    <t>Tempo de Execução:361.109394segundos</t>
  </si>
  <si>
    <t>Tempo de Execução:361.835441segundos</t>
  </si>
  <si>
    <t>Tempo de Execução:362.201228segundos</t>
  </si>
  <si>
    <t>Tempo de Execução:362.754738segundos</t>
  </si>
  <si>
    <t>Tempo de Execução:363.213155segundos</t>
  </si>
  <si>
    <t>Tempo de Execução:363.72199segundos</t>
  </si>
  <si>
    <t>Tempo de Execução:364.269499segundos</t>
  </si>
  <si>
    <t>Tempo de Execução:364.821287segundos</t>
  </si>
  <si>
    <t>Tempo de Execução:365.278087segundos</t>
  </si>
  <si>
    <t>Tempo de Execução:365.816678segundos</t>
  </si>
  <si>
    <t>Tempo de Execução:366.431417segundos</t>
  </si>
  <si>
    <t>Tempo de Execução:367.035066segundos</t>
  </si>
  <si>
    <t>Tempo de Execução:367.530474segundos</t>
  </si>
  <si>
    <t>Tempo de Execução:367.878588segundos</t>
  </si>
  <si>
    <t>Tempo de Execução:368.397277segundos</t>
  </si>
  <si>
    <t>Tempo de Execução:368.862344segundos</t>
  </si>
  <si>
    <t>Tempo de Execução:369.496428segundos</t>
  </si>
  <si>
    <t>Tempo de Execução:370.04836segundos</t>
  </si>
  <si>
    <t>Tempo de Execução:370.348743segundos</t>
  </si>
  <si>
    <t>Tempo de Execução:370.886562segundos</t>
  </si>
  <si>
    <t>Tempo de Execução:371.43947segundos</t>
  </si>
  <si>
    <t>Tempo de Execução:371.868705segundos</t>
  </si>
  <si>
    <t>Tempo de Execução:372.410945segundos</t>
  </si>
  <si>
    <t>Tempo de Execução:372.983578segundos</t>
  </si>
  <si>
    <t>Tempo de Execução:373.527692segundos</t>
  </si>
  <si>
    <t>Tempo de Execução:373.989025segundos</t>
  </si>
  <si>
    <t>Tempo de Execução:374.586939segundos</t>
  </si>
  <si>
    <t>Tempo de Execução:375.010411segundos</t>
  </si>
  <si>
    <t>Tempo de Execução:375.443205segundos</t>
  </si>
  <si>
    <t>Tempo de Execução:376.046842segundos</t>
  </si>
  <si>
    <t>Tempo de Execução:376.576098segundos</t>
  </si>
  <si>
    <t>Tempo de Execução:376.965503segundos</t>
  </si>
  <si>
    <t>Tempo de Execução:377.509112segundos</t>
  </si>
  <si>
    <t>Tempo de Execução:378.053925segundos</t>
  </si>
  <si>
    <t>Tempo de Execução:378.764302segundos</t>
  </si>
  <si>
    <t>Tempo de Execução:379.219483segundos</t>
  </si>
  <si>
    <t>Tempo de Execução:379.735389segundos</t>
  </si>
  <si>
    <t>Tempo de Execução:380.120128segundos</t>
  </si>
  <si>
    <t>Tempo de Execução:380.661808segundos</t>
  </si>
  <si>
    <t>Tempo de Execução:381.354193segundos</t>
  </si>
  <si>
    <t>Tempo de Execução:381.783194segundos</t>
  </si>
  <si>
    <t>Tempo de Execução:382.301824segundos</t>
  </si>
  <si>
    <t>Tempo de Execução:382.725009segundos</t>
  </si>
  <si>
    <t>Tempo de Execução:383.157071segundos</t>
  </si>
  <si>
    <t>Tempo de Execução:383.86704segundos</t>
  </si>
  <si>
    <t>Tempo de Execução:384.272654segundos</t>
  </si>
  <si>
    <t>Tempo de Execução:384.898058segundos</t>
  </si>
  <si>
    <t>Tempo de Execução:385.332623segundos</t>
  </si>
  <si>
    <t>Tempo de Execução:385.876011segundos</t>
  </si>
  <si>
    <t>Tempo de Execução:386.551234segundos</t>
  </si>
  <si>
    <t>Tempo de Execução:387.022765segundos</t>
  </si>
  <si>
    <t>Tempo de Execução:387.45871segundos</t>
  </si>
  <si>
    <t>Tempo de Execução:387.968143segundos</t>
  </si>
  <si>
    <t>Tempo de Execução:388.48155segundos</t>
  </si>
  <si>
    <t>Tempo de Execução:388.918333segundos</t>
  </si>
  <si>
    <t>Tempo de Execução:389.518318segundos</t>
  </si>
  <si>
    <t>Tempo de Execução:390.140708segundos</t>
  </si>
  <si>
    <t>Tempo de Execução:390.612365segundos</t>
  </si>
  <si>
    <t>Tempo de Execução:390.987266segundos</t>
  </si>
  <si>
    <t>Tempo de Execução:391.531433segundos</t>
  </si>
  <si>
    <t xml:space="preserve">ótimo produto, bem melhor do que o meu anterior.
ótimo produto, é realmente incrível! Vale a pena comprá-lo.
ótimo desse relogio. Gostei bastante.
ótimo produto, realmente é útil para mim.
ótimo! Esse carro é incrível. Perfeitamente para eu.
ótimo produto, bem melhor do que o esperado.
ótimo produto, serve muito bem o seu propósito.
ótimo carrinho para compras online. Facil de usar e rápido em entrega.
ótimo produto esse relógio solar. Funciona perfeitamente!
ótimo desse refrigerante. É muito mais barato do que o meu antigo e funciona bem.
                    Com
ótimo desse lanço de perfume. Adorei!
ótimo produto esse refrigerante. Gostei muito da qualidade.
ótimo produto essa creme hidratante. Meu pele agora está mais suave.
ótimo produto! Valor bem pago.
ótimo produto, bom valor para o dinheiro.
ótimo produto, realmente recommended.
ótimo produto, muito bem feito, recomendo!
ótimo esse produto de beleza. Veio em uma caixa grande e valia a pena.
 Meu novo carro é incrível. Bem mais confortável e rápido do que o meu antigo.
ótimo produto, é realmente incrível!
ótimo produto, gostei muito.
ótimo relojoeiro, mas muito caro.
ótimo produto essa creme hidratante. Me ajuda a manter minha pele hidrata.
ótimo esse colchão. Sonhos confortáveis.
 Meu novo carro é incrível! Funciona perfeitamente e muito confortável.
                    Comentário
ótimo produto! recomendo para todos.
ótimo relojoeira. Gostei muito do design.
ótimo produto esse fone de ouvido wireless.
ótimo produto esse brinquedo. Muitos detalhes bem thought.
Ótimo produto essa creme para cutículas. Agora minhas unhas estão mais saudáveis e fortes
ótimo produto, realmente recomendo!
ótimo produto! vale a pena apena.
ótimo produto! Me encantou!
ótimo relojoeira! Gostei muito do design e da qualidade.
ótimo produto, muito recomendado!
ótimo produto esse chaleco solar. Gostei muito da qualidade.
ótimo produto, mas muito caro para mim.
ótimo produto, gostei muito, recomendo!
ótimo produto, recomendo!
ótimo desse relógio solar. Funciona perfeitamente.
ótimo produto, realmente funciona bem!
ótimo produto, é realmente incrível!
ótimo produto! Vale a pena comprar.
ótimo! Esse relógio é incrível! Bem melhor do que o meu antigo.
Ótimo relojoeira. Perfeitamente para mim.
ótimo desequeir hoje! Gostei do produto.
ótimo produto, é muito útil para mim.
ótimo e confortável essa cadeira de trabalho.
ótimo produto, realmente! Gostei muito.
ótimo deseja-lo estojo de compras. Gostei muito.
</t>
  </si>
  <si>
    <t>anterior</t>
  </si>
  <si>
    <t>propósito</t>
  </si>
  <si>
    <t>lanço</t>
  </si>
  <si>
    <t>perfume</t>
  </si>
  <si>
    <t>pago</t>
  </si>
  <si>
    <t>recommended</t>
  </si>
  <si>
    <t>beleza</t>
  </si>
  <si>
    <t>grande</t>
  </si>
  <si>
    <t>hidrata</t>
  </si>
  <si>
    <t>colchão</t>
  </si>
  <si>
    <t>sonhos</t>
  </si>
  <si>
    <t>confortáveis</t>
  </si>
  <si>
    <t>wireless</t>
  </si>
  <si>
    <t>detalhes</t>
  </si>
  <si>
    <t>thought</t>
  </si>
  <si>
    <t>cutículas</t>
  </si>
  <si>
    <t>unhas</t>
  </si>
  <si>
    <t>saudáveis</t>
  </si>
  <si>
    <t>fortes</t>
  </si>
  <si>
    <t>apena</t>
  </si>
  <si>
    <t>encantou</t>
  </si>
  <si>
    <t>recomendado</t>
  </si>
  <si>
    <t>chaleco</t>
  </si>
  <si>
    <t>desequeir</t>
  </si>
  <si>
    <t>desejalo</t>
  </si>
  <si>
    <t>estojo</t>
  </si>
  <si>
    <t>{"valorA":"comprálo","valorB":1}</t>
  </si>
  <si>
    <t>{"valorA":"anterior","valorB":1}</t>
  </si>
  <si>
    <t>{"valorA":"esperado","valorB":1}</t>
  </si>
  <si>
    <t>{"valorA":"propósito","valorB":1}</t>
  </si>
  <si>
    <t>{"valorA":"compras","valorB":1}</t>
  </si>
  <si>
    <t>{"valorA":"carrinho","valorB":1}</t>
  </si>
  <si>
    <t>{"valorA":"facil","valorB":1}</t>
  </si>
  <si>
    <t>{"valorA":"solar","valorB":1}</t>
  </si>
  <si>
    <t>{"valorA":"lanço","valorB":1}</t>
  </si>
  <si>
    <t>{"valorA":"perfume","valorB":1}</t>
  </si>
  <si>
    <t>{"valorA":"desse","valorB":3}</t>
  </si>
  <si>
    <t>{"valorA":"refrigerante","valorB":2}</t>
  </si>
  <si>
    <t>{"valorA":"pago","valorB":1}</t>
  </si>
  <si>
    <t>{"valorA":"valor","valorB":2}</t>
  </si>
  <si>
    <t>{"valorA":"recommended","valorB":1}</t>
  </si>
  <si>
    <t>{"valorA":"beleza","valorB":1}</t>
  </si>
  <si>
    <t>{"valorA":"valia","valorB":1}</t>
  </si>
  <si>
    <t>{"valorA":"grande","valorB":1}</t>
  </si>
  <si>
    <t>{"valorA":"veio","valorB":1}</t>
  </si>
  <si>
    <t>{"valorA":"realmente","valorB":4}</t>
  </si>
  <si>
    <t>{"valorA":"hidratante","valorB":2}</t>
  </si>
  <si>
    <t>{"valorA":"ajuda","valorB":1}</t>
  </si>
  <si>
    <t>{"valorA":"pele","valorB":2}</t>
  </si>
  <si>
    <t>{"valorA":"hidrata","valorB":1}</t>
  </si>
  <si>
    <t>{"valorA":"sonhos","valorB":1}</t>
  </si>
  <si>
    <t>{"valorA":"confortáveis","valorB":1}</t>
  </si>
  <si>
    <t>{"valorA":"colchão","valorB":1}</t>
  </si>
  <si>
    <t>{"valorA":"wireless","valorB":1}</t>
  </si>
  <si>
    <t>{"valorA":"ouvido","valorB":1}</t>
  </si>
  <si>
    <t>{"valorA":"detalhes","valorB":1}</t>
  </si>
  <si>
    <t>{"valorA":"thought","valorB":1}</t>
  </si>
  <si>
    <t>{"valorA":"cutículas","valorB":1}</t>
  </si>
  <si>
    <t>{"valorA":"creme","valorB":3}</t>
  </si>
  <si>
    <t>{"valorA":"unhas","valorB":1}</t>
  </si>
  <si>
    <t>{"valorA":"saudáveis","valorB":1}</t>
  </si>
  <si>
    <t>{"valorA":"mais","valorB":4}</t>
  </si>
  <si>
    <t>{"valorA":"fortes","valorB":1}</t>
  </si>
  <si>
    <t>{"valorA":"realmente","valorB":5}</t>
  </si>
  <si>
    <t>{"valorA":"apena","valorB":1}</t>
  </si>
  <si>
    <t>{"valorA":"encantou","valorB":1}</t>
  </si>
  <si>
    <t>{"valorA":"recomendado","valorB":1}</t>
  </si>
  <si>
    <t>{"valorA":"chaleco","valorB":1}</t>
  </si>
  <si>
    <t>{"valorA":"solar","valorB":2}</t>
  </si>
  <si>
    <t>{"valorA":"da","valorB":3}</t>
  </si>
  <si>
    <t>{"valorA":"solar","valorB":3}</t>
  </si>
  <si>
    <t>{"valorA":"desse","valorB":4}</t>
  </si>
  <si>
    <t>{"valorA":"realmente","valorB":6}</t>
  </si>
  <si>
    <t>{"valorA":"realmente","valorB":7}</t>
  </si>
  <si>
    <t>{"valorA":"pena","valorB":4}</t>
  </si>
  <si>
    <t>{"valorA":"melhor","valorB":3}</t>
  </si>
  <si>
    <t>{"valorA":"antigo","valorB":3}</t>
  </si>
  <si>
    <t>{"valorA":"desequeir","valorB":1}</t>
  </si>
  <si>
    <t>{"valorA":"trabalho","valorB":1}</t>
  </si>
  <si>
    <t>{"valorA":"realmente","valorB":8}</t>
  </si>
  <si>
    <t>{"valorA":"gostei","valorB":10}</t>
  </si>
  <si>
    <t>{"valorA":"estojo","valorB":1}</t>
  </si>
  <si>
    <t>{"valorA":"compras","valorB":2}</t>
  </si>
  <si>
    <t>{"valorA":"desejalo","valorB":1}</t>
  </si>
  <si>
    <t>Tempo de Execução:89.68369segundos</t>
  </si>
  <si>
    <t>Tempo de Execução:89.791728segundos</t>
  </si>
  <si>
    <t>Tempo de Execução:89.911155segundos</t>
  </si>
  <si>
    <t>Tempo de Execução:90.041249segundos</t>
  </si>
  <si>
    <t>Tempo de Execução:90.186928segundos</t>
  </si>
  <si>
    <t>Tempo de Execução:90.383626segundos</t>
  </si>
  <si>
    <t>Tempo de Execução:90.545046segundos</t>
  </si>
  <si>
    <t>Tempo de Execução:90.739754segundos</t>
  </si>
  <si>
    <t>Tempo de Execução:90.943555segundos</t>
  </si>
  <si>
    <t>Tempo de Execução:91.140107segundos</t>
  </si>
  <si>
    <t>Tempo de Execução:91.319262segundos</t>
  </si>
  <si>
    <t>Tempo de Execução:91.48464segundos</t>
  </si>
  <si>
    <t>Tempo de Execução:91.669653segundos</t>
  </si>
  <si>
    <t>Tempo de Execução:91.85063segundos</t>
  </si>
  <si>
    <t>Tempo de Execução:92.059156segundos</t>
  </si>
  <si>
    <t>Tempo de Execução:92.2586segundos</t>
  </si>
  <si>
    <t>Tempo de Execução:92.525495segundos</t>
  </si>
  <si>
    <t>Tempo de Execução:92.742051segundos</t>
  </si>
  <si>
    <t>Tempo de Execução:92.973731segundos</t>
  </si>
  <si>
    <t>Tempo de Execução:93.209421segundos</t>
  </si>
  <si>
    <t>Tempo de Execução:93.446688segundos</t>
  </si>
  <si>
    <t>Tempo de Execução:93.685975segundos</t>
  </si>
  <si>
    <t>Tempo de Execução:93.940176segundos</t>
  </si>
  <si>
    <t>Tempo de Execução:94.196225segundos</t>
  </si>
  <si>
    <t>Tempo de Execução:94.448602segundos</t>
  </si>
  <si>
    <t>Tempo de Execução:94.724291segundos</t>
  </si>
  <si>
    <t>Tempo de Execução:95.013978segundos</t>
  </si>
  <si>
    <t>Tempo de Execução:95.312104segundos</t>
  </si>
  <si>
    <t>Tempo de Execução:95.596383segundos</t>
  </si>
  <si>
    <t>Tempo de Execução:95.921967segundos</t>
  </si>
  <si>
    <t>Tempo de Execução:96.250447segundos</t>
  </si>
  <si>
    <t>Tempo de Execução:96.578975segundos</t>
  </si>
  <si>
    <t>Tempo de Execução:96.905226segundos</t>
  </si>
  <si>
    <t>Tempo de Execução:97.205361segundos</t>
  </si>
  <si>
    <t>Tempo de Execução:97.607414segundos</t>
  </si>
  <si>
    <t>Tempo de Execução:97.924821segundos</t>
  </si>
  <si>
    <t>Tempo de Execução:98.266344segundos</t>
  </si>
  <si>
    <t>Tempo de Execução:98.618093segundos</t>
  </si>
  <si>
    <t>Tempo de Execução:100.696011segundos</t>
  </si>
  <si>
    <t>Tempo de Execução:101.020339segundos</t>
  </si>
  <si>
    <t>Tempo de Execução:101.339067segundos</t>
  </si>
  <si>
    <t>Tempo de Execução:101.651521segundos</t>
  </si>
  <si>
    <t>Tempo de Execução:101.957618segundos</t>
  </si>
  <si>
    <t>Tempo de Execução:102.278615segundos</t>
  </si>
  <si>
    <t>Tempo de Execução:102.587841segundos</t>
  </si>
  <si>
    <t>Tempo de Execução:102.946721segundos</t>
  </si>
  <si>
    <t>Tempo de Execução:105.270115segundos</t>
  </si>
  <si>
    <t>Tempo de Execução:105.676541segundos</t>
  </si>
  <si>
    <t>Tempo de Execução:106.257043segundos</t>
  </si>
  <si>
    <t>Tempo de Execução:106.585787segundos</t>
  </si>
  <si>
    <t>Tempo de Execução:106.937054segundos</t>
  </si>
  <si>
    <t>Tempo de Execução:107.302745segundos</t>
  </si>
  <si>
    <t>Tempo de Execução:107.635454segundos</t>
  </si>
  <si>
    <t>Tempo de Execução:107.979127segundos</t>
  </si>
  <si>
    <t>Tempo de Execução:112.244049segundos</t>
  </si>
  <si>
    <t>Tempo de Execução:112.626168segundos</t>
  </si>
  <si>
    <t>Tempo de Execução:112.964816segundos</t>
  </si>
  <si>
    <t>Tempo de Execução:113.311712segundos</t>
  </si>
  <si>
    <t>Tempo de Execução:113.662403segundos</t>
  </si>
  <si>
    <t>Tempo de Execução:113.985557segundos</t>
  </si>
  <si>
    <t>Tempo de Execução:114.339374segundos</t>
  </si>
  <si>
    <t>Tempo de Execução:114.719112segundos</t>
  </si>
  <si>
    <t>Tempo de Execução:115.075248segundos</t>
  </si>
  <si>
    <t>Tempo de Execução:115.425459segundos</t>
  </si>
  <si>
    <t>Tempo de Execução:115.816941segundos</t>
  </si>
  <si>
    <t>Tempo de Execução:116.227905segundos</t>
  </si>
  <si>
    <t>Tempo de Execução:118.216527segundos</t>
  </si>
  <si>
    <t>Tempo de Execução:118.569015segundos</t>
  </si>
  <si>
    <t>Tempo de Execução:118.905688segundos</t>
  </si>
  <si>
    <t>Tempo de Execução:119.251316segundos</t>
  </si>
  <si>
    <t>Tempo de Execução:119.596178segundos</t>
  </si>
  <si>
    <t>Tempo de Execução:120.00835segundos</t>
  </si>
  <si>
    <t>Tempo de Execução:120.344287segundos</t>
  </si>
  <si>
    <t>Tempo de Execução:127.468228segundos</t>
  </si>
  <si>
    <t>Tempo de Execução:127.817629segundos</t>
  </si>
  <si>
    <t>Tempo de Execução:128.201358segundos</t>
  </si>
  <si>
    <t>Tempo de Execução:128.516162segundos</t>
  </si>
  <si>
    <t>Tempo de Execução:128.839609segundos</t>
  </si>
  <si>
    <t>Tempo de Execução:129.178974segundos</t>
  </si>
  <si>
    <t>Tempo de Execução:129.508651segundos</t>
  </si>
  <si>
    <t>Tempo de Execução:129.84529segundos</t>
  </si>
  <si>
    <t>Tempo de Execução:130.171961segundos</t>
  </si>
  <si>
    <t>Tempo de Execução:130.503314segundos</t>
  </si>
  <si>
    <t>Tempo de Execução:130.861752segundos</t>
  </si>
  <si>
    <t>Tempo de Execução:131.202087segundos</t>
  </si>
  <si>
    <t>Tempo de Execução:131.527321segundos</t>
  </si>
  <si>
    <t>Tempo de Execução:131.860767segundos</t>
  </si>
  <si>
    <t>Tempo de Execução:132.216486segundos</t>
  </si>
  <si>
    <t>Tempo de Execução:132.622904segundos</t>
  </si>
  <si>
    <t>Tempo de Execução:133.449623segundos</t>
  </si>
  <si>
    <t>Tempo de Execução:133.789343segundos</t>
  </si>
  <si>
    <t>Tempo de Execução:134.109819segundos</t>
  </si>
  <si>
    <t>Tempo de Execução:134.424564segundos</t>
  </si>
  <si>
    <t>Tempo de Execução:134.739671segundos</t>
  </si>
  <si>
    <t>Tempo de Execução:135.075942segundos</t>
  </si>
  <si>
    <t>Tempo de Execução:139.000383segundos</t>
  </si>
  <si>
    <t>Tempo de Execução:139.3312segundos</t>
  </si>
  <si>
    <t>Tempo de Execução:139.673124segundos</t>
  </si>
  <si>
    <t>Tempo de Execução:140.013602segundos</t>
  </si>
  <si>
    <t>Tempo de Execução:140.341183segundos</t>
  </si>
  <si>
    <t>Tempo de Execução:140.67227segundos</t>
  </si>
  <si>
    <t>Tempo de Execução:141.096984segundos</t>
  </si>
  <si>
    <t>Tempo de Execução:141.42475segundos</t>
  </si>
  <si>
    <t>Tempo de Execução:145.739313segundos</t>
  </si>
  <si>
    <t>Tempo de Execução:146.09781segundos</t>
  </si>
  <si>
    <t>Tempo de Execução:146.425412segundos</t>
  </si>
  <si>
    <t>Tempo de Execução:146.765891segundos</t>
  </si>
  <si>
    <t>Tempo de Execução:147.107331segundos</t>
  </si>
  <si>
    <t>Tempo de Execução:147.452634segundos</t>
  </si>
  <si>
    <t>Tempo de Execução:147.790649segundos</t>
  </si>
  <si>
    <t>Tempo de Execução:148.1335segundos</t>
  </si>
  <si>
    <t>Tempo de Execução:148.479904segundos</t>
  </si>
  <si>
    <t>Tempo de Execução:148.816195segundos</t>
  </si>
  <si>
    <t>Tempo de Execução:149.144762segundos</t>
  </si>
  <si>
    <t>Tempo de Execução:149.545608segundos</t>
  </si>
  <si>
    <t>Tempo de Execução:149.907194segundos</t>
  </si>
  <si>
    <t>Tempo de Execução:150.262399segundos</t>
  </si>
  <si>
    <t>Tempo de Execução:150.60785segundos</t>
  </si>
  <si>
    <t>Tempo de Execução:150.962005segundos</t>
  </si>
  <si>
    <t>Tempo de Execução:152.920932segundos</t>
  </si>
  <si>
    <t>Tempo de Execução:153.26994segundos</t>
  </si>
  <si>
    <t>Tempo de Execução:153.605933segundos</t>
  </si>
  <si>
    <t>Tempo de Execução:153.954799segundos</t>
  </si>
  <si>
    <t>Tempo de Execução:154.295078segundos</t>
  </si>
  <si>
    <t>Tempo de Execução:154.625846segundos</t>
  </si>
  <si>
    <t>Tempo de Execução:154.95657segundos</t>
  </si>
  <si>
    <t>Tempo de Execução:155.744801segundos</t>
  </si>
  <si>
    <t>Tempo de Execução:156.102934segundos</t>
  </si>
  <si>
    <t>Tempo de Execução:156.531916segundos</t>
  </si>
  <si>
    <t>Tempo de Execução:156.865012segundos</t>
  </si>
  <si>
    <t>Tempo de Execução:159.666353segundos</t>
  </si>
  <si>
    <t>Tempo de Execução:160.031056segundos</t>
  </si>
  <si>
    <t>Tempo de Execução:160.403375segundos</t>
  </si>
  <si>
    <t>Tempo de Execução:160.754261segundos</t>
  </si>
  <si>
    <t>Tempo de Execução:161.11287segundos</t>
  </si>
  <si>
    <t>Tempo de Execução:161.47697segundos</t>
  </si>
  <si>
    <t>Tempo de Execução:166.850176segundos</t>
  </si>
  <si>
    <t>Tempo de Execução:167.196804segundos</t>
  </si>
  <si>
    <t>Tempo de Execução:167.536823segundos</t>
  </si>
  <si>
    <t>Tempo de Execução:167.869472segundos</t>
  </si>
  <si>
    <t>Tempo de Execução:168.265618segundos</t>
  </si>
  <si>
    <t>Tempo de Execução:168.623028segundos</t>
  </si>
  <si>
    <t>Tempo de Execução:168.96201segundos</t>
  </si>
  <si>
    <t>Tempo de Execução:169.301659segundos</t>
  </si>
  <si>
    <t>Tempo de Execução:169.647896segundos</t>
  </si>
  <si>
    <t>Tempo de Execução:170.000034segundos</t>
  </si>
  <si>
    <t>Tempo de Execução:170.359082segundos</t>
  </si>
  <si>
    <t>Tempo de Execução:170.723461segundos</t>
  </si>
  <si>
    <t>Tempo de Execução:171.079202segundos</t>
  </si>
  <si>
    <t>Tempo de Execução:171.413966segundos</t>
  </si>
  <si>
    <t>Tempo de Execução:175.33655segundos</t>
  </si>
  <si>
    <t>Tempo de Execução:175.69388segundos</t>
  </si>
  <si>
    <t>Tempo de Execução:176.040438segundos</t>
  </si>
  <si>
    <t>Tempo de Execução:176.395731segundos</t>
  </si>
  <si>
    <t>Tempo de Execução:176.807691segundos</t>
  </si>
  <si>
    <t>Tempo de Execução:177.15931segundos</t>
  </si>
  <si>
    <t>Tempo de Execução:177.485772segundos</t>
  </si>
  <si>
    <t>Tempo de Execução:177.818951segundos</t>
  </si>
  <si>
    <t>Tempo de Execução:178.166163segundos</t>
  </si>
  <si>
    <t>Tempo de Execução:178.491074segundos</t>
  </si>
  <si>
    <t>Tempo de Execução:178.835188segundos</t>
  </si>
  <si>
    <t>Tempo de Execução:179.18127segundos</t>
  </si>
  <si>
    <t>Tempo de Execução:179.518706segundos</t>
  </si>
  <si>
    <t>Tempo de Execução:179.863352segundos</t>
  </si>
  <si>
    <t>Tempo de Execução:180.213785segundos</t>
  </si>
  <si>
    <t>Tempo de Execução:180.670686segundos</t>
  </si>
  <si>
    <t>Tempo de Execução:181.03096segundos</t>
  </si>
  <si>
    <t>Tempo de Execução:181.42951segundos</t>
  </si>
  <si>
    <t>Tempo de Execução:181.775634segundos</t>
  </si>
  <si>
    <t>Tempo de Execução:182.115515segundos</t>
  </si>
  <si>
    <t>Tempo de Execução:183.715139segundos</t>
  </si>
  <si>
    <t>Tempo de Execução:184.057587segundos</t>
  </si>
  <si>
    <t>Tempo de Execução:184.424218segundos</t>
  </si>
  <si>
    <t>Tempo de Execução:184.770717segundos</t>
  </si>
  <si>
    <t>Tempo de Execução:187.52263segundos</t>
  </si>
  <si>
    <t>Tempo de Execução:187.875953segundos</t>
  </si>
  <si>
    <t>Tempo de Execução:188.229599segundos</t>
  </si>
  <si>
    <t>Tempo de Execução:188.614321segundos</t>
  </si>
  <si>
    <t>Tempo de Execução:188.955811segundos</t>
  </si>
  <si>
    <t>Tempo de Execução:194.907169segundos</t>
  </si>
  <si>
    <t>Tempo de Execução:195.332751segundos</t>
  </si>
  <si>
    <t>Tempo de Execução:195.649034segundos</t>
  </si>
  <si>
    <t>Tempo de Execução:195.999737segundos</t>
  </si>
  <si>
    <t>Tempo de Execução:196.325368segundos</t>
  </si>
  <si>
    <t>Tempo de Execução:196.649506segundos</t>
  </si>
  <si>
    <t>Tempo de Execução:196.962366segundos</t>
  </si>
  <si>
    <t>Tempo de Execução:197.300417segundos</t>
  </si>
  <si>
    <t>Tempo de Execução:197.626005segundos</t>
  </si>
  <si>
    <t>Tempo de Execução:197.947167segundos</t>
  </si>
  <si>
    <t>Tempo de Execução:198.280251segundos</t>
  </si>
  <si>
    <t>Tempo de Execução:198.598229segundos</t>
  </si>
  <si>
    <t>Tempo de Execução:200.886613segundos</t>
  </si>
  <si>
    <t>Tempo de Execução:201.233098segundos</t>
  </si>
  <si>
    <t>Tempo de Execução:201.576036segundos</t>
  </si>
  <si>
    <t>Tempo de Execução:201.960006segundos</t>
  </si>
  <si>
    <t>Tempo de Execução:202.282079segundos</t>
  </si>
  <si>
    <t>Tempo de Execução:209.165939segundos</t>
  </si>
  <si>
    <t>Tempo de Execução:209.510374segundos</t>
  </si>
  <si>
    <t>Tempo de Execução:209.869959segundos</t>
  </si>
  <si>
    <t>Tempo de Execução:210.225277segundos</t>
  </si>
  <si>
    <t>Tempo de Execução:210.565752segundos</t>
  </si>
  <si>
    <t>Tempo de Execução:210.920319segundos</t>
  </si>
  <si>
    <t>Tempo de Execução:211.261005segundos</t>
  </si>
  <si>
    <t>Tempo de Execução:211.60566segundos</t>
  </si>
  <si>
    <t>Tempo de Execução:211.945663segundos</t>
  </si>
  <si>
    <t>Tempo de Execução:212.283683segundos</t>
  </si>
  <si>
    <t>Tempo de Execução:212.626065segundos</t>
  </si>
  <si>
    <t>Tempo de Execução:213.019423segundos</t>
  </si>
  <si>
    <t>Tempo de Execução:213.349346segundos</t>
  </si>
  <si>
    <t>Tempo de Execução:213.682221segundos</t>
  </si>
  <si>
    <t>Tempo de Execução:214.018191segundos</t>
  </si>
  <si>
    <t>Tempo de Execução:214.353323segundos</t>
  </si>
  <si>
    <t>Tempo de Execução:216.777723segundos</t>
  </si>
  <si>
    <t>Tempo de Execução:217.113636segundos</t>
  </si>
  <si>
    <t>Tempo de Execução:217.44394segundos</t>
  </si>
  <si>
    <t>Tempo de Execução:217.789053segundos</t>
  </si>
  <si>
    <t>Tempo de Execução:218.133293segundos</t>
  </si>
  <si>
    <t>Tempo de Execução:218.474087segundos</t>
  </si>
  <si>
    <t>Tempo de Execução:222.221706segundos</t>
  </si>
  <si>
    <t>Tempo de Execução:222.556051segundos</t>
  </si>
  <si>
    <t>Tempo de Execução:222.94831segundos</t>
  </si>
  <si>
    <t>Tempo de Execução:223.276054segundos</t>
  </si>
  <si>
    <t>Tempo de Execução:223.594718segundos</t>
  </si>
  <si>
    <t>Tempo de Execução:223.928287segundos</t>
  </si>
  <si>
    <t>Tempo de Execução:224.260298segundos</t>
  </si>
  <si>
    <t>Tempo de Execução:228.214179segundos</t>
  </si>
  <si>
    <t>Tempo de Execução:228.549482segundos</t>
  </si>
  <si>
    <t>Tempo de Execução:228.873009segundos</t>
  </si>
  <si>
    <t>Tempo de Execução:229.21912segundos</t>
  </si>
  <si>
    <t>Tempo de Execução:229.547256segundos</t>
  </si>
  <si>
    <t>Tempo de Execução:229.893739segundos</t>
  </si>
  <si>
    <t>Tempo de Execução:230.226996segundos</t>
  </si>
  <si>
    <t>Tempo de Execução:230.55221segundos</t>
  </si>
  <si>
    <t>Tempo de Execução:236.737794segundos</t>
  </si>
  <si>
    <t>Tempo de Execução:237.13773segundos</t>
  </si>
  <si>
    <t>Tempo de Execução:237.464346segundos</t>
  </si>
  <si>
    <t>Tempo de Execução:237.793155segundos</t>
  </si>
  <si>
    <t>Tempo de Execução:238.132485segundos</t>
  </si>
  <si>
    <t>Tempo de Execução:238.450787segundos</t>
  </si>
  <si>
    <t>Tempo de Execução:238.780665segundos</t>
  </si>
  <si>
    <t>Tempo de Execução:239.102338segundos</t>
  </si>
  <si>
    <t>Tempo de Execução:239.430218segundos</t>
  </si>
  <si>
    <t>Tempo de Execução:239.763922segundos</t>
  </si>
  <si>
    <t>Tempo de Execução:240.111119segundos</t>
  </si>
  <si>
    <t>Tempo de Execução:240.44503segundos</t>
  </si>
  <si>
    <t>Tempo de Execução:240.783695segundos</t>
  </si>
  <si>
    <t>Tempo de Execução:241.111949segundos</t>
  </si>
  <si>
    <t>Tempo de Execução:241.504679segundos</t>
  </si>
  <si>
    <t>Tempo de Execução:241.823149segundos</t>
  </si>
  <si>
    <t>Tempo de Execução:242.154624segundos</t>
  </si>
  <si>
    <t>Tempo de Execução:242.484231segundos</t>
  </si>
  <si>
    <t>Tempo de Execução:243.722076segundos</t>
  </si>
  <si>
    <t>Tempo de Execução:244.070088segundos</t>
  </si>
  <si>
    <t>Tempo de Execução:244.404294segundos</t>
  </si>
  <si>
    <t>Tempo de Execução:244.734127segundos</t>
  </si>
  <si>
    <t>Tempo de Execução:245.051336segundos</t>
  </si>
  <si>
    <t>Tempo de Execução:245.395717segundos</t>
  </si>
  <si>
    <t>Tempo de Execução:248.292169segundos</t>
  </si>
  <si>
    <t>Tempo de Execução:248.628479segundos</t>
  </si>
  <si>
    <t>Tempo de Execução:248.946712segundos</t>
  </si>
  <si>
    <t>Tempo de Execução:249.3433segundos</t>
  </si>
  <si>
    <t>Tempo de Execução:253.745718segundos</t>
  </si>
  <si>
    <t>Tempo de Execução:254.082606segundos</t>
  </si>
  <si>
    <t>Tempo de Execução:254.413741segundos</t>
  </si>
  <si>
    <t>Tempo de Execução:254.730155segundos</t>
  </si>
  <si>
    <t>Tempo de Execução:255.063878segundos</t>
  </si>
  <si>
    <t>Tempo de Execução:255.402212segundos</t>
  </si>
  <si>
    <t>Tempo de Execução:255.732344segundos</t>
  </si>
  <si>
    <t>Tempo de Execução:256.066861segundos</t>
  </si>
  <si>
    <t>Tempo de Execução:256.373274segundos</t>
  </si>
  <si>
    <t>Tempo de Execução:257.007016segundos</t>
  </si>
  <si>
    <t>Tempo de Execução:257.338964segundos</t>
  </si>
  <si>
    <t>Tempo de Execução:257.67317segundos</t>
  </si>
  <si>
    <t>Tempo de Execução:258.067828segundos</t>
  </si>
  <si>
    <t>Tempo de Execução:262.239801segundos</t>
  </si>
  <si>
    <t>Tempo de Execução:262.573918segundos</t>
  </si>
  <si>
    <t>Tempo de Execução:262.90086segundos</t>
  </si>
  <si>
    <t>Tempo de Execução:263.236351segundos</t>
  </si>
  <si>
    <t>Tempo de Execução:263.572283segundos</t>
  </si>
  <si>
    <t>Tempo de Execução:263.906325segundos</t>
  </si>
  <si>
    <t>Tempo de Execução:264.238101segundos</t>
  </si>
  <si>
    <t>Tempo de Execução:264.559033segundos</t>
  </si>
  <si>
    <t>Tempo de Execução:264.881471segundos</t>
  </si>
  <si>
    <t>Tempo de Execução:266.17999segundos</t>
  </si>
  <si>
    <t>Tempo de Execução:266.523777segundos</t>
  </si>
  <si>
    <t>Tempo de Execução:266.851493segundos</t>
  </si>
  <si>
    <t>Tempo de Execução:267.26519segundos</t>
  </si>
  <si>
    <t>Tempo de Execução:267.606807segundos</t>
  </si>
  <si>
    <t>Tempo de Execução:267.923421segundos</t>
  </si>
  <si>
    <t>Tempo de Execução:268.268583segundos</t>
  </si>
  <si>
    <t>Tempo de Execução:270.220435segundos</t>
  </si>
  <si>
    <t>Tempo de Execução:270.571062segundos</t>
  </si>
  <si>
    <t>Tempo de Execução:270.932643segundos</t>
  </si>
  <si>
    <t>Tempo de Execução:271.298538segundos</t>
  </si>
  <si>
    <t>Tempo de Execução:271.632681segundos</t>
  </si>
  <si>
    <t>Tempo de Execução:272.607793segundos</t>
  </si>
  <si>
    <t>Tempo de Execução:272.954464segundos</t>
  </si>
  <si>
    <t>Tempo de Execução:273.293416segundos</t>
  </si>
  <si>
    <t>Tempo de Execução:277.420182segundos</t>
  </si>
  <si>
    <t>Tempo de Execução:277.755614segundos</t>
  </si>
  <si>
    <t>Tempo de Execução:278.167868segundos</t>
  </si>
  <si>
    <t>Tempo de Execução:278.507865segundos</t>
  </si>
  <si>
    <t>Tempo de Execução:278.838053segundos</t>
  </si>
  <si>
    <t>Tempo de Execução:279.183899segundos</t>
  </si>
  <si>
    <t>Tempo de Execução:282.53783segundos</t>
  </si>
  <si>
    <t>Tempo de Execução:282.896176segundos</t>
  </si>
  <si>
    <t>Tempo de Execução:283.261938segundos</t>
  </si>
  <si>
    <t>Tempo de Execução:283.634766segundos</t>
  </si>
  <si>
    <t>Tempo de Execução:283.996293segundos</t>
  </si>
  <si>
    <t>Tempo de Execução:287.865743segundos</t>
  </si>
  <si>
    <t>Tempo de Execução:288.220102segundos</t>
  </si>
  <si>
    <t>Tempo de Execução:288.591747segundos</t>
  </si>
  <si>
    <t>Tempo de Execução:288.961957segundos</t>
  </si>
  <si>
    <t>Tempo de Execução:289.375273segundos</t>
  </si>
  <si>
    <t>Tempo de Execução:293.45113segundos</t>
  </si>
  <si>
    <t>Tempo de Execução:293.838004segundos</t>
  </si>
  <si>
    <t>Tempo de Execução:294.212857segundos</t>
  </si>
  <si>
    <t>Tempo de Execução:294.578312segundos</t>
  </si>
  <si>
    <t>Tempo de Execução:294.940905segundos</t>
  </si>
  <si>
    <t>Tempo de Execução:295.291188segundos</t>
  </si>
  <si>
    <t>Tempo de Execução:300.476687segundos</t>
  </si>
  <si>
    <t>Tempo de Execução:300.831936segundos</t>
  </si>
  <si>
    <t>Tempo de Execução:301.166617segundos</t>
  </si>
  <si>
    <t>Tempo de Execução:301.536584segundos</t>
  </si>
  <si>
    <t>Tempo de Execução:301.879675segundos</t>
  </si>
  <si>
    <t>Tempo de Execução:302.217654segundos</t>
  </si>
  <si>
    <t>Tempo de Execução:302.641263segundos</t>
  </si>
  <si>
    <t>Tempo de Execução:302.984223segundos</t>
  </si>
  <si>
    <t>Tempo de Execução:303.320811segundos</t>
  </si>
  <si>
    <t>Tempo de Execução:303.664258segundos</t>
  </si>
  <si>
    <t>Tempo de Execução:304.011257segundos</t>
  </si>
  <si>
    <t>Tempo de Execução:304.359554segundos</t>
  </si>
  <si>
    <t>Tempo de Execução:307.238501segundos</t>
  </si>
  <si>
    <t>Tempo de Execução:307.581118segundos</t>
  </si>
  <si>
    <t>Tempo de Execução:307.900636segundos</t>
  </si>
  <si>
    <t>Tempo de Execução:308.238446segundos</t>
  </si>
  <si>
    <t>Tempo de Execução:308.576301segundos</t>
  </si>
  <si>
    <t>Tempo de Execução:311.918092segundos</t>
  </si>
  <si>
    <t>Tempo de Execução:312.243618segundos</t>
  </si>
  <si>
    <t>Tempo de Execução:312.623506segundos</t>
  </si>
  <si>
    <t>Tempo de Execução:312.931599segundos</t>
  </si>
  <si>
    <t>Tempo de Execução:313.259356segundos</t>
  </si>
  <si>
    <t>Tempo de Execução:313.589994segundos</t>
  </si>
  <si>
    <t>Tempo de Execução:315.634147segundos</t>
  </si>
  <si>
    <t>Tempo de Execução:315.996664segundos</t>
  </si>
  <si>
    <t>Tempo de Execução:316.317159segundos</t>
  </si>
  <si>
    <t>Tempo de Execução:316.62008segundos</t>
  </si>
  <si>
    <t>Tempo de Execução:316.935899segundos</t>
  </si>
  <si>
    <t>Tempo de Execução:317.237853segundos</t>
  </si>
  <si>
    <t>Tempo de Execução:317.557009segundos</t>
  </si>
  <si>
    <t>Tempo de Execução:320.293687segundos</t>
  </si>
  <si>
    <t>Tempo de Execução:320.611035segundos</t>
  </si>
  <si>
    <t>Tempo de Execução:320.946279segundos</t>
  </si>
  <si>
    <t>Tempo de Execução:321.335512segundos</t>
  </si>
  <si>
    <t>Tempo de Execução:321.667824segundos</t>
  </si>
  <si>
    <t>Tempo de Execução:321.983168segundos</t>
  </si>
  <si>
    <t>Tempo de Execução:322.315799segundos</t>
  </si>
  <si>
    <t>Tempo de Execução:324.120331segundos</t>
  </si>
  <si>
    <t>Tempo de Execução:324.424765segundos</t>
  </si>
  <si>
    <t>Tempo de Execução:324.748076segundos</t>
  </si>
  <si>
    <t>Tempo de Execução:325.078536segundos</t>
  </si>
  <si>
    <t>Tempo de Execução:325.407754segundos</t>
  </si>
  <si>
    <t>Tempo de Execução:329.138232segundos</t>
  </si>
  <si>
    <t>Tempo de Execução:329.395471segundos</t>
  </si>
  <si>
    <t>Tempo de Execução:329.669893segundos</t>
  </si>
  <si>
    <t>Tempo de Execução:329.942893segundos</t>
  </si>
  <si>
    <t>Tempo de Execução:330.207201segundos</t>
  </si>
  <si>
    <t>Tempo de Execução:330.417666segundos</t>
  </si>
  <si>
    <t>Tempo de Execução:330.656236segundos</t>
  </si>
  <si>
    <t xml:space="preserve">ótimo meu refrigerador. Funciona perfeitamente.
ótimo preço, produto bom também. Gostei do monitor.
ótimo valor para o preço, eu comprei uma placa de vídeo gaming e funcionou perfeitamente.
ótimo televisor, preço razoável. Gostei muito!
ótimo tablet para preços econômicos. Funciona bem.
ótimo produto, comprei dois para a minha casa.
ótimo o meu aspirador. Faz um bom trabalho em limpar o chão.
ótimo produto. Funciona bem e é confiável.
ótimo produto para o preço. Funciona bem.
ótimo produto, mas muito caro pra ser tudo certo.
ótimo brilho para a casa. Gosto muito!
ótimo produto para quem precisa de um bom aspirador de quartos.
ótimo preço para um produto tão bom. Funciona perfeitamente.
ótimo preço e qualidade desse tópico para bebês.
ótimo o meu smartphone. Funciona bem e é fácil de usar.
ótimo preço pelo que eu paguei. Me sinto enganado com a qualidade do produto.
                    Coment
ótimo produto para quem busca um relógio leve e fácil de usar.
ótimo monitor de computador. Excelente preço/qualidade.
ótimo TV Led. Gostaria que eu tivesse comprado um modelo maior.
ótimo preço para um produto tão bom como esse câmera de fotos.
ótimo produto. Recomendo a todos.
ótimo produto, valeu a espera. Gostei muito.
ótima câmera. Funciona muito bem e é fácil de usar.
ótimo produto, precio muito justo. Recomendo para todos.
ótimo preço/qualidade desse monitor de computador. Funciona muito bem.
Positive Comments:
*
ótimo produto para o preço que paguei. Funciona bem.
ótimo produto para quem busca uma câmera de qualidade.
ótimo laptop, rápido e fácil de usar.
ótimo produto, fácil de usar e bem funcional. Recomendo para quem procurar um produto semelhante
ótimo produto. Valeu a espera e o preço que paguei.
ótimo produto, mas muito caro.
ótimo laptop. Funciona bem e é muy leve. Gosto muito.
ótimo laptop. Funciona muito bem e é fácil de usar.
ótimo produto para o preço que paguei. Recomendo.
ótimo tv, excelente qualidade. Gosto muito.
ótimo televisor. Gostando muito do brilho e da qualidade de imagem.
ótimo câmera de vídeo! Vejo tudo em alta definição e é muito fácil de usar!
ótimo tablet, fácil de usar e com muitas funcções.
ótimo produto, mas muito caro.
ótimo televisor. Gostei do preço também.
ótimo produto, preço bom e qualidade também é boa. Gostei muito.
ótimo tablet. Gostei muito do tamanho e das características.
ótimo produto, bem valorizado. Gostei muito do resultado.
ótimo produto. Valorizado muito bem o preço que paguei.
ótimo produto! Comprai com confiança.
ótimo preço esse tênis. Gostei muito do conforto.
ótimo produto, muito funcional e fácil de usar.
ótimo preço para um produto tão bom. Fico satisfeito com minha compra.
ótimo tablet. Funciona perfeitamente e é muito fácil de usar.
ótimo produto, mas caro demais para mim. Não foi uma boa compra.
                    Comentário
</t>
  </si>
  <si>
    <t>placa</t>
  </si>
  <si>
    <t>vídeo</t>
  </si>
  <si>
    <t>gaming</t>
  </si>
  <si>
    <t>funcionou</t>
  </si>
  <si>
    <t>razoável</t>
  </si>
  <si>
    <t>econômicos</t>
  </si>
  <si>
    <t>dois</t>
  </si>
  <si>
    <t>quartos</t>
  </si>
  <si>
    <t>tópico</t>
  </si>
  <si>
    <t>bebês</t>
  </si>
  <si>
    <t>smartphone</t>
  </si>
  <si>
    <t>enganado</t>
  </si>
  <si>
    <t>maior</t>
  </si>
  <si>
    <t>positive</t>
  </si>
  <si>
    <t>procurar</t>
  </si>
  <si>
    <t>semelhante</t>
  </si>
  <si>
    <t>definição</t>
  </si>
  <si>
    <t>funcções</t>
  </si>
  <si>
    <t>comprai</t>
  </si>
  <si>
    <t>confiança</t>
  </si>
  <si>
    <t>tênis</t>
  </si>
  <si>
    <t>conforto</t>
  </si>
  <si>
    <t>{"valorA":"vídeo","valorB":1}</t>
  </si>
  <si>
    <t>{"valorA":"placa","valorB":1}</t>
  </si>
  <si>
    <t>{"valorA":"gaming","valorB":1}</t>
  </si>
  <si>
    <t>{"valorA":"funcionou","valorB":1}</t>
  </si>
  <si>
    <t>{"valorA":"razoável","valorB":1}</t>
  </si>
  <si>
    <t>{"valorA":"econômicos","valorB":1}</t>
  </si>
  <si>
    <t>{"valorA":"dois","valorB":1}</t>
  </si>
  <si>
    <t>{"valorA":"chão","valorB":1}</t>
  </si>
  <si>
    <t>{"valorA":"ser","valorB":1}</t>
  </si>
  <si>
    <t>{"valorA":"quartos","valorB":1}</t>
  </si>
  <si>
    <t>{"valorA":"tópico","valorB":1}</t>
  </si>
  <si>
    <t>{"valorA":"bebês","valorB":1}</t>
  </si>
  <si>
    <t>{"valorA":"smartphone","valorB":1}</t>
  </si>
  <si>
    <t>{"valorA":"pelo","valorB":1}</t>
  </si>
  <si>
    <t>{"valorA":"enganado","valorB":1}</t>
  </si>
  <si>
    <t>{"valorA":"sinto","valorB":1}</t>
  </si>
  <si>
    <t>{"valorA":"preçoqualidade","valorB":1}</t>
  </si>
  <si>
    <t>{"valorA":"eu","valorB":3}</t>
  </si>
  <si>
    <t>{"valorA":"tivesse","valorB":1}</t>
  </si>
  <si>
    <t>{"valorA":"maior","valorB":1}</t>
  </si>
  <si>
    <t>{"valorA":"precio","valorB":1}</t>
  </si>
  <si>
    <t>{"valorA":"justo","valorB":1}</t>
  </si>
  <si>
    <t>{"valorA":"preçoqualidade","valorB":2}</t>
  </si>
  <si>
    <t>{"valorA":"monitor","valorB":3}</t>
  </si>
  <si>
    <t>{"valorA":"positive","valorB":1}</t>
  </si>
  <si>
    <t>{"valorA":"procurar","valorB":1}</t>
  </si>
  <si>
    <t>{"valorA":"semelhante","valorB":1}</t>
  </si>
  <si>
    <t>{"valorA":"muy","valorB":1}</t>
  </si>
  <si>
    <t>{"valorA":"leve","valorB":2}</t>
  </si>
  <si>
    <t>{"valorA":"vídeo","valorB":2}</t>
  </si>
  <si>
    <t>{"valorA":"definição","valorB":1}</t>
  </si>
  <si>
    <t>{"valorA":"funcções","valorB":1}</t>
  </si>
  <si>
    <t>{"valorA":"muitas","valorB":1}</t>
  </si>
  <si>
    <t>{"valorA":"caro","valorB":3}</t>
  </si>
  <si>
    <t>{"valorA":"também","valorB":3}</t>
  </si>
  <si>
    <t>{"valorA":"tamanho","valorB":1}</t>
  </si>
  <si>
    <t>{"valorA":"características","valorB":1}</t>
  </si>
  <si>
    <t>{"valorA":"comprai","valorB":1}</t>
  </si>
  <si>
    <t>{"valorA":"confiança","valorB":1}</t>
  </si>
  <si>
    <t>{"valorA":"tênis","valorB":1}</t>
  </si>
  <si>
    <t>{"valorA":"conforto","valorB":1}</t>
  </si>
  <si>
    <t>{"valorA":"funcional","valorB":2}</t>
  </si>
  <si>
    <t>{"valorA":"bom","valorB":7}</t>
  </si>
  <si>
    <t>{"valorA":"tablet","valorB":4}</t>
  </si>
  <si>
    <t>{"valorA":"e","valorB":18}</t>
  </si>
  <si>
    <t>{"valorA":"caro","valorB":4}</t>
  </si>
  <si>
    <t>{"valorA":"demais","valorB":1}</t>
  </si>
  <si>
    <t>Tempo de Execução:104.628051segundos</t>
  </si>
  <si>
    <t>Tempo de Execução:104.757446segundos</t>
  </si>
  <si>
    <t>Tempo de Execução:104.880338segundos</t>
  </si>
  <si>
    <t>Tempo de Execução:105.010303segundos</t>
  </si>
  <si>
    <t>Tempo de Execução:105.170889segundos</t>
  </si>
  <si>
    <t>Tempo de Execução:105.321334segundos</t>
  </si>
  <si>
    <t>Tempo de Execução:105.483174segundos</t>
  </si>
  <si>
    <t>Tempo de Execução:105.718302segundos</t>
  </si>
  <si>
    <t>Tempo de Execução:105.914532segundos</t>
  </si>
  <si>
    <t>Tempo de Execução:106.127938segundos</t>
  </si>
  <si>
    <t>Tempo de Execução:106.327238segundos</t>
  </si>
  <si>
    <t>Tempo de Execução:106.546799segundos</t>
  </si>
  <si>
    <t>Tempo de Execução:106.767352segundos</t>
  </si>
  <si>
    <t>Tempo de Execução:115.346451segundos</t>
  </si>
  <si>
    <t>Tempo de Execução:115.570328segundos</t>
  </si>
  <si>
    <t>Tempo de Execução:115.798379segundos</t>
  </si>
  <si>
    <t>Tempo de Execução:116.066977segundos</t>
  </si>
  <si>
    <t>Tempo de Execução:116.317302segundos</t>
  </si>
  <si>
    <t>Tempo de Execução:116.567211segundos</t>
  </si>
  <si>
    <t>Tempo de Execução:116.813323segundos</t>
  </si>
  <si>
    <t>Tempo de Execução:117.07275segundos</t>
  </si>
  <si>
    <t>Tempo de Execução:117.331754segundos</t>
  </si>
  <si>
    <t>Tempo de Execução:117.591062segundos</t>
  </si>
  <si>
    <t>Tempo de Execução:117.850494segundos</t>
  </si>
  <si>
    <t>Tempo de Execução:118.099148segundos</t>
  </si>
  <si>
    <t>Tempo de Execução:118.357526segundos</t>
  </si>
  <si>
    <t>Tempo de Execução:118.606213segundos</t>
  </si>
  <si>
    <t>Tempo de Execução:118.877599segundos</t>
  </si>
  <si>
    <t>Tempo de Execução:124.622699segundos</t>
  </si>
  <si>
    <t>Tempo de Execução:124.896629segundos</t>
  </si>
  <si>
    <t>Tempo de Execução:125.199881segundos</t>
  </si>
  <si>
    <t>Tempo de Execução:125.48286segundos</t>
  </si>
  <si>
    <t>Tempo de Execução:125.775266segundos</t>
  </si>
  <si>
    <t>Tempo de Execução:126.115497segundos</t>
  </si>
  <si>
    <t>Tempo de Execução:135.46057segundos</t>
  </si>
  <si>
    <t>Tempo de Execução:135.740326segundos</t>
  </si>
  <si>
    <t>Tempo de Execução:136.031932segundos</t>
  </si>
  <si>
    <t>Tempo de Execução:136.376453segundos</t>
  </si>
  <si>
    <t>Tempo de Execução:136.720427segundos</t>
  </si>
  <si>
    <t>Tempo de Execução:137.049672segundos</t>
  </si>
  <si>
    <t>Tempo de Execução:137.371566segundos</t>
  </si>
  <si>
    <t>Tempo de Execução:143.676321segundos</t>
  </si>
  <si>
    <t>Tempo de Execução:144.021466segundos</t>
  </si>
  <si>
    <t>Tempo de Execução:144.350558segundos</t>
  </si>
  <si>
    <t>Tempo de Execução:144.675318segundos</t>
  </si>
  <si>
    <t>Tempo de Execução:145.021907segundos</t>
  </si>
  <si>
    <t>Tempo de Execução:145.403913segundos</t>
  </si>
  <si>
    <t>Tempo de Execução:145.739847segundos</t>
  </si>
  <si>
    <t>Tempo de Execução:146.089387segundos</t>
  </si>
  <si>
    <t>Tempo de Execução:155.094995segundos</t>
  </si>
  <si>
    <t>Tempo de Execução:155.450358segundos</t>
  </si>
  <si>
    <t>Tempo de Execução:155.772992segundos</t>
  </si>
  <si>
    <t>Tempo de Execução:156.129897segundos</t>
  </si>
  <si>
    <t>Tempo de Execução:156.447811segundos</t>
  </si>
  <si>
    <t>Tempo de Execução:156.763919segundos</t>
  </si>
  <si>
    <t>Tempo de Execução:157.103278segundos</t>
  </si>
  <si>
    <t>Tempo de Execução:157.426164segundos</t>
  </si>
  <si>
    <t>Tempo de Execução:157.759723segundos</t>
  </si>
  <si>
    <t>Tempo de Execução:158.069054segundos</t>
  </si>
  <si>
    <t>Tempo de Execução:158.418273segundos</t>
  </si>
  <si>
    <t>Tempo de Execução:158.745886segundos</t>
  </si>
  <si>
    <t>Tempo de Execução:163.890685segundos</t>
  </si>
  <si>
    <t>Tempo de Execução:164.250579segundos</t>
  </si>
  <si>
    <t>Tempo de Execução:164.600962segundos</t>
  </si>
  <si>
    <t>Tempo de Execução:164.920372segundos</t>
  </si>
  <si>
    <t>Tempo de Execução:165.275268segundos</t>
  </si>
  <si>
    <t>Tempo de Execução:165.60197segundos</t>
  </si>
  <si>
    <t>Tempo de Execução:165.93821segundos</t>
  </si>
  <si>
    <t>Tempo de Execução:169.767893segundos</t>
  </si>
  <si>
    <t>Tempo de Execução:170.118604segundos</t>
  </si>
  <si>
    <t>Tempo de Execução:170.427671segundos</t>
  </si>
  <si>
    <t>Tempo de Execução:170.754695segundos</t>
  </si>
  <si>
    <t>Tempo de Execução:171.084722segundos</t>
  </si>
  <si>
    <t>Tempo de Execução:171.435972segundos</t>
  </si>
  <si>
    <t>Tempo de Execução:171.757393segundos</t>
  </si>
  <si>
    <t>Tempo de Execução:178.787521segundos</t>
  </si>
  <si>
    <t>Tempo de Execução:179.09798segundos</t>
  </si>
  <si>
    <t>Tempo de Execução:179.409229segundos</t>
  </si>
  <si>
    <t>Tempo de Execução:179.749636segundos</t>
  </si>
  <si>
    <t>Tempo de Execução:180.05129segundos</t>
  </si>
  <si>
    <t>Tempo de Execução:180.35767segundos</t>
  </si>
  <si>
    <t>Tempo de Execução:180.695842segundos</t>
  </si>
  <si>
    <t>Tempo de Execução:181.015706segundos</t>
  </si>
  <si>
    <t>Tempo de Execução:181.326746segundos</t>
  </si>
  <si>
    <t>Tempo de Execução:184.466421segundos</t>
  </si>
  <si>
    <t>Tempo de Execução:184.782817segundos</t>
  </si>
  <si>
    <t>Tempo de Execução:185.162726segundos</t>
  </si>
  <si>
    <t>Tempo de Execução:185.468252segundos</t>
  </si>
  <si>
    <t>Tempo de Execução:185.777307segundos</t>
  </si>
  <si>
    <t>Tempo de Execução:186.064213segundos</t>
  </si>
  <si>
    <t>Tempo de Execução:186.378356segundos</t>
  </si>
  <si>
    <t>Tempo de Execução:192.402793segundos</t>
  </si>
  <si>
    <t>Tempo de Execução:192.701666segundos</t>
  </si>
  <si>
    <t>Tempo de Execução:193.02535segundos</t>
  </si>
  <si>
    <t>Tempo de Execução:193.355125segundos</t>
  </si>
  <si>
    <t>Tempo de Execução:193.661874segundos</t>
  </si>
  <si>
    <t>Tempo de Execução:193.986206segundos</t>
  </si>
  <si>
    <t>Tempo de Execução:194.29833segundos</t>
  </si>
  <si>
    <t>Tempo de Execução:194.612453segundos</t>
  </si>
  <si>
    <t>Tempo de Execução:195.008539segundos</t>
  </si>
  <si>
    <t>Tempo de Execução:195.323117segundos</t>
  </si>
  <si>
    <t>Tempo de Execução:195.62854segundos</t>
  </si>
  <si>
    <t>Tempo de Execução:202.967209segundos</t>
  </si>
  <si>
    <t>Tempo de Execução:203.285679segundos</t>
  </si>
  <si>
    <t>Tempo de Execução:203.599737segundos</t>
  </si>
  <si>
    <t>Tempo de Execução:203.926758segundos</t>
  </si>
  <si>
    <t>Tempo de Execução:204.234478segundos</t>
  </si>
  <si>
    <t>Tempo de Execução:204.566732segundos</t>
  </si>
  <si>
    <t>Tempo de Execução:204.877361segundos</t>
  </si>
  <si>
    <t>Tempo de Execução:205.174088segundos</t>
  </si>
  <si>
    <t>Tempo de Execução:205.506784segundos</t>
  </si>
  <si>
    <t>Tempo de Execução:210.139425segundos</t>
  </si>
  <si>
    <t>Tempo de Execução:210.540133segundos</t>
  </si>
  <si>
    <t>Tempo de Execução:210.859432segundos</t>
  </si>
  <si>
    <t>Tempo de Execução:211.185387segundos</t>
  </si>
  <si>
    <t>Tempo de Execução:211.498295segundos</t>
  </si>
  <si>
    <t>Tempo de Execução:211.835964segundos</t>
  </si>
  <si>
    <t>Tempo de Execução:212.158775segundos</t>
  </si>
  <si>
    <t>Tempo de Execução:212.496972segundos</t>
  </si>
  <si>
    <t>Tempo de Execução:218.028087segundos</t>
  </si>
  <si>
    <t>Tempo de Execução:218.375048segundos</t>
  </si>
  <si>
    <t>Tempo de Execução:218.6969segundos</t>
  </si>
  <si>
    <t>Tempo de Execução:219.036263segundos</t>
  </si>
  <si>
    <t>Tempo de Execução:219.366126segundos</t>
  </si>
  <si>
    <t>Tempo de Execução:219.668867segundos</t>
  </si>
  <si>
    <t>Tempo de Execução:220.04097segundos</t>
  </si>
  <si>
    <t>Tempo de Execução:220.398033segundos</t>
  </si>
  <si>
    <t>Tempo de Execução:220.708347segundos</t>
  </si>
  <si>
    <t>Tempo de Execução:221.051269segundos</t>
  </si>
  <si>
    <t>Tempo de Execução:221.380889segundos</t>
  </si>
  <si>
    <t>Tempo de Execução:229.88635segundos</t>
  </si>
  <si>
    <t>Tempo de Execução:230.187679segundos</t>
  </si>
  <si>
    <t>Tempo de Execução:230.51812segundos</t>
  </si>
  <si>
    <t>Tempo de Execução:230.84416segundos</t>
  </si>
  <si>
    <t>Tempo de Execução:231.150533segundos</t>
  </si>
  <si>
    <t>Tempo de Execução:231.473108segundos</t>
  </si>
  <si>
    <t>Tempo de Execução:231.810693segundos</t>
  </si>
  <si>
    <t>Tempo de Execução:232.131288segundos</t>
  </si>
  <si>
    <t>Tempo de Execução:232.497323segundos</t>
  </si>
  <si>
    <t>Tempo de Execução:232.80876segundos</t>
  </si>
  <si>
    <t>Tempo de Execução:233.139933segundos</t>
  </si>
  <si>
    <t>Tempo de Execução:233.463596segundos</t>
  </si>
  <si>
    <t>Tempo de Execução:233.789169segundos</t>
  </si>
  <si>
    <t>Tempo de Execução:234.078446segundos</t>
  </si>
  <si>
    <t>Tempo de Execução:234.391107segundos</t>
  </si>
  <si>
    <t>Tempo de Execução:238.538994segundos</t>
  </si>
  <si>
    <t>Tempo de Execução:238.875488segundos</t>
  </si>
  <si>
    <t>Tempo de Execução:239.18312segundos</t>
  </si>
  <si>
    <t>Tempo de Execução:239.498933segundos</t>
  </si>
  <si>
    <t>Tempo de Execução:239.815903segundos</t>
  </si>
  <si>
    <t>Tempo de Execução:240.14763segundos</t>
  </si>
  <si>
    <t>Tempo de Execução:240.518989segundos</t>
  </si>
  <si>
    <t>Tempo de Execução:240.862485segundos</t>
  </si>
  <si>
    <t>Tempo de Execução:241.201252segundos</t>
  </si>
  <si>
    <t>Tempo de Execução:241.513703segundos</t>
  </si>
  <si>
    <t>Tempo de Execução:241.821795segundos</t>
  </si>
  <si>
    <t>Tempo de Execução:242.169987segundos</t>
  </si>
  <si>
    <t>Tempo de Execução:244.94849segundos</t>
  </si>
  <si>
    <t>Tempo de Execução:245.25426segundos</t>
  </si>
  <si>
    <t>Tempo de Execução:245.595568segundos</t>
  </si>
  <si>
    <t>Tempo de Execução:245.910685segundos</t>
  </si>
  <si>
    <t>Tempo de Execução:246.211601segundos</t>
  </si>
  <si>
    <t>Tempo de Execução:246.534338segundos</t>
  </si>
  <si>
    <t>Tempo de Execução:255.067172segundos</t>
  </si>
  <si>
    <t>Tempo de Execução:255.435794segundos</t>
  </si>
  <si>
    <t>Tempo de Execução:255.742665segundos</t>
  </si>
  <si>
    <t>Tempo de Execução:256.078411segundos</t>
  </si>
  <si>
    <t>Tempo de Execução:256.411637segundos</t>
  </si>
  <si>
    <t>Tempo de Execução:256.758394segundos</t>
  </si>
  <si>
    <t>Tempo de Execução:257.081959segundos</t>
  </si>
  <si>
    <t>Tempo de Execução:257.408036segundos</t>
  </si>
  <si>
    <t>Tempo de Execução:257.726409segundos</t>
  </si>
  <si>
    <t>Tempo de Execução:258.051197segundos</t>
  </si>
  <si>
    <t>Tempo de Execução:258.384005segundos</t>
  </si>
  <si>
    <t>Tempo de Execução:264.185225segundos</t>
  </si>
  <si>
    <t>Tempo de Execução:264.502863segundos</t>
  </si>
  <si>
    <t>Tempo de Execução:264.839307segundos</t>
  </si>
  <si>
    <t>Tempo de Execução:265.228805segundos</t>
  </si>
  <si>
    <t>Tempo de Execução:265.56092segundos</t>
  </si>
  <si>
    <t>Tempo de Execução:265.89142segundos</t>
  </si>
  <si>
    <t>Tempo de Execução:266.226686segundos</t>
  </si>
  <si>
    <t>Tempo de Execução:266.56283segundos</t>
  </si>
  <si>
    <t>Tempo de Execução:266.916614segundos</t>
  </si>
  <si>
    <t>Tempo de Execução:267.244306segundos</t>
  </si>
  <si>
    <t>Tempo de Execução:267.568377segundos</t>
  </si>
  <si>
    <t>Tempo de Execução:267.904459segundos</t>
  </si>
  <si>
    <t>Tempo de Execução:271.350469segundos</t>
  </si>
  <si>
    <t>Tempo de Execução:271.677527segundos</t>
  </si>
  <si>
    <t>Tempo de Execução:272.009817segundos</t>
  </si>
  <si>
    <t>Tempo de Execução:272.353871segundos</t>
  </si>
  <si>
    <t>Tempo de Execução:272.735857segundos</t>
  </si>
  <si>
    <t>Tempo de Execução:280.179813segundos</t>
  </si>
  <si>
    <t>Tempo de Execução:280.482041segundos</t>
  </si>
  <si>
    <t>Tempo de Execução:280.78352segundos</t>
  </si>
  <si>
    <t>Tempo de Execução:281.116451segundos</t>
  </si>
  <si>
    <t>Tempo de Execução:281.438551segundos</t>
  </si>
  <si>
    <t>Tempo de Execução:281.768919segundos</t>
  </si>
  <si>
    <t>Tempo de Execução:282.092265segundos</t>
  </si>
  <si>
    <t>Tempo de Execução:288.441807segundos</t>
  </si>
  <si>
    <t>Tempo de Execução:288.766645segundos</t>
  </si>
  <si>
    <t>Tempo de Execução:289.098024segundos</t>
  </si>
  <si>
    <t>Tempo de Execução:289.413337segundos</t>
  </si>
  <si>
    <t>Tempo de Execução:289.719848segundos</t>
  </si>
  <si>
    <t>Tempo de Execução:290.069698segundos</t>
  </si>
  <si>
    <t>Tempo de Execução:290.376327segundos</t>
  </si>
  <si>
    <t>Tempo de Execução:290.689339segundos</t>
  </si>
  <si>
    <t>Tempo de Execução:291.012448segundos</t>
  </si>
  <si>
    <t>Tempo de Execução:291.336938segundos</t>
  </si>
  <si>
    <t>Tempo de Execução:300.490634segundos</t>
  </si>
  <si>
    <t>Tempo de Execução:300.793435segundos</t>
  </si>
  <si>
    <t>Tempo de Execução:301.110044segundos</t>
  </si>
  <si>
    <t>Tempo de Execução:301.432565segundos</t>
  </si>
  <si>
    <t>Tempo de Execução:301.754754segundos</t>
  </si>
  <si>
    <t>Tempo de Execução:302.077923segundos</t>
  </si>
  <si>
    <t>Tempo de Execução:302.389871segundos</t>
  </si>
  <si>
    <t>Tempo de Execução:302.67198segundos</t>
  </si>
  <si>
    <t>Tempo de Execução:312.263894segundos</t>
  </si>
  <si>
    <t>Tempo de Execução:312.642748segundos</t>
  </si>
  <si>
    <t>Tempo de Execução:312.948223segundos</t>
  </si>
  <si>
    <t>Tempo de Execução:313.266793segundos</t>
  </si>
  <si>
    <t>Tempo de Execução:313.571342segundos</t>
  </si>
  <si>
    <t>Tempo de Execução:313.861219segundos</t>
  </si>
  <si>
    <t>Tempo de Execução:314.168795segundos</t>
  </si>
  <si>
    <t>Tempo de Execução:314.466886segundos</t>
  </si>
  <si>
    <t>Tempo de Execução:314.751076segundos</t>
  </si>
  <si>
    <t>Tempo de Execução:315.069384segundos</t>
  </si>
  <si>
    <t>Tempo de Execução:315.389898segundos</t>
  </si>
  <si>
    <t>Tempo de Execução:319.815636segundos</t>
  </si>
  <si>
    <t>Tempo de Execução:320.091522segundos</t>
  </si>
  <si>
    <t>Tempo de Execução:320.363769segundos</t>
  </si>
  <si>
    <t>Tempo de Execução:322.762129segundos</t>
  </si>
  <si>
    <t>Tempo de Execução:323.132519segundos</t>
  </si>
  <si>
    <t>Tempo de Execução:323.482105segundos</t>
  </si>
  <si>
    <t>Tempo de Execução:323.791768segundos</t>
  </si>
  <si>
    <t>Tempo de Execução:324.118815segundos</t>
  </si>
  <si>
    <t>Tempo de Execução:324.413955segundos</t>
  </si>
  <si>
    <t>Tempo de Execução:332.536383segundos</t>
  </si>
  <si>
    <t>Tempo de Execução:332.823224segundos</t>
  </si>
  <si>
    <t>Tempo de Execução:333.154032segundos</t>
  </si>
  <si>
    <t>Tempo de Execução:333.458047segundos</t>
  </si>
  <si>
    <t>Tempo de Execução:333.772777segundos</t>
  </si>
  <si>
    <t>Tempo de Execução:334.095151segundos</t>
  </si>
  <si>
    <t>Tempo de Execução:334.399669segundos</t>
  </si>
  <si>
    <t>Tempo de Execução:334.748694segundos</t>
  </si>
  <si>
    <t>Tempo de Execução:335.060474segundos</t>
  </si>
  <si>
    <t>Tempo de Execução:340.556849segundos</t>
  </si>
  <si>
    <t>Tempo de Execução:340.852757segundos</t>
  </si>
  <si>
    <t>Tempo de Execução:341.161206segundos</t>
  </si>
  <si>
    <t>Tempo de Execução:341.474194segundos</t>
  </si>
  <si>
    <t>Tempo de Execução:341.763671segundos</t>
  </si>
  <si>
    <t>Tempo de Execução:342.098371segundos</t>
  </si>
  <si>
    <t>Tempo de Execução:342.433251segundos</t>
  </si>
  <si>
    <t>Tempo de Execução:352.305745segundos</t>
  </si>
  <si>
    <t>Tempo de Execução:352.611882segundos</t>
  </si>
  <si>
    <t>Tempo de Execução:352.926682segundos</t>
  </si>
  <si>
    <t>Tempo de Execução:353.266805segundos</t>
  </si>
  <si>
    <t>Tempo de Execução:353.578459segundos</t>
  </si>
  <si>
    <t>Tempo de Execução:353.930877segundos</t>
  </si>
  <si>
    <t>Tempo de Execução:354.227587segundos</t>
  </si>
  <si>
    <t>Tempo de Execução:354.555869segundos</t>
  </si>
  <si>
    <t>Tempo de Execução:354.85513segundos</t>
  </si>
  <si>
    <t>Tempo de Execução:355.137689segundos</t>
  </si>
  <si>
    <t>Tempo de Execução:355.44365segundos</t>
  </si>
  <si>
    <t>Tempo de Execução:355.74119segundos</t>
  </si>
  <si>
    <t>Tempo de Execução:356.059977segundos</t>
  </si>
  <si>
    <t>Tempo de Execução:356.389003segundos</t>
  </si>
  <si>
    <t>Tempo de Execução:356.711825segundos</t>
  </si>
  <si>
    <t>Tempo de Execução:362.998101segundos</t>
  </si>
  <si>
    <t>Tempo de Execução:363.318406segundos</t>
  </si>
  <si>
    <t>Tempo de Execução:363.633267segundos</t>
  </si>
  <si>
    <t>Tempo de Execução:364.012899segundos</t>
  </si>
  <si>
    <t>Tempo de Execução:364.322982segundos</t>
  </si>
  <si>
    <t>Tempo de Execução:364.634353segundos</t>
  </si>
  <si>
    <t>Tempo de Execução:364.959017segundos</t>
  </si>
  <si>
    <t>Tempo de Execução:365.253794segundos</t>
  </si>
  <si>
    <t>Tempo de Execução:365.575126segundos</t>
  </si>
  <si>
    <t>Tempo de Execução:365.880034segundos</t>
  </si>
  <si>
    <t>Tempo de Execução:369.815232segundos</t>
  </si>
  <si>
    <t>Tempo de Execução:370.154083segundos</t>
  </si>
  <si>
    <t>Tempo de Execução:370.473337segundos</t>
  </si>
  <si>
    <t>Tempo de Execução:370.822537segundos</t>
  </si>
  <si>
    <t>Tempo de Execução:371.149162segundos</t>
  </si>
  <si>
    <t>Tempo de Execução:379.821768segundos</t>
  </si>
  <si>
    <t>Tempo de Execução:380.202991segundos</t>
  </si>
  <si>
    <t>Tempo de Execução:380.539872segundos</t>
  </si>
  <si>
    <t>Tempo de Execução:380.867825segundos</t>
  </si>
  <si>
    <t>Tempo de Execução:381.174485segundos</t>
  </si>
  <si>
    <t>Tempo de Execução:381.493801segundos</t>
  </si>
  <si>
    <t>Tempo de Execução:381.834489segundos</t>
  </si>
  <si>
    <t>Tempo de Execução:382.181241segundos</t>
  </si>
  <si>
    <t>Tempo de Execução:382.508332segundos</t>
  </si>
  <si>
    <t>Tempo de Execução:382.829546segundos</t>
  </si>
  <si>
    <t>Tempo de Execução:388.930052segundos</t>
  </si>
  <si>
    <t>Tempo de Execução:389.236997segundos</t>
  </si>
  <si>
    <t>Tempo de Execução:389.554617segundos</t>
  </si>
  <si>
    <t>Tempo de Execução:389.876545segundos</t>
  </si>
  <si>
    <t>Tempo de Execução:390.25122segundos</t>
  </si>
  <si>
    <t>Tempo de Execução:390.56737segundos</t>
  </si>
  <si>
    <t>Tempo de Execução:390.878606segundos</t>
  </si>
  <si>
    <t>Tempo de Execução:391.196228segundos</t>
  </si>
  <si>
    <t>Tempo de Execução:391.482911segundos</t>
  </si>
  <si>
    <t>Tempo de Execução:391.771514segundos</t>
  </si>
  <si>
    <t>Tempo de Execução:398.342471segundos</t>
  </si>
  <si>
    <t>Tempo de Execução:398.650104segundos</t>
  </si>
  <si>
    <t>Tempo de Execução:398.968717segundos</t>
  </si>
  <si>
    <t>Tempo de Execução:399.274562segundos</t>
  </si>
  <si>
    <t>Tempo de Execução:399.58313segundos</t>
  </si>
  <si>
    <t>Tempo de Execução:399.900269segundos</t>
  </si>
  <si>
    <t>Tempo de Execução:400.224444segundos</t>
  </si>
  <si>
    <t>Tempo de Execução:400.603608segundos</t>
  </si>
  <si>
    <t>Tempo de Execução:403.853512segundos</t>
  </si>
  <si>
    <t>Tempo de Execução:404.198501segundos</t>
  </si>
  <si>
    <t>Tempo de Execução:404.498597segundos</t>
  </si>
  <si>
    <t>Tempo de Execução:404.828443segundos</t>
  </si>
  <si>
    <t>Tempo de Execução:405.136573segundos</t>
  </si>
  <si>
    <t>Tempo de Execução:405.492408segundos</t>
  </si>
  <si>
    <t>Tempo de Execução:414.968144segundos</t>
  </si>
  <si>
    <t>Tempo de Execução:415.290835segundos</t>
  </si>
  <si>
    <t>Tempo de Execução:415.620699segundos</t>
  </si>
  <si>
    <t>Tempo de Execução:415.911873segundos</t>
  </si>
  <si>
    <t>Tempo de Execução:416.246813segundos</t>
  </si>
  <si>
    <t>Tempo de Execução:416.565633segundos</t>
  </si>
  <si>
    <t>Tempo de Execução:416.87538segundos</t>
  </si>
  <si>
    <t>Tempo de Execução:417.247606segundos</t>
  </si>
  <si>
    <t>Tempo de Execução:417.593475segundos</t>
  </si>
  <si>
    <t>Tempo de Execução:417.925115segundos</t>
  </si>
  <si>
    <t>Tempo de Execução:418.263343segundos</t>
  </si>
  <si>
    <t>Tempo de Execução:426.933268segundos</t>
  </si>
  <si>
    <t>Tempo de Execução:427.293985segundos</t>
  </si>
  <si>
    <t>Tempo de Execução:427.624173segundos</t>
  </si>
  <si>
    <t>Tempo de Execução:427.972561segundos</t>
  </si>
  <si>
    <t>Tempo de Execução:428.288722segundos</t>
  </si>
  <si>
    <t>Tempo de Execução:428.61338segundos</t>
  </si>
  <si>
    <t>Tempo de Execução:428.914992segundos</t>
  </si>
  <si>
    <t>Tempo de Execução:429.243139segundos</t>
  </si>
  <si>
    <t>Tempo de Execução:429.55751segundos</t>
  </si>
  <si>
    <t>Tempo de Execução:429.903182segundos</t>
  </si>
  <si>
    <t>Tempo de Execução:430.214348segundos</t>
  </si>
  <si>
    <t>Tempo de Execução:430.533402segundos</t>
  </si>
  <si>
    <t>Tempo de Execução:430.858094segundos</t>
  </si>
  <si>
    <t>Tempo de Execução:431.170266segundos</t>
  </si>
  <si>
    <t>Tempo de Execução:431.512621segundos</t>
  </si>
  <si>
    <t>Tempo de Execução:436.133417segundos</t>
  </si>
  <si>
    <t>Tempo de Execução:436.459812segundos</t>
  </si>
  <si>
    <t>Tempo de Execução:436.780075segundos</t>
  </si>
  <si>
    <t>Tempo de Execução:437.088028segundos</t>
  </si>
  <si>
    <t>Tempo de Execução:437.400079segundos</t>
  </si>
  <si>
    <t>Tempo de Execução:437.694369segundos</t>
  </si>
  <si>
    <t>Tempo de Execução:438.034377segundos</t>
  </si>
  <si>
    <t>Tempo de Execução:438.414911segundos</t>
  </si>
  <si>
    <t>Tempo de Execução:438.728665segundos</t>
  </si>
  <si>
    <t>Tempo de Execução:442.863155segundos</t>
  </si>
  <si>
    <t>Tempo de Execução:443.169364segundos</t>
  </si>
  <si>
    <t>Tempo de Execução:443.512377segundos</t>
  </si>
  <si>
    <t>Tempo de Execução:443.82927segundos</t>
  </si>
  <si>
    <t>Tempo de Execução:444.174215segundos</t>
  </si>
  <si>
    <t>Tempo de Execução:450.692782segundos</t>
  </si>
  <si>
    <t>Tempo de Execução:451.007111segundos</t>
  </si>
  <si>
    <t>Tempo de Execução:451.34246segundos</t>
  </si>
  <si>
    <t>Tempo de Execução:451.687521segundos</t>
  </si>
  <si>
    <t>Tempo de Execução:452.008094segundos</t>
  </si>
  <si>
    <t>Tempo de Execução:452.337114segundos</t>
  </si>
  <si>
    <t>Tempo de Execução:459.293157segundos</t>
  </si>
  <si>
    <t>Tempo de Execução:459.62928segundos</t>
  </si>
  <si>
    <t>Tempo de Execução:459.919197segundos</t>
  </si>
  <si>
    <t>Tempo de Execução:460.252138segundos</t>
  </si>
  <si>
    <t>Tempo de Execução:460.583251segundos</t>
  </si>
  <si>
    <t>Tempo de Execução:460.928479segundos</t>
  </si>
  <si>
    <t>Tempo de Execução:461.269644segundos</t>
  </si>
  <si>
    <t>Tempo de Execução:461.595042segundos</t>
  </si>
  <si>
    <t>Tempo de Execução:461.943883segundos</t>
  </si>
  <si>
    <t>Tempo de Execução:462.280828segundos</t>
  </si>
  <si>
    <t>Tempo de Execução:462.624335segundos</t>
  </si>
  <si>
    <t>Tempo de Execução:469.050437segundos</t>
  </si>
  <si>
    <t>Tempo de Execução:469.396751segundos</t>
  </si>
  <si>
    <t>Tempo de Execução:469.765028segundos</t>
  </si>
  <si>
    <t>Tempo de Execução:470.072041segundos</t>
  </si>
  <si>
    <t>Tempo de Execução:470.424087segundos</t>
  </si>
  <si>
    <t>Tempo de Execução:470.760186segundos</t>
  </si>
  <si>
    <t>Tempo de Execução:471.110477segundos</t>
  </si>
  <si>
    <t>Tempo de Execução:471.419611segundos</t>
  </si>
  <si>
    <t>Tempo de Execução:471.738575segundos</t>
  </si>
  <si>
    <t>Tempo de Execução:478.066448segundos</t>
  </si>
  <si>
    <t>Tempo de Execução:478.421882segundos</t>
  </si>
  <si>
    <t>Tempo de Execução:478.752431segundos</t>
  </si>
  <si>
    <t>Tempo de Execução:479.059834segundos</t>
  </si>
  <si>
    <t>Tempo de Execução:479.367058segundos</t>
  </si>
  <si>
    <t>Tempo de Execução:479.698066segundos</t>
  </si>
  <si>
    <t>Tempo de Execução:480.086664segundos</t>
  </si>
  <si>
    <t>Tempo de Execução:480.439636segundos</t>
  </si>
  <si>
    <t>Tempo de Execução:485.569469segundos</t>
  </si>
  <si>
    <t>Tempo de Execução:485.888312segundos</t>
  </si>
  <si>
    <t>Tempo de Execução:486.192997segundos</t>
  </si>
  <si>
    <t>Tempo de Execução:486.485391segundos</t>
  </si>
  <si>
    <t>Tempo de Execução:486.806164segundos</t>
  </si>
  <si>
    <t>Tempo de Execução:487.116297segundos</t>
  </si>
  <si>
    <t>Tempo de Execução:487.429911segundos</t>
  </si>
  <si>
    <t>Tempo de Execução:487.719839segundos</t>
  </si>
  <si>
    <t>Tempo de Execução:488.010313segundos</t>
  </si>
  <si>
    <t>Tempo de Execução:493.090824segundos</t>
  </si>
  <si>
    <t>Tempo de Execução:493.414702segundos</t>
  </si>
  <si>
    <t>Tempo de Execução:493.786093segundos</t>
  </si>
  <si>
    <t>Tempo de Execução:494.11855segundos</t>
  </si>
  <si>
    <t>Tempo de Execução:494.424269segundos</t>
  </si>
  <si>
    <t>Tempo de Execução:500.812185segundos</t>
  </si>
  <si>
    <t>Tempo de Execução:501.127721segundos</t>
  </si>
  <si>
    <t>Tempo de Execução:501.435655segundos</t>
  </si>
  <si>
    <t>Tempo de Execução:501.749741segundos</t>
  </si>
  <si>
    <t>Tempo de Execução:502.070285segundos</t>
  </si>
  <si>
    <t>Tempo de Execução:502.364717segundos</t>
  </si>
  <si>
    <t>Tempo de Execução:502.668944segundos</t>
  </si>
  <si>
    <t>Tempo de Execução:502.985051segundos</t>
  </si>
  <si>
    <t>Tempo de Execução:509.062735segundos</t>
  </si>
  <si>
    <t>Tempo de Execução:509.392785segundos</t>
  </si>
  <si>
    <t>Tempo de Execução:509.690946segundos</t>
  </si>
  <si>
    <t>Tempo de Execução:510.045593segundos</t>
  </si>
  <si>
    <t>Tempo de Execução:510.390582segundos</t>
  </si>
  <si>
    <t>Tempo de Execução:510.711459segundos</t>
  </si>
  <si>
    <t>Tempo de Execução:511.02156segundos</t>
  </si>
  <si>
    <t>Tempo de Execução:511.330631segundos</t>
  </si>
  <si>
    <t>Tempo de Execução:518.852086segundos</t>
  </si>
  <si>
    <t>Tempo de Execução:519.182562segundos</t>
  </si>
  <si>
    <t>Tempo de Execução:519.486802segundos</t>
  </si>
  <si>
    <t>Tempo de Execução:519.787463segundos</t>
  </si>
  <si>
    <t>Tempo de Execução:520.112027segundos</t>
  </si>
  <si>
    <t>Tempo de Execução:520.397931segundos</t>
  </si>
  <si>
    <t>Tempo de Execução:520.718615segundos</t>
  </si>
  <si>
    <t>Tempo de Execução:521.008097segundos</t>
  </si>
  <si>
    <t>Tempo de Execução:521.308267segundos</t>
  </si>
  <si>
    <t>Tempo de Execução:521.663518segundos</t>
  </si>
  <si>
    <t>Tempo de Execução:521.965461segundos</t>
  </si>
  <si>
    <t>Tempo de Execução:522.281234segundos</t>
  </si>
  <si>
    <t>Tempo de Execução:529.40035segundos</t>
  </si>
  <si>
    <t>Tempo de Execução:529.714413segundos</t>
  </si>
  <si>
    <t>Tempo de Execução:530.040771segundos</t>
  </si>
  <si>
    <t>Tempo de Execução:530.364479segundos</t>
  </si>
  <si>
    <t>Tempo de Execução:530.660417segundos</t>
  </si>
  <si>
    <t>Tempo de Execução:530.967934segundos</t>
  </si>
  <si>
    <t>Tempo de Execução:531.270639segundos</t>
  </si>
  <si>
    <t>Tempo de Execução:531.584443segundos</t>
  </si>
  <si>
    <t>Tempo de Execução:531.88484segundos</t>
  </si>
  <si>
    <t>Tempo de Execução:532.203746segundos</t>
  </si>
  <si>
    <t>Tempo de Execução:541.0077segundos</t>
  </si>
  <si>
    <t>Tempo de Execução:541.25325segundos</t>
  </si>
  <si>
    <t>Tempo de Execução:541.463768segundos</t>
  </si>
  <si>
    <t>Tempo de Execução:541.668041segundos</t>
  </si>
  <si>
    <t>Tempo de Execução:541.870366segundos</t>
  </si>
  <si>
    <t>Tempo de Execução:542.096458segundos</t>
  </si>
  <si>
    <t>Tempo de Execução:542.342992segundos</t>
  </si>
  <si>
    <t>Tempo de Execução:542.530276segundos</t>
  </si>
  <si>
    <t>Tempo de Execução:542.713776segundos</t>
  </si>
  <si>
    <t>Tempo de Execução:542.918959segundos</t>
  </si>
  <si>
    <t>Tempo de Execução:543.118419segundos</t>
  </si>
  <si>
    <t>Tempo de Execução:543.31259segundos</t>
  </si>
  <si>
    <t>Tempo de Execução:543.494087segundos</t>
  </si>
  <si>
    <t xml:space="preserve">Ótimo aparelho para o preço. Meu DVD Player funciona muito bem.
Ótimo produto esse, chegou muito rápido também.
Ótima lavadora. Realmente satisfaço o meu dinheiro com este produto.
Ótimo monitor de computador. Foi o mais adequado para meu uso doméstico.
                    Comentário
Ótima pasta de dente. Foi muito útil para limpar as pequenas cavidades entre os dentes.
Ótima cama essa! Penso que valeu a pena do duplo investimento.
Ótimo eficiente esse lavador de pratos. Recomendo.
Ótima lâmpada LED! Consuma muito menos energia do que o modelo antigo.
                    Comentário
Ótima lavadora. Trabalha muito bem desde o início até hoje.
Óptimo e muito conveniente esse refrigerador.
Ótimo cabelo certo para quem tem o cabelo delgado como eu.
Ótimo sistema de ar condicionado. Achei muito confortável.
Ótima lavadora de roupa. Recomendo sem reservas.
Ótimo lavador de pratos. Funciona muito bem e economiza água e energia.
                    Coment
Ótimo lavadeira! Fácil de limpar e consumidor de água muito baixo.
Ótimo para quem quer fazer um café rápido. Meu modelo anterior era muito lento.
Ótimo lavador de prataria. Funciona perfeitamente desde o primeiro momento.
Ótimo lavador de pratos. Fácil de limpar.
Ótimo lavador de louça. Muitas funções úteis e fácil de usar.
                    Coment
Óptimo e versátil essa cadeira. Recomendo muito.
Ótimo computador para escritório.
Ótimo eficiente este lavador. Consume pouco energia e limpa tudo bem.
                    Comentário
Ótimo rádio portátil. Muy feliz con el resultado.
Ótimo aparelho para aqueles que querem ganhar pesos com segurança.
Ótimo lavador de roupa. Gosto muito desse modelo.
Ótimo para quem tem muita luz natural em sua casa. Funciona perfeitamente.
                    Comentário
Ótimo esse carrinho de compras. Fácil de empurrar e muito leve.
                    Coment
Ótimo modelo desse refrigerador com congelador na cima. Funciona perfeitamente.
                    Coment
Ótimo modelo de canetas! As minhas últimas compras parecem estar muito bem construídas.
Ótimo míniforno industrial. Gosto muito!
Ótimo toca-discos, comprei ontem. Funciona perfeitamente até hoje.
                    Coment
Ótimo lavabo com várias opções para ajuste da temperatura do água.
Ótimo bluetooth, muito fácil de usar.
Óptico muito bom para computador. Fiquei satisfeita com a compra.
Ótimo raspador de frutas. Funciona perfeitamente.
Ótimo lavabo! Mantém o banheiro sempre limpo e sem bordas sujas.
                    Comentário
Ótimo modelo deste computador portátil.
Ótimo para quem precisa de um grande espaço para armazenamento.
Ótimo celular, funciona perfeitamente desde o primeiro momento.
Ótimo balanço para a casa. Meu filho adora!
Ótima cadeira de escritório. Fica confortável durante horas.
Ótimo esse mágnum para geladeira. Recomendo fortemente!
Ótimo celular. Tudo funciona bem.
Ótimo caixote para armazenamento. Fácil de limpar.
Ótimo lavador de prataria, realmente facilita a vida.
Ótima escolha, este aparelho de TV foi muito útil para mim.
Ótimo lavador de roupa. Foi a melhor compra do ano passado!
Ótimo processador. Trabalha muito bem com o meu sistema operacional.
Ótimo lavabo. Limpa tudo com uma única vezada.
Ótimo produto! Acho que vale a pena o preço.
</t>
  </si>
  <si>
    <t>chegou</t>
  </si>
  <si>
    <t>satisfaço</t>
  </si>
  <si>
    <t>adequado</t>
  </si>
  <si>
    <t>uso</t>
  </si>
  <si>
    <t>doméstico</t>
  </si>
  <si>
    <t>pequenas</t>
  </si>
  <si>
    <t>cavidades</t>
  </si>
  <si>
    <t>entre</t>
  </si>
  <si>
    <t>dentes</t>
  </si>
  <si>
    <t>penso</t>
  </si>
  <si>
    <t>duplo</t>
  </si>
  <si>
    <t>consuma</t>
  </si>
  <si>
    <t>trabalha</t>
  </si>
  <si>
    <t>início</t>
  </si>
  <si>
    <t>delgado</t>
  </si>
  <si>
    <t>lavadeira</t>
  </si>
  <si>
    <t>consumidor</t>
  </si>
  <si>
    <t>era</t>
  </si>
  <si>
    <t>lento</t>
  </si>
  <si>
    <t>úteis</t>
  </si>
  <si>
    <t>versátil</t>
  </si>
  <si>
    <t>consume</t>
  </si>
  <si>
    <t>con</t>
  </si>
  <si>
    <t>el</t>
  </si>
  <si>
    <t>querem</t>
  </si>
  <si>
    <t>ganhar</t>
  </si>
  <si>
    <t>pesos</t>
  </si>
  <si>
    <t>segurança</t>
  </si>
  <si>
    <t>luz</t>
  </si>
  <si>
    <t>natural</t>
  </si>
  <si>
    <t>cima</t>
  </si>
  <si>
    <t>canetas</t>
  </si>
  <si>
    <t>últimas</t>
  </si>
  <si>
    <t>parecem</t>
  </si>
  <si>
    <t>estar</t>
  </si>
  <si>
    <t>construídas</t>
  </si>
  <si>
    <t>míniforno</t>
  </si>
  <si>
    <t>industrial</t>
  </si>
  <si>
    <t>tocadiscos</t>
  </si>
  <si>
    <t>ajuste</t>
  </si>
  <si>
    <t>temperatura</t>
  </si>
  <si>
    <t>frutas</t>
  </si>
  <si>
    <t>banheiro</t>
  </si>
  <si>
    <t>bordas</t>
  </si>
  <si>
    <t>sujas</t>
  </si>
  <si>
    <t>durante</t>
  </si>
  <si>
    <t>mágnum</t>
  </si>
  <si>
    <t>caixote</t>
  </si>
  <si>
    <t>facilita</t>
  </si>
  <si>
    <t>escolha</t>
  </si>
  <si>
    <t>ano</t>
  </si>
  <si>
    <t>passado</t>
  </si>
  <si>
    <t>única</t>
  </si>
  <si>
    <t>vezada</t>
  </si>
  <si>
    <t>{"valorA":"chegou","valorB":1}</t>
  </si>
  <si>
    <t>{"valorA":"satisfaço","valorB":1}</t>
  </si>
  <si>
    <t>{"valorA":"doméstico","valorB":1}</t>
  </si>
  <si>
    <t>{"valorA":"uso","valorB":1}</t>
  </si>
  <si>
    <t>{"valorA":"adequado","valorB":1}</t>
  </si>
  <si>
    <t>{"valorA":"dentes","valorB":1}</t>
  </si>
  <si>
    <t>{"valorA":"pequenas","valorB":1}</t>
  </si>
  <si>
    <t>{"valorA":"pasta","valorB":1}</t>
  </si>
  <si>
    <t>{"valorA":"cavidades","valorB":1}</t>
  </si>
  <si>
    <t>{"valorA":"dente","valorB":1}</t>
  </si>
  <si>
    <t>{"valorA":"entre","valorB":1}</t>
  </si>
  <si>
    <t>{"valorA":"cama","valorB":1}</t>
  </si>
  <si>
    <t>{"valorA":"duplo","valorB":1}</t>
  </si>
  <si>
    <t>{"valorA":"penso","valorB":1}</t>
  </si>
  <si>
    <t>{"valorA":"menos","valorB":1}</t>
  </si>
  <si>
    <t>{"valorA":"consuma","valorB":1}</t>
  </si>
  <si>
    <t>{"valorA":"início","valorB":1}</t>
  </si>
  <si>
    <t>{"valorA":"trabalha","valorB":1}</t>
  </si>
  <si>
    <t>{"valorA":"conveniente","valorB":1}</t>
  </si>
  <si>
    <t>{"valorA":"delgado","valorB":1}</t>
  </si>
  <si>
    <t>{"valorA":"energia","valorB":2}</t>
  </si>
  <si>
    <t>{"valorA":"consumidor","valorB":1}</t>
  </si>
  <si>
    <t>{"valorA":"limpar","valorB":2}</t>
  </si>
  <si>
    <t>{"valorA":"lavadeira","valorB":1}</t>
  </si>
  <si>
    <t>{"valorA":"fazer","valorB":1}</t>
  </si>
  <si>
    <t>{"valorA":"café","valorB":1}</t>
  </si>
  <si>
    <t>{"valorA":"lento","valorB":1}</t>
  </si>
  <si>
    <t>{"valorA":"era","valorB":1}</t>
  </si>
  <si>
    <t>{"valorA":"limpar","valorB":3}</t>
  </si>
  <si>
    <t>{"valorA":"lavador","valorB":5}</t>
  </si>
  <si>
    <t>{"valorA":"funções","valorB":1}</t>
  </si>
  <si>
    <t>{"valorA":"úteis","valorB":1}</t>
  </si>
  <si>
    <t>{"valorA":"versátil","valorB":1}</t>
  </si>
  <si>
    <t>{"valorA":"lavador","valorB":6}</t>
  </si>
  <si>
    <t>{"valorA":"energia","valorB":3}</t>
  </si>
  <si>
    <t>{"valorA":"consume","valorB":1}</t>
  </si>
  <si>
    <t>{"valorA":"el","valorB":1}</t>
  </si>
  <si>
    <t>{"valorA":"con","valorB":1}</t>
  </si>
  <si>
    <t>{"valorA":"ganhar","valorB":1}</t>
  </si>
  <si>
    <t>{"valorA":"querem","valorB":1}</t>
  </si>
  <si>
    <t>{"valorA":"segurança","valorB":1}</t>
  </si>
  <si>
    <t>{"valorA":"aqueles","valorB":1}</t>
  </si>
  <si>
    <t>{"valorA":"pesos","valorB":1}</t>
  </si>
  <si>
    <t>{"valorA":"lavador","valorB":7}</t>
  </si>
  <si>
    <t>{"valorA":"modelo","valorB":3}</t>
  </si>
  <si>
    <t>{"valorA":"natural","valorB":1}</t>
  </si>
  <si>
    <t>{"valorA":"luz","valorB":1}</t>
  </si>
  <si>
    <t>{"valorA":"tem","valorB":2}</t>
  </si>
  <si>
    <t>{"valorA":"empurrar","valorB":1}</t>
  </si>
  <si>
    <t>{"valorA":"modelo","valorB":4}</t>
  </si>
  <si>
    <t>{"valorA":"congelador","valorB":1}</t>
  </si>
  <si>
    <t>{"valorA":"cima","valorB":1}</t>
  </si>
  <si>
    <t>{"valorA":"coment","valorB":4}</t>
  </si>
  <si>
    <t>{"valorA":"modelo","valorB":5}</t>
  </si>
  <si>
    <t>{"valorA":"parecem","valorB":1}</t>
  </si>
  <si>
    <t>{"valorA":"as","valorB":2}</t>
  </si>
  <si>
    <t>{"valorA":"últimas","valorB":1}</t>
  </si>
  <si>
    <t>{"valorA":"estar","valorB":1}</t>
  </si>
  <si>
    <t>{"valorA":"construídas","valorB":1}</t>
  </si>
  <si>
    <t>{"valorA":"canetas","valorB":1}</t>
  </si>
  <si>
    <t>{"valorA":"industrial","valorB":1}</t>
  </si>
  <si>
    <t>{"valorA":"míniforno","valorB":1}</t>
  </si>
  <si>
    <t>{"valorA":"tocadiscos","valorB":1}</t>
  </si>
  <si>
    <t>{"valorA":"até","valorB":2}</t>
  </si>
  <si>
    <t>{"valorA":"hoje","valorB":2}</t>
  </si>
  <si>
    <t>{"valorA":"coment","valorB":5}</t>
  </si>
  <si>
    <t>{"valorA":"várias","valorB":1}</t>
  </si>
  <si>
    <t>{"valorA":"ajuste","valorB":1}</t>
  </si>
  <si>
    <t>{"valorA":"opções","valorB":1}</t>
  </si>
  <si>
    <t>{"valorA":"água","valorB":3}</t>
  </si>
  <si>
    <t>{"valorA":"temperatura","valorB":1}</t>
  </si>
  <si>
    <t>{"valorA":"raspador","valorB":1}</t>
  </si>
  <si>
    <t>{"valorA":"frutas","valorB":1}</t>
  </si>
  <si>
    <t>{"valorA":"lavabo","valorB":2}</t>
  </si>
  <si>
    <t>{"valorA":"mantém","valorB":1}</t>
  </si>
  <si>
    <t>{"valorA":"banheiro","valorB":1}</t>
  </si>
  <si>
    <t>{"valorA":"bordas","valorB":1}</t>
  </si>
  <si>
    <t>{"valorA":"sujas","valorB":1}</t>
  </si>
  <si>
    <t>{"valorA":"comentário","valorB":5}</t>
  </si>
  <si>
    <t>{"valorA":"modelo","valorB":6}</t>
  </si>
  <si>
    <t>{"valorA":"primeiro","valorB":2}</t>
  </si>
  <si>
    <t>{"valorA":"horas","valorB":1}</t>
  </si>
  <si>
    <t>{"valorA":"durante","valorB":1}</t>
  </si>
  <si>
    <t>{"valorA":"de","valorB":21}</t>
  </si>
  <si>
    <t>{"valorA":"mágnum","valorB":1}</t>
  </si>
  <si>
    <t>{"valorA":"armazenamento","valorB":2}</t>
  </si>
  <si>
    <t>{"valorA":"caixote","valorB":1}</t>
  </si>
  <si>
    <t>{"valorA":"limpar","valorB":4}</t>
  </si>
  <si>
    <t>{"valorA":"de","valorB":22}</t>
  </si>
  <si>
    <t>{"valorA":"lavador","valorB":8}</t>
  </si>
  <si>
    <t>{"valorA":"de","valorB":23}</t>
  </si>
  <si>
    <t>{"valorA":"facilita","valorB":1}</t>
  </si>
  <si>
    <t>{"valorA":"escolha","valorB":1}</t>
  </si>
  <si>
    <t>{"valorA":"este","valorB":3}</t>
  </si>
  <si>
    <t>{"valorA":"foi","valorB":3}</t>
  </si>
  <si>
    <t>{"valorA":"de","valorB":24}</t>
  </si>
  <si>
    <t>{"valorA":"lavador","valorB":9}</t>
  </si>
  <si>
    <t>{"valorA":"foi","valorB":4}</t>
  </si>
  <si>
    <t>{"valorA":"roupa","valorB":3}</t>
  </si>
  <si>
    <t>{"valorA":"ano","valorB":1}</t>
  </si>
  <si>
    <t>{"valorA":"de","valorB":25}</t>
  </si>
  <si>
    <t>{"valorA":"passado","valorB":1}</t>
  </si>
  <si>
    <t>{"valorA":"processador","valorB":1}</t>
  </si>
  <si>
    <t>{"valorA":"trabalha","valorB":2}</t>
  </si>
  <si>
    <t>{"valorA":"operacional","valorB":1}</t>
  </si>
  <si>
    <t>{"valorA":"lavabo","valorB":3}</t>
  </si>
  <si>
    <t>{"valorA":"única","valorB":1}</t>
  </si>
  <si>
    <t>{"valorA":"vezada","valorB":1}</t>
  </si>
  <si>
    <t>Tempo de Execução:77.123955segundos</t>
  </si>
  <si>
    <t>Tempo de Execução:77.249874segundos</t>
  </si>
  <si>
    <t>Tempo de Execução:77.370142segundos</t>
  </si>
  <si>
    <t>Tempo de Execução:77.50804segundos</t>
  </si>
  <si>
    <t>Tempo de Execução:77.641551segundos</t>
  </si>
  <si>
    <t>Tempo de Execução:77.792196segundos</t>
  </si>
  <si>
    <t>Tempo de Execução:77.93265segundos</t>
  </si>
  <si>
    <t>Tempo de Execução:78.08203segundos</t>
  </si>
  <si>
    <t>Tempo de Execução:78.251059segundos</t>
  </si>
  <si>
    <t>Tempo de Execução:78.423338segundos</t>
  </si>
  <si>
    <t>Tempo de Execução:78.589926segundos</t>
  </si>
  <si>
    <t>Tempo de Execução:80.044359segundos</t>
  </si>
  <si>
    <t>Tempo de Execução:80.246808segundos</t>
  </si>
  <si>
    <t>Tempo de Execução:80.474175segundos</t>
  </si>
  <si>
    <t>Tempo de Execução:80.681214segundos</t>
  </si>
  <si>
    <t>Tempo de Execução:80.902921segundos</t>
  </si>
  <si>
    <t>Tempo de Execução:81.175919segundos</t>
  </si>
  <si>
    <t>Tempo de Execução:81.394245segundos</t>
  </si>
  <si>
    <t>Tempo de Execução:88.973142segundos</t>
  </si>
  <si>
    <t>Tempo de Execução:89.231993segundos</t>
  </si>
  <si>
    <t>Tempo de Execução:89.485838segundos</t>
  </si>
  <si>
    <t>Tempo de Execução:89.764469segundos</t>
  </si>
  <si>
    <t>Tempo de Execução:90.039083segundos</t>
  </si>
  <si>
    <t>Tempo de Execução:90.324036segundos</t>
  </si>
  <si>
    <t>Tempo de Execução:91.359828segundos</t>
  </si>
  <si>
    <t>Tempo de Execução:91.652487segundos</t>
  </si>
  <si>
    <t>Tempo de Execução:91.975975segundos</t>
  </si>
  <si>
    <t>Tempo de Execução:92.269403segundos</t>
  </si>
  <si>
    <t>Tempo de Execução:97.564091segundos</t>
  </si>
  <si>
    <t>Tempo de Execução:97.874931segundos</t>
  </si>
  <si>
    <t>Tempo de Execução:98.168606segundos</t>
  </si>
  <si>
    <t>Tempo de Execução:98.478147segundos</t>
  </si>
  <si>
    <t>Tempo de Execução:98.805581segundos</t>
  </si>
  <si>
    <t>Tempo de Execução:99.173448segundos</t>
  </si>
  <si>
    <t>Tempo de Execução:99.50155segundos</t>
  </si>
  <si>
    <t>Tempo de Execução:99.819318segundos</t>
  </si>
  <si>
    <t>Tempo de Execução:100.159517segundos</t>
  </si>
  <si>
    <t>Tempo de Execução:100.506346segundos</t>
  </si>
  <si>
    <t>Tempo de Execução:100.814115segundos</t>
  </si>
  <si>
    <t>Tempo de Execução:101.157952segundos</t>
  </si>
  <si>
    <t>Tempo de Execução:101.489608segundos</t>
  </si>
  <si>
    <t>Tempo de Execução:106.298694segundos</t>
  </si>
  <si>
    <t>Tempo de Execução:106.649448segundos</t>
  </si>
  <si>
    <t>Tempo de Execução:107.014934segundos</t>
  </si>
  <si>
    <t>Tempo de Execução:107.366127segundos</t>
  </si>
  <si>
    <t>Tempo de Execução:107.691106segundos</t>
  </si>
  <si>
    <t>Tempo de Execução:108.100968segundos</t>
  </si>
  <si>
    <t>Tempo de Execução:108.447416segundos</t>
  </si>
  <si>
    <t>Tempo de Execução:108.787815segundos</t>
  </si>
  <si>
    <t>Tempo de Execução:109.153017segundos</t>
  </si>
  <si>
    <t>Tempo de Execução:109.500656segundos</t>
  </si>
  <si>
    <t>Tempo de Execução:109.864707segundos</t>
  </si>
  <si>
    <t>Tempo de Execução:110.235445segundos</t>
  </si>
  <si>
    <t>Tempo de Execução:110.652232segundos</t>
  </si>
  <si>
    <t>Tempo de Execução:111.026047segundos</t>
  </si>
  <si>
    <t>Tempo de Execução:111.383236segundos</t>
  </si>
  <si>
    <t>Tempo de Execução:114.791165segundos</t>
  </si>
  <si>
    <t>Tempo de Execução:115.15975segundos</t>
  </si>
  <si>
    <t>Tempo de Execução:115.518529segundos</t>
  </si>
  <si>
    <t>Tempo de Execução:115.875428segundos</t>
  </si>
  <si>
    <t>Tempo de Execução:116.284261segundos</t>
  </si>
  <si>
    <t>Tempo de Execução:116.624688segundos</t>
  </si>
  <si>
    <t>Tempo de Execução:116.978279segundos</t>
  </si>
  <si>
    <t>Tempo de Execução:117.334728segundos</t>
  </si>
  <si>
    <t>Tempo de Execução:117.670631segundos</t>
  </si>
  <si>
    <t>Tempo de Execução:118.002426segundos</t>
  </si>
  <si>
    <t>Tempo de Execução:118.347292segundos</t>
  </si>
  <si>
    <t>Tempo de Execução:121.978988segundos</t>
  </si>
  <si>
    <t>Tempo de Execução:122.334583segundos</t>
  </si>
  <si>
    <t>Tempo de Execução:122.709775segundos</t>
  </si>
  <si>
    <t>Tempo de Execução:123.072121segundos</t>
  </si>
  <si>
    <t>Tempo de Execução:123.443347segundos</t>
  </si>
  <si>
    <t>Tempo de Execução:123.788278segundos</t>
  </si>
  <si>
    <t>Tempo de Execução:124.20884segundos</t>
  </si>
  <si>
    <t>Tempo de Execução:130.595781segundos</t>
  </si>
  <si>
    <t>Tempo de Execução:130.954432segundos</t>
  </si>
  <si>
    <t>Tempo de Execução:131.318913segundos</t>
  </si>
  <si>
    <t>Tempo de Execução:131.684668segundos</t>
  </si>
  <si>
    <t>Tempo de Execução:132.038segundos</t>
  </si>
  <si>
    <t>Tempo de Execução:132.405913segundos</t>
  </si>
  <si>
    <t>Tempo de Execução:132.770156segundos</t>
  </si>
  <si>
    <t>Tempo de Execução:133.108891segundos</t>
  </si>
  <si>
    <t>Tempo de Execução:133.459868segundos</t>
  </si>
  <si>
    <t>Tempo de Execução:133.824074segundos</t>
  </si>
  <si>
    <t>Tempo de Execução:134.182404segundos</t>
  </si>
  <si>
    <t>Tempo de Execução:134.528305segundos</t>
  </si>
  <si>
    <t>Tempo de Execução:134.935383segundos</t>
  </si>
  <si>
    <t>Tempo de Execução:138.767941segundos</t>
  </si>
  <si>
    <t>Tempo de Execução:139.130196segundos</t>
  </si>
  <si>
    <t>Tempo de Execução:139.489841segundos</t>
  </si>
  <si>
    <t>Tempo de Execução:139.848177segundos</t>
  </si>
  <si>
    <t>Tempo de Execução:140.185417segundos</t>
  </si>
  <si>
    <t>Tempo de Execução:140.531438segundos</t>
  </si>
  <si>
    <t>Tempo de Execução:140.84649segundos</t>
  </si>
  <si>
    <t>Tempo de Execução:141.18361segundos</t>
  </si>
  <si>
    <t>Tempo de Execução:141.513131segundos</t>
  </si>
  <si>
    <t>Tempo de Execução:141.854849segundos</t>
  </si>
  <si>
    <t>Tempo de Execução:144.527249segundos</t>
  </si>
  <si>
    <t>Tempo de Execução:144.926195segundos</t>
  </si>
  <si>
    <t>Tempo de Execução:145.282167segundos</t>
  </si>
  <si>
    <t>Tempo de Execução:145.628082segundos</t>
  </si>
  <si>
    <t>Tempo de Execução:145.9699segundos</t>
  </si>
  <si>
    <t>Tempo de Execução:146.306504segundos</t>
  </si>
  <si>
    <t>Tempo de Execução:151.056739segundos</t>
  </si>
  <si>
    <t>Tempo de Execução:151.401511segundos</t>
  </si>
  <si>
    <t>Tempo de Execução:151.750782segundos</t>
  </si>
  <si>
    <t>Tempo de Execução:152.102487segundos</t>
  </si>
  <si>
    <t>Tempo de Execução:152.453362segundos</t>
  </si>
  <si>
    <t>Tempo de Execução:152.784479segundos</t>
  </si>
  <si>
    <t>Tempo de Execução:153.095907segundos</t>
  </si>
  <si>
    <t>Tempo de Execução:153.431323segundos</t>
  </si>
  <si>
    <t>Tempo de Execução:153.779731segundos</t>
  </si>
  <si>
    <t>Tempo de Execução:154.192934segundos</t>
  </si>
  <si>
    <t>Tempo de Execução:154.531825segundos</t>
  </si>
  <si>
    <t>Tempo de Execução:158.764694segundos</t>
  </si>
  <si>
    <t>Tempo de Execução:159.096684segundos</t>
  </si>
  <si>
    <t>Tempo de Execução:159.399151segundos</t>
  </si>
  <si>
    <t>Tempo de Execução:159.743501segundos</t>
  </si>
  <si>
    <t>Tempo de Execução:160.076603segundos</t>
  </si>
  <si>
    <t>Tempo de Execução:160.438764segundos</t>
  </si>
  <si>
    <t>Tempo de Execução:160.793066segundos</t>
  </si>
  <si>
    <t>Tempo de Execução:161.135888segundos</t>
  </si>
  <si>
    <t>Tempo de Execução:165.179476segundos</t>
  </si>
  <si>
    <t>Tempo de Execução:165.534985segundos</t>
  </si>
  <si>
    <t>Tempo de Execução:165.885762segundos</t>
  </si>
  <si>
    <t>Tempo de Execução:166.288199segundos</t>
  </si>
  <si>
    <t>Tempo de Execução:166.664922segundos</t>
  </si>
  <si>
    <t>Tempo de Execução:167.026277segundos</t>
  </si>
  <si>
    <t>Tempo de Execução:167.36342segundos</t>
  </si>
  <si>
    <t>Tempo de Execução:173.659074segundos</t>
  </si>
  <si>
    <t>Tempo de Execução:174.005497segundos</t>
  </si>
  <si>
    <t>Tempo de Execução:174.371317segundos</t>
  </si>
  <si>
    <t>Tempo de Execução:174.724004segundos</t>
  </si>
  <si>
    <t>Tempo de Execução:175.064662segundos</t>
  </si>
  <si>
    <t>Tempo de Execução:175.414752segundos</t>
  </si>
  <si>
    <t>Tempo de Execução:175.776461segundos</t>
  </si>
  <si>
    <t>Tempo de Execução:176.113301segundos</t>
  </si>
  <si>
    <t>Tempo de Execução:176.463573segundos</t>
  </si>
  <si>
    <t>Tempo de Execução:176.871459segundos</t>
  </si>
  <si>
    <t>Tempo de Execução:177.196437segundos</t>
  </si>
  <si>
    <t>Tempo de Execução:177.537562segundos</t>
  </si>
  <si>
    <t>Tempo de Execução:177.890658segundos</t>
  </si>
  <si>
    <t>Tempo de Execução:182.344581segundos</t>
  </si>
  <si>
    <t>Tempo de Execução:182.695993segundos</t>
  </si>
  <si>
    <t>Tempo de Execução:183.016474segundos</t>
  </si>
  <si>
    <t>Tempo de Execução:183.352991segundos</t>
  </si>
  <si>
    <t>Tempo de Execução:183.681062segundos</t>
  </si>
  <si>
    <t>Tempo de Execução:184.014061segundos</t>
  </si>
  <si>
    <t>Tempo de Execução:184.349782segundos</t>
  </si>
  <si>
    <t>Tempo de Execução:184.674542segundos</t>
  </si>
  <si>
    <t>Tempo de Execução:185.004877segundos</t>
  </si>
  <si>
    <t>Tempo de Execução:185.415818segundos</t>
  </si>
  <si>
    <t>Tempo de Execução:185.741463segundos</t>
  </si>
  <si>
    <t>Tempo de Execução:190.840925segundos</t>
  </si>
  <si>
    <t>Tempo de Execução:191.148689segundos</t>
  </si>
  <si>
    <t>Tempo de Execução:191.46471segundos</t>
  </si>
  <si>
    <t>Tempo de Execução:191.787445segundos</t>
  </si>
  <si>
    <t>Tempo de Execução:192.126651segundos</t>
  </si>
  <si>
    <t>Tempo de Execução:192.442946segundos</t>
  </si>
  <si>
    <t>Tempo de Execução:192.763066segundos</t>
  </si>
  <si>
    <t>Tempo de Execução:193.083249segundos</t>
  </si>
  <si>
    <t>Tempo de Execução:193.408434segundos</t>
  </si>
  <si>
    <t>Tempo de Execução:193.707104segundos</t>
  </si>
  <si>
    <t>Tempo de Execução:194.018981segundos</t>
  </si>
  <si>
    <t>Tempo de Execução:194.342453segundos</t>
  </si>
  <si>
    <t>Tempo de Execução:194.744748segundos</t>
  </si>
  <si>
    <t>Tempo de Execução:195.057363segundos</t>
  </si>
  <si>
    <t>Tempo de Execução:199.197534segundos</t>
  </si>
  <si>
    <t>Tempo de Execução:199.538892segundos</t>
  </si>
  <si>
    <t>Tempo de Execução:199.88294segundos</t>
  </si>
  <si>
    <t>Tempo de Execução:200.228147segundos</t>
  </si>
  <si>
    <t>Tempo de Execução:200.596723segundos</t>
  </si>
  <si>
    <t>Tempo de Execução:200.942088segundos</t>
  </si>
  <si>
    <t>Tempo de Execução:201.30516segundos</t>
  </si>
  <si>
    <t>Tempo de Execução:201.646233segundos</t>
  </si>
  <si>
    <t>Tempo de Execução:201.997606segundos</t>
  </si>
  <si>
    <t>Tempo de Execução:202.349786segundos</t>
  </si>
  <si>
    <t>Tempo de Execução:206.022681segundos</t>
  </si>
  <si>
    <t>Tempo de Execução:206.431229segundos</t>
  </si>
  <si>
    <t>Tempo de Execução:206.757932segundos</t>
  </si>
  <si>
    <t>Tempo de Execução:207.071761segundos</t>
  </si>
  <si>
    <t>Tempo de Execução:207.386753segundos</t>
  </si>
  <si>
    <t>Tempo de Execução:207.719075segundos</t>
  </si>
  <si>
    <t>Tempo de Execução:208.054306segundos</t>
  </si>
  <si>
    <t>Tempo de Execução:214.627987segundos</t>
  </si>
  <si>
    <t>Tempo de Execução:214.957433segundos</t>
  </si>
  <si>
    <t>Tempo de Execução:215.302613segundos</t>
  </si>
  <si>
    <t>Tempo de Execução:215.634816segundos</t>
  </si>
  <si>
    <t>Tempo de Execução:215.968362segundos</t>
  </si>
  <si>
    <t>Tempo de Execução:216.315756segundos</t>
  </si>
  <si>
    <t>Tempo de Execução:216.666639segundos</t>
  </si>
  <si>
    <t>Tempo de Execução:217.081037segundos</t>
  </si>
  <si>
    <t>Tempo de Execução:217.406901segundos</t>
  </si>
  <si>
    <t>Tempo de Execução:217.728268segundos</t>
  </si>
  <si>
    <t>Tempo de Execução:218.058119segundos</t>
  </si>
  <si>
    <t>Tempo de Execução:218.380322segundos</t>
  </si>
  <si>
    <t>Tempo de Execução:222.018867segundos</t>
  </si>
  <si>
    <t>Tempo de Execução:222.364697segundos</t>
  </si>
  <si>
    <t>Tempo de Execução:222.718217segundos</t>
  </si>
  <si>
    <t>Tempo de Execução:223.050862segundos</t>
  </si>
  <si>
    <t>Tempo de Execução:223.38667segundos</t>
  </si>
  <si>
    <t>Tempo de Execução:223.744753segundos</t>
  </si>
  <si>
    <t>Tempo de Execução:224.065904segundos</t>
  </si>
  <si>
    <t>Tempo de Execução:226.805043segundos</t>
  </si>
  <si>
    <t>Tempo de Execução:227.131401segundos</t>
  </si>
  <si>
    <t>Tempo de Execução:227.514748segundos</t>
  </si>
  <si>
    <t>Tempo de Execução:227.857796segundos</t>
  </si>
  <si>
    <t>Tempo de Execução:235.068569segundos</t>
  </si>
  <si>
    <t>Tempo de Execução:235.423859segundos</t>
  </si>
  <si>
    <t>Tempo de Execução:235.759619segundos</t>
  </si>
  <si>
    <t>Tempo de Execução:236.082037segundos</t>
  </si>
  <si>
    <t>Tempo de Execução:236.417086segundos</t>
  </si>
  <si>
    <t>Tempo de Execução:236.769043segundos</t>
  </si>
  <si>
    <t>Tempo de Execução:237.095909segundos</t>
  </si>
  <si>
    <t>Tempo de Execução:237.43853segundos</t>
  </si>
  <si>
    <t>Tempo de Execução:237.768668segundos</t>
  </si>
  <si>
    <t>Tempo de Execução:238.104154segundos</t>
  </si>
  <si>
    <t>Tempo de Execução:238.436638segundos</t>
  </si>
  <si>
    <t>Tempo de Execução:238.854158segundos</t>
  </si>
  <si>
    <t>Tempo de Execução:242.586151segundos</t>
  </si>
  <si>
    <t>Tempo de Execução:242.920356segundos</t>
  </si>
  <si>
    <t>Tempo de Execução:243.27749segundos</t>
  </si>
  <si>
    <t>Tempo de Execução:243.597segundos</t>
  </si>
  <si>
    <t>Tempo de Execução:243.931463segundos</t>
  </si>
  <si>
    <t>Tempo de Execução:244.281643segundos</t>
  </si>
  <si>
    <t>Tempo de Execução:244.614713segundos</t>
  </si>
  <si>
    <t>Tempo de Execução:244.931963segundos</t>
  </si>
  <si>
    <t>Tempo de Execução:250.770405segundos</t>
  </si>
  <si>
    <t>Tempo de Execução:251.130058segundos</t>
  </si>
  <si>
    <t>Tempo de Execução:251.478127segundos</t>
  </si>
  <si>
    <t>Tempo de Execução:251.834044segundos</t>
  </si>
  <si>
    <t>Tempo de Execução:252.22047segundos</t>
  </si>
  <si>
    <t>Tempo de Execução:252.57614segundos</t>
  </si>
  <si>
    <t>Tempo de Execução:252.905898segundos</t>
  </si>
  <si>
    <t>Tempo de Execução:253.241747segundos</t>
  </si>
  <si>
    <t>Tempo de Execução:253.604842segundos</t>
  </si>
  <si>
    <t>Tempo de Execução:253.951575segundos</t>
  </si>
  <si>
    <t>Tempo de Execução:257.963024segundos</t>
  </si>
  <si>
    <t>Tempo de Execução:258.304649segundos</t>
  </si>
  <si>
    <t>Tempo de Execução:258.64013segundos</t>
  </si>
  <si>
    <t>Tempo de Execução:259.013756segundos</t>
  </si>
  <si>
    <t>Tempo de Execução:259.358127segundos</t>
  </si>
  <si>
    <t>Tempo de Execução:259.700023segundos</t>
  </si>
  <si>
    <t>Tempo de Execução:260.043165segundos</t>
  </si>
  <si>
    <t>Tempo de Execução:260.467665segundos</t>
  </si>
  <si>
    <t>Tempo de Execução:266.361595segundos</t>
  </si>
  <si>
    <t>Tempo de Execução:266.713672segundos</t>
  </si>
  <si>
    <t>Tempo de Execução:267.063563segundos</t>
  </si>
  <si>
    <t>Tempo de Execução:267.395371segundos</t>
  </si>
  <si>
    <t>Tempo de Execução:267.744518segundos</t>
  </si>
  <si>
    <t>Tempo de Execução:268.085162segundos</t>
  </si>
  <si>
    <t>Tempo de Execução:268.430737segundos</t>
  </si>
  <si>
    <t>Tempo de Execução:268.772137segundos</t>
  </si>
  <si>
    <t>Tempo de Execução:269.112061segundos</t>
  </si>
  <si>
    <t>Tempo de Execução:269.442688segundos</t>
  </si>
  <si>
    <t>Tempo de Execução:269.759973segundos</t>
  </si>
  <si>
    <t>Tempo de Execução:270.11916segundos</t>
  </si>
  <si>
    <t>Tempo de Execução:270.550459segundos</t>
  </si>
  <si>
    <t>Tempo de Execução:274.741449segundos</t>
  </si>
  <si>
    <t>Tempo de Execução:275.048037segundos</t>
  </si>
  <si>
    <t>Tempo de Execução:275.355715segundos</t>
  </si>
  <si>
    <t>Tempo de Execução:275.668022segundos</t>
  </si>
  <si>
    <t>Tempo de Execução:275.993361segundos</t>
  </si>
  <si>
    <t>Tempo de Execução:276.339244segundos</t>
  </si>
  <si>
    <t>Tempo de Execução:276.705554segundos</t>
  </si>
  <si>
    <t>Tempo de Execução:277.050009segundos</t>
  </si>
  <si>
    <t>Tempo de Execução:277.398384segundos</t>
  </si>
  <si>
    <t>Tempo de Execução:277.751876segundos</t>
  </si>
  <si>
    <t>Tempo de Execução:278.104857segundos</t>
  </si>
  <si>
    <t>Tempo de Execução:278.460602segundos</t>
  </si>
  <si>
    <t>Tempo de Execução:284.565252segundos</t>
  </si>
  <si>
    <t>Tempo de Execução:284.930186segundos</t>
  </si>
  <si>
    <t>Tempo de Execução:285.279025segundos</t>
  </si>
  <si>
    <t>Tempo de Execução:285.64586segundos</t>
  </si>
  <si>
    <t>Tempo de Execução:286.010277segundos</t>
  </si>
  <si>
    <t>Tempo de Execução:286.368697segundos</t>
  </si>
  <si>
    <t>Tempo de Execução:286.730655segundos</t>
  </si>
  <si>
    <t>Tempo de Execução:287.060759segundos</t>
  </si>
  <si>
    <t>Tempo de Execução:287.396656segundos</t>
  </si>
  <si>
    <t>Tempo de Execução:287.751806segundos</t>
  </si>
  <si>
    <t>Tempo de Execução:288.133267segundos</t>
  </si>
  <si>
    <t>Tempo de Execução:292.835762segundos</t>
  </si>
  <si>
    <t>Tempo de Execução:293.199404segundos</t>
  </si>
  <si>
    <t>Tempo de Execução:293.609269segundos</t>
  </si>
  <si>
    <t>Tempo de Execução:293.949614segundos</t>
  </si>
  <si>
    <t>Tempo de Execução:294.305791segundos</t>
  </si>
  <si>
    <t>Tempo de Execução:294.687026segundos</t>
  </si>
  <si>
    <t>Tempo de Execução:295.092266segundos</t>
  </si>
  <si>
    <t>Tempo de Execução:295.507502segundos</t>
  </si>
  <si>
    <t>Tempo de Execução:295.908731segundos</t>
  </si>
  <si>
    <t>Tempo de Execução:296.272473segundos</t>
  </si>
  <si>
    <t>Tempo de Execução:296.649646segundos</t>
  </si>
  <si>
    <t>Tempo de Execução:297.054313segundos</t>
  </si>
  <si>
    <t>Tempo de Execução:297.436019segundos</t>
  </si>
  <si>
    <t>Tempo de Execução:299.235572segundos</t>
  </si>
  <si>
    <t>Tempo de Execução:299.656402segundos</t>
  </si>
  <si>
    <t>Tempo de Execução:300.017154segundos</t>
  </si>
  <si>
    <t>Tempo de Execução:300.373001segundos</t>
  </si>
  <si>
    <t>Tempo de Execução:300.719669segundos</t>
  </si>
  <si>
    <t>Tempo de Execução:307.756443segundos</t>
  </si>
  <si>
    <t>Tempo de Execução:308.094101segundos</t>
  </si>
  <si>
    <t>Tempo de Execução:308.420053segundos</t>
  </si>
  <si>
    <t>Tempo de Execução:308.776949segundos</t>
  </si>
  <si>
    <t>Tempo de Execução:309.096034segundos</t>
  </si>
  <si>
    <t>Tempo de Execução:309.440139segundos</t>
  </si>
  <si>
    <t>Tempo de Execução:309.775802segundos</t>
  </si>
  <si>
    <t>Tempo de Execução:310.08436segundos</t>
  </si>
  <si>
    <t>Tempo de Execução:310.417567segundos</t>
  </si>
  <si>
    <t>Tempo de Execução:316.429834segundos</t>
  </si>
  <si>
    <t>Tempo de Execução:316.832357segundos</t>
  </si>
  <si>
    <t>Tempo de Execução:317.137302segundos</t>
  </si>
  <si>
    <t>Tempo de Execução:317.482143segundos</t>
  </si>
  <si>
    <t>Tempo de Execução:317.793388segundos</t>
  </si>
  <si>
    <t>Tempo de Execução:318.114315segundos</t>
  </si>
  <si>
    <t>Tempo de Execução:318.436328segundos</t>
  </si>
  <si>
    <t>Tempo de Execução:318.785775segundos</t>
  </si>
  <si>
    <t>Tempo de Execução:319.12671segundos</t>
  </si>
  <si>
    <t>Tempo de Execução:319.434515segundos</t>
  </si>
  <si>
    <t>Tempo de Execução:319.779355segundos</t>
  </si>
  <si>
    <t>Tempo de Execução:322.535684segundos</t>
  </si>
  <si>
    <t>Tempo de Execução:322.888998segundos</t>
  </si>
  <si>
    <t>Tempo de Execução:323.23977segundos</t>
  </si>
  <si>
    <t>Tempo de Execução:323.637419segundos</t>
  </si>
  <si>
    <t>Tempo de Execução:323.952381segundos</t>
  </si>
  <si>
    <t>Tempo de Execução:324.298029segundos</t>
  </si>
  <si>
    <t>Tempo de Execução:330.814282segundos</t>
  </si>
  <si>
    <t>Tempo de Execução:331.156982segundos</t>
  </si>
  <si>
    <t>Tempo de Execução:331.522038segundos</t>
  </si>
  <si>
    <t>Tempo de Execução:331.875993segundos</t>
  </si>
  <si>
    <t>Tempo de Execução:332.204549segundos</t>
  </si>
  <si>
    <t>Tempo de Execução:332.541844segundos</t>
  </si>
  <si>
    <t>Tempo de Execução:332.894364segundos</t>
  </si>
  <si>
    <t>Tempo de Execução:333.259258segundos</t>
  </si>
  <si>
    <t>Tempo de Execução:333.583502segundos</t>
  </si>
  <si>
    <t>Tempo de Execução:333.903071segundos</t>
  </si>
  <si>
    <t>Tempo de Execução:338.105462segundos</t>
  </si>
  <si>
    <t>Tempo de Execução:338.422583segundos</t>
  </si>
  <si>
    <t>Tempo de Execução:338.763945segundos</t>
  </si>
  <si>
    <t>Tempo de Execução:339.07521segundos</t>
  </si>
  <si>
    <t>Tempo de Execução:339.39776segundos</t>
  </si>
  <si>
    <t>Tempo de Execução:339.738411segundos</t>
  </si>
  <si>
    <t>Tempo de Execução:346.711108segundos</t>
  </si>
  <si>
    <t>Tempo de Execução:347.035035segundos</t>
  </si>
  <si>
    <t>Tempo de Execução:347.371284segundos</t>
  </si>
  <si>
    <t>Tempo de Execução:347.709757segundos</t>
  </si>
  <si>
    <t>Tempo de Execução:348.034976segundos</t>
  </si>
  <si>
    <t>Tempo de Execução:348.357766segundos</t>
  </si>
  <si>
    <t>Tempo de Execução:348.71773segundos</t>
  </si>
  <si>
    <t>Tempo de Execução:349.032315segundos</t>
  </si>
  <si>
    <t>Tempo de Execução:349.408485segundos</t>
  </si>
  <si>
    <t>Tempo de Execução:349.737983segundos</t>
  </si>
  <si>
    <t>Tempo de Execução:350.083618segundos</t>
  </si>
  <si>
    <t>Tempo de Execução:350.429317segundos</t>
  </si>
  <si>
    <t>Tempo de Execução:352.362751segundos</t>
  </si>
  <si>
    <t>Tempo de Execução:352.704603segundos</t>
  </si>
  <si>
    <t>Tempo de Execução:353.044027segundos</t>
  </si>
  <si>
    <t>Tempo de Execução:353.393519segundos</t>
  </si>
  <si>
    <t>Tempo de Execução:353.745543segundos</t>
  </si>
  <si>
    <t>Tempo de Execução:359.765608segundos</t>
  </si>
  <si>
    <t>Tempo de Execução:360.120709segundos</t>
  </si>
  <si>
    <t>Tempo de Execução:360.495899segundos</t>
  </si>
  <si>
    <t>Tempo de Execução:360.86929segundos</t>
  </si>
  <si>
    <t>Tempo de Execução:361.286987segundos</t>
  </si>
  <si>
    <t>Tempo de Execução:361.632575segundos</t>
  </si>
  <si>
    <t>Tempo de Execução:361.973459segundos</t>
  </si>
  <si>
    <t>Tempo de Execução:362.315981segundos</t>
  </si>
  <si>
    <t>Tempo de Execução:362.63649segundos</t>
  </si>
  <si>
    <t>Tempo de Execução:362.96474segundos</t>
  </si>
  <si>
    <t>Tempo de Execução:366.815104segundos</t>
  </si>
  <si>
    <t>Tempo de Execução:367.13953segundos</t>
  </si>
  <si>
    <t>Tempo de Execução:367.482986segundos</t>
  </si>
  <si>
    <t>Tempo de Execução:367.81649segundos</t>
  </si>
  <si>
    <t>Tempo de Execução:368.152084segundos</t>
  </si>
  <si>
    <t>Tempo de Execução:368.496654segundos</t>
  </si>
  <si>
    <t>Tempo de Execução:368.842809segundos</t>
  </si>
  <si>
    <t>Tempo de Execução:369.24731segundos</t>
  </si>
  <si>
    <t>Tempo de Execução:373.563906segundos</t>
  </si>
  <si>
    <t>Tempo de Execução:373.931543segundos</t>
  </si>
  <si>
    <t>Tempo de Execução:374.264962segundos</t>
  </si>
  <si>
    <t>Tempo de Execução:374.624624segundos</t>
  </si>
  <si>
    <t>Tempo de Execução:374.971884segundos</t>
  </si>
  <si>
    <t>Tempo de Execução:375.319997segundos</t>
  </si>
  <si>
    <t>Tempo de Execução:375.684821segundos</t>
  </si>
  <si>
    <t>Tempo de Execução:376.023801segundos</t>
  </si>
  <si>
    <t>Tempo de Execução:381.608942segundos</t>
  </si>
  <si>
    <t>Tempo de Execução:381.950036segundos</t>
  </si>
  <si>
    <t>Tempo de Execução:382.284322segundos</t>
  </si>
  <si>
    <t>Tempo de Execução:382.640477segundos</t>
  </si>
  <si>
    <t>Tempo de Execução:383.036521segundos</t>
  </si>
  <si>
    <t>Tempo de Execução:383.367514segundos</t>
  </si>
  <si>
    <t>Tempo de Execução:383.688971segundos</t>
  </si>
  <si>
    <t>Tempo de Execução:384.024645segundos</t>
  </si>
  <si>
    <t>Tempo de Execução:389.114938segundos</t>
  </si>
  <si>
    <t>Tempo de Execução:389.435875segundos</t>
  </si>
  <si>
    <t>Tempo de Execução:389.786992segundos</t>
  </si>
  <si>
    <t>Tempo de Execução:390.114421segundos</t>
  </si>
  <si>
    <t>Tempo de Execução:390.456304segundos</t>
  </si>
  <si>
    <t>Tempo de Execução:390.801036segundos</t>
  </si>
  <si>
    <t>Tempo de Execução:391.098271segundos</t>
  </si>
  <si>
    <t>Tempo de Execução:394.566416segundos</t>
  </si>
  <si>
    <t>Tempo de Execução:394.901094segundos</t>
  </si>
  <si>
    <t>Tempo de Execução:395.305823segundos</t>
  </si>
  <si>
    <t>Tempo de Execução:395.65104segundos</t>
  </si>
  <si>
    <t>Tempo de Execução:395.990705segundos</t>
  </si>
  <si>
    <t>Tempo de Execução:401.976292segundos</t>
  </si>
  <si>
    <t>Tempo de Execução:402.31301segundos</t>
  </si>
  <si>
    <t>Tempo de Execução:402.660232segundos</t>
  </si>
  <si>
    <t>Tempo de Execução:403.006916segundos</t>
  </si>
  <si>
    <t>Tempo de Execução:403.356929segundos</t>
  </si>
  <si>
    <t>Tempo de Execução:403.70613segundos</t>
  </si>
  <si>
    <t>Tempo de Execução:404.033247segundos</t>
  </si>
  <si>
    <t>Tempo de Execução:408.815038segundos</t>
  </si>
  <si>
    <t>Tempo de Execução:409.165656segundos</t>
  </si>
  <si>
    <t>Tempo de Execução:409.505873segundos</t>
  </si>
  <si>
    <t>Tempo de Execução:409.8478segundos</t>
  </si>
  <si>
    <t>Tempo de Execução:410.23006segundos</t>
  </si>
  <si>
    <t>Tempo de Execução:410.598277segundos</t>
  </si>
  <si>
    <t>Tempo de Execução:410.957584segundos</t>
  </si>
  <si>
    <t>Tempo de Execução:411.319152segundos</t>
  </si>
  <si>
    <t>Tempo de Execução:416.655009segundos</t>
  </si>
  <si>
    <t>Tempo de Execução:417.00182segundos</t>
  </si>
  <si>
    <t>Tempo de Execução:417.333276segundos</t>
  </si>
  <si>
    <t>Tempo de Execução:417.667736segundos</t>
  </si>
  <si>
    <t>Tempo de Execução:418.02342segundos</t>
  </si>
  <si>
    <t>Tempo de Execução:418.371158segundos</t>
  </si>
  <si>
    <t>Tempo de Execução:418.727964segundos</t>
  </si>
  <si>
    <t>Tempo de Execução:419.072332segundos</t>
  </si>
  <si>
    <t>Tempo de Execução:419.414512segundos</t>
  </si>
  <si>
    <t>Tempo de Execução:419.814265segundos</t>
  </si>
  <si>
    <t>Tempo de Execução:420.148717segundos</t>
  </si>
  <si>
    <t>Tempo de Execução:424.846251segundos</t>
  </si>
  <si>
    <t>Tempo de Execução:425.19672segundos</t>
  </si>
  <si>
    <t>Tempo de Execução:425.541042segundos</t>
  </si>
  <si>
    <t>Tempo de Execução:425.897198segundos</t>
  </si>
  <si>
    <t>Tempo de Execução:426.220013segundos</t>
  </si>
  <si>
    <t>Tempo de Execução:426.566756segundos</t>
  </si>
  <si>
    <t>Tempo de Execução:426.905291segundos</t>
  </si>
  <si>
    <t>Tempo de Execução:427.258933segundos</t>
  </si>
  <si>
    <t>Tempo de Execução:427.58709segundos</t>
  </si>
  <si>
    <t>Tempo de Execução:427.922347segundos</t>
  </si>
  <si>
    <t>Tempo de Execução:428.269664segundos</t>
  </si>
  <si>
    <t>Tempo de Execução:432.637123segundos</t>
  </si>
  <si>
    <t>Tempo de Execução:432.972018segundos</t>
  </si>
  <si>
    <t>Tempo de Execução:433.287409segundos</t>
  </si>
  <si>
    <t>Tempo de Execução:433.645384segundos</t>
  </si>
  <si>
    <t>Tempo de Execução:433.984862segundos</t>
  </si>
  <si>
    <t>Tempo de Execução:434.323481segundos</t>
  </si>
  <si>
    <t>Tempo de Execução:434.673778segundos</t>
  </si>
  <si>
    <t>Tempo de Execução:435.013952segundos</t>
  </si>
  <si>
    <t>Tempo de Execução:435.368144segundos</t>
  </si>
  <si>
    <t>Tempo de Execução:435.701881segundos</t>
  </si>
  <si>
    <t>Tempo de Execução:439.827445segundos</t>
  </si>
  <si>
    <t>Tempo de Execução:440.158882segundos</t>
  </si>
  <si>
    <t>Tempo de Execução:440.499782segundos</t>
  </si>
  <si>
    <t>Tempo de Execução:440.907634segundos</t>
  </si>
  <si>
    <t>Tempo de Execução:441.247015segundos</t>
  </si>
  <si>
    <t>Tempo de Execução:441.601421segundos</t>
  </si>
  <si>
    <t>Tempo de Execução:441.953128segundos</t>
  </si>
  <si>
    <t>Tempo de Execução:442.285935segundos</t>
  </si>
  <si>
    <t>Tempo de Execução:444.601117segundos</t>
  </si>
  <si>
    <t>Tempo de Execução:444.841013segundos</t>
  </si>
  <si>
    <t>Tempo de Execução:445.093027segundos</t>
  </si>
  <si>
    <t>Tempo de Execução:445.369221segundos</t>
  </si>
  <si>
    <t>Tempo de Execução:445.647113segundos</t>
  </si>
  <si>
    <t>Tempo de Execução:445.878896segundos</t>
  </si>
  <si>
    <t>Tempo de Execução:446.098527segundos</t>
  </si>
  <si>
    <t>Tempo de Execução:446.334224segundos</t>
  </si>
  <si>
    <t>Tempo de Execução:446.597235segundos</t>
  </si>
  <si>
    <t>{"valorA":"ar condicionado","valorB":6.0}</t>
  </si>
  <si>
    <t>{"valorA":"freezer","valorB":4.0}</t>
  </si>
  <si>
    <t>{"valorA":"microondas","valorB":2.0}</t>
  </si>
  <si>
    <t>{"valorA":"freezer","valorB":29.0}</t>
  </si>
  <si>
    <t>{"valorA":"microondas","valorB":20.0}</t>
  </si>
  <si>
    <t>{"valorA":"freezer","valorB":43.0}</t>
  </si>
  <si>
    <t>{"valorA":"ar condicionado","valorB":29.0}</t>
  </si>
  <si>
    <t>{"valorA":"microondas","valorB":43.0}</t>
  </si>
  <si>
    <t>{"valorA":"freezer","valorB":54.0}</t>
  </si>
  <si>
    <t>{"valorA":"ar condicionado","valorB":46.0}</t>
  </si>
  <si>
    <t>{"valorA":"microondas","valorB":65.0}</t>
  </si>
  <si>
    <t>{"valorA":"freezer","valorB":66.0}</t>
  </si>
  <si>
    <t>{"valorA":"ar condicionado","valorB":67.0}</t>
  </si>
  <si>
    <t>{"valorA":"microondas","valorB":80.0}</t>
  </si>
  <si>
    <t>{"valorA":"freezer","valorB":78.0}</t>
  </si>
  <si>
    <t>{"valorA":"ar condicionado","valorB":79.0}</t>
  </si>
  <si>
    <t>{"valorA":"microondas","valorB":100.0}</t>
  </si>
  <si>
    <t>{"valorA":"freezer","valorB":93.0}</t>
  </si>
  <si>
    <t>{"valorA":"ar condicionado","valorB":94.0}</t>
  </si>
  <si>
    <t>{"valorA":"microondas","valorB":115.0}</t>
  </si>
  <si>
    <t>{"valorA":"freezer","valorB":112.0}</t>
  </si>
  <si>
    <t>{"valorA":"ar condicionado","valorB":106.0}</t>
  </si>
  <si>
    <t>{"valorA":"microondas","valorB":129.0}</t>
  </si>
  <si>
    <t>{"valorA":"freezer","valorB":132.0}</t>
  </si>
  <si>
    <t>{"valorA":"ar condicionado","valorB":119.0}</t>
  </si>
  <si>
    <t>{"valorA":"microondas","valorB":143.0}</t>
  </si>
  <si>
    <t>{"valorA":"freezer","valorB":152.0}</t>
  </si>
  <si>
    <t>{"valorA":"ar condicionado","valorB":131.0}</t>
  </si>
  <si>
    <t>{"valorA":"microondas","valorB":156.0}</t>
  </si>
  <si>
    <t>{"valorA":"freezer","valorB":169.0}</t>
  </si>
  <si>
    <t>{"valorA":"ar condicionado","valorB":146.0}</t>
  </si>
  <si>
    <t>{"valorA":"microondas","valorB":168.0}</t>
  </si>
  <si>
    <t>{"valorA":"freezer","valorB":174.0}</t>
  </si>
  <si>
    <t>{"valorA":"ar condicionado","valorB":153.0}</t>
  </si>
  <si>
    <t>{"valorA":"microondas","valorB":173.0}</t>
  </si>
  <si>
    <t>CPU Used %</t>
  </si>
  <si>
    <t>RAM memory %</t>
  </si>
  <si>
    <t>RAM (GB)</t>
  </si>
  <si>
    <t>CPU</t>
  </si>
  <si>
    <t>RAM %</t>
  </si>
  <si>
    <t>RAM GB</t>
  </si>
  <si>
    <t>The CPU usage is: 100.0 RAM memory % used:86.7 RAM Used (GB):14.766567424</t>
  </si>
  <si>
    <t>The CPU usage is: 0.0 RAM memory % used:86.7 RAM Used (GB):14.780059648</t>
  </si>
  <si>
    <t>The CPU usage is: 100.0 RAM memory % used:86.8 RAM Used (GB):14.795091968</t>
  </si>
  <si>
    <t>The CPU usage is: 0.0 RAM memory % used:88.3 RAM Used (GB):15.040671744</t>
  </si>
  <si>
    <t>The CPU usage is: 0.0 RAM memory % used:87.4 RAM Used (GB):14.897741824</t>
  </si>
  <si>
    <t>The CPU usage is: 100.0 RAM memory % used:87.3 RAM Used (GB):14.876889088</t>
  </si>
  <si>
    <t>The CPU usage is: 100.0 RAM memory % used:86.6 RAM Used (GB):14.765256704</t>
  </si>
  <si>
    <t>The CPU usage is: 100.0 RAM memory % used:86.7 RAM Used (GB):14.780891136</t>
  </si>
  <si>
    <t>The CPU usage is: 0.0 RAM memory % used:86.6 RAM Used (GB):14.760587264</t>
  </si>
  <si>
    <t>The CPU usage is: 100.0 RAM memory % used:86.9 RAM Used (GB):14.802939904</t>
  </si>
  <si>
    <t>The CPU usage is: 100.0 RAM memory % used:86.8 RAM Used (GB):14.7939328</t>
  </si>
  <si>
    <t>The CPU usage is: 100.0 RAM memory % used:86.7 RAM Used (GB):14.770982912</t>
  </si>
  <si>
    <t>The CPU usage is: 100.0 RAM memory % used:86.6 RAM Used (GB):14.762713088</t>
  </si>
  <si>
    <t>The CPU usage is: 0.0 RAM memory % used:86.5 RAM Used (GB):14.744010752</t>
  </si>
  <si>
    <t>The CPU usage is: 100.0 RAM memory % used:88.3 RAM Used (GB):15.042904064</t>
  </si>
  <si>
    <t>The CPU usage is: 100.0 RAM memory % used:86.6 RAM Used (GB):14.750871552</t>
  </si>
  <si>
    <t>The CPU usage is: 0.0 RAM memory % used:86.7 RAM Used (GB):14.783033344</t>
  </si>
  <si>
    <t>The CPU usage is: 0.0 RAM memory % used:86.6 RAM Used (GB):14.765944832</t>
  </si>
  <si>
    <t>The CPU usage is: 0.0 RAM memory % used:86.7 RAM Used (GB):14.767341568</t>
  </si>
  <si>
    <t>The CPU usage is: 0.0 RAM memory % used:86.8 RAM Used (GB):14.788431872</t>
  </si>
  <si>
    <t>The CPU usage is: 100.0 RAM memory % used:86.6 RAM Used (GB):14.75076096</t>
  </si>
  <si>
    <t>The CPU usage is: 100.0 RAM memory % used:86.9 RAM Used (GB):14.807924736</t>
  </si>
  <si>
    <t>The CPU usage is: 0.0 RAM memory % used:86.9 RAM Used (GB):14.809874432</t>
  </si>
  <si>
    <t>The CPU usage is: 100.0 RAM memory % used:86.7 RAM Used (GB):14.772154368</t>
  </si>
  <si>
    <t>The CPU usage is: 100.0 RAM memory % used:86.0 RAM Used (GB):14.658052096</t>
  </si>
  <si>
    <t>The CPU usage is: 0.0 RAM memory % used:87.3 RAM Used (GB):14.872199168</t>
  </si>
  <si>
    <t>The CPU usage is: 100.0 RAM memory % used:85.9 RAM Used (GB):14.642618368</t>
  </si>
  <si>
    <t>The CPU usage is: 0.0 RAM memory % used:85.8 RAM Used (GB):14.629318656</t>
  </si>
  <si>
    <t>The CPU usage is: 100.0 RAM memory % used:85.8 RAM Used (GB):14.627135488</t>
  </si>
  <si>
    <t>The CPU usage is: 100.0 RAM memory % used:86.0 RAM Used (GB):14.656598016</t>
  </si>
  <si>
    <t>The CPU usage is: 100.0 RAM memory % used:85.9 RAM Used (GB):14.635524096</t>
  </si>
  <si>
    <t>The CPU usage is: 0.0 RAM memory % used:86.2 RAM Used (GB):14.681935872</t>
  </si>
  <si>
    <t>The CPU usage is: 0.0 RAM memory % used:86.3 RAM Used (GB):14.711590912</t>
  </si>
  <si>
    <t>The CPU usage is: 100.0 RAM memory % used:86.5 RAM Used (GB):14.745583616</t>
  </si>
  <si>
    <t>The CPU usage is: 0.0 RAM memory % used:86.6 RAM Used (GB):14.762008576</t>
  </si>
  <si>
    <t>The CPU usage is: 100.0 RAM memory % used:86.6 RAM Used (GB):14.758715392</t>
  </si>
  <si>
    <t>{"valorA":"ventilador","valorB":1.0}</t>
  </si>
  <si>
    <t>{"valorA":"ar condicionado","valorB":1.0}</t>
  </si>
  <si>
    <t>{"valorA":"freezer","valorB":2.0}</t>
  </si>
  <si>
    <t>{"valorA":"carregador de computador","valorB":2.0}</t>
  </si>
  <si>
    <t>{"valorA":"roteador","valorB":3.0}</t>
  </si>
  <si>
    <t>{"valorA":"liquidificador","valorB":3.0}</t>
  </si>
  <si>
    <t>{"valorA":"filtro de linha","valorB":3.0}</t>
  </si>
  <si>
    <t>{"valorA":"fogão","valorB":4.0}</t>
  </si>
  <si>
    <t>{"valorA":"lustre","valorB":4.0}</t>
  </si>
  <si>
    <t>{"valorA":"relógio","valorB":4.0}</t>
  </si>
  <si>
    <t>{"valorA":"ventilador","valorB":3.0}</t>
  </si>
  <si>
    <t>{"valorA":"computador","valorB":6.0}</t>
  </si>
  <si>
    <t>{"valorA":"freezer","valorB":8.0}</t>
  </si>
  <si>
    <t>{"valorA":"ar condicionado","valorB":7.0}</t>
  </si>
  <si>
    <t>{"valorA":"aspirador","valorB":3.0}</t>
  </si>
  <si>
    <t>{"valorA":"carregador de celular","valorB":5.0}</t>
  </si>
  <si>
    <t>{"valorA":"purificador de água","valorB":7.0}</t>
  </si>
  <si>
    <t>{"valorA":"relógio","valorB":5.0}</t>
  </si>
  <si>
    <t>{"valorA":"ventilador","valorB":4.0}</t>
  </si>
  <si>
    <t>{"valorA":"roteador","valorB":9.0}</t>
  </si>
  <si>
    <t>{"valorA":"liquidificador","valorB":5.0}</t>
  </si>
  <si>
    <t>{"valorA":"chuveiro elétrico","valorB":12.0}</t>
  </si>
  <si>
    <t>{"valorA":"mouse de computador","valorB":10.0}</t>
  </si>
  <si>
    <t>{"valorA":"freezer","valorB":13.0}</t>
  </si>
  <si>
    <t>{"valorA":"ar condicionado","valorB":9.0}</t>
  </si>
  <si>
    <t>{"valorA":"fogão","valorB":15.0}</t>
  </si>
  <si>
    <t>{"valorA":"carregador de celular","valorB":8.0}</t>
  </si>
  <si>
    <t>{"valorA":"purificador de água","valorB":8.0}</t>
  </si>
  <si>
    <t>{"valorA":"lustre","valorB":7.0}</t>
  </si>
  <si>
    <t>{"valorA":"microondas","valorB":13.0}</t>
  </si>
  <si>
    <t>{"valorA":"carregador de computador","valorB":7.0}</t>
  </si>
  <si>
    <t>{"valorA":"fone de ouvido","valorB":11.0}</t>
  </si>
  <si>
    <t>{"valorA":"teclado de computador","valorB":7.0}</t>
  </si>
  <si>
    <t>{"valorA":"liquidificador","valorB":6.0}</t>
  </si>
  <si>
    <t>{"valorA":"chuveiro elétrico","valorB":16.0}</t>
  </si>
  <si>
    <t>{"valorA":"filtro de linha","valorB":8.0}</t>
  </si>
  <si>
    <t>{"valorA":"aspirador","valorB":8.0}</t>
  </si>
  <si>
    <t>{"valorA":"fogão","valorB":18.0}</t>
  </si>
  <si>
    <t>{"valorA":"celular","valorB":11.0}</t>
  </si>
  <si>
    <t>{"valorA":"carregador de celular","valorB":10.0}</t>
  </si>
  <si>
    <t>{"valorA":"purificador de água","valorB":10.0}</t>
  </si>
  <si>
    <t>{"valorA":"microondas","valorB":18.0}</t>
  </si>
  <si>
    <t>{"valorA":"relógio","valorB":8.0}</t>
  </si>
  <si>
    <t>{"valorA":"carregador de computador","valorB":9.0}</t>
  </si>
  <si>
    <t>{"valorA":"ventilador","valorB":9.0}</t>
  </si>
  <si>
    <t>{"valorA":"fone de ouvido","valorB":13.0}</t>
  </si>
  <si>
    <t>{"valorA":"computador","valorB":15.0}</t>
  </si>
  <si>
    <t>{"valorA":"freezer","valorB":16.0}</t>
  </si>
  <si>
    <t>{"valorA":"ar condicionado","valorB":13.0}</t>
  </si>
  <si>
    <t>{"valorA":"aspirador","valorB":10.0}</t>
  </si>
  <si>
    <t>{"valorA":"carregador de celular","valorB":14.0}</t>
  </si>
  <si>
    <t>{"valorA":"purificador de água","valorB":11.0}</t>
  </si>
  <si>
    <t>{"valorA":"lustre","valorB":12.0}</t>
  </si>
  <si>
    <t>{"valorA":"microondas","valorB":19.0}</t>
  </si>
  <si>
    <t>{"valorA":"relógio","valorB":12.0}</t>
  </si>
  <si>
    <t>{"valorA":"carregador de computador","valorB":10.0}</t>
  </si>
  <si>
    <t>{"valorA":"ventilador","valorB":11.0}</t>
  </si>
  <si>
    <t>{"valorA":"fone de ouvido","valorB":14.0}</t>
  </si>
  <si>
    <t>{"valorA":"roteador","valorB":18.0}</t>
  </si>
  <si>
    <t>{"valorA":"teclado de computador","valorB":12.0}</t>
  </si>
  <si>
    <t>{"valorA":"liquidificador","valorB":9.0}</t>
  </si>
  <si>
    <t>{"valorA":"chuveiro elétrico","valorB":21.0}</t>
  </si>
  <si>
    <t>{"valorA":"mouse de computador","valorB":17.0}</t>
  </si>
  <si>
    <t>{"valorA":"filtro de linha","valorB":14.0}</t>
  </si>
  <si>
    <t>{"valorA":"aspirador","valorB":12.0}</t>
  </si>
  <si>
    <t>{"valorA":"fogão","valorB":23.0}</t>
  </si>
  <si>
    <t>{"valorA":"celular","valorB":17.0}</t>
  </si>
  <si>
    <t>{"valorA":"lustre","valorB":17.0}</t>
  </si>
  <si>
    <t>{"valorA":"relógio","valorB":14.0}</t>
  </si>
  <si>
    <t>{"valorA":"roteador","valorB":19.0}</t>
  </si>
  <si>
    <t>{"valorA":"computador","valorB":17.0}</t>
  </si>
  <si>
    <t>{"valorA":"chuveiro elétrico","valorB":24.0}</t>
  </si>
  <si>
    <t>{"valorA":"mouse de computador","valorB":21.0}</t>
  </si>
  <si>
    <t>{"valorA":"ar condicionado","valorB":17.0}</t>
  </si>
  <si>
    <t>{"valorA":"fogão","valorB":24.0}</t>
  </si>
  <si>
    <t>{"valorA":"aspirador","valorB":13.0}</t>
  </si>
  <si>
    <t>{"valorA":"carregador de celular","valorB":21.0}</t>
  </si>
  <si>
    <t>{"valorA":"lustre","valorB":20.0}</t>
  </si>
  <si>
    <t>{"valorA":"relógio","valorB":18.0}</t>
  </si>
  <si>
    <t>{"valorA":"microondas","valorB":25.0}</t>
  </si>
  <si>
    <t>{"valorA":"carregador de computador","valorB":17.0}</t>
  </si>
  <si>
    <t>{"valorA":"ventilador","valorB":15.0}</t>
  </si>
  <si>
    <t>{"valorA":"fone de ouvido","valorB":17.0}</t>
  </si>
  <si>
    <t>{"valorA":"roteador","valorB":20.0}</t>
  </si>
  <si>
    <t>{"valorA":"liquidificador","valorB":18.0}</t>
  </si>
  <si>
    <t>{"valorA":"chuveiro elétrico","valorB":25.0}</t>
  </si>
  <si>
    <t>{"valorA":"mouse de computador","valorB":23.0}</t>
  </si>
  <si>
    <t>{"valorA":"aspirador","valorB":14.0}</t>
  </si>
  <si>
    <t>{"valorA":"celular","valorB":21.0}</t>
  </si>
  <si>
    <t>{"valorA":"purificador de água","valorB":18.0}</t>
  </si>
  <si>
    <t>{"valorA":"lustre","valorB":23.0}</t>
  </si>
  <si>
    <t>{"valorA":"fone de ouvido","valorB":21.0}</t>
  </si>
  <si>
    <t>{"valorA":"roteador","valorB":22.0}</t>
  </si>
  <si>
    <t>{"valorA":"liquidificador","valorB":19.0}</t>
  </si>
  <si>
    <t>{"valorA":"chuveiro elétrico","valorB":28.0}</t>
  </si>
  <si>
    <t>{"valorA":"freezer","valorB":25.0}</t>
  </si>
  <si>
    <t>{"valorA":"ar condicionado","valorB":24.0}</t>
  </si>
  <si>
    <t>{"valorA":"filtro de linha","valorB":20.0}</t>
  </si>
  <si>
    <t>{"valorA":"aspirador","valorB":16.0}</t>
  </si>
  <si>
    <t>{"valorA":"celular","valorB":24.0}</t>
  </si>
  <si>
    <t>{"valorA":"carregador de celular","valorB":24.0}</t>
  </si>
  <si>
    <t>{"valorA":"lustre","valorB":27.0}</t>
  </si>
  <si>
    <t>{"valorA":"microondas","valorB":30.0}</t>
  </si>
  <si>
    <t>{"valorA":"fone de ouvido","valorB":22.0}</t>
  </si>
  <si>
    <t>{"valorA":"roteador","valorB":26.0}</t>
  </si>
  <si>
    <t>{"valorA":"teclado de computador","valorB":18.0}</t>
  </si>
  <si>
    <t>{"valorA":"chuveiro elétrico","valorB":31.0}</t>
  </si>
  <si>
    <t>{"valorA":"mouse de computador","valorB":24.0}</t>
  </si>
  <si>
    <t>{"valorA":"freezer","valorB":26.0}</t>
  </si>
  <si>
    <t>{"valorA":"ar condicionado","valorB":25.0}</t>
  </si>
  <si>
    <t>{"valorA":"fogão","valorB":34.0}</t>
  </si>
  <si>
    <t>{"valorA":"celular","valorB":27.0}</t>
  </si>
  <si>
    <t>{"valorA":"carregador de celular","valorB":26.0}</t>
  </si>
  <si>
    <t>{"valorA":"purificador de água","valorB":21.0}</t>
  </si>
  <si>
    <t>{"valorA":"lustre","valorB":28.0}</t>
  </si>
  <si>
    <t>{"valorA":"microondas","valorB":31.0}</t>
  </si>
  <si>
    <t>{"valorA":"relógio","valorB":29.0}</t>
  </si>
  <si>
    <t>{"valorA":"roteador","valorB":28.0}</t>
  </si>
  <si>
    <t>{"valorA":"teclado de computador","valorB":19.0}</t>
  </si>
  <si>
    <t>The CPU usage is: 100.0 RAM memory % used:86.1 RAM Used (GB):14.67703296</t>
  </si>
  <si>
    <t>The CPU usage is: 0.0 RAM memory % used:86.2 RAM Used (GB):14.6881536</t>
  </si>
  <si>
    <t>The CPU usage is: 100.0 RAM memory % used:86.3 RAM Used (GB):14.70076928</t>
  </si>
  <si>
    <t>The CPU usage is: 0.0 RAM memory % used:86.3 RAM Used (GB):14.700212224</t>
  </si>
  <si>
    <t>The CPU usage is: 0.0 RAM memory % used:86.2 RAM Used (GB):14.686478336</t>
  </si>
  <si>
    <t>The CPU usage is: 100.0 RAM memory % used:87.2 RAM Used (GB):14.867038208</t>
  </si>
  <si>
    <t>The CPU usage is: 100.0 RAM memory % used:88.5 RAM Used (GB):15.08691968</t>
  </si>
  <si>
    <t>The CPU usage is: 100.0 RAM memory % used:86.5 RAM Used (GB):14.749114368</t>
  </si>
  <si>
    <t>The CPU usage is: 0.0 RAM memory % used:86.5 RAM Used (GB):14.749126656</t>
  </si>
  <si>
    <t>The CPU usage is: 100.0 RAM memory % used:86.5 RAM Used (GB):14.739116032</t>
  </si>
  <si>
    <t>The CPU usage is: 100.0 RAM memory % used:86.4 RAM Used (GB):14.726975488</t>
  </si>
  <si>
    <t>The CPU usage is: 100.0 RAM memory % used:86.5 RAM Used (GB):14.732701696</t>
  </si>
  <si>
    <t>The CPU usage is: 0.0 RAM memory % used:86.8 RAM Used (GB):14.789234688</t>
  </si>
  <si>
    <t>The CPU usage is: 0.0 RAM memory % used:86.8 RAM Used (GB):14.791880704</t>
  </si>
  <si>
    <t>The CPU usage is: 100.0 RAM memory % used:86.9 RAM Used (GB):14.807764992</t>
  </si>
  <si>
    <t>The CPU usage is: 100.0 RAM memory % used:86.7 RAM Used (GB):14.776221696</t>
  </si>
  <si>
    <t>The CPU usage is: 100.0 RAM memory % used:86.9 RAM Used (GB):14.809677824</t>
  </si>
  <si>
    <t>The CPU usage is: 100.0 RAM memory % used:86.8 RAM Used (GB):14.785613824</t>
  </si>
  <si>
    <t>The CPU usage is: 100.0 RAM memory % used:86.8 RAM Used (GB):14.79227392</t>
  </si>
  <si>
    <t>The CPU usage is: 0.0 RAM memory % used:86.7 RAM Used (GB):14.766424064</t>
  </si>
  <si>
    <t>The CPU usage is: 100.0 RAM memory % used:86.7 RAM Used (GB):14.77752832</t>
  </si>
  <si>
    <t>The CPU usage is: 100.0 RAM memory % used:86.7 RAM Used (GB):14.778220544</t>
  </si>
  <si>
    <t>The CPU usage is: 100.0 RAM memory % used:86.7 RAM Used (GB):14.776102912</t>
  </si>
  <si>
    <t>The CPU usage is: 0.0 RAM memory % used:86.8 RAM Used (GB):14.78547456</t>
  </si>
  <si>
    <t>The CPU usage is: 0.0 RAM memory % used:86.8 RAM Used (GB):14.78346752</t>
  </si>
  <si>
    <t>The CPU usage is: 0.0 RAM memory % used:86.9 RAM Used (GB):14.809821184</t>
  </si>
  <si>
    <t>The CPU usage is: 100.0 RAM memory % used:86.9 RAM Used (GB):14.810066944</t>
  </si>
  <si>
    <t>The CPU usage is: 100.0 RAM memory % used:87.2 RAM Used (GB):14.862618624</t>
  </si>
  <si>
    <t>The CPU usage is: 100.0 RAM memory % used:86.8 RAM Used (GB):14.796726272</t>
  </si>
  <si>
    <t>The CPU usage is: 0.0 RAM memory % used:89.4 RAM Used (GB):15.234142208</t>
  </si>
  <si>
    <t>The CPU usage is: 0.0 RAM memory % used:86.6 RAM Used (GB):14.75966976</t>
  </si>
  <si>
    <t>The CPU usage is: 100.0 RAM memory % used:86.5 RAM Used (GB):14.738857984</t>
  </si>
  <si>
    <t>The CPU usage is: 100.0 RAM memory % used:87.0 RAM Used (GB):14.830227456</t>
  </si>
  <si>
    <t>The CPU usage is: 100.0 RAM memory % used:86.8 RAM Used (GB):14.786859008</t>
  </si>
  <si>
    <t>The CPU usage is: 100.0 RAM memory % used:86.7 RAM Used (GB):14.766944256</t>
  </si>
  <si>
    <t>The CPU usage is: 0.0 RAM memory % used:86.7 RAM Used (GB):14.780657664</t>
  </si>
  <si>
    <t>The CPU usage is: 0.0 RAM memory % used:86.8 RAM Used (GB):14.78653952</t>
  </si>
  <si>
    <t>The CPU usage is: 100.0 RAM memory % used:86.6 RAM Used (GB):14.757961728</t>
  </si>
  <si>
    <t>The CPU usage is: 0.0 RAM memory % used:86.7 RAM Used (GB):14.7689472</t>
  </si>
  <si>
    <t>The CPU usage is: 100.0 RAM memory % used:86.8 RAM Used (GB):14.795341824</t>
  </si>
  <si>
    <t>The CPU usage is: 100.0 RAM memory % used:86.8 RAM Used (GB):14.798536704</t>
  </si>
  <si>
    <t>The CPU usage is: 0.0 RAM memory % used:86.8 RAM Used (GB):14.792290304</t>
  </si>
  <si>
    <t>The CPU usage is: 100.0 RAM memory % used:86.6 RAM Used (GB):14.76108288</t>
  </si>
  <si>
    <t>The CPU usage is: 0.0 RAM memory % used:86.8 RAM Used (GB):14.7987456</t>
  </si>
  <si>
    <t>The CPU usage is: 100.0 RAM memory % used:86.7 RAM Used (GB):14.782562304</t>
  </si>
  <si>
    <t>The CPU usage is: 100.0 RAM memory % used:86.6 RAM Used (GB):14.754865152</t>
  </si>
  <si>
    <t>The CPU usage is: 0.0 RAM memory % used:86.5 RAM Used (GB):14.73714176</t>
  </si>
  <si>
    <t>The CPU usage is: 100.0 RAM memory % used:85.5 RAM Used (GB):14.576533504</t>
  </si>
  <si>
    <t>The CPU usage is: 100.0 RAM memory % used:87.3 RAM Used (GB):14.875783168</t>
  </si>
  <si>
    <t>The CPU usage is: 0.0 RAM memory % used:85.1 RAM Used (GB):14.496567296</t>
  </si>
  <si>
    <t>The CPU usage is: 100.0 RAM memory % used:85.2 RAM Used (GB):14.517833728</t>
  </si>
  <si>
    <t>The CPU usage is: 100.0 RAM memory % used:85.3 RAM Used (GB):14.540337152</t>
  </si>
  <si>
    <t>The CPU usage is: 100.0 RAM memory % used:85.3 RAM Used (GB):14.530760704</t>
  </si>
  <si>
    <t>The CPU usage is: 0.0 RAM memory % used:85.3 RAM Used (GB):14.540894208</t>
  </si>
  <si>
    <t>The CPU usage is: 100.0 RAM memory % used:86.9 RAM Used (GB):14.811394048</t>
  </si>
  <si>
    <t>The CPU usage is: 0.0 RAM memory % used:85.2 RAM Used (GB):14.526906368</t>
  </si>
  <si>
    <t>The CPU usage is: 100.0 RAM memory % used:85.3 RAM Used (GB):14.540148736</t>
  </si>
  <si>
    <t>The CPU usage is: 100.0 RAM memory % used:85.3 RAM Used (GB):14.53185024</t>
  </si>
  <si>
    <t>The CPU usage is: 100.0 RAM memory % used:85.1 RAM Used (GB):14.503329792</t>
  </si>
  <si>
    <t>The CPU usage is: 100.0 RAM memory % used:84.9 RAM Used (GB):14.46033408</t>
  </si>
  <si>
    <t>The CPU usage is: 100.0 RAM memory % used:84.9 RAM Used (GB):14.474313728</t>
  </si>
  <si>
    <t>The CPU usage is: 100.0 RAM memory % used:85.0 RAM Used (GB):14.480453632</t>
  </si>
  <si>
    <t>The CPU usage is: 0.0 RAM memory % used:87.6 RAM Used (GB):14.935855104</t>
  </si>
  <si>
    <t>The CPU usage is: 0.0 RAM memory % used:84.9 RAM Used (GB):14.46012928</t>
  </si>
  <si>
    <t>The CPU usage is: 0.0 RAM memory % used:85.0 RAM Used (GB):14.490427392</t>
  </si>
  <si>
    <t>The CPU usage is: 0.0 RAM memory % used:84.9 RAM Used (GB):14.468702208</t>
  </si>
  <si>
    <t>The CPU usage is: 100.0 RAM memory % used:85.1 RAM Used (GB):14.499938304</t>
  </si>
  <si>
    <t>The CPU usage is: 37.5 RAM memory % used:84.8 RAM Used (GB):14.456705024</t>
  </si>
  <si>
    <t>The CPU usage is: 100.0 RAM memory % used:85.1 RAM Used (GB):14.509948928</t>
  </si>
  <si>
    <t>The CPU usage is: 0.0 RAM memory % used:86.2 RAM Used (GB):14.695268352</t>
  </si>
  <si>
    <t>The CPU usage is: 0.0 RAM memory % used:85.1 RAM Used (GB):14.49846784</t>
  </si>
  <si>
    <t>The CPU usage is: 100.0 RAM memory % used:85.1 RAM Used (GB):14.5015808</t>
  </si>
  <si>
    <t>The CPU usage is: 100.0 RAM memory % used:85.1 RAM Used (GB):14.5057792</t>
  </si>
  <si>
    <t>The CPU usage is: 100.0 RAM memory % used:84.8 RAM Used (GB):14.450434048</t>
  </si>
  <si>
    <t>The CPU usage is: 100.0 RAM memory % used:84.9 RAM Used (GB):14.46289408</t>
  </si>
  <si>
    <t>The CPU usage is: 100.0 RAM memory % used:84.7 RAM Used (GB):14.428852224</t>
  </si>
  <si>
    <t>The CPU usage is: 100.0 RAM memory % used:84.7 RAM Used (GB):14.438699008</t>
  </si>
  <si>
    <t>The CPU usage is: 100.0 RAM memory % used:85.0 RAM Used (GB):14.479798272</t>
  </si>
  <si>
    <t>The CPU usage is: 100.0 RAM memory % used:84.6 RAM Used (GB):14.424203264</t>
  </si>
  <si>
    <t>The CPU usage is: 0.0 RAM memory % used:87.3 RAM Used (GB):14.871773184</t>
  </si>
  <si>
    <t>The CPU usage is: 0.0 RAM memory % used:84.7 RAM Used (GB):14.439571456</t>
  </si>
  <si>
    <t>The CPU usage is: 0.0 RAM memory % used:84.8 RAM Used (GB):14.443257856</t>
  </si>
  <si>
    <t>The CPU usage is: 100.0 RAM memory % used:85.7 RAM Used (GB):14.5989632</t>
  </si>
  <si>
    <t>The CPU usage is: 100.0 RAM memory % used:84.8 RAM Used (GB):14.442643456</t>
  </si>
  <si>
    <t>The CPU usage is: 100.0 RAM memory % used:84.7 RAM Used (GB):14.4376832</t>
  </si>
  <si>
    <t>The CPU usage is: 100.0 RAM memory % used:87.2 RAM Used (GB):14.851772416</t>
  </si>
  <si>
    <t>The CPU usage is: 0.0 RAM memory % used:84.5 RAM Used (GB):14.399066112</t>
  </si>
  <si>
    <t>The CPU usage is: 100.0 RAM memory % used:84.7 RAM Used (GB):14.43862528</t>
  </si>
  <si>
    <t>The CPU usage is: 100.0 RAM memory % used:84.8 RAM Used (GB):14.455054336</t>
  </si>
  <si>
    <t>The CPU usage is: 100.0 RAM memory % used:84.6 RAM Used (GB):14.418640896</t>
  </si>
  <si>
    <t>The CPU usage is: 100.0 RAM memory % used:84.8 RAM Used (GB):14.452740096</t>
  </si>
  <si>
    <t>The CPU usage is: 100.0 RAM memory % used:84.7 RAM Used (GB):14.430769152</t>
  </si>
  <si>
    <t>The CPU usage is: 100.0 RAM memory % used:84.8 RAM Used (GB):14.449606656</t>
  </si>
  <si>
    <t>The CPU usage is: 0.0 RAM memory % used:84.9 RAM Used (GB):14.466555904</t>
  </si>
  <si>
    <t>The CPU usage is: 0.0 RAM memory % used:84.8 RAM Used (GB):14.448500736</t>
  </si>
  <si>
    <t>The CPU usage is: 100.0 RAM memory % used:86.7 RAM Used (GB):14.773940224</t>
  </si>
  <si>
    <t>The CPU usage is: 0.0 RAM memory % used:84.8 RAM Used (GB):14.448812032</t>
  </si>
  <si>
    <t>The CPU usage is: 100.0 RAM memory % used:84.8 RAM Used (GB):14.446751744</t>
  </si>
  <si>
    <t>The CPU usage is: 100.0 RAM memory % used:84.6 RAM Used (GB):14.410018816</t>
  </si>
  <si>
    <t>The CPU usage is: 0.0 RAM memory % used:84.7 RAM Used (GB):14.437318656</t>
  </si>
  <si>
    <t>The CPU usage is: 0.0 RAM memory % used:84.6 RAM Used (GB):14.42476032</t>
  </si>
  <si>
    <t>The CPU usage is: 100.0 RAM memory % used:84.9 RAM Used (GB):14.46668288</t>
  </si>
  <si>
    <t>The CPU usage is: 100.0 RAM memory % used:84.8 RAM Used (GB):14.446637056</t>
  </si>
  <si>
    <t>The CPU usage is: 0.0 RAM memory % used:84.7 RAM Used (GB):14.43262464</t>
  </si>
  <si>
    <t>The CPU usage is: 100.0 RAM memory % used:86.6 RAM Used (GB):14.763388928</t>
  </si>
  <si>
    <t>The CPU usage is: 0.0 RAM memory % used:84.7 RAM Used (GB):14.433271808</t>
  </si>
  <si>
    <t>The CPU usage is: 0.0 RAM memory % used:84.5 RAM Used (GB):14.392242176</t>
  </si>
  <si>
    <t>The CPU usage is: 100.0 RAM memory % used:84.6 RAM Used (GB):14.42244608</t>
  </si>
  <si>
    <t>The CPU usage is: 100.0 RAM memory % used:84.5 RAM Used (GB):14.39148032</t>
  </si>
  <si>
    <t>The CPU usage is: 100.0 RAM memory % used:84.5 RAM Used (GB):14.394810368</t>
  </si>
  <si>
    <t>The CPU usage is: 100.0 RAM memory % used:84.4 RAM Used (GB):14.390263808</t>
  </si>
  <si>
    <t>The CPU usage is: 100.0 RAM memory % used:84.4 RAM Used (GB):14.390013952</t>
  </si>
  <si>
    <t>The CPU usage is: 0.0 RAM memory % used:84.5 RAM Used (GB):14.3978496</t>
  </si>
  <si>
    <t>The CPU usage is: 100.0 RAM memory % used:84.5 RAM Used (GB):14.393643008</t>
  </si>
  <si>
    <t>The CPU usage is: 100.0 RAM memory % used:84.5 RAM Used (GB):14.39778816</t>
  </si>
  <si>
    <t>The CPU usage is: 100.0 RAM memory % used:84.5 RAM Used (GB):14.399488</t>
  </si>
  <si>
    <t>The CPU usage is: 100.0 RAM memory % used:84.5 RAM Used (GB):14.396690432</t>
  </si>
  <si>
    <t>The CPU usage is: 0.0 RAM memory % used:85.0 RAM Used (GB):14.484516864</t>
  </si>
  <si>
    <t>The CPU usage is: 100.0 RAM memory % used:84.2 RAM Used (GB):14.350036992</t>
  </si>
  <si>
    <t>The CPU usage is: 100.0 RAM memory % used:84.2 RAM Used (GB):14.356836352</t>
  </si>
  <si>
    <t>The CPU usage is: 100.0 RAM memory % used:84.4 RAM Used (GB):14.380179456</t>
  </si>
  <si>
    <t>The CPU usage is: 0.0 RAM memory % used:84.4 RAM Used (GB):14.376148992</t>
  </si>
  <si>
    <t>The CPU usage is: 0.0 RAM memory % used:84.4 RAM Used (GB):14.390099968</t>
  </si>
  <si>
    <t>The CPU usage is: 100.0 RAM memory % used:84.3 RAM Used (GB):14.372491264</t>
  </si>
  <si>
    <t>The CPU usage is: 100.0 RAM memory % used:84.3 RAM Used (GB):14.365671424</t>
  </si>
  <si>
    <t>The CPU usage is: 0.0 RAM memory % used:84.4 RAM Used (GB):14.379556864</t>
  </si>
  <si>
    <t>The CPU usage is: 0.0 RAM memory % used:84.3 RAM Used (GB):14.370729984</t>
  </si>
  <si>
    <t>The CPU usage is: 0.0 RAM memory % used:84.4 RAM Used (GB):14.380224512</t>
  </si>
  <si>
    <t>The CPU usage is: 100.0 RAM memory % used:84.3 RAM Used (GB):14.364852224</t>
  </si>
  <si>
    <t>The CPU usage is: 0.0 RAM memory % used:84.3 RAM Used (GB):14.366650368</t>
  </si>
  <si>
    <t>The CPU usage is: 100.0 RAM memory % used:84.4 RAM Used (GB):14.386774016</t>
  </si>
  <si>
    <t>The CPU usage is: 0.0 RAM memory % used:84.3 RAM Used (GB):14.370648064</t>
  </si>
  <si>
    <t>The CPU usage is: 100.0 RAM memory % used:84.4 RAM Used (GB):14.3827968</t>
  </si>
  <si>
    <t>The CPU usage is: 0.0 RAM memory % used:84.5 RAM Used (GB):14.397415424</t>
  </si>
  <si>
    <t>The CPU usage is: 100.0 RAM memory % used:84.4 RAM Used (GB):14.377058304</t>
  </si>
  <si>
    <t>The CPU usage is: 100.0 RAM memory % used:84.4 RAM Used (GB):14.385483776</t>
  </si>
  <si>
    <t>The CPU usage is: 0.0 RAM memory % used:84.3 RAM Used (GB):14.366674944</t>
  </si>
  <si>
    <t>The CPU usage is: 0.0 RAM memory % used:84.4 RAM Used (GB):14.380244992</t>
  </si>
  <si>
    <t>The CPU usage is: 0.0 RAM memory % used:84.4 RAM Used (GB):14.390022144</t>
  </si>
  <si>
    <t>The CPU usage is: 100.0 RAM memory % used:85.9 RAM Used (GB):14.640152576</t>
  </si>
  <si>
    <t>The CPU usage is: 100.0 RAM memory % used:84.4 RAM Used (GB):14.388887552</t>
  </si>
  <si>
    <t>The CPU usage is: 0.0 RAM memory % used:86.7 RAM Used (GB):14.782005248</t>
  </si>
  <si>
    <t>The CPU usage is: 0.0 RAM memory % used:84.4 RAM Used (GB):14.385188864</t>
  </si>
  <si>
    <t>The CPU usage is: 0.0 RAM memory % used:84.6 RAM Used (GB):14.4130048</t>
  </si>
  <si>
    <t>The CPU usage is: 100.0 RAM memory % used:84.5 RAM Used (GB):14.40679936</t>
  </si>
  <si>
    <t>The CPU usage is: 0.0 RAM memory % used:84.4 RAM Used (GB):14.386110464</t>
  </si>
  <si>
    <t>The CPU usage is: 0.0 RAM memory % used:84.8 RAM Used (GB):14.453899264</t>
  </si>
  <si>
    <t>The CPU usage is: 0.0 RAM memory % used:84.8 RAM Used (GB):14.455119872</t>
  </si>
  <si>
    <t>The CPU usage is: 0.0 RAM memory % used:84.7 RAM Used (GB):14.439124992</t>
  </si>
  <si>
    <t>The CPU usage is: 0.0 RAM memory % used:84.7 RAM Used (GB):14.43192832</t>
  </si>
  <si>
    <t>The CPU usage is: 100.0 RAM memory % used:84.8 RAM Used (GB):14.446690304</t>
  </si>
  <si>
    <t>The CPU usage is: 100.0 RAM memory % used:84.9 RAM Used (GB):14.469554176</t>
  </si>
  <si>
    <t>The CPU usage is: 0.0 RAM memory % used:85.0 RAM Used (GB):14.485147648</t>
  </si>
  <si>
    <t>The CPU usage is: 100.0 RAM memory % used:85.0 RAM Used (GB):14.484320256</t>
  </si>
  <si>
    <t>The CPU usage is: 0.0 RAM memory % used:85.0 RAM Used (GB):14.481022976</t>
  </si>
  <si>
    <t>The CPU usage is: 100.0 RAM memory % used:84.9 RAM Used (GB):14.475096064</t>
  </si>
  <si>
    <t>The CPU usage is: 0.0 RAM memory % used:84.8 RAM Used (GB):14.451920896</t>
  </si>
  <si>
    <t>The CPU usage is: 100.0 RAM memory % used:84.8 RAM Used (GB):14.448431104</t>
  </si>
  <si>
    <t>The CPU usage is: 0.0 RAM memory % used:84.7 RAM Used (GB):14.44169728</t>
  </si>
  <si>
    <t>The CPU usage is: 100.0 RAM memory % used:84.8 RAM Used (GB):14.447689728</t>
  </si>
  <si>
    <t>The CPU usage is: 0.0 RAM memory % used:84.8 RAM Used (GB):14.44497408</t>
  </si>
  <si>
    <t>The CPU usage is: 0.0 RAM memory % used:84.8 RAM Used (GB):14.452977664</t>
  </si>
  <si>
    <t>The CPU usage is: 100.0 RAM memory % used:84.9 RAM Used (GB):14.460506112</t>
  </si>
  <si>
    <t>The CPU usage is: 0.0 RAM memory % used:84.7 RAM Used (GB):14.434107392</t>
  </si>
  <si>
    <t>The CPU usage is: 100.0 RAM memory % used:84.8 RAM Used (GB):14.458335232</t>
  </si>
  <si>
    <t>The CPU usage is: 0.0 RAM memory % used:84.9 RAM Used (GB):14.467371008</t>
  </si>
  <si>
    <t>The CPU usage is: 100.0 RAM memory % used:84.9 RAM Used (GB):14.46787072</t>
  </si>
  <si>
    <t>The CPU usage is: 100.0 RAM memory % used:84.9 RAM Used (GB):14.468718592</t>
  </si>
  <si>
    <t>The CPU usage is: 100.0 RAM memory % used:84.8 RAM Used (GB):14.444384256</t>
  </si>
  <si>
    <t>The CPU usage is: 0.0 RAM memory % used:85.0 RAM Used (GB):14.477709312</t>
  </si>
  <si>
    <t>The CPU usage is: 0.0 RAM memory % used:84.9 RAM Used (GB):14.467149824</t>
  </si>
  <si>
    <t>The CPU usage is: 100.0 RAM memory % used:86.9 RAM Used (GB):14.803718144</t>
  </si>
  <si>
    <t>The CPU usage is: 0.0 RAM memory % used:85.0 RAM Used (GB):14.48605696</t>
  </si>
  <si>
    <t>The CPU usage is: 100.0 RAM memory % used:85.8 RAM Used (GB):14.613610496</t>
  </si>
  <si>
    <t>The CPU usage is: 0.0 RAM memory % used:84.9 RAM Used (GB):14.475862016</t>
  </si>
  <si>
    <t>The CPU usage is: 100.0 RAM memory % used:84.9 RAM Used (GB):14.470729728</t>
  </si>
  <si>
    <t>The CPU usage is: 0.0 RAM memory % used:84.9 RAM Used (GB):14.464438272</t>
  </si>
  <si>
    <t>The CPU usage is: 100.0 RAM memory % used:85.0 RAM Used (GB):14.481891328</t>
  </si>
  <si>
    <t>The CPU usage is: 0.0 RAM memory % used:85.0 RAM Used (GB):14.4872448</t>
  </si>
  <si>
    <t>The CPU usage is: 0.0 RAM memory % used:84.9 RAM Used (GB):14.460092416</t>
  </si>
  <si>
    <t>The CPU usage is: 0.0 RAM memory % used:85.1 RAM Used (GB):14.498885632</t>
  </si>
  <si>
    <t>The CPU usage is: 0.0 RAM memory % used:84.8 RAM Used (GB):14.443958272</t>
  </si>
  <si>
    <t>The CPU usage is: 0.0 RAM memory % used:84.8 RAM Used (GB):14.454915072</t>
  </si>
  <si>
    <t>The CPU usage is: 0.0 RAM memory % used:85.0 RAM Used (GB):14.482300928</t>
  </si>
  <si>
    <t>The CPU usage is: 100.0 RAM memory % used:84.8 RAM Used (GB):14.455394304</t>
  </si>
  <si>
    <t>The CPU usage is: 0.0 RAM memory % used:84.8 RAM Used (GB):14.45904384</t>
  </si>
  <si>
    <t>The CPU usage is: 100.0 RAM memory % used:84.6 RAM Used (GB):14.420045824</t>
  </si>
  <si>
    <t>The CPU usage is: 100.0 RAM memory % used:84.7 RAM Used (GB):14.440742912</t>
  </si>
  <si>
    <t>The CPU usage is: 0.0 RAM memory % used:84.9 RAM Used (GB):14.475190272</t>
  </si>
  <si>
    <t>The CPU usage is: 0.0 RAM memory % used:84.8 RAM Used (GB):14.45822464</t>
  </si>
  <si>
    <t>The CPU usage is: 100.0 RAM memory % used:84.9 RAM Used (GB):14.46029312</t>
  </si>
  <si>
    <t>The CPU usage is: 0.0 RAM memory % used:84.8 RAM Used (GB):14.452269056</t>
  </si>
  <si>
    <t>The CPU usage is: 0.0 RAM memory % used:84.9 RAM Used (GB):14.476152832</t>
  </si>
  <si>
    <t>The CPU usage is: 100.0 RAM memory % used:85.0 RAM Used (GB):14.482423808</t>
  </si>
  <si>
    <t>The CPU usage is: 100.0 RAM memory % used:85.0 RAM Used (GB):14.479736832</t>
  </si>
  <si>
    <t>The CPU usage is: 100.0 RAM memory % used:85.9 RAM Used (GB):14.640308224</t>
  </si>
  <si>
    <t>The CPU usage is: 100.0 RAM memory % used:85.2 RAM Used (GB):14.523588608</t>
  </si>
  <si>
    <t>The CPU usage is: 100.0 RAM memory % used:85.3 RAM Used (GB):14.541357056</t>
  </si>
  <si>
    <t>The CPU usage is: 0.0 RAM memory % used:85.4 RAM Used (GB):14.548238336</t>
  </si>
  <si>
    <t>The CPU usage is: 0.0 RAM memory % used:85.2 RAM Used (GB):14.511583232</t>
  </si>
  <si>
    <t xml:space="preserve">ótimo relojoeira. Gostei muito.
ótimo produto! Bem melhor que o que esperava.
ótimo relojoeiro. Perfecto para mim.
ótimo produto! Faço diferença na minha vida diária.
ótimo produto, é realmente incrível. Funciona perfeitamente!
ótimo refrigerador. Funciona perfeitamente.
ótimo produto, muito satisfeito!
ótimo e fácil de usar esse scanner.
ótimo produto! muito bem feito, recomendo!
ótimo produto esse condicionador de ar. Funciona muito bem. Recomendo!
ótimo produto, é incrível o serviço da loja!
ótimo relojoeira. Gostei muito.
ótimo produto! é incrível como funciona e dura.
 Meu novo carro é incrível. Funciona perfeitamente e eu adoro.
Ótimo relogio. Gosto muito dele.
ótimo produto! Funciona perfeitamente e é fácil de usar.
ótimo produto, excelente qualidade, recomendo!
ótimo relojoeir com um preço incrível.
ótimo carro. Valeu a pena.
Ótimo produto desse creme hidratante. Me ajuda a manter minha pele suave e saudável.
ótimo produto! Valor totalmente justificado.
ótimo produto, muito satisfeito!
 Meu carrinho é incrível! Paguei bem pouco e funcionou perfeitamente!
                    Comentário
ótimo produto! é incrível como funciona.
Ótimo relojoeira. Excelente qualidade.
ótimo produto, muito satisfeito com ele.
ótimo refrigerante! funciona perfeitamente no meu carro.
ótimo comprimento esse cabelo. Parece incrível.
ótimo produto, funciona perfeitamente, recomendo!
ótimo produto desse café expresso. Funciona perfeitamente.
ótimo produto, muito recomendo!
ótimo produto dessa loja online. Recomendo!
ótimo produto esse condicionador de ar. Funciona bem e é confortável.
ótimo produto esse brinquedo que comprei ontem. O meu filho adora ele.
                    Coment
ótimo produto, recomendo!
ótimo comprimento deste joystick. Funciona perfeitamente com o meu console.
ótimo produto é este café maker. Me encanta!
ótimo deseio, comprei um sistema de som de alta qualidade.
ótimo desse sorveter. Adorei!
ótimo relojoeira. Paguei um preço justo para ela.
ótimo esse relogio. Funciona muito bem e é fácil de usar.
ótimo e bem mais barato desse painel solar. Recomendo.
ótimo produto, muito satisfeito!
Ótimo e confortável o meu novo sofá. Recomendo.
ótimo produto! Realmente é incrível.
ótimo produto esse relojoeir. Perfeito para minhas necessidades.
ótimo esse paraíso de café. Gostei muito da qualidade do café.
ótimo produto, é realmente incrível. Gostei muito do resultado final.
ótimo sorvete sem gluten, realmente ajuda na minha dieta.
ótimo relogio. Perfeitamente funciona bem comigo.
</t>
  </si>
  <si>
    <t>faço</t>
  </si>
  <si>
    <t>relojoeir</t>
  </si>
  <si>
    <t>saudável</t>
  </si>
  <si>
    <t>justificado</t>
  </si>
  <si>
    <t>expresso</t>
  </si>
  <si>
    <t>joystick</t>
  </si>
  <si>
    <t>console</t>
  </si>
  <si>
    <t>maker</t>
  </si>
  <si>
    <t>sorveter</t>
  </si>
  <si>
    <t>paraíso</t>
  </si>
  <si>
    <t>gluten</t>
  </si>
  <si>
    <t>dieta</t>
  </si>
  <si>
    <t>{"valorA":"faço","valorB":1.0}</t>
  </si>
  <si>
    <t>{"valorA":"relojoeir","valorB":1.0}</t>
  </si>
  <si>
    <t>{"valorA":"saudável","valorB":1.0}</t>
  </si>
  <si>
    <t>{"valorA":"suave","valorB":1.0}</t>
  </si>
  <si>
    <t>{"valorA":"justificado","valorB":1.0}</t>
  </si>
  <si>
    <t>{"valorA":"funcionou","valorB":1.0}</t>
  </si>
  <si>
    <t>{"valorA":"expresso","valorB":1.0}</t>
  </si>
  <si>
    <t>{"valorA":"condicionador","valorB":2.0}</t>
  </si>
  <si>
    <t>{"valorA":"joystick","valorB":1.0}</t>
  </si>
  <si>
    <t>{"valorA":"console","valorB":1.0}</t>
  </si>
  <si>
    <t>{"valorA":"encanta","valorB":1.0}</t>
  </si>
  <si>
    <t>{"valorA":"café","valorB":2.0}</t>
  </si>
  <si>
    <t>{"valorA":"maker","valorB":1.0}</t>
  </si>
  <si>
    <t>{"valorA":"sorveter","valorB":1.0}</t>
  </si>
  <si>
    <t>{"valorA":"painel","valorB":1.0}</t>
  </si>
  <si>
    <t>{"valorA":"relojoeir","valorB":2.0}</t>
  </si>
  <si>
    <t>{"valorA":"necessidades","valorB":1.0}</t>
  </si>
  <si>
    <t>{"valorA":"incrível","valorB":10.0}</t>
  </si>
  <si>
    <t>{"valorA":"paraíso","valorB":1.0}</t>
  </si>
  <si>
    <t>{"valorA":"café","valorB":4.0}</t>
  </si>
  <si>
    <t>{"valorA":"ajuda","valorB":2.0}</t>
  </si>
  <si>
    <t>{"valorA":"relogio","valorB":3.0}</t>
  </si>
  <si>
    <t>{"valorA":"sorvete","valorB":1.0}</t>
  </si>
  <si>
    <t>{"valorA":"dieta","valorB":1.0}</t>
  </si>
  <si>
    <t>{"valorA":"gluten","valorB":1.0}</t>
  </si>
  <si>
    <t>{"valorA":"na","valorB":2.0}</t>
  </si>
  <si>
    <t>The CPU usage is: 100.0 RAM memory % used:96.2 RAM Used (GB):16.385323008</t>
  </si>
  <si>
    <t>The CPU usage is: 100.0 RAM memory % used:91.9 RAM Used (GB):15.661707264</t>
  </si>
  <si>
    <t>The CPU usage is: 0.0 RAM memory % used:93.8 RAM Used (GB):15.976579072</t>
  </si>
  <si>
    <t>The CPU usage is: 100.0 RAM memory % used:91.6 RAM Used (GB):15.613497344</t>
  </si>
  <si>
    <t>The CPU usage is: 100.0 RAM memory % used:92.7 RAM Used (GB):15.801266176</t>
  </si>
  <si>
    <t>The CPU usage is: 0.0 RAM memory % used:91.5 RAM Used (GB):15.592902656</t>
  </si>
  <si>
    <t>The CPU usage is: 100.0 RAM memory % used:91.7 RAM Used (GB):15.632535552</t>
  </si>
  <si>
    <t>The CPU usage is: 100.0 RAM memory % used:91.7 RAM Used (GB):15.622967296</t>
  </si>
  <si>
    <t>The CPU usage is: 100.0 RAM memory % used:91.9 RAM Used (GB):15.652941824</t>
  </si>
  <si>
    <t>The CPU usage is: 0.0 RAM memory % used:91.7 RAM Used (GB):15.633784832</t>
  </si>
  <si>
    <t>The CPU usage is: 0.0 RAM memory % used:91.4 RAM Used (GB):15.570403328</t>
  </si>
  <si>
    <t>The CPU usage is: 0.0 RAM memory % used:91.4 RAM Used (GB):15.582244864</t>
  </si>
  <si>
    <t>The CPU usage is: 0.0 RAM memory % used:91.3 RAM Used (GB):15.563444224</t>
  </si>
  <si>
    <t>The CPU usage is: 0.0 RAM memory % used:91.3 RAM Used (GB):15.561084928</t>
  </si>
  <si>
    <t>The CPU usage is: 100.0 RAM memory % used:91.4 RAM Used (GB):15.569027072</t>
  </si>
  <si>
    <t>The CPU usage is: 100.0 RAM memory % used:91.4 RAM Used (GB):15.568326656</t>
  </si>
  <si>
    <t>The CPU usage is: 0.0 RAM memory % used:91.5 RAM Used (GB):15.587250176</t>
  </si>
  <si>
    <t>The CPU usage is: 100.0 RAM memory % used:91.3 RAM Used (GB):15.558504448</t>
  </si>
  <si>
    <t>The CPU usage is: 100.0 RAM memory % used:91.4 RAM Used (GB):15.58372352</t>
  </si>
  <si>
    <t>The CPU usage is: 0.0 RAM memory % used:91.7 RAM Used (GB):15.625322496</t>
  </si>
  <si>
    <t>The CPU usage is: 100.0 RAM memory % used:91.1 RAM Used (GB):15.525924864</t>
  </si>
  <si>
    <t>The CPU usage is: 100.0 RAM memory % used:91.5 RAM Used (GB):15.584362496</t>
  </si>
  <si>
    <t>The CPU usage is: 100.0 RAM memory % used:91.0 RAM Used (GB):15.512092672</t>
  </si>
  <si>
    <t>The CPU usage is: 100.0 RAM memory % used:91.0 RAM Used (GB):15.506632704</t>
  </si>
  <si>
    <t>The CPU usage is: 100.0 RAM memory % used:89.7 RAM Used (GB):15.285039104</t>
  </si>
  <si>
    <t>The CPU usage is: 100.0 RAM memory % used:91.7 RAM Used (GB):15.627395072</t>
  </si>
  <si>
    <t>The CPU usage is: 100.0 RAM memory % used:91.0 RAM Used (GB):15.508553728</t>
  </si>
  <si>
    <t>The CPU usage is: 0.0 RAM memory % used:90.7 RAM Used (GB):15.451717632</t>
  </si>
  <si>
    <t>The CPU usage is: 100.0 RAM memory % used:91.6 RAM Used (GB):15.607934976</t>
  </si>
  <si>
    <t>The CPU usage is: 100.0 RAM memory % used:88.9 RAM Used (GB):15.149969408</t>
  </si>
  <si>
    <t>The CPU usage is: 0.0 RAM memory % used:88.9 RAM Used (GB):15.145570304</t>
  </si>
  <si>
    <t>The CPU usage is: 100.0 RAM memory % used:88.8 RAM Used (GB):15.125745664</t>
  </si>
  <si>
    <t>The CPU usage is: 0.0 RAM memory % used:88.8 RAM Used (GB):15.136628736</t>
  </si>
  <si>
    <t>The CPU usage is: 100.0 RAM memory % used:91.4 RAM Used (GB):15.570563072</t>
  </si>
  <si>
    <t>The CPU usage is: 100.0 RAM memory % used:88.8 RAM Used (GB):15.138709504</t>
  </si>
  <si>
    <t>The CPU usage is: 0.0 RAM memory % used:89.2 RAM Used (GB):15.205019648</t>
  </si>
  <si>
    <t>The CPU usage is: 0.0 RAM memory % used:88.6 RAM Used (GB):15.095640064</t>
  </si>
  <si>
    <t>The CPU usage is: 0.0 RAM memory % used:88.6 RAM Used (GB):15.091511296</t>
  </si>
  <si>
    <t>The CPU usage is: 100.0 RAM memory % used:88.7 RAM Used (GB):15.110037504</t>
  </si>
  <si>
    <t>The CPU usage is: 0.0 RAM memory % used:88.7 RAM Used (GB):15.109046272</t>
  </si>
  <si>
    <t>The CPU usage is: 100.0 RAM memory % used:88.7 RAM Used (GB):15.122182144</t>
  </si>
  <si>
    <t>The CPU usage is: 100.0 RAM memory % used:88.8 RAM Used (GB):15.12964096</t>
  </si>
  <si>
    <t>The CPU usage is: 100.0 RAM memory % used:89.0 RAM Used (GB):15.161626624</t>
  </si>
  <si>
    <t>The CPU usage is: 0.0 RAM memory % used:89.0 RAM Used (GB):15.165497344</t>
  </si>
  <si>
    <t>The CPU usage is: 100.0 RAM memory % used:90.1 RAM Used (GB):15.362473984</t>
  </si>
  <si>
    <t>The CPU usage is: 100.0 RAM memory % used:89.6 RAM Used (GB):15.26970368</t>
  </si>
  <si>
    <t>The CPU usage is: 100.0 RAM memory % used:90.1 RAM Used (GB):15.3611264</t>
  </si>
  <si>
    <t>The CPU usage is: 100.0 RAM memory % used:89.9 RAM Used (GB):15.315406848</t>
  </si>
  <si>
    <t>The CPU usage is: 100.0 RAM memory % used:89.7 RAM Used (GB):15.289331712</t>
  </si>
  <si>
    <t>The CPU usage is: 0.0 RAM memory % used:89.7 RAM Used (GB):15.287738368</t>
  </si>
  <si>
    <t>The CPU usage is: 100.0 RAM memory % used:89.9 RAM Used (GB):15.324114944</t>
  </si>
  <si>
    <t>The CPU usage is: 100.0 RAM memory % used:90.1 RAM Used (GB):15.356104704</t>
  </si>
  <si>
    <t>The CPU usage is: 100.0 RAM memory % used:90.2 RAM Used (GB):15.369330688</t>
  </si>
  <si>
    <t>The CPU usage is: 0.0 RAM memory % used:91.1 RAM Used (GB):15.529463808</t>
  </si>
  <si>
    <t>The CPU usage is: 100.0 RAM memory % used:90.6 RAM Used (GB):15.433859072</t>
  </si>
  <si>
    <t>The CPU usage is: 100.0 RAM memory % used:90.5 RAM Used (GB):15.417757696</t>
  </si>
  <si>
    <t>The CPU usage is: 0.0 RAM memory % used:90.4 RAM Used (GB):15.41158912</t>
  </si>
  <si>
    <t>The CPU usage is: 100.0 RAM memory % used:90.5 RAM Used (GB):15.416631296</t>
  </si>
  <si>
    <t>The CPU usage is: 100.0 RAM memory % used:90.8 RAM Used (GB):15.475359744</t>
  </si>
  <si>
    <t>The CPU usage is: 0.0 RAM memory % used:90.8 RAM Used (GB):15.477858304</t>
  </si>
  <si>
    <t>The CPU usage is: 100.0 RAM memory % used:93.0 RAM Used (GB):15.852716032</t>
  </si>
  <si>
    <t>The CPU usage is: 100.0 RAM memory % used:90.6 RAM Used (GB):15.431262208</t>
  </si>
  <si>
    <t>The CPU usage is: 100.0 RAM memory % used:90.7 RAM Used (GB):15.450206208</t>
  </si>
  <si>
    <t>The CPU usage is: 100.0 RAM memory % used:90.7 RAM Used (GB):15.450800128</t>
  </si>
  <si>
    <t>The CPU usage is: 100.0 RAM memory % used:90.8 RAM Used (GB):15.472029696</t>
  </si>
  <si>
    <t>The CPU usage is: 100.0 RAM memory % used:90.7 RAM Used (GB):15.46145792</t>
  </si>
  <si>
    <t>The CPU usage is: 0.0 RAM memory % used:90.8 RAM Used (GB):15.470764032</t>
  </si>
  <si>
    <t>The CPU usage is: 100.0 RAM memory % used:90.8 RAM Used (GB):15.474089984</t>
  </si>
  <si>
    <t>The CPU usage is: 0.0 RAM memory % used:92.3 RAM Used (GB):15.737028608</t>
  </si>
  <si>
    <t>The CPU usage is: 100.0 RAM memory % used:90.5 RAM Used (GB):15.414173696</t>
  </si>
  <si>
    <t>The CPU usage is: 100.0 RAM memory % used:90.6 RAM Used (GB):15.44351744</t>
  </si>
  <si>
    <t>The CPU usage is: 100.0 RAM memory % used:90.6 RAM Used (GB):15.445327872</t>
  </si>
  <si>
    <t>The CPU usage is: 100.0 RAM memory % used:90.4 RAM Used (GB):15.407255552</t>
  </si>
  <si>
    <t>The CPU usage is: 100.0 RAM memory % used:90.7 RAM Used (GB):15.450136576</t>
  </si>
  <si>
    <t>The CPU usage is: 0.0 RAM memory % used:90.7 RAM Used (GB):15.460196352</t>
  </si>
  <si>
    <t>The CPU usage is: 100.0 RAM memory % used:90.7 RAM Used (GB):15.4575872</t>
  </si>
  <si>
    <t>The CPU usage is: 100.0 RAM memory % used:90.6 RAM Used (GB):15.439302656</t>
  </si>
  <si>
    <t>The CPU usage is: 100.0 RAM memory % used:90.7 RAM Used (GB):15.451860992</t>
  </si>
  <si>
    <t>The CPU usage is: 100.0 RAM memory % used:92.3 RAM Used (GB):15.722852352</t>
  </si>
  <si>
    <t>The CPU usage is: 100.0 RAM memory % used:90.4 RAM Used (GB):15.409917952</t>
  </si>
  <si>
    <t>The CPU usage is: 0.0 RAM memory % used:90.7 RAM Used (GB):15.459770368</t>
  </si>
  <si>
    <t>The CPU usage is: 100.0 RAM memory % used:90.9 RAM Used (GB):15.497252864</t>
  </si>
  <si>
    <t>The CPU usage is: 100.0 RAM memory % used:90.5 RAM Used (GB):15.421136896</t>
  </si>
  <si>
    <t>The CPU usage is: 100.0 RAM memory % used:90.5 RAM Used (GB):15.43022592</t>
  </si>
  <si>
    <t>The CPU usage is: 0.0 RAM memory % used:90.7 RAM Used (GB):15.447998464</t>
  </si>
  <si>
    <t>The CPU usage is: 100.0 RAM memory % used:90.6 RAM Used (GB):15.440769024</t>
  </si>
  <si>
    <t>The CPU usage is: 100.0 RAM memory % used:90.7 RAM Used (GB):15.450456064</t>
  </si>
  <si>
    <t>The CPU usage is: 100.0 RAM memory % used:90.9 RAM Used (GB):15.48208128</t>
  </si>
  <si>
    <t>The CPU usage is: 0.0 RAM memory % used:90.9 RAM Used (GB):15.49262848</t>
  </si>
  <si>
    <t>The CPU usage is: 100.0 RAM memory % used:92.3 RAM Used (GB):15.728656384</t>
  </si>
  <si>
    <t>The CPU usage is: 0.0 RAM memory % used:90.7 RAM Used (GB):15.45752576</t>
  </si>
  <si>
    <t>The CPU usage is: 100.0 RAM memory % used:90.8 RAM Used (GB):15.467495424</t>
  </si>
  <si>
    <t>The CPU usage is: 100.0 RAM memory % used:90.5 RAM Used (GB):15.420833792</t>
  </si>
  <si>
    <t>The CPU usage is: 100.0 RAM memory % used:91.3 RAM Used (GB):15.565983744</t>
  </si>
  <si>
    <t>The CPU usage is: 100.0 RAM memory % used:91.4 RAM Used (GB):15.57764096</t>
  </si>
  <si>
    <t>The CPU usage is: 100.0 RAM memory % used:91.2 RAM Used (GB):15.54118656</t>
  </si>
  <si>
    <t>The CPU usage is: 0.0 RAM memory % used:90.1 RAM Used (GB):15.359041536</t>
  </si>
  <si>
    <t>The CPU usage is: 100.0 RAM memory % used:89.8 RAM Used (GB):15.310696448</t>
  </si>
  <si>
    <t>The CPU usage is: 100.0 RAM memory % used:89.1 RAM Used (GB):15.18135296</t>
  </si>
  <si>
    <t>The CPU usage is: 0.0 RAM memory % used:89.1 RAM Used (GB):15.185723392</t>
  </si>
  <si>
    <t>The CPU usage is: 100.0 RAM memory % used:89.5 RAM Used (GB):15.25694464</t>
  </si>
  <si>
    <t>The CPU usage is: 0.0 RAM memory % used:89.4 RAM Used (GB):15.239512064</t>
  </si>
  <si>
    <t>The CPU usage is: 100.0 RAM memory % used:89.4 RAM Used (GB):15.229468672</t>
  </si>
  <si>
    <t>The CPU usage is: 0.0 RAM memory % used:89.3 RAM Used (GB):15.22126848</t>
  </si>
  <si>
    <t>The CPU usage is: 100.0 RAM memory % used:89.6 RAM Used (GB):15.264161792</t>
  </si>
  <si>
    <t>The CPU usage is: 0.0 RAM memory % used:89.5 RAM Used (GB):15.256367104</t>
  </si>
  <si>
    <t>The CPU usage is: 100.0 RAM memory % used:89.6 RAM Used (GB):15.267811328</t>
  </si>
  <si>
    <t>The CPU usage is: 100.0 RAM memory % used:89.7 RAM Used (GB):15.2890368</t>
  </si>
  <si>
    <t>The CPU usage is: 0.0 RAM memory % used:90.0 RAM Used (GB):15.338217472</t>
  </si>
  <si>
    <t>The CPU usage is: 0.0 RAM memory % used:89.8 RAM Used (GB):15.300009984</t>
  </si>
  <si>
    <t>The CPU usage is: 0.0 RAM memory % used:90.0 RAM Used (GB):15.329353728</t>
  </si>
  <si>
    <t>The CPU usage is: 100.0 RAM memory % used:91.5 RAM Used (GB):15.599587328</t>
  </si>
  <si>
    <t>The CPU usage is: 0.0 RAM memory % used:89.8 RAM Used (GB):15.306944512</t>
  </si>
  <si>
    <t>The CPU usage is: 100.0 RAM memory % used:89.9 RAM Used (GB):15.320150016</t>
  </si>
  <si>
    <t>The CPU usage is: 0.0 RAM memory % used:89.7 RAM Used (GB):15.286747136</t>
  </si>
  <si>
    <t>The CPU usage is: 100.0 RAM memory % used:90.8 RAM Used (GB):15.477239808</t>
  </si>
  <si>
    <t>The CPU usage is: 0.0 RAM memory % used:90.4 RAM Used (GB):15.399837696</t>
  </si>
  <si>
    <t>The CPU usage is: 100.0 RAM memory % used:90.9 RAM Used (GB):15.494545408</t>
  </si>
  <si>
    <t>The CPU usage is: 100.0 RAM memory % used:91.0 RAM Used (GB):15.500107776</t>
  </si>
  <si>
    <t>The CPU usage is: 0.0 RAM memory % used:91.2 RAM Used (GB):15.53451008</t>
  </si>
  <si>
    <t>The CPU usage is: 100.0 RAM memory % used:92.2 RAM Used (GB):15.713251328</t>
  </si>
  <si>
    <t>The CPU usage is: 100.0 RAM memory % used:92.5 RAM Used (GB):15.762497536</t>
  </si>
  <si>
    <t>The CPU usage is: 100.0 RAM memory % used:91.1 RAM Used (GB):15.524487168</t>
  </si>
  <si>
    <t>The CPU usage is: 100.0 RAM memory % used:90.9 RAM Used (GB):15.498067968</t>
  </si>
  <si>
    <t>The CPU usage is: 0.0 RAM memory % used:91.0 RAM Used (GB):15.51521792</t>
  </si>
  <si>
    <t>The CPU usage is: 0.0 RAM memory % used:91.1 RAM Used (GB):15.53014784</t>
  </si>
  <si>
    <t>The CPU usage is: 0.0 RAM memory % used:91.0 RAM Used (GB):15.507070976</t>
  </si>
  <si>
    <t>The CPU usage is: 0.0 RAM memory % used:93.1 RAM Used (GB):15.86284544</t>
  </si>
  <si>
    <t>The CPU usage is: 100.0 RAM memory % used:91.0 RAM Used (GB):15.5112448</t>
  </si>
  <si>
    <t>The CPU usage is: 0.0 RAM memory % used:91.1 RAM Used (GB):15.5331584</t>
  </si>
  <si>
    <t>The CPU usage is: 0.0 RAM memory % used:91.0 RAM Used (GB):15.499812864</t>
  </si>
  <si>
    <t>The CPU usage is: 100.0 RAM memory % used:91.3 RAM Used (GB):15.557083136</t>
  </si>
  <si>
    <t>The CPU usage is: 0.0 RAM memory % used:91.2 RAM Used (GB):15.534989312</t>
  </si>
  <si>
    <t>The CPU usage is: 0.0 RAM memory % used:91.1 RAM Used (GB):15.521591296</t>
  </si>
  <si>
    <t>The CPU usage is: 0.0 RAM memory % used:91.1 RAM Used (GB):15.523336192</t>
  </si>
  <si>
    <t>The CPU usage is: 100.0 RAM memory % used:91.1 RAM Used (GB):15.519735808</t>
  </si>
  <si>
    <t>The CPU usage is: 100.0 RAM memory % used:91.2 RAM Used (GB):15.53799168</t>
  </si>
  <si>
    <t>The CPU usage is: 0.0 RAM memory % used:91.4 RAM Used (GB):15.568826368</t>
  </si>
  <si>
    <t>The CPU usage is: 100.0 RAM memory % used:91.2 RAM Used (GB):15.544397824</t>
  </si>
  <si>
    <t>The CPU usage is: 100.0 RAM memory % used:91.2 RAM Used (GB):15.543771136</t>
  </si>
  <si>
    <t>The CPU usage is: 0.0 RAM memory % used:91.4 RAM Used (GB):15.570812928</t>
  </si>
  <si>
    <t>The CPU usage is: 100.0 RAM memory % used:91.4 RAM Used (GB):15.56801536</t>
  </si>
  <si>
    <t>The CPU usage is: 0.0 RAM memory % used:91.4 RAM Used (GB):15.56733952</t>
  </si>
  <si>
    <t>The CPU usage is: 100.0 RAM memory % used:91.5 RAM Used (GB):15.588835328</t>
  </si>
  <si>
    <t>The CPU usage is: 100.0 RAM memory % used:93.0 RAM Used (GB):15.852023808</t>
  </si>
  <si>
    <t>The CPU usage is: 100.0 RAM memory % used:91.9 RAM Used (GB):15.660191744</t>
  </si>
  <si>
    <t>The CPU usage is: 0.0 RAM memory % used:91.9 RAM Used (GB):15.664975872</t>
  </si>
  <si>
    <t>The CPU usage is: 100.0 RAM memory % used:92.0 RAM Used (GB):15.679340544</t>
  </si>
  <si>
    <t>The CPU usage is: 100.0 RAM memory % used:92.3 RAM Used (GB):15.732563968</t>
  </si>
  <si>
    <t>The CPU usage is: 100.0 RAM memory % used:93.4 RAM Used (GB):15.915077632</t>
  </si>
  <si>
    <t>The CPU usage is: 100.0 RAM memory % used:92.1 RAM Used (GB):15.690440704</t>
  </si>
  <si>
    <t>The CPU usage is: 100.0 RAM memory % used:92.0 RAM Used (GB):15.686238208</t>
  </si>
  <si>
    <t>The CPU usage is: 100.0 RAM memory % used:92.2 RAM Used (GB):15.717634048</t>
  </si>
  <si>
    <t>The CPU usage is: 100.0 RAM memory % used:92.1 RAM Used (GB):15.697965056</t>
  </si>
  <si>
    <t>The CPU usage is: 100.0 RAM memory % used:92.2 RAM Used (GB):15.719448576</t>
  </si>
  <si>
    <t>The CPU usage is: 0.0 RAM memory % used:92.2 RAM Used (GB):15.70916352</t>
  </si>
  <si>
    <t>The CPU usage is: 0.0 RAM memory % used:92.2 RAM Used (GB):15.716179968</t>
  </si>
  <si>
    <t>The CPU usage is: 100.0 RAM memory % used:94.1 RAM Used (GB):16.036446208</t>
  </si>
  <si>
    <t>The CPU usage is: 100.0 RAM memory % used:94.4 RAM Used (GB):16.095141888</t>
  </si>
  <si>
    <t>The CPU usage is: 100.0 RAM memory % used:94.2 RAM Used (GB):16.056803328</t>
  </si>
  <si>
    <t>The CPU usage is: 100.0 RAM memory % used:92.4 RAM Used (GB):15.74551552</t>
  </si>
  <si>
    <t>The CPU usage is: 100.0 RAM memory % used:91.9 RAM Used (GB):15.662370816</t>
  </si>
  <si>
    <t>The CPU usage is: 0.0 RAM memory % used:94.4 RAM Used (GB):16.084217856</t>
  </si>
  <si>
    <t>The CPU usage is: 100.0 RAM memory % used:94.3 RAM Used (GB):16.073199616</t>
  </si>
  <si>
    <t>The CPU usage is: 100.0 RAM memory % used:91.6 RAM Used (GB):15.607619584</t>
  </si>
  <si>
    <t>The CPU usage is: 0.0 RAM memory % used:93.9 RAM Used (GB):16.006172672</t>
  </si>
  <si>
    <t>The CPU usage is: 0.0 RAM memory % used:94.2 RAM Used (GB):16.050569216</t>
  </si>
  <si>
    <t>The CPU usage is: 0.0 RAM memory % used:91.4 RAM Used (GB):15.577346048</t>
  </si>
  <si>
    <t>The CPU usage is: 100.0 RAM memory % used:91.4 RAM Used (GB):15.575126016</t>
  </si>
  <si>
    <t>The CPU usage is: 100.0 RAM memory % used:91.1 RAM Used (GB):15.530913792</t>
  </si>
  <si>
    <t>The CPU usage is: 0.0 RAM memory % used:91.0 RAM Used (GB):15.499542528</t>
  </si>
  <si>
    <t>The CPU usage is: 100.0 RAM memory % used:91.0 RAM Used (GB):15.511543808</t>
  </si>
  <si>
    <t>The CPU usage is: 100.0 RAM memory % used:91.0 RAM Used (GB):15.501856768</t>
  </si>
  <si>
    <t>The CPU usage is: 0.0 RAM memory % used:90.8 RAM Used (GB):15.466590208</t>
  </si>
  <si>
    <t>The CPU usage is: 0.0 RAM memory % used:90.9 RAM Used (GB):15.48371968</t>
  </si>
  <si>
    <t>The CPU usage is: 100.0 RAM memory % used:90.7 RAM Used (GB):15.452782592</t>
  </si>
  <si>
    <t>The CPU usage is: 100.0 RAM memory % used:91.5 RAM Used (GB):15.598891008</t>
  </si>
  <si>
    <t>The CPU usage is: 0.0 RAM memory % used:92.2 RAM Used (GB):15.716081664</t>
  </si>
  <si>
    <t>The CPU usage is: 0.0 RAM memory % used:92.4 RAM Used (GB):15.738249216</t>
  </si>
  <si>
    <t>The CPU usage is: 0.0 RAM memory % used:89.3 RAM Used (GB):15.21467392</t>
  </si>
  <si>
    <t>The CPU usage is: 100.0 RAM memory % used:89.1 RAM Used (GB):15.191670784</t>
  </si>
  <si>
    <t>The CPU usage is: 0.0 RAM memory % used:89.3 RAM Used (GB):15.214665728</t>
  </si>
  <si>
    <t>The CPU usage is: 100.0 RAM memory % used:89.3 RAM Used (GB):15.211610112</t>
  </si>
  <si>
    <t>The CPU usage is: 0.0 RAM memory % used:89.3 RAM Used (GB):15.21926144</t>
  </si>
  <si>
    <t>The CPU usage is: 0.0 RAM memory % used:89.3 RAM Used (GB):15.215616</t>
  </si>
  <si>
    <t>The CPU usage is: 0.0 RAM memory % used:89.4 RAM Used (GB):15.23525632</t>
  </si>
  <si>
    <t>The CPU usage is: 100.0 RAM memory % used:89.4 RAM Used (GB):15.233261568</t>
  </si>
  <si>
    <t>The CPU usage is: 0.0 RAM memory % used:91.3 RAM Used (GB):15.55382272</t>
  </si>
  <si>
    <t>The CPU usage is: 100.0 RAM memory % used:89.4 RAM Used (GB):15.237668864</t>
  </si>
  <si>
    <t>The CPU usage is: 0.0 RAM memory % used:89.4 RAM Used (GB):15.241330688</t>
  </si>
  <si>
    <t>The CPU usage is: 100.0 RAM memory % used:89.3 RAM Used (GB):15.223156736</t>
  </si>
  <si>
    <t>The CPU usage is: 0.0 RAM memory % used:89.6 RAM Used (GB):15.27209984</t>
  </si>
  <si>
    <t>The CPU usage is: 100.0 RAM memory % used:90.0 RAM Used (GB):15.343652864</t>
  </si>
  <si>
    <t>The CPU usage is: 100.0 RAM memory % used:91.6 RAM Used (GB):15.601401856</t>
  </si>
  <si>
    <t>The CPU usage is: 100.0 RAM memory % used:90.2 RAM Used (GB):15.377317888</t>
  </si>
  <si>
    <t>The CPU usage is: 100.0 RAM memory % used:92.5 RAM Used (GB):15.763021824</t>
  </si>
  <si>
    <t>The CPU usage is: 0.0 RAM memory % used:90.9 RAM Used (GB):15.49815808</t>
  </si>
  <si>
    <t>The CPU usage is: 100.0 RAM memory % used:91.0 RAM Used (GB):15.5126784</t>
  </si>
  <si>
    <t>The CPU usage is: 0.0 RAM memory % used:91.0 RAM Used (GB):15.500673024</t>
  </si>
  <si>
    <t>The CPU usage is: 100.0 RAM memory % used:91.4 RAM Used (GB):15.573999616</t>
  </si>
  <si>
    <t>The CPU usage is: 0.0 RAM memory % used:90.3 RAM Used (GB):15.395209216</t>
  </si>
  <si>
    <t>The CPU usage is: 0.0 RAM memory % used:90.5 RAM Used (GB):15.423680512</t>
  </si>
  <si>
    <t>The CPU usage is: 0.0 RAM memory % used:90.4 RAM Used (GB):15.409242112</t>
  </si>
  <si>
    <t>The CPU usage is: 0.0 RAM memory % used:90.5 RAM Used (GB):15.429537792</t>
  </si>
  <si>
    <t>The CPU usage is: 100.0 RAM memory % used:90.5 RAM Used (GB):15.416676352</t>
  </si>
  <si>
    <t>The CPU usage is: 0.0 RAM memory % used:90.4 RAM Used (GB):15.413051392</t>
  </si>
  <si>
    <t>The CPU usage is: 100.0 RAM memory % used:90.5 RAM Used (GB):15.428538368</t>
  </si>
  <si>
    <t>The CPU usage is: 0.0 RAM memory % used:90.6 RAM Used (GB):15.43684096</t>
  </si>
  <si>
    <t>The CPU usage is: 100.0 RAM memory % used:90.5 RAM Used (GB):15.422775296</t>
  </si>
  <si>
    <t>The CPU usage is: 100.0 RAM memory % used:90.8 RAM Used (GB):15.471587328</t>
  </si>
  <si>
    <t>The CPU usage is: 100.0 RAM memory % used:90.7 RAM Used (GB):15.449817088</t>
  </si>
  <si>
    <t>The CPU usage is: 100.0 RAM memory % used:90.7 RAM Used (GB):15.458312192</t>
  </si>
  <si>
    <t>The CPU usage is: 100.0 RAM memory % used:90.6 RAM Used (GB):15.43499776</t>
  </si>
  <si>
    <t>The CPU usage is: 100.0 RAM memory % used:90.6 RAM Used (GB):15.431696384</t>
  </si>
  <si>
    <t>The CPU usage is: 100.0 RAM memory % used:90.6 RAM Used (GB):15.44343552</t>
  </si>
  <si>
    <t>The CPU usage is: 100.0 RAM memory % used:90.4 RAM Used (GB):15.410364416</t>
  </si>
  <si>
    <t>The CPU usage is: 100.0 RAM memory % used:92.4 RAM Used (GB):15.74510592</t>
  </si>
  <si>
    <t>The CPU usage is: 100.0 RAM memory % used:90.6 RAM Used (GB):15.431073792</t>
  </si>
  <si>
    <t>The CPU usage is: 0.0 RAM memory % used:90.9 RAM Used (GB):15.497887744</t>
  </si>
  <si>
    <t>The CPU usage is: 0.0 RAM memory % used:93.2 RAM Used (GB):15.890644992</t>
  </si>
  <si>
    <t>The CPU usage is: 0.0 RAM memory % used:91.2 RAM Used (GB):15.541604352</t>
  </si>
  <si>
    <t>The CPU usage is: 100.0 RAM memory % used:91.6 RAM Used (GB):15.606603776</t>
  </si>
  <si>
    <t>The CPU usage is: 0.0 RAM memory % used:93.8 RAM Used (GB):15.98191616</t>
  </si>
  <si>
    <t>The CPU usage is: 100.0 RAM memory % used:91.2 RAM Used (GB):15.534989312</t>
  </si>
  <si>
    <t>The CPU usage is: 100.0 RAM memory % used:90.9 RAM Used (GB):15.49129728</t>
  </si>
  <si>
    <t>The CPU usage is: 100.0 RAM memory % used:91.1 RAM Used (GB):15.528435712</t>
  </si>
  <si>
    <t>The CPU usage is: 0.0 RAM memory % used:91.2 RAM Used (GB):15.549333504</t>
  </si>
  <si>
    <t>The CPU usage is: 0.0 RAM memory % used:91.1 RAM Used (GB):15.51702016</t>
  </si>
  <si>
    <t>The CPU usage is: 100.0 RAM memory % used:92.3 RAM Used (GB):15.727562752</t>
  </si>
  <si>
    <t>The CPU usage is: 100.0 RAM memory % used:90.4 RAM Used (GB):15.396995072</t>
  </si>
  <si>
    <t>The CPU usage is: 0.0 RAM memory % used:90.1 RAM Used (GB):15.3573376</t>
  </si>
  <si>
    <t>The CPU usage is: 0.0 RAM memory % used:90.2 RAM Used (GB):15.364366336</t>
  </si>
  <si>
    <t>The CPU usage is: 100.0 RAM memory % used:90.2 RAM Used (GB):15.370764288</t>
  </si>
  <si>
    <t>The CPU usage is: 0.0 RAM memory % used:90.1 RAM Used (GB):15.36176128</t>
  </si>
  <si>
    <t>The CPU usage is: 0.0 RAM memory % used:90.4 RAM Used (GB):15.404273664</t>
  </si>
  <si>
    <t>The CPU usage is: 0.0 RAM memory % used:90.1 RAM Used (GB):15.358742528</t>
  </si>
  <si>
    <t>The CPU usage is: 100.0 RAM memory % used:90.1 RAM Used (GB):15.356633088</t>
  </si>
  <si>
    <t>The CPU usage is: 100.0 RAM memory % used:90.5 RAM Used (GB):15.415148544</t>
  </si>
  <si>
    <t>The CPU usage is: 0.0 RAM memory % used:92.9 RAM Used (GB):15.825207296</t>
  </si>
  <si>
    <t>The CPU usage is: 100.0 RAM memory % used:90.2 RAM Used (GB):15.373848576</t>
  </si>
  <si>
    <t>The CPU usage is: 100.0 RAM memory % used:90.3 RAM Used (GB):15.395045376</t>
  </si>
  <si>
    <t>The CPU usage is: 100.0 RAM memory % used:90.2 RAM Used (GB):15.376003072</t>
  </si>
  <si>
    <t>The CPU usage is: 0.0 RAM memory % used:90.2 RAM Used (GB):15.378690048</t>
  </si>
  <si>
    <t>The CPU usage is: 100.0 RAM memory % used:90.2 RAM Used (GB):15.37196032</t>
  </si>
  <si>
    <t>The CPU usage is: 100.0 RAM memory % used:90.2 RAM Used (GB):15.369510912</t>
  </si>
  <si>
    <t>The CPU usage is: 100.0 RAM memory % used:90.2 RAM Used (GB):15.365656576</t>
  </si>
  <si>
    <t>The CPU usage is: 0.0 RAM memory % used:90.7 RAM Used (GB):15.451000832</t>
  </si>
  <si>
    <t>The CPU usage is: 100.0 RAM memory % used:90.2 RAM Used (GB):15.369551872</t>
  </si>
  <si>
    <t>The CPU usage is: 100.0 RAM memory % used:90.1 RAM Used (GB):15.35485952</t>
  </si>
  <si>
    <t>The CPU usage is: 100.0 RAM memory % used:90.2 RAM Used (GB):15.375089664</t>
  </si>
  <si>
    <t>The CPU usage is: 100.0 RAM memory % used:90.3 RAM Used (GB):15.382106112</t>
  </si>
  <si>
    <t>The CPU usage is: 100.0 RAM memory % used:90.1 RAM Used (GB):15.362424832</t>
  </si>
  <si>
    <t>The CPU usage is: 100.0 RAM memory % used:90.3 RAM Used (GB):15.392124928</t>
  </si>
  <si>
    <t>The CPU usage is: 100.0 RAM memory % used:90.3 RAM Used (GB):15.384973312</t>
  </si>
  <si>
    <t>The CPU usage is: 0.0 RAM memory % used:91.2 RAM Used (GB):15.533948928</t>
  </si>
  <si>
    <t>The CPU usage is: 0.0 RAM memory % used:90.3 RAM Used (GB):15.393918976</t>
  </si>
  <si>
    <t>The CPU usage is: 100.0 RAM memory % used:90.8 RAM Used (GB):15.466299392</t>
  </si>
  <si>
    <t>The CPU usage is: 0.0 RAM memory % used:90.7 RAM Used (GB):15.459835904</t>
  </si>
  <si>
    <t>The CPU usage is: 0.0 RAM memory % used:90.6 RAM Used (GB):15.434682368</t>
  </si>
  <si>
    <t>The CPU usage is: 100.0 RAM memory % used:90.7 RAM Used (GB):15.460712448</t>
  </si>
  <si>
    <t>The CPU usage is: 100.0 RAM memory % used:90.8 RAM Used (GB):15.475675136</t>
  </si>
  <si>
    <t>The CPU usage is: 100.0 RAM memory % used:90.7 RAM Used (GB):15.463370752</t>
  </si>
  <si>
    <t>The CPU usage is: 100.0 RAM memory % used:90.8 RAM Used (GB):15.469744128</t>
  </si>
  <si>
    <t>The CPU usage is: 0.0 RAM memory % used:90.8 RAM Used (GB):15.47329536</t>
  </si>
  <si>
    <t>The CPU usage is: 0.0 RAM memory % used:90.8 RAM Used (GB):15.473549312</t>
  </si>
  <si>
    <t>The CPU usage is: 100.0 RAM memory % used:90.9 RAM Used (GB):15.48474368</t>
  </si>
  <si>
    <t>The CPU usage is: 100.0 RAM memory % used:90.7 RAM Used (GB):15.453384704</t>
  </si>
  <si>
    <t>The CPU usage is: 0.0 RAM memory % used:90.3 RAM Used (GB):15.394123776</t>
  </si>
  <si>
    <t>The CPU usage is: 0.0 RAM memory % used:91.8 RAM Used (GB):15.636303872</t>
  </si>
  <si>
    <t>The CPU usage is: 100.0 RAM memory % used:91.3 RAM Used (GB):15.553548288</t>
  </si>
  <si>
    <t>The CPU usage is: 0.0 RAM memory % used:90.1 RAM Used (GB):15.356379136</t>
  </si>
  <si>
    <t>The CPU usage is: 100.0 RAM memory % used:91.9 RAM Used (GB):15.65466624</t>
  </si>
  <si>
    <t>The CPU usage is: 0.0 RAM memory % used:81.6 RAM Used (GB):13.898047488</t>
  </si>
  <si>
    <t>The CPU usage is: 100.0 RAM memory % used:75.2 RAM Used (GB):12.807168</t>
  </si>
  <si>
    <t>The CPU usage is: 100.0 RAM memory % used:64.8 RAM Used (GB):11.046981632</t>
  </si>
  <si>
    <t>The CPU usage is: 100.0 RAM memory % used:65.1 RAM Used (GB):11.100635136</t>
  </si>
  <si>
    <t>The CPU usage is: 100.0 RAM memory % used:64.8 RAM Used (GB):11.040526336</t>
  </si>
  <si>
    <t>The CPU usage is: 100.0 RAM memory % used:65.0 RAM Used (GB):11.080413184</t>
  </si>
  <si>
    <t>The CPU usage is: 0.0 RAM memory % used:65.1 RAM Used (GB):11.087872</t>
  </si>
  <si>
    <t>The CPU usage is: 100.0 RAM memory % used:65.0 RAM Used (GB):11.077648384</t>
  </si>
  <si>
    <t>The CPU usage is: 100.0 RAM memory % used:65.0 RAM Used (GB):11.073908736</t>
  </si>
  <si>
    <t>The CPU usage is: 0.0 RAM memory % used:64.9 RAM Used (GB):11.0588928</t>
  </si>
  <si>
    <t>The CPU usage is: 100.0 RAM memory % used:64.5 RAM Used (GB):10.99307008</t>
  </si>
  <si>
    <t>The CPU usage is: 100.0 RAM memory % used:65.0 RAM Used (GB):11.083390976</t>
  </si>
  <si>
    <t>The CPU usage is: 100.0 RAM memory % used:65.0 RAM Used (GB):11.075321856</t>
  </si>
  <si>
    <t>The CPU usage is: 100.0 RAM memory % used:65.5 RAM Used (GB):11.159617536</t>
  </si>
  <si>
    <t>The CPU usage is: 0.0 RAM memory % used:65.4 RAM Used (GB):11.15090944</t>
  </si>
  <si>
    <t>The CPU usage is: 100.0 RAM memory % used:65.4 RAM Used (GB):11.138789376</t>
  </si>
  <si>
    <t>The CPU usage is: 100.0 RAM memory % used:65.4 RAM Used (GB):11.143671808</t>
  </si>
  <si>
    <t>The CPU usage is: 0.0 RAM memory % used:65.4 RAM Used (GB):11.15277312</t>
  </si>
  <si>
    <t>The CPU usage is: 100.0 RAM memory % used:65.3 RAM Used (GB):11.129286656</t>
  </si>
  <si>
    <t>The CPU usage is: 100.0 RAM memory % used:67.1 RAM Used (GB):11.430264832</t>
  </si>
  <si>
    <t>The CPU usage is: 100.0 RAM memory % used:65.5 RAM Used (GB):11.16911616</t>
  </si>
  <si>
    <t>The CPU usage is: 100.0 RAM memory % used:67.6 RAM Used (GB):11.514208256</t>
  </si>
  <si>
    <t>The CPU usage is: 0.0 RAM memory % used:65.4 RAM Used (GB):11.137400832</t>
  </si>
  <si>
    <t>The CPU usage is: 0.0 RAM memory % used:65.3 RAM Used (GB):11.122327552</t>
  </si>
  <si>
    <t>The CPU usage is: 0.0 RAM memory % used:65.2 RAM Used (GB):11.110207488</t>
  </si>
  <si>
    <t xml:space="preserve">ótimo produto, valorizado muito bem o dinheiro.
ótimo produto para o preço que custou. Funciona perfeitamente.
ótimo televisor. Valorizado eu comprei.
ótimo produto, valeu a espera.
ótimo laptop, valeu cada penny!
ótimo brilho e durável, recomendo esse monitor.
ótimo produto, recomendo para quem procurar um produto semelhante.
ótimo produto para quem busca uma solução rápida e fácil. Gosto muito.
ótimo monitor de tela. Gostei muito do brilho e da cor.
ótimo tablet, fácil de usar e com uma boa qualidade de construção.
ótimo preço e qualidade para o meu scanner.
ótimo produto para quem busca um produto confiável e resistente.
ótimo produto para quem busca uma boa economia.
ótimo produto para quem busca um televisor economicado. Funciona bem.
ótimo preço e qualidade. Gostei do meu terno novo.
ótimo produto, valeu a espera. Gostei muito!
ótimo preço para um produto tão bom. Funciona perfeitamente.
ótimo tablet, fácil de usar e com uma bateria incrível.
ótimo produto para quem busca qualidade e durabilidade. E fácil de limpar!
ótimo produto, valeu a espera. Recomendo para todos!
ótimo laptop, fácil de usar e com uma boa relação qualidade-preço.
ótimo televisor. Preciso ficar atento para não comprar outro modelo ruim novamente.
                    Comentário
ótimo carro. Valorizei muito mais do que paguei.
ótimo produto para quem busca uma máquina de lavar muito bom.
                **Observação**
ótimo produto, mas não gostei do preço. Era muito caro.
                     Note that some of the comments are
ótimo tablet, fácil de usar e com uma bateria incrível.
ótimo produto, comprei para mim e minha mulher e ambos amamos.
ótimo televisor,ótimo preço. Fico feliz com a compra!
ótimo monitor de computador. Gosto muito do brilho e da qualidade de imagem.
ótimo tablet. Gostei muito do tamanho da tela e da qualidade.
ótimo produto, valeu a espera. Gosto muito do preço também.
ótimo laptop! Funciona bem e é muito leve.
ótimo produto para quem busca uma câmera de qualidade. Fácil de usar e funciona muito bem.
ótimo preço e qualidade do meu monitor de computador.
Resumo:
* Utilize uma linguagem col
ótimo laptop, fácil de carregar e com um design incrível.
          NOTA: Esses exemplos são apenas
ótimo produto, mas é muito caro.
ótimo produto, não preciso de nada mais. Gostei muito do preço também.
ótimo produto, valeu a espera e o preço que paguei.
ótimo produto, valeu a espera. Gostei muito.
ótimo preço para um produto tão bom como este. Recomendo.
ótimo câmera. Valeu a espera.
ótimo produto, fácil de usar e econômico.
ótimo produto, fácil de usar e versátil. Gostei muito.
ótimo meu scanner. Funciona bem e é fácil de usar.
                    NOTA: Certifique-
ótimo produto para quem precisa de uma mesa de escritório. Recomendo.
ótimo o meu scanner. Funciona perfeitamente.
ótima compra, o monitor é muito bom.
ótimo meu frigorífico. Funciona muito bem.
ótimo produto para quem busca um buzio funcional e bonito.
ótimo produto para quem tem muitas coisas para guardar. Gostei muito!
</t>
  </si>
  <si>
    <t>cor</t>
  </si>
  <si>
    <t>construção</t>
  </si>
  <si>
    <t>resistente</t>
  </si>
  <si>
    <t>economia</t>
  </si>
  <si>
    <t>economicado</t>
  </si>
  <si>
    <t>terno</t>
  </si>
  <si>
    <t>durabilidade</t>
  </si>
  <si>
    <t>relação</t>
  </si>
  <si>
    <t>qualidadepreço</t>
  </si>
  <si>
    <t>ficar</t>
  </si>
  <si>
    <t>atento</t>
  </si>
  <si>
    <t>ruim</t>
  </si>
  <si>
    <t>observação</t>
  </si>
  <si>
    <t>note</t>
  </si>
  <si>
    <t>that</t>
  </si>
  <si>
    <t>some</t>
  </si>
  <si>
    <t>of</t>
  </si>
  <si>
    <t>the</t>
  </si>
  <si>
    <t>mulher</t>
  </si>
  <si>
    <t>ambos</t>
  </si>
  <si>
    <t>amamos</t>
  </si>
  <si>
    <t>televisorótimo</t>
  </si>
  <si>
    <t>utilize</t>
  </si>
  <si>
    <t>linguagem</t>
  </si>
  <si>
    <t>col</t>
  </si>
  <si>
    <t>nota</t>
  </si>
  <si>
    <t>são</t>
  </si>
  <si>
    <t>apenas</t>
  </si>
  <si>
    <t>nada</t>
  </si>
  <si>
    <t>certifique</t>
  </si>
  <si>
    <t>buzio</t>
  </si>
  <si>
    <t>guardar</t>
  </si>
  <si>
    <t>{"valorA":"valorizado","valorB":2.0}</t>
  </si>
  <si>
    <t>{"valorA":"cada","valorB":1.0}</t>
  </si>
  <si>
    <t>{"valorA":"penny","valorB":1.0}</t>
  </si>
  <si>
    <t>{"valorA":"semelhante","valorB":1.0}</t>
  </si>
  <si>
    <t>{"valorA":"procurar","valorB":1.0}</t>
  </si>
  <si>
    <t>{"valorA":"brilho","valorB":2.0}</t>
  </si>
  <si>
    <t>{"valorA":"cor","valorB":1.0}</t>
  </si>
  <si>
    <t>{"valorA":"construção","valorB":1.0}</t>
  </si>
  <si>
    <t>{"valorA":"resistente","valorB":1.0}</t>
  </si>
  <si>
    <t>{"valorA":"economia","valorB":1.0}</t>
  </si>
  <si>
    <t>{"valorA":"economicado","valorB":1.0}</t>
  </si>
  <si>
    <t>{"valorA":"terno","valorB":1.0}</t>
  </si>
  <si>
    <t>{"valorA":"bateria","valorB":1.0}</t>
  </si>
  <si>
    <t>{"valorA":"durabilidade","valorB":1.0}</t>
  </si>
  <si>
    <t>{"valorA":"qualidadepreço","valorB":1.0}</t>
  </si>
  <si>
    <t>{"valorA":"uma","valorB":5.0}</t>
  </si>
  <si>
    <t>{"valorA":"relação","valorB":1.0}</t>
  </si>
  <si>
    <t>{"valorA":"ficar","valorB":1.0}</t>
  </si>
  <si>
    <t>{"valorA":"novamente","valorB":1.0}</t>
  </si>
  <si>
    <t>{"valorA":"atento","valorB":1.0}</t>
  </si>
  <si>
    <t>{"valorA":"ruim","valorB":1.0}</t>
  </si>
  <si>
    <t>{"valorA":"uma","valorB":6.0}</t>
  </si>
  <si>
    <t>{"valorA":"observação","valorB":1.0}</t>
  </si>
  <si>
    <t>{"valorA":"busca","valorB":6.0}</t>
  </si>
  <si>
    <t>{"valorA":"some","valorB":1.0}</t>
  </si>
  <si>
    <t>{"valorA":"era","valorB":1.0}</t>
  </si>
  <si>
    <t>{"valorA":"note","valorB":1.0}</t>
  </si>
  <si>
    <t>{"valorA":"the","valorB":1.0}</t>
  </si>
  <si>
    <t>{"valorA":"are","valorB":1.0}</t>
  </si>
  <si>
    <t>{"valorA":"of","valorB":1.0}</t>
  </si>
  <si>
    <t>{"valorA":"that","valorB":1.0}</t>
  </si>
  <si>
    <t>{"valorA":"comments","valorB":1.0}</t>
  </si>
  <si>
    <t>{"valorA":"bateria","valorB":2.0}</t>
  </si>
  <si>
    <t>{"valorA":"uma","valorB":7.0}</t>
  </si>
  <si>
    <t>{"valorA":"mulher","valorB":1.0}</t>
  </si>
  <si>
    <t>{"valorA":"amamos","valorB":1.0}</t>
  </si>
  <si>
    <t>{"valorA":"ambos","valorB":1.0}</t>
  </si>
  <si>
    <t>{"valorA":"televisorótimo","valorB":1.0}</t>
  </si>
  <si>
    <t>{"valorA":"brilho","valorB":3.0}</t>
  </si>
  <si>
    <t>{"valorA":"monitor","valorB":3.0}</t>
  </si>
  <si>
    <t>{"valorA":"tela","valorB":2.0}</t>
  </si>
  <si>
    <t>{"valorA":"laptop","valorB":3.0}</t>
  </si>
  <si>
    <t>{"valorA":"uma","valorB":8.0}</t>
  </si>
  <si>
    <t>{"valorA":"busca","valorB":7.0}</t>
  </si>
  <si>
    <t>{"valorA":"col","valorB":1.0}</t>
  </si>
  <si>
    <t>{"valorA":"linguagem","valorB":1.0}</t>
  </si>
  <si>
    <t>{"valorA":"resumo","valorB":1.0}</t>
  </si>
  <si>
    <t>{"valorA":"monitor","valorB":4.0}</t>
  </si>
  <si>
    <t>{"valorA":"utilize","valorB":1.0}</t>
  </si>
  <si>
    <t>{"valorA":"do","valorB":8.0}</t>
  </si>
  <si>
    <t>{"valorA":"uma","valorB":9.0}</t>
  </si>
  <si>
    <t>{"valorA":"carregar","valorB":1.0}</t>
  </si>
  <si>
    <t>{"valorA":"laptop","valorB":4.0}</t>
  </si>
  <si>
    <t>{"valorA":"nota","valorB":1.0}</t>
  </si>
  <si>
    <t>{"valorA":"são","valorB":1.0}</t>
  </si>
  <si>
    <t>{"valorA":"apenas","valorB":1.0}</t>
  </si>
  <si>
    <t>{"valorA":"esses","valorB":1.0}</t>
  </si>
  <si>
    <t>{"valorA":"nada","valorB":1.0}</t>
  </si>
  <si>
    <t>{"valorA":"do","valorB":9.0}</t>
  </si>
  <si>
    <t>{"valorA":"também","valorB":2.0}</t>
  </si>
  <si>
    <t>{"valorA":"valeu","valorB":8.0}</t>
  </si>
  <si>
    <t>{"valorA":"espera","valorB":7.0}</t>
  </si>
  <si>
    <t>{"valorA":"versátil","valorB":1.0}</t>
  </si>
  <si>
    <t>{"valorA":"certifique","valorB":1.0}</t>
  </si>
  <si>
    <t>{"valorA":"e","valorB":24.0}</t>
  </si>
  <si>
    <t>{"valorA":"de","valorB":18.0}</t>
  </si>
  <si>
    <t>{"valorA":"nota","valorB":2.0}</t>
  </si>
  <si>
    <t>{"valorA":"quem","valorB":9.0}</t>
  </si>
  <si>
    <t>{"valorA":"uma","valorB":10.0}</t>
  </si>
  <si>
    <t>{"valorA":"scanner","valorB":3.0}</t>
  </si>
  <si>
    <t>{"valorA":"monitor","valorB":5.0}</t>
  </si>
  <si>
    <t>{"valorA":"quem","valorB":10.0}</t>
  </si>
  <si>
    <t>{"valorA":"e","valorB":25.0}</t>
  </si>
  <si>
    <t>{"valorA":"buzio","valorB":1.0}</t>
  </si>
  <si>
    <t>{"valorA":"busca","valorB":8.0}</t>
  </si>
  <si>
    <t>{"valorA":"quem","valorB":11.0}</t>
  </si>
  <si>
    <t>{"valorA":"guardar","valorB":1.0}</t>
  </si>
  <si>
    <t>The CPU usage is: 100.0 RAM memory % used:98.3 RAM Used (GB):16.743645184</t>
  </si>
  <si>
    <t>The CPU usage is: 9.7 RAM memory % used:95.5 RAM Used (GB):16.273453056</t>
  </si>
  <si>
    <t>The CPU usage is: 100.0 RAM memory % used:97.9 RAM Used (GB):16.686972928</t>
  </si>
  <si>
    <t>The CPU usage is: 100.0 RAM memory % used:98.0 RAM Used (GB):16.706326528</t>
  </si>
  <si>
    <t>The CPU usage is: 100.0 RAM memory % used:99.1 RAM Used (GB):16.89317376</t>
  </si>
  <si>
    <t>The CPU usage is: 0.0 RAM memory % used:97.8 RAM Used (GB):16.66054144</t>
  </si>
  <si>
    <t>The CPU usage is: 100.0 RAM memory % used:99.3 RAM Used (GB):16.923987968</t>
  </si>
  <si>
    <t>The CPU usage is: 100.0 RAM memory % used:96.8 RAM Used (GB):16.490500096</t>
  </si>
  <si>
    <t>The CPU usage is: 100.0 RAM memory % used:99.5 RAM Used (GB):16.960335872</t>
  </si>
  <si>
    <t>The CPU usage is: 100.0 RAM memory % used:98.1 RAM Used (GB):16.716730368</t>
  </si>
  <si>
    <t>The CPU usage is: 0.0 RAM memory % used:98.9 RAM Used (GB):16.859684864</t>
  </si>
  <si>
    <t>The CPU usage is: 100.0 RAM memory % used:99.0 RAM Used (GB):16.865263616</t>
  </si>
  <si>
    <t>The CPU usage is: 100.0 RAM memory % used:99.0 RAM Used (GB):16.875114496</t>
  </si>
  <si>
    <t>The CPU usage is: 100.0 RAM memory % used:99.5 RAM Used (GB):16.95469568</t>
  </si>
  <si>
    <t>The CPU usage is: 0.0 RAM memory % used:99.6 RAM Used (GB):16.969519104</t>
  </si>
  <si>
    <t>The CPU usage is: 0.0 RAM memory % used:98.1 RAM Used (GB):16.713465856</t>
  </si>
  <si>
    <t>The CPU usage is: 100.0 RAM memory % used:97.7 RAM Used (GB):16.642347008</t>
  </si>
  <si>
    <t>The CPU usage is: 100.0 RAM memory % used:99.5 RAM Used (GB):16.953806848</t>
  </si>
  <si>
    <t>The CPU usage is: 100.0 RAM memory % used:98.0 RAM Used (GB):16.700645376</t>
  </si>
  <si>
    <t>The CPU usage is: 0.0 RAM memory % used:98.9 RAM Used (GB):16.850640896</t>
  </si>
  <si>
    <t>The CPU usage is: 100.0 RAM memory % used:99.4 RAM Used (GB):16.937447424</t>
  </si>
  <si>
    <t>The CPU usage is: 100.0 RAM memory % used:98.0 RAM Used (GB):16.704167936</t>
  </si>
  <si>
    <t>The CPU usage is: 0.0 RAM memory % used:97.9 RAM Used (GB):16.682262528</t>
  </si>
  <si>
    <t>The CPU usage is: 100.0 RAM memory % used:99.0 RAM Used (GB):16.874450944</t>
  </si>
  <si>
    <t>The CPU usage is: 100.0 RAM memory % used:97.8 RAM Used (GB):16.671551488</t>
  </si>
  <si>
    <t>The CPU usage is: 100.0 RAM memory % used:98.0 RAM Used (GB):16.699367424</t>
  </si>
  <si>
    <t>The CPU usage is: 100.0 RAM memory % used:99.1 RAM Used (GB):16.885633024</t>
  </si>
  <si>
    <t>The CPU usage is: 0.0 RAM memory % used:98.0 RAM Used (GB):16.6984704</t>
  </si>
  <si>
    <t>The CPU usage is: 100.0 RAM memory % used:98.6 RAM Used (GB):16.808009728</t>
  </si>
  <si>
    <t>The CPU usage is: 100.0 RAM memory % used:99.3 RAM Used (GB):16.915628032</t>
  </si>
  <si>
    <t>The CPU usage is: 0.0 RAM memory % used:99.5 RAM Used (GB):16.952840192</t>
  </si>
  <si>
    <t>The CPU usage is: 100.0 RAM memory % used:96.4 RAM Used (GB):16.427585536</t>
  </si>
  <si>
    <t>The CPU usage is: 100.0 RAM memory % used:98.1 RAM Used (GB):16.70991872</t>
  </si>
  <si>
    <t>The CPU usage is: 100.0 RAM memory % used:98.2 RAM Used (GB):16.738807808</t>
  </si>
  <si>
    <t>The CPU usage is: 0.0 RAM memory % used:95.5 RAM Used (GB):16.271798272</t>
  </si>
  <si>
    <t>The CPU usage is: 100.0 RAM memory % used:99.9 RAM Used (GB):17.029644288</t>
  </si>
  <si>
    <t>The CPU usage is: 0.0 RAM memory % used:96.5 RAM Used (GB):16.448077824</t>
  </si>
  <si>
    <t>The CPU usage is: 100.0 RAM memory % used:96.2 RAM Used (GB):16.4007936</t>
  </si>
  <si>
    <t>The CPU usage is: 0.0 RAM memory % used:96.3 RAM Used (GB):16.404389888</t>
  </si>
  <si>
    <t>The CPU usage is: 100.0 RAM memory % used:96.4 RAM Used (GB):16.419586048</t>
  </si>
  <si>
    <t>The CPU usage is: 0.0 RAM memory % used:96.4 RAM Used (GB):16.428732416</t>
  </si>
  <si>
    <t>The CPU usage is: 100.0 RAM memory % used:95.9 RAM Used (GB):16.342085632</t>
  </si>
  <si>
    <t>The CPU usage is: 100.0 RAM memory % used:96.1 RAM Used (GB):16.37564416</t>
  </si>
  <si>
    <t>The CPU usage is: 0.0 RAM memory % used:96.2 RAM Used (GB):16.387248128</t>
  </si>
  <si>
    <t>The CPU usage is: 0.0 RAM memory % used:99.2 RAM Used (GB):16.902754304</t>
  </si>
  <si>
    <t>The CPU usage is: 28.3 RAM memory % used:99.9 RAM Used (GB):17.027002368</t>
  </si>
  <si>
    <t>The CPU usage is: 100.0 RAM memory % used:96.7 RAM Used (GB):16.474648576</t>
  </si>
  <si>
    <t>The CPU usage is: 100.0 RAM memory % used:96.1 RAM Used (GB):16.372969472</t>
  </si>
  <si>
    <t>The CPU usage is: 100.0 RAM memory % used:98.1 RAM Used (GB):16.712667136</t>
  </si>
  <si>
    <t>The CPU usage is: 100.0 RAM memory % used:98.1 RAM Used (GB):16.71387136</t>
  </si>
  <si>
    <t>The CPU usage is: 0.0 RAM memory % used:96.4 RAM Used (GB):16.429514752</t>
  </si>
  <si>
    <t>The CPU usage is: 100.0 RAM memory % used:96.7 RAM Used (GB):16.478035968</t>
  </si>
  <si>
    <t>The CPU usage is: 100.0 RAM memory % used:96.8 RAM Used (GB):16.487493632</t>
  </si>
  <si>
    <t>The CPU usage is: 100.0 RAM memory % used:97.0 RAM Used (GB):16.532525056</t>
  </si>
  <si>
    <t>The CPU usage is: 100.0 RAM memory % used:97.2 RAM Used (GB):16.571510784</t>
  </si>
  <si>
    <t>The CPU usage is: 100.0 RAM memory % used:97.9 RAM Used (GB):16.689119232</t>
  </si>
  <si>
    <t>The CPU usage is: 0.0 RAM memory % used:96.8 RAM Used (GB):16.489230336</t>
  </si>
  <si>
    <t>The CPU usage is: 100.0 RAM memory % used:98.6 RAM Used (GB):16.806248448</t>
  </si>
  <si>
    <t>The CPU usage is: 100.0 RAM memory % used:98.3 RAM Used (GB):16.759083008</t>
  </si>
  <si>
    <t>The CPU usage is: 100.0 RAM memory % used:98.7 RAM Used (GB):16.8228864</t>
  </si>
  <si>
    <t>The CPU usage is: 100.0 RAM memory % used:96.7 RAM Used (GB):16.481718272</t>
  </si>
  <si>
    <t>The CPU usage is: 100.0 RAM memory % used:98.1 RAM Used (GB):16.711430144</t>
  </si>
  <si>
    <t>The CPU usage is: 100.0 RAM memory % used:98.0 RAM Used (GB):16.705933312</t>
  </si>
  <si>
    <t>The CPU usage is: 100.0 RAM memory % used:98.4 RAM Used (GB):16.764833792</t>
  </si>
  <si>
    <t>The CPU usage is: 0.0 RAM memory % used:97.9 RAM Used (GB):16.69115904</t>
  </si>
  <si>
    <t>The CPU usage is: 100.0 RAM memory % used:98.3 RAM Used (GB):16.755470336</t>
  </si>
  <si>
    <t>The CPU usage is: 100.0 RAM memory % used:98.5 RAM Used (GB):16.779337728</t>
  </si>
  <si>
    <t>The CPU usage is: 0.0 RAM memory % used:98.6 RAM Used (GB):16.802271232</t>
  </si>
  <si>
    <t>The CPU usage is: 100.0 RAM memory % used:97.9 RAM Used (GB):16.687693824</t>
  </si>
  <si>
    <t>The CPU usage is: 94.4 RAM memory % used:95.2 RAM Used (GB):16.230793216</t>
  </si>
  <si>
    <t>The CPU usage is: 0.0 RAM memory % used:97.9 RAM Used (GB):16.675037184</t>
  </si>
  <si>
    <t>The CPU usage is: 0.0 RAM memory % used:98.0 RAM Used (GB):16.70520832</t>
  </si>
  <si>
    <t>The CPU usage is: 100.0 RAM memory % used:98.1 RAM Used (GB):16.720900096</t>
  </si>
  <si>
    <t>The CPU usage is: 0.0 RAM memory % used:98.0 RAM Used (GB):16.700952576</t>
  </si>
  <si>
    <t>The CPU usage is: 0.0 RAM memory % used:96.9 RAM Used (GB):16.514883584</t>
  </si>
  <si>
    <t>The CPU usage is: 100.0 RAM memory % used:97.9 RAM Used (GB):16.679059456</t>
  </si>
  <si>
    <t>The CPU usage is: 0.0 RAM memory % used:98.8 RAM Used (GB):16.842637312</t>
  </si>
  <si>
    <t>The CPU usage is: 0.0 RAM memory % used:97.4 RAM Used (GB):16.589918208</t>
  </si>
  <si>
    <t>The CPU usage is: 100.0 RAM memory % used:98.2 RAM Used (GB):16.736219136</t>
  </si>
  <si>
    <t>The CPU usage is: 50.0 RAM memory % used:96.3 RAM Used (GB):16.4103168</t>
  </si>
  <si>
    <t>The CPU usage is: 0.0 RAM memory % used:97.8 RAM Used (GB):16.674054144</t>
  </si>
  <si>
    <t>The CPU usage is: 100.0 RAM memory % used:95.8 RAM Used (GB):16.328052736</t>
  </si>
  <si>
    <t>The CPU usage is: 100.0 RAM memory % used:97.9 RAM Used (GB):16.686968832</t>
  </si>
  <si>
    <t>The CPU usage is: 0.0 RAM memory % used:98.6 RAM Used (GB):16.80654336</t>
  </si>
  <si>
    <t>The CPU usage is: 100.0 RAM memory % used:97.6 RAM Used (GB):16.628658176</t>
  </si>
  <si>
    <t>The CPU usage is: 100.0 RAM memory % used:97.2 RAM Used (GB):16.565604352</t>
  </si>
  <si>
    <t>The CPU usage is: 100.0 RAM memory % used:99.5 RAM Used (GB):16.956358656</t>
  </si>
  <si>
    <t>The CPU usage is: 100.0 RAM memory % used:99.1 RAM Used (GB):16.880918528</t>
  </si>
  <si>
    <t>The CPU usage is: 100.0 RAM memory % used:99.0 RAM Used (GB):16.872062976</t>
  </si>
  <si>
    <t>The CPU usage is: 100.0 RAM memory % used:98.9 RAM Used (GB):16.851398656</t>
  </si>
  <si>
    <t>The CPU usage is: 0.0 RAM memory % used:97.5 RAM Used (GB):16.607502336</t>
  </si>
  <si>
    <t>The CPU usage is: 100.0 RAM memory % used:98.0 RAM Used (GB):16.692637696</t>
  </si>
  <si>
    <t>The CPU usage is: 100.0 RAM memory % used:95.7 RAM Used (GB):16.301740032</t>
  </si>
  <si>
    <t>The CPU usage is: 100.0 RAM memory % used:99.6 RAM Used (GB):16.977965056</t>
  </si>
  <si>
    <t>The CPU usage is: 100.0 RAM memory % used:97.7 RAM Used (GB):16.652828672</t>
  </si>
  <si>
    <t>The CPU usage is: 100.0 RAM memory % used:97.1 RAM Used (GB):16.550424576</t>
  </si>
  <si>
    <t>The CPU usage is: 0.0 RAM memory % used:97.0 RAM Used (GB):16.526749696</t>
  </si>
  <si>
    <t>The CPU usage is: 100.0 RAM memory % used:97.8 RAM Used (GB):16.663400448</t>
  </si>
  <si>
    <t>The CPU usage is: 100.0 RAM memory % used:97.4 RAM Used (GB):16.594427904</t>
  </si>
  <si>
    <t>The CPU usage is: 100.0 RAM memory % used:99.9 RAM Used (GB):17.022324736</t>
  </si>
  <si>
    <t>The CPU usage is: 0.0 RAM memory % used:97.1 RAM Used (GB):16.540106752</t>
  </si>
  <si>
    <t>The CPU usage is: 100.0 RAM memory % used:97.3 RAM Used (GB):16.583991296</t>
  </si>
  <si>
    <t>The CPU usage is: 0.0 RAM memory % used:96.7 RAM Used (GB):16.47396864</t>
  </si>
  <si>
    <t>The CPU usage is: 100.0 RAM memory % used:97.1 RAM Used (GB):16.552812544</t>
  </si>
  <si>
    <t>The CPU usage is: 100.0 RAM memory % used:97.3 RAM Used (GB):16.589254656</t>
  </si>
  <si>
    <t>The CPU usage is: 100.0 RAM memory % used:97.4 RAM Used (GB):16.60143616</t>
  </si>
  <si>
    <t>The CPU usage is: 100.0 RAM memory % used:96.6 RAM Used (GB):16.464953344</t>
  </si>
  <si>
    <t>The CPU usage is: 0.0 RAM memory % used:99.9 RAM Used (GB):17.020071936</t>
  </si>
  <si>
    <t>The CPU usage is: 100.0 RAM memory % used:97.7 RAM Used (GB):16.656809984</t>
  </si>
  <si>
    <t>The CPU usage is: 0.0 RAM memory % used:98.0 RAM Used (GB):16.697237504</t>
  </si>
  <si>
    <t>The CPU usage is: 100.0 RAM memory % used:97.6 RAM Used (GB):16.6322176</t>
  </si>
  <si>
    <t>The CPU usage is: 0.0 RAM memory % used:96.4 RAM Used (GB):16.419852288</t>
  </si>
  <si>
    <t>The CPU usage is: 66.7 RAM memory % used:96.9 RAM Used (GB):16.520384512</t>
  </si>
  <si>
    <t>The CPU usage is: 100.0 RAM memory % used:97.5 RAM Used (GB):16.610844672</t>
  </si>
  <si>
    <t>The CPU usage is: 0.0 RAM memory % used:97.8 RAM Used (GB):16.6626304</t>
  </si>
  <si>
    <t>The CPU usage is: 100.0 RAM memory % used:98.1 RAM Used (GB):16.718364672</t>
  </si>
  <si>
    <t>The CPU usage is: 0.0 RAM memory % used:98.1 RAM Used (GB):16.71641088</t>
  </si>
  <si>
    <t>The CPU usage is: 100.0 RAM memory % used:96.3 RAM Used (GB):16.405090304</t>
  </si>
  <si>
    <t>The CPU usage is: 100.0 RAM memory % used:96.7 RAM Used (GB):16.475062272</t>
  </si>
  <si>
    <t>The CPU usage is: 0.0 RAM memory % used:97.6 RAM Used (GB):16.631099392</t>
  </si>
  <si>
    <t>The CPU usage is: 0.0 RAM memory % used:97.0 RAM Used (GB):16.527982592</t>
  </si>
  <si>
    <t>The CPU usage is: 0.0 RAM memory % used:97.8 RAM Used (GB):16.658751488</t>
  </si>
  <si>
    <t>The CPU usage is: 100.0 RAM memory % used:99.4 RAM Used (GB):16.933093376</t>
  </si>
  <si>
    <t>The CPU usage is: 100.0 RAM memory % used:99.5 RAM Used (GB):16.957108224</t>
  </si>
  <si>
    <t>The CPU usage is: 0.0 RAM memory % used:99.4 RAM Used (GB):16.946520064</t>
  </si>
  <si>
    <t>The CPU usage is: 100.0 RAM memory % used:99.5 RAM Used (GB):16.949653504</t>
  </si>
  <si>
    <t>The CPU usage is: 0.0 RAM memory % used:99.5 RAM Used (GB):16.954044416</t>
  </si>
  <si>
    <t>The CPU usage is: 0.0 RAM memory % used:98.9 RAM Used (GB):16.846848</t>
  </si>
  <si>
    <t>The CPU usage is: 100.0 RAM memory % used:97.2 RAM Used (GB):16.566140928</t>
  </si>
  <si>
    <t>The CPU usage is: 100.0 RAM memory % used:98.4 RAM Used (GB):16.774025216</t>
  </si>
  <si>
    <t>The CPU usage is: 100.0 RAM memory % used:97.1 RAM Used (GB):16.552394752</t>
  </si>
  <si>
    <t>The CPU usage is: 100.0 RAM memory % used:97.5 RAM Used (GB):16.621236224</t>
  </si>
  <si>
    <t>The CPU usage is: 100.0 RAM memory % used:96.5 RAM Used (GB):16.442834944</t>
  </si>
  <si>
    <t>The CPU usage is: 100.0 RAM memory % used:96.6 RAM Used (GB):16.463351808</t>
  </si>
  <si>
    <t>The CPU usage is: 100.0 RAM memory % used:96.9 RAM Used (GB):16.51433472</t>
  </si>
  <si>
    <t>The CPU usage is: 100.0 RAM memory % used:98.3 RAM Used (GB):16.75470848</t>
  </si>
  <si>
    <t>The CPU usage is: 100.0 RAM memory % used:97.0 RAM Used (GB):16.533168128</t>
  </si>
  <si>
    <t>The CPU usage is: 100.0 RAM memory % used:97.8 RAM Used (GB):16.661774336</t>
  </si>
  <si>
    <t>The CPU usage is: 100.0 RAM memory % used:97.1 RAM Used (GB):16.55508992</t>
  </si>
  <si>
    <t>The CPU usage is: 0.0 RAM memory % used:97.6 RAM Used (GB):16.631668736</t>
  </si>
  <si>
    <t>The CPU usage is: 100.0 RAM memory % used:98.1 RAM Used (GB):16.723775488</t>
  </si>
  <si>
    <t>The CPU usage is: 100.0 RAM memory % used:96.6 RAM Used (GB):16.465772544</t>
  </si>
  <si>
    <t>The CPU usage is: 100.0 RAM memory % used:96.3 RAM Used (GB):16.409010176</t>
  </si>
  <si>
    <t>The CPU usage is: 100.0 RAM memory % used:97.1 RAM Used (GB):16.542027776</t>
  </si>
  <si>
    <t>The CPU usage is: 100.0 RAM memory % used:97.3 RAM Used (GB):16.587718656</t>
  </si>
  <si>
    <t>The CPU usage is: 100.0 RAM memory % used:97.2 RAM Used (GB):16.571858944</t>
  </si>
  <si>
    <t>The CPU usage is: 100.0 RAM memory % used:98.0 RAM Used (GB):16.693743616</t>
  </si>
  <si>
    <t>The CPU usage is: 100.0 RAM memory % used:99.5 RAM Used (GB):16.962203648</t>
  </si>
  <si>
    <t>The CPU usage is: 100.0 RAM memory % used:95.2 RAM Used (GB):16.222449664</t>
  </si>
  <si>
    <t>The CPU usage is: 100.0 RAM memory % used:97.9 RAM Used (GB):16.69173248</t>
  </si>
  <si>
    <t>The CPU usage is: 100.0 RAM memory % used:98.0 RAM Used (GB):16.707928064</t>
  </si>
  <si>
    <t>The CPU usage is: 100.0 RAM memory % used:98.0 RAM Used (GB):16.694358016</t>
  </si>
  <si>
    <t>The CPU usage is: 100.0 RAM memory % used:98.6 RAM Used (GB):16.808275968</t>
  </si>
  <si>
    <t>The CPU usage is: 0.0 RAM memory % used:98.0 RAM Used (GB):16.703832064</t>
  </si>
  <si>
    <t>The CPU usage is: 100.0 RAM memory % used:98.3 RAM Used (GB):16.759349248</t>
  </si>
  <si>
    <t>The CPU usage is: 0.0 RAM memory % used:98.2 RAM Used (GB):16.7415808</t>
  </si>
  <si>
    <t>The CPU usage is: 0.0 RAM memory % used:98.3 RAM Used (GB):16.75599872</t>
  </si>
  <si>
    <t>The CPU usage is: 100.0 RAM memory % used:96.3 RAM Used (GB):16.405991424</t>
  </si>
  <si>
    <t>The CPU usage is: 100.0 RAM memory % used:98.4 RAM Used (GB):16.761577472</t>
  </si>
  <si>
    <t>The CPU usage is: 100.0 RAM memory % used:98.4 RAM Used (GB):16.767320064</t>
  </si>
  <si>
    <t>The CPU usage is: 0.0 RAM memory % used:96.8 RAM Used (GB):16.501481472</t>
  </si>
  <si>
    <t>The CPU usage is: 100.0 RAM memory % used:99.0 RAM Used (GB):16.864980992</t>
  </si>
  <si>
    <t>The CPU usage is: 0.0 RAM memory % used:99.0 RAM Used (GB):16.875298816</t>
  </si>
  <si>
    <t>The CPU usage is: 100.0 RAM memory % used:98.9 RAM Used (GB):16.853815296</t>
  </si>
  <si>
    <t>The CPU usage is: 0.0 RAM memory % used:98.8 RAM Used (GB):16.841879552</t>
  </si>
  <si>
    <t>The CPU usage is: 100.0 RAM memory % used:98.2 RAM Used (GB):16.72728576</t>
  </si>
  <si>
    <t>The CPU usage is: 100.0 RAM memory % used:100.0 RAM Used (GB):17.037504512</t>
  </si>
  <si>
    <t>The CPU usage is: 100.0 RAM memory % used:96.9 RAM Used (GB):16.512925696</t>
  </si>
  <si>
    <t>The CPU usage is: 100.0 RAM memory % used:96.9 RAM Used (GB):16.513462272</t>
  </si>
  <si>
    <t>The CPU usage is: 100.0 RAM memory % used:97.1 RAM Used (GB):16.544182272</t>
  </si>
  <si>
    <t>The CPU usage is: 100.0 RAM memory % used:97.1 RAM Used (GB):16.549199872</t>
  </si>
  <si>
    <t>The CPU usage is: 100.0 RAM memory % used:97.1 RAM Used (GB):16.538783744</t>
  </si>
  <si>
    <t>The CPU usage is: 100.0 RAM memory % used:99.9 RAM Used (GB):17.026707456</t>
  </si>
  <si>
    <t>The CPU usage is: 100.0 RAM memory % used:96.8 RAM Used (GB):16.489078784</t>
  </si>
  <si>
    <t>The CPU usage is: 0.0 RAM memory % used:97.3 RAM Used (GB):16.581971968</t>
  </si>
  <si>
    <t>The CPU usage is: 0.0 RAM memory % used:97.2 RAM Used (GB):16.563556352</t>
  </si>
  <si>
    <t>The CPU usage is: 0.0 RAM memory % used:96.9 RAM Used (GB):16.51040256</t>
  </si>
  <si>
    <t>The CPU usage is: 100.0 RAM memory % used:97.3 RAM Used (GB):16.589574144</t>
  </si>
  <si>
    <t>The CPU usage is: 100.0 RAM memory % used:97.5 RAM Used (GB):16.619585536</t>
  </si>
  <si>
    <t>The CPU usage is: 100.0 RAM memory % used:98.1 RAM Used (GB):16.709623808</t>
  </si>
  <si>
    <t>The CPU usage is: 100.0 RAM memory % used:96.3 RAM Used (GB):16.408223744</t>
  </si>
  <si>
    <t>The CPU usage is: 100.0 RAM memory % used:96.6 RAM Used (GB):16.454135808</t>
  </si>
  <si>
    <t>The CPU usage is: 0.0 RAM memory % used:96.8 RAM Used (GB):16.504016896</t>
  </si>
  <si>
    <t>The CPU usage is: 100.0 RAM memory % used:97.0 RAM Used (GB):16.524648448</t>
  </si>
  <si>
    <t>The CPU usage is: 100.0 RAM memory % used:97.2 RAM Used (GB):16.561106944</t>
  </si>
  <si>
    <t>The CPU usage is: 100.0 RAM memory % used:97.9 RAM Used (GB):16.675127296</t>
  </si>
  <si>
    <t>The CPU usage is: 100.0 RAM memory % used:96.7 RAM Used (GB):16.485388288</t>
  </si>
  <si>
    <t>The CPU usage is: 0.0 RAM memory % used:96.8 RAM Used (GB):16.497053696</t>
  </si>
  <si>
    <t>The CPU usage is: 100.0 RAM memory % used:96.6 RAM Used (GB):16.458489856</t>
  </si>
  <si>
    <t>The CPU usage is: 100.0 RAM memory % used:97.1 RAM Used (GB):16.548605952</t>
  </si>
  <si>
    <t>The CPU usage is: 100.0 RAM memory % used:97.6 RAM Used (GB):16.627929088</t>
  </si>
  <si>
    <t>The CPU usage is: 100.0 RAM memory % used:97.5 RAM Used (GB):16.621359104</t>
  </si>
  <si>
    <t>The CPU usage is: 100.0 RAM memory % used:98.5 RAM Used (GB):16.788033536</t>
  </si>
  <si>
    <t>The CPU usage is: 0.0 RAM memory % used:96.6 RAM Used (GB):16.463941632</t>
  </si>
  <si>
    <t>The CPU usage is: 0.0 RAM memory % used:96.9 RAM Used (GB):16.519479296</t>
  </si>
  <si>
    <t>The CPU usage is: 0.0 RAM memory % used:97.1 RAM Used (GB):16.553992192</t>
  </si>
  <si>
    <t>The CPU usage is: 100.0 RAM memory % used:97.3 RAM Used (GB):16.579162112</t>
  </si>
  <si>
    <t>The CPU usage is: 100.0 RAM memory % used:96.4 RAM Used (GB):16.426295296</t>
  </si>
  <si>
    <t>The CPU usage is: 100.0 RAM memory % used:99.7 RAM Used (GB):16.987398144</t>
  </si>
  <si>
    <t>The CPU usage is: 100.0 RAM memory % used:96.7 RAM Used (GB):16.479076352</t>
  </si>
  <si>
    <t>The CPU usage is: 100.0 RAM memory % used:98.4 RAM Used (GB):16.765190144</t>
  </si>
  <si>
    <t>The CPU usage is: 100.0 RAM memory % used:96.7 RAM Used (GB):16.47501312</t>
  </si>
  <si>
    <t>The CPU usage is: 100.0 RAM memory % used:96.9 RAM Used (GB):16.510406656</t>
  </si>
  <si>
    <t>The CPU usage is: 100.0 RAM memory % used:96.7 RAM Used (GB):16.47376384</t>
  </si>
  <si>
    <t>The CPU usage is: 0.0 RAM memory % used:98.0 RAM Used (GB):16.696025088</t>
  </si>
  <si>
    <t>The CPU usage is: 100.0 RAM memory % used:96.9 RAM Used (GB):16.513609728</t>
  </si>
  <si>
    <t>The CPU usage is: 100.0 RAM memory % used:97.4 RAM Used (GB):16.596856832</t>
  </si>
  <si>
    <t>The CPU usage is: 100.0 RAM memory % used:97.1 RAM Used (GB):16.551747584</t>
  </si>
  <si>
    <t>The CPU usage is: 0.0 RAM memory % used:99.3 RAM Used (GB):16.921305088</t>
  </si>
  <si>
    <t>The CPU usage is: 100.0 RAM memory % used:96.6 RAM Used (GB):16.4646912</t>
  </si>
  <si>
    <t>The CPU usage is: 100.0 RAM memory % used:98.2 RAM Used (GB):16.728481792</t>
  </si>
  <si>
    <t>The CPU usage is: 100.0 RAM memory % used:96.0 RAM Used (GB):16.36151296</t>
  </si>
  <si>
    <t>The CPU usage is: 0.0 RAM memory % used:97.1 RAM Used (GB):16.539365376</t>
  </si>
  <si>
    <t>The CPU usage is: 100.0 RAM memory % used:96.5 RAM Used (GB):16.44673024</t>
  </si>
  <si>
    <t>The CPU usage is: 100.0 RAM memory % used:97.0 RAM Used (GB):16.533966848</t>
  </si>
  <si>
    <t>The CPU usage is: 100.0 RAM memory % used:96.5 RAM Used (GB):16.447045632</t>
  </si>
  <si>
    <t>The CPU usage is: 100.0 RAM memory % used:98.2 RAM Used (GB):16.735428608</t>
  </si>
  <si>
    <t>The CPU usage is: 100.0 RAM memory % used:96.6 RAM Used (GB):16.467726336</t>
  </si>
  <si>
    <t>The CPU usage is: 100.0 RAM memory % used:96.8 RAM Used (GB):16.494649344</t>
  </si>
  <si>
    <t>The CPU usage is: 100.0 RAM memory % used:97.1 RAM Used (GB):16.54990848</t>
  </si>
  <si>
    <t>The CPU usage is: 100.0 RAM memory % used:97.2 RAM Used (GB):16.563724288</t>
  </si>
  <si>
    <t>The CPU usage is: 100.0 RAM memory % used:97.1 RAM Used (GB):16.54560768</t>
  </si>
  <si>
    <t>The CPU usage is: 100.0 RAM memory % used:98.9 RAM Used (GB):16.84846592</t>
  </si>
  <si>
    <t>The CPU usage is: 100.0 RAM memory % used:96.6 RAM Used (GB):16.469536768</t>
  </si>
  <si>
    <t>The CPU usage is: 100.0 RAM memory % used:97.4 RAM Used (GB):16.590848</t>
  </si>
  <si>
    <t>The CPU usage is: 100.0 RAM memory % used:96.6 RAM Used (GB):16.454529024</t>
  </si>
  <si>
    <t>The CPU usage is: 100.0 RAM memory % used:96.2 RAM Used (GB):16.400515072</t>
  </si>
  <si>
    <t>The CPU usage is: 0.0 RAM memory % used:98.6 RAM Used (GB):16.802238464</t>
  </si>
  <si>
    <t>The CPU usage is: 100.0 RAM memory % used:98.2 RAM Used (GB):16.728756224</t>
  </si>
  <si>
    <t>The CPU usage is: 0.0 RAM memory % used:97.0 RAM Used (GB):16.528433152</t>
  </si>
  <si>
    <t>The CPU usage is: 0.0 RAM memory % used:97.2 RAM Used (GB):16.556408832</t>
  </si>
  <si>
    <t>The CPU usage is: 100.0 RAM memory % used:96.7 RAM Used (GB):16.485797888</t>
  </si>
  <si>
    <t>The CPU usage is: 0.0 RAM memory % used:96.9 RAM Used (GB):16.50614272</t>
  </si>
  <si>
    <t>The CPU usage is: 100.0 RAM memory % used:97.3 RAM Used (GB):16.588476416</t>
  </si>
  <si>
    <t>The CPU usage is: 100.0 RAM memory % used:96.4 RAM Used (GB):16.428679168</t>
  </si>
  <si>
    <t>The CPU usage is: 0.0 RAM memory % used:96.7 RAM Used (GB):16.474750976</t>
  </si>
  <si>
    <t>The CPU usage is: 100.0 RAM memory % used:96.9 RAM Used (GB):16.511578112</t>
  </si>
  <si>
    <t>The CPU usage is: 100.0 RAM memory % used:98.6 RAM Used (GB):16.801878016</t>
  </si>
  <si>
    <t>The CPU usage is: 0.0 RAM memory % used:97.9 RAM Used (GB):16.679907328</t>
  </si>
  <si>
    <t>The CPU usage is: 100.0 RAM memory % used:96.3 RAM Used (GB):16.408010752</t>
  </si>
  <si>
    <t>The CPU usage is: 100.0 RAM memory % used:96.3 RAM Used (GB):16.416759808</t>
  </si>
  <si>
    <t>The CPU usage is: 0.0 RAM memory % used:96.8 RAM Used (GB):16.49854464</t>
  </si>
  <si>
    <t>The CPU usage is: 100.0 RAM memory % used:97.5 RAM Used (GB):16.607719424</t>
  </si>
  <si>
    <t>The CPU usage is: 0.0 RAM memory % used:96.8 RAM Used (GB):16.503914496</t>
  </si>
  <si>
    <t>The CPU usage is: 100.0 RAM memory % used:97.6 RAM Used (GB):16.62713856</t>
  </si>
  <si>
    <t>The CPU usage is: 0.0 RAM memory % used:96.5 RAM Used (GB):16.445816832</t>
  </si>
  <si>
    <t>The CPU usage is: 0.0 RAM memory % used:95.7 RAM Used (GB):16.312201216</t>
  </si>
  <si>
    <t>The CPU usage is: 100.0 RAM memory % used:96.3 RAM Used (GB):16.407629824</t>
  </si>
  <si>
    <t>The CPU usage is: 0.0 RAM memory % used:98.4 RAM Used (GB):16.7739392</t>
  </si>
  <si>
    <t>The CPU usage is: 100.0 RAM memory % used:98.4 RAM Used (GB):16.766734336</t>
  </si>
  <si>
    <t>The CPU usage is: 0.0 RAM memory % used:99.9 RAM Used (GB):17.018130432</t>
  </si>
  <si>
    <t>The CPU usage is: 100.0 RAM memory % used:97.1 RAM Used (GB):16.546787328</t>
  </si>
  <si>
    <t>The CPU usage is: 100.0 RAM memory % used:98.0 RAM Used (GB):16.705445888</t>
  </si>
  <si>
    <t>The CPU usage is: 0.0 RAM memory % used:97.8 RAM Used (GB):16.664211456</t>
  </si>
  <si>
    <t>The CPU usage is: 50.0 RAM memory % used:96.7 RAM Used (GB):16.472682496</t>
  </si>
  <si>
    <t>The CPU usage is: 100.0 RAM memory % used:97.4 RAM Used (GB):16.604925952</t>
  </si>
  <si>
    <t>The CPU usage is: 100.0 RAM memory % used:97.2 RAM Used (GB):16.568049664</t>
  </si>
  <si>
    <t>The CPU usage is: 100.0 RAM memory % used:97.4 RAM Used (GB):16.601427968</t>
  </si>
  <si>
    <t>The CPU usage is: 0.0 RAM memory % used:98.5 RAM Used (GB):16.781594624</t>
  </si>
  <si>
    <t>The CPU usage is: 100.0 RAM memory % used:97.8 RAM Used (GB):16.671653888</t>
  </si>
  <si>
    <t>The CPU usage is: 100.0 RAM memory % used:98.1 RAM Used (GB):16.719335424</t>
  </si>
  <si>
    <t>The CPU usage is: 100.0 RAM memory % used:98.6 RAM Used (GB):16.800858112</t>
  </si>
  <si>
    <t>The CPU usage is: 100.0 RAM memory % used:98.7 RAM Used (GB):16.811945984</t>
  </si>
  <si>
    <t>The CPU usage is: 100.0 RAM memory % used:96.3 RAM Used (GB):16.407973888</t>
  </si>
  <si>
    <t>The CPU usage is: 0.0 RAM memory % used:96.3 RAM Used (GB):16.415145984</t>
  </si>
  <si>
    <t>The CPU usage is: 100.0 RAM memory % used:96.7 RAM Used (GB):16.478273536</t>
  </si>
  <si>
    <t>The CPU usage is: 100.0 RAM memory % used:96.6 RAM Used (GB):16.4640768</t>
  </si>
  <si>
    <t>The CPU usage is: 0.0 RAM memory % used:97.0 RAM Used (GB):16.53645312</t>
  </si>
  <si>
    <t>The CPU usage is: 100.0 RAM memory % used:97.0 RAM Used (GB):16.534573056</t>
  </si>
  <si>
    <t>The CPU usage is: 100.0 RAM memory % used:96.9 RAM Used (GB):16.5164032</t>
  </si>
  <si>
    <t>The CPU usage is: 0.0 RAM memory % used:96.8 RAM Used (GB):16.503627776</t>
  </si>
  <si>
    <t>The CPU usage is: 0.0 RAM memory % used:96.9 RAM Used (GB):16.509497344</t>
  </si>
  <si>
    <t>The CPU usage is: 100.0 RAM memory % used:97.0 RAM Used (GB):16.532918272</t>
  </si>
  <si>
    <t>The CPU usage is: 100.0 RAM memory % used:100.0 RAM Used (GB):17.037889536</t>
  </si>
  <si>
    <t>The CPU usage is: 100.0 RAM memory % used:96.8 RAM Used (GB):16.493084672</t>
  </si>
  <si>
    <t>The CPU usage is: 100.0 RAM memory % used:97.0 RAM Used (GB):16.52373504</t>
  </si>
  <si>
    <t>The CPU usage is: 100.0 RAM memory % used:96.5 RAM Used (GB):16.441204736</t>
  </si>
  <si>
    <t>The CPU usage is: 0.0 RAM memory % used:96.6 RAM Used (GB):16.460484608</t>
  </si>
  <si>
    <t>The CPU usage is: 100.0 RAM memory % used:97.2 RAM Used (GB):16.572346368</t>
  </si>
  <si>
    <t>The CPU usage is: 0.0 RAM memory % used:96.6 RAM Used (GB):16.45887488</t>
  </si>
  <si>
    <t>The CPU usage is: 0.0 RAM memory % used:97.2 RAM Used (GB):16.56858624</t>
  </si>
  <si>
    <t>The CPU usage is: 100.0 RAM memory % used:97.5 RAM Used (GB):16.621289472</t>
  </si>
  <si>
    <t>The CPU usage is: 100.0 RAM memory % used:98.1 RAM Used (GB):16.721854464</t>
  </si>
  <si>
    <t>The CPU usage is: 100.0 RAM memory % used:96.2 RAM Used (GB):16.38971392</t>
  </si>
  <si>
    <t>The CPU usage is: 0.0 RAM memory % used:96.4 RAM Used (GB):16.426582016</t>
  </si>
  <si>
    <t>The CPU usage is: 0.0 RAM memory % used:96.9 RAM Used (GB):16.505458688</t>
  </si>
  <si>
    <t>The CPU usage is: 100.0 RAM memory % used:97.9 RAM Used (GB):16.691826688</t>
  </si>
  <si>
    <t>The CPU usage is: 100.0 RAM memory % used:97.4 RAM Used (GB):16.590032896</t>
  </si>
  <si>
    <t>The CPU usage is: 100.0 RAM memory % used:98.1 RAM Used (GB):16.713445376</t>
  </si>
  <si>
    <t>The CPU usage is: 100.0 RAM memory % used:98.2 RAM Used (GB):16.730558464</t>
  </si>
  <si>
    <t>The CPU usage is: 100.0 RAM memory % used:98.3 RAM Used (GB):16.747307008</t>
  </si>
  <si>
    <t>The CPU usage is: 100.0 RAM memory % used:98.0 RAM Used (GB):16.699478016</t>
  </si>
  <si>
    <t>The CPU usage is: 0.0 RAM memory % used:98.8 RAM Used (GB):16.838483968</t>
  </si>
  <si>
    <t>The CPU usage is: 100.0 RAM memory % used:99.4 RAM Used (GB):16.93396992</t>
  </si>
  <si>
    <t>The CPU usage is: 0.0 RAM memory % used:99.2 RAM Used (GB):16.898899968</t>
  </si>
  <si>
    <t>The CPU usage is: 100.0 RAM memory % used:99.3 RAM Used (GB):16.926220288</t>
  </si>
  <si>
    <t>The CPU usage is: 100.0 RAM memory % used:99.3 RAM Used (GB):16.9184256</t>
  </si>
  <si>
    <t>The CPU usage is: 100.0 RAM memory % used:98.3 RAM Used (GB):16.759160832</t>
  </si>
  <si>
    <t>The CPU usage is: 0.0 RAM memory % used:95.7 RAM Used (GB):16.30070784</t>
  </si>
  <si>
    <t>The CPU usage is: 100.0 RAM memory % used:96.2 RAM Used (GB):16.400162816</t>
  </si>
  <si>
    <t>The CPU usage is: 0.0 RAM memory % used:96.6 RAM Used (GB):16.464658432</t>
  </si>
  <si>
    <t>The CPU usage is: 0.0 RAM memory % used:98.0 RAM Used (GB):16.69328896</t>
  </si>
  <si>
    <t>The CPU usage is: 100.0 RAM memory % used:97.6 RAM Used (GB):16.63004672</t>
  </si>
  <si>
    <t>The CPU usage is: 100.0 RAM memory % used:98.5 RAM Used (GB):16.792797184</t>
  </si>
  <si>
    <t>The CPU usage is: 100.0 RAM memory % used:96.9 RAM Used (GB):16.508076032</t>
  </si>
  <si>
    <t>The CPU usage is: 100.0 RAM memory % used:98.2 RAM Used (GB):16.728219648</t>
  </si>
  <si>
    <t>The CPU usage is: 100.0 RAM memory % used:97.9 RAM Used (GB):16.690511872</t>
  </si>
  <si>
    <t>The CPU usage is: 100.0 RAM memory % used:98.0 RAM Used (GB):16.70488064</t>
  </si>
  <si>
    <t>The CPU usage is: 0.0 RAM memory % used:96.3 RAM Used (GB):16.403423232</t>
  </si>
  <si>
    <t>The CPU usage is: 100.0 RAM memory % used:97.9 RAM Used (GB):16.688738304</t>
  </si>
  <si>
    <t>The CPU usage is: 100.0 RAM memory % used:98.2 RAM Used (GB):16.731860992</t>
  </si>
  <si>
    <t>The CPU usage is: 100.0 RAM memory % used:96.1 RAM Used (GB):16.384647168</t>
  </si>
  <si>
    <t>The CPU usage is: 100.0 RAM memory % used:97.0 RAM Used (GB):16.525041664</t>
  </si>
  <si>
    <t>The CPU usage is: 0.0 RAM memory % used:98.0 RAM Used (GB):16.696918016</t>
  </si>
  <si>
    <t>The CPU usage is: 100.0 RAM memory % used:97.9 RAM Used (GB):16.6915072</t>
  </si>
  <si>
    <t>The CPU usage is: 100.0 RAM memory % used:98.0 RAM Used (GB):16.704708608</t>
  </si>
  <si>
    <t>The CPU usage is: 100.0 RAM memory % used:98.1 RAM Used (GB):16.717656064</t>
  </si>
  <si>
    <t>The CPU usage is: 0.0 RAM memory % used:99.4 RAM Used (GB):16.945639424</t>
  </si>
  <si>
    <t>The CPU usage is: 100.0 RAM memory % used:97.7 RAM Used (GB):16.656244736</t>
  </si>
  <si>
    <t>The CPU usage is: 100.0 RAM memory % used:98.1 RAM Used (GB):16.723038208</t>
  </si>
  <si>
    <t>The CPU usage is: 100.0 RAM memory % used:96.9 RAM Used (GB):16.51675136</t>
  </si>
  <si>
    <t>The CPU usage is: 100.0 RAM memory % used:96.6 RAM Used (GB):16.460570624</t>
  </si>
  <si>
    <t>The CPU usage is: 100.0 RAM memory % used:96.9 RAM Used (GB):16.516108288</t>
  </si>
  <si>
    <t>The CPU usage is: 0.0 RAM memory % used:96.7 RAM Used (GB):16.479981568</t>
  </si>
  <si>
    <t>The CPU usage is: 100.0 RAM memory % used:97.1 RAM Used (GB):16.542777344</t>
  </si>
  <si>
    <t>The CPU usage is: 0.0 RAM memory % used:97.6 RAM Used (GB):16.637222912</t>
  </si>
  <si>
    <t>The CPU usage is: 0.0 RAM memory % used:100.0 RAM Used (GB):17.035030528</t>
  </si>
  <si>
    <t>The CPU usage is: 0.0 RAM memory % used:96.9 RAM Used (GB):16.51802112</t>
  </si>
  <si>
    <t>The CPU usage is: 100.0 RAM memory % used:97.4 RAM Used (GB):16.590905344</t>
  </si>
  <si>
    <t>The CPU usage is: 100.0 RAM memory % used:97.2 RAM Used (GB):16.56143872</t>
  </si>
  <si>
    <t>The CPU usage is: 100.0 RAM memory % used:99.9 RAM Used (GB):17.023504384</t>
  </si>
  <si>
    <t>The CPU usage is: 100.0 RAM memory % used:96.2 RAM Used (GB):16.393469952</t>
  </si>
  <si>
    <t>The CPU usage is: 100.0 RAM memory % used:96.6 RAM Used (GB):16.465846272</t>
  </si>
  <si>
    <t>The CPU usage is: 100.0 RAM memory % used:97.7 RAM Used (GB):16.650706944</t>
  </si>
  <si>
    <t>The CPU usage is: 100.0 RAM memory % used:99.1 RAM Used (GB):16.882704384</t>
  </si>
  <si>
    <t>The CPU usage is: 0.0 RAM memory % used:96.9 RAM Used (GB):16.510963712</t>
  </si>
  <si>
    <t>The CPU usage is: 0.0 RAM memory % used:98.5 RAM Used (GB):16.788451328</t>
  </si>
  <si>
    <t>The CPU usage is: 100.0 RAM memory % used:96.5 RAM Used (GB):16.45275136</t>
  </si>
  <si>
    <t>The CPU usage is: 0.0 RAM memory % used:96.6 RAM Used (GB):16.456818688</t>
  </si>
  <si>
    <t>The CPU usage is: 100.0 RAM memory % used:98.1 RAM Used (GB):16.710422528</t>
  </si>
  <si>
    <t>The CPU usage is: 94.0 RAM memory % used:97.3 RAM Used (GB):16.580153344</t>
  </si>
  <si>
    <t>The CPU usage is: 100.0 RAM memory % used:98.0 RAM Used (GB):16.698662912</t>
  </si>
  <si>
    <t>The CPU usage is: 0.0 RAM memory % used:98.0 RAM Used (GB):16.699482112</t>
  </si>
  <si>
    <t>The CPU usage is: 0.0 RAM memory % used:98.0 RAM Used (GB):16.706699264</t>
  </si>
  <si>
    <t>The CPU usage is: 100.0 RAM memory % used:97.7 RAM Used (GB):16.65685504</t>
  </si>
  <si>
    <t>The CPU usage is: 0.0 RAM memory % used:98.5 RAM Used (GB):16.780075008</t>
  </si>
  <si>
    <t>The CPU usage is: 0.0 RAM memory % used:96.1 RAM Used (GB):16.373886976</t>
  </si>
  <si>
    <t>The CPU usage is: 0.0 RAM memory % used:97.4 RAM Used (GB):16.597807104</t>
  </si>
  <si>
    <t>The CPU usage is: 100.0 RAM memory % used:97.9 RAM Used (GB):16.684695552</t>
  </si>
  <si>
    <t>The CPU usage is: 100.0 RAM memory % used:98.0 RAM Used (GB):16.69453824</t>
  </si>
  <si>
    <t>The CPU usage is: 100.0 RAM memory % used:97.9 RAM Used (GB):16.682463232</t>
  </si>
  <si>
    <t>The CPU usage is: 100.0 RAM memory % used:95.8 RAM Used (GB):16.32806912</t>
  </si>
  <si>
    <t>The CPU usage is: 100.0 RAM memory % used:97.9 RAM Used (GB):16.680116224</t>
  </si>
  <si>
    <t>The CPU usage is: 100.0 RAM memory % used:97.9 RAM Used (GB):16.688713728</t>
  </si>
  <si>
    <t>The CPU usage is: 100.0 RAM memory % used:96.9 RAM Used (GB):16.512622592</t>
  </si>
  <si>
    <t>The CPU usage is: 100.0 RAM memory % used:98.0 RAM Used (GB):16.70303744</t>
  </si>
  <si>
    <t>The CPU usage is: 100.0 RAM memory % used:97.8 RAM Used (GB):16.664526848</t>
  </si>
  <si>
    <t>The CPU usage is: 100.0 RAM memory % used:98.0 RAM Used (GB):16.703778816</t>
  </si>
  <si>
    <t>The CPU usage is: 100.0 RAM memory % used:98.1 RAM Used (GB):16.710012928</t>
  </si>
  <si>
    <t>The CPU usage is: 100.0 RAM memory % used:97.9 RAM Used (GB):16.677687296</t>
  </si>
  <si>
    <t>The CPU usage is: 0.0 RAM memory % used:98.1 RAM Used (GB):16.7109632</t>
  </si>
  <si>
    <t>The CPU usage is: 100.0 RAM memory % used:97.1 RAM Used (GB):16.544002048</t>
  </si>
  <si>
    <t>The CPU usage is: 100.0 RAM memory % used:97.1 RAM Used (GB):16.550514688</t>
  </si>
  <si>
    <t>The CPU usage is: 100.0 RAM memory % used:97.2 RAM Used (GB):16.568119296</t>
  </si>
  <si>
    <t>The CPU usage is: 100.0 RAM memory % used:96.5 RAM Used (GB):16.448466944</t>
  </si>
  <si>
    <t>The CPU usage is: 100.0 RAM memory % used:98.7 RAM Used (GB):16.814800896</t>
  </si>
  <si>
    <t>The CPU usage is: 100.0 RAM memory % used:99.9 RAM Used (GB):17.031315456</t>
  </si>
  <si>
    <t>The CPU usage is: 100.0 RAM memory % used:97.2 RAM Used (GB):16.5559296</t>
  </si>
  <si>
    <t>The CPU usage is: 0.0 RAM memory % used:97.1 RAM Used (GB):16.547422208</t>
  </si>
  <si>
    <t>The CPU usage is: 100.0 RAM memory % used:98.3 RAM Used (GB):16.757108736</t>
  </si>
  <si>
    <t>The CPU usage is: 100.0 RAM memory % used:97.0 RAM Used (GB):16.535646208</t>
  </si>
  <si>
    <t>The CPU usage is: 100.0 RAM memory % used:97.0 RAM Used (GB):16.532508672</t>
  </si>
  <si>
    <t>The CPU usage is: 100.0 RAM memory % used:96.9 RAM Used (GB):16.519184384</t>
  </si>
  <si>
    <t>The CPU usage is: 100.0 RAM memory % used:97.4 RAM Used (GB):16.593788928</t>
  </si>
  <si>
    <t>The CPU usage is: 0.0 RAM memory % used:97.4 RAM Used (GB):16.596127744</t>
  </si>
  <si>
    <t>The CPU usage is: 0.0 RAM memory % used:96.8 RAM Used (GB):16.488247296</t>
  </si>
  <si>
    <t>The CPU usage is: 100.0 RAM memory % used:97.2 RAM Used (GB):16.565354496</t>
  </si>
  <si>
    <t>The CPU usage is: 0.0 RAM memory % used:97.5 RAM Used (GB):16.610422784</t>
  </si>
  <si>
    <t>The CPU usage is: 0.0 RAM memory % used:97.5 RAM Used (GB):16.620941312</t>
  </si>
  <si>
    <t>The CPU usage is: 100.0 RAM memory % used:97.8 RAM Used (GB):16.669548544</t>
  </si>
  <si>
    <t>The CPU usage is: 100.0 RAM memory % used:97.6 RAM Used (GB):16.636153856</t>
  </si>
  <si>
    <t>The CPU usage is: 0.0 RAM memory % used:98.0 RAM Used (GB):16.69689344</t>
  </si>
  <si>
    <t>The CPU usage is: 100.0 RAM memory % used:98.7 RAM Used (GB):16.813416448</t>
  </si>
  <si>
    <t>The CPU usage is: 100.0 RAM memory % used:97.9 RAM Used (GB):16.67919872</t>
  </si>
  <si>
    <t>The CPU usage is: 100.0 RAM memory % used:96.9 RAM Used (GB):16.507744256</t>
  </si>
  <si>
    <t>The CPU usage is: 100.0 RAM memory % used:97.5 RAM Used (GB):16.613531648</t>
  </si>
  <si>
    <t>The CPU usage is: 100.0 RAM memory % used:97.7 RAM Used (GB):16.644947968</t>
  </si>
  <si>
    <t>The CPU usage is: 0.0 RAM memory % used:97.9 RAM Used (GB):16.678445056</t>
  </si>
  <si>
    <t>The CPU usage is: 100.0 RAM memory % used:98.6 RAM Used (GB):16.798429184</t>
  </si>
  <si>
    <t>The CPU usage is: 100.0 RAM memory % used:96.6 RAM Used (GB):16.465936384</t>
  </si>
  <si>
    <t>The CPU usage is: 100.0 RAM memory % used:98.3 RAM Used (GB):16.757420032</t>
  </si>
  <si>
    <t>The CPU usage is: 100.0 RAM memory % used:97.5 RAM Used (GB):16.613113856</t>
  </si>
  <si>
    <t>The CPU usage is: 100.0 RAM memory % used:97.8 RAM Used (GB):16.664285184</t>
  </si>
  <si>
    <t>The CPU usage is: 100.0 RAM memory % used:97.3 RAM Used (GB):16.576212992</t>
  </si>
  <si>
    <t>The CPU usage is: 100.0 RAM memory % used:98.7 RAM Used (GB):16.825380864</t>
  </si>
  <si>
    <t>The CPU usage is: 100.0 RAM memory % used:96.0 RAM Used (GB):16.35516416</t>
  </si>
  <si>
    <t>The CPU usage is: 100.0 RAM memory % used:96.5 RAM Used (GB):16.452083712</t>
  </si>
  <si>
    <t>The CPU usage is: 0.0 RAM memory % used:97.0 RAM Used (GB):16.527151104</t>
  </si>
  <si>
    <t>The CPU usage is: 100.0 RAM memory % used:97.3 RAM Used (GB):16.573485056</t>
  </si>
  <si>
    <t>The CPU usage is: 0.0 RAM memory % used:96.5 RAM Used (GB):16.451883008</t>
  </si>
  <si>
    <t>The CPU usage is: 100.0 RAM memory % used:95.4 RAM Used (GB):16.255311872</t>
  </si>
  <si>
    <t>The CPU usage is: 100.0 RAM memory % used:99.5 RAM Used (GB):16.954843136</t>
  </si>
  <si>
    <t>The CPU usage is: 100.0 RAM memory % used:96.7 RAM Used (GB):16.47071232</t>
  </si>
  <si>
    <t>The CPU usage is: 0.0 RAM memory % used:96.9 RAM Used (GB):16.521433088</t>
  </si>
  <si>
    <t>The CPU usage is: 100.0 RAM memory % used:97.5 RAM Used (GB):16.621989888</t>
  </si>
  <si>
    <t>The CPU usage is: 0.0 RAM memory % used:96.5 RAM Used (GB):16.44777472</t>
  </si>
  <si>
    <t>The CPU usage is: 100.0 RAM memory % used:98.4 RAM Used (GB):16.770244608</t>
  </si>
  <si>
    <t>The CPU usage is: 100.0 RAM memory % used:98.1 RAM Used (GB):16.714969088</t>
  </si>
  <si>
    <t>The CPU usage is: 100.0 RAM memory % used:96.7 RAM Used (GB):16.480088064</t>
  </si>
  <si>
    <t>The CPU usage is: 100.0 RAM memory % used:96.8 RAM Used (GB):16.503488512</t>
  </si>
  <si>
    <t>The CPU usage is: 100.0 RAM memory % used:97.5 RAM Used (GB):16.62070784</t>
  </si>
  <si>
    <t>The CPU usage is: 0.0 RAM memory % used:97.4 RAM Used (GB):16.590290944</t>
  </si>
  <si>
    <t>The CPU usage is: 100.0 RAM memory % used:97.8 RAM Used (GB):16.665112576</t>
  </si>
  <si>
    <t>The CPU usage is: 0.0 RAM memory % used:97.8 RAM Used (GB):16.6583296</t>
  </si>
  <si>
    <t>The CPU usage is: 100.0 RAM memory % used:98.8 RAM Used (GB):16.840798208</t>
  </si>
  <si>
    <t>The CPU usage is: 100.0 RAM memory % used:99.9 RAM Used (GB):17.031217152</t>
  </si>
  <si>
    <t>The CPU usage is: 100.0 RAM memory % used:96.9 RAM Used (GB):16.513265664</t>
  </si>
  <si>
    <t>The CPU usage is: 100.0 RAM memory % used:97.2 RAM Used (GB):16.565571584</t>
  </si>
  <si>
    <t>The CPU usage is: 100.0 RAM memory % used:97.2 RAM Used (GB):16.564047872</t>
  </si>
  <si>
    <t>The CPU usage is: 100.0 RAM memory % used:97.5 RAM Used (GB):16.617070592</t>
  </si>
  <si>
    <t>The CPU usage is: 100.0 RAM memory % used:98.0 RAM Used (GB):16.704659456</t>
  </si>
  <si>
    <t>The CPU usage is: 0.0 RAM memory % used:98.3 RAM Used (GB):16.74975232</t>
  </si>
  <si>
    <t>The CPU usage is: 0.0 RAM memory % used:97.2 RAM Used (GB):16.555925504</t>
  </si>
  <si>
    <t>The CPU usage is: 100.0 RAM memory % used:96.3 RAM Used (GB):16.413544448</t>
  </si>
  <si>
    <t>The CPU usage is: 100.0 RAM memory % used:96.7 RAM Used (GB):16.472477696</t>
  </si>
  <si>
    <t>The CPU usage is: 0.0 RAM memory % used:99.1 RAM Used (GB):16.893313024</t>
  </si>
  <si>
    <t>The CPU usage is: 100.0 RAM memory % used:98.3 RAM Used (GB):16.757932032</t>
  </si>
  <si>
    <t>The CPU usage is: 0.0 RAM memory % used:96.6 RAM Used (GB):16.465936384</t>
  </si>
  <si>
    <t>The CPU usage is: 100.0 RAM memory % used:97.2 RAM Used (GB):16.558153728</t>
  </si>
  <si>
    <t>The CPU usage is: 100.0 RAM memory % used:96.5 RAM Used (GB):16.437776384</t>
  </si>
  <si>
    <t>The CPU usage is: 0.0 RAM memory % used:97.1 RAM Used (GB):16.549306368</t>
  </si>
  <si>
    <t>The CPU usage is: 100.0 RAM memory % used:97.0 RAM Used (GB):16.535343104</t>
  </si>
  <si>
    <t>The CPU usage is: 100.0 RAM memory % used:97.1 RAM Used (GB):16.55230464</t>
  </si>
  <si>
    <t>The CPU usage is: 100.0 RAM memory % used:98.5 RAM Used (GB):16.784453632</t>
  </si>
  <si>
    <t>The CPU usage is: 100.0 RAM memory % used:96.3 RAM Used (GB):16.40450048</t>
  </si>
  <si>
    <t>The CPU usage is: 100.0 RAM memory % used:96.7 RAM Used (GB):16.477138944</t>
  </si>
  <si>
    <t>The CPU usage is: 0.0 RAM memory % used:98.0 RAM Used (GB):16.706265088</t>
  </si>
  <si>
    <t>The CPU usage is: 14.9 RAM memory % used:97.3 RAM Used (GB):16.587952128</t>
  </si>
  <si>
    <t>The CPU usage is: 100.0 RAM memory % used:97.8 RAM Used (GB):16.667533312</t>
  </si>
  <si>
    <t>The CPU usage is: 0.0 RAM memory % used:98.1 RAM Used (GB):16.714375168</t>
  </si>
  <si>
    <t>The CPU usage is: 0.0 RAM memory % used:98.4 RAM Used (GB):16.765468672</t>
  </si>
  <si>
    <t>The CPU usage is: 100.0 RAM memory % used:98.1 RAM Used (GB):16.710029312</t>
  </si>
  <si>
    <t>The CPU usage is: 100.0 RAM memory % used:98.2 RAM Used (GB):16.73969664</t>
  </si>
  <si>
    <t>The CPU usage is: 0.0 RAM memory % used:96.3 RAM Used (GB):16.410025984</t>
  </si>
  <si>
    <t>The CPU usage is: 0.0 RAM memory % used:98.0 RAM Used (GB):16.706695168</t>
  </si>
  <si>
    <t>The CPU usage is: 0.0 RAM memory % used:98.4 RAM Used (GB):16.775176192</t>
  </si>
  <si>
    <t>The CPU usage is: 100.0 RAM memory % used:98.4 RAM Used (GB):16.773922816</t>
  </si>
  <si>
    <t>The CPU usage is: 100.0 RAM memory % used:56.2 RAM Used (GB):9.571688448</t>
  </si>
  <si>
    <t>The CPU usage is: 100.0 RAM memory % used:57.3 RAM Used (GB):9.760595968</t>
  </si>
  <si>
    <t>The CPU usage is: 100.0 RAM memory % used:57.4 RAM Used (GB):9.788051456</t>
  </si>
  <si>
    <t>The CPU usage is: 100.0 RAM memory % used:57.7 RAM Used (GB):9.830514688</t>
  </si>
  <si>
    <t>The CPU usage is: 100.0 RAM memory % used:58.4 RAM Used (GB):9.960333312</t>
  </si>
  <si>
    <t>The CPU usage is: 100.0 RAM memory % used:58.2 RAM Used (GB):9.915826176</t>
  </si>
  <si>
    <t>The CPU usage is: 100.0 RAM memory % used:58.4 RAM Used (GB):9.960329216</t>
  </si>
  <si>
    <t>The CPU usage is: 100.0 RAM memory % used:58.5 RAM Used (GB):9.968607232</t>
  </si>
  <si>
    <t>The CPU usage is: 100.0 RAM memory % used:58.7 RAM Used (GB):10.003410944</t>
  </si>
  <si>
    <t>The CPU usage is: 0.0 RAM memory % used:58.5 RAM Used (GB):9.969373184</t>
  </si>
  <si>
    <t xml:space="preserve">Ótimo telefone sem fio. Sem dúvida um dos melhores que já comprei.
                    Coment
Óptimo computador para jogos, muita potência.
Ótima cadeira para estudo. Bem confortável e com muitas características.
                    Coment
Ótimo geladeira. Funciona perfeitamente desde o primeiro momento.
Ótimo tostador. Fácil de limpar.
Ótimo aparelho de TV! Cabeça muito fina.
Ótimo lavadeira, facilita muito o trabalho diário em casa.
Ótima mesa para trabalhar na minha casa!
Ótimo celular que comprei ontem. Estou muito satisfeita com ele.
Ótimo geladeira. Funciona muito bem.
Ótimo eficiênte esse laminado para o carro. Fiquei muito satisfeito com a comp
Ótimo aparelho, muito simples de usar. Gosto bastante.
Óptimo esse refrigerante! Tanto frio como eu queria.
Ótimo cadeado eletrônico para portas. Funciona perfeitamente.
Ótimo telefone celular. Realmente valeu a pena comprar.
Ótimo geladeira. Recomendo fortemente!
Ótimo balança para dormentes. Meu filho ama!
Ótimo e confiável o servidor de rede.
Ótimo aparelho para aqueles que desejam saúde e felicidade.
Ótimo telefone celular. Gosto muito desse modelo.
Ótima aquisição o geladeira com congelador incorporado. Recomendo!
Ótimo modelo de microondas. Valeu a pena comprar.
Óptimo rádio FM. Valeu a pena.
Ótimo serviço para a minha conta bancária online.
Ótima cadeira de escritório. Fica muito confortável durante horas.
Ótima lavadora. Funciona muito bem desde o primeiro dia.
Ótimo econômico esse aparelho.
Ótimo ar condicionado e funciona muito bem.
Ótima opção para aquele quem precisa de um geladeira portátil.
Ótimo telefone celular. Gosto bastante.
Ótima lâmpada LED. Acho que é o melhor que já comprei.
Ótimo para o meu dinheiro. Esse relógio funciona muito bem desde que comprei.
                    Com
Óptimo desse blender. Fácil de usar e muito potente.
Ótimo blender com muitas funções úteis. Recomendo.
Ótimo rádio FM com uma bateria duradoura. Vou comprar outro para meu carro também.
Ótimo telefone celular com excelente resolução. Fiquei satisfeito com a compra.
Ótimo rádio FM. Tanto a recepção quanto o som são excelentes.
Ótimo produto, recomendo para quem está procurando por um.
Ótima lavadora. Funciona perfeitamente desde que comprei.
Ótimo refrigerador com geladeira. Funciona muito bem.
Ótimo toalete. Bem mais conveniente do que os que tinha antes.
Óptimo cadeado para portas e janelas.
Ótimo o refrigerante automático que comprei ontem. Funciona muito bem.
Ótimo monitor. Gosto muito desse modelo.
Ótimo cadeado. Gosto bastante deste modelo.
Ótimo o que comprei hoje, muito bom preço-qualidade.
Ótima mesa de escritório, extremamente conveniente para trabalhar em casa.
Ótima caldeira elétrica. Funciona muito bem e ainda aconselho com vantagem.
Ótimo modelo de batedeira. Funciona tudo certo desde o dia da compra.
                    Coment
Ótimo modelo desse refrigerador. Fácil de limpar.
</t>
  </si>
  <si>
    <t>dúvida</t>
  </si>
  <si>
    <t>estudo</t>
  </si>
  <si>
    <t>cabeça</t>
  </si>
  <si>
    <t>fina</t>
  </si>
  <si>
    <t>diário</t>
  </si>
  <si>
    <t>eficiênte</t>
  </si>
  <si>
    <t>comp</t>
  </si>
  <si>
    <t>tanto</t>
  </si>
  <si>
    <t>queria</t>
  </si>
  <si>
    <t>portas</t>
  </si>
  <si>
    <t>balança</t>
  </si>
  <si>
    <t>dormentes</t>
  </si>
  <si>
    <t>ama</t>
  </si>
  <si>
    <t>servidor</t>
  </si>
  <si>
    <t>rede</t>
  </si>
  <si>
    <t>desejam</t>
  </si>
  <si>
    <t>saúde</t>
  </si>
  <si>
    <t>felicidade</t>
  </si>
  <si>
    <t>aquisição</t>
  </si>
  <si>
    <t>incorporado</t>
  </si>
  <si>
    <t>fm</t>
  </si>
  <si>
    <t>conta</t>
  </si>
  <si>
    <t>bancária</t>
  </si>
  <si>
    <t>aquele</t>
  </si>
  <si>
    <t>potente</t>
  </si>
  <si>
    <t>duradoura</t>
  </si>
  <si>
    <t>vou</t>
  </si>
  <si>
    <t>resolução</t>
  </si>
  <si>
    <t>recepção</t>
  </si>
  <si>
    <t>quanto</t>
  </si>
  <si>
    <t>excelentes</t>
  </si>
  <si>
    <t>procurando</t>
  </si>
  <si>
    <t>toalete</t>
  </si>
  <si>
    <t>tinha</t>
  </si>
  <si>
    <t>antes</t>
  </si>
  <si>
    <t>janelas</t>
  </si>
  <si>
    <t>automático</t>
  </si>
  <si>
    <t>extremamente</t>
  </si>
  <si>
    <t>caldeira</t>
  </si>
  <si>
    <t>batedeira</t>
  </si>
  <si>
    <t>{"valorA":"dúvida","valorB":1.0}</t>
  </si>
  <si>
    <t>{"valorA":"estudo","valorB":1.0}</t>
  </si>
  <si>
    <t>{"valorA":"facilita","valorB":1.0}</t>
  </si>
  <si>
    <t>{"valorA":"cabeça","valorB":1.0}</t>
  </si>
  <si>
    <t>{"valorA":"lavadeira","valorB":1.0}</t>
  </si>
  <si>
    <t>{"valorA":"diário","valorB":1.0}</t>
  </si>
  <si>
    <t>{"valorA":"fina","valorB":1.0}</t>
  </si>
  <si>
    <t>{"valorA":"fiquei","valorB":1.0}</t>
  </si>
  <si>
    <t>{"valorA":"eficiênte","valorB":1.0}</t>
  </si>
  <si>
    <t>{"valorA":"simples","valorB":1.0}</t>
  </si>
  <si>
    <t>{"valorA":"comp","valorB":1.0}</t>
  </si>
  <si>
    <t>{"valorA":"tanto","valorB":1.0}</t>
  </si>
  <si>
    <t>{"valorA":"queria","valorB":1.0}</t>
  </si>
  <si>
    <t>{"valorA":"frio","valorB":1.0}</t>
  </si>
  <si>
    <t>{"valorA":"cadeado","valorB":1.0}</t>
  </si>
  <si>
    <t>{"valorA":"portas","valorB":1.0}</t>
  </si>
  <si>
    <t>{"valorA":"telefone","valorB":2.0}</t>
  </si>
  <si>
    <t>{"valorA":"geladeira","valorB":3.0}</t>
  </si>
  <si>
    <t>{"valorA":"ama","valorB":1.0}</t>
  </si>
  <si>
    <t>{"valorA":"rede","valorB":1.0}</t>
  </si>
  <si>
    <t>{"valorA":"balança","valorB":1.0}</t>
  </si>
  <si>
    <t>{"valorA":"servidor","valorB":1.0}</t>
  </si>
  <si>
    <t>{"valorA":"dormentes","valorB":1.0}</t>
  </si>
  <si>
    <t>{"valorA":"desejam","valorB":1.0}</t>
  </si>
  <si>
    <t>{"valorA":"saúde","valorB":1.0}</t>
  </si>
  <si>
    <t>{"valorA":"telefone","valorB":3.0}</t>
  </si>
  <si>
    <t>{"valorA":"felicidade","valorB":1.0}</t>
  </si>
  <si>
    <t>{"valorA":"aquisição","valorB":1.0}</t>
  </si>
  <si>
    <t>{"valorA":"incorporado","valorB":1.0}</t>
  </si>
  <si>
    <t>{"valorA":"microondas","valorB":1.0}</t>
  </si>
  <si>
    <t>{"valorA":"geladeira","valorB":4.0}</t>
  </si>
  <si>
    <t>{"valorA":"bancária","valorB":1.0}</t>
  </si>
  <si>
    <t>{"valorA":"fm","valorB":1.0}</t>
  </si>
  <si>
    <t>{"valorA":"conta","valorB":1.0}</t>
  </si>
  <si>
    <t>{"valorA":"durante","valorB":1.0}</t>
  </si>
  <si>
    <t>{"valorA":"celular","valorB":4.0}</t>
  </si>
  <si>
    <t>{"valorA":"telefone","valorB":4.0}</t>
  </si>
  <si>
    <t>{"valorA":"aquele","valorB":1.0}</t>
  </si>
  <si>
    <t>{"valorA":"geladeira","valorB":5.0}</t>
  </si>
  <si>
    <t>{"valorA":"úteis","valorB":1.0}</t>
  </si>
  <si>
    <t>{"valorA":"potente","valorB":1.0}</t>
  </si>
  <si>
    <t>{"valorA":"blender","valorB":2.0}</t>
  </si>
  <si>
    <t>{"valorA":"comprar","valorB":3.0}</t>
  </si>
  <si>
    <t>{"valorA":"fm","valorB":2.0}</t>
  </si>
  <si>
    <t>{"valorA":"duradoura","valorB":1.0}</t>
  </si>
  <si>
    <t>{"valorA":"vou","valorB":1.0}</t>
  </si>
  <si>
    <t>{"valorA":"fm","valorB":3.0}</t>
  </si>
  <si>
    <t>{"valorA":"recepção","valorB":1.0}</t>
  </si>
  <si>
    <t>{"valorA":"tanto","valorB":2.0}</t>
  </si>
  <si>
    <t>{"valorA":"rádio","valorB":3.0}</t>
  </si>
  <si>
    <t>{"valorA":"fiquei","valorB":2.0}</t>
  </si>
  <si>
    <t>{"valorA":"celular","valorB":5.0}</t>
  </si>
  <si>
    <t>{"valorA":"quanto","valorB":1.0}</t>
  </si>
  <si>
    <t>{"valorA":"resolução","valorB":1.0}</t>
  </si>
  <si>
    <t>{"valorA":"telefone","valorB":5.0}</t>
  </si>
  <si>
    <t>{"valorA":"excelentes","valorB":1.0}</t>
  </si>
  <si>
    <t>{"valorA":"procurando","valorB":1.0}</t>
  </si>
  <si>
    <t>{"valorA":"toalete","valorB":1.0}</t>
  </si>
  <si>
    <t>{"valorA":"antes","valorB":1.0}</t>
  </si>
  <si>
    <t>{"valorA":"tinha","valorB":1.0}</t>
  </si>
  <si>
    <t>{"valorA":"geladeira","valorB":6.0}</t>
  </si>
  <si>
    <t>{"valorA":"comprei","valorB":6.0}</t>
  </si>
  <si>
    <t>{"valorA":"cadeado","valorB":2.0}</t>
  </si>
  <si>
    <t>{"valorA":"portas","valorB":2.0}</t>
  </si>
  <si>
    <t>{"valorA":"automático","valorB":1.0}</t>
  </si>
  <si>
    <t>{"valorA":"que","valorB":10.0}</t>
  </si>
  <si>
    <t>{"valorA":"refrigerante","valorB":2.0}</t>
  </si>
  <si>
    <t>{"valorA":"janelas","valorB":1.0}</t>
  </si>
  <si>
    <t>{"valorA":"bastante","valorB":3.0}</t>
  </si>
  <si>
    <t>{"valorA":"modelo","valorB":4.0}</t>
  </si>
  <si>
    <t>{"valorA":"cadeado","valorB":3.0}</t>
  </si>
  <si>
    <t>{"valorA":"comprei","valorB":7.0}</t>
  </si>
  <si>
    <t>{"valorA":"extremamente","valorB":1.0}</t>
  </si>
  <si>
    <t>{"valorA":"conveniente","valorB":2.0}</t>
  </si>
  <si>
    <t>{"valorA":"que","valorB":11.0}</t>
  </si>
  <si>
    <t>{"valorA":"casa","valorB":3.0}</t>
  </si>
  <si>
    <t>{"valorA":"coment","valorB":3.0}</t>
  </si>
  <si>
    <t>{"valorA":"modelo","valorB":5.0}</t>
  </si>
  <si>
    <t>{"valorA":"certo","valorB":1.0}</t>
  </si>
  <si>
    <t>{"valorA":"caldeira","valorB":1.0}</t>
  </si>
  <si>
    <t>{"valorA":"ainda","valorB":1.0}</t>
  </si>
  <si>
    <t>{"valorA":"elétrica","valorB":1.0}</t>
  </si>
  <si>
    <t>{"valorA":"batedeira","valorB":1.0}</t>
  </si>
  <si>
    <t>{"valorA":"modelo","valorB":6.0}</t>
  </si>
  <si>
    <t>The CPU usage is: 100.0 RAM memory % used:96.9 RAM Used (GB):16.51249152</t>
  </si>
  <si>
    <t>The CPU usage is: 0.0 RAM memory % used:96.6 RAM Used (GB):16.45545472</t>
  </si>
  <si>
    <t>The CPU usage is: 100.0 RAM memory % used:97.7 RAM Used (GB):16.651972608</t>
  </si>
  <si>
    <t>The CPU usage is: 100.0 RAM memory % used:95.8 RAM Used (GB):16.320442368</t>
  </si>
  <si>
    <t>The CPU usage is: 0.0 RAM memory % used:95.8 RAM Used (GB):16.332427264</t>
  </si>
  <si>
    <t>The CPU usage is: 100.0 RAM memory % used:95.7 RAM Used (GB):16.304001024</t>
  </si>
  <si>
    <t>The CPU usage is: 0.0 RAM memory % used:95.6 RAM Used (GB):16.29569024</t>
  </si>
  <si>
    <t>The CPU usage is: 100.0 RAM memory % used:95.6 RAM Used (GB):16.285048832</t>
  </si>
  <si>
    <t>The CPU usage is: 0.0 RAM memory % used:95.6 RAM Used (GB):16.297521152</t>
  </si>
  <si>
    <t>The CPU usage is: 100.0 RAM memory % used:97.5 RAM Used (GB):16.622682112</t>
  </si>
  <si>
    <t>The CPU usage is: 100.0 RAM memory % used:95.4 RAM Used (GB):16.262955008</t>
  </si>
  <si>
    <t>The CPU usage is: 100.0 RAM memory % used:95.8 RAM Used (GB):16.323756032</t>
  </si>
  <si>
    <t>The CPU usage is: 100.0 RAM memory % used:97.4 RAM Used (GB):16.594239488</t>
  </si>
  <si>
    <t>The CPU usage is: 0.0 RAM memory % used:94.7 RAM Used (GB):16.145862656</t>
  </si>
  <si>
    <t>The CPU usage is: 100.0 RAM memory % used:95.0 RAM Used (GB):16.184475648</t>
  </si>
  <si>
    <t>The CPU usage is: 100.0 RAM memory % used:95.4 RAM Used (GB):16.258289664</t>
  </si>
  <si>
    <t>The CPU usage is: 0.0 RAM memory % used:94.7 RAM Used (GB):16.130060288</t>
  </si>
  <si>
    <t>The CPU usage is: 100.0 RAM memory % used:94.6 RAM Used (GB):16.126271488</t>
  </si>
  <si>
    <t>The CPU usage is: 100.0 RAM memory % used:95.6 RAM Used (GB):16.29810688</t>
  </si>
  <si>
    <t>The CPU usage is: 0.0 RAM memory % used:94.6 RAM Used (GB):16.115073024</t>
  </si>
  <si>
    <t>The CPU usage is: 100.0 RAM memory % used:94.6 RAM Used (GB):16.11563008</t>
  </si>
  <si>
    <t>The CPU usage is: 100.0 RAM memory % used:94.5 RAM Used (GB):16.097992704</t>
  </si>
  <si>
    <t>The CPU usage is: 100.0 RAM memory % used:94.6 RAM Used (GB):16.119349248</t>
  </si>
  <si>
    <t>The CPU usage is: 100.0 RAM memory % used:94.6 RAM Used (GB):16.115490816</t>
  </si>
  <si>
    <t>The CPU usage is: 0.0 RAM memory % used:94.5 RAM Used (GB):16.099872768</t>
  </si>
  <si>
    <t>The CPU usage is: 100.0 RAM memory % used:94.5 RAM Used (GB):16.1072128</t>
  </si>
  <si>
    <t>The CPU usage is: 0.0 RAM memory % used:94.6 RAM Used (GB):16.114716672</t>
  </si>
  <si>
    <t>The CPU usage is: 100.0 RAM memory % used:94.1 RAM Used (GB):16.03438592</t>
  </si>
  <si>
    <t>The CPU usage is: 100.0 RAM memory % used:94.1 RAM Used (GB):16.034504704</t>
  </si>
  <si>
    <t>The CPU usage is: 100.0 RAM memory % used:94.0 RAM Used (GB):16.021450752</t>
  </si>
  <si>
    <t>The CPU usage is: 100.0 RAM memory % used:94.0 RAM Used (GB):16.01980416</t>
  </si>
  <si>
    <t>The CPU usage is: 100.0 RAM memory % used:94.1 RAM Used (GB):16.039837696</t>
  </si>
  <si>
    <t>The CPU usage is: 0.0 RAM memory % used:93.8 RAM Used (GB):15.984832512</t>
  </si>
  <si>
    <t>The CPU usage is: 100.0 RAM memory % used:93.7 RAM Used (GB):15.961858048</t>
  </si>
  <si>
    <t>The CPU usage is: 100.0 RAM memory % used:93.7 RAM Used (GB):15.959269376</t>
  </si>
  <si>
    <t>The CPU usage is: 100.0 RAM memory % used:93.5 RAM Used (GB):15.938404352</t>
  </si>
  <si>
    <t>The CPU usage is: 0.0 RAM memory % used:92.5 RAM Used (GB):15.763369984</t>
  </si>
  <si>
    <t>The CPU usage is: 100.0 RAM memory % used:92.2 RAM Used (GB):15.71493888</t>
  </si>
  <si>
    <t>The CPU usage is: 100.0 RAM memory % used:92.4 RAM Used (GB):15.739887616</t>
  </si>
  <si>
    <t>The CPU usage is: 100.0 RAM memory % used:92.4 RAM Used (GB):15.750987776</t>
  </si>
  <si>
    <t>The CPU usage is: 0.0 RAM memory % used:92.5 RAM Used (GB):15.762202624</t>
  </si>
  <si>
    <t>The CPU usage is: 100.0 RAM memory % used:92.4 RAM Used (GB):15.751532544</t>
  </si>
  <si>
    <t>The CPU usage is: 0.0 RAM memory % used:92.4 RAM Used (GB):15.744974848</t>
  </si>
  <si>
    <t>The CPU usage is: 100.0 RAM memory % used:92.4 RAM Used (GB):15.744802816</t>
  </si>
  <si>
    <t>The CPU usage is: 100.0 RAM memory % used:92.3 RAM Used (GB):15.730139136</t>
  </si>
  <si>
    <t>The CPU usage is: 100.0 RAM memory % used:94.5 RAM Used (GB):16.103948288</t>
  </si>
  <si>
    <t>The CPU usage is: 100.0 RAM memory % used:92.3 RAM Used (GB):15.734628352</t>
  </si>
  <si>
    <t>The CPU usage is: 100.0 RAM memory % used:92.3 RAM Used (GB):15.727583232</t>
  </si>
  <si>
    <t>The CPU usage is: 100.0 RAM memory % used:92.3 RAM Used (GB):15.725948928</t>
  </si>
  <si>
    <t>The CPU usage is: 100.0 RAM memory % used:92.6 RAM Used (GB):15.78223616</t>
  </si>
  <si>
    <t>The CPU usage is: 100.0 RAM memory % used:91.8 RAM Used (GB):15.644987392</t>
  </si>
  <si>
    <t>The CPU usage is: 0.0 RAM memory % used:93.9 RAM Used (GB):16.010248192</t>
  </si>
  <si>
    <t>The CPU usage is: 0.0 RAM memory % used:91.6 RAM Used (GB):15.61198592</t>
  </si>
  <si>
    <t>The CPU usage is: 100.0 RAM memory % used:91.0 RAM Used (GB):15.511433216</t>
  </si>
  <si>
    <t>The CPU usage is: 0.0 RAM memory % used:91.1 RAM Used (GB):15.5186176</t>
  </si>
  <si>
    <t>The CPU usage is: 0.0 RAM memory % used:91.1 RAM Used (GB):15.532630016</t>
  </si>
  <si>
    <t>The CPU usage is: 100.0 RAM memory % used:91.1 RAM Used (GB):15.522463744</t>
  </si>
  <si>
    <t>The CPU usage is: 0.0 RAM memory % used:91.0 RAM Used (GB):15.502712832</t>
  </si>
  <si>
    <t>The CPU usage is: 0.0 RAM memory % used:91.0 RAM Used (GB):15.501697024</t>
  </si>
  <si>
    <t>The CPU usage is: 100.0 RAM memory % used:90.6 RAM Used (GB):15.445270528</t>
  </si>
  <si>
    <t>The CPU usage is: 0.0 RAM memory % used:90.4 RAM Used (GB):15.412375552</t>
  </si>
  <si>
    <t>The CPU usage is: 100.0 RAM memory % used:91.6 RAM Used (GB):15.611973632</t>
  </si>
  <si>
    <t>The CPU usage is: 100.0 RAM memory % used:89.1 RAM Used (GB):15.18727168</t>
  </si>
  <si>
    <t>The CPU usage is: 100.0 RAM memory % used:89.0 RAM Used (GB):15.16869632</t>
  </si>
  <si>
    <t>The CPU usage is: 100.0 RAM memory % used:89.0 RAM Used (GB):15.174705152</t>
  </si>
  <si>
    <t>The CPU usage is: 100.0 RAM memory % used:89.0 RAM Used (GB):15.171289088</t>
  </si>
  <si>
    <t>The CPU usage is: 0.0 RAM memory % used:89.2 RAM Used (GB):15.202668544</t>
  </si>
  <si>
    <t>The CPU usage is: 0.0 RAM memory % used:89.2 RAM Used (GB):15.19945728</t>
  </si>
  <si>
    <t>The CPU usage is: 100.0 RAM memory % used:89.0 RAM Used (GB):15.16388352</t>
  </si>
  <si>
    <t>The CPU usage is: 33.3 RAM memory % used:89.0 RAM Used (GB):15.15862016</t>
  </si>
  <si>
    <t>The CPU usage is: 100.0 RAM memory % used:89.8 RAM Used (GB):15.296434176</t>
  </si>
  <si>
    <t>The CPU usage is: 100.0 RAM memory % used:89.7 RAM Used (GB):15.280136192</t>
  </si>
  <si>
    <t>The CPU usage is: 0.0 RAM memory % used:89.8 RAM Used (GB):15.301750784</t>
  </si>
  <si>
    <t>The CPU usage is: 0.0 RAM memory % used:89.8 RAM Used (GB):15.303012352</t>
  </si>
  <si>
    <t>The CPU usage is: 0.0 RAM memory % used:90.6 RAM Used (GB):15.4313728</t>
  </si>
  <si>
    <t>The CPU usage is: 100.0 RAM memory % used:91.4 RAM Used (GB):15.568084992</t>
  </si>
  <si>
    <t>The CPU usage is: 100.0 RAM memory % used:91.5 RAM Used (GB):15.584612352</t>
  </si>
  <si>
    <t>The CPU usage is: 100.0 RAM memory % used:91.5 RAM Used (GB):15.593418752</t>
  </si>
  <si>
    <t>The CPU usage is: 100.0 RAM memory % used:91.7 RAM Used (GB):15.622668288</t>
  </si>
  <si>
    <t>The CPU usage is: 0.0 RAM memory % used:91.6 RAM Used (GB):15.613497344</t>
  </si>
  <si>
    <t>The CPU usage is: 100.0 RAM memory % used:91.6 RAM Used (GB):15.604240384</t>
  </si>
  <si>
    <t>The CPU usage is: 100.0 RAM memory % used:91.4 RAM Used (GB):15.577202688</t>
  </si>
  <si>
    <t>The CPU usage is: 100.0 RAM memory % used:92.8 RAM Used (GB):15.808516096</t>
  </si>
  <si>
    <t>The CPU usage is: 100.0 RAM memory % used:91.6 RAM Used (GB):15.603539968</t>
  </si>
  <si>
    <t>The CPU usage is: 100.0 RAM memory % used:91.6 RAM Used (GB):15.606288384</t>
  </si>
  <si>
    <t>The CPU usage is: 100.0 RAM memory % used:91.6 RAM Used (GB):15.613673472</t>
  </si>
  <si>
    <t>The CPU usage is: 0.0 RAM memory % used:92.7 RAM Used (GB):15.800721408</t>
  </si>
  <si>
    <t>The CPU usage is: 100.0 RAM memory % used:91.7 RAM Used (GB):15.632965632</t>
  </si>
  <si>
    <t>The CPU usage is: 0.0 RAM memory % used:91.7 RAM Used (GB):15.620825088</t>
  </si>
  <si>
    <t>The CPU usage is: 100.0 RAM memory % used:93.8 RAM Used (GB):15.9850496</t>
  </si>
  <si>
    <t>The CPU usage is: 100.0 RAM memory % used:91.8 RAM Used (GB):15.635726336</t>
  </si>
  <si>
    <t>The CPU usage is: 100.0 RAM memory % used:93.0 RAM Used (GB):15.848620032</t>
  </si>
  <si>
    <t>The CPU usage is: 0.0 RAM memory % used:92.9 RAM Used (GB):15.828209664</t>
  </si>
  <si>
    <t>The CPU usage is: 100.0 RAM memory % used:92.9 RAM Used (GB):15.837724672</t>
  </si>
  <si>
    <t>The CPU usage is: 0.0 RAM memory % used:93.0 RAM Used (GB):15.854215168</t>
  </si>
  <si>
    <t>The CPU usage is: 100.0 RAM memory % used:93.2 RAM Used (GB):15.88801536</t>
  </si>
  <si>
    <t>The CPU usage is: 0.0 RAM memory % used:93.1 RAM Used (GB):15.869210624</t>
  </si>
  <si>
    <t>The CPU usage is: 100.0 RAM memory % used:93.3 RAM Used (GB):15.895785472</t>
  </si>
  <si>
    <t>The CPU usage is: 100.0 RAM memory % used:93.5 RAM Used (GB):15.928860672</t>
  </si>
  <si>
    <t>The CPU usage is: 100.0 RAM memory % used:93.4 RAM Used (GB):15.924174848</t>
  </si>
  <si>
    <t>The CPU usage is: 100.0 RAM memory % used:93.1 RAM Used (GB):15.863922688</t>
  </si>
  <si>
    <t>The CPU usage is: 100.0 RAM memory % used:93.2 RAM Used (GB):15.887065088</t>
  </si>
  <si>
    <t>The CPU usage is: 100.0 RAM memory % used:92.9 RAM Used (GB):15.831994368</t>
  </si>
  <si>
    <t>The CPU usage is: 100.0 RAM memory % used:93.0 RAM Used (GB):15.851462656</t>
  </si>
  <si>
    <t>The CPU usage is: 100.0 RAM memory % used:93.1 RAM Used (GB):15.871741952</t>
  </si>
  <si>
    <t>The CPU usage is: 100.0 RAM memory % used:93.0 RAM Used (GB):15.845933056</t>
  </si>
  <si>
    <t>The CPU usage is: 100.0 RAM memory % used:93.1 RAM Used (GB):15.862030336</t>
  </si>
  <si>
    <t>The CPU usage is: 100.0 RAM memory % used:93.0 RAM Used (GB):15.843385344</t>
  </si>
  <si>
    <t>The CPU usage is: 100.0 RAM memory % used:93.2 RAM Used (GB):15.885930496</t>
  </si>
  <si>
    <t>The CPU usage is: 100.0 RAM memory % used:93.2 RAM Used (GB):15.874199552</t>
  </si>
  <si>
    <t>The CPU usage is: 0.0 RAM memory % used:93.1 RAM Used (GB):15.86006016</t>
  </si>
  <si>
    <t>The CPU usage is: 0.0 RAM memory % used:93.1 RAM Used (GB):15.858806784</t>
  </si>
  <si>
    <t>The CPU usage is: 0.0 RAM memory % used:93.1 RAM Used (GB):15.857762304</t>
  </si>
  <si>
    <t>The CPU usage is: 0.0 RAM memory % used:93.3 RAM Used (GB):15.896911872</t>
  </si>
  <si>
    <t>The CPU usage is: 100.0 RAM memory % used:92.9 RAM Used (GB):15.834529792</t>
  </si>
  <si>
    <t>The CPU usage is: 100.0 RAM memory % used:93.2 RAM Used (GB):15.880507392</t>
  </si>
  <si>
    <t>The CPU usage is: 0.0 RAM memory % used:93.1 RAM Used (GB):15.871041536</t>
  </si>
  <si>
    <t>The CPU usage is: 100.0 RAM memory % used:93.2 RAM Used (GB):15.87439616</t>
  </si>
  <si>
    <t>The CPU usage is: 0.0 RAM memory % used:93.0 RAM Used (GB):15.8505984</t>
  </si>
  <si>
    <t>The CPU usage is: 100.0 RAM memory % used:93.2 RAM Used (GB):15.888695296</t>
  </si>
  <si>
    <t>The CPU usage is: 100.0 RAM memory % used:93.6 RAM Used (GB):15.945773056</t>
  </si>
  <si>
    <t>The CPU usage is: 100.0 RAM memory % used:94.6 RAM Used (GB):16.116400128</t>
  </si>
  <si>
    <t>The CPU usage is: 0.0 RAM memory % used:93.3 RAM Used (GB):15.894851584</t>
  </si>
  <si>
    <t>The CPU usage is: 100.0 RAM memory % used:93.3 RAM Used (GB):15.900397568</t>
  </si>
  <si>
    <t>The CPU usage is: 0.0 RAM memory % used:93.5 RAM Used (GB):15.931904</t>
  </si>
  <si>
    <t>The CPU usage is: 100.0 RAM memory % used:93.2 RAM Used (GB):15.877746688</t>
  </si>
  <si>
    <t>The CPU usage is: 100.0 RAM memory % used:93.4 RAM Used (GB):15.908737024</t>
  </si>
  <si>
    <t>The CPU usage is: 100.0 RAM memory % used:93.4 RAM Used (GB):15.919566848</t>
  </si>
  <si>
    <t>The CPU usage is: 100.0 RAM memory % used:93.1 RAM Used (GB):15.858020352</t>
  </si>
  <si>
    <t>The CPU usage is: 100.0 RAM memory % used:93.2 RAM Used (GB):15.886606336</t>
  </si>
  <si>
    <t>The CPU usage is: 100.0 RAM memory % used:93.1 RAM Used (GB):15.857897472</t>
  </si>
  <si>
    <t>The CPU usage is: 0.0 RAM memory % used:93.1 RAM Used (GB):15.871287296</t>
  </si>
  <si>
    <t>The CPU usage is: 100.0 RAM memory % used:93.1 RAM Used (GB):15.86919424</t>
  </si>
  <si>
    <t>The CPU usage is: 100.0 RAM memory % used:93.2 RAM Used (GB):15.883403264</t>
  </si>
  <si>
    <t>The CPU usage is: 100.0 RAM memory % used:93.3 RAM Used (GB):15.89819392</t>
  </si>
  <si>
    <t>The CPU usage is: 0.0 RAM memory % used:93.1 RAM Used (GB):15.87111936</t>
  </si>
  <si>
    <t>The CPU usage is: 100.0 RAM memory % used:93.3 RAM Used (GB):15.90380544</t>
  </si>
  <si>
    <t>The CPU usage is: 100.0 RAM memory % used:94.9 RAM Used (GB):16.18046976</t>
  </si>
  <si>
    <t>The CPU usage is: 100.0 RAM memory % used:93.2 RAM Used (GB):15.876108288</t>
  </si>
  <si>
    <t>The CPU usage is: 100.0 RAM memory % used:93.1 RAM Used (GB):15.865032704</t>
  </si>
  <si>
    <t>The CPU usage is: 100.0 RAM memory % used:93.2 RAM Used (GB):15.89037056</t>
  </si>
  <si>
    <t>The CPU usage is: 0.0 RAM memory % used:93.1 RAM Used (GB):15.86675712</t>
  </si>
  <si>
    <t>The CPU usage is: 100.0 RAM memory % used:93.0 RAM Used (GB):15.845064704</t>
  </si>
  <si>
    <t>The CPU usage is: 0.0 RAM memory % used:93.0 RAM Used (GB):15.85573888</t>
  </si>
  <si>
    <t>The CPU usage is: 100.0 RAM memory % used:93.0 RAM Used (GB):15.848169472</t>
  </si>
  <si>
    <t>The CPU usage is: 100.0 RAM memory % used:93.1 RAM Used (GB):15.86030592</t>
  </si>
  <si>
    <t>The CPU usage is: 100.0 RAM memory % used:92.8 RAM Used (GB):15.8142464</t>
  </si>
  <si>
    <t>The CPU usage is: 100.0 RAM memory % used:92.7 RAM Used (GB):15.802789888</t>
  </si>
  <si>
    <t>The CPU usage is: 100.0 RAM memory % used:92.7 RAM Used (GB):15.796789248</t>
  </si>
  <si>
    <t>The CPU usage is: 100.0 RAM memory % used:92.7 RAM Used (GB):15.794761728</t>
  </si>
  <si>
    <t>The CPU usage is: 100.0 RAM memory % used:92.5 RAM Used (GB):15.76640512</t>
  </si>
  <si>
    <t>The CPU usage is: 100.0 RAM memory % used:93.1 RAM Used (GB):15.860383744</t>
  </si>
  <si>
    <t>The CPU usage is: 0.0 RAM memory % used:94.5 RAM Used (GB):16.107147264</t>
  </si>
  <si>
    <t>The CPU usage is: 100.0 RAM memory % used:94.4 RAM Used (GB):16.0813056</t>
  </si>
  <si>
    <t>The CPU usage is: 0.0 RAM memory % used:92.3 RAM Used (GB):15.723413504</t>
  </si>
  <si>
    <t>The CPU usage is: 100.0 RAM memory % used:93.8 RAM Used (GB):15.98216192</t>
  </si>
  <si>
    <t>The CPU usage is: 0.0 RAM memory % used:91.8 RAM Used (GB):15.642058752</t>
  </si>
  <si>
    <t>The CPU usage is: 100.0 RAM memory % used:91.7 RAM Used (GB):15.629594624</t>
  </si>
  <si>
    <t>The CPU usage is: 100.0 RAM memory % used:93.7 RAM Used (GB):15.974367232</t>
  </si>
  <si>
    <t>The CPU usage is: 0.0 RAM memory % used:91.8 RAM Used (GB):15.652171776</t>
  </si>
  <si>
    <t>The CPU usage is: 100.0 RAM memory % used:91.6 RAM Used (GB):15.606009856</t>
  </si>
  <si>
    <t>The CPU usage is: 100.0 RAM memory % used:91.7 RAM Used (GB):15.632482304</t>
  </si>
  <si>
    <t>The CPU usage is: 100.0 RAM memory % used:91.8 RAM Used (GB):15.644581888</t>
  </si>
  <si>
    <t>The CPU usage is: 100.0 RAM memory % used:94.5 RAM Used (GB):16.105218048</t>
  </si>
  <si>
    <t>The CPU usage is: 100.0 RAM memory % used:91.7 RAM Used (GB):15.626829824</t>
  </si>
  <si>
    <t>The CPU usage is: 100.0 RAM memory % used:91.6 RAM Used (GB):15.606513664</t>
  </si>
  <si>
    <t>The CPU usage is: 100.0 RAM memory % used:91.3 RAM Used (GB):15.56115456</t>
  </si>
  <si>
    <t>The CPU usage is: 100.0 RAM memory % used:91.3 RAM Used (GB):15.56160512</t>
  </si>
  <si>
    <t>The CPU usage is: 100.0 RAM memory % used:91.4 RAM Used (GB):15.582814208</t>
  </si>
  <si>
    <t>The CPU usage is: 0.0 RAM memory % used:91.3 RAM Used (GB):15.56707328</t>
  </si>
  <si>
    <t>The CPU usage is: 100.0 RAM memory % used:91.3 RAM Used (GB):15.552073728</t>
  </si>
  <si>
    <t>The CPU usage is: 100.0 RAM memory % used:89.8 RAM Used (GB):15.311331328</t>
  </si>
  <si>
    <t>The CPU usage is: 0.0 RAM memory % used:90.9 RAM Used (GB):15.498375168</t>
  </si>
  <si>
    <t>The CPU usage is: 100.0 RAM memory % used:89.8 RAM Used (GB):15.31140096</t>
  </si>
  <si>
    <t>The CPU usage is: 100.0 RAM memory % used:89.8 RAM Used (GB):15.306211328</t>
  </si>
  <si>
    <t>The CPU usage is: 0.0 RAM memory % used:91.1 RAM Used (GB):15.524708352</t>
  </si>
  <si>
    <t>The CPU usage is: 100.0 RAM memory % used:89.8 RAM Used (GB):15.310331904</t>
  </si>
  <si>
    <t>The CPU usage is: 100.0 RAM memory % used:89.9 RAM Used (GB):15.317291008</t>
  </si>
  <si>
    <t>The CPU usage is: 100.0 RAM memory % used:89.9 RAM Used (GB):15.322464256</t>
  </si>
  <si>
    <t>The CPU usage is: 100.0 RAM memory % used:90.4 RAM Used (GB):15.399563264</t>
  </si>
  <si>
    <t>The CPU usage is: 0.0 RAM memory % used:90.2 RAM Used (GB):15.362924544</t>
  </si>
  <si>
    <t>The CPU usage is: 100.0 RAM memory % used:90.3 RAM Used (GB):15.39500032</t>
  </si>
  <si>
    <t>The CPU usage is: 100.0 RAM memory % used:92.2 RAM Used (GB):15.706693632</t>
  </si>
  <si>
    <t>The CPU usage is: 0.0 RAM memory % used:90.2 RAM Used (GB):15.377461248</t>
  </si>
  <si>
    <t>The CPU usage is: 100.0 RAM memory % used:90.8 RAM Used (GB):15.472521216</t>
  </si>
  <si>
    <t>The CPU usage is: 0.0 RAM memory % used:90.7 RAM Used (GB):15.462531072</t>
  </si>
  <si>
    <t>The CPU usage is: 100.0 RAM memory % used:90.9 RAM Used (GB):15.496630272</t>
  </si>
  <si>
    <t>The CPU usage is: 0.0 RAM memory % used:90.9 RAM Used (GB):15.493771264</t>
  </si>
  <si>
    <t>The CPU usage is: 100.0 RAM memory % used:92.4 RAM Used (GB):15.754461184</t>
  </si>
  <si>
    <t>The CPU usage is: 100.0 RAM memory % used:90.3 RAM Used (GB):15.384674304</t>
  </si>
  <si>
    <t>The CPU usage is: 100.0 RAM memory % used:91.2 RAM Used (GB):15.534903296</t>
  </si>
  <si>
    <t>The CPU usage is: 100.0 RAM memory % used:90.3 RAM Used (GB):15.390257152</t>
  </si>
  <si>
    <t>The CPU usage is: 100.0 RAM memory % used:90.2 RAM Used (GB):15.368687616</t>
  </si>
  <si>
    <t>The CPU usage is: 100.0 RAM memory % used:90.4 RAM Used (GB):15.41113856</t>
  </si>
  <si>
    <t>The CPU usage is: 100.0 RAM memory % used:90.3 RAM Used (GB):15.393275904</t>
  </si>
  <si>
    <t>The CPU usage is: 100.0 RAM memory % used:90.4 RAM Used (GB):15.396872192</t>
  </si>
  <si>
    <t>The CPU usage is: 0.0 RAM memory % used:91.7 RAM Used (GB):15.624753152</t>
  </si>
  <si>
    <t>The CPU usage is: 100.0 RAM memory % used:90.4 RAM Used (GB):15.409033216</t>
  </si>
  <si>
    <t>The CPU usage is: 0.0 RAM memory % used:90.4 RAM Used (GB):15.413424128</t>
  </si>
  <si>
    <t>The CPU usage is: 100.0 RAM memory % used:90.6 RAM Used (GB):15.43337984</t>
  </si>
  <si>
    <t>The CPU usage is: 0.0 RAM memory % used:91.3 RAM Used (GB):15.567122432</t>
  </si>
  <si>
    <t>The CPU usage is: 0.0 RAM memory % used:91.8 RAM Used (GB):15.641358336</t>
  </si>
  <si>
    <t>The CPU usage is: 100.0 RAM memory % used:91.8 RAM Used (GB):15.650668544</t>
  </si>
  <si>
    <t>The CPU usage is: 100.0 RAM memory % used:92.4 RAM Used (GB):15.750705152</t>
  </si>
  <si>
    <t>The CPU usage is: 100.0 RAM memory % used:94.7 RAM Used (GB):16.133914624</t>
  </si>
  <si>
    <t>The CPU usage is: 100.0 RAM memory % used:92.0 RAM Used (GB):15.681261568</t>
  </si>
  <si>
    <t>The CPU usage is: 100.0 RAM memory % used:93.8 RAM Used (GB):15.989096448</t>
  </si>
  <si>
    <t>The CPU usage is: 0.0 RAM memory % used:94.0 RAM Used (GB):16.01529856</t>
  </si>
  <si>
    <t>The CPU usage is: 100.0 RAM memory % used:94.5 RAM Used (GB):16.109420544</t>
  </si>
  <si>
    <t>The CPU usage is: 100.0 RAM memory % used:93.9 RAM Used (GB):16.000155648</t>
  </si>
  <si>
    <t>The CPU usage is: 100.0 RAM memory % used:95.0 RAM Used (GB):16.1842176</t>
  </si>
  <si>
    <t>The CPU usage is: 100.0 RAM memory % used:95.1 RAM Used (GB):16.199094272</t>
  </si>
  <si>
    <t>The CPU usage is: 100.0 RAM memory % used:95.2 RAM Used (GB):16.225296384</t>
  </si>
  <si>
    <t>The CPU usage is: 100.0 RAM memory % used:94.7 RAM Used (GB):16.142860288</t>
  </si>
  <si>
    <t>The CPU usage is: 100.0 RAM memory % used:94.9 RAM Used (GB):16.16965632</t>
  </si>
  <si>
    <t>The CPU usage is: 100.0 RAM memory % used:93.7 RAM Used (GB):15.9606784</t>
  </si>
  <si>
    <t>The CPU usage is: 100.0 RAM memory % used:94.2 RAM Used (GB):16.046010368</t>
  </si>
  <si>
    <t>The CPU usage is: 100.0 RAM memory % used:94.2 RAM Used (GB):16.048062464</t>
  </si>
  <si>
    <t>The CPU usage is: 100.0 RAM memory % used:93.8 RAM Used (GB):15.985385472</t>
  </si>
  <si>
    <t>The CPU usage is: 100.0 RAM memory % used:93.8 RAM Used (GB):15.984234496</t>
  </si>
  <si>
    <t>The CPU usage is: 100.0 RAM memory % used:93.2 RAM Used (GB):15.887405056</t>
  </si>
  <si>
    <t>The CPU usage is: 100.0 RAM memory % used:93.2 RAM Used (GB):15.890673664</t>
  </si>
  <si>
    <t>The CPU usage is: 100.0 RAM memory % used:93.3 RAM Used (GB):15.900561408</t>
  </si>
  <si>
    <t>The CPU usage is: 100.0 RAM memory % used:92.8 RAM Used (GB):15.806951424</t>
  </si>
  <si>
    <t>The CPU usage is: 0.0 RAM memory % used:92.7 RAM Used (GB):15.805198336</t>
  </si>
  <si>
    <t>The CPU usage is: 0.0 RAM memory % used:92.6 RAM Used (GB):15.778988032</t>
  </si>
  <si>
    <t>The CPU usage is: 100.0 RAM memory % used:92.7 RAM Used (GB):15.801085952</t>
  </si>
  <si>
    <t>The CPU usage is: 0.0 RAM memory % used:92.7 RAM Used (GB):15.798079488</t>
  </si>
  <si>
    <t>The CPU usage is: 0.0 RAM memory % used:95.6 RAM Used (GB):16.287997952</t>
  </si>
  <si>
    <t>The CPU usage is: 100.0 RAM memory % used:92.5 RAM Used (GB):15.763218432</t>
  </si>
  <si>
    <t>The CPU usage is: 0.0 RAM memory % used:92.6 RAM Used (GB):15.78395648</t>
  </si>
  <si>
    <t>The CPU usage is: 100.0 RAM memory % used:92.7 RAM Used (GB):15.799697408</t>
  </si>
  <si>
    <t>The CPU usage is: 0.0 RAM memory % used:92.7 RAM Used (GB):15.79864064</t>
  </si>
  <si>
    <t>The CPU usage is: 100.0 RAM memory % used:92.8 RAM Used (GB):15.806246912</t>
  </si>
  <si>
    <t>The CPU usage is: 100.0 RAM memory % used:93.8 RAM Used (GB):15.99025152</t>
  </si>
  <si>
    <t>The CPU usage is: 0.0 RAM memory % used:92.9 RAM Used (GB):15.83243264</t>
  </si>
  <si>
    <t>The CPU usage is: 0.0 RAM memory % used:93.0 RAM Used (GB):15.840694272</t>
  </si>
  <si>
    <t>The CPU usage is: 100.0 RAM memory % used:93.1 RAM Used (GB):15.863959552</t>
  </si>
  <si>
    <t>The CPU usage is: 0.0 RAM memory % used:93.1 RAM Used (GB):15.872196608</t>
  </si>
  <si>
    <t>The CPU usage is: 100.0 RAM memory % used:93.0 RAM Used (GB):15.85547264</t>
  </si>
  <si>
    <t>The CPU usage is: 100.0 RAM memory % used:92.9 RAM Used (GB):15.825932288</t>
  </si>
  <si>
    <t>The CPU usage is: 100.0 RAM memory % used:92.7 RAM Used (GB):15.78995712</t>
  </si>
  <si>
    <t>The CPU usage is: 0.0 RAM memory % used:92.5 RAM Used (GB):15.755063296</t>
  </si>
  <si>
    <t>The CPU usage is: 100.0 RAM memory % used:92.7 RAM Used (GB):15.792791552</t>
  </si>
  <si>
    <t>The CPU usage is: 100.0 RAM memory % used:92.2 RAM Used (GB):15.706710016</t>
  </si>
  <si>
    <t>The CPU usage is: 0.0 RAM memory % used:92.2 RAM Used (GB):15.704563712</t>
  </si>
  <si>
    <t>The CPU usage is: 100.0 RAM memory % used:90.7 RAM Used (GB):15.454957568</t>
  </si>
  <si>
    <t>The CPU usage is: 0.0 RAM memory % used:90.7 RAM Used (GB):15.459442688</t>
  </si>
  <si>
    <t>The CPU usage is: 0.0 RAM memory % used:93.0 RAM Used (GB):15.845429248</t>
  </si>
  <si>
    <t>The CPU usage is: 100.0 RAM memory % used:93.5 RAM Used (GB):15.940743168</t>
  </si>
  <si>
    <t>The CPU usage is: 100.0 RAM memory % used:92.7 RAM Used (GB):15.796563968</t>
  </si>
  <si>
    <t>The CPU usage is: 0.0 RAM memory % used:92.5 RAM Used (GB):15.761866752</t>
  </si>
  <si>
    <t>The CPU usage is: 100.0 RAM memory % used:93.9 RAM Used (GB):15.999393792</t>
  </si>
  <si>
    <t>The CPU usage is: 100.0 RAM memory % used:92.9 RAM Used (GB):15.82372864</t>
  </si>
  <si>
    <t>The CPU usage is: 100.0 RAM memory % used:95.6 RAM Used (GB):16.287752192</t>
  </si>
  <si>
    <t>The CPU usage is: 100.0 RAM memory % used:93.6 RAM Used (GB):15.9512576</t>
  </si>
  <si>
    <t>The CPU usage is: 100.0 RAM memory % used:93.6 RAM Used (GB):15.951122432</t>
  </si>
  <si>
    <t>The CPU usage is: 100.0 RAM memory % used:96.1 RAM Used (GB):16.376160256</t>
  </si>
  <si>
    <t>The CPU usage is: 100.0 RAM memory % used:93.6 RAM Used (GB):15.95291648</t>
  </si>
  <si>
    <t>The CPU usage is: 100.0 RAM memory % used:93.5 RAM Used (GB):15.934189568</t>
  </si>
  <si>
    <t>The CPU usage is: 0.0 RAM memory % used:93.5 RAM Used (GB):15.934578688</t>
  </si>
  <si>
    <t>The CPU usage is: 100.0 RAM memory % used:94.1 RAM Used (GB):16.039800832</t>
  </si>
  <si>
    <t>The CPU usage is: 0.0 RAM memory % used:94.0 RAM Used (GB):16.016625664</t>
  </si>
  <si>
    <t>The CPU usage is: 0.0 RAM memory % used:93.7 RAM Used (GB):15.972462592</t>
  </si>
  <si>
    <t>The CPU usage is: 0.0 RAM memory % used:95.4 RAM Used (GB):16.251273216</t>
  </si>
  <si>
    <t>The CPU usage is: 0.0 RAM memory % used:93.6 RAM Used (GB):15.945007104</t>
  </si>
  <si>
    <t>The CPU usage is: 100.0 RAM memory % used:96.5 RAM Used (GB):16.441184256</t>
  </si>
  <si>
    <t>The CPU usage is: 100.0 RAM memory % used:93.8 RAM Used (GB):15.981289472</t>
  </si>
  <si>
    <t>The CPU usage is: 100.0 RAM memory % used:94.1 RAM Used (GB):16.031010816</t>
  </si>
  <si>
    <t>The CPU usage is: 100.0 RAM memory % used:94.2 RAM Used (GB):16.054034432</t>
  </si>
  <si>
    <t>The CPU usage is: 0.0 RAM memory % used:95.7 RAM Used (GB):16.308379648</t>
  </si>
  <si>
    <t>The CPU usage is: 100.0 RAM memory % used:95.1 RAM Used (GB):16.204791808</t>
  </si>
  <si>
    <t>The CPU usage is: 100.0 RAM memory % used:95.4 RAM Used (GB):16.249737216</t>
  </si>
  <si>
    <t>The CPU usage is: 100.0 RAM memory % used:93.8 RAM Used (GB):15.976341504</t>
  </si>
  <si>
    <t>The CPU usage is: 100.0 RAM memory % used:93.7 RAM Used (GB):15.968579584</t>
  </si>
  <si>
    <t>The CPU usage is: 100.0 RAM memory % used:93.4 RAM Used (GB):15.908278272</t>
  </si>
  <si>
    <t>The CPU usage is: 0.0 RAM memory % used:93.5 RAM Used (GB):15.928741888</t>
  </si>
  <si>
    <t>The CPU usage is: 100.0 RAM memory % used:93.2 RAM Used (GB):15.87707904</t>
  </si>
  <si>
    <t>The CPU usage is: 100.0 RAM memory % used:92.9 RAM Used (GB):15.838457856</t>
  </si>
  <si>
    <t>The CPU usage is: 100.0 RAM memory % used:92.9 RAM Used (GB):15.833014272</t>
  </si>
  <si>
    <t>The CPU usage is: 100.0 RAM memory % used:94.7 RAM Used (GB):16.139194368</t>
  </si>
  <si>
    <t>The CPU usage is: 0.0 RAM memory % used:93.0 RAM Used (GB):15.847006208</t>
  </si>
  <si>
    <t>The CPU usage is: 100.0 RAM memory % used:92.9 RAM Used (GB):15.825219584</t>
  </si>
  <si>
    <t>The CPU usage is: 100.0 RAM memory % used:93.3 RAM Used (GB):15.903567872</t>
  </si>
  <si>
    <t>The CPU usage is: 100.0 RAM memory % used:93.0 RAM Used (GB):15.856754688</t>
  </si>
  <si>
    <t>The CPU usage is: 100.0 RAM memory % used:93.1 RAM Used (GB):15.86010112</t>
  </si>
  <si>
    <t>The CPU usage is: 100.0 RAM memory % used:94.8 RAM Used (GB):16.162402304</t>
  </si>
  <si>
    <t>The CPU usage is: 100.0 RAM memory % used:93.2 RAM Used (GB):15.874256896</t>
  </si>
  <si>
    <t>The CPU usage is: 0.0 RAM memory % used:92.9 RAM Used (GB):15.833919488</t>
  </si>
  <si>
    <t>The CPU usage is: 0.0 RAM memory % used:94.2 RAM Used (GB):16.059912192</t>
  </si>
  <si>
    <t>The CPU usage is: 100.0 RAM memory % used:92.9 RAM Used (GB):15.833792512</t>
  </si>
  <si>
    <t>The CPU usage is: 100.0 RAM memory % used:94.0 RAM Used (GB):16.01456128</t>
  </si>
  <si>
    <t>The CPU usage is: 100.0 RAM memory % used:95.8 RAM Used (GB):16.320360448</t>
  </si>
  <si>
    <t>The CPU usage is: 0.0 RAM memory % used:92.9 RAM Used (GB):15.834853376</t>
  </si>
  <si>
    <t>The CPU usage is: 0.0 RAM memory % used:93.1 RAM Used (GB):15.872172032</t>
  </si>
  <si>
    <t>The CPU usage is: 0.0 RAM memory % used:93.0 RAM Used (GB):15.841214464</t>
  </si>
  <si>
    <t>The CPU usage is: 100.0 RAM memory % used:93.0 RAM Used (GB):15.846305792</t>
  </si>
  <si>
    <t>The CPU usage is: 100.0 RAM memory % used:93.5 RAM Used (GB):15.927730176</t>
  </si>
  <si>
    <t>The CPU usage is: 100.0 RAM memory % used:93.4 RAM Used (GB):15.921647616</t>
  </si>
  <si>
    <t>The CPU usage is: 0.0 RAM memory % used:95.4 RAM Used (GB):16.250159104</t>
  </si>
  <si>
    <t>The CPU usage is: 0.0 RAM memory % used:93.3 RAM Used (GB):15.89747712</t>
  </si>
  <si>
    <t>The CPU usage is: 100.0 RAM memory % used:93.4 RAM Used (GB):15.9116288</t>
  </si>
  <si>
    <t>The CPU usage is: 100.0 RAM memory % used:95.0 RAM Used (GB):16.192876544</t>
  </si>
  <si>
    <t>The CPU usage is: 100.0 RAM memory % used:93.5 RAM Used (GB):15.926788096</t>
  </si>
  <si>
    <t>The CPU usage is: 100.0 RAM memory % used:93.6 RAM Used (GB):15.9484928</t>
  </si>
  <si>
    <t>The CPU usage is: 100.0 RAM memory % used:93.9 RAM Used (GB):16.005595136</t>
  </si>
  <si>
    <t>The CPU usage is: 100.0 RAM memory % used:93.2 RAM Used (GB):15.877853184</t>
  </si>
  <si>
    <t>The CPU usage is: 100.0 RAM memory % used:94.1 RAM Used (GB):16.039698432</t>
  </si>
  <si>
    <t>The CPU usage is: 100.0 RAM memory % used:96.7 RAM Used (GB):16.483643392</t>
  </si>
  <si>
    <t>The CPU usage is: 100.0 RAM memory % used:94.3 RAM Used (GB):16.06490112</t>
  </si>
  <si>
    <t>The CPU usage is: 100.0 RAM memory % used:93.9 RAM Used (GB):16.006586368</t>
  </si>
  <si>
    <t>The CPU usage is: 100.0 RAM memory % used:93.9 RAM Used (GB):15.997329408</t>
  </si>
  <si>
    <t>The CPU usage is: 100.0 RAM memory % used:94.0 RAM Used (GB):16.01175552</t>
  </si>
  <si>
    <t>The CPU usage is: 0.0 RAM memory % used:94.1 RAM Used (GB):16.027901952</t>
  </si>
  <si>
    <t>The CPU usage is: 0.0 RAM memory % used:93.8 RAM Used (GB):15.980544</t>
  </si>
  <si>
    <t>The CPU usage is: 100.0 RAM memory % used:95.3 RAM Used (GB):16.233119744</t>
  </si>
  <si>
    <t>The CPU usage is: 100.0 RAM memory % used:93.7 RAM Used (GB):15.975747584</t>
  </si>
  <si>
    <t>The CPU usage is: 100.0 RAM memory % used:93.9 RAM Used (GB):16.004558848</t>
  </si>
  <si>
    <t>The CPU usage is: 100.0 RAM memory % used:93.9 RAM Used (GB):15.997222912</t>
  </si>
  <si>
    <t>The CPU usage is: 100.0 RAM memory % used:95.4 RAM Used (GB):16.263491584</t>
  </si>
  <si>
    <t>The CPU usage is: 100.0 RAM memory % used:93.8 RAM Used (GB):15.98818304</t>
  </si>
  <si>
    <t>The CPU usage is: 100.0 RAM memory % used:93.7 RAM Used (GB):15.971602432</t>
  </si>
  <si>
    <t>The CPU usage is: 0.0 RAM memory % used:93.7 RAM Used (GB):15.96172288</t>
  </si>
  <si>
    <t>The CPU usage is: 100.0 RAM memory % used:93.4 RAM Used (GB):15.91566336</t>
  </si>
  <si>
    <t>The CPU usage is: 100.0 RAM memory % used:93.7 RAM Used (GB):15.960932352</t>
  </si>
  <si>
    <t>The CPU usage is: 0.0 RAM memory % used:93.9 RAM Used (GB):15.997448192</t>
  </si>
  <si>
    <t>The CPU usage is: 100.0 RAM memory % used:93.9 RAM Used (GB):16.009248768</t>
  </si>
  <si>
    <t>The CPU usage is: 100.0 RAM memory % used:93.7 RAM Used (GB):15.973851136</t>
  </si>
  <si>
    <t>The CPU usage is: 100.0 RAM memory % used:93.5 RAM Used (GB):15.932874752</t>
  </si>
  <si>
    <t>The CPU usage is: 100.0 RAM memory % used:93.6 RAM Used (GB):15.943417856</t>
  </si>
  <si>
    <t>The CPU usage is: 100.0 RAM memory % used:93.4 RAM Used (GB):15.912013824</t>
  </si>
  <si>
    <t>The CPU usage is: 0.0 RAM memory % used:93.3 RAM Used (GB):15.90607872</t>
  </si>
  <si>
    <t>The CPU usage is: 0.0 RAM memory % used:93.4 RAM Used (GB):15.909650432</t>
  </si>
  <si>
    <t>The CPU usage is: 100.0 RAM memory % used:93.2 RAM Used (GB):15.89051392</t>
  </si>
  <si>
    <t>The CPU usage is: 100.0 RAM memory % used:95.1 RAM Used (GB):16.204447744</t>
  </si>
  <si>
    <t>The CPU usage is: 100.0 RAM memory % used:93.3 RAM Used (GB):15.895670784</t>
  </si>
  <si>
    <t>The CPU usage is: 100.0 RAM memory % used:93.0 RAM Used (GB):15.853776896</t>
  </si>
  <si>
    <t>The CPU usage is: 0.0 RAM memory % used:92.9 RAM Used (GB):15.837786112</t>
  </si>
  <si>
    <t>The CPU usage is: 100.0 RAM memory % used:93.0 RAM Used (GB):15.843598336</t>
  </si>
  <si>
    <t>The CPU usage is: 100.0 RAM memory % used:93.0 RAM Used (GB):15.842238464</t>
  </si>
  <si>
    <t>The CPU usage is: 100.0 RAM memory % used:92.8 RAM Used (GB):15.81119488</t>
  </si>
  <si>
    <t>The CPU usage is: 100.0 RAM memory % used:93.1 RAM Used (GB):15.865470976</t>
  </si>
  <si>
    <t>The CPU usage is: 0.0 RAM memory % used:93.3 RAM Used (GB):15.892189184</t>
  </si>
  <si>
    <t>The CPU usage is: 100.0 RAM memory % used:93.0 RAM Used (GB):15.848493056</t>
  </si>
  <si>
    <t>The CPU usage is: 0.0 RAM memory % used:91.8 RAM Used (GB):15.636979712</t>
  </si>
  <si>
    <t>The CPU usage is: 100.0 RAM memory % used:94.4 RAM Used (GB):16.079286272</t>
  </si>
  <si>
    <t>The CPU usage is: 100.0 RAM memory % used:91.8 RAM Used (GB):15.643787264</t>
  </si>
  <si>
    <t>The CPU usage is: 100.0 RAM memory % used:91.6 RAM Used (GB):15.616770048</t>
  </si>
  <si>
    <t>The CPU usage is: 100.0 RAM memory % used:91.8 RAM Used (GB):15.6505088</t>
  </si>
  <si>
    <t>The CPU usage is: 0.0 RAM memory % used:91.7 RAM Used (GB):15.633821696</t>
  </si>
  <si>
    <t>The CPU usage is: 0.0 RAM memory % used:91.9 RAM Used (GB):15.659978752</t>
  </si>
  <si>
    <t>The CPU usage is: 0.0 RAM memory % used:91.8 RAM Used (GB):15.651495936</t>
  </si>
  <si>
    <t>The CPU usage is: 0.0 RAM memory % used:91.8 RAM Used (GB):15.645937664</t>
  </si>
  <si>
    <t>The CPU usage is: 0.0 RAM memory % used:93.7 RAM Used (GB):15.972769792</t>
  </si>
  <si>
    <t>The CPU usage is: 100.0 RAM memory % used:92.1 RAM Used (GB):15.68876544</t>
  </si>
  <si>
    <t>The CPU usage is: 100.0 RAM memory % used:92.1 RAM Used (GB):15.68866304</t>
  </si>
  <si>
    <t>The CPU usage is: 100.0 RAM memory % used:92.1 RAM Used (GB):15.693594624</t>
  </si>
  <si>
    <t>The CPU usage is: 100.0 RAM memory % used:92.2 RAM Used (GB):15.720022016</t>
  </si>
  <si>
    <t>The CPU usage is: 100.0 RAM memory % used:92.0 RAM Used (GB):15.676657664</t>
  </si>
  <si>
    <t>The CPU usage is: 0.0 RAM memory % used:92.2 RAM Used (GB):15.719243776</t>
  </si>
  <si>
    <t>The CPU usage is: 100.0 RAM memory % used:92.5 RAM Used (GB):15.766089728</t>
  </si>
  <si>
    <t>The CPU usage is: 100.0 RAM memory % used:95.2 RAM Used (GB):16.229605376</t>
  </si>
  <si>
    <t>The CPU usage is: 100.0 RAM memory % used:92.4 RAM Used (GB):15.75417856</t>
  </si>
  <si>
    <t>The CPU usage is: 100.0 RAM memory % used:92.6 RAM Used (GB):15.779516416</t>
  </si>
  <si>
    <t>The CPU usage is: 100.0 RAM memory % used:92.5 RAM Used (GB):15.760510976</t>
  </si>
  <si>
    <t>The CPU usage is: 0.0 RAM memory % used:92.6 RAM Used (GB):15.77691136</t>
  </si>
  <si>
    <t>The CPU usage is: 100.0 RAM memory % used:93.1 RAM Used (GB):15.862501376</t>
  </si>
  <si>
    <t>The CPU usage is: 0.0 RAM memory % used:93.1 RAM Used (GB):15.865090048</t>
  </si>
  <si>
    <t>The CPU usage is: 0.0 RAM memory % used:92.8 RAM Used (GB):15.813111808</t>
  </si>
  <si>
    <t>The CPU usage is: 100.0 RAM memory % used:93.0 RAM Used (GB):15.840681984</t>
  </si>
  <si>
    <t>The CPU usage is: 0.0 RAM memory % used:94.3 RAM Used (GB):16.074276864</t>
  </si>
  <si>
    <t>The CPU usage is: 100.0 RAM memory % used:87.8 RAM Used (GB):14.964404224</t>
  </si>
  <si>
    <t>The CPU usage is: 100.0 RAM memory % used:78.0 RAM Used (GB):13.284020224</t>
  </si>
  <si>
    <t>The CPU usage is: 100.0 RAM memory % used:67.6 RAM Used (GB):11.521110016</t>
  </si>
  <si>
    <t>The CPU usage is: 100.0 RAM memory % used:67.6 RAM Used (GB):11.527241728</t>
  </si>
  <si>
    <t>The CPU usage is: 100.0 RAM memory % used:67.7 RAM Used (GB):11.542745088</t>
  </si>
  <si>
    <t>The CPU usage is: 0.0 RAM memory % used:67.9 RAM Used (GB):11.577286656</t>
  </si>
  <si>
    <t>The CPU usage is: 0.0 RAM memory % used:68.1 RAM Used (GB):11.60101888</t>
  </si>
  <si>
    <t>The CPU usage is: 100.0 RAM memory % used:68.0 RAM Used (GB):11.585785856</t>
  </si>
  <si>
    <t>The CPU usage is: 100.0 RAM memory % used:68.0 RAM Used (GB):11.585990656</t>
  </si>
  <si>
    <t>The CPU usage is: 0.0 RAM memory % used:68.5 RAM Used (GB):11.67710208</t>
  </si>
  <si>
    <t>The CPU usage is: 0.0 RAM memory % used:68.1 RAM Used (GB):11.613110272</t>
  </si>
  <si>
    <t>The CPU usage is: 100.0 RAM memory % used:68.0 RAM Used (GB):11.594366976</t>
  </si>
  <si>
    <t>The CPU usage is: 0.0 RAM memory % used:68.0 RAM Used (GB):11.585142784</t>
  </si>
  <si>
    <t>The CPU usage is: 0.0 RAM memory % used:68.0 RAM Used (GB):11.592675328</t>
  </si>
  <si>
    <t>The CPU usage is: 0.0 RAM memory % used:68.0 RAM Used (GB):11.58254592</t>
  </si>
  <si>
    <t>The CPU usage is: 0.0 RAM memory % used:68.0 RAM Used (GB):11.59131136</t>
  </si>
  <si>
    <t>The CPU usage is: 0.0 RAM memory % used:68.0 RAM Used (GB):11.580391424</t>
  </si>
  <si>
    <t>The CPU usage is: 100.0 RAM memory % used:68.2 RAM Used (GB):11.61895936</t>
  </si>
  <si>
    <t>The CPU usage is: 100.0 RAM memory % used:70.2 RAM Used (GB):11.954302976</t>
  </si>
  <si>
    <t>The CPU usage is: 100.0 RAM memory % used:67.8 RAM Used (GB):11.551490048</t>
  </si>
  <si>
    <t>The CPU usage is: 0.0 RAM memory % used:68.2 RAM Used (GB):11.613847552</t>
  </si>
  <si>
    <t>The CPU usage is: 100.0 RAM memory % used:68.2 RAM Used (GB):11.613904896</t>
  </si>
  <si>
    <t>The CPU usage is: 100.0 RAM memory % used:68.2 RAM Used (GB):11.628675072</t>
  </si>
  <si>
    <t>The CPU usage is: 0.0 RAM memory % used:68.1 RAM Used (GB):11.606822912</t>
  </si>
  <si>
    <t>The CPU usage is: 100.0 RAM memory % used:68.4 RAM Used (GB):11.659771904</t>
  </si>
  <si>
    <t>The CPU usage is: 100.0 RAM memory % used:68.3 RAM Used (GB):11.631824896</t>
  </si>
  <si>
    <t>The CPU usage is: 100.0 RAM memory % used:68.2 RAM Used (GB):11.630485504</t>
  </si>
  <si>
    <t>{"valorA":"freezer","valorB":175}</t>
  </si>
  <si>
    <t>The CPU usage is: 0.0 RAM memory % used:85.7 RAM Used (GB):14.60416512</t>
  </si>
  <si>
    <t>The CPU usage is: 50.0 RAM memory % used:85.7 RAM Used (GB):14.6108416</t>
  </si>
  <si>
    <t>The CPU usage is: 0.0 RAM memory % used:85.7 RAM Used (GB):14.611144704</t>
  </si>
  <si>
    <t>The CPU usage is: 0.0 RAM memory % used:85.7 RAM Used (GB):14.612467712</t>
  </si>
  <si>
    <t>The CPU usage is: 0.0 RAM memory % used:85.8 RAM Used (GB):14.613409792</t>
  </si>
  <si>
    <t>The CPU usage is: 0.0 RAM memory % used:85.7 RAM Used (GB):14.61213184</t>
  </si>
  <si>
    <t>The CPU usage is: 0.0 RAM memory % used:85.7 RAM Used (GB):14.61112832</t>
  </si>
  <si>
    <t>The CPU usage is: 0.0 RAM memory % used:85.8 RAM Used (GB):14.613037056</t>
  </si>
  <si>
    <t>The CPU usage is: 10.0 RAM memory % used:85.7 RAM Used (GB):14.612639744</t>
  </si>
  <si>
    <t>The CPU usage is: 0.0 RAM memory % used:85.8 RAM Used (GB):14.6134016</t>
  </si>
  <si>
    <t>The CPU usage is: 0.0 RAM memory % used:85.8 RAM Used (GB):14.614716416</t>
  </si>
  <si>
    <t>The CPU usage is: 0.0 RAM memory % used:85.7 RAM Used (GB):14.606311424</t>
  </si>
  <si>
    <t>The CPU usage is: 0.0 RAM memory % used:85.7 RAM Used (GB):14.608842752</t>
  </si>
  <si>
    <t>The CPU usage is: 0.0 RAM memory % used:85.7 RAM Used (GB):14.607609856</t>
  </si>
  <si>
    <t>The CPU usage is: 0.0 RAM memory % used:85.7 RAM Used (GB):14.609149952</t>
  </si>
  <si>
    <t>The CPU usage is: 0.0 RAM memory % used:85.6 RAM Used (GB):14.584459264</t>
  </si>
  <si>
    <t>The CPU usage is: 0.0 RAM memory % used:85.6 RAM Used (GB):14.58081792</t>
  </si>
  <si>
    <t>The CPU usage is: 0.0 RAM memory % used:85.4 RAM Used (GB):14.549204992</t>
  </si>
  <si>
    <t>The CPU usage is: 0.0 RAM memory % used:85.4 RAM Used (GB):14.548176896</t>
  </si>
  <si>
    <t>The CPU usage is: 0.0 RAM memory % used:85.4 RAM Used (GB):14.557065216</t>
  </si>
  <si>
    <t>The CPU usage is: 0.0 RAM memory % used:85.4 RAM Used (GB):14.551240704</t>
  </si>
  <si>
    <t>The CPU usage is: 0.0 RAM memory % used:85.4 RAM Used (GB):14.549946368</t>
  </si>
  <si>
    <t>The CPU usage is: 0.0 RAM memory % used:85.4 RAM Used (GB):14.550003712</t>
  </si>
  <si>
    <t>The CPU usage is: 0.0 RAM memory % used:85.4 RAM Used (GB):14.546239488</t>
  </si>
  <si>
    <t>The CPU usage is: 0.0 RAM memory % used:85.3 RAM Used (GB):14.540972032</t>
  </si>
  <si>
    <t>The CPU usage is: 0.0 RAM memory % used:85.3 RAM Used (GB):14.543814656</t>
  </si>
  <si>
    <t>The CPU usage is: 0.0 RAM memory % used:85.3 RAM Used (GB):14.540804096</t>
  </si>
  <si>
    <t>The CPU usage is: 0.0 RAM memory % used:85.4 RAM Used (GB):14.55081472</t>
  </si>
  <si>
    <t>The CPU usage is: 0.0 RAM memory % used:85.4 RAM Used (GB):14.550573056</t>
  </si>
  <si>
    <t>The CPU usage is: 0.0 RAM memory % used:85.9 RAM Used (GB):14.635696128</t>
  </si>
  <si>
    <t>The CPU usage is: 0.0 RAM memory % used:87.9 RAM Used (GB):14.972616704</t>
  </si>
  <si>
    <t>The CPU usage is: 0.0 RAM memory % used:85.4 RAM Used (GB):14.560362496</t>
  </si>
  <si>
    <t>The CPU usage is: 0.0 RAM memory % used:85.4 RAM Used (GB):14.546919424</t>
  </si>
  <si>
    <t>The CPU usage is: 0.0 RAM memory % used:85.4 RAM Used (GB):14.545604608</t>
  </si>
  <si>
    <t>The CPU usage is: 33.3 RAM memory % used:85.4 RAM Used (GB):14.54610432</t>
  </si>
  <si>
    <t>The CPU usage is: 0.0 RAM memory % used:85.3 RAM Used (GB):14.543982592</t>
  </si>
  <si>
    <t>The CPU usage is: 0.0 RAM memory % used:85.3 RAM Used (GB):14.528622592</t>
  </si>
  <si>
    <t>The CPU usage is: 0.0 RAM memory % used:85.2 RAM Used (GB):14.526210048</t>
  </si>
  <si>
    <t>The CPU usage is: 25.0 RAM memory % used:85.2 RAM Used (GB):14.52632064</t>
  </si>
  <si>
    <t>The CPU usage is: 0.0 RAM memory % used:85.2 RAM Used (GB):14.52603392</t>
  </si>
  <si>
    <t>The CPU usage is: 0.0 RAM memory % used:85.2 RAM Used (GB):14.523224064</t>
  </si>
  <si>
    <t>The CPU usage is: 0.0 RAM memory % used:85.2 RAM Used (GB):14.525001728</t>
  </si>
  <si>
    <t>The CPU usage is: 0.0 RAM memory % used:85.2 RAM Used (GB):14.523703296</t>
  </si>
  <si>
    <t>The CPU usage is: 0.0 RAM memory % used:85.2 RAM Used (GB):14.522400768</t>
  </si>
  <si>
    <t>The CPU usage is: 0.0 RAM memory % used:85.2 RAM Used (GB):14.522994688</t>
  </si>
  <si>
    <t>The CPU usage is: 0.0 RAM memory % used:85.2 RAM Used (GB):14.522073088</t>
  </si>
  <si>
    <t>The CPU usage is: 0.0 RAM memory % used:85.4 RAM Used (GB):14.553944064</t>
  </si>
  <si>
    <t>The CPU usage is: 0.0 RAM memory % used:85.4 RAM Used (GB):14.547685376</t>
  </si>
  <si>
    <t>The CPU usage is: 0.0 RAM memory % used:85.4 RAM Used (GB):14.547177472</t>
  </si>
  <si>
    <t>The CPU usage is: 0.0 RAM memory % used:85.4 RAM Used (GB):14.546280448</t>
  </si>
  <si>
    <t>The CPU usage is: 0.0 RAM memory % used:85.4 RAM Used (GB):14.550376448</t>
  </si>
  <si>
    <t>The CPU usage is: 0.0 RAM memory % used:85.5 RAM Used (GB):14.562553856</t>
  </si>
  <si>
    <t>The CPU usage is: 0.0 RAM memory % used:85.4 RAM Used (GB):14.546960384</t>
  </si>
  <si>
    <t>The CPU usage is: 0.0 RAM memory % used:85.4 RAM Used (GB):14.54497792</t>
  </si>
  <si>
    <t>The CPU usage is: 0.0 RAM memory % used:85.3 RAM Used (GB):14.538981376</t>
  </si>
  <si>
    <t>The CPU usage is: 0.0 RAM memory % used:85.4 RAM Used (GB):14.545076224</t>
  </si>
  <si>
    <t>The CPU usage is: 0.0 RAM memory % used:85.2 RAM Used (GB):14.517952512</t>
  </si>
  <si>
    <t>The CPU usage is: 0.0 RAM memory % used:85.2 RAM Used (GB):14.518820864</t>
  </si>
  <si>
    <t>The CPU usage is: 0.0 RAM memory % used:85.2 RAM Used (GB):14.519803904</t>
  </si>
  <si>
    <t>The CPU usage is: 0.0 RAM memory % used:85.2 RAM Used (GB):14.519590912</t>
  </si>
  <si>
    <t>The CPU usage is: 0.0 RAM memory % used:85.2 RAM Used (GB):14.51966464</t>
  </si>
  <si>
    <t>The CPU usage is: 0.0 RAM memory % used:85.2 RAM Used (GB):14.518198272</t>
  </si>
  <si>
    <t>The CPU usage is: 33.3 RAM memory % used:85.2 RAM Used (GB):14.517280768</t>
  </si>
  <si>
    <t>The CPU usage is: 0.0 RAM memory % used:85.2 RAM Used (GB):14.515785728</t>
  </si>
  <si>
    <t>The CPU usage is: 0.0 RAM memory % used:85.2 RAM Used (GB):14.514761728</t>
  </si>
  <si>
    <t>The CPU usage is: 0.0 RAM memory % used:85.2 RAM Used (GB):14.514409472</t>
  </si>
  <si>
    <t>The CPU usage is: 0.0 RAM memory % used:85.2 RAM Used (GB):14.517248</t>
  </si>
  <si>
    <t>The CPU usage is: 0.0 RAM memory % used:85.2 RAM Used (GB):14.51485184</t>
  </si>
  <si>
    <t>The CPU usage is: 0.0 RAM memory % used:85.2 RAM Used (GB):14.525612032</t>
  </si>
  <si>
    <t>The CPU usage is: 0.0 RAM memory % used:85.2 RAM Used (GB):14.51855872</t>
  </si>
  <si>
    <t>The CPU usage is: 0.0 RAM memory % used:85.1 RAM Used (GB):14.498996224</t>
  </si>
  <si>
    <t>The CPU usage is: 0.0 RAM memory % used:85.1 RAM Used (GB):14.49662464</t>
  </si>
  <si>
    <t>The CPU usage is: 0.0 RAM memory % used:85.0 RAM Used (GB):14.492909568</t>
  </si>
  <si>
    <t>The CPU usage is: 0.0 RAM memory % used:85.0 RAM Used (GB):14.49220096</t>
  </si>
  <si>
    <t>The CPU usage is: 10.0 RAM memory % used:85.2 RAM Used (GB):14.514696192</t>
  </si>
  <si>
    <t>The CPU usage is: 0.0 RAM memory % used:85.2 RAM Used (GB):14.515625984</t>
  </si>
  <si>
    <t>The CPU usage is: 0.0 RAM memory % used:85.2 RAM Used (GB):14.5155072</t>
  </si>
  <si>
    <t>The CPU usage is: 0.0 RAM memory % used:85.2 RAM Used (GB):14.52347392</t>
  </si>
  <si>
    <t>The CPU usage is: 0.0 RAM memory % used:85.4 RAM Used (GB):14.553452544</t>
  </si>
  <si>
    <t>The CPU usage is: 100.0 RAM memory % used:86.6 RAM Used (GB):14.75325952</t>
  </si>
  <si>
    <t>The CPU usage is: 0.0 RAM memory % used:86.8 RAM Used (GB):14.796603392</t>
  </si>
  <si>
    <t>The CPU usage is: 0.0 RAM memory % used:85.2 RAM Used (GB):14.521253888</t>
  </si>
  <si>
    <t>The CPU usage is: 0.0 RAM memory % used:87.4 RAM Used (GB):14.888976384</t>
  </si>
  <si>
    <t>The CPU usage is: 0.0 RAM memory % used:85.2 RAM Used (GB):14.52120064</t>
  </si>
  <si>
    <t>The CPU usage is: 0.0 RAM memory % used:85.2 RAM Used (GB):14.51829248</t>
  </si>
  <si>
    <t>The CPU usage is: 0.0 RAM memory % used:85.2 RAM Used (GB):14.520492032</t>
  </si>
  <si>
    <t>The CPU usage is: 0.0 RAM memory % used:85.2 RAM Used (GB):14.51988992</t>
  </si>
  <si>
    <t>The CPU usage is: 0.0 RAM memory % used:85.2 RAM Used (GB):14.520172544</t>
  </si>
  <si>
    <t>The CPU usage is: 0.0 RAM memory % used:85.2 RAM Used (GB):14.520553472</t>
  </si>
  <si>
    <t>The CPU usage is: 0.0 RAM memory % used:85.7 RAM Used (GB):14.601969664</t>
  </si>
  <si>
    <t>The CPU usage is: 0.0 RAM memory % used:86.1 RAM Used (GB):14.672039936</t>
  </si>
  <si>
    <t>The CPU usage is: 0.0 RAM memory % used:85.2 RAM Used (GB):14.516781056</t>
  </si>
  <si>
    <t>The CPU usage is: 0.0 RAM memory % used:85.2 RAM Used (GB):14.51362304</t>
  </si>
  <si>
    <t>The CPU usage is: 0.0 RAM memory % used:85.2 RAM Used (GB):14.5145856</t>
  </si>
  <si>
    <t>The CPU usage is: 0.0 RAM memory % used:85.1 RAM Used (GB):14.500503552</t>
  </si>
  <si>
    <t>The CPU usage is: 0.0 RAM memory % used:85.1 RAM Used (GB):14.497722368</t>
  </si>
  <si>
    <t>The CPU usage is: 0.0 RAM memory % used:85.1 RAM Used (GB):14.499811328</t>
  </si>
  <si>
    <t>The CPU usage is: 100.0 RAM memory % used:85.1 RAM Used (GB):14.501486592</t>
  </si>
  <si>
    <t>The CPU usage is: 0.0 RAM memory % used:85.1 RAM Used (GB):14.500519936</t>
  </si>
  <si>
    <t>The CPU usage is: 0.0 RAM memory % used:85.1 RAM Used (GB):14.501715968</t>
  </si>
  <si>
    <t>The CPU usage is: 0.0 RAM memory % used:85.1 RAM Used (GB):14.500061184</t>
  </si>
  <si>
    <t>The CPU usage is: 0.0 RAM memory % used:85.1 RAM Used (GB):14.500007936</t>
  </si>
  <si>
    <t>The CPU usage is: 0.0 RAM memory % used:85.2 RAM Used (GB):14.514937856</t>
  </si>
  <si>
    <t>The CPU usage is: 0.0 RAM memory % used:85.3 RAM Used (GB):14.543130624</t>
  </si>
  <si>
    <t>The CPU usage is: 0.0 RAM memory % used:85.3 RAM Used (GB):14.54147584</t>
  </si>
  <si>
    <t>The CPU usage is: 0.0 RAM memory % used:85.4 RAM Used (GB):14.547898368</t>
  </si>
  <si>
    <t>The CPU usage is: 0.0 RAM memory % used:85.4 RAM Used (GB):14.547488768</t>
  </si>
  <si>
    <t>The CPU usage is: 0.0 RAM memory % used:85.4 RAM Used (GB):14.552899584</t>
  </si>
  <si>
    <t>The CPU usage is: 0.0 RAM memory % used:85.4 RAM Used (GB):14.5523712</t>
  </si>
  <si>
    <t>The CPU usage is: 0.0 RAM memory % used:85.4 RAM Used (GB):14.551707648</t>
  </si>
  <si>
    <t>The CPU usage is: 0.0 RAM memory % used:85.4 RAM Used (GB):14.551990272</t>
  </si>
  <si>
    <t>The CPU usage is: 0.0 RAM memory % used:85.4 RAM Used (GB):14.550007808</t>
  </si>
  <si>
    <t>The CPU usage is: 0.0 RAM memory % used:85.4 RAM Used (GB):14.552010752</t>
  </si>
  <si>
    <t>The CPU usage is: 0.0 RAM memory % used:85.4 RAM Used (GB):14.559055872</t>
  </si>
  <si>
    <t>The CPU usage is: 0.0 RAM memory % used:85.4 RAM Used (GB):14.555140096</t>
  </si>
  <si>
    <t>The CPU usage is: 0.0 RAM memory % used:85.4 RAM Used (GB):14.54778368</t>
  </si>
  <si>
    <t>The CPU usage is: 0.0 RAM memory % used:85.4 RAM Used (GB):14.548516864</t>
  </si>
  <si>
    <t>The CPU usage is: 0.0 RAM memory % used:85.4 RAM Used (GB):14.551773184</t>
  </si>
  <si>
    <t>The CPU usage is: 25.0 RAM memory % used:85.6 RAM Used (GB):14.585950208</t>
  </si>
  <si>
    <t>The CPU usage is: 0.0 RAM memory % used:85.7 RAM Used (GB):14.60004864</t>
  </si>
  <si>
    <t>The CPU usage is: 0.0 RAM memory % used:85.9 RAM Used (GB):14.63425024</t>
  </si>
  <si>
    <t>The CPU usage is: 0.0 RAM memory % used:85.7 RAM Used (GB):14.603276288</t>
  </si>
  <si>
    <t>The CPU usage is: 0.0 RAM memory % used:85.6 RAM Used (GB):14.595530752</t>
  </si>
  <si>
    <t>The CPU usage is: 0.0 RAM memory % used:85.7 RAM Used (GB):14.598152192</t>
  </si>
  <si>
    <t>The CPU usage is: 50.0 RAM memory % used:85.7 RAM Used (GB):14.606196736</t>
  </si>
  <si>
    <t>The CPU usage is: 0.0 RAM memory % used:87.6 RAM Used (GB):14.929997824</t>
  </si>
  <si>
    <t>The CPU usage is: 0.0 RAM memory % used:85.8 RAM Used (GB):14.617956352</t>
  </si>
  <si>
    <t>The CPU usage is: 0.0 RAM memory % used:85.8 RAM Used (GB):14.620729344</t>
  </si>
  <si>
    <t>The CPU usage is: 11.1 RAM memory % used:85.8 RAM Used (GB):14.613102592</t>
  </si>
  <si>
    <t>The CPU usage is: 0.0 RAM memory % used:85.7 RAM Used (GB):14.596411392</t>
  </si>
  <si>
    <t>The CPU usage is: 0.0 RAM memory % used:85.7 RAM Used (GB):14.596083712</t>
  </si>
  <si>
    <t>The CPU usage is: 100.0 RAM memory % used:85.7 RAM Used (GB):14.597746688</t>
  </si>
  <si>
    <t>The CPU usage is: 0.0 RAM memory % used:85.7 RAM Used (GB):14.59789824</t>
  </si>
  <si>
    <t>The CPU usage is: 0.0 RAM memory % used:85.7 RAM Used (GB):14.612287488</t>
  </si>
  <si>
    <t>The CPU usage is: 0.0 RAM memory % used:85.7 RAM Used (GB):14.596128768</t>
  </si>
  <si>
    <t>The CPU usage is: 12.5 RAM memory % used:85.6 RAM Used (GB):14.59359744</t>
  </si>
  <si>
    <t>The CPU usage is: 0.0 RAM memory % used:85.8 RAM Used (GB):14.62274048</t>
  </si>
  <si>
    <t>The CPU usage is: 0.0 RAM memory % used:85.6 RAM Used (GB):14.586556416</t>
  </si>
  <si>
    <t>The CPU usage is: 0.0 RAM memory % used:85.6 RAM Used (GB):14.593114112</t>
  </si>
  <si>
    <t>The CPU usage is: 0.0 RAM memory % used:85.7 RAM Used (GB):14.598938624</t>
  </si>
  <si>
    <t>The CPU usage is: 0.0 RAM memory % used:85.7 RAM Used (GB):14.598811648</t>
  </si>
  <si>
    <t>The CPU usage is: 0.0 RAM memory % used:85.7 RAM Used (GB):14.598066176</t>
  </si>
  <si>
    <t>The CPU usage is: 0.0 RAM memory % used:85.7 RAM Used (GB):14.60291584</t>
  </si>
  <si>
    <t>The CPU usage is: 0.0 RAM memory % used:85.7 RAM Used (GB):14.605135872</t>
  </si>
  <si>
    <t>The CPU usage is: 0.0 RAM memory % used:85.5 RAM Used (GB):14.562881536</t>
  </si>
  <si>
    <t>The CPU usage is: 0.0 RAM memory % used:85.5 RAM Used (GB):14.56369664</t>
  </si>
  <si>
    <t>The CPU usage is: 0.0 RAM memory % used:87.5 RAM Used (GB):14.9172224</t>
  </si>
  <si>
    <t>The CPU usage is: 0.0 RAM memory % used:85.5 RAM Used (GB):14.566899712</t>
  </si>
  <si>
    <t>The CPU usage is: 0.0 RAM memory % used:85.5 RAM Used (GB):14.564888576</t>
  </si>
  <si>
    <t>The CPU usage is: 0.0 RAM memory % used:85.5 RAM Used (GB):14.564052992</t>
  </si>
  <si>
    <t>The CPU usage is: 0.0 RAM memory % used:85.5 RAM Used (GB):14.562902016</t>
  </si>
  <si>
    <t>The CPU usage is: 0.0 RAM memory % used:85.4 RAM Used (GB):14.560690176</t>
  </si>
  <si>
    <t>The CPU usage is: 0.0 RAM memory % used:85.5 RAM Used (GB):14.564478976</t>
  </si>
  <si>
    <t>The CPU usage is: 0.0 RAM memory % used:85.5 RAM Used (GB):14.564020224</t>
  </si>
  <si>
    <t>The CPU usage is: 0.0 RAM memory % used:85.5 RAM Used (GB):14.563823616</t>
  </si>
  <si>
    <t>The CPU usage is: 0.0 RAM memory % used:85.4 RAM Used (GB):14.561624064</t>
  </si>
  <si>
    <t>The CPU usage is: 0.0 RAM memory % used:85.4 RAM Used (GB):14.561394688</t>
  </si>
  <si>
    <t>The CPU usage is: 0.0 RAM memory % used:85.4 RAM Used (GB):14.560452608</t>
  </si>
  <si>
    <t>The CPU usage is: 0.0 RAM memory % used:85.4 RAM Used (GB):14.561112064</t>
  </si>
  <si>
    <t>The CPU usage is: 0.0 RAM memory % used:85.4 RAM Used (GB):14.561153024</t>
  </si>
  <si>
    <t>The CPU usage is: 0.0 RAM memory % used:85.5 RAM Used (GB):14.563303424</t>
  </si>
  <si>
    <t>The CPU usage is: 0.0 RAM memory % used:85.5 RAM Used (GB):14.562873344</t>
  </si>
  <si>
    <t>The CPU usage is: 0.0 RAM memory % used:85.5 RAM Used (GB):14.563753984</t>
  </si>
  <si>
    <t>The CPU usage is: 0.0 RAM memory % used:85.5 RAM Used (GB):14.56410624</t>
  </si>
  <si>
    <t>The CPU usage is: 100.0 RAM memory % used:85.5 RAM Used (GB):14.562521088</t>
  </si>
  <si>
    <t>The CPU usage is: 0.0 RAM memory % used:85.5 RAM Used (GB):14.5635328</t>
  </si>
  <si>
    <t>The CPU usage is: 0.0 RAM memory % used:85.5 RAM Used (GB):14.563405824</t>
  </si>
  <si>
    <t>The CPU usage is: 0.0 RAM memory % used:85.5 RAM Used (GB):14.564335616</t>
  </si>
  <si>
    <t>The CPU usage is: 0.0 RAM memory % used:85.5 RAM Used (GB):14.56402432</t>
  </si>
  <si>
    <t>The CPU usage is: 0.0 RAM memory % used:85.5 RAM Used (GB):14.563037184</t>
  </si>
  <si>
    <t>The CPU usage is: 0.0 RAM memory % used:85.5 RAM Used (GB):14.564048896</t>
  </si>
  <si>
    <t>The CPU usage is: 0.0 RAM memory % used:87.9 RAM Used (GB):14.973292544</t>
  </si>
  <si>
    <t>The CPU usage is: 0.0 RAM memory % used:86.7 RAM Used (GB):14.780387328</t>
  </si>
  <si>
    <t>The CPU usage is: 0.0 RAM memory % used:88.0 RAM Used (GB):15.001952256</t>
  </si>
  <si>
    <t>The CPU usage is: 0.0 RAM memory % used:85.5 RAM Used (GB):14.563946496</t>
  </si>
  <si>
    <t>The CPU usage is: 0.0 RAM memory % used:85.5 RAM Used (GB):14.563098624</t>
  </si>
  <si>
    <t>The CPU usage is: 0.0 RAM memory % used:85.5 RAM Used (GB):14.563811328</t>
  </si>
  <si>
    <t>The CPU usage is: 0.0 RAM memory % used:85.5 RAM Used (GB):14.563602432</t>
  </si>
  <si>
    <t>The CPU usage is: 0.0 RAM memory % used:85.5 RAM Used (GB):14.578618368</t>
  </si>
  <si>
    <t>The CPU usage is: 0.0 RAM memory % used:85.5 RAM Used (GB):14.564786176</t>
  </si>
  <si>
    <t>The CPU usage is: 0.0 RAM memory % used:85.5 RAM Used (GB):14.562840576</t>
  </si>
  <si>
    <t>The CPU usage is: 0.0 RAM memory % used:85.5 RAM Used (GB):14.5649664</t>
  </si>
  <si>
    <t>The CPU usage is: 0.0 RAM memory % used:85.5 RAM Used (GB):14.563495936</t>
  </si>
  <si>
    <t>The CPU usage is: 0.0 RAM memory % used:85.5 RAM Used (GB):14.565761024</t>
  </si>
  <si>
    <t>The CPU usage is: 0.0 RAM memory % used:85.5 RAM Used (GB):14.56304128</t>
  </si>
  <si>
    <t>The CPU usage is: 0.0 RAM memory % used:85.5 RAM Used (GB):14.564900864</t>
  </si>
  <si>
    <t>The CPU usage is: 50.0 RAM memory % used:85.5 RAM Used (GB):14.565535744</t>
  </si>
  <si>
    <t>The CPU usage is: 0.0 RAM memory % used:85.5 RAM Used (GB):14.565060608</t>
  </si>
  <si>
    <t>The CPU usage is: 0.0 RAM memory % used:85.5 RAM Used (GB):14.57063936</t>
  </si>
  <si>
    <t>The CPU usage is: 0.0 RAM memory % used:86.3 RAM Used (GB):14.703149056</t>
  </si>
  <si>
    <t>The CPU usage is: 0.0 RAM memory % used:85.5 RAM Used (GB):14.565658624</t>
  </si>
  <si>
    <t>The CPU usage is: 0.0 RAM memory % used:87.5 RAM Used (GB):14.916665344</t>
  </si>
  <si>
    <t>The CPU usage is: 0.0 RAM memory % used:85.5 RAM Used (GB):14.565523456</t>
  </si>
  <si>
    <t>The CPU usage is: 0.0 RAM memory % used:85.4 RAM Used (GB):14.546837504</t>
  </si>
  <si>
    <t>The CPU usage is: 0.0 RAM memory % used:85.5 RAM Used (GB):14.56472064</t>
  </si>
  <si>
    <t>The CPU usage is: 0.0 RAM memory % used:85.5 RAM Used (GB):14.563196928</t>
  </si>
  <si>
    <t>The CPU usage is: 0.0 RAM memory % used:85.5 RAM Used (GB):14.56717824</t>
  </si>
  <si>
    <t>The CPU usage is: 0.0 RAM memory % used:85.5 RAM Used (GB):14.564831232</t>
  </si>
  <si>
    <t>The CPU usage is: 0.0 RAM memory % used:85.5 RAM Used (GB):14.564016128</t>
  </si>
  <si>
    <t>The CPU usage is: 0.0 RAM memory % used:85.5 RAM Used (GB):14.563917824</t>
  </si>
  <si>
    <t>The CPU usage is: 0.0 RAM memory % used:85.5 RAM Used (GB):14.566518784</t>
  </si>
  <si>
    <t>The CPU usage is: 0.0 RAM memory % used:85.5 RAM Used (GB):14.56289792</t>
  </si>
  <si>
    <t>The CPU usage is: 0.0 RAM memory % used:85.5 RAM Used (GB):14.56308224</t>
  </si>
  <si>
    <t>The CPU usage is: 0.0 RAM memory % used:85.6 RAM Used (GB):14.57922048</t>
  </si>
  <si>
    <t>The CPU usage is: 100.0 RAM memory % used:85.5 RAM Used (GB):14.56832512</t>
  </si>
  <si>
    <t>The CPU usage is: 0.0 RAM memory % used:85.5 RAM Used (GB):14.573379584</t>
  </si>
  <si>
    <t>The CPU usage is: 0.0 RAM memory % used:85.5 RAM Used (GB):14.568927232</t>
  </si>
  <si>
    <t>The CPU usage is: 0.0 RAM memory % used:85.5 RAM Used (GB):14.568501248</t>
  </si>
  <si>
    <t>The CPU usage is: 0.0 RAM memory % used:85.5 RAM Used (GB):14.568390656</t>
  </si>
  <si>
    <t>The CPU usage is: 0.0 RAM memory % used:85.5 RAM Used (GB):14.571880448</t>
  </si>
  <si>
    <t>The CPU usage is: 0.0 RAM memory % used:85.5 RAM Used (GB):14.572408832</t>
  </si>
  <si>
    <t>The CPU usage is: 0.0 RAM memory % used:85.5 RAM Used (GB):14.573551616</t>
  </si>
  <si>
    <t>The CPU usage is: 100.0 RAM memory % used:85.5 RAM Used (GB):14.566912</t>
  </si>
  <si>
    <t>The CPU usage is: 0.0 RAM memory % used:85.5 RAM Used (GB):14.57260544</t>
  </si>
  <si>
    <t>The CPU usage is: 12.5 RAM memory % used:85.8 RAM Used (GB):14.622744576</t>
  </si>
  <si>
    <t>The CPU usage is: 0.0 RAM memory % used:88.0 RAM Used (GB):14.989369344</t>
  </si>
  <si>
    <t>The CPU usage is: 0.0 RAM memory % used:85.5 RAM Used (GB):14.56984064</t>
  </si>
  <si>
    <t>The CPU usage is: 0.0 RAM memory % used:85.5 RAM Used (GB):14.568562688</t>
  </si>
  <si>
    <t>The CPU usage is: 0.0 RAM memory % used:85.5 RAM Used (GB):14.564491264</t>
  </si>
  <si>
    <t>The CPU usage is: 0.0 RAM memory % used:85.5 RAM Used (GB):14.566780928</t>
  </si>
  <si>
    <t>The CPU usage is: 12.5 RAM memory % used:85.5 RAM Used (GB):14.562013184</t>
  </si>
  <si>
    <t>The CPU usage is: 0.0 RAM memory % used:85.3 RAM Used (GB):14.542667776</t>
  </si>
  <si>
    <t>The CPU usage is: 0.0 RAM memory % used:85.6 RAM Used (GB):14.587764736</t>
  </si>
  <si>
    <t>The CPU usage is: 0.0 RAM memory % used:85.3 RAM Used (GB):14.543822848</t>
  </si>
  <si>
    <t>The CPU usage is: 0.0 RAM memory % used:85.3 RAM Used (GB):14.543003648</t>
  </si>
  <si>
    <t>The CPU usage is: 0.0 RAM memory % used:85.3 RAM Used (GB):14.542565376</t>
  </si>
  <si>
    <t>The CPU usage is: 0.0 RAM memory % used:85.3 RAM Used (GB):14.541709312</t>
  </si>
  <si>
    <t>The CPU usage is: 0.0 RAM memory % used:85.3 RAM Used (GB):14.542270464</t>
  </si>
  <si>
    <t>The CPU usage is: 0.0 RAM memory % used:85.4 RAM Used (GB):14.555713536</t>
  </si>
  <si>
    <t>The CPU usage is: 0.0 RAM memory % used:85.3 RAM Used (GB):14.538637312</t>
  </si>
  <si>
    <t>The CPU usage is: 0.0 RAM memory % used:85.4 RAM Used (GB):14.545174528</t>
  </si>
  <si>
    <t>The CPU usage is: 0.0 RAM memory % used:84.8 RAM Used (GB):14.451699712</t>
  </si>
  <si>
    <t>The CPU usage is: 0.0 RAM memory % used:84.8 RAM Used (GB):14.4536576</t>
  </si>
  <si>
    <t>The CPU usage is: 0.0 RAM memory % used:84.8 RAM Used (GB):14.450929664</t>
  </si>
  <si>
    <t>The CPU usage is: 0.0 RAM memory % used:84.8 RAM Used (GB):14.454611968</t>
  </si>
  <si>
    <t>The CPU usage is: 0.0 RAM memory % used:85.1 RAM Used (GB):14.507073536</t>
  </si>
  <si>
    <t>The CPU usage is: 0.0 RAM memory % used:84.8 RAM Used (GB):14.455652352</t>
  </si>
  <si>
    <t>The CPU usage is: 20.0 RAM memory % used:84.8 RAM Used (GB):14.455635968</t>
  </si>
  <si>
    <t>The CPU usage is: 0.0 RAM memory % used:86.2 RAM Used (GB):14.690271232</t>
  </si>
  <si>
    <t>The CPU usage is: 0.0 RAM memory % used:85.0 RAM Used (GB):14.485860352</t>
  </si>
  <si>
    <t>The CPU usage is: 0.0 RAM memory % used:87.1 RAM Used (GB):14.836895744</t>
  </si>
  <si>
    <t>The CPU usage is: 0.0 RAM memory % used:85.3 RAM Used (GB):14.541901824</t>
  </si>
  <si>
    <t>The CPU usage is: 0.0 RAM memory % used:84.8 RAM Used (GB):14.45255168</t>
  </si>
  <si>
    <t>The CPU usage is: 0.0 RAM memory % used:84.8 RAM Used (GB):14.450208768</t>
  </si>
  <si>
    <t>The CPU usage is: 0.0 RAM memory % used:84.8 RAM Used (GB):14.450184192</t>
  </si>
  <si>
    <t>The CPU usage is: 0.0 RAM memory % used:84.8 RAM Used (GB):14.451490816</t>
  </si>
  <si>
    <t>The CPU usage is: 0.0 RAM memory % used:84.8 RAM Used (GB):14.450802688</t>
  </si>
  <si>
    <t>The CPU usage is: 0.0 RAM memory % used:84.8 RAM Used (GB):14.450044928</t>
  </si>
  <si>
    <t>The CPU usage is: 0.0 RAM memory % used:84.8 RAM Used (GB):14.451277824</t>
  </si>
  <si>
    <t>The CPU usage is: 0.0 RAM memory % used:84.8 RAM Used (GB):14.451974144</t>
  </si>
  <si>
    <t>The CPU usage is: 0.0 RAM memory % used:84.8 RAM Used (GB):14.4530432</t>
  </si>
  <si>
    <t>The CPU usage is: 0.0 RAM memory % used:84.8 RAM Used (GB):14.449516544</t>
  </si>
  <si>
    <t>The CPU usage is: 50.0 RAM memory % used:84.8 RAM Used (GB):14.448033792</t>
  </si>
  <si>
    <t>The CPU usage is: 0.0 RAM memory % used:84.9 RAM Used (GB):14.475730944</t>
  </si>
  <si>
    <t>The CPU usage is: 0.0 RAM memory % used:84.8 RAM Used (GB):14.449709056</t>
  </si>
  <si>
    <t>The CPU usage is: 0.0 RAM memory % used:84.8 RAM Used (GB):14.448111616</t>
  </si>
  <si>
    <t>The CPU usage is: 0.0 RAM memory % used:84.8 RAM Used (GB):14.452154368</t>
  </si>
  <si>
    <t>The CPU usage is: 0.0 RAM memory % used:84.8 RAM Used (GB):14.451073024</t>
  </si>
  <si>
    <t>The CPU usage is: 0.0 RAM memory % used:84.8 RAM Used (GB):14.451924992</t>
  </si>
  <si>
    <t>The CPU usage is: 16.7 RAM memory % used:84.8 RAM Used (GB):14.449856512</t>
  </si>
  <si>
    <t>The CPU usage is: 0.0 RAM memory % used:84.8 RAM Used (GB):14.44773888</t>
  </si>
  <si>
    <t>The CPU usage is: 0.0 RAM memory % used:84.8 RAM Used (GB):14.449135616</t>
  </si>
  <si>
    <t>The CPU usage is: 0.0 RAM memory % used:84.8 RAM Used (GB):14.447276032</t>
  </si>
  <si>
    <t>The CPU usage is: 0.0 RAM memory % used:84.8 RAM Used (GB):14.450106368</t>
  </si>
  <si>
    <t>The CPU usage is: 0.0 RAM memory % used:84.8 RAM Used (GB):14.448185344</t>
  </si>
  <si>
    <t>The CPU usage is: 0.0 RAM memory % used:84.8 RAM Used (GB):14.445006848</t>
  </si>
  <si>
    <t>The CPU usage is: 0.0 RAM memory % used:84.8 RAM Used (GB):14.443974656</t>
  </si>
  <si>
    <t>The CPU usage is: 100.0 RAM memory % used:84.8 RAM Used (GB):14.446579712</t>
  </si>
  <si>
    <t>The CPU usage is: 0.0 RAM memory % used:84.8 RAM Used (GB):14.445789184</t>
  </si>
  <si>
    <t>The CPU usage is: 14.3 RAM memory % used:84.8 RAM Used (GB):14.444163072</t>
  </si>
  <si>
    <t>The CPU usage is: 0.0 RAM memory % used:84.8 RAM Used (GB):14.446206976</t>
  </si>
  <si>
    <t>The CPU usage is: 0.0 RAM memory % used:84.8 RAM Used (GB):14.44333568</t>
  </si>
  <si>
    <t>The CPU usage is: 0.0 RAM memory % used:84.8 RAM Used (GB):14.44544512</t>
  </si>
  <si>
    <t>The CPU usage is: 0.0 RAM memory % used:84.8 RAM Used (GB):14.44653056</t>
  </si>
  <si>
    <t>The CPU usage is: 0.0 RAM memory % used:84.8 RAM Used (GB):14.443900928</t>
  </si>
  <si>
    <t>The CPU usage is: 0.0 RAM memory % used:84.8 RAM Used (GB):14.442725376</t>
  </si>
  <si>
    <t>The CPU usage is: 0.0 RAM memory % used:84.8 RAM Used (GB):14.444949504</t>
  </si>
  <si>
    <t>The CPU usage is: 0.0 RAM memory % used:84.9 RAM Used (GB):14.4681984</t>
  </si>
  <si>
    <t>The CPU usage is: 0.0 RAM memory % used:84.8 RAM Used (GB):14.449303552</t>
  </si>
  <si>
    <t>The CPU usage is: 0.0 RAM memory % used:84.8 RAM Used (GB):14.443229184</t>
  </si>
  <si>
    <t>The CPU usage is: 0.0 RAM memory % used:84.8 RAM Used (GB):14.443323392</t>
  </si>
  <si>
    <t>The CPU usage is: 0.0 RAM memory % used:84.8 RAM Used (GB):14.44427776</t>
  </si>
  <si>
    <t>The CPU usage is: 0.0 RAM memory % used:84.8 RAM Used (GB):14.444388352</t>
  </si>
  <si>
    <t>The CPU usage is: 0.0 RAM memory % used:84.8 RAM Used (GB):14.443413504</t>
  </si>
  <si>
    <t>The CPU usage is: 10.0 RAM memory % used:84.8 RAM Used (GB):14.44634624</t>
  </si>
  <si>
    <t>The CPU usage is: 0.0 RAM memory % used:84.8 RAM Used (GB):14.446587904</t>
  </si>
  <si>
    <t>The CPU usage is: 0.0 RAM memory % used:84.8 RAM Used (GB):14.445109248</t>
  </si>
  <si>
    <t>The CPU usage is: 0.0 RAM memory % used:84.8 RAM Used (GB):14.446792704</t>
  </si>
  <si>
    <t>The CPU usage is: 0.0 RAM memory % used:84.8 RAM Used (GB):14.4444416</t>
  </si>
  <si>
    <t>The CPU usage is: 0.0 RAM memory % used:84.8 RAM Used (GB):14.44620288</t>
  </si>
  <si>
    <t>The CPU usage is: 0.0 RAM memory % used:84.8 RAM Used (GB):14.44829184</t>
  </si>
  <si>
    <t>The CPU usage is: 0.0 RAM memory % used:84.8 RAM Used (GB):14.446657536</t>
  </si>
  <si>
    <t>The CPU usage is: 12.5 RAM memory % used:84.8 RAM Used (GB):14.448263168</t>
  </si>
  <si>
    <t>The CPU usage is: 12.5 RAM memory % used:84.8 RAM Used (GB):14.44755456</t>
  </si>
  <si>
    <t>The CPU usage is: 0.0 RAM memory % used:84.8 RAM Used (GB):14.445228032</t>
  </si>
  <si>
    <t>The CPU usage is: 100.0 RAM memory % used:84.8 RAM Used (GB):14.443589632</t>
  </si>
  <si>
    <t>The CPU usage is: 0.0 RAM memory % used:84.8 RAM Used (GB):14.446342144</t>
  </si>
  <si>
    <t>The CPU usage is: 0.0 RAM memory % used:86.1 RAM Used (GB):14.676283392</t>
  </si>
  <si>
    <t>The CPU usage is: 0.0 RAM memory % used:85.7 RAM Used (GB):14.606946304</t>
  </si>
  <si>
    <t>The CPU usage is: 0.0 RAM memory % used:85.1 RAM Used (GB):14.507188224</t>
  </si>
  <si>
    <t>The CPU usage is: 0.0 RAM memory % used:84.8 RAM Used (GB):14.455558144</t>
  </si>
  <si>
    <t>The CPU usage is: 0.0 RAM memory % used:84.8 RAM Used (GB):14.453755904</t>
  </si>
  <si>
    <t>The CPU usage is: 0.0 RAM memory % used:84.8 RAM Used (GB):14.455037952</t>
  </si>
  <si>
    <t>The CPU usage is: 0.0 RAM memory % used:84.8 RAM Used (GB):14.453444608</t>
  </si>
  <si>
    <t>The CPU usage is: 0.0 RAM memory % used:85.7 RAM Used (GB):14.59795968</t>
  </si>
  <si>
    <t>The CPU usage is: 0.0 RAM memory % used:86.0 RAM Used (GB):14.654513152</t>
  </si>
  <si>
    <t>The CPU usage is: 25.0 RAM memory % used:85.3 RAM Used (GB):14.527778816</t>
  </si>
  <si>
    <t>The CPU usage is: 0.0 RAM memory % used:84.8 RAM Used (GB):14.454153216</t>
  </si>
  <si>
    <t>The CPU usage is: 0.0 RAM memory % used:84.8 RAM Used (GB):14.451761152</t>
  </si>
  <si>
    <t>The CPU usage is: 0.0 RAM memory % used:84.7 RAM Used (GB):14.43903488</t>
  </si>
  <si>
    <t>The CPU usage is: 0.0 RAM memory % used:84.7 RAM Used (GB):14.437974016</t>
  </si>
  <si>
    <t>The CPU usage is: 0.0 RAM memory % used:84.7 RAM Used (GB):14.438699008</t>
  </si>
  <si>
    <t>The CPU usage is: 0.0 RAM memory % used:84.7 RAM Used (GB):14.43598336</t>
  </si>
  <si>
    <t>The CPU usage is: 0.0 RAM memory % used:84.7 RAM Used (GB):14.438109184</t>
  </si>
  <si>
    <t>The CPU usage is: 0.0 RAM memory % used:84.7 RAM Used (GB):14.437834752</t>
  </si>
  <si>
    <t>The CPU usage is: 7.7 RAM memory % used:84.7 RAM Used (GB):14.433611776</t>
  </si>
  <si>
    <t>The CPU usage is: 0.0 RAM memory % used:84.7 RAM Used (GB):14.435233792</t>
  </si>
  <si>
    <t>The CPU usage is: 0.0 RAM memory % used:84.7 RAM Used (GB):14.433005568</t>
  </si>
  <si>
    <t>The CPU usage is: 0.0 RAM memory % used:84.7 RAM Used (GB):14.435500032</t>
  </si>
  <si>
    <t>The CPU usage is: 0.0 RAM memory % used:84.7 RAM Used (GB):14.434463744</t>
  </si>
  <si>
    <t>The CPU usage is: 0.0 RAM memory % used:84.7 RAM Used (GB):14.43145728</t>
  </si>
  <si>
    <t>The CPU usage is: 0.0 RAM memory % used:84.7 RAM Used (GB):14.430588928</t>
  </si>
  <si>
    <t>The CPU usage is: 0.0 RAM memory % used:84.7 RAM Used (GB):14.431084544</t>
  </si>
  <si>
    <t>The CPU usage is: 14.3 RAM memory % used:84.7 RAM Used (GB):14.42717696</t>
  </si>
  <si>
    <t>The CPU usage is: 0.0 RAM memory % used:84.7 RAM Used (GB):14.433009664</t>
  </si>
  <si>
    <t>The CPU usage is: 100.0 RAM memory % used:84.7 RAM Used (GB):14.43045376</t>
  </si>
  <si>
    <t>The CPU usage is: 0.0 RAM memory % used:86.9 RAM Used (GB):14.804074496</t>
  </si>
  <si>
    <t>The CPU usage is: 0.0 RAM memory % used:84.8 RAM Used (GB):14.445264896</t>
  </si>
  <si>
    <t>The CPU usage is: 0.0 RAM memory % used:84.8 RAM Used (GB):14.445846528</t>
  </si>
  <si>
    <t>The CPU usage is: 0.0 RAM memory % used:84.8 RAM Used (GB):14.445232128</t>
  </si>
  <si>
    <t>The CPU usage is: 0.0 RAM memory % used:86.1 RAM Used (GB):14.67639808</t>
  </si>
  <si>
    <t>The CPU usage is: 0.0 RAM memory % used:84.8 RAM Used (GB):14.455672832</t>
  </si>
  <si>
    <t>The CPU usage is: 0.0 RAM memory % used:84.8 RAM Used (GB):14.447480832</t>
  </si>
  <si>
    <t>The CPU usage is: 0.0 RAM memory % used:84.8 RAM Used (GB):14.446465024</t>
  </si>
  <si>
    <t>The CPU usage is: 0.0 RAM memory % used:84.7 RAM Used (GB):14.435311616</t>
  </si>
  <si>
    <t>The CPU usage is: 0.0 RAM memory % used:84.7 RAM Used (GB):14.433181696</t>
  </si>
  <si>
    <t>The CPU usage is: 0.0 RAM memory % used:84.7 RAM Used (GB):14.436052992</t>
  </si>
  <si>
    <t>The CPU usage is: 16.7 RAM memory % used:84.7 RAM Used (GB):14.43575808</t>
  </si>
  <si>
    <t>The CPU usage is: 0.0 RAM memory % used:84.7 RAM Used (GB):14.430789632</t>
  </si>
  <si>
    <t>The CPU usage is: 0.0 RAM memory % used:84.7 RAM Used (GB):14.437597184</t>
  </si>
  <si>
    <t>The CPU usage is: 0.0 RAM memory % used:84.7 RAM Used (GB):14.433636352</t>
  </si>
  <si>
    <t>The CPU usage is: 0.0 RAM memory % used:84.7 RAM Used (GB):14.43457024</t>
  </si>
  <si>
    <t>The CPU usage is: 0.0 RAM memory % used:84.7 RAM Used (GB):14.437433344</t>
  </si>
  <si>
    <t>The CPU usage is: 0.0 RAM memory % used:84.7 RAM Used (GB):14.436278272</t>
  </si>
  <si>
    <t>The CPU usage is: 14.3 RAM memory % used:84.7 RAM Used (GB):14.43280896</t>
  </si>
  <si>
    <t>The CPU usage is: 0.0 RAM memory % used:84.7 RAM Used (GB):14.435692544</t>
  </si>
  <si>
    <t>The CPU usage is: 0.0 RAM memory % used:84.7 RAM Used (GB):14.43764224</t>
  </si>
  <si>
    <t>The CPU usage is: 0.0 RAM memory % used:84.7 RAM Used (GB):14.43647488</t>
  </si>
  <si>
    <t>The CPU usage is: 0.0 RAM memory % used:84.7 RAM Used (GB):14.428983296</t>
  </si>
  <si>
    <t>The CPU usage is: 0.0 RAM memory % used:84.8 RAM Used (GB):14.446772224</t>
  </si>
  <si>
    <t>The CPU usage is: 0.0 RAM memory % used:84.7 RAM Used (GB):14.437376</t>
  </si>
  <si>
    <t>The CPU usage is: 0.0 RAM memory % used:84.7 RAM Used (GB):14.438395904</t>
  </si>
  <si>
    <t>The CPU usage is: 0.0 RAM memory % used:84.7 RAM Used (GB):14.43704832</t>
  </si>
  <si>
    <t>The CPU usage is: 0.0 RAM memory % used:86.6 RAM Used (GB):14.758608896</t>
  </si>
  <si>
    <t>The CPU usage is: 0.0 RAM memory % used:86.0 RAM Used (GB):14.663778304</t>
  </si>
  <si>
    <t>The CPU usage is: 0.0 RAM memory % used:86.7 RAM Used (GB):14.774235136</t>
  </si>
  <si>
    <t>The CPU usage is: 14.3 RAM memory % used:84.7 RAM Used (GB):14.43741696</t>
  </si>
  <si>
    <t>The CPU usage is: 0.0 RAM memory % used:84.7 RAM Used (GB):14.442233856</t>
  </si>
  <si>
    <t>The CPU usage is: 0.0 RAM memory % used:84.7 RAM Used (GB):14.442299392</t>
  </si>
  <si>
    <t>The CPU usage is: 0.0 RAM memory % used:84.8 RAM Used (GB):14.44304896</t>
  </si>
  <si>
    <t>The CPU usage is: 0.0 RAM memory % used:84.8 RAM Used (GB):14.444048384</t>
  </si>
  <si>
    <t>The CPU usage is: 0.0 RAM memory % used:84.8 RAM Used (GB):14.44409344</t>
  </si>
  <si>
    <t>The CPU usage is: 0.0 RAM memory % used:84.7 RAM Used (GB):14.44237312</t>
  </si>
  <si>
    <t>The CPU usage is: 0.0 RAM memory % used:84.7 RAM Used (GB):14.439215104</t>
  </si>
  <si>
    <t>The CPU usage is: 50.0 RAM memory % used:84.7 RAM Used (GB):14.43356672</t>
  </si>
  <si>
    <t>The CPU usage is: 100.0 RAM memory % used:84.7 RAM Used (GB):14.43721216</t>
  </si>
  <si>
    <t>The CPU usage is: 0.0 RAM memory % used:84.7 RAM Used (GB):14.43885056</t>
  </si>
  <si>
    <t>The CPU usage is: 0.0 RAM memory % used:84.7 RAM Used (GB):14.433378304</t>
  </si>
  <si>
    <t>The CPU usage is: 0.0 RAM memory % used:84.7 RAM Used (GB):14.441897984</t>
  </si>
  <si>
    <t>The CPU usage is: 0.0 RAM memory % used:84.7 RAM Used (GB):14.44194304</t>
  </si>
  <si>
    <t>The CPU usage is: 0.0 RAM memory % used:84.7 RAM Used (GB):14.43465216</t>
  </si>
  <si>
    <t>The CPU usage is: 0.0 RAM memory % used:84.7 RAM Used (GB):14.432628736</t>
  </si>
  <si>
    <t>The CPU usage is: 0.0 RAM memory % used:84.7 RAM Used (GB):14.436134912</t>
  </si>
  <si>
    <t>The CPU usage is: 0.0 RAM memory % used:84.7 RAM Used (GB):14.43393536</t>
  </si>
  <si>
    <t>The CPU usage is: 0.0 RAM memory % used:84.7 RAM Used (GB):14.43342336</t>
  </si>
  <si>
    <t>The CPU usage is: 0.0 RAM memory % used:84.7 RAM Used (GB):14.42973696</t>
  </si>
  <si>
    <t>The CPU usage is: 33.3 RAM memory % used:84.7 RAM Used (GB):14.435442688</t>
  </si>
  <si>
    <t>The CPU usage is: 0.0 RAM memory % used:84.7 RAM Used (GB):14.433959936</t>
  </si>
  <si>
    <t>The CPU usage is: 0.0 RAM memory % used:84.7 RAM Used (GB):14.434471936</t>
  </si>
  <si>
    <t>The CPU usage is: 0.0 RAM memory % used:84.7 RAM Used (GB):14.435733504</t>
  </si>
  <si>
    <t>The CPU usage is: 0.0 RAM memory % used:84.7 RAM Used (GB):14.435459072</t>
  </si>
  <si>
    <t>The CPU usage is: 0.0 RAM memory % used:84.7 RAM Used (GB):14.437179392</t>
  </si>
  <si>
    <t>The CPU usage is: 0.0 RAM memory % used:86.1 RAM Used (GB):14.666141696</t>
  </si>
  <si>
    <t>The CPU usage is: 0.0 RAM memory % used:84.7 RAM Used (GB):14.436442112</t>
  </si>
  <si>
    <t>The CPU usage is: 0.0 RAM memory % used:84.7 RAM Used (GB):14.434709504</t>
  </si>
  <si>
    <t>The CPU usage is: 0.0 RAM memory % used:84.7 RAM Used (GB):14.434779136</t>
  </si>
  <si>
    <t>The CPU usage is: 0.0 RAM memory % used:84.7 RAM Used (GB):14.435315712</t>
  </si>
  <si>
    <t>The CPU usage is: 0.0 RAM memory % used:84.7 RAM Used (GB):14.43731456</t>
  </si>
  <si>
    <t>The CPU usage is: 0.0 RAM memory % used:84.7 RAM Used (GB):14.432948224</t>
  </si>
  <si>
    <t>The CPU usage is: 0.0 RAM memory % used:84.8 RAM Used (GB):14.444199936</t>
  </si>
  <si>
    <t>The CPU usage is: 0.0 RAM memory % used:84.7 RAM Used (GB):14.438273024</t>
  </si>
  <si>
    <t>The CPU usage is: 0.0 RAM memory % used:84.7 RAM Used (GB):14.435033088</t>
  </si>
  <si>
    <t>The CPU usage is: 0.0 RAM memory % used:84.7 RAM Used (GB):14.433488896</t>
  </si>
  <si>
    <t>The CPU usage is: 10.0 RAM memory % used:84.7 RAM Used (GB):14.435680256</t>
  </si>
  <si>
    <t>The CPU usage is: 0.0 RAM memory % used:84.7 RAM Used (GB):14.43198976</t>
  </si>
  <si>
    <t>The CPU usage is: 0.0 RAM memory % used:84.7 RAM Used (GB):14.434811904</t>
  </si>
  <si>
    <t>The CPU usage is: 0.0 RAM memory % used:84.7 RAM Used (GB):14.4295936</t>
  </si>
  <si>
    <t>The CPU usage is: 0.0 RAM memory % used:84.7 RAM Used (GB):14.43698688</t>
  </si>
  <si>
    <t>The CPU usage is: 0.0 RAM memory % used:84.7 RAM Used (GB):14.432641024</t>
  </si>
  <si>
    <t>The CPU usage is: 0.0 RAM memory % used:84.7 RAM Used (GB):14.435803136</t>
  </si>
  <si>
    <t>The CPU usage is: 0.0 RAM memory % used:84.7 RAM Used (GB):14.437011456</t>
  </si>
  <si>
    <t>The CPU usage is: 0.0 RAM memory % used:84.7 RAM Used (GB):14.435950592</t>
  </si>
  <si>
    <t>The CPU usage is: 0.0 RAM memory % used:84.7 RAM Used (GB):14.436405248</t>
  </si>
  <si>
    <t>The CPU usage is: 0.0 RAM memory % used:84.6 RAM Used (GB):14.424162304</t>
  </si>
  <si>
    <t>The CPU usage is: 0.0 RAM memory % used:86.1 RAM Used (GB):14.666645504</t>
  </si>
  <si>
    <t>The CPU usage is: 0.0 RAM memory % used:87.0 RAM Used (GB):14.818271232</t>
  </si>
  <si>
    <t>The CPU usage is: 33.3 RAM memory % used:84.7 RAM Used (GB):14.432530432</t>
  </si>
  <si>
    <t>The CPU usage is: 0.0 RAM memory % used:84.7 RAM Used (GB):14.435598336</t>
  </si>
  <si>
    <t>The CPU usage is: 0.0 RAM memory % used:84.7 RAM Used (GB):14.435766272</t>
  </si>
  <si>
    <t>The CPU usage is: 20.0 RAM memory % used:84.7 RAM Used (GB):14.435053568</t>
  </si>
  <si>
    <t>The CPU usage is: 0.0 RAM memory % used:84.7 RAM Used (GB):14.433329152</t>
  </si>
  <si>
    <t>The CPU usage is: 0.0 RAM memory % used:84.7 RAM Used (GB):14.432022528</t>
  </si>
  <si>
    <t>The CPU usage is: 0.0 RAM memory % used:85.4 RAM Used (GB):14.561046528</t>
  </si>
  <si>
    <t>The CPU usage is: 0.0 RAM memory % used:86.5 RAM Used (GB):14.73787904</t>
  </si>
  <si>
    <t>The CPU usage is: 0.0 RAM memory % used:86.4 RAM Used (GB):14.724861952</t>
  </si>
  <si>
    <t>The CPU usage is: 0.0 RAM memory % used:84.7 RAM Used (GB):14.428205056</t>
  </si>
  <si>
    <t>The CPU usage is: 0.0 RAM memory % used:84.7 RAM Used (GB):14.43371008</t>
  </si>
  <si>
    <t>The CPU usage is: 0.0 RAM memory % used:84.7 RAM Used (GB):14.433357824</t>
  </si>
  <si>
    <t>The CPU usage is: 0.0 RAM memory % used:84.7 RAM Used (GB):14.431883264</t>
  </si>
  <si>
    <t>The CPU usage is: 0.0 RAM memory % used:84.7 RAM Used (GB):14.432927744</t>
  </si>
  <si>
    <t>The CPU usage is: 0.0 RAM memory % used:84.7 RAM Used (GB):14.431002624</t>
  </si>
  <si>
    <t>The CPU usage is: 0.0 RAM memory % used:84.7 RAM Used (GB):14.43672064</t>
  </si>
  <si>
    <t>The CPU usage is: 0.0 RAM memory % used:84.7 RAM Used (GB):14.43454976</t>
  </si>
  <si>
    <t>The CPU usage is: 0.0 RAM memory % used:84.7 RAM Used (GB):14.43321856</t>
  </si>
  <si>
    <t>The CPU usage is: 0.0 RAM memory % used:84.7 RAM Used (GB):14.435135488</t>
  </si>
  <si>
    <t>The CPU usage is: 0.0 RAM memory % used:84.7 RAM Used (GB):14.433071104</t>
  </si>
  <si>
    <t>The CPU usage is: 0.0 RAM memory % used:84.7 RAM Used (GB):14.434091008</t>
  </si>
  <si>
    <t>The CPU usage is: 0.0 RAM memory % used:84.7 RAM Used (GB):14.429401088</t>
  </si>
  <si>
    <t>The CPU usage is: 0.0 RAM memory % used:84.7 RAM Used (GB):14.44071424</t>
  </si>
  <si>
    <t>The CPU usage is: 0.0 RAM memory % used:84.8 RAM Used (GB):14.442795008</t>
  </si>
  <si>
    <t>The CPU usage is: 0.0 RAM memory % used:84.7 RAM Used (GB):14.442389504</t>
  </si>
  <si>
    <t>The CPU usage is: 0.0 RAM memory % used:84.7 RAM Used (GB):14.438944768</t>
  </si>
  <si>
    <t>The CPU usage is: 0.0 RAM memory % used:84.8 RAM Used (GB):14.444429312</t>
  </si>
  <si>
    <t>The CPU usage is: 0.0 RAM memory % used:84.8 RAM Used (GB):14.44339712</t>
  </si>
  <si>
    <t>The CPU usage is: 0.0 RAM memory % used:84.8 RAM Used (GB):14.443003904</t>
  </si>
  <si>
    <t>The CPU usage is: 0.0 RAM memory % used:84.8 RAM Used (GB):14.443778048</t>
  </si>
  <si>
    <t>The CPU usage is: 0.0 RAM memory % used:84.7 RAM Used (GB):14.438490112</t>
  </si>
  <si>
    <t>The CPU usage is: 0.0 RAM memory % used:84.7 RAM Used (GB):14.430654464</t>
  </si>
  <si>
    <t>The CPU usage is: 0.0 RAM memory % used:84.8 RAM Used (GB):14.443507712</t>
  </si>
  <si>
    <t>The CPU usage is: 0.0 RAM memory % used:84.7 RAM Used (GB):14.432768</t>
  </si>
  <si>
    <t>The CPU usage is: 0.0 RAM memory % used:84.7 RAM Used (GB):14.435852288</t>
  </si>
  <si>
    <t>The CPU usage is: 0.0 RAM memory % used:84.7 RAM Used (GB):14.435422208</t>
  </si>
  <si>
    <t>The CPU usage is: 0.0 RAM memory % used:84.7 RAM Used (GB):14.435856384</t>
  </si>
  <si>
    <t>The CPU usage is: 0.0 RAM memory % used:84.7 RAM Used (GB):14.436569088</t>
  </si>
  <si>
    <t>The CPU usage is: 0.0 RAM memory % used:84.7 RAM Used (GB):14.436909056</t>
  </si>
  <si>
    <t>The CPU usage is: 0.0 RAM memory % used:84.7 RAM Used (GB):14.434840576</t>
  </si>
  <si>
    <t>The CPU usage is: 0.0 RAM memory % used:84.7 RAM Used (GB):14.436864</t>
  </si>
  <si>
    <t>The CPU usage is: 0.0 RAM memory % used:84.7 RAM Used (GB):14.435770368</t>
  </si>
  <si>
    <t>The CPU usage is: 0.0 RAM memory % used:84.8 RAM Used (GB):14.44308992</t>
  </si>
  <si>
    <t>The CPU usage is: 0.0 RAM memory % used:84.7 RAM Used (GB):14.439235584</t>
  </si>
  <si>
    <t>The CPU usage is: 0.0 RAM memory % used:84.7 RAM Used (GB):14.437904384</t>
  </si>
  <si>
    <t>The CPU usage is: 0.0 RAM memory % used:84.8 RAM Used (GB):14.450765824</t>
  </si>
  <si>
    <t>The CPU usage is: 0.0 RAM memory % used:84.7 RAM Used (GB):14.43592192</t>
  </si>
  <si>
    <t>The CPU usage is: 0.0 RAM memory % used:84.7 RAM Used (GB):14.440067072</t>
  </si>
  <si>
    <t>The CPU usage is: 0.0 RAM memory % used:84.7 RAM Used (GB):14.439051264</t>
  </si>
  <si>
    <t>The CPU usage is: 0.0 RAM memory % used:84.7 RAM Used (GB):14.43745792</t>
  </si>
  <si>
    <t>The CPU usage is: 0.0 RAM memory % used:84.7 RAM Used (GB):14.435639296</t>
  </si>
  <si>
    <t>The CPU usage is: 100.0 RAM memory % used:84.7 RAM Used (GB):14.440562688</t>
  </si>
  <si>
    <t>The CPU usage is: 0.0 RAM memory % used:84.7 RAM Used (GB):14.437228544</t>
  </si>
  <si>
    <t>The CPU usage is: 0.0 RAM memory % used:84.7 RAM Used (GB):14.442102784</t>
  </si>
  <si>
    <t>The CPU usage is: 0.0 RAM memory % used:84.7 RAM Used (GB):14.441873408</t>
  </si>
  <si>
    <t>The CPU usage is: 50.0 RAM memory % used:84.7 RAM Used (GB):14.440771584</t>
  </si>
  <si>
    <t>The CPU usage is: 16.7 RAM memory % used:84.7 RAM Used (GB):14.436769792</t>
  </si>
  <si>
    <t>The CPU usage is: 0.0 RAM memory % used:84.7 RAM Used (GB):14.437036032</t>
  </si>
  <si>
    <t>The CPU usage is: 0.0 RAM memory % used:85.7 RAM Used (GB):14.597308416</t>
  </si>
  <si>
    <t>The CPU usage is: 0.0 RAM memory % used:84.7 RAM Used (GB):14.434791424</t>
  </si>
  <si>
    <t>The CPU usage is: 0.0 RAM memory % used:84.7 RAM Used (GB):14.436020224</t>
  </si>
  <si>
    <t>The CPU usage is: 0.0 RAM memory % used:84.7 RAM Used (GB):14.43770368</t>
  </si>
  <si>
    <t>The CPU usage is: 0.0 RAM memory % used:84.7 RAM Used (GB):14.4359424</t>
  </si>
  <si>
    <t>The CPU usage is: 0.0 RAM memory % used:84.7 RAM Used (GB):14.435229696</t>
  </si>
  <si>
    <t>The CPU usage is: 0.0 RAM memory % used:84.7 RAM Used (GB):14.43518464</t>
  </si>
  <si>
    <t>The CPU usage is: 0.0 RAM memory % used:84.7 RAM Used (GB):14.43334144</t>
  </si>
  <si>
    <t>The CPU usage is: 0.0 RAM memory % used:84.7 RAM Used (GB):14.429855744</t>
  </si>
  <si>
    <t>The CPU usage is: 0.0 RAM memory % used:84.7 RAM Used (GB):14.434504704</t>
  </si>
  <si>
    <t>The CPU usage is: 0.0 RAM memory % used:84.7 RAM Used (GB):14.433890304</t>
  </si>
  <si>
    <t>The CPU usage is: 0.0 RAM memory % used:84.7 RAM Used (GB):14.432985088</t>
  </si>
  <si>
    <t>The CPU usage is: 0.0 RAM memory % used:84.7 RAM Used (GB):14.43401728</t>
  </si>
  <si>
    <t>The CPU usage is: 0.0 RAM memory % used:84.7 RAM Used (GB):14.435954688</t>
  </si>
  <si>
    <t>The CPU usage is: 0.0 RAM memory % used:84.7 RAM Used (GB):14.43477504</t>
  </si>
  <si>
    <t>The CPU usage is: 0.0 RAM memory % used:84.7 RAM Used (GB):14.434762752</t>
  </si>
  <si>
    <t>The CPU usage is: 0.0 RAM memory % used:84.8 RAM Used (GB):14.457884672</t>
  </si>
  <si>
    <t>The CPU usage is: 11.1 RAM memory % used:84.9 RAM Used (GB):14.460039168</t>
  </si>
  <si>
    <t>The CPU usage is: 0.0 RAM memory % used:84.8 RAM Used (GB):14.454095872</t>
  </si>
  <si>
    <t>The CPU usage is: 0.0 RAM memory % used:84.9 RAM Used (GB):14.460309504</t>
  </si>
  <si>
    <t>The CPU usage is: 0.0 RAM memory % used:85.1 RAM Used (GB):14.500155392</t>
  </si>
  <si>
    <t>The CPU usage is: 100.0 RAM memory % used:84.8 RAM Used (GB):14.446936064</t>
  </si>
  <si>
    <t>The CPU usage is: 0.0 RAM memory % used:84.8 RAM Used (GB):14.450241536</t>
  </si>
  <si>
    <t>The CPU usage is: 0.0 RAM memory % used:84.9 RAM Used (GB):14.465916928</t>
  </si>
  <si>
    <t>The CPU usage is: 0.0 RAM memory % used:84.8 RAM Used (GB):14.449852416</t>
  </si>
  <si>
    <t>The CPU usage is: 0.0 RAM memory % used:84.7 RAM Used (GB):14.440681472</t>
  </si>
  <si>
    <t>The CPU usage is: 0.0 RAM memory % used:84.8 RAM Used (GB):14.445047808</t>
  </si>
  <si>
    <t>The CPU usage is: 0.0 RAM memory % used:84.8 RAM Used (GB):14.449569792</t>
  </si>
  <si>
    <t>The CPU usage is: 0.0 RAM memory % used:84.8 RAM Used (GB):14.44835328</t>
  </si>
  <si>
    <t>The CPU usage is: 0.0 RAM memory % used:86.9 RAM Used (GB):14.817173504</t>
  </si>
  <si>
    <t>The CPU usage is: 0.0 RAM memory % used:87.2 RAM Used (GB):14.863204352</t>
  </si>
  <si>
    <t>{"valorA":"fogão","valorB":26}</t>
  </si>
  <si>
    <t>{"valorA":"purificador de água","valorB":27}</t>
  </si>
  <si>
    <t>{"valorA":"fogão","valorB":27}</t>
  </si>
  <si>
    <t>{"valorA":"purificador de água","valorB":28}</t>
  </si>
  <si>
    <t>{"valorA":"purificador de água","valorB":29}</t>
  </si>
  <si>
    <t>{"valorA":"carregador de computador","valorB":26}</t>
  </si>
  <si>
    <t>{"valorA":"carregador de computador","valorB":27}</t>
  </si>
  <si>
    <t>{"valorA":"fogão","valorB":28}</t>
  </si>
  <si>
    <t>{"valorA":"carregador de computador","valorB":28}</t>
  </si>
  <si>
    <t>{"valorA":"fogão","valorB":29}</t>
  </si>
  <si>
    <t>{"valorA":"purificador de água","valorB":30}</t>
  </si>
  <si>
    <t>{"valorA":"purificador de água","valorB":31}</t>
  </si>
  <si>
    <t>{"valorA":"relógio","valorB":29}</t>
  </si>
  <si>
    <t>{"valorA":"relógio","valorB":30}</t>
  </si>
  <si>
    <t>{"valorA":"purificador de água","valorB":32}</t>
  </si>
  <si>
    <t>{"valorA":"relógio","valorB":31}</t>
  </si>
  <si>
    <t>{"valorA":"fogão","valorB":30}</t>
  </si>
  <si>
    <t>{"valorA":"purificador de água","valorB":33}</t>
  </si>
  <si>
    <t>{"valorA":"relógio","valorB":32}</t>
  </si>
  <si>
    <t>{"valorA":"carregador de computador","valorB":29}</t>
  </si>
  <si>
    <t>{"valorA":"fogão","valorB":31}</t>
  </si>
  <si>
    <t>{"valorA":"carregador de computador","valorB":30}</t>
  </si>
  <si>
    <t>{"valorA":"purificador de água","valorB":34}</t>
  </si>
  <si>
    <t>The CPU usage is: 0.0 RAM memory % used:80.8 RAM Used (GB):13.768441856</t>
  </si>
  <si>
    <t>The CPU usage is: 0.0 RAM memory % used:80.8 RAM Used (GB):13.765701632</t>
  </si>
  <si>
    <t>The CPU usage is: 0.0 RAM memory % used:80.8 RAM Used (GB):13.762117632</t>
  </si>
  <si>
    <t>The CPU usage is: 100.0 RAM memory % used:80.8 RAM Used (GB):13.767262208</t>
  </si>
  <si>
    <t>The CPU usage is: 0.0 RAM memory % used:80.8 RAM Used (GB):13.771149312</t>
  </si>
  <si>
    <t>The CPU usage is: 0.0 RAM memory % used:80.8 RAM Used (GB):13.771010048</t>
  </si>
  <si>
    <t>The CPU usage is: 100.0 RAM memory % used:80.8 RAM Used (GB):13.769056256</t>
  </si>
  <si>
    <t>The CPU usage is: 0.0 RAM memory % used:80.8 RAM Used (GB):13.769076736</t>
  </si>
  <si>
    <t>The CPU usage is: 0.0 RAM memory % used:80.8 RAM Used (GB):13.771104256</t>
  </si>
  <si>
    <t>The CPU usage is: 0.0 RAM memory % used:80.8 RAM Used (GB):13.769879552</t>
  </si>
  <si>
    <t>The CPU usage is: 0.0 RAM memory % used:80.7 RAM Used (GB):13.760335872</t>
  </si>
  <si>
    <t>The CPU usage is: 0.0 RAM memory % used:80.7 RAM Used (GB):13.758947328</t>
  </si>
  <si>
    <t>The CPU usage is: 0.0 RAM memory % used:82.3 RAM Used (GB):14.032330752</t>
  </si>
  <si>
    <t>The CPU usage is: 0.0 RAM memory % used:80.7 RAM Used (GB):13.751631872</t>
  </si>
  <si>
    <t>The CPU usage is: 0.0 RAM memory % used:80.7 RAM Used (GB):13.751549952</t>
  </si>
  <si>
    <t>The CPU usage is: 0.0 RAM memory % used:80.7 RAM Used (GB):13.744267264</t>
  </si>
  <si>
    <t>The CPU usage is: 16.7 RAM memory % used:82.7 RAM Used (GB):14.099300352</t>
  </si>
  <si>
    <t>The CPU usage is: 9.1 RAM memory % used:80.5 RAM Used (GB):13.71455488</t>
  </si>
  <si>
    <t>The CPU usage is: 0.0 RAM memory % used:80.4 RAM Used (GB):13.702516736</t>
  </si>
  <si>
    <t>The CPU usage is: 0.0 RAM memory % used:80.6 RAM Used (GB):13.741002752</t>
  </si>
  <si>
    <t>The CPU usage is: 0.0 RAM memory % used:80.6 RAM Used (GB):13.739978752</t>
  </si>
  <si>
    <t>The CPU usage is: 0.0 RAM memory % used:80.7 RAM Used (GB):13.749547008</t>
  </si>
  <si>
    <t>The CPU usage is: 0.0 RAM memory % used:80.7 RAM Used (GB):13.7545728</t>
  </si>
  <si>
    <t>The CPU usage is: 0.0 RAM memory % used:80.7 RAM Used (GB):13.753942016</t>
  </si>
  <si>
    <t>The CPU usage is: 0.0 RAM memory % used:80.7 RAM Used (GB):13.746475008</t>
  </si>
  <si>
    <t>The CPU usage is: 0.0 RAM memory % used:80.7 RAM Used (GB):13.745938432</t>
  </si>
  <si>
    <t>The CPU usage is: 0.0 RAM memory % used:80.7 RAM Used (GB):13.744500736</t>
  </si>
  <si>
    <t>The CPU usage is: 0.0 RAM memory % used:80.7 RAM Used (GB):13.74732288</t>
  </si>
  <si>
    <t>The CPU usage is: 0.0 RAM memory % used:80.7 RAM Used (GB):13.74717952</t>
  </si>
  <si>
    <t>The CPU usage is: 0.0 RAM memory % used:80.9 RAM Used (GB):13.79160064</t>
  </si>
  <si>
    <t>The CPU usage is: 0.0 RAM memory % used:81.0 RAM Used (GB):13.797568512</t>
  </si>
  <si>
    <t>The CPU usage is: 100.0 RAM memory % used:81.1 RAM Used (GB):13.815283712</t>
  </si>
  <si>
    <t>The CPU usage is: 0.0 RAM memory % used:81.0 RAM Used (GB):13.796691968</t>
  </si>
  <si>
    <t>The CPU usage is: 0.0 RAM memory % used:81.0 RAM Used (GB):13.79616768</t>
  </si>
  <si>
    <t>The CPU usage is: 0.0 RAM memory % used:80.9 RAM Used (GB):13.783801856</t>
  </si>
  <si>
    <t>The CPU usage is: 0.0 RAM memory % used:80.9 RAM Used (GB):13.78234368</t>
  </si>
  <si>
    <t>The CPU usage is: 0.0 RAM memory % used:80.9 RAM Used (GB):13.787410432</t>
  </si>
  <si>
    <t>The CPU usage is: 100.0 RAM memory % used:81.0 RAM Used (GB):13.80184064</t>
  </si>
  <si>
    <t>The CPU usage is: 0.0 RAM memory % used:81.0 RAM Used (GB):13.805907968</t>
  </si>
  <si>
    <t>The CPU usage is: 0.0 RAM memory % used:81.0 RAM Used (GB):13.806886912</t>
  </si>
  <si>
    <t>The CPU usage is: 0.0 RAM memory % used:81.0 RAM Used (GB):13.80694016</t>
  </si>
  <si>
    <t>The CPU usage is: 0.0 RAM memory % used:81.3 RAM Used (GB):13.856067584</t>
  </si>
  <si>
    <t>The CPU usage is: 0.0 RAM memory % used:80.9 RAM Used (GB):13.786431488</t>
  </si>
  <si>
    <t>The CPU usage is: 0.0 RAM memory % used:81.0 RAM Used (GB):13.804613632</t>
  </si>
  <si>
    <t>The CPU usage is: 0.0 RAM memory % used:80.9 RAM Used (GB):13.778878464</t>
  </si>
  <si>
    <t>The CPU usage is: 0.0 RAM memory % used:80.8 RAM Used (GB):13.777391616</t>
  </si>
  <si>
    <t>The CPU usage is: 0.0 RAM memory % used:80.8 RAM Used (GB):13.76520192</t>
  </si>
  <si>
    <t>The CPU usage is: 0.0 RAM memory % used:80.7 RAM Used (GB):13.75592448</t>
  </si>
  <si>
    <t>The CPU usage is: 0.0 RAM memory % used:80.7 RAM Used (GB):13.758345216</t>
  </si>
  <si>
    <t>The CPU usage is: 0.0 RAM memory % used:80.6 RAM Used (GB):13.728980992</t>
  </si>
  <si>
    <t>The CPU usage is: 0.0 RAM memory % used:80.5 RAM Used (GB):13.713661952</t>
  </si>
  <si>
    <t>The CPU usage is: 0.0 RAM memory % used:80.5 RAM Used (GB):13.711814656</t>
  </si>
  <si>
    <t>The CPU usage is: 0.0 RAM memory % used:80.5 RAM Used (GB):13.71418624</t>
  </si>
  <si>
    <t>The CPU usage is: 0.0 RAM memory % used:80.5 RAM Used (GB):13.713330176</t>
  </si>
  <si>
    <t>The CPU usage is: 0.0 RAM memory % used:80.5 RAM Used (GB):13.717454848</t>
  </si>
  <si>
    <t>The CPU usage is: 0.0 RAM memory % used:80.5 RAM Used (GB):13.723537408</t>
  </si>
  <si>
    <t>The CPU usage is: 0.0 RAM memory % used:80.5 RAM Used (GB):13.717336064</t>
  </si>
  <si>
    <t>The CPU usage is: 0.0 RAM memory % used:80.5 RAM Used (GB):13.719068672</t>
  </si>
  <si>
    <t>The CPU usage is: 0.0 RAM memory % used:81.5 RAM Used (GB):13.895303168</t>
  </si>
  <si>
    <t>The CPU usage is: 25.0 RAM memory % used:80.5 RAM Used (GB):13.711785984</t>
  </si>
  <si>
    <t>The CPU usage is: 0.0 RAM memory % used:80.4 RAM Used (GB):13.708705792</t>
  </si>
  <si>
    <t>The CPU usage is: 0.0 RAM memory % used:81.7 RAM Used (GB):13.924466688</t>
  </si>
  <si>
    <t>The CPU usage is: 0.0 RAM memory % used:80.4 RAM Used (GB):13.698891776</t>
  </si>
  <si>
    <t>The CPU usage is: 0.0 RAM memory % used:80.4 RAM Used (GB):13.701955584</t>
  </si>
  <si>
    <t>The CPU usage is: 0.0 RAM memory % used:80.4 RAM Used (GB):13.692944384</t>
  </si>
  <si>
    <t>The CPU usage is: 0.0 RAM memory % used:80.3 RAM Used (GB):13.688713216</t>
  </si>
  <si>
    <t>The CPU usage is: 0.0 RAM memory % used:80.3 RAM Used (GB):13.688475648</t>
  </si>
  <si>
    <t>The CPU usage is: 11.1 RAM memory % used:80.3 RAM Used (GB):13.687816192</t>
  </si>
  <si>
    <t>The CPU usage is: 0.0 RAM memory % used:80.3 RAM Used (GB):13.684903936</t>
  </si>
  <si>
    <t>The CPU usage is: 100.0 RAM memory % used:80.3 RAM Used (GB):13.688946688</t>
  </si>
  <si>
    <t>The CPU usage is: 0.0 RAM memory % used:80.3 RAM Used (GB):13.687349248</t>
  </si>
  <si>
    <t>The CPU usage is: 0.0 RAM memory % used:80.3 RAM Used (GB):13.688717312</t>
  </si>
  <si>
    <t>The CPU usage is: 0.0 RAM memory % used:82.5 RAM Used (GB):14.060654592</t>
  </si>
  <si>
    <t>The CPU usage is: 0.0 RAM memory % used:80.4 RAM Used (GB):13.69311232</t>
  </si>
  <si>
    <t>The CPU usage is: 0.0 RAM memory % used:80.4 RAM Used (GB):13.69438208</t>
  </si>
  <si>
    <t>The CPU usage is: 0.0 RAM memory % used:80.3 RAM Used (GB):13.680488448</t>
  </si>
  <si>
    <t>The CPU usage is: 0.0 RAM memory % used:80.3 RAM Used (GB):13.680852992</t>
  </si>
  <si>
    <t>The CPU usage is: 0.0 RAM memory % used:80.4 RAM Used (GB):13.69427968</t>
  </si>
  <si>
    <t>The CPU usage is: 0.0 RAM memory % used:80.4 RAM Used (GB):13.6948736</t>
  </si>
  <si>
    <t>The CPU usage is: 0.0 RAM memory % used:80.3 RAM Used (GB):13.689565184</t>
  </si>
  <si>
    <t>The CPU usage is: 0.0 RAM memory % used:80.4 RAM Used (GB):13.692977152</t>
  </si>
  <si>
    <t>The CPU usage is: 0.0 RAM memory % used:80.4 RAM Used (GB):13.697716224</t>
  </si>
  <si>
    <t>The CPU usage is: 0.0 RAM memory % used:80.4 RAM Used (GB):13.697257472</t>
  </si>
  <si>
    <t>The CPU usage is: 25.0 RAM memory % used:80.4 RAM Used (GB):13.701300224</t>
  </si>
  <si>
    <t>The CPU usage is: 0.0 RAM memory % used:80.3 RAM Used (GB):13.690187776</t>
  </si>
  <si>
    <t>The CPU usage is: 0.0 RAM memory % used:80.3 RAM Used (GB):13.6907776</t>
  </si>
  <si>
    <t>The CPU usage is: 0.0 RAM memory % used:80.3 RAM Used (GB):13.692612608</t>
  </si>
  <si>
    <t>The CPU usage is: 0.0 RAM memory % used:80.3 RAM Used (GB):13.692633088</t>
  </si>
  <si>
    <t>The CPU usage is: 0.0 RAM memory % used:80.4 RAM Used (GB):13.694877696</t>
  </si>
  <si>
    <t>The CPU usage is: 0.0 RAM memory % used:80.4 RAM Used (GB):13.696741376</t>
  </si>
  <si>
    <t>The CPU usage is: 0.0 RAM memory % used:80.8 RAM Used (GB):13.763448832</t>
  </si>
  <si>
    <t>The CPU usage is: 0.0 RAM memory % used:82.5 RAM Used (GB):14.05865984</t>
  </si>
  <si>
    <t>The CPU usage is: 25.0 RAM memory % used:82.5 RAM Used (GB):14.0616704</t>
  </si>
  <si>
    <t>The CPU usage is: 0.0 RAM memory % used:81.5 RAM Used (GB):13.884223488</t>
  </si>
  <si>
    <t>The CPU usage is: 0.0 RAM memory % used:80.3 RAM Used (GB):13.691363328</t>
  </si>
  <si>
    <t>The CPU usage is: 0.0 RAM memory % used:80.3 RAM Used (GB):13.685784576</t>
  </si>
  <si>
    <t>The CPU usage is: 0.0 RAM memory % used:82.6 RAM Used (GB):14.071865344</t>
  </si>
  <si>
    <t>The CPU usage is: 0.0 RAM memory % used:80.3 RAM Used (GB):13.687631872</t>
  </si>
  <si>
    <t>The CPU usage is: 0.0 RAM memory % used:80.3 RAM Used (GB):13.69133056</t>
  </si>
  <si>
    <t>The CPU usage is: 0.0 RAM memory % used:80.4 RAM Used (GB):13.697634304</t>
  </si>
  <si>
    <t>The CPU usage is: 0.0 RAM memory % used:80.3 RAM Used (GB):13.691150336</t>
  </si>
  <si>
    <t>The CPU usage is: 0.0 RAM memory % used:80.3 RAM Used (GB):13.687803904</t>
  </si>
  <si>
    <t>The CPU usage is: 0.0 RAM memory % used:80.3 RAM Used (GB):13.688385536</t>
  </si>
  <si>
    <t>The CPU usage is: 0.0 RAM memory % used:80.3 RAM Used (GB):13.69073664</t>
  </si>
  <si>
    <t>The CPU usage is: 0.0 RAM memory % used:80.2 RAM Used (GB):13.671370752</t>
  </si>
  <si>
    <t>The CPU usage is: 0.0 RAM memory % used:80.2 RAM Used (GB):13.674012672</t>
  </si>
  <si>
    <t>The CPU usage is: 0.0 RAM memory % used:80.2 RAM Used (GB):13.675483136</t>
  </si>
  <si>
    <t>The CPU usage is: 0.0 RAM memory % used:80.2 RAM Used (GB):13.673873408</t>
  </si>
  <si>
    <t>The CPU usage is: 0.0 RAM memory % used:80.3 RAM Used (GB):13.681614848</t>
  </si>
  <si>
    <t>The CPU usage is: 50.0 RAM memory % used:80.3 RAM Used (GB):13.68461312</t>
  </si>
  <si>
    <t>The CPU usage is: 0.0 RAM memory % used:80.2 RAM Used (GB):13.674627072</t>
  </si>
  <si>
    <t>The CPU usage is: 0.0 RAM memory % used:80.4 RAM Used (GB):13.69962496</t>
  </si>
  <si>
    <t>The CPU usage is: 0.0 RAM memory % used:80.2 RAM Used (GB):13.672656896</t>
  </si>
  <si>
    <t>The CPU usage is: 0.0 RAM memory % used:80.3 RAM Used (GB):13.68457216</t>
  </si>
  <si>
    <t>The CPU usage is: 0.0 RAM memory % used:80.3 RAM Used (GB):13.677395968</t>
  </si>
  <si>
    <t>The CPU usage is: 0.0 RAM memory % used:80.3 RAM Used (GB):13.683167232</t>
  </si>
  <si>
    <t>The CPU usage is: 0.0 RAM memory % used:80.3 RAM Used (GB):13.68082432</t>
  </si>
  <si>
    <t>The CPU usage is: 0.0 RAM memory % used:80.4 RAM Used (GB):13.696909312</t>
  </si>
  <si>
    <t>The CPU usage is: 0.0 RAM memory % used:80.3 RAM Used (GB):13.680345088</t>
  </si>
  <si>
    <t>The CPU usage is: 0.0 RAM memory % used:80.3 RAM Used (GB):13.676265472</t>
  </si>
  <si>
    <t>The CPU usage is: 0.0 RAM memory % used:80.3 RAM Used (GB):13.692014592</t>
  </si>
  <si>
    <t>The CPU usage is: 0.0 RAM memory % used:80.4 RAM Used (GB):13.701808128</t>
  </si>
  <si>
    <t>The CPU usage is: 0.0 RAM memory % used:80.4 RAM Used (GB):13.70417152</t>
  </si>
  <si>
    <t>The CPU usage is: 0.0 RAM memory % used:80.3 RAM Used (GB):13.690310656</t>
  </si>
  <si>
    <t>The CPU usage is: 0.0 RAM memory % used:80.2 RAM Used (GB):13.673684992</t>
  </si>
  <si>
    <t>The CPU usage is: 0.0 RAM memory % used:80.2 RAM Used (GB):13.674848256</t>
  </si>
  <si>
    <t>The CPU usage is: 100.0 RAM memory % used:80.2 RAM Used (GB):13.669654528</t>
  </si>
  <si>
    <t>The CPU usage is: 0.0 RAM memory % used:80.2 RAM Used (GB):13.667176448</t>
  </si>
  <si>
    <t>The CPU usage is: 0.0 RAM memory % used:80.2 RAM Used (GB):13.665226752</t>
  </si>
  <si>
    <t>The CPU usage is: 0.0 RAM memory % used:80.2 RAM Used (GB):13.668499456</t>
  </si>
  <si>
    <t>The CPU usage is: 100.0 RAM memory % used:80.2 RAM Used (GB):13.670842368</t>
  </si>
  <si>
    <t>The CPU usage is: 0.0 RAM memory % used:80.2 RAM Used (GB):13.671735296</t>
  </si>
  <si>
    <t>The CPU usage is: 0.0 RAM memory % used:80.2 RAM Used (GB):13.670895616</t>
  </si>
  <si>
    <t>The CPU usage is: 0.0 RAM memory % used:80.2 RAM Used (GB):13.672546304</t>
  </si>
  <si>
    <t>The CPU usage is: 0.0 RAM memory % used:80.2 RAM Used (GB):13.671030784</t>
  </si>
  <si>
    <t>The CPU usage is: 0.0 RAM memory % used:80.3 RAM Used (GB):13.682499584</t>
  </si>
  <si>
    <t>The CPU usage is: 0.0 RAM memory % used:80.2 RAM Used (GB):13.673504768</t>
  </si>
  <si>
    <t>The CPU usage is: 0.0 RAM memory % used:80.2 RAM Used (GB):13.668610048</t>
  </si>
  <si>
    <t>The CPU usage is: 0.0 RAM memory % used:80.2 RAM Used (GB):13.6725504</t>
  </si>
  <si>
    <t>The CPU usage is: 0.0 RAM memory % used:80.2 RAM Used (GB):13.673459712</t>
  </si>
  <si>
    <t>The CPU usage is: 0.0 RAM memory % used:80.2 RAM Used (GB):13.673771008</t>
  </si>
  <si>
    <t>The CPU usage is: 0.0 RAM memory % used:80.2 RAM Used (GB):13.674364928</t>
  </si>
  <si>
    <t>The CPU usage is: 0.0 RAM memory % used:80.3 RAM Used (GB):13.67638016</t>
  </si>
  <si>
    <t>The CPU usage is: 0.0 RAM memory % used:80.3 RAM Used (GB):13.677092864</t>
  </si>
  <si>
    <t>The CPU usage is: 0.0 RAM memory % used:80.2 RAM Used (GB):13.670739968</t>
  </si>
  <si>
    <t>The CPU usage is: 0.0 RAM memory % used:80.2 RAM Used (GB):13.660512256</t>
  </si>
  <si>
    <t>The CPU usage is: 0.0 RAM memory % used:80.2 RAM Used (GB):13.671800832</t>
  </si>
  <si>
    <t>The CPU usage is: 0.0 RAM memory % used:80.2 RAM Used (GB):13.66790144</t>
  </si>
  <si>
    <t>The CPU usage is: 0.0 RAM memory % used:80.2 RAM Used (GB):13.66786048</t>
  </si>
  <si>
    <t>The CPU usage is: 0.0 RAM memory % used:80.2 RAM Used (GB):13.669720064</t>
  </si>
  <si>
    <t>The CPU usage is: 0.0 RAM memory % used:80.2 RAM Used (GB):13.6690688</t>
  </si>
  <si>
    <t>The CPU usage is: 0.0 RAM memory % used:80.2 RAM Used (GB):13.66847488</t>
  </si>
  <si>
    <t>The CPU usage is: 0.0 RAM memory % used:80.2 RAM Used (GB):13.670957056</t>
  </si>
  <si>
    <t>The CPU usage is: 0.0 RAM memory % used:80.2 RAM Used (GB):13.67269376</t>
  </si>
  <si>
    <t>The CPU usage is: 0.0 RAM memory % used:80.2 RAM Used (GB):13.67351296</t>
  </si>
  <si>
    <t>The CPU usage is: 0.0 RAM memory % used:80.2 RAM Used (GB):13.670731776</t>
  </si>
  <si>
    <t>The CPU usage is: 0.0 RAM memory % used:80.2 RAM Used (GB):13.670146048</t>
  </si>
  <si>
    <t>The CPU usage is: 0.0 RAM memory % used:80.2 RAM Used (GB):13.669179392</t>
  </si>
  <si>
    <t>The CPU usage is: 0.0 RAM memory % used:80.2 RAM Used (GB):13.672296448</t>
  </si>
  <si>
    <t>The CPU usage is: 0.0 RAM memory % used:80.2 RAM Used (GB):13.665828864</t>
  </si>
  <si>
    <t>The CPU usage is: 0.0 RAM memory % used:80.2 RAM Used (GB):13.665284096</t>
  </si>
  <si>
    <t>The CPU usage is: 0.0 RAM memory % used:80.2 RAM Used (GB):13.664313344</t>
  </si>
  <si>
    <t>The CPU usage is: 0.0 RAM memory % used:80.1 RAM Used (GB):13.656322048</t>
  </si>
  <si>
    <t>The CPU usage is: 0.0 RAM memory % used:80.2 RAM Used (GB):13.660823552</t>
  </si>
  <si>
    <t>The CPU usage is: 0.0 RAM memory % used:80.2 RAM Used (GB):13.661515776</t>
  </si>
  <si>
    <t>The CPU usage is: 0.0 RAM memory % used:81.7 RAM Used (GB):13.9215872</t>
  </si>
  <si>
    <t>The CPU usage is: 0.0 RAM memory % used:80.2 RAM Used (GB):13.665165312</t>
  </si>
  <si>
    <t>The CPU usage is: 0.0 RAM memory % used:80.2 RAM Used (GB):13.664157696</t>
  </si>
  <si>
    <t>The CPU usage is: 0.0 RAM memory % used:80.2 RAM Used (GB):13.665701888</t>
  </si>
  <si>
    <t>The CPU usage is: 0.0 RAM memory % used:80.2 RAM Used (GB):13.667069952</t>
  </si>
  <si>
    <t>The CPU usage is: 16.7 RAM memory % used:82.4 RAM Used (GB):14.035636224</t>
  </si>
  <si>
    <t>The CPU usage is: 0.0 RAM memory % used:82.2 RAM Used (GB):14.009397248</t>
  </si>
  <si>
    <t>The CPU usage is: 0.0 RAM memory % used:81.8 RAM Used (GB):13.942284288</t>
  </si>
  <si>
    <t>The CPU usage is: 0.0 RAM memory % used:80.2 RAM Used (GB):13.664948224</t>
  </si>
  <si>
    <t>The CPU usage is: 0.0 RAM memory % used:80.2 RAM Used (GB):13.666807808</t>
  </si>
  <si>
    <t>The CPU usage is: 0.0 RAM memory % used:80.2 RAM Used (GB):13.666668544</t>
  </si>
  <si>
    <t>The CPU usage is: 0.0 RAM memory % used:80.2 RAM Used (GB):13.668712448</t>
  </si>
  <si>
    <t>The CPU usage is: 0.0 RAM memory % used:80.2 RAM Used (GB):13.66560768</t>
  </si>
  <si>
    <t>The CPU usage is: 0.0 RAM memory % used:80.2 RAM Used (GB):13.667811328</t>
  </si>
  <si>
    <t>The CPU usage is: 0.0 RAM memory % used:80.2 RAM Used (GB):13.66659072</t>
  </si>
  <si>
    <t>The CPU usage is: 0.0 RAM memory % used:80.2 RAM Used (GB):13.665030144</t>
  </si>
  <si>
    <t>The CPU usage is: 0.0 RAM memory % used:80.2 RAM Used (GB):13.664284672</t>
  </si>
  <si>
    <t>The CPU usage is: 0.0 RAM memory % used:80.2 RAM Used (GB):13.666648064</t>
  </si>
  <si>
    <t>The CPU usage is: 0.0 RAM memory % used:80.2 RAM Used (GB):13.66605824</t>
  </si>
  <si>
    <t>The CPU usage is: 50.0 RAM memory % used:80.2 RAM Used (GB):13.667807232</t>
  </si>
  <si>
    <t>The CPU usage is: 0.0 RAM memory % used:80.2 RAM Used (GB):13.671653376</t>
  </si>
  <si>
    <t>The CPU usage is: 0.0 RAM memory % used:80.2 RAM Used (GB):13.665865728</t>
  </si>
  <si>
    <t>The CPU usage is: 0.0 RAM memory % used:80.2 RAM Used (GB):13.674614784</t>
  </si>
  <si>
    <t>The CPU usage is: 0.0 RAM memory % used:80.2 RAM Used (GB):13.6735744</t>
  </si>
  <si>
    <t>The CPU usage is: 0.0 RAM memory % used:80.2 RAM Used (GB):13.67271424</t>
  </si>
  <si>
    <t>The CPU usage is: 0.0 RAM memory % used:80.2 RAM Used (GB):13.67242752</t>
  </si>
  <si>
    <t>The CPU usage is: 0.0 RAM memory % used:80.2 RAM Used (GB):13.664198656</t>
  </si>
  <si>
    <t>The CPU usage is: 0.0 RAM memory % used:80.1 RAM Used (GB):13.658243072</t>
  </si>
  <si>
    <t>The CPU usage is: 0.0 RAM memory % used:80.2 RAM Used (GB):13.662171136</t>
  </si>
  <si>
    <t>The CPU usage is: 0.0 RAM memory % used:80.2 RAM Used (GB):13.661310976</t>
  </si>
  <si>
    <t>The CPU usage is: 0.0 RAM memory % used:80.2 RAM Used (GB):13.660839936</t>
  </si>
  <si>
    <t>The CPU usage is: 0.0 RAM memory % used:80.2 RAM Used (GB):13.661319168</t>
  </si>
  <si>
    <t>The CPU usage is: 0.0 RAM memory % used:80.2 RAM Used (GB):13.663674368</t>
  </si>
  <si>
    <t>The CPU usage is: 0.0 RAM memory % used:80.2 RAM Used (GB):13.665087488</t>
  </si>
  <si>
    <t>The CPU usage is: 0.0 RAM memory % used:80.2 RAM Used (GB):13.663617024</t>
  </si>
  <si>
    <t>The CPU usage is: 0.0 RAM memory % used:80.2 RAM Used (GB):13.667065856</t>
  </si>
  <si>
    <t>The CPU usage is: 11.1 RAM memory % used:80.2 RAM Used (GB):13.663453184</t>
  </si>
  <si>
    <t>The CPU usage is: 0.0 RAM memory % used:80.2 RAM Used (GB):13.670985728</t>
  </si>
  <si>
    <t>The CPU usage is: 0.0 RAM memory % used:80.2 RAM Used (GB):13.671686144</t>
  </si>
  <si>
    <t>The CPU usage is: 0.0 RAM memory % used:81.1 RAM Used (GB):13.822877696</t>
  </si>
  <si>
    <t>The CPU usage is: 0.0 RAM memory % used:80.2 RAM Used (GB):13.670572032</t>
  </si>
  <si>
    <t>The CPU usage is: 0.0 RAM memory % used:80.2 RAM Used (GB):13.666422784</t>
  </si>
  <si>
    <t>The CPU usage is: 0.0 RAM memory % used:80.4 RAM Used (GB):13.700714496</t>
  </si>
  <si>
    <t>The CPU usage is: 0.0 RAM memory % used:80.4 RAM Used (GB):13.707177984</t>
  </si>
  <si>
    <t>The CPU usage is: 0.0 RAM memory % used:80.4 RAM Used (GB):13.708218368</t>
  </si>
  <si>
    <t>The CPU usage is: 0.0 RAM memory % used:80.4 RAM Used (GB):13.707165696</t>
  </si>
  <si>
    <t>The CPU usage is: 0.0 RAM memory % used:80.4 RAM Used (GB):13.707214848</t>
  </si>
  <si>
    <t>The CPU usage is: 0.0 RAM memory % used:80.5 RAM Used (GB):13.718417408</t>
  </si>
  <si>
    <t>The CPU usage is: 0.0 RAM memory % used:80.4 RAM Used (GB):13.70068992</t>
  </si>
  <si>
    <t>The CPU usage is: 12.5 RAM memory % used:80.4 RAM Used (GB):13.698142208</t>
  </si>
  <si>
    <t>The CPU usage is: 0.0 RAM memory % used:80.3 RAM Used (GB):13.69024512</t>
  </si>
  <si>
    <t>The CPU usage is: 0.0 RAM memory % used:80.3 RAM Used (GB):13.688848384</t>
  </si>
  <si>
    <t>The CPU usage is: 0.0 RAM memory % used:80.4 RAM Used (GB):13.696548864</t>
  </si>
  <si>
    <t>The CPU usage is: 0.0 RAM memory % used:82.7 RAM Used (GB):14.086316032</t>
  </si>
  <si>
    <t>The CPU usage is: 0.0 RAM memory % used:81.1 RAM Used (GB):13.826945024</t>
  </si>
  <si>
    <t>The CPU usage is: 0.0 RAM memory % used:81.4 RAM Used (GB):13.870587904</t>
  </si>
  <si>
    <t>The CPU usage is: 0.0 RAM memory % used:81.4 RAM Used (GB):13.872398336</t>
  </si>
  <si>
    <t>The CPU usage is: 0.0 RAM memory % used:80.4 RAM Used (GB):13.698080768</t>
  </si>
  <si>
    <t>The CPU usage is: 0.0 RAM memory % used:80.3 RAM Used (GB):13.691854848</t>
  </si>
  <si>
    <t>The CPU usage is: 0.0 RAM memory % used:80.3 RAM Used (GB):13.68803328</t>
  </si>
  <si>
    <t>The CPU usage is: 0.0 RAM memory % used:80.3 RAM Used (GB):13.691498496</t>
  </si>
  <si>
    <t>The CPU usage is: 0.0 RAM memory % used:80.4 RAM Used (GB):13.692874752</t>
  </si>
  <si>
    <t>The CPU usage is: 20.0 RAM memory % used:80.4 RAM Used (GB):13.696352256</t>
  </si>
  <si>
    <t>The CPU usage is: 0.0 RAM memory % used:80.3 RAM Used (GB):13.692174336</t>
  </si>
  <si>
    <t>The CPU usage is: 0.0 RAM memory % used:80.3 RAM Used (GB):13.689974784</t>
  </si>
  <si>
    <t>The CPU usage is: 0.0 RAM memory % used:80.4 RAM Used (GB):13.697847296</t>
  </si>
  <si>
    <t>The CPU usage is: 0.0 RAM memory % used:80.3 RAM Used (GB):13.689516032</t>
  </si>
  <si>
    <t>The CPU usage is: 0.0 RAM memory % used:80.4 RAM Used (GB):13.693616128</t>
  </si>
  <si>
    <t>The CPU usage is: 0.0 RAM memory % used:80.3 RAM Used (GB):13.69044992</t>
  </si>
  <si>
    <t>The CPU usage is: 100.0 RAM memory % used:80.3 RAM Used (GB):13.6896512</t>
  </si>
  <si>
    <t>The CPU usage is: 0.0 RAM memory % used:80.3 RAM Used (GB):13.680320512</t>
  </si>
  <si>
    <t>The CPU usage is: 0.0 RAM memory % used:80.2 RAM Used (GB):13.670027264</t>
  </si>
  <si>
    <t>The CPU usage is: 0.0 RAM memory % used:80.2 RAM Used (GB):13.669613568</t>
  </si>
  <si>
    <t>The CPU usage is: 10.0 RAM memory % used:80.2 RAM Used (GB):13.670510592</t>
  </si>
  <si>
    <t>The CPU usage is: 0.0 RAM memory % used:80.2 RAM Used (GB):13.6689664</t>
  </si>
  <si>
    <t>The CPU usage is: 0.0 RAM memory % used:80.2 RAM Used (GB):13.671317504</t>
  </si>
  <si>
    <t>The CPU usage is: 100.0 RAM memory % used:80.2 RAM Used (GB):13.671579648</t>
  </si>
  <si>
    <t>The CPU usage is: 0.0 RAM memory % used:80.2 RAM Used (GB):13.672255488</t>
  </si>
  <si>
    <t>The CPU usage is: 0.0 RAM memory % used:80.2 RAM Used (GB):13.670375424</t>
  </si>
  <si>
    <t>The CPU usage is: 0.0 RAM memory % used:80.2 RAM Used (GB):13.666615296</t>
  </si>
  <si>
    <t>The CPU usage is: 10.0 RAM memory % used:80.2 RAM Used (GB):13.670084608</t>
  </si>
  <si>
    <t>The CPU usage is: 0.0 RAM memory % used:80.2 RAM Used (GB):13.669543936</t>
  </si>
  <si>
    <t>The CPU usage is: 0.0 RAM memory % used:80.2 RAM Used (GB):13.673467904</t>
  </si>
  <si>
    <t>The CPU usage is: 0.0 RAM memory % used:80.2 RAM Used (GB):13.675102208</t>
  </si>
  <si>
    <t>The CPU usage is: 0.0 RAM memory % used:80.2 RAM Used (GB):13.672906752</t>
  </si>
  <si>
    <t>The CPU usage is: 0.0 RAM memory % used:80.2 RAM Used (GB):13.674569728</t>
  </si>
  <si>
    <t>The CPU usage is: 0.0 RAM memory % used:80.2 RAM Used (GB):13.66616064</t>
  </si>
  <si>
    <t>The CPU usage is: 0.0 RAM memory % used:80.2 RAM Used (GB):13.668220928</t>
  </si>
  <si>
    <t>The CPU usage is: 0.0 RAM memory % used:80.2 RAM Used (GB):13.669031936</t>
  </si>
  <si>
    <t>The CPU usage is: 0.0 RAM memory % used:80.2 RAM Used (GB):13.670248448</t>
  </si>
  <si>
    <t>The CPU usage is: 0.0 RAM memory % used:80.2 RAM Used (GB):13.668356096</t>
  </si>
  <si>
    <t>The CPU usage is: 0.0 RAM memory % used:81.4 RAM Used (GB):13.86815488</t>
  </si>
  <si>
    <t>The CPU usage is: 0.0 RAM memory % used:79.8 RAM Used (GB):13.601943552</t>
  </si>
  <si>
    <t>The CPU usage is: 0.0 RAM memory % used:79.8 RAM Used (GB):13.60095232</t>
  </si>
  <si>
    <t>The CPU usage is: 0.0 RAM memory % used:79.8 RAM Used (GB):13.602873344</t>
  </si>
  <si>
    <t>The CPU usage is: 0.0 RAM memory % used:80.6 RAM Used (GB):13.729398784</t>
  </si>
  <si>
    <t>The CPU usage is: 0.0 RAM memory % used:79.8 RAM Used (GB):13.603487744</t>
  </si>
  <si>
    <t>The CPU usage is: 0.0 RAM memory % used:80.0 RAM Used (GB):13.633449984</t>
  </si>
  <si>
    <t>The CPU usage is: 0.0 RAM memory % used:81.0 RAM Used (GB):13.807095808</t>
  </si>
  <si>
    <t>The CPU usage is: 0.0 RAM memory % used:79.8 RAM Used (GB):13.596504064</t>
  </si>
  <si>
    <t>The CPU usage is: 14.3 RAM memory % used:79.8 RAM Used (GB):13.596381184</t>
  </si>
  <si>
    <t>The CPU usage is: 0.0 RAM memory % used:82.2 RAM Used (GB):14.010118144</t>
  </si>
  <si>
    <t>The CPU usage is: 0.0 RAM memory % used:79.6 RAM Used (GB):13.557026816</t>
  </si>
  <si>
    <t>The CPU usage is: 0.0 RAM memory % used:79.6 RAM Used (GB):13.558874112</t>
  </si>
  <si>
    <t>The CPU usage is: 0.0 RAM memory % used:79.6 RAM Used (GB):13.5600128</t>
  </si>
  <si>
    <t>The CPU usage is: 0.0 RAM memory % used:79.6 RAM Used (GB):13.559943168</t>
  </si>
  <si>
    <t>The CPU usage is: 0.0 RAM memory % used:79.6 RAM Used (GB):13.565497344</t>
  </si>
  <si>
    <t>The CPU usage is: 0.0 RAM memory % used:81.3 RAM Used (GB):13.859835904</t>
  </si>
  <si>
    <t>The CPU usage is: 0.0 RAM memory % used:81.0 RAM Used (GB):13.801213952</t>
  </si>
  <si>
    <t>The CPU usage is: 0.0 RAM memory % used:79.6 RAM Used (GB):13.571272704</t>
  </si>
  <si>
    <t>The CPU usage is: 0.0 RAM memory % used:79.6 RAM Used (GB):13.570215936</t>
  </si>
  <si>
    <t>The CPU usage is: 50.0 RAM memory % used:79.7 RAM Used (GB):13.574606848</t>
  </si>
  <si>
    <t>The CPU usage is: 0.0 RAM memory % used:79.5 RAM Used (GB):13.550747648</t>
  </si>
  <si>
    <t>The CPU usage is: 11.1 RAM memory % used:79.5 RAM Used (GB):13.551423488</t>
  </si>
  <si>
    <t>The CPU usage is: 0.0 RAM memory % used:79.5 RAM Used (GB):13.552930816</t>
  </si>
  <si>
    <t>The CPU usage is: 0.0 RAM memory % used:79.6 RAM Used (GB):13.556731904</t>
  </si>
  <si>
    <t>The CPU usage is: 0.0 RAM memory % used:79.5 RAM Used (GB):13.54971136</t>
  </si>
  <si>
    <t>The CPU usage is: 0.0 RAM memory % used:79.5 RAM Used (GB):13.554532352</t>
  </si>
  <si>
    <t>The CPU usage is: 0.0 RAM memory % used:79.5 RAM Used (GB):13.549461504</t>
  </si>
  <si>
    <t>The CPU usage is: 10.0 RAM memory % used:79.5 RAM Used (GB):13.555515392</t>
  </si>
  <si>
    <t>The CPU usage is: 0.0 RAM memory % used:79.5 RAM Used (GB):13.553647616</t>
  </si>
  <si>
    <t>The CPU usage is: 0.0 RAM memory % used:79.5 RAM Used (GB):13.556174848</t>
  </si>
  <si>
    <t>The CPU usage is: 0.0 RAM memory % used:79.5 RAM Used (GB):13.542879232</t>
  </si>
  <si>
    <t>The CPU usage is: 0.0 RAM memory % used:79.4 RAM Used (GB):13.53795584</t>
  </si>
  <si>
    <t>The CPU usage is: 0.0 RAM memory % used:79.4 RAM Used (GB):13.53811968</t>
  </si>
  <si>
    <t>The CPU usage is: 0.0 RAM memory % used:79.5 RAM Used (GB):13.545836544</t>
  </si>
  <si>
    <t>The CPU usage is: 0.0 RAM memory % used:79.5 RAM Used (GB):13.540712448</t>
  </si>
  <si>
    <t>The CPU usage is: 0.0 RAM memory % used:79.5 RAM Used (GB):13.539364864</t>
  </si>
  <si>
    <t>The CPU usage is: 0.0 RAM memory % used:79.5 RAM Used (GB):13.54323968</t>
  </si>
  <si>
    <t>The CPU usage is: 0.0 RAM memory % used:79.5 RAM Used (GB):13.542985728</t>
  </si>
  <si>
    <t>The CPU usage is: 0.0 RAM memory % used:79.5 RAM Used (GB):13.547696128</t>
  </si>
  <si>
    <t>The CPU usage is: 0.0 RAM memory % used:79.5 RAM Used (GB):13.542150144</t>
  </si>
  <si>
    <t>The CPU usage is: 0.0 RAM memory % used:79.5 RAM Used (GB):13.546266624</t>
  </si>
  <si>
    <t>The CPU usage is: 0.0 RAM memory % used:81.6 RAM Used (GB):13.904175104</t>
  </si>
  <si>
    <t>The CPU usage is: 0.0 RAM memory % used:80.1 RAM Used (GB):13.656215552</t>
  </si>
  <si>
    <t>The CPU usage is: 0.0 RAM memory % used:80.9 RAM Used (GB):13.785632768</t>
  </si>
  <si>
    <t>The CPU usage is: 14.3 RAM memory % used:80.0 RAM Used (GB):13.6265728</t>
  </si>
  <si>
    <t>The CPU usage is: 0.0 RAM memory % used:79.6 RAM Used (GB):13.564854272</t>
  </si>
  <si>
    <t>The CPU usage is: 0.0 RAM memory % used:79.4 RAM Used (GB):13.538598912</t>
  </si>
  <si>
    <t>The CPU usage is: 0.0 RAM memory % used:79.5 RAM Used (GB):13.543899136</t>
  </si>
  <si>
    <t>The CPU usage is: 0.0 RAM memory % used:79.5 RAM Used (GB):13.543579648</t>
  </si>
  <si>
    <t>The CPU usage is: 0.0 RAM memory % used:79.5 RAM Used (GB):13.543620608</t>
  </si>
  <si>
    <t>The CPU usage is: 0.0 RAM memory % used:79.5 RAM Used (GB):13.542490112</t>
  </si>
  <si>
    <t>The CPU usage is: 0.0 RAM memory % used:79.5 RAM Used (GB):13.54295296</t>
  </si>
  <si>
    <t>The CPU usage is: 0.0 RAM memory % used:79.5 RAM Used (GB):13.543985152</t>
  </si>
  <si>
    <t>The CPU usage is: 0.0 RAM memory % used:79.5 RAM Used (GB):13.545996288</t>
  </si>
  <si>
    <t>The CPU usage is: 0.0 RAM memory % used:79.5 RAM Used (GB):13.544759296</t>
  </si>
  <si>
    <t>The CPU usage is: 0.0 RAM memory % used:79.5 RAM Used (GB):13.545742336</t>
  </si>
  <si>
    <t>The CPU usage is: 0.0 RAM memory % used:79.5 RAM Used (GB):13.546729472</t>
  </si>
  <si>
    <t>The CPU usage is: 0.0 RAM memory % used:79.5 RAM Used (GB):13.54469376</t>
  </si>
  <si>
    <t>The CPU usage is: 0.0 RAM memory % used:79.5 RAM Used (GB):13.547057152</t>
  </si>
  <si>
    <t>The CPU usage is: 0.0 RAM memory % used:80.8 RAM Used (GB):13.76114688</t>
  </si>
  <si>
    <t>The CPU usage is: 0.0 RAM memory % used:79.5 RAM Used (GB):13.549084672</t>
  </si>
  <si>
    <t>The CPU usage is: 0.0 RAM memory % used:81.9 RAM Used (GB):13.957582848</t>
  </si>
  <si>
    <t>The CPU usage is: 0.0 RAM memory % used:79.5 RAM Used (GB):13.551906816</t>
  </si>
  <si>
    <t>The CPU usage is: 0.0 RAM memory % used:79.5 RAM Used (GB):13.54940416</t>
  </si>
  <si>
    <t>The CPU usage is: 0.0 RAM memory % used:79.5 RAM Used (GB):13.554573312</t>
  </si>
  <si>
    <t>The CPU usage is: 0.0 RAM memory % used:79.5 RAM Used (GB):13.548081152</t>
  </si>
  <si>
    <t>The CPU usage is: 0.0 RAM memory % used:79.5 RAM Used (GB):13.551382528</t>
  </si>
  <si>
    <t>The CPU usage is: 0.0 RAM memory % used:79.5 RAM Used (GB):13.54672128</t>
  </si>
  <si>
    <t>The CPU usage is: 0.0 RAM memory % used:79.5 RAM Used (GB):13.545320448</t>
  </si>
  <si>
    <t>The CPU usage is: 0.0 RAM memory % used:79.5 RAM Used (GB):13.54817536</t>
  </si>
  <si>
    <t>The CPU usage is: 12.5 RAM memory % used:79.5 RAM Used (GB):13.54817536</t>
  </si>
  <si>
    <t>The CPU usage is: 0.0 RAM memory % used:79.5 RAM Used (GB):13.550600192</t>
  </si>
  <si>
    <t>The CPU usage is: 0.0 RAM memory % used:79.5 RAM Used (GB):13.551263744</t>
  </si>
  <si>
    <t>The CPU usage is: 0.0 RAM memory % used:79.6 RAM Used (GB):13.566193664</t>
  </si>
  <si>
    <t>The CPU usage is: 0.0 RAM memory % used:79.5 RAM Used (GB):13.554835456</t>
  </si>
  <si>
    <t>The CPU usage is: 0.0 RAM memory % used:79.5 RAM Used (GB):13.55573248</t>
  </si>
  <si>
    <t>The CPU usage is: 0.0 RAM memory % used:79.6 RAM Used (GB):13.55634688</t>
  </si>
  <si>
    <t>The CPU usage is: 12.5 RAM memory % used:79.5 RAM Used (GB):13.553680384</t>
  </si>
  <si>
    <t>The CPU usage is: 0.0 RAM memory % used:79.6 RAM Used (GB):13.564633088</t>
  </si>
  <si>
    <t>The CPU usage is: 0.0 RAM memory % used:79.6 RAM Used (GB):13.556740096</t>
  </si>
  <si>
    <t>The CPU usage is: 0.0 RAM memory % used:79.5 RAM Used (GB):13.555769344</t>
  </si>
  <si>
    <t>The CPU usage is: 0.0 RAM memory % used:79.5 RAM Used (GB):13.55610112</t>
  </si>
  <si>
    <t>The CPU usage is: 0.0 RAM memory % used:79.6 RAM Used (GB):13.556928512</t>
  </si>
  <si>
    <t>The CPU usage is: 0.0 RAM memory % used:79.6 RAM Used (GB):13.560479744</t>
  </si>
  <si>
    <t>The CPU usage is: 100.0 RAM memory % used:79.7 RAM Used (GB):13.588443136</t>
  </si>
  <si>
    <t>The CPU usage is: 0.0 RAM memory % used:79.6 RAM Used (GB):13.560164352</t>
  </si>
  <si>
    <t>The CPU usage is: 0.0 RAM memory % used:79.6 RAM Used (GB):13.563502592</t>
  </si>
  <si>
    <t>The CPU usage is: 0.0 RAM memory % used:79.6 RAM Used (GB):13.564719104</t>
  </si>
  <si>
    <t>The CPU usage is: 16.7 RAM memory % used:79.6 RAM Used (GB):13.562023936</t>
  </si>
  <si>
    <t>The CPU usage is: 100.0 RAM memory % used:79.6 RAM Used (GB):13.56449792</t>
  </si>
  <si>
    <t>The CPU usage is: 0.0 RAM memory % used:79.6 RAM Used (GB):13.564223488</t>
  </si>
  <si>
    <t>The CPU usage is: 0.0 RAM memory % used:81.0 RAM Used (GB):13.808111616</t>
  </si>
  <si>
    <t>The CPU usage is: 0.0 RAM memory % used:81.4 RAM Used (GB):13.864071168</t>
  </si>
  <si>
    <t>The CPU usage is: 0.0 RAM memory % used:81.6 RAM Used (GB):13.90088192</t>
  </si>
  <si>
    <t>The CPU usage is: 0.0 RAM memory % used:79.6 RAM Used (GB):13.565730816</t>
  </si>
  <si>
    <t>The CPU usage is: 0.0 RAM memory % used:79.6 RAM Used (GB):13.563977728</t>
  </si>
  <si>
    <t>The CPU usage is: 0.0 RAM memory % used:79.6 RAM Used (GB):13.567688704</t>
  </si>
  <si>
    <t>The CPU usage is: 0.0 RAM memory % used:79.8 RAM Used (GB):13.605507072</t>
  </si>
  <si>
    <t>The CPU usage is: 0.0 RAM memory % used:79.6 RAM Used (GB):13.558894592</t>
  </si>
  <si>
    <t>The CPU usage is: 0.0 RAM memory % used:79.6 RAM Used (GB):13.560385536</t>
  </si>
  <si>
    <t>The CPU usage is: 20.0 RAM memory % used:79.6 RAM Used (GB):13.561114624</t>
  </si>
  <si>
    <t>The CPU usage is: 0.0 RAM memory % used:79.6 RAM Used (GB):13.560651776</t>
  </si>
  <si>
    <t>The CPU usage is: 0.0 RAM memory % used:79.6 RAM Used (GB):13.560086528</t>
  </si>
  <si>
    <t>The CPU usage is: 0.0 RAM memory % used:79.6 RAM Used (GB):13.557346304</t>
  </si>
  <si>
    <t>The CPU usage is: 100.0 RAM memory % used:79.6 RAM Used (GB):13.560766464</t>
  </si>
  <si>
    <t>The CPU usage is: 0.0 RAM memory % used:79.7 RAM Used (GB):13.57463552</t>
  </si>
  <si>
    <t>The CPU usage is: 0.0 RAM memory % used:79.4 RAM Used (GB):13.530882048</t>
  </si>
  <si>
    <t>The CPU usage is: 0.0 RAM memory % used:79.4 RAM Used (GB):13.529604096</t>
  </si>
  <si>
    <t>The CPU usage is: 0.0 RAM memory % used:79.6 RAM Used (GB):13.561524224</t>
  </si>
  <si>
    <t>The CPU usage is: 0.0 RAM memory % used:79.4 RAM Used (GB):13.534040064</t>
  </si>
  <si>
    <t>The CPU usage is: 0.0 RAM memory % used:79.4 RAM Used (GB):13.5364608</t>
  </si>
  <si>
    <t>The CPU usage is: 0.0 RAM memory % used:79.4 RAM Used (GB):13.53736192</t>
  </si>
  <si>
    <t>The CPU usage is: 0.0 RAM memory % used:79.4 RAM Used (GB):13.537681408</t>
  </si>
  <si>
    <t>The CPU usage is: 0.0 RAM memory % used:79.4 RAM Used (GB):13.530218496</t>
  </si>
  <si>
    <t>The CPU usage is: 0.0 RAM memory % used:79.2 RAM Used (GB):13.502349312</t>
  </si>
  <si>
    <t>The CPU usage is: 0.0 RAM memory % used:79.2 RAM Used (GB):13.497966592</t>
  </si>
  <si>
    <t>The CPU usage is: 0.0 RAM memory % used:79.2 RAM Used (GB):13.501718528</t>
  </si>
  <si>
    <t>The CPU usage is: 0.0 RAM memory % used:79.2 RAM Used (GB):13.49455872</t>
  </si>
  <si>
    <t>The CPU usage is: 0.0 RAM memory % used:79.2 RAM Used (GB):13.502672896</t>
  </si>
  <si>
    <t>The CPU usage is: 0.0 RAM memory % used:79.2 RAM Used (GB):13.500588032</t>
  </si>
  <si>
    <t>The CPU usage is: 0.0 RAM memory % used:79.3 RAM Used (GB):13.506330624</t>
  </si>
  <si>
    <t>The CPU usage is: 0.0 RAM memory % used:79.3 RAM Used (GB):13.508530176</t>
  </si>
  <si>
    <t>The CPU usage is: 0.0 RAM memory % used:79.3 RAM Used (GB):13.511442432</t>
  </si>
  <si>
    <t>The CPU usage is: 0.0 RAM memory % used:79.3 RAM Used (GB):13.508878336</t>
  </si>
  <si>
    <t>The CPU usage is: 0.0 RAM memory % used:79.3 RAM Used (GB):13.511467008</t>
  </si>
  <si>
    <t>The CPU usage is: 0.0 RAM memory % used:79.3 RAM Used (GB):13.513023488</t>
  </si>
  <si>
    <t>The CPU usage is: 0.0 RAM memory % used:79.3 RAM Used (GB):13.509001216</t>
  </si>
  <si>
    <t>The CPU usage is: 0.0 RAM memory % used:79.3 RAM Used (GB):13.509193728</t>
  </si>
  <si>
    <t>The CPU usage is: 0.0 RAM memory % used:79.3 RAM Used (GB):13.507149824</t>
  </si>
  <si>
    <t>The CPU usage is: 0.0 RAM memory % used:79.3 RAM Used (GB):13.510254592</t>
  </si>
  <si>
    <t>The CPU usage is: 0.0 RAM memory % used:79.3 RAM Used (GB):13.50805504</t>
  </si>
  <si>
    <t>The CPU usage is: 0.0 RAM memory % used:79.3 RAM Used (GB):13.507366912</t>
  </si>
  <si>
    <t>The CPU usage is: 0.0 RAM memory % used:79.3 RAM Used (GB):13.522219008</t>
  </si>
  <si>
    <t>The CPU usage is: 0.0 RAM memory % used:79.3 RAM Used (GB):13.507969024</t>
  </si>
  <si>
    <t>The CPU usage is: 0.0 RAM memory % used:79.3 RAM Used (GB):13.515264</t>
  </si>
  <si>
    <t>The CPU usage is: 0.0 RAM memory % used:79.3 RAM Used (GB):13.514539008</t>
  </si>
  <si>
    <t>The CPU usage is: 0.0 RAM memory % used:79.3 RAM Used (GB):13.51583744</t>
  </si>
  <si>
    <t>The CPU usage is: 0.0 RAM memory % used:79.3 RAM Used (GB):13.513617408</t>
  </si>
  <si>
    <t>The CPU usage is: 0.0 RAM memory % used:79.3 RAM Used (GB):13.511712768</t>
  </si>
  <si>
    <t>The CPU usage is: 0.0 RAM memory % used:79.3 RAM Used (GB):13.516177408</t>
  </si>
  <si>
    <t>The CPU usage is: 0.0 RAM memory % used:79.3 RAM Used (GB):13.514801152</t>
  </si>
  <si>
    <t>The CPU usage is: 0.0 RAM memory % used:79.3 RAM Used (GB):13.516980224</t>
  </si>
  <si>
    <t>The CPU usage is: 0.0 RAM memory % used:79.3 RAM Used (GB):13.521588224</t>
  </si>
  <si>
    <t>The CPU usage is: 0.0 RAM memory % used:79.3 RAM Used (GB):13.519167488</t>
  </si>
  <si>
    <t>The CPU usage is: 0.0 RAM memory % used:79.3 RAM Used (GB):13.517307904</t>
  </si>
  <si>
    <t>The CPU usage is: 0.0 RAM memory % used:79.4 RAM Used (GB):13.522751488</t>
  </si>
  <si>
    <t>The CPU usage is: 0.0 RAM memory % used:81.8 RAM Used (GB):13.945737216</t>
  </si>
  <si>
    <t>The CPU usage is: 0.0 RAM memory % used:81.2 RAM Used (GB):13.835231232</t>
  </si>
  <si>
    <t>The CPU usage is: 0.0 RAM memory % used:81.2 RAM Used (GB):13.82955008</t>
  </si>
  <si>
    <t>The CPU usage is: 0.0 RAM memory % used:79.3 RAM Used (GB):13.509648384</t>
  </si>
  <si>
    <t>The CPU usage is: 0.0 RAM memory % used:79.3 RAM Used (GB):13.510893568</t>
  </si>
  <si>
    <t>The CPU usage is: 0.0 RAM memory % used:79.3 RAM Used (GB):13.509963776</t>
  </si>
  <si>
    <t>The CPU usage is: 12.5 RAM memory % used:79.3 RAM Used (GB):13.513728</t>
  </si>
  <si>
    <t>The CPU usage is: 0.0 RAM memory % used:79.3 RAM Used (GB):13.511790592</t>
  </si>
  <si>
    <t>The CPU usage is: 0.0 RAM memory % used:79.3 RAM Used (GB):13.516292096</t>
  </si>
  <si>
    <t>The CPU usage is: 0.0 RAM memory % used:79.7 RAM Used (GB):13.58391296</t>
  </si>
  <si>
    <t>The CPU usage is: 0.0 RAM memory % used:79.3 RAM Used (GB):13.511786496</t>
  </si>
  <si>
    <t>The CPU usage is: 0.0 RAM memory % used:79.4 RAM Used (GB):13.53637888</t>
  </si>
  <si>
    <t>The CPU usage is: 0.0 RAM memory % used:79.2 RAM Used (GB):13.503524864</t>
  </si>
  <si>
    <t>The CPU usage is: 100.0 RAM memory % used:79.3 RAM Used (GB):13.518831616</t>
  </si>
  <si>
    <t>The CPU usage is: 0.0 RAM memory % used:79.3 RAM Used (GB):13.521260544</t>
  </si>
  <si>
    <t>The CPU usage is: 0.0 RAM memory % used:79.4 RAM Used (GB):13.536907264</t>
  </si>
  <si>
    <t>The CPU usage is: 0.0 RAM memory % used:79.5 RAM Used (GB):13.540118528</t>
  </si>
  <si>
    <t>The CPU usage is: 16.7 RAM memory % used:79.4 RAM Used (GB):13.538439168</t>
  </si>
  <si>
    <t>The CPU usage is: 0.0 RAM memory % used:79.5 RAM Used (GB):13.553774592</t>
  </si>
  <si>
    <t>The CPU usage is: 0.0 RAM memory % used:80.0 RAM Used (GB):13.634719744</t>
  </si>
  <si>
    <t>The CPU usage is: 0.0 RAM memory % used:79.5 RAM Used (GB):13.554929664</t>
  </si>
  <si>
    <t>The CPU usage is: 0.0 RAM memory % used:79.5 RAM Used (GB):13.55505664</t>
  </si>
  <si>
    <t>The CPU usage is: 0.0 RAM memory % used:79.6 RAM Used (GB):13.55894784</t>
  </si>
  <si>
    <t>The CPU usage is: 0.0 RAM memory % used:79.5 RAM Used (GB):13.556113408</t>
  </si>
  <si>
    <t>The CPU usage is: 0.0 RAM memory % used:79.5 RAM Used (GB):13.553803264</t>
  </si>
  <si>
    <t>The CPU usage is: 0.0 RAM memory % used:79.5 RAM Used (GB):13.5455744</t>
  </si>
  <si>
    <t>The CPU usage is: 0.0 RAM memory % used:79.5 RAM Used (GB):13.54496</t>
  </si>
  <si>
    <t>The CPU usage is: 0.0 RAM memory % used:79.5 RAM Used (GB):13.547278336</t>
  </si>
  <si>
    <t>The CPU usage is: 0.0 RAM memory % used:80.7 RAM Used (GB):13.758513152</t>
  </si>
  <si>
    <t>The CPU usage is: 10.0 RAM memory % used:79.5 RAM Used (GB):13.553012736</t>
  </si>
  <si>
    <t>The CPU usage is: 0.0 RAM memory % used:79.5 RAM Used (GB):13.546196992</t>
  </si>
  <si>
    <t>The CPU usage is: 14.3 RAM memory % used:79.5 RAM Used (GB):13.552029696</t>
  </si>
  <si>
    <t>The CPU usage is: 0.0 RAM memory % used:79.6 RAM Used (GB):13.56150784</t>
  </si>
  <si>
    <t>The CPU usage is: 0.0 RAM memory % used:79.5 RAM Used (GB):13.540016128</t>
  </si>
  <si>
    <t>The CPU usage is: 0.0 RAM memory % used:79.5 RAM Used (GB):13.540093952</t>
  </si>
  <si>
    <t>The CPU usage is: 0.0 RAM memory % used:79.5 RAM Used (GB):13.54170368</t>
  </si>
  <si>
    <t>The CPU usage is: 0.0 RAM memory % used:79.5 RAM Used (GB):13.541675008</t>
  </si>
  <si>
    <t>The CPU usage is: 0.0 RAM memory % used:79.5 RAM Used (GB):13.541732352</t>
  </si>
  <si>
    <t>The CPU usage is: 0.0 RAM memory % used:79.4 RAM Used (GB):13.535244288</t>
  </si>
  <si>
    <t>The CPU usage is: 0.0 RAM memory % used:80.7 RAM Used (GB):13.744869376</t>
  </si>
  <si>
    <t>The CPU usage is: 100.0 RAM memory % used:79.4 RAM Used (GB):13.536636928</t>
  </si>
  <si>
    <t>The CPU usage is: 0.0 RAM memory % used:79.4 RAM Used (GB):13.53578496</t>
  </si>
  <si>
    <t>The CPU usage is: 0.0 RAM memory % used:79.4 RAM Used (GB):13.536694272</t>
  </si>
  <si>
    <t>The CPU usage is: 0.0 RAM memory % used:79.3 RAM Used (GB):13.521231872</t>
  </si>
  <si>
    <t>The CPU usage is: 11.1 RAM memory % used:79.3 RAM Used (GB):13.520171008</t>
  </si>
  <si>
    <t>The CPU usage is: 0.0 RAM memory % used:79.4 RAM Used (GB):13.526982656</t>
  </si>
  <si>
    <t>The CPU usage is: 14.3 RAM memory % used:79.3 RAM Used (GB):13.517176832</t>
  </si>
  <si>
    <t>The CPU usage is: 0.0 RAM memory % used:79.3 RAM Used (GB):13.518454784</t>
  </si>
  <si>
    <t>The CPU usage is: 10.0 RAM memory % used:79.3 RAM Used (GB):13.508399104</t>
  </si>
  <si>
    <t>The CPU usage is: 0.0 RAM memory % used:79.3 RAM Used (GB):13.510381568</t>
  </si>
  <si>
    <t>The CPU usage is: 0.0 RAM memory % used:79.2 RAM Used (GB):13.505032192</t>
  </si>
  <si>
    <t>The CPU usage is: 12.5 RAM memory % used:79.2 RAM Used (GB):13.504598016</t>
  </si>
  <si>
    <t>The CPU usage is: 0.0 RAM memory % used:79.2 RAM Used (GB):13.505089536</t>
  </si>
  <si>
    <t>The CPU usage is: 0.0 RAM memory % used:79.2 RAM Used (GB):13.504606208</t>
  </si>
  <si>
    <t>The CPU usage is: 0.0 RAM memory % used:79.7 RAM Used (GB):13.5805952</t>
  </si>
  <si>
    <t>The CPU usage is: 0.0 RAM memory % used:79.5 RAM Used (GB):13.545811968</t>
  </si>
  <si>
    <t>The CPU usage is: 0.0 RAM memory % used:80.6 RAM Used (GB):13.739143168</t>
  </si>
  <si>
    <t>The CPU usage is: 0.0 RAM memory % used:79.3 RAM Used (GB):13.507321856</t>
  </si>
  <si>
    <t>The CPU usage is: 14.3 RAM memory % used:79.4 RAM Used (GB):13.534650368</t>
  </si>
  <si>
    <t>The CPU usage is: 0.0 RAM memory % used:79.3 RAM Used (GB):13.506772992</t>
  </si>
  <si>
    <t>The CPU usage is: 0.0 RAM memory % used:79.2 RAM Used (GB):13.503172608</t>
  </si>
  <si>
    <t>The CPU usage is: 0.0 RAM memory % used:79.4 RAM Used (GB):13.525180416</t>
  </si>
  <si>
    <t>The CPU usage is: 0.0 RAM memory % used:79.3 RAM Used (GB):13.508640768</t>
  </si>
  <si>
    <t>The CPU usage is: 0.0 RAM memory % used:79.3 RAM Used (GB):13.507166208</t>
  </si>
  <si>
    <t>The CPU usage is: 0.0 RAM memory % used:79.3 RAM Used (GB):13.509124096</t>
  </si>
  <si>
    <t>The CPU usage is: 0.0 RAM memory % used:79.3 RAM Used (GB):13.513199616</t>
  </si>
  <si>
    <t>The CPU usage is: 0.0 RAM memory % used:79.3 RAM Used (GB):13.508734976</t>
  </si>
  <si>
    <t>The CPU usage is: 0.0 RAM memory % used:79.3 RAM Used (GB):13.507858432</t>
  </si>
  <si>
    <t>The CPU usage is: 0.0 RAM memory % used:79.3 RAM Used (GB):13.50678528</t>
  </si>
  <si>
    <t>The CPU usage is: 0.0 RAM memory % used:79.3 RAM Used (GB):13.515866112</t>
  </si>
  <si>
    <t>The CPU usage is: 0.0 RAM memory % used:79.3 RAM Used (GB):13.506289664</t>
  </si>
  <si>
    <t>The CPU usage is: 50.0 RAM memory % used:80.3 RAM Used (GB):13.685751808</t>
  </si>
  <si>
    <t>The CPU usage is: 0.0 RAM memory % used:79.7 RAM Used (GB):13.586071552</t>
  </si>
  <si>
    <t>The CPU usage is: 11.1 RAM memory % used:79.3 RAM Used (GB):13.507977216</t>
  </si>
  <si>
    <t>The CPU usage is: 0.0 RAM memory % used:79.2 RAM Used (GB):13.496745984</t>
  </si>
  <si>
    <t>The CPU usage is: 0.0 RAM memory % used:79.3 RAM Used (GB):13.509013504</t>
  </si>
  <si>
    <t>The CPU usage is: 0.0 RAM memory % used:79.3 RAM Used (GB):13.509935104</t>
  </si>
  <si>
    <t>The CPU usage is: 0.0 RAM memory % used:79.3 RAM Used (GB):13.509914624</t>
  </si>
  <si>
    <t>The CPU usage is: 0.0 RAM memory % used:79.2 RAM Used (GB):13.49638144</t>
  </si>
  <si>
    <t>The CPU usage is: 0.0 RAM memory % used:79.3 RAM Used (GB):13.51340032</t>
  </si>
  <si>
    <t>The CPU usage is: 0.0 RAM memory % used:79.3 RAM Used (GB):13.520142336</t>
  </si>
  <si>
    <t>The CPU usage is: 0.0 RAM memory % used:79.4 RAM Used (GB):13.523095552</t>
  </si>
  <si>
    <t>The CPU usage is: 9.1 RAM memory % used:79.4 RAM Used (GB):13.52343552</t>
  </si>
  <si>
    <t>The CPU usage is: 0.0 RAM memory % used:79.2 RAM Used (GB):13.49988352</t>
  </si>
  <si>
    <t>The CPU usage is: 0.0 RAM memory % used:79.2 RAM Used (GB):13.496737792</t>
  </si>
  <si>
    <t>The CPU usage is: 0.0 RAM memory % used:79.2 RAM Used (GB):13.502205952</t>
  </si>
  <si>
    <t>The CPU usage is: 0.0 RAM memory % used:79.2 RAM Used (GB):13.492649984</t>
  </si>
  <si>
    <t>The CPU usage is: 0.0 RAM memory % used:79.3 RAM Used (GB):13.508304896</t>
  </si>
  <si>
    <t>The CPU usage is: 0.0 RAM memory % used:79.4 RAM Used (GB):13.52564736</t>
  </si>
  <si>
    <t>The CPU usage is: 0.0 RAM memory % used:79.5 RAM Used (GB):13.53936896</t>
  </si>
  <si>
    <t>The CPU usage is: 0.0 RAM memory % used:79.4 RAM Used (GB):13.52429568</t>
  </si>
  <si>
    <t>The CPU usage is: 100.0 RAM memory % used:79.4 RAM Used (GB):13.527670784</t>
  </si>
  <si>
    <t xml:space="preserve">ótimo relojoeira que comprei ontem. Perfeita para mim!
ótimo relogio. Gosto muito.
ótimo comprimento do meu parasol. É perfeito para mim.
ótimo produto esse câmera. Fica genial as fotos que eu dei.
ótimo e confortável esse cadeirinho. Recomendo.
ótimo esse relojoeiro. Gostei muito da qualidade.
ótimo produto, realmente! Meu pai está feliz com ele também.
ótimo sorveter. Gostei muito.
ótimo produto esse relógio solar. Bem mais barato do que o outro.
ótimo produto esse cadeirão. Perfeito para minha mãe.
ótimo produto! vale a pena a compra.
ótimo e confiável esse relógio de pulseira. Recomendo.
ótimo produto, mas muito caro.
ótimo produto, recomendo!
ótimo produto esse chuveiro elétrico. Funciona muito bem.
ótimo relojoeira. Perfeita para quem anda sempre em movimento.
ótimo produto essa creme hidratante. Meu penteio está muito bem.
ótimo produto essa creme hidratante. Realmente ajuda a manter meus pés secos e felizes.
 Meu novo carro é incrível! Tem tanta funcionalidade...
ótimo produto! Funciona perfeitamente e é fácil de usar.
ótimo produto, entrega rápida e qualidade excelente!
ótimo desse colchão. Sinto muita diferença na minha sonhar.
ótimo produto! Me encantou a qualidade e o preço.
ótimo produto! Gostei muito do resultado.
ótimo relojoeiro. Perfeito para uso diurno.
ótimo produto esse paraense. Perfeito para mim!
ótimo produto! Me parece muito bom.
ótimo deseo esse lava-lavagem. Funciona muito bem.
ótimo desse relojoeiro. Adorei a qualidade.
ótimo produto esse fones de ouvido wireless.
ótimo produto é o meu novo television. Funciona perfeitamente e visualmente incrível.
                    Com
ótimo desse peitoriais. Gostei muito.
ótimo produto dessa loja online.
Ótimo relojoeiro! Funciona muito bem e é fácil de usar.
 Meu novo carro é incrível! Funciona muito bem e eu adorno.
ótimo produto dessa marca, recomendo.
ótimo! Esse relojoeiro é incrível. Gosto muito.
Ótimo produto dessa loja online. Funciona perfeitamente.
ótimo produto! Funciona perfeitamente e é muito fácil de usar.
ótimo e confortável essa cadeira de escritório.
ótimo e confortável essa cadeira. Recomendo!
ótimo produto! Realmente ajudou meu problema de cabeça.
ótimo deseio esse relogio. Gostei muito.
ótimo relogio de pulso. Funciona perfeitamente.
ótimo e confortável esse cocheiro. Adorei!
ótimo relojoeiro! Perfeito para o meu bolso.
ótimo produto dessa loja online.
ótimo produto, recomendo a todos!
ótimo produto! Funciona perfeitamente, recomendo.
ótimo e confortável esse cadeirinho. Adorei!
</t>
  </si>
  <si>
    <t xml:space="preserve">Meu novo carro é incrível. Funciona perfeitamente e é divertido conduzir nele.
 Meu novo carro é incrível! Funciona perfeitamente e é muito agressivo no motor.
ótimo produto! funciona perfeitamente e é fácil de usar.
ótimo produto desse relógio solar. Bem mais caro do que eu planejei, mas v vale a pena.
 Meu novo carro é incrível! Bem mais veloz do que o meu antigo.
                    Comentário
ótimo e confortável esse banho turco. Recomendo!
ótimo produto. Gosto muito.
ótimo e confortável essa cadeira. Funciona muito bem.
Ótimo produto essa cadeira. very comfortable, recomendo!
ótimo produto desse relogio. Funciona perfeitamente.
ótimo produto dessa loja online. Funciona perfeitamente.
ótimo produto esse relojoeiro. Gostei muito.
ótimo produto essa creme hidratante. Me ajuda muito.
ótimo produto, é muito útil para minhas necessidades.
ótimo e confortável essa cadeira.
ótimo produto, recomendo!
Ótimo produto, recomendo! Meu filho adora brincar com ele.
 Meu novo carro é incrível. Funciona perfeitamente.
ótimo produto, recomendo. Me encantou!
ótimo e confortável esse cadeirinho.
ótimo produto, recomendo!
ótimo e confortável esse tapete de yoga.
ótimo produto, realmente é bom para a saúde.
ótimo relojoeira. Perfeita para a minha casa.
ótimo esse produto, é realmente incrível a qualidade!
ótimo produto esse câmera digitais. Fotos incríveis!
ótimo comprimento de corda nesse fone de ouvido.
 Meu novo carro é incrível. Gosto muito do design e da performance.
ótimo carrinho de compras on-line. Facil de usar e rápido para entrega.
                    Coment
ótimo e confiável desse carro de van.
ótimo produto! Me alegra muito ter comprado.
ótimo produto desse setor.
ótimo relojoeiro, funciona perfeitamente.
ótimo e confortável essa cadeira. Vou comprá-la outra vez.
ótimo produto. Funciona perfeitamente, é fácil de usar e está em um preço incrível.
ótimo produto dessa loja online. Veio em boas condições e é fácil de usar.
ótimo produto, vendeu pra mim. Funciona perfeitamente.
ótimo produto, muito satisfeito com o resultado final.
ótimo produto! Funciona perfeitamente, é fácil de usar e estávery confortável.
ótimo desse brinquedo para crianças. Meus netos adoram jogar nele.
                    Coment
ótimo! Esse relojoeiro é incrível.
ótimo produto! é muito útil para mim.
ótimo esse fone de ouvido Bluetooth. Perfeito para minhas necessidades.
ótimo produto! Satisfacione total!
ótimo produto! Realmente me ajudou a melhorar minha vida diária.
ótimo produto essa caixa de ferramentas.
ótimo produto essa creme para pele. Faça a pele mais suave e brilhante.
                    Com
ótimo produto, adorei!
ótimo produto dessa loja online. Serviço é incrível.
ótimo produto essa faca de abate-fogo.
</t>
  </si>
  <si>
    <t>divertido</t>
  </si>
  <si>
    <t>conduzir</t>
  </si>
  <si>
    <t>nele</t>
  </si>
  <si>
    <t>agressivo</t>
  </si>
  <si>
    <t>motor</t>
  </si>
  <si>
    <t>planejei</t>
  </si>
  <si>
    <t>v</t>
  </si>
  <si>
    <t>veloz</t>
  </si>
  <si>
    <t>turco</t>
  </si>
  <si>
    <t>comfortable</t>
  </si>
  <si>
    <t>cadeirinho</t>
  </si>
  <si>
    <t>tapete</t>
  </si>
  <si>
    <t>yoga</t>
  </si>
  <si>
    <t>digitais</t>
  </si>
  <si>
    <t>van</t>
  </si>
  <si>
    <t>outra</t>
  </si>
  <si>
    <t>vez</t>
  </si>
  <si>
    <t>boas</t>
  </si>
  <si>
    <t>condições</t>
  </si>
  <si>
    <t>vendeu</t>
  </si>
  <si>
    <t>estávery</t>
  </si>
  <si>
    <t>satisfacione</t>
  </si>
  <si>
    <t>abatefogo</t>
  </si>
  <si>
    <t>{"valorA":"divertido","valorB":1}</t>
  </si>
  <si>
    <t>{"valorA":"nele","valorB":1}</t>
  </si>
  <si>
    <t>{"valorA":"agressivo","valorB":1}</t>
  </si>
  <si>
    <t>{"valorA":"motor","valorB":1}</t>
  </si>
  <si>
    <t>{"valorA":"conduzir","valorB":1}</t>
  </si>
  <si>
    <t>{"valorA":"v","valorB":1}</t>
  </si>
  <si>
    <t>{"valorA":"planejei","valorB":1}</t>
  </si>
  <si>
    <t>{"valorA":"veloz","valorB":1}</t>
  </si>
  <si>
    <t>{"valorA":"turco","valorB":1}</t>
  </si>
  <si>
    <t>{"valorA":"comfortable","valorB":1}</t>
  </si>
  <si>
    <t>{"valorA":"cadeirinho","valorB":1}</t>
  </si>
  <si>
    <t>{"valorA":"confortável","valorB":5}</t>
  </si>
  <si>
    <t>{"valorA":"yoga","valorB":1}</t>
  </si>
  <si>
    <t>{"valorA":"tapete","valorB":1}</t>
  </si>
  <si>
    <t>{"valorA":"saúde","valorB":1}</t>
  </si>
  <si>
    <t>{"valorA":"digitais","valorB":1}</t>
  </si>
  <si>
    <t>{"valorA":"nesse","valorB":1}</t>
  </si>
  <si>
    <t>{"valorA":"online","valorB":2}</t>
  </si>
  <si>
    <t>{"valorA":"van","valorB":1}</t>
  </si>
  <si>
    <t>{"valorA":"me","valorB":3}</t>
  </si>
  <si>
    <t>{"valorA":"setor","valorB":1}</t>
  </si>
  <si>
    <t>{"valorA":"confortável","valorB":6}</t>
  </si>
  <si>
    <t>{"valorA":"vou","valorB":1}</t>
  </si>
  <si>
    <t>{"valorA":"vez","valorB":1}</t>
  </si>
  <si>
    <t>{"valorA":"outra","valorB":1}</t>
  </si>
  <si>
    <t>{"valorA":"boas","valorB":1}</t>
  </si>
  <si>
    <t>{"valorA":"condições","valorB":1}</t>
  </si>
  <si>
    <t>{"valorA":"online","valorB":3}</t>
  </si>
  <si>
    <t>{"valorA":"loja","valorB":2}</t>
  </si>
  <si>
    <t>{"valorA":"dessa","valorB":2}</t>
  </si>
  <si>
    <t>{"valorA":"vendeu","valorB":1}</t>
  </si>
  <si>
    <t>{"valorA":"confortável","valorB":7}</t>
  </si>
  <si>
    <t>{"valorA":"estávery","valorB":1}</t>
  </si>
  <si>
    <t>{"valorA":"nele","valorB":2}</t>
  </si>
  <si>
    <t>{"valorA":"desse","valorB":5}</t>
  </si>
  <si>
    <t>{"valorA":"jogar","valorB":1}</t>
  </si>
  <si>
    <t>{"valorA":"netos","valorB":1}</t>
  </si>
  <si>
    <t>{"valorA":"relojoeiro","valorB":3}</t>
  </si>
  <si>
    <t>{"valorA":"minhas","valorB":2}</t>
  </si>
  <si>
    <t>{"valorA":"fone","valorB":2}</t>
  </si>
  <si>
    <t>{"valorA":"ouvido","valorB":2}</t>
  </si>
  <si>
    <t>{"valorA":"necessidades","valorB":2}</t>
  </si>
  <si>
    <t>{"valorA":"total","valorB":1}</t>
  </si>
  <si>
    <t>{"valorA":"satisfacione","valorB":1}</t>
  </si>
  <si>
    <t>{"valorA":"ajudou","valorB":1}</t>
  </si>
  <si>
    <t>{"valorA":"melhorar","valorB":1}</t>
  </si>
  <si>
    <t>{"valorA":"me","valorB":4}</t>
  </si>
  <si>
    <t>{"valorA":"diária","valorB":1}</t>
  </si>
  <si>
    <t>{"valorA":"essa","valorB":7}</t>
  </si>
  <si>
    <t>{"valorA":"faça","valorB":1}</t>
  </si>
  <si>
    <t>{"valorA":"online","valorB":4}</t>
  </si>
  <si>
    <t>{"valorA":"loja","valorB":3}</t>
  </si>
  <si>
    <t>{"valorA":"dessa","valorB":3}</t>
  </si>
  <si>
    <t>{"valorA":"essa","valorB":8}</t>
  </si>
  <si>
    <t>{"valorA":"abatefogo","valorB":1}</t>
  </si>
  <si>
    <t>{"valorA":"faca","valorB":1}</t>
  </si>
  <si>
    <t>CPU %</t>
  </si>
  <si>
    <t>The CPU usage is: 28.6 RAM memory % used:98.8 RAM Used (GB):16.839344128</t>
  </si>
  <si>
    <t>The CPU usage is: 0.0 RAM memory % used:98.8 RAM Used (GB):16.835072</t>
  </si>
  <si>
    <t>The CPU usage is: 0.0 RAM memory % used:98.8 RAM Used (GB):16.837758976</t>
  </si>
  <si>
    <t>The CPU usage is: 0.0 RAM memory % used:98.9 RAM Used (GB):16.848683008</t>
  </si>
  <si>
    <t>The CPU usage is: 0.0 RAM memory % used:98.9 RAM Used (GB):16.84824064</t>
  </si>
  <si>
    <t>The CPU usage is: 0.0 RAM memory % used:98.9 RAM Used (GB):16.847888384</t>
  </si>
  <si>
    <t>The CPU usage is: 0.0 RAM memory % used:98.9 RAM Used (GB):16.85372928</t>
  </si>
  <si>
    <t>The CPU usage is: 0.0 RAM memory % used:98.9 RAM Used (GB):16.852381696</t>
  </si>
  <si>
    <t>The CPU usage is: 0.0 RAM memory % used:98.9 RAM Used (GB):16.851734528</t>
  </si>
  <si>
    <t>The CPU usage is: 0.0 RAM memory % used:98.6 RAM Used (GB):16.805425152</t>
  </si>
  <si>
    <t>The CPU usage is: 0.0 RAM memory % used:98.6 RAM Used (GB):16.805138432</t>
  </si>
  <si>
    <t>The CPU usage is: 80.0 RAM memory % used:98.6 RAM Used (GB):16.804990976</t>
  </si>
  <si>
    <t>The CPU usage is: 0.0 RAM memory % used:98.7 RAM Used (GB):16.818352128</t>
  </si>
  <si>
    <t>The CPU usage is: 0.0 RAM memory % used:98.7 RAM Used (GB):16.814108672</t>
  </si>
  <si>
    <t>The CPU usage is: 0.0 RAM memory % used:98.6 RAM Used (GB):16.810070016</t>
  </si>
  <si>
    <t>The CPU usage is: 0.0 RAM memory % used:98.7 RAM Used (GB):16.82276352</t>
  </si>
  <si>
    <t>The CPU usage is: 0.0 RAM memory % used:98.7 RAM Used (GB):16.8152064</t>
  </si>
  <si>
    <t>The CPU usage is: 0.0 RAM memory % used:98.7 RAM Used (GB):16.819531776</t>
  </si>
  <si>
    <t>The CPU usage is: 20.0 RAM memory % used:98.7 RAM Used (GB):16.814456832</t>
  </si>
  <si>
    <t>The CPU usage is: 0.0 RAM memory % used:98.7 RAM Used (GB):16.813633536</t>
  </si>
  <si>
    <t>The CPU usage is: 0.0 RAM memory % used:98.7 RAM Used (GB):16.822779904</t>
  </si>
  <si>
    <t>The CPU usage is: 0.0 RAM memory % used:98.7 RAM Used (GB):16.8223744</t>
  </si>
  <si>
    <t>The CPU usage is: 0.0 RAM memory % used:98.7 RAM Used (GB):16.818110464</t>
  </si>
  <si>
    <t>The CPU usage is: 0.0 RAM memory % used:98.7 RAM Used (GB):16.8144896</t>
  </si>
  <si>
    <t>The CPU usage is: 0.0 RAM memory % used:98.7 RAM Used (GB):16.82436096</t>
  </si>
  <si>
    <t>The CPU usage is: 0.0 RAM memory % used:98.7 RAM Used (GB):16.824221696</t>
  </si>
  <si>
    <t>The CPU usage is: 0.0 RAM memory % used:98.7 RAM Used (GB):16.814882816</t>
  </si>
  <si>
    <t>The CPU usage is: 50.0 RAM memory % used:98.6 RAM Used (GB):16.810098688</t>
  </si>
  <si>
    <t>The CPU usage is: 100.0 RAM memory % used:98.7 RAM Used (GB):16.815714304</t>
  </si>
  <si>
    <t>The CPU usage is: 0.0 RAM memory % used:98.6 RAM Used (GB):16.8085504</t>
  </si>
  <si>
    <t>The CPU usage is: 0.0 RAM memory % used:98.6 RAM Used (GB):16.804859904</t>
  </si>
  <si>
    <t>The CPU usage is: 0.0 RAM memory % used:98.6 RAM Used (GB):16.806526976</t>
  </si>
  <si>
    <t>The CPU usage is: 0.0 RAM memory % used:98.6 RAM Used (GB):16.808071168</t>
  </si>
  <si>
    <t>The CPU usage is: 0.0 RAM memory % used:98.6 RAM Used (GB):16.810094592</t>
  </si>
  <si>
    <t>The CPU usage is: 0.0 RAM memory % used:98.6 RAM Used (GB):16.806383616</t>
  </si>
  <si>
    <t>The CPU usage is: 0.0 RAM memory % used:98.6 RAM Used (GB):16.803483648</t>
  </si>
  <si>
    <t>The CPU usage is: 0.0 RAM memory % used:98.7 RAM Used (GB):16.82057216</t>
  </si>
  <si>
    <t>The CPU usage is: 0.0 RAM memory % used:98.7 RAM Used (GB):16.825872384</t>
  </si>
  <si>
    <t>The CPU usage is: 0.0 RAM memory % used:98.6 RAM Used (GB):16.804929536</t>
  </si>
  <si>
    <t>The CPU usage is: 100.0 RAM memory % used:98.7 RAM Used (GB):16.81485824</t>
  </si>
  <si>
    <t>The CPU usage is: 50.0 RAM memory % used:98.7 RAM Used (GB):16.817164288</t>
  </si>
  <si>
    <t>The CPU usage is: 0.0 RAM memory % used:98.7 RAM Used (GB):16.814862336</t>
  </si>
  <si>
    <t>The CPU usage is: 0.0 RAM memory % used:98.7 RAM Used (GB):16.812261376</t>
  </si>
  <si>
    <t>The CPU usage is: 100.0 RAM memory % used:98.7 RAM Used (GB):16.819032064</t>
  </si>
  <si>
    <t>The CPU usage is: 0.0 RAM memory % used:98.6 RAM Used (GB):16.806305792</t>
  </si>
  <si>
    <t>The CPU usage is: 0.0 RAM memory % used:98.6 RAM Used (GB):16.810602496</t>
  </si>
  <si>
    <t>The CPU usage is: 0.0 RAM memory % used:98.6 RAM Used (GB):16.809754624</t>
  </si>
  <si>
    <t>The CPU usage is: 100.0 RAM memory % used:98.7 RAM Used (GB):16.812867584</t>
  </si>
  <si>
    <t>The CPU usage is: 0.0 RAM memory % used:98.7 RAM Used (GB):16.811819008</t>
  </si>
  <si>
    <t>The CPU usage is: 0.0 RAM memory % used:98.7 RAM Used (GB):16.811470848</t>
  </si>
  <si>
    <t>The CPU usage is: 0.0 RAM memory % used:98.7 RAM Used (GB):16.819109888</t>
  </si>
  <si>
    <t>The CPU usage is: 0.0 RAM memory % used:98.7 RAM Used (GB):16.818036736</t>
  </si>
  <si>
    <t>The CPU usage is: 0.0 RAM memory % used:98.7 RAM Used (GB):16.817979392</t>
  </si>
  <si>
    <t>The CPU usage is: 0.0 RAM memory % used:98.7 RAM Used (GB):16.823115776</t>
  </si>
  <si>
    <t>The CPU usage is: 100.0 RAM memory % used:98.7 RAM Used (GB):16.822218752</t>
  </si>
  <si>
    <t>The CPU usage is: 100.0 RAM memory % used:98.7 RAM Used (GB):16.821305344</t>
  </si>
  <si>
    <t>The CPU usage is: 0.0 RAM memory % used:98.7 RAM Used (GB):16.826585088</t>
  </si>
  <si>
    <t>The CPU usage is: 100.0 RAM memory % used:98.7 RAM Used (GB):16.824868864</t>
  </si>
  <si>
    <t>The CPU usage is: 0.0 RAM memory % used:98.7 RAM Used (GB):16.82475008</t>
  </si>
  <si>
    <t>The CPU usage is: 0.0 RAM memory % used:98.8 RAM Used (GB):16.8288256</t>
  </si>
  <si>
    <t>The CPU usage is: 16.7 RAM memory % used:98.7 RAM Used (GB):16.824139776</t>
  </si>
  <si>
    <t>The CPU usage is: 20.0 RAM memory % used:98.7 RAM Used (GB):16.824049664</t>
  </si>
  <si>
    <t>The CPU usage is: 0.0 RAM memory % used:98.8 RAM Used (GB):16.829251584</t>
  </si>
  <si>
    <t>The CPU usage is: 0.0 RAM memory % used:98.9 RAM Used (GB):16.84557824</t>
  </si>
  <si>
    <t>The CPU usage is: 100.0 RAM memory % used:98.8 RAM Used (GB):16.84211712</t>
  </si>
  <si>
    <t>The CPU usage is: 0.0 RAM memory % used:98.7 RAM Used (GB):16.824717312</t>
  </si>
  <si>
    <t>The CPU usage is: 0.0 RAM memory % used:98.8 RAM Used (GB):16.829640704</t>
  </si>
  <si>
    <t>The CPU usage is: 0.0 RAM memory % used:98.8 RAM Used (GB):16.829743104</t>
  </si>
  <si>
    <t>The CPU usage is: 0.0 RAM memory % used:98.8 RAM Used (GB):16.82921472</t>
  </si>
  <si>
    <t>The CPU usage is: 0.0 RAM memory % used:98.8 RAM Used (GB):16.828403712</t>
  </si>
  <si>
    <t>The CPU usage is: 0.0 RAM memory % used:98.8 RAM Used (GB):16.831983616</t>
  </si>
  <si>
    <t>The CPU usage is: 0.0 RAM memory % used:98.8 RAM Used (GB):16.831135744</t>
  </si>
  <si>
    <t>The CPU usage is: 0.0 RAM memory % used:98.8 RAM Used (GB):16.83030016</t>
  </si>
  <si>
    <t>The CPU usage is: 0.0 RAM memory % used:98.7 RAM Used (GB):16.822214656</t>
  </si>
  <si>
    <t>The CPU usage is: 100.0 RAM memory % used:98.7 RAM Used (GB):16.8173568</t>
  </si>
  <si>
    <t>The CPU usage is: 100.0 RAM memory % used:98.7 RAM Used (GB):16.822837248</t>
  </si>
  <si>
    <t>The CPU usage is: 0.0 RAM memory % used:98.6 RAM Used (GB):16.808452096</t>
  </si>
  <si>
    <t>The CPU usage is: 0.0 RAM memory % used:98.7 RAM Used (GB):16.812474368</t>
  </si>
  <si>
    <t>The CPU usage is: 0.0 RAM memory % used:98.6 RAM Used (GB):16.809873408</t>
  </si>
  <si>
    <t>The CPU usage is: 62.5 RAM memory % used:98.7 RAM Used (GB):16.820912128</t>
  </si>
  <si>
    <t>The CPU usage is: 0.0 RAM memory % used:98.7 RAM Used (GB):16.817422336</t>
  </si>
  <si>
    <t>The CPU usage is: 0.0 RAM memory % used:98.7 RAM Used (GB):16.81289216</t>
  </si>
  <si>
    <t>The CPU usage is: 0.0 RAM memory % used:98.7 RAM Used (GB):16.822124544</t>
  </si>
  <si>
    <t>The CPU usage is: 16.7 RAM memory % used:98.7 RAM Used (GB):16.819228672</t>
  </si>
  <si>
    <t>The CPU usage is: 0.0 RAM memory % used:98.8 RAM Used (GB):16.831909888</t>
  </si>
  <si>
    <t>The CPU usage is: 0.0 RAM memory % used:98.8 RAM Used (GB):16.831270912</t>
  </si>
  <si>
    <t>The CPU usage is: 0.0 RAM memory % used:98.8 RAM Used (GB):16.830844928</t>
  </si>
  <si>
    <t>The CPU usage is: 0.0 RAM memory % used:98.7 RAM Used (GB):16.814600192</t>
  </si>
  <si>
    <t>The CPU usage is: 0.0 RAM memory % used:98.7 RAM Used (GB):16.814252032</t>
  </si>
  <si>
    <t>The CPU usage is: 0.0 RAM memory % used:98.7 RAM Used (GB):16.819142656</t>
  </si>
  <si>
    <t>The CPU usage is: 75.0 RAM memory % used:98.7 RAM Used (GB):16.816529408</t>
  </si>
  <si>
    <t>The CPU usage is: 50.0 RAM memory % used:98.7 RAM Used (GB):16.816406528</t>
  </si>
  <si>
    <t>The CPU usage is: 0.0 RAM memory % used:98.7 RAM Used (GB):16.81893376</t>
  </si>
  <si>
    <t>The CPU usage is: 0.0 RAM memory % used:98.7 RAM Used (GB):16.815792128</t>
  </si>
  <si>
    <t>The CPU usage is: 0.0 RAM memory % used:98.7 RAM Used (GB):16.81422336</t>
  </si>
  <si>
    <t>The CPU usage is: 0.0 RAM memory % used:98.7 RAM Used (GB):16.81903616</t>
  </si>
  <si>
    <t>The CPU usage is: 0.0 RAM memory % used:98.7 RAM Used (GB):16.815415296</t>
  </si>
  <si>
    <t>The CPU usage is: 0.0 RAM memory % used:98.7 RAM Used (GB):16.816582656</t>
  </si>
  <si>
    <t>The CPU usage is: 0.0 RAM memory % used:98.7 RAM Used (GB):16.812433408</t>
  </si>
  <si>
    <t>The CPU usage is: 0.0 RAM memory % used:98.6 RAM Used (GB):16.810614784</t>
  </si>
  <si>
    <t>The CPU usage is: 0.0 RAM memory % used:98.7 RAM Used (GB):16.815026176</t>
  </si>
  <si>
    <t>The CPU usage is: 0.0 RAM memory % used:98.7 RAM Used (GB):16.812621824</t>
  </si>
  <si>
    <t>The CPU usage is: 100.0 RAM memory % used:98.6 RAM Used (GB):16.810913792</t>
  </si>
  <si>
    <t>The CPU usage is: 0.0 RAM memory % used:98.7 RAM Used (GB):16.816951296</t>
  </si>
  <si>
    <t>The CPU usage is: 0.0 RAM memory % used:98.7 RAM Used (GB):16.825851904</t>
  </si>
  <si>
    <t>The CPU usage is: 0.0 RAM memory % used:98.8 RAM Used (GB):16.83017728</t>
  </si>
  <si>
    <t>The CPU usage is: 0.0 RAM memory % used:98.6 RAM Used (GB):16.80943104</t>
  </si>
  <si>
    <t>The CPU usage is: 0.0 RAM memory % used:98.7 RAM Used (GB):16.813244416</t>
  </si>
  <si>
    <t>The CPU usage is: 0.0 RAM memory % used:98.7 RAM Used (GB):16.812163072</t>
  </si>
  <si>
    <t>The CPU usage is: 0.0 RAM memory % used:98.8 RAM Used (GB):16.836657152</t>
  </si>
  <si>
    <t>The CPU usage is: 0.0 RAM memory % used:98.8 RAM Used (GB):16.83222528</t>
  </si>
  <si>
    <t>The CPU usage is: 0.0 RAM memory % used:98.8 RAM Used (GB):16.834310144</t>
  </si>
  <si>
    <t>The CPU usage is: 100.0 RAM memory % used:98.8 RAM Used (GB):16.843812864</t>
  </si>
  <si>
    <t>The CPU usage is: 0.0 RAM memory % used:98.7 RAM Used (GB):16.817307648</t>
  </si>
  <si>
    <t>The CPU usage is: 0.0 RAM memory % used:98.7 RAM Used (GB):16.817881088</t>
  </si>
  <si>
    <t>The CPU usage is: 0.0 RAM memory % used:98.7 RAM Used (GB):16.820379648</t>
  </si>
  <si>
    <t>The CPU usage is: 100.0 RAM memory % used:98.7 RAM Used (GB):16.819453952</t>
  </si>
  <si>
    <t>The CPU usage is: 0.0 RAM memory % used:98.6 RAM Used (GB):16.803049472</t>
  </si>
  <si>
    <t>The CPU usage is: 0.0 RAM memory % used:98.7 RAM Used (GB):16.815312896</t>
  </si>
  <si>
    <t>The CPU usage is: 0.0 RAM memory % used:98.7 RAM Used (GB):16.8143872</t>
  </si>
  <si>
    <t>The CPU usage is: 0.0 RAM memory % used:98.6 RAM Used (GB):16.811094016</t>
  </si>
  <si>
    <t>The CPU usage is: 0.0 RAM memory % used:98.7 RAM Used (GB):16.815222784</t>
  </si>
  <si>
    <t>The CPU usage is: 0.0 RAM memory % used:98.7 RAM Used (GB):16.812802048</t>
  </si>
  <si>
    <t>The CPU usage is: 0.0 RAM memory % used:98.7 RAM Used (GB):16.811384832</t>
  </si>
  <si>
    <t>The CPU usage is: 100.0 RAM memory % used:98.7 RAM Used (GB):16.818724864</t>
  </si>
  <si>
    <t>The CPU usage is: 0.0 RAM memory % used:98.7 RAM Used (GB):16.81616896</t>
  </si>
  <si>
    <t>The CPU usage is: 0.0 RAM memory % used:98.6 RAM Used (GB):16.810795008</t>
  </si>
  <si>
    <t>The CPU usage is: 0.0 RAM memory % used:98.6 RAM Used (GB):16.808062976</t>
  </si>
  <si>
    <t>The CPU usage is: 0.0 RAM memory % used:98.7 RAM Used (GB):16.813326336</t>
  </si>
  <si>
    <t>The CPU usage is: 0.0 RAM memory % used:98.6 RAM Used (GB):16.810090496</t>
  </si>
  <si>
    <t>The CPU usage is: 12.5 RAM memory % used:98.7 RAM Used (GB):16.8160256</t>
  </si>
  <si>
    <t>The CPU usage is: 0.0 RAM memory % used:98.7 RAM Used (GB):16.811372544</t>
  </si>
  <si>
    <t>The CPU usage is: 66.7 RAM memory % used:98.6 RAM Used (GB):16.810790912</t>
  </si>
  <si>
    <t>The CPU usage is: 20.0 RAM memory % used:98.6 RAM Used (GB):16.798744576</t>
  </si>
  <si>
    <t>The CPU usage is: 11.1 RAM memory % used:98.6 RAM Used (GB):16.800927744</t>
  </si>
  <si>
    <t>The CPU usage is: 0.0 RAM memory % used:98.6 RAM Used (GB):16.800006144</t>
  </si>
  <si>
    <t>The CPU usage is: 0.0 RAM memory % used:98.6 RAM Used (GB):16.803045376</t>
  </si>
  <si>
    <t>The CPU usage is: 0.0 RAM memory % used:98.6 RAM Used (GB):16.797253632</t>
  </si>
  <si>
    <t>The CPU usage is: 0.0 RAM memory % used:98.6 RAM Used (GB):16.797003776</t>
  </si>
  <si>
    <t>The CPU usage is: 0.0 RAM memory % used:98.6 RAM Used (GB):16.802627584</t>
  </si>
  <si>
    <t>The CPU usage is: 0.0 RAM memory % used:98.6 RAM Used (GB):16.799444992</t>
  </si>
  <si>
    <t>The CPU usage is: 0.0 RAM memory % used:98.6 RAM Used (GB):16.803299328</t>
  </si>
  <si>
    <t>The CPU usage is: 0.0 RAM memory % used:98.6 RAM Used (GB):16.807227392</t>
  </si>
  <si>
    <t>The CPU usage is: 0.0 RAM memory % used:98.6 RAM Used (GB):16.806170624</t>
  </si>
  <si>
    <t>The CPU usage is: 0.0 RAM memory % used:98.6 RAM Used (GB):16.805081088</t>
  </si>
  <si>
    <t>The CPU usage is: 0.0 RAM memory % used:98.6 RAM Used (GB):16.805564416</t>
  </si>
  <si>
    <t>The CPU usage is: 0.0 RAM memory % used:98.6 RAM Used (GB):16.801939456</t>
  </si>
  <si>
    <t>The CPU usage is: 0.0 RAM memory % used:98.6 RAM Used (GB):16.801726464</t>
  </si>
  <si>
    <t>The CPU usage is: 0.0 RAM memory % used:98.6 RAM Used (GB):16.806817792</t>
  </si>
  <si>
    <t>The CPU usage is: 0.0 RAM memory % used:98.6 RAM Used (GB):16.808124416</t>
  </si>
  <si>
    <t>The CPU usage is: 0.0 RAM memory % used:98.6 RAM Used (GB):16.804646912</t>
  </si>
  <si>
    <t>The CPU usage is: 0.0 RAM memory % used:98.6 RAM Used (GB):16.80269312</t>
  </si>
  <si>
    <t>The CPU usage is: 0.0 RAM memory % used:98.6 RAM Used (GB):16.804794368</t>
  </si>
  <si>
    <t>The CPU usage is: 0.0 RAM memory % used:98.6 RAM Used (GB):16.809385984</t>
  </si>
  <si>
    <t>The CPU usage is: 100.0 RAM memory % used:98.7 RAM Used (GB):16.824045568</t>
  </si>
  <si>
    <t>The CPU usage is: 0.0 RAM memory % used:98.7 RAM Used (GB):16.823361536</t>
  </si>
  <si>
    <t>The CPU usage is: 0.0 RAM memory % used:98.7 RAM Used (GB):16.822882304</t>
  </si>
  <si>
    <t>The CPU usage is: 0.0 RAM memory % used:98.7 RAM Used (GB):16.819023872</t>
  </si>
  <si>
    <t>The CPU usage is: 0.0 RAM memory % used:98.7 RAM Used (GB):16.819376128</t>
  </si>
  <si>
    <t>The CPU usage is: 0.0 RAM memory % used:98.7 RAM Used (GB):16.821178368</t>
  </si>
  <si>
    <t>The CPU usage is: 0.0 RAM memory % used:98.6 RAM Used (GB):16.806055936</t>
  </si>
  <si>
    <t>The CPU usage is: 14.3 RAM memory % used:98.7 RAM Used (GB):16.817451008</t>
  </si>
  <si>
    <t>The CPU usage is: 0.0 RAM memory % used:98.7 RAM Used (GB):16.816361472</t>
  </si>
  <si>
    <t>The CPU usage is: 0.0 RAM memory % used:98.6 RAM Used (GB):16.805568512</t>
  </si>
  <si>
    <t>The CPU usage is: 50.0 RAM memory % used:98.7 RAM Used (GB):16.813776896</t>
  </si>
  <si>
    <t>The CPU usage is: 0.0 RAM memory % used:98.6 RAM Used (GB):16.810663936</t>
  </si>
  <si>
    <t>The CPU usage is: 0.0 RAM memory % used:98.6 RAM Used (GB):16.809689088</t>
  </si>
  <si>
    <t>The CPU usage is: 0.0 RAM memory % used:98.6 RAM Used (GB):16.810274816</t>
  </si>
  <si>
    <t>The CPU usage is: 0.0 RAM memory % used:98.6 RAM Used (GB):16.808812544</t>
  </si>
  <si>
    <t>The CPU usage is: 0.0 RAM memory % used:98.6 RAM Used (GB):16.805818368</t>
  </si>
  <si>
    <t>The CPU usage is: 0.0 RAM memory % used:98.6 RAM Used (GB):16.806346752</t>
  </si>
  <si>
    <t>The CPU usage is: 0.0 RAM memory % used:98.6 RAM Used (GB):16.81102848</t>
  </si>
  <si>
    <t>The CPU usage is: 0.0 RAM memory % used:98.6 RAM Used (GB):16.809844736</t>
  </si>
  <si>
    <t>The CPU usage is: 0.0 RAM memory % used:98.6 RAM Used (GB):16.80922624</t>
  </si>
  <si>
    <t>The CPU usage is: 0.0 RAM memory % used:98.7 RAM Used (GB):16.811876352</t>
  </si>
  <si>
    <t>The CPU usage is: 0.0 RAM memory % used:98.6 RAM Used (GB):16.809914368</t>
  </si>
  <si>
    <t>The CPU usage is: 0.0 RAM memory % used:98.7 RAM Used (GB):16.812568576</t>
  </si>
  <si>
    <t>The CPU usage is: 100.0 RAM memory % used:98.7 RAM Used (GB):16.812367872</t>
  </si>
  <si>
    <t>The CPU usage is: 0.0 RAM memory % used:98.7 RAM Used (GB):16.812793856</t>
  </si>
  <si>
    <t>The CPU usage is: 50.0 RAM memory % used:98.7 RAM Used (GB):16.813064192</t>
  </si>
  <si>
    <t>The CPU usage is: 20.0 RAM memory % used:98.7 RAM Used (GB):16.811569152</t>
  </si>
  <si>
    <t>The CPU usage is: 0.0 RAM memory % used:98.7 RAM Used (GB):16.81164288</t>
  </si>
  <si>
    <t>The CPU usage is: 0.0 RAM memory % used:98.7 RAM Used (GB):16.813207552</t>
  </si>
  <si>
    <t>The CPU usage is: 100.0 RAM memory % used:98.7 RAM Used (GB):16.813961216</t>
  </si>
  <si>
    <t>The CPU usage is: 100.0 RAM memory % used:98.7 RAM Used (GB):16.81307648</t>
  </si>
  <si>
    <t>The CPU usage is: 50.0 RAM memory % used:98.7 RAM Used (GB):16.81266688</t>
  </si>
  <si>
    <t>The CPU usage is: 66.7 RAM memory % used:98.7 RAM Used (GB):16.818569216</t>
  </si>
  <si>
    <t>The CPU usage is: 0.0 RAM memory % used:98.7 RAM Used (GB):16.815845376</t>
  </si>
  <si>
    <t>The CPU usage is: 0.0 RAM memory % used:98.7 RAM Used (GB):16.815464448</t>
  </si>
  <si>
    <t>The CPU usage is: 0.0 RAM memory % used:98.7 RAM Used (GB):16.815742976</t>
  </si>
  <si>
    <t>The CPU usage is: 0.0 RAM memory % used:98.7 RAM Used (GB):16.813727744</t>
  </si>
  <si>
    <t>The CPU usage is: 0.0 RAM memory % used:99.8 RAM Used (GB):17.000607744</t>
  </si>
  <si>
    <t>The CPU usage is: 100.0 RAM memory % used:99.8 RAM Used (GB):17.011699712</t>
  </si>
  <si>
    <t>The CPU usage is: 0.0 RAM memory % used:99.9 RAM Used (GB):17.031999488</t>
  </si>
  <si>
    <t>The CPU usage is: 100.0 RAM memory % used:99.5 RAM Used (GB):16.963641344</t>
  </si>
  <si>
    <t>The CPU usage is: 100.0 RAM memory % used:99.9 RAM Used (GB):17.017561088</t>
  </si>
  <si>
    <t>The CPU usage is: 0.0 RAM memory % used:99.6 RAM Used (GB):16.97062912</t>
  </si>
  <si>
    <t>The CPU usage is: 0.0 RAM memory % used:99.4 RAM Used (GB):16.936251392</t>
  </si>
  <si>
    <t>The CPU usage is: 100.0 RAM memory % used:99.4 RAM Used (GB):16.94132224</t>
  </si>
  <si>
    <t>The CPU usage is: 100.0 RAM memory % used:99.4 RAM Used (GB):16.941215744</t>
  </si>
  <si>
    <t>The CPU usage is: 0.0 RAM memory % used:99.4 RAM Used (GB):16.938201088</t>
  </si>
  <si>
    <t>The CPU usage is: 0.0 RAM memory % used:99.3 RAM Used (GB):16.927834112</t>
  </si>
  <si>
    <t>The CPU usage is: 100.0 RAM memory % used:99.3 RAM Used (GB):16.928616448</t>
  </si>
  <si>
    <t>The CPU usage is: 0.0 RAM memory % used:99.3 RAM Used (GB):16.929927168</t>
  </si>
  <si>
    <t>The CPU usage is: 0.0 RAM memory % used:99.3 RAM Used (GB):16.929488896</t>
  </si>
  <si>
    <t>The CPU usage is: 0.0 RAM memory % used:99.3 RAM Used (GB):16.918069248</t>
  </si>
  <si>
    <t>The CPU usage is: 100.0 RAM memory % used:98.8 RAM Used (GB):16.828608512</t>
  </si>
  <si>
    <t>The CPU usage is: 28.6 RAM memory % used:97.4 RAM Used (GB):16.597684224</t>
  </si>
  <si>
    <t>The CPU usage is: 100.0 RAM memory % used:98.2 RAM Used (GB):16.733376512</t>
  </si>
  <si>
    <t>The CPU usage is: 33.3 RAM memory % used:98.2 RAM Used (GB):16.728399872</t>
  </si>
  <si>
    <t>The CPU usage is: 0.0 RAM memory % used:98.1 RAM Used (GB):16.725024768</t>
  </si>
  <si>
    <t>The CPU usage is: 0.0 RAM memory % used:98.1 RAM Used (GB):16.722116608</t>
  </si>
  <si>
    <t>The CPU usage is: 0.0 RAM memory % used:98.1 RAM Used (GB):16.71661568</t>
  </si>
  <si>
    <t>The CPU usage is: 0.0 RAM memory % used:98.7 RAM Used (GB):16.817954816</t>
  </si>
  <si>
    <t>The CPU usage is: 0.0 RAM memory % used:98.7 RAM Used (GB):16.827547648</t>
  </si>
  <si>
    <t>The CPU usage is: 0.0 RAM memory % used:98.7 RAM Used (GB):16.827301888</t>
  </si>
  <si>
    <t>The CPU usage is: 0.0 RAM memory % used:98.7 RAM Used (GB):16.827240448</t>
  </si>
  <si>
    <t>The CPU usage is: 0.0 RAM memory % used:98.7 RAM Used (GB):16.826761216</t>
  </si>
  <si>
    <t>The CPU usage is: 0.0 RAM memory % used:97.3 RAM Used (GB):16.573743104</t>
  </si>
  <si>
    <t>The CPU usage is: 0.0 RAM memory % used:97.3 RAM Used (GB):16.577273856</t>
  </si>
  <si>
    <t>The CPU usage is: 0.0 RAM memory % used:97.3 RAM Used (GB):16.58361856</t>
  </si>
  <si>
    <t>The CPU usage is: 66.7 RAM memory % used:97.3 RAM Used (GB):16.583245824</t>
  </si>
  <si>
    <t>The CPU usage is: 0.0 RAM memory % used:97.3 RAM Used (GB):16.583344128</t>
  </si>
  <si>
    <t>The CPU usage is: 0.0 RAM memory % used:97.3 RAM Used (GB):16.58370048</t>
  </si>
  <si>
    <t>The CPU usage is: 0.0 RAM memory % used:97.3 RAM Used (GB):16.583880704</t>
  </si>
  <si>
    <t>The CPU usage is: 0.0 RAM memory % used:97.3 RAM Used (GB):16.585883648</t>
  </si>
  <si>
    <t>The CPU usage is: 0.0 RAM memory % used:97.3 RAM Used (GB):16.5859328</t>
  </si>
  <si>
    <t>The CPU usage is: 0.0 RAM memory % used:97.3 RAM Used (GB):16.583888896</t>
  </si>
  <si>
    <t>The CPU usage is: 0.0 RAM memory % used:97.3 RAM Used (GB):16.583458816</t>
  </si>
  <si>
    <t>The CPU usage is: 27.3 RAM memory % used:97.3 RAM Used (GB):16.583663616</t>
  </si>
  <si>
    <t>The CPU usage is: 0.0 RAM memory % used:97.3 RAM Used (GB):16.583274496</t>
  </si>
  <si>
    <t>The CPU usage is: 0.0 RAM memory % used:97.3 RAM Used (GB):16.584859648</t>
  </si>
  <si>
    <t>The CPU usage is: 75.0 RAM memory % used:97.3 RAM Used (GB):16.586653696</t>
  </si>
  <si>
    <t>The CPU usage is: 0.0 RAM memory % used:97.3 RAM Used (GB):16.585822208</t>
  </si>
  <si>
    <t>The CPU usage is: 100.0 RAM memory % used:97.1 RAM Used (GB):16.548626432</t>
  </si>
  <si>
    <t>The CPU usage is: 0.0 RAM memory % used:97.1 RAM Used (GB):16.554622976</t>
  </si>
  <si>
    <t>The CPU usage is: 0.0 RAM memory % used:97.1 RAM Used (GB):16.553484288</t>
  </si>
  <si>
    <t>The CPU usage is: 0.0 RAM memory % used:97.1 RAM Used (GB):16.553086976</t>
  </si>
  <si>
    <t>The CPU usage is: 0.0 RAM memory % used:97.1 RAM Used (GB):16.555159552</t>
  </si>
  <si>
    <t>The CPU usage is: 0.0 RAM memory % used:97.1 RAM Used (GB):16.554471424</t>
  </si>
  <si>
    <t>The CPU usage is: 0.0 RAM memory % used:97.1 RAM Used (GB):16.554319872</t>
  </si>
  <si>
    <t>The CPU usage is: 0.0 RAM memory % used:97.2 RAM Used (GB):16.556806144</t>
  </si>
  <si>
    <t>The CPU usage is: 0.0 RAM memory % used:97.2 RAM Used (GB):16.555671552</t>
  </si>
  <si>
    <t>The CPU usage is: 0.0 RAM memory % used:97.2 RAM Used (GB):16.55560192</t>
  </si>
  <si>
    <t>The CPU usage is: 16.7 RAM memory % used:97.2 RAM Used (GB):16.558559232</t>
  </si>
  <si>
    <t>The CPU usage is: 0.0 RAM memory % used:97.1 RAM Used (GB):16.555106304</t>
  </si>
  <si>
    <t>The CPU usage is: 0.0 RAM memory % used:97.2 RAM Used (GB):16.562741248</t>
  </si>
  <si>
    <t>The CPU usage is: 0.0 RAM memory % used:97.2 RAM Used (GB):16.56203264</t>
  </si>
  <si>
    <t>The CPU usage is: 0.0 RAM memory % used:97.2 RAM Used (GB):16.5614592</t>
  </si>
  <si>
    <t>The CPU usage is: 0.0 RAM memory % used:97.2 RAM Used (GB):16.567771136</t>
  </si>
  <si>
    <t>The CPU usage is: 100.0 RAM memory % used:97.2 RAM Used (GB):16.567758848</t>
  </si>
  <si>
    <t>The CPU usage is: 0.0 RAM memory % used:97.3 RAM Used (GB):16.577601536</t>
  </si>
  <si>
    <t>The CPU usage is: 0.0 RAM memory % used:97.3 RAM Used (GB):16.575377408</t>
  </si>
  <si>
    <t>The CPU usage is: 0.0 RAM memory % used:97.3 RAM Used (GB):16.576417792</t>
  </si>
  <si>
    <t>The CPU usage is: 16.7 RAM memory % used:97.3 RAM Used (GB):16.578310144</t>
  </si>
  <si>
    <t>The CPU usage is: 0.0 RAM memory % used:97.3 RAM Used (GB):16.577355776</t>
  </si>
  <si>
    <t>The CPU usage is: 0.0 RAM memory % used:97.3 RAM Used (GB):16.575848448</t>
  </si>
  <si>
    <t>The CPU usage is: 0.0 RAM memory % used:97.3 RAM Used (GB):16.582139904</t>
  </si>
  <si>
    <t>The CPU usage is: 0.0 RAM memory % used:97.3 RAM Used (GB):16.580521984</t>
  </si>
  <si>
    <t>The CPU usage is: 50.0 RAM memory % used:97.3 RAM Used (GB):16.579006464</t>
  </si>
  <si>
    <t>The CPU usage is: 0.0 RAM memory % used:97.3 RAM Used (GB):16.58785792</t>
  </si>
  <si>
    <t>The CPU usage is: 50.0 RAM memory % used:97.3 RAM Used (GB):16.585916416</t>
  </si>
  <si>
    <t>The CPU usage is: 0.0 RAM memory % used:97.4 RAM Used (GB):16.604246016</t>
  </si>
  <si>
    <t>The CPU usage is: 25.0 RAM memory % used:97.5 RAM Used (GB):16.610107392</t>
  </si>
  <si>
    <t>The CPU usage is: 50.0 RAM memory % used:97.5 RAM Used (GB):16.611823616</t>
  </si>
  <si>
    <t>The CPU usage is: 33.3 RAM memory % used:97.5 RAM Used (GB):16.611356672</t>
  </si>
  <si>
    <t>The CPU usage is: 0.0 RAM memory % used:97.5 RAM Used (GB):16.611090432</t>
  </si>
  <si>
    <t>The CPU usage is: 0.0 RAM memory % used:97.5 RAM Used (GB):16.6131712</t>
  </si>
  <si>
    <t>The CPU usage is: 25.0 RAM memory % used:97.5 RAM Used (GB):16.610832384</t>
  </si>
  <si>
    <t>The CPU usage is: 0.0 RAM memory % used:97.5 RAM Used (GB):16.609886208</t>
  </si>
  <si>
    <t>The CPU usage is: 0.0 RAM memory % used:97.5 RAM Used (GB):16.61128704</t>
  </si>
  <si>
    <t>The CPU usage is: 0.0 RAM memory % used:97.5 RAM Used (GB):16.609554432</t>
  </si>
  <si>
    <t>The CPU usage is: 100.0 RAM memory % used:97.5 RAM Used (GB):16.60864512</t>
  </si>
  <si>
    <t>The CPU usage is: 0.0 RAM memory % used:97.5 RAM Used (GB):16.612401152</t>
  </si>
  <si>
    <t>The CPU usage is: 0.0 RAM memory % used:97.5 RAM Used (GB):16.61044736</t>
  </si>
  <si>
    <t>The CPU usage is: 0.0 RAM memory % used:97.5 RAM Used (GB):16.6093824</t>
  </si>
  <si>
    <t>The CPU usage is: 0.0 RAM memory % used:97.5 RAM Used (GB):16.611377152</t>
  </si>
  <si>
    <t>The CPU usage is: 100.0 RAM memory % used:97.5 RAM Used (GB):16.61364224</t>
  </si>
  <si>
    <t>The CPU usage is: 16.7 RAM memory % used:97.6 RAM Used (GB):16.628842496</t>
  </si>
  <si>
    <t>The CPU usage is: 0.0 RAM memory % used:97.6 RAM Used (GB):16.630341632</t>
  </si>
  <si>
    <t>The CPU usage is: 0.0 RAM memory % used:97.6 RAM Used (GB):16.629116928</t>
  </si>
  <si>
    <t>The CPU usage is: 0.0 RAM memory % used:97.6 RAM Used (GB):16.629055488</t>
  </si>
  <si>
    <t>The CPU usage is: 0.0 RAM memory % used:97.6 RAM Used (GB):16.628334592</t>
  </si>
  <si>
    <t>The CPU usage is: 100.0 RAM memory % used:97.6 RAM Used (GB):16.627277824</t>
  </si>
  <si>
    <t>The CPU usage is: 42.9 RAM memory % used:97.6 RAM Used (GB):16.627367936</t>
  </si>
  <si>
    <t>The CPU usage is: 0.0 RAM memory % used:97.6 RAM Used (GB):16.628588544</t>
  </si>
  <si>
    <t>The CPU usage is: 0.0 RAM memory % used:97.6 RAM Used (GB):16.62777344</t>
  </si>
  <si>
    <t>The CPU usage is: 0.0 RAM memory % used:97.6 RAM Used (GB):16.628277248</t>
  </si>
  <si>
    <t>The CPU usage is: 33.3 RAM memory % used:97.6 RAM Used (GB):16.628998144</t>
  </si>
  <si>
    <t>The CPU usage is: 50.0 RAM memory % used:97.6 RAM Used (GB):16.628629504</t>
  </si>
  <si>
    <t>The CPU usage is: 0.0 RAM memory % used:97.6 RAM Used (GB):16.629059584</t>
  </si>
  <si>
    <t>The CPU usage is: 100.0 RAM memory % used:97.6 RAM Used (GB):16.628314112</t>
  </si>
  <si>
    <t>The CPU usage is: 0.0 RAM memory % used:97.6 RAM Used (GB):16.627982336</t>
  </si>
  <si>
    <t>The CPU usage is: 50.0 RAM memory % used:97.6 RAM Used (GB):16.628670464</t>
  </si>
  <si>
    <t>The CPU usage is: 0.0 RAM memory % used:97.6 RAM Used (GB):16.627523584</t>
  </si>
  <si>
    <t>The CPU usage is: 0.0 RAM memory % used:97.6 RAM Used (GB):16.62713856</t>
  </si>
  <si>
    <t>The CPU usage is: 0.0 RAM memory % used:97.6 RAM Used (GB):16.628084736</t>
  </si>
  <si>
    <t>The CPU usage is: 0.0 RAM memory % used:97.6 RAM Used (GB):16.625332224</t>
  </si>
  <si>
    <t>The CPU usage is: 0.0 RAM memory % used:97.6 RAM Used (GB):16.6313984</t>
  </si>
  <si>
    <t>The CPU usage is: 16.7 RAM memory % used:97.6 RAM Used (GB):16.630894592</t>
  </si>
  <si>
    <t>The CPU usage is: 0.0 RAM memory % used:97.6 RAM Used (GB):16.63090688</t>
  </si>
  <si>
    <t>The CPU usage is: 0.0 RAM memory % used:97.6 RAM Used (GB):16.632795136</t>
  </si>
  <si>
    <t>The CPU usage is: 14.3 RAM memory % used:97.6 RAM Used (GB):16.63277056</t>
  </si>
  <si>
    <t>The CPU usage is: 0.0 RAM memory % used:97.6 RAM Used (GB):16.632049664</t>
  </si>
  <si>
    <t>The CPU usage is: 0.0 RAM memory % used:97.6 RAM Used (GB):16.636858368</t>
  </si>
  <si>
    <t>The CPU usage is: 0.0 RAM memory % used:97.6 RAM Used (GB):16.635383808</t>
  </si>
  <si>
    <t>The CPU usage is: 0.0 RAM memory % used:97.6 RAM Used (GB):16.634847232</t>
  </si>
  <si>
    <t>The CPU usage is: 0.0 RAM memory % used:97.6 RAM Used (GB):16.6342656</t>
  </si>
  <si>
    <t>The CPU usage is: 0.0 RAM memory % used:97.6 RAM Used (GB):16.629334016</t>
  </si>
  <si>
    <t>The CPU usage is: 0.0 RAM memory % used:97.6 RAM Used (GB):16.63188992</t>
  </si>
  <si>
    <t>The CPU usage is: 100.0 RAM memory % used:97.6 RAM Used (GB):16.640745472</t>
  </si>
  <si>
    <t>The CPU usage is: 0.0 RAM memory % used:97.7 RAM Used (GB):16.651821056</t>
  </si>
  <si>
    <t>The CPU usage is: 0.0 RAM memory % used:97.7 RAM Used (GB):16.65226752</t>
  </si>
  <si>
    <t>The CPU usage is: 50.0 RAM memory % used:97.7 RAM Used (GB):16.650797056</t>
  </si>
  <si>
    <t>The CPU usage is: 0.0 RAM memory % used:97.8 RAM Used (GB):16.659697664</t>
  </si>
  <si>
    <t>The CPU usage is: 0.0 RAM memory % used:97.8 RAM Used (GB):16.660586496</t>
  </si>
  <si>
    <t>The CPU usage is: 0.0 RAM memory % used:97.8 RAM Used (GB):16.661434368</t>
  </si>
  <si>
    <t>The CPU usage is: 16.7 RAM memory % used:97.9 RAM Used (GB):16.67868672</t>
  </si>
  <si>
    <t>The CPU usage is: 0.0 RAM memory % used:97.8 RAM Used (GB):16.673693696</t>
  </si>
  <si>
    <t>The CPU usage is: 0.0 RAM memory % used:97.8 RAM Used (GB):16.6689792</t>
  </si>
  <si>
    <t>The CPU usage is: 12.5 RAM memory % used:97.8 RAM Used (GB):16.669253632</t>
  </si>
  <si>
    <t>The CPU usage is: 0.0 RAM memory % used:97.8 RAM Used (GB):16.66869248</t>
  </si>
  <si>
    <t>The CPU usage is: 0.0 RAM memory % used:97.8 RAM Used (GB):16.668643328</t>
  </si>
  <si>
    <t>The CPU usage is: 0.0 RAM memory % used:97.8 RAM Used (GB):16.669253632</t>
  </si>
  <si>
    <t>The CPU usage is: 0.0 RAM memory % used:97.8 RAM Used (GB):16.668786688</t>
  </si>
  <si>
    <t>The CPU usage is: 0.0 RAM memory % used:97.8 RAM Used (GB):16.667951104</t>
  </si>
  <si>
    <t>The CPU usage is: 20.0 RAM memory % used:97.8 RAM Used (GB):16.667963392</t>
  </si>
  <si>
    <t>The CPU usage is: 0.0 RAM memory % used:97.8 RAM Used (GB):16.665571328</t>
  </si>
  <si>
    <t>The CPU usage is: 50.0 RAM memory % used:97.9 RAM Used (GB):16.683511808</t>
  </si>
  <si>
    <t>The CPU usage is: 0.0 RAM memory % used:97.9 RAM Used (GB):16.687955968</t>
  </si>
  <si>
    <t>The CPU usage is: 0.0 RAM memory % used:97.9 RAM Used (GB):16.685019136</t>
  </si>
  <si>
    <t>The CPU usage is: 0.0 RAM memory % used:98.0 RAM Used (GB):16.693211136</t>
  </si>
  <si>
    <t>The CPU usage is: 0.0 RAM memory % used:98.1 RAM Used (GB):16.718557184</t>
  </si>
  <si>
    <t>The CPU usage is: 0.0 RAM memory % used:98.1 RAM Used (GB):16.718000128</t>
  </si>
  <si>
    <t>The CPU usage is: 50.0 RAM memory % used:98.1 RAM Used (GB):16.711032832</t>
  </si>
  <si>
    <t>The CPU usage is: 0.0 RAM memory % used:98.1 RAM Used (GB):16.71333888</t>
  </si>
  <si>
    <t>The CPU usage is: 50.0 RAM memory % used:98.1 RAM Used (GB):16.711012352</t>
  </si>
  <si>
    <t>The CPU usage is: 0.0 RAM memory % used:98.1 RAM Used (GB):16.710393856</t>
  </si>
  <si>
    <t>The CPU usage is: 20.0 RAM memory % used:98.1 RAM Used (GB):16.711794688</t>
  </si>
  <si>
    <t>The CPU usage is: 0.0 RAM memory % used:98.1 RAM Used (GB):16.720072704</t>
  </si>
  <si>
    <t>The CPU usage is: 100.0 RAM memory % used:98.2 RAM Used (GB):16.726552576</t>
  </si>
  <si>
    <t>The CPU usage is: 100.0 RAM memory % used:98.1 RAM Used (GB):16.72370176</t>
  </si>
  <si>
    <t>The CPU usage is: 50.0 RAM memory % used:98.1 RAM Used (GB):16.721293312</t>
  </si>
  <si>
    <t>The CPU usage is: 0.0 RAM memory % used:98.2 RAM Used (GB):16.728727552</t>
  </si>
  <si>
    <t>The CPU usage is: 0.0 RAM memory % used:98.2 RAM Used (GB):16.727846912</t>
  </si>
  <si>
    <t>The CPU usage is: 0.0 RAM memory % used:98.1 RAM Used (GB):16.724180992</t>
  </si>
  <si>
    <t>The CPU usage is: 0.0 RAM memory % used:98.2 RAM Used (GB):16.726716416</t>
  </si>
  <si>
    <t>The CPU usage is: 0.0 RAM memory % used:98.1 RAM Used (GB):16.725393408</t>
  </si>
  <si>
    <t>The CPU usage is: 25.0 RAM memory % used:98.1 RAM Used (GB):16.7232512</t>
  </si>
  <si>
    <t>The CPU usage is: 0.0 RAM memory % used:98.2 RAM Used (GB):16.728797184</t>
  </si>
  <si>
    <t>The CPU usage is: 75.0 RAM memory % used:98.2 RAM Used (GB):16.728150016</t>
  </si>
  <si>
    <t>The CPU usage is: 0.0 RAM memory % used:98.1 RAM Used (GB):16.725430272</t>
  </si>
  <si>
    <t>The CPU usage is: 28.6 RAM memory % used:98.1 RAM Used (GB):16.725557248</t>
  </si>
  <si>
    <t>The CPU usage is: 0.0 RAM memory % used:98.1 RAM Used (GB):16.721764352</t>
  </si>
  <si>
    <t>The CPU usage is: 14.3 RAM memory % used:98.2 RAM Used (GB):16.727433216</t>
  </si>
  <si>
    <t>The CPU usage is: 0.0 RAM memory % used:98.2 RAM Used (GB):16.736538624</t>
  </si>
  <si>
    <t>The CPU usage is: 100.0 RAM memory % used:98.1 RAM Used (GB):16.719699968</t>
  </si>
  <si>
    <t>The CPU usage is: 0.0 RAM memory % used:98.1 RAM Used (GB):16.719069184</t>
  </si>
  <si>
    <t>The CPU usage is: 0.0 RAM memory % used:98.2 RAM Used (GB):16.728805376</t>
  </si>
  <si>
    <t>The CPU usage is: 0.0 RAM memory % used:98.1 RAM Used (GB):16.72327168</t>
  </si>
  <si>
    <t>The CPU usage is: 100.0 RAM memory % used:98.2 RAM Used (GB):16.733016064</t>
  </si>
  <si>
    <t>The CPU usage is: 0.0 RAM memory % used:98.2 RAM Used (GB):16.728174592</t>
  </si>
  <si>
    <t>The CPU usage is: 0.0 RAM memory % used:98.1 RAM Used (GB):16.720400384</t>
  </si>
  <si>
    <t>The CPU usage is: 0.0 RAM memory % used:98.1 RAM Used (GB):16.7242752</t>
  </si>
  <si>
    <t>The CPU usage is: 0.0 RAM memory % used:98.1 RAM Used (GB):16.718675968</t>
  </si>
  <si>
    <t>The CPU usage is: 0.0 RAM memory % used:98.1 RAM Used (GB):16.721412096</t>
  </si>
  <si>
    <t>The CPU usage is: 0.0 RAM memory % used:98.1 RAM Used (GB):16.722804736</t>
  </si>
  <si>
    <t>The CPU usage is: 100.0 RAM memory % used:98.1 RAM Used (GB):16.721027072</t>
  </si>
  <si>
    <t>The CPU usage is: 60.0 RAM memory % used:98.1 RAM Used (GB):16.719806464</t>
  </si>
  <si>
    <t>The CPU usage is: 11.1 RAM memory % used:98.1 RAM Used (GB):16.71899136</t>
  </si>
  <si>
    <t>The CPU usage is: 0.0 RAM memory % used:98.1 RAM Used (GB):16.722014208</t>
  </si>
  <si>
    <t>The CPU usage is: 0.0 RAM memory % used:98.1 RAM Used (GB):16.716476416</t>
  </si>
  <si>
    <t>The CPU usage is: 0.0 RAM memory % used:98.1 RAM Used (GB):16.716627968</t>
  </si>
  <si>
    <t>The CPU usage is: 66.7 RAM memory % used:98.1 RAM Used (GB):16.724078592</t>
  </si>
  <si>
    <t>The CPU usage is: 0.0 RAM memory % used:98.1 RAM Used (GB):16.719835136</t>
  </si>
  <si>
    <t>The CPU usage is: 0.0 RAM memory % used:98.1 RAM Used (GB):16.715169792</t>
  </si>
  <si>
    <t>The CPU usage is: 0.0 RAM memory % used:98.1 RAM Used (GB):16.72249344</t>
  </si>
  <si>
    <t>The CPU usage is: 100.0 RAM memory % used:98.1 RAM Used (GB):16.718880768</t>
  </si>
  <si>
    <t>The CPU usage is: 0.0 RAM memory % used:98.1 RAM Used (GB):16.715923456</t>
  </si>
  <si>
    <t>The CPU usage is: 0.0 RAM memory % used:98.1 RAM Used (GB):16.722345984</t>
  </si>
  <si>
    <t>The CPU usage is: 100.0 RAM memory % used:98.1 RAM Used (GB):16.720355328</t>
  </si>
  <si>
    <t>The CPU usage is: 0.0 RAM memory % used:98.2 RAM Used (GB):16.72800256</t>
  </si>
  <si>
    <t>The CPU usage is: 100.0 RAM memory % used:97.9 RAM Used (GB):16.681115648</t>
  </si>
  <si>
    <t>The CPU usage is: 0.0 RAM memory % used:97.0 RAM Used (GB):16.5317632</t>
  </si>
  <si>
    <t>The CPU usage is: 9.1 RAM memory % used:96.1 RAM Used (GB):16.369209344</t>
  </si>
  <si>
    <t>The CPU usage is: 0.0 RAM memory % used:95.4 RAM Used (GB):16.263323648</t>
  </si>
  <si>
    <t>The CPU usage is: 100.0 RAM memory % used:91.1 RAM Used (GB):15.525965824</t>
  </si>
  <si>
    <t>The CPU usage is: 0.0 RAM memory % used:90.7 RAM Used (GB):15.457193984</t>
  </si>
  <si>
    <t>The CPU usage is: 0.0 RAM memory % used:90.4 RAM Used (GB):15.399612416</t>
  </si>
  <si>
    <t>The CPU usage is: 0.0 RAM memory % used:90.3 RAM Used (GB):15.380168704</t>
  </si>
  <si>
    <t>The CPU usage is: 0.0 RAM memory % used:90.1 RAM Used (GB):15.355932672</t>
  </si>
  <si>
    <t>The CPU usage is: 0.0 RAM memory % used:90.0 RAM Used (GB):15.336030208</t>
  </si>
  <si>
    <t>The CPU usage is: 0.0 RAM memory % used:89.9 RAM Used (GB):15.317082112</t>
  </si>
  <si>
    <t>The CPU usage is: 0.0 RAM memory % used:89.8 RAM Used (GB):15.302500352</t>
  </si>
  <si>
    <t>The CPU usage is: 0.0 RAM memory % used:89.6 RAM Used (GB):15.273402368</t>
  </si>
  <si>
    <t>The CPU usage is: 0.0 RAM memory % used:80.8 RAM Used (GB):13.76679936</t>
  </si>
  <si>
    <t>The CPU usage is: 0.0 RAM memory % used:71.2 RAM Used (GB):12.138512384</t>
  </si>
  <si>
    <t>The CPU usage is: 0.0 RAM memory % used:65.0 RAM Used (GB):11.072212992</t>
  </si>
  <si>
    <t>The CPU usage is: 100.0 RAM memory % used:66.5 RAM Used (GB):11.328872448</t>
  </si>
  <si>
    <t>The CPU usage is: 0.0 RAM memory % used:66.5 RAM Used (GB):11.327463424</t>
  </si>
  <si>
    <t xml:space="preserve">ótimo produto, não preciso de nenhum outro tipo de produto para fazer as mesmas coisas.
ótimo laptop. Funciona bem e é bonito.
ótimo televisor. Gosto muito da qualidade da imagem.
ótimo tablet para o preço que custou. Gostei muito.
ótimo produto, não tive problemas com ele. Funciona perfeitamente.
ótimo meu blender, fácil de usar e limpa com facilidade.
ótimo produto para quem tem dificuldade em se memoriar coisas.
ótimo produto para quem busca um mouse wireless confiável. Excelente.
ótimo produto para quem busca um brilho perfeito em casa.
ótimo produto, fácil de usar e econômico.
ótimo preço/qualidade desse tv led. Fico muito satisfeito.
ótimo preço e qualidade do meu televisor LED. Gosto muito.
ótimo produto, mas não valeram aquele preço.
ótimo laptop. Funciona muito bem. Gostaria de comprá-lo novamente.
ótimo o meu brilho solar. Funciona muito bem.
ótimo carro, muito confortável e seguro.
ótimo preço para esse televisor. Gostei do precio.
ótimo produto para quem busca um televisor de qualidade.
ótimo produto, recomendo para quem busca um produto desse tipo.
1. Eu odeio me
ótimo tablet, excelente valor para o preço.
ótimo produto, mas não valeria a diferença que paguei.
                    Fique atento, alguns exempl
ótimo produto, valeu a espera. Recomendo para todos!
ótimo televisor, sem defeitos, preço bom.
ótimo meu scanner. Funciona muito bem.
ótimo produto! Funciona muito bem e é fácil de usar.
ótimo produto para o preço que custou. Gostei muito do resultado.
ótimo TV led. Fico satisfeito com a compra.
ótimo TV, boa qualidade e preço bom.
ótimo preço e qualidade para o meu scanner.
ótima câmera para começar. Funciona bem e é fácil de usar.
ótimo produto, mas fico frustrado com a qualidade do material usado.
ótimo produto, mas não valorizei o preço.
ótimo produto para quem busca um produto econômico e funcional. Gosto muito do meu aspirador.
ótimo produto, mas caro. Gostei do preço.
ótimo produto, mas muito caro. Não valeu a diferença no preço.
ótimo produto para quem precisa de algo simples e funcional. Não é para quem busca alta qualidade.
ótimo televisor. Gostei muito do preço e da qualidade.
ótimo produto, comprei para minha filha e ela está muito feliz com ele.
ótimo produto, fácil de usar e econômico.
ótimo produto. Valorizado muito o dinheiro que paguei.
ótimo produto para quem busca uma máquina de lavar roupas. Gostei muito.
ótimo produto, comprei para minha mãe e ela adora.
ótimo produto para quem tem problemas de dormir. Melhorou muito a qualidade do sono.
                    Comentário
ótimo brilho desse teto-led, mas não durou muito tempo.
ótimo produto para quem busca um computador portátil. Excelente custo-benefício.
                    Coment
ótimo monitor de computador. Funciona perfeitamente.
ótimo preço e qualidade para o meu scanner. Recomendo.
ótimo produto. Funciona muito bem. Me ajuda mucho na rotina diária.
                    NOTA:
ótimo produto, valeu a espera.
ótimo televisor, mas não valeu aquele preço.
</t>
  </si>
  <si>
    <t>mesmas</t>
  </si>
  <si>
    <t>dificuldade</t>
  </si>
  <si>
    <t>memoriar</t>
  </si>
  <si>
    <t>mouse</t>
  </si>
  <si>
    <t>valeram</t>
  </si>
  <si>
    <t>fique</t>
  </si>
  <si>
    <t>exempl</t>
  </si>
  <si>
    <t>começar</t>
  </si>
  <si>
    <t>frustrado</t>
  </si>
  <si>
    <t>material</t>
  </si>
  <si>
    <t>usado</t>
  </si>
  <si>
    <t>melhorou</t>
  </si>
  <si>
    <t>tetoled</t>
  </si>
  <si>
    <t>durou</t>
  </si>
  <si>
    <t>rotina</t>
  </si>
  <si>
    <t>{"valorA":"outro","valorB":1}</t>
  </si>
  <si>
    <t>{"valorA":"mesmas","valorB":1}</t>
  </si>
  <si>
    <t>{"valorA":"tipo","valorB":1}</t>
  </si>
  <si>
    <t>{"valorA":"coisas","valorB":1}</t>
  </si>
  <si>
    <t>{"valorA":"nenhum","valorB":1}</t>
  </si>
  <si>
    <t>{"valorA":"custou","valorB":1}</t>
  </si>
  <si>
    <t>{"valorA":"problemas","valorB":1}</t>
  </si>
  <si>
    <t>{"valorA":"tive","valorB":1}</t>
  </si>
  <si>
    <t>{"valorA":"memoriar","valorB":1}</t>
  </si>
  <si>
    <t>{"valorA":"dificuldade","valorB":1}</t>
  </si>
  <si>
    <t>{"valorA":"se","valorB":1}</t>
  </si>
  <si>
    <t>{"valorA":"coisas","valorB":2}</t>
  </si>
  <si>
    <t>{"valorA":"mouse","valorB":1}</t>
  </si>
  <si>
    <t>{"valorA":"valeram","valorB":1}</t>
  </si>
  <si>
    <t>{"valorA":"aquele","valorB":1}</t>
  </si>
  <si>
    <t>{"valorA":"tipo","valorB":2}</t>
  </si>
  <si>
    <t>{"valorA":"1","valorB":1}</t>
  </si>
  <si>
    <t>{"valorA":"fique","valorB":1}</t>
  </si>
  <si>
    <t>{"valorA":"diferença","valorB":1}</t>
  </si>
  <si>
    <t>{"valorA":"atento","valorB":1}</t>
  </si>
  <si>
    <t>{"valorA":"exempl","valorB":1}</t>
  </si>
  <si>
    <t>{"valorA":"custou","valorB":2}</t>
  </si>
  <si>
    <t>{"valorA":"tv","valorB":3}</t>
  </si>
  <si>
    <t>{"valorA":"scanner","valorB":2}</t>
  </si>
  <si>
    <t>{"valorA":"começar","valorB":1}</t>
  </si>
  <si>
    <t>{"valorA":"frustrado","valorB":1}</t>
  </si>
  <si>
    <t>{"valorA":"usado","valorB":1}</t>
  </si>
  <si>
    <t>{"valorA":"material","valorB":1}</t>
  </si>
  <si>
    <t>{"valorA":"não","valorB":5}</t>
  </si>
  <si>
    <t>{"valorA":"valorizei","valorB":1}</t>
  </si>
  <si>
    <t>{"valorA":"busca","valorB":5}</t>
  </si>
  <si>
    <t>{"valorA":"diferença","valorB":2}</t>
  </si>
  <si>
    <t>{"valorA":"mas","valorB":6}</t>
  </si>
  <si>
    <t>{"valorA":"não","valorB":6}</t>
  </si>
  <si>
    <t>{"valorA":"quem","valorB":7}</t>
  </si>
  <si>
    <t>{"valorA":"qualidade","valorB":7}</t>
  </si>
  <si>
    <t>{"valorA":"busca","valorB":6}</t>
  </si>
  <si>
    <t>{"valorA":"quem","valorB":8}</t>
  </si>
  <si>
    <t>{"valorA":"não","valorB":7}</t>
  </si>
  <si>
    <t>{"valorA":"qualidade","valorB":8}</t>
  </si>
  <si>
    <t>{"valorA":"filha","valorB":1}</t>
  </si>
  <si>
    <t>{"valorA":"busca","valorB":7}</t>
  </si>
  <si>
    <t>{"valorA":"quem","valorB":9}</t>
  </si>
  <si>
    <t>{"valorA":"roupas","valorB":1}</t>
  </si>
  <si>
    <t>{"valorA":"ela","valorB":2}</t>
  </si>
  <si>
    <t>{"valorA":"mãe","valorB":1}</t>
  </si>
  <si>
    <t>{"valorA":"para","valorB":20}</t>
  </si>
  <si>
    <t>{"valorA":"problemas","valorB":2}</t>
  </si>
  <si>
    <t>{"valorA":"quem","valorB":10}</t>
  </si>
  <si>
    <t>{"valorA":"qualidade","valorB":9}</t>
  </si>
  <si>
    <t>{"valorA":"melhorou","valorB":1}</t>
  </si>
  <si>
    <t>{"valorA":"sono","valorB":1}</t>
  </si>
  <si>
    <t>{"valorA":"brilho","valorB":3}</t>
  </si>
  <si>
    <t>{"valorA":"durou","valorB":1}</t>
  </si>
  <si>
    <t>{"valorA":"tetoled","valorB":1}</t>
  </si>
  <si>
    <t>{"valorA":"tempo","valorB":1}</t>
  </si>
  <si>
    <t>{"valorA":"não","valorB":8}</t>
  </si>
  <si>
    <t>{"valorA":"mas","valorB":7}</t>
  </si>
  <si>
    <t>{"valorA":"busca","valorB":8}</t>
  </si>
  <si>
    <t>{"valorA":"quem","valorB":11}</t>
  </si>
  <si>
    <t>{"valorA":"para","valorB":21}</t>
  </si>
  <si>
    <t>{"valorA":"custobenefício","valorB":1}</t>
  </si>
  <si>
    <t>{"valorA":"excelente","valorB":3}</t>
  </si>
  <si>
    <t>{"valorA":"scanner","valorB":3}</t>
  </si>
  <si>
    <t>{"valorA":"qualidade","valorB":10}</t>
  </si>
  <si>
    <t>{"valorA":"para","valorB":22}</t>
  </si>
  <si>
    <t>{"valorA":"mucho","valorB":1}</t>
  </si>
  <si>
    <t>{"valorA":"rotina","valorB":1}</t>
  </si>
  <si>
    <t>{"valorA":"nota","valorB":1}</t>
  </si>
  <si>
    <t>{"valorA":"aquele","valorB":2}</t>
  </si>
  <si>
    <t>{"valorA":"não","valorB":9}</t>
  </si>
  <si>
    <t>{"valorA":"mas","valorB":8}</t>
  </si>
  <si>
    <t>The CPU usage is: 10.0 RAM memory % used:97.7 RAM Used (GB):16.649076736</t>
  </si>
  <si>
    <t>The CPU usage is: 0.0 RAM memory % used:98.9 RAM Used (GB):16.846401536</t>
  </si>
  <si>
    <t>The CPU usage is: 0.0 RAM memory % used:98.3 RAM Used (GB):16.758509568</t>
  </si>
  <si>
    <t>The CPU usage is: 0.0 RAM memory % used:98.1 RAM Used (GB):16.725516288</t>
  </si>
  <si>
    <t>The CPU usage is: 8.3 RAM memory % used:98.5 RAM Used (GB):16.790654976</t>
  </si>
  <si>
    <t>The CPU usage is: 0.0 RAM memory % used:98.8 RAM Used (GB):16.83050496</t>
  </si>
  <si>
    <t>The CPU usage is: 0.0 RAM memory % used:99.3 RAM Used (GB):16.9158656</t>
  </si>
  <si>
    <t>The CPU usage is: 0.0 RAM memory % used:99.7 RAM Used (GB):16.983904256</t>
  </si>
  <si>
    <t>The CPU usage is: 0.0 RAM memory % used:96.7 RAM Used (GB):16.474308608</t>
  </si>
  <si>
    <t>The CPU usage is: 0.0 RAM memory % used:97.1 RAM Used (GB):16.551911424</t>
  </si>
  <si>
    <t>The CPU usage is: 0.0 RAM memory % used:98.5 RAM Used (GB):16.77852672</t>
  </si>
  <si>
    <t>The CPU usage is: 0.0 RAM memory % used:99.2 RAM Used (GB):16.905805824</t>
  </si>
  <si>
    <t>The CPU usage is: 0.0 RAM memory % used:96.8 RAM Used (GB):16.503414784</t>
  </si>
  <si>
    <t>The CPU usage is: 0.0 RAM memory % used:97.2 RAM Used (GB):16.56664064</t>
  </si>
  <si>
    <t>The CPU usage is: 0.0 RAM memory % used:97.8 RAM Used (GB):16.659091456</t>
  </si>
  <si>
    <t>The CPU usage is: 100.0 RAM memory % used:96.9 RAM Used (GB):16.505982976</t>
  </si>
  <si>
    <t>The CPU usage is: 100.0 RAM memory % used:97.3 RAM Used (GB):16.57372672</t>
  </si>
  <si>
    <t>The CPU usage is: 0.0 RAM memory % used:97.4 RAM Used (GB):16.596865024</t>
  </si>
  <si>
    <t>The CPU usage is: 0.0 RAM memory % used:97.7 RAM Used (GB):16.646045696</t>
  </si>
  <si>
    <t>The CPU usage is: 100.0 RAM memory % used:97.8 RAM Used (GB):16.673419264</t>
  </si>
  <si>
    <t>The CPU usage is: 100.0 RAM memory % used:98.2 RAM Used (GB):16.72900608</t>
  </si>
  <si>
    <t>The CPU usage is: 0.0 RAM memory % used:98.2 RAM Used (GB):16.736018432</t>
  </si>
  <si>
    <t>The CPU usage is: 50.0 RAM memory % used:96.9 RAM Used (GB):16.512663552</t>
  </si>
  <si>
    <t>The CPU usage is: 100.0 RAM memory % used:96.8 RAM Used (GB):16.504172544</t>
  </si>
  <si>
    <t>The CPU usage is: 16.7 RAM memory % used:96.9 RAM Used (GB):16.507756544</t>
  </si>
  <si>
    <t>The CPU usage is: 100.0 RAM memory % used:96.8 RAM Used (GB):16.503742464</t>
  </si>
  <si>
    <t>The CPU usage is: 0.0 RAM memory % used:97.0 RAM Used (GB):16.528830464</t>
  </si>
  <si>
    <t>The CPU usage is: 0.0 RAM memory % used:97.1 RAM Used (GB):16.553648128</t>
  </si>
  <si>
    <t>The CPU usage is: 0.0 RAM memory % used:96.9 RAM Used (GB):16.519737344</t>
  </si>
  <si>
    <t>The CPU usage is: 0.0 RAM memory % used:96.9 RAM Used (GB):16.518197248</t>
  </si>
  <si>
    <t>The CPU usage is: 0.0 RAM memory % used:96.7 RAM Used (GB):16.48693248</t>
  </si>
  <si>
    <t>The CPU usage is: 0.0 RAM memory % used:96.8 RAM Used (GB):16.500625408</t>
  </si>
  <si>
    <t>The CPU usage is: 0.0 RAM memory % used:97.1 RAM Used (GB):16.54519808</t>
  </si>
  <si>
    <t>The CPU usage is: 0.0 RAM memory % used:97.1 RAM Used (GB):16.546050048</t>
  </si>
  <si>
    <t>The CPU usage is: 0.0 RAM memory % used:97.1 RAM Used (GB):16.5429248</t>
  </si>
  <si>
    <t>The CPU usage is: 0.0 RAM memory % used:97.1 RAM Used (GB):16.542703616</t>
  </si>
  <si>
    <t>The CPU usage is: 0.0 RAM memory % used:97.1 RAM Used (GB):16.548306944</t>
  </si>
  <si>
    <t>The CPU usage is: 0.0 RAM memory % used:97.1 RAM Used (GB):16.549986304</t>
  </si>
  <si>
    <t>The CPU usage is: 0.0 RAM memory % used:97.1 RAM Used (GB):16.55287808</t>
  </si>
  <si>
    <t>The CPU usage is: 0.0 RAM memory % used:97.6 RAM Used (GB):16.631857152</t>
  </si>
  <si>
    <t>The CPU usage is: 66.7 RAM memory % used:97.7 RAM Used (GB):16.652169216</t>
  </si>
  <si>
    <t>The CPU usage is: 100.0 RAM memory % used:97.9 RAM Used (GB):16.689307648</t>
  </si>
  <si>
    <t>The CPU usage is: 0.0 RAM memory % used:98.0 RAM Used (GB):16.701657088</t>
  </si>
  <si>
    <t>The CPU usage is: 50.0 RAM memory % used:98.0 RAM Used (GB):16.70193152</t>
  </si>
  <si>
    <t>The CPU usage is: 0.0 RAM memory % used:98.0 RAM Used (GB):16.7074816</t>
  </si>
  <si>
    <t>The CPU usage is: 100.0 RAM memory % used:97.6 RAM Used (GB):16.628359168</t>
  </si>
  <si>
    <t>The CPU usage is: 50.0 RAM memory % used:97.4 RAM Used (GB):16.595963904</t>
  </si>
  <si>
    <t>The CPU usage is: 16.7 RAM memory % used:97.2 RAM Used (GB):16.569020416</t>
  </si>
  <si>
    <t>The CPU usage is: 0.0 RAM memory % used:97.2 RAM Used (GB):16.559714304</t>
  </si>
  <si>
    <t>The CPU usage is: 0.0 RAM memory % used:97.2 RAM Used (GB):16.564875264</t>
  </si>
  <si>
    <t>The CPU usage is: 66.7 RAM memory % used:97.2 RAM Used (GB):16.563777536</t>
  </si>
  <si>
    <t>The CPU usage is: 0.0 RAM memory % used:97.2 RAM Used (GB):16.564895744</t>
  </si>
  <si>
    <t>The CPU usage is: 0.0 RAM memory % used:97.3 RAM Used (GB):16.579825664</t>
  </si>
  <si>
    <t>The CPU usage is: 0.0 RAM memory % used:97.3 RAM Used (GB):16.578310144</t>
  </si>
  <si>
    <t>The CPU usage is: 100.0 RAM memory % used:97.3 RAM Used (GB):16.577642496</t>
  </si>
  <si>
    <t>The CPU usage is: 0.0 RAM memory % used:97.5 RAM Used (GB):16.607105024</t>
  </si>
  <si>
    <t>The CPU usage is: 12.5 RAM memory % used:97.5 RAM Used (GB):16.622473216</t>
  </si>
  <si>
    <t>The CPU usage is: 0.0 RAM memory % used:97.6 RAM Used (GB):16.630018048</t>
  </si>
  <si>
    <t>The CPU usage is: 0.0 RAM memory % used:96.9 RAM Used (GB):16.520282112</t>
  </si>
  <si>
    <t>The CPU usage is: 0.0 RAM memory % used:97.1 RAM Used (GB):16.554749952</t>
  </si>
  <si>
    <t>The CPU usage is: 50.0 RAM memory % used:97.2 RAM Used (GB):16.569249792</t>
  </si>
  <si>
    <t>The CPU usage is: 0.0 RAM memory % used:97.3 RAM Used (GB):16.5842944</t>
  </si>
  <si>
    <t>The CPU usage is: 0.0 RAM memory % used:97.6 RAM Used (GB):16.635518976</t>
  </si>
  <si>
    <t>The CPU usage is: 0.0 RAM memory % used:97.7 RAM Used (GB):16.652455936</t>
  </si>
  <si>
    <t>The CPU usage is: 0.0 RAM memory % used:99.9 RAM Used (GB):17.024385024</t>
  </si>
  <si>
    <t>The CPU usage is: 100.0 RAM memory % used:99.6 RAM Used (GB):16.966397952</t>
  </si>
  <si>
    <t>The CPU usage is: 100.0 RAM memory % used:96.2 RAM Used (GB):16.393547776</t>
  </si>
  <si>
    <t>The CPU usage is: 100.0 RAM memory % used:96.0 RAM Used (GB):16.363347968</t>
  </si>
  <si>
    <t>The CPU usage is: 0.0 RAM memory % used:96.7 RAM Used (GB):16.480833536</t>
  </si>
  <si>
    <t>The CPU usage is: 0.0 RAM memory % used:96.7 RAM Used (GB):16.486596608</t>
  </si>
  <si>
    <t>The CPU usage is: 0.0 RAM memory % used:96.8 RAM Used (GB):16.489832448</t>
  </si>
  <si>
    <t>The CPU usage is: 0.0 RAM memory % used:96.9 RAM Used (GB):16.514326528</t>
  </si>
  <si>
    <t>The CPU usage is: 85.7 RAM memory % used:98.3 RAM Used (GB):16.74371072</t>
  </si>
  <si>
    <t>The CPU usage is: 98.6 RAM memory % used:96.7 RAM Used (GB):16.479182848</t>
  </si>
  <si>
    <t>The CPU usage is: 100.0 RAM memory % used:97.2 RAM Used (GB):16.56147968</t>
  </si>
  <si>
    <t>The CPU usage is: 0.0 RAM memory % used:96.6 RAM Used (GB):16.453632</t>
  </si>
  <si>
    <t>The CPU usage is: 16.7 RAM memory % used:96.6 RAM Used (GB):16.45692928</t>
  </si>
  <si>
    <t>The CPU usage is: 28.6 RAM memory % used:96.6 RAM Used (GB):16.470040576</t>
  </si>
  <si>
    <t>The CPU usage is: 11.1 RAM memory % used:96.6 RAM Used (GB):16.457121792</t>
  </si>
  <si>
    <t>The CPU usage is: 100.0 RAM memory % used:96.7 RAM Used (GB):16.473350144</t>
  </si>
  <si>
    <t>The CPU usage is: 0.0 RAM memory % used:97.3 RAM Used (GB):16.586616832</t>
  </si>
  <si>
    <t>The CPU usage is: 100.0 RAM memory % used:96.8 RAM Used (GB):16.48955392</t>
  </si>
  <si>
    <t>The CPU usage is: 14.3 RAM memory % used:96.7 RAM Used (GB):16.481738752</t>
  </si>
  <si>
    <t>The CPU usage is: 0.0 RAM memory % used:96.9 RAM Used (GB):16.519462912</t>
  </si>
  <si>
    <t>The CPU usage is: 100.0 RAM memory % used:97.0 RAM Used (GB):16.526221312</t>
  </si>
  <si>
    <t>The CPU usage is: 0.0 RAM memory % used:97.0 RAM Used (GB):16.526352384</t>
  </si>
  <si>
    <t>The CPU usage is: 12.5 RAM memory % used:97.0 RAM Used (GB):16.52588544</t>
  </si>
  <si>
    <t>The CPU usage is: 50.0 RAM memory % used:96.9 RAM Used (GB):16.52054016</t>
  </si>
  <si>
    <t>The CPU usage is: 0.0 RAM memory % used:98.3 RAM Used (GB):16.75053056</t>
  </si>
  <si>
    <t>The CPU usage is: 0.0 RAM memory % used:96.1 RAM Used (GB):16.378875904</t>
  </si>
  <si>
    <t>The CPU usage is: 0.0 RAM memory % used:97.5 RAM Used (GB):16.610562048</t>
  </si>
  <si>
    <t>The CPU usage is: 100.0 RAM memory % used:96.2 RAM Used (GB):16.39499776</t>
  </si>
  <si>
    <t>The CPU usage is: 100.0 RAM memory % used:96.2 RAM Used (GB):16.393162752</t>
  </si>
  <si>
    <t>The CPU usage is: 100.0 RAM memory % used:96.1 RAM Used (GB):16.382799872</t>
  </si>
  <si>
    <t>The CPU usage is: 0.0 RAM memory % used:96.7 RAM Used (GB):16.480403456</t>
  </si>
  <si>
    <t>The CPU usage is: 100.0 RAM memory % used:97.2 RAM Used (GB):16.558989312</t>
  </si>
  <si>
    <t>The CPU usage is: 25.0 RAM memory % used:97.8 RAM Used (GB):16.669872128</t>
  </si>
  <si>
    <t>The CPU usage is: 0.0 RAM memory % used:97.7 RAM Used (GB):16.641630208</t>
  </si>
  <si>
    <t>The CPU usage is: 100.0 RAM memory % used:97.7 RAM Used (GB):16.656642048</t>
  </si>
  <si>
    <t>The CPU usage is: 100.0 RAM memory % used:97.7 RAM Used (GB):16.65466368</t>
  </si>
  <si>
    <t>The CPU usage is: 100.0 RAM memory % used:97.6 RAM Used (GB):16.636440576</t>
  </si>
  <si>
    <t>The CPU usage is: 0.0 RAM memory % used:97.5 RAM Used (GB):16.623251456</t>
  </si>
  <si>
    <t>The CPU usage is: 0.0 RAM memory % used:97.4 RAM Used (GB):16.598351872</t>
  </si>
  <si>
    <t>The CPU usage is: 100.0 RAM memory % used:97.5 RAM Used (GB):16.612794368</t>
  </si>
  <si>
    <t>The CPU usage is: 100.0 RAM memory % used:97.6 RAM Used (GB):16.639504384</t>
  </si>
  <si>
    <t>The CPU usage is: 0.0 RAM memory % used:97.6 RAM Used (GB):16.632250368</t>
  </si>
  <si>
    <t>The CPU usage is: 0.0 RAM memory % used:97.6 RAM Used (GB):16.632877056</t>
  </si>
  <si>
    <t>The CPU usage is: 0.0 RAM memory % used:97.6 RAM Used (GB):16.633421824</t>
  </si>
  <si>
    <t>The CPU usage is: 0.0 RAM memory % used:97.1 RAM Used (GB):16.551215104</t>
  </si>
  <si>
    <t>The CPU usage is: 100.0 RAM memory % used:96.6 RAM Used (GB):16.460087296</t>
  </si>
  <si>
    <t>The CPU usage is: 50.0 RAM memory % used:97.5 RAM Used (GB):16.610811904</t>
  </si>
  <si>
    <t>The CPU usage is: 0.0 RAM memory % used:96.0 RAM Used (GB):16.363241472</t>
  </si>
  <si>
    <t>The CPU usage is: 0.0 RAM memory % used:96.0 RAM Used (GB):16.35954688</t>
  </si>
  <si>
    <t>The CPU usage is: 0.0 RAM memory % used:96.2 RAM Used (GB):16.389193728</t>
  </si>
  <si>
    <t>The CPU usage is: 50.0 RAM memory % used:96.2 RAM Used (GB):16.399425536</t>
  </si>
  <si>
    <t>The CPU usage is: 0.0 RAM memory % used:96.2 RAM Used (GB):16.3971072</t>
  </si>
  <si>
    <t>The CPU usage is: 20.0 RAM memory % used:96.3 RAM Used (GB):16.404783104</t>
  </si>
  <si>
    <t>The CPU usage is: 0.0 RAM memory % used:96.3 RAM Used (GB):16.4073472</t>
  </si>
  <si>
    <t>The CPU usage is: 50.0 RAM memory % used:96.3 RAM Used (GB):16.415993856</t>
  </si>
  <si>
    <t>The CPU usage is: 0.0 RAM memory % used:96.3 RAM Used (GB):16.416677888</t>
  </si>
  <si>
    <t>The CPU usage is: 100.0 RAM memory % used:93.5 RAM Used (GB):15.927529472</t>
  </si>
  <si>
    <t>The CPU usage is: 0.0 RAM memory % used:93.4 RAM Used (GB):15.922688</t>
  </si>
  <si>
    <t>The CPU usage is: 0.0 RAM memory % used:93.3 RAM Used (GB):15.901376512</t>
  </si>
  <si>
    <t>The CPU usage is: 14.3 RAM memory % used:93.3 RAM Used (GB):15.897587712</t>
  </si>
  <si>
    <t>The CPU usage is: 0.0 RAM memory % used:93.4 RAM Used (GB):15.910916096</t>
  </si>
  <si>
    <t>The CPU usage is: 0.0 RAM memory % used:93.6 RAM Used (GB):15.94959872</t>
  </si>
  <si>
    <t>The CPU usage is: 100.0 RAM memory % used:93.7 RAM Used (GB):15.96913664</t>
  </si>
  <si>
    <t>The CPU usage is: 100.0 RAM memory % used:93.7 RAM Used (GB):15.975944192</t>
  </si>
  <si>
    <t>The CPU usage is: 75.0 RAM memory % used:93.8 RAM Used (GB):15.978819584</t>
  </si>
  <si>
    <t>The CPU usage is: 0.0 RAM memory % used:94.1 RAM Used (GB):16.035934208</t>
  </si>
  <si>
    <t>The CPU usage is: 20.0 RAM memory % used:94.2 RAM Used (GB):16.04653056</t>
  </si>
  <si>
    <t>The CPU usage is: 0.0 RAM memory % used:94.3 RAM Used (GB):16.075759616</t>
  </si>
  <si>
    <t>The CPU usage is: 100.0 RAM memory % used:94.3 RAM Used (GB):16.07481344</t>
  </si>
  <si>
    <t>The CPU usage is: 0.0 RAM memory % used:94.3 RAM Used (GB):16.074149888</t>
  </si>
  <si>
    <t>The CPU usage is: 0.0 RAM memory % used:94.4 RAM Used (GB):16.084611072</t>
  </si>
  <si>
    <t>The CPU usage is: 100.0 RAM memory % used:94.4 RAM Used (GB):16.081063936</t>
  </si>
  <si>
    <t>The CPU usage is: 0.0 RAM memory % used:94.4 RAM Used (GB):16.078635008</t>
  </si>
  <si>
    <t>The CPU usage is: 0.0 RAM memory % used:94.9 RAM Used (GB):16.171855872</t>
  </si>
  <si>
    <t>The CPU usage is: 100.0 RAM memory % used:95.0 RAM Used (GB):16.18403328</t>
  </si>
  <si>
    <t>The CPU usage is: 0.0 RAM memory % used:95.4 RAM Used (GB):16.250433536</t>
  </si>
  <si>
    <t>The CPU usage is: 16.7 RAM memory % used:95.3 RAM Used (GB):16.2354176</t>
  </si>
  <si>
    <t>The CPU usage is: 0.0 RAM memory % used:95.3 RAM Used (GB):16.242388992</t>
  </si>
  <si>
    <t>The CPU usage is: 100.0 RAM memory % used:95.3 RAM Used (GB):16.240775168</t>
  </si>
  <si>
    <t>The CPU usage is: 0.0 RAM memory % used:95.6 RAM Used (GB):16.28297216</t>
  </si>
  <si>
    <t>The CPU usage is: 0.0 RAM memory % used:95.5 RAM Used (GB):16.282001408</t>
  </si>
  <si>
    <t>The CPU usage is: 0.0 RAM memory % used:95.5 RAM Used (GB):16.281714688</t>
  </si>
  <si>
    <t>The CPU usage is: 33.3 RAM memory % used:95.6 RAM Used (GB):16.283922432</t>
  </si>
  <si>
    <t>The CPU usage is: 0.0 RAM memory % used:95.6 RAM Used (GB):16.28295168</t>
  </si>
  <si>
    <t>The CPU usage is: 0.0 RAM memory % used:95.5 RAM Used (GB):16.282247168</t>
  </si>
  <si>
    <t>The CPU usage is: 0.0 RAM memory % used:95.7 RAM Used (GB):16.30066688</t>
  </si>
  <si>
    <t>The CPU usage is: 66.7 RAM memory % used:95.6 RAM Used (GB):16.292999168</t>
  </si>
  <si>
    <t>The CPU usage is: 37.5 RAM memory % used:95.9 RAM Used (GB):16.34471936</t>
  </si>
  <si>
    <t>The CPU usage is: 0.0 RAM memory % used:96.1 RAM Used (GB):16.3712</t>
  </si>
  <si>
    <t>The CPU usage is: 0.0 RAM memory % used:96.1 RAM Used (GB):16.380362752</t>
  </si>
  <si>
    <t>The CPU usage is: 0.0 RAM memory % used:96.2 RAM Used (GB):16.3895296</t>
  </si>
  <si>
    <t>The CPU usage is: 0.0 RAM memory % used:96.2 RAM Used (GB):16.387342336</t>
  </si>
  <si>
    <t>The CPU usage is: 0.0 RAM memory % used:96.3 RAM Used (GB):16.408399872</t>
  </si>
  <si>
    <t>The CPU usage is: 66.7 RAM memory % used:96.3 RAM Used (GB):16.415891456</t>
  </si>
  <si>
    <t>The CPU usage is: 20.0 RAM memory % used:96.2 RAM Used (GB):16.398348288</t>
  </si>
  <si>
    <t>The CPU usage is: 0.0 RAM memory % used:96.2 RAM Used (GB):16.398430208</t>
  </si>
  <si>
    <t>The CPU usage is: 28.6 RAM memory % used:96.5 RAM Used (GB):16.452124672</t>
  </si>
  <si>
    <t>The CPU usage is: 0.0 RAM memory % used:96.6 RAM Used (GB):16.453701632</t>
  </si>
  <si>
    <t>The CPU usage is: 0.0 RAM memory % used:96.6 RAM Used (GB):16.460136448</t>
  </si>
  <si>
    <t>The CPU usage is: 66.7 RAM memory % used:96.7 RAM Used (GB):16.473808896</t>
  </si>
  <si>
    <t>The CPU usage is: 0.0 RAM memory % used:96.7 RAM Used (GB):16.470429696</t>
  </si>
  <si>
    <t>The CPU usage is: 0.0 RAM memory % used:97.6 RAM Used (GB):16.624697344</t>
  </si>
  <si>
    <t>The CPU usage is: 0.0 RAM memory % used:97.4 RAM Used (GB):16.602632192</t>
  </si>
  <si>
    <t>The CPU usage is: 0.0 RAM memory % used:97.2 RAM Used (GB):16.571219968</t>
  </si>
  <si>
    <t>The CPU usage is: 0.0 RAM memory % used:97.3 RAM Used (GB):16.582414336</t>
  </si>
  <si>
    <t>The CPU usage is: 100.0 RAM memory % used:97.3 RAM Used (GB):16.580698112</t>
  </si>
  <si>
    <t>The CPU usage is: 0.0 RAM memory % used:97.3 RAM Used (GB):16.577470464</t>
  </si>
  <si>
    <t>The CPU usage is: 20.0 RAM memory % used:97.3 RAM Used (GB):16.577798144</t>
  </si>
  <si>
    <t>The CPU usage is: 100.0 RAM memory % used:97.0 RAM Used (GB):16.536502272</t>
  </si>
  <si>
    <t>The CPU usage is: 16.7 RAM memory % used:96.5 RAM Used (GB):16.445042688</t>
  </si>
  <si>
    <t>The CPU usage is: 0.0 RAM memory % used:96.6 RAM Used (GB):16.468353024</t>
  </si>
  <si>
    <t>The CPU usage is: 0.0 RAM memory % used:96.6 RAM Used (GB):16.459382784</t>
  </si>
  <si>
    <t>The CPU usage is: 100.0 RAM memory % used:96.6 RAM Used (GB):16.466341888</t>
  </si>
  <si>
    <t>The CPU usage is: 11.1 RAM memory % used:96.8 RAM Used (GB):16.499826688</t>
  </si>
  <si>
    <t>The CPU usage is: 0.0 RAM memory % used:96.8 RAM Used (GB):16.501096448</t>
  </si>
  <si>
    <t>The CPU usage is: 0.0 RAM memory % used:96.9 RAM Used (GB):16.51748864</t>
  </si>
  <si>
    <t>The CPU usage is: 0.0 RAM memory % used:96.9 RAM Used (GB):16.506478592</t>
  </si>
  <si>
    <t>The CPU usage is: 0.0 RAM memory % used:97.2 RAM Used (GB):16.569122816</t>
  </si>
  <si>
    <t>The CPU usage is: 14.3 RAM memory % used:97.2 RAM Used (GB):16.570433536</t>
  </si>
  <si>
    <t>The CPU usage is: 22.2 RAM memory % used:97.3 RAM Used (GB):16.574685184</t>
  </si>
  <si>
    <t>The CPU usage is: 0.0 RAM memory % used:97.1 RAM Used (GB):16.543707136</t>
  </si>
  <si>
    <t>The CPU usage is: 0.0 RAM memory % used:97.0 RAM Used (GB):16.534986752</t>
  </si>
  <si>
    <t>The CPU usage is: 0.0 RAM memory % used:97.1 RAM Used (GB):16.545366016</t>
  </si>
  <si>
    <t>The CPU usage is: 0.0 RAM memory % used:97.1 RAM Used (GB):16.538865664</t>
  </si>
  <si>
    <t>The CPU usage is: 0.0 RAM memory % used:97.0 RAM Used (GB):16.538308608</t>
  </si>
  <si>
    <t>The CPU usage is: 33.3 RAM memory % used:97.1 RAM Used (GB):16.539459584</t>
  </si>
  <si>
    <t>The CPU usage is: 0.0 RAM memory % used:97.1 RAM Used (GB):16.543711232</t>
  </si>
  <si>
    <t>The CPU usage is: 50.0 RAM memory % used:97.2 RAM Used (GB):16.567812096</t>
  </si>
  <si>
    <t>The CPU usage is: 0.0 RAM memory % used:97.2 RAM Used (GB):16.57051136</t>
  </si>
  <si>
    <t>The CPU usage is: 33.3 RAM memory % used:97.3 RAM Used (GB):16.582201344</t>
  </si>
  <si>
    <t>The CPU usage is: 0.0 RAM memory % used:97.5 RAM Used (GB):16.610689024</t>
  </si>
  <si>
    <t>The CPU usage is: 0.0 RAM memory % used:97.5 RAM Used (GB):16.60981248</t>
  </si>
  <si>
    <t>The CPU usage is: 100.0 RAM memory % used:97.5 RAM Used (GB):16.612499456</t>
  </si>
  <si>
    <t>The CPU usage is: 0.0 RAM memory % used:97.5 RAM Used (GB):16.62103552</t>
  </si>
  <si>
    <t>The CPU usage is: 100.0 RAM memory % used:97.5 RAM Used (GB):16.619810816</t>
  </si>
  <si>
    <t>The CPU usage is: 0.0 RAM memory % used:97.6 RAM Used (GB):16.62418944</t>
  </si>
  <si>
    <t>The CPU usage is: 66.7 RAM memory % used:97.5 RAM Used (GB):16.6222848</t>
  </si>
  <si>
    <t>The CPU usage is: 0.0 RAM memory % used:97.6 RAM Used (GB):16.630235136</t>
  </si>
  <si>
    <t>The CPU usage is: 0.0 RAM memory % used:97.7 RAM Used (GB):16.645828608</t>
  </si>
  <si>
    <t>The CPU usage is: 0.0 RAM memory % used:97.7 RAM Used (GB):16.64948224</t>
  </si>
  <si>
    <t>The CPU usage is: 0.0 RAM memory % used:97.7 RAM Used (GB):16.650108928</t>
  </si>
  <si>
    <t>The CPU usage is: 0.0 RAM memory % used:97.8 RAM Used (GB):16.664244224</t>
  </si>
  <si>
    <t>The CPU usage is: 0.0 RAM memory % used:97.6 RAM Used (GB):16.627720192</t>
  </si>
  <si>
    <t>The CPU usage is: 100.0 RAM memory % used:97.6 RAM Used (GB):16.627253248</t>
  </si>
  <si>
    <t>The CPU usage is: 0.0 RAM memory % used:97.9 RAM Used (GB):16.684896256</t>
  </si>
  <si>
    <t>The CPU usage is: 33.3 RAM memory % used:97.9 RAM Used (GB):16.681046016</t>
  </si>
  <si>
    <t>The CPU usage is: 66.7 RAM memory % used:97.9 RAM Used (GB):16.680599552</t>
  </si>
  <si>
    <t>The CPU usage is: 0.0 RAM memory % used:97.9 RAM Used (GB):16.688603136</t>
  </si>
  <si>
    <t>The CPU usage is: 0.0 RAM memory % used:97.8 RAM Used (GB):16.667136</t>
  </si>
  <si>
    <t>The CPU usage is: 0.0 RAM memory % used:97.8 RAM Used (GB):16.659808256</t>
  </si>
  <si>
    <t>The CPU usage is: 0.0 RAM memory % used:97.8 RAM Used (GB):16.672927744</t>
  </si>
  <si>
    <t>The CPU usage is: 50.0 RAM memory % used:97.8 RAM Used (GB):16.674807808</t>
  </si>
  <si>
    <t>The CPU usage is: 0.0 RAM memory % used:97.8 RAM Used (GB):16.670646272</t>
  </si>
  <si>
    <t>The CPU usage is: 0.0 RAM memory % used:97.8 RAM Used (GB):16.671223808</t>
  </si>
  <si>
    <t>The CPU usage is: 0.0 RAM memory % used:97.8 RAM Used (GB):16.67346432</t>
  </si>
  <si>
    <t>The CPU usage is: 14.3 RAM memory % used:97.9 RAM Used (GB):16.679612416</t>
  </si>
  <si>
    <t>The CPU usage is: 0.0 RAM memory % used:97.9 RAM Used (GB):16.68429824</t>
  </si>
  <si>
    <t>The CPU usage is: 0.0 RAM memory % used:97.9 RAM Used (GB):16.678309888</t>
  </si>
  <si>
    <t>The CPU usage is: 0.0 RAM memory % used:97.9 RAM Used (GB):16.677466112</t>
  </si>
  <si>
    <t>The CPU usage is: 0.0 RAM memory % used:97.9 RAM Used (GB):16.68173824</t>
  </si>
  <si>
    <t>The CPU usage is: 25.0 RAM memory % used:98.1 RAM Used (GB):16.71006208</t>
  </si>
  <si>
    <t>The CPU usage is: 0.0 RAM memory % used:98.1 RAM Used (GB):16.71735296</t>
  </si>
  <si>
    <t>The CPU usage is: 100.0 RAM memory % used:98.2 RAM Used (GB):16.738586624</t>
  </si>
  <si>
    <t>The CPU usage is: 0.0 RAM memory % used:98.3 RAM Used (GB):16.753340416</t>
  </si>
  <si>
    <t>The CPU usage is: 0.0 RAM memory % used:98.3 RAM Used (GB):16.75118592</t>
  </si>
  <si>
    <t>The CPU usage is: 12.5 RAM memory % used:98.1 RAM Used (GB):16.710139904</t>
  </si>
  <si>
    <t>The CPU usage is: 0.0 RAM memory % used:97.9 RAM Used (GB):16.677183488</t>
  </si>
  <si>
    <t>The CPU usage is: 0.0 RAM memory % used:97.9 RAM Used (GB):16.683728896</t>
  </si>
  <si>
    <t>The CPU usage is: 25.0 RAM memory % used:98.0 RAM Used (GB):16.6941696</t>
  </si>
  <si>
    <t>The CPU usage is: 0.0 RAM memory % used:97.9 RAM Used (GB):16.690786304</t>
  </si>
  <si>
    <t>The CPU usage is: 0.0 RAM memory % used:98.1 RAM Used (GB):16.72372224</t>
  </si>
  <si>
    <t>The CPU usage is: 0.0 RAM memory % used:98.2 RAM Used (GB):16.727216128</t>
  </si>
  <si>
    <t>The CPU usage is: 0.0 RAM memory % used:98.3 RAM Used (GB):16.743981056</t>
  </si>
  <si>
    <t>The CPU usage is: 0.0 RAM memory % used:98.2 RAM Used (GB):16.742068224</t>
  </si>
  <si>
    <t>The CPU usage is: 0.0 RAM memory % used:98.3 RAM Used (GB):16.758984704</t>
  </si>
  <si>
    <t>The CPU usage is: 0.0 RAM memory % used:98.3 RAM Used (GB):16.75350016</t>
  </si>
  <si>
    <t>The CPU usage is: 0.0 RAM memory % used:98.3 RAM Used (GB):16.753283072</t>
  </si>
  <si>
    <t>The CPU usage is: 33.3 RAM memory % used:98.3 RAM Used (GB):16.752263168</t>
  </si>
  <si>
    <t>The CPU usage is: 100.0 RAM memory % used:98.1 RAM Used (GB):16.722976768</t>
  </si>
  <si>
    <t>The CPU usage is: 100.0 RAM memory % used:98.1 RAM Used (GB):16.722857984</t>
  </si>
  <si>
    <t>The CPU usage is: 0.0 RAM memory % used:98.0 RAM Used (GB):16.696836096</t>
  </si>
  <si>
    <t>The CPU usage is: 0.0 RAM memory % used:98.0 RAM Used (GB):16.69527552</t>
  </si>
  <si>
    <t>The CPU usage is: 0.0 RAM memory % used:98.0 RAM Used (GB):16.693182464</t>
  </si>
  <si>
    <t>The CPU usage is: 50.0 RAM memory % used:98.0 RAM Used (GB):16.692350976</t>
  </si>
  <si>
    <t>The CPU usage is: 0.0 RAM memory % used:97.9 RAM Used (GB):16.691306496</t>
  </si>
  <si>
    <t>The CPU usage is: 0.0 RAM memory % used:98.0 RAM Used (GB):16.708186112</t>
  </si>
  <si>
    <t>The CPU usage is: 50.0 RAM memory % used:98.0 RAM Used (GB):16.705519616</t>
  </si>
  <si>
    <t>The CPU usage is: 66.7 RAM memory % used:98.0 RAM Used (GB):16.704851968</t>
  </si>
  <si>
    <t>The CPU usage is: 0.0 RAM memory % used:98.0 RAM Used (GB):16.703074304</t>
  </si>
  <si>
    <t>The CPU usage is: 0.0 RAM memory % used:98.0 RAM Used (GB):16.705384448</t>
  </si>
  <si>
    <t>The CPU usage is: 0.0 RAM memory % used:98.1 RAM Used (GB):16.71047168</t>
  </si>
  <si>
    <t>The CPU usage is: 0.0 RAM memory % used:98.0 RAM Used (GB):16.707121152</t>
  </si>
  <si>
    <t>The CPU usage is: 0.0 RAM memory % used:98.0 RAM Used (GB):16.705277952</t>
  </si>
  <si>
    <t>The CPU usage is: 0.0 RAM memory % used:97.7 RAM Used (GB):16.651333632</t>
  </si>
  <si>
    <t>The CPU usage is: 0.0 RAM memory % used:97.8 RAM Used (GB):16.65927168</t>
  </si>
  <si>
    <t>The CPU usage is: 16.7 RAM memory % used:97.7 RAM Used (GB):16.654700544</t>
  </si>
  <si>
    <t>The CPU usage is: 0.0 RAM memory % used:97.8 RAM Used (GB):16.666402816</t>
  </si>
  <si>
    <t>The CPU usage is: 0.0 RAM memory % used:97.7 RAM Used (GB):16.65632256</t>
  </si>
  <si>
    <t>The CPU usage is: 0.0 RAM memory % used:97.8 RAM Used (GB):16.669609984</t>
  </si>
  <si>
    <t>The CPU usage is: 0.0 RAM memory % used:98.0 RAM Used (GB):16.696037376</t>
  </si>
  <si>
    <t>The CPU usage is: 40.0 RAM memory % used:97.8 RAM Used (GB):16.673927168</t>
  </si>
  <si>
    <t>The CPU usage is: 0.0 RAM memory % used:97.8 RAM Used (GB):16.671096832</t>
  </si>
  <si>
    <t>The CPU usage is: 0.0 RAM memory % used:97.9 RAM Used (GB):16.686669824</t>
  </si>
  <si>
    <t>The CPU usage is: 0.0 RAM memory % used:98.0 RAM Used (GB):16.701636608</t>
  </si>
  <si>
    <t>The CPU usage is: 0.0 RAM memory % used:97.9 RAM Used (GB):16.69091328</t>
  </si>
  <si>
    <t>The CPU usage is: 0.0 RAM memory % used:97.9 RAM Used (GB):16.690282496</t>
  </si>
  <si>
    <t>The CPU usage is: 100.0 RAM memory % used:98.1 RAM Used (GB):16.709001216</t>
  </si>
  <si>
    <t>The CPU usage is: 0.0 RAM memory % used:98.0 RAM Used (GB):16.700428288</t>
  </si>
  <si>
    <t>The CPU usage is: 0.0 RAM memory % used:98.0 RAM Used (GB):16.697438208</t>
  </si>
  <si>
    <t>The CPU usage is: 33.3 RAM memory % used:98.0 RAM Used (GB):16.7049216</t>
  </si>
  <si>
    <t>The CPU usage is: 0.0 RAM memory % used:98.0 RAM Used (GB):16.701956096</t>
  </si>
  <si>
    <t>The CPU usage is: 0.0 RAM memory % used:97.9 RAM Used (GB):16.685457408</t>
  </si>
  <si>
    <t>The CPU usage is: 100.0 RAM memory % used:98.0 RAM Used (GB):16.695422976</t>
  </si>
  <si>
    <t>The CPU usage is: 0.0 RAM memory % used:97.9 RAM Used (GB):16.689639424</t>
  </si>
  <si>
    <t>The CPU usage is: 20.0 RAM memory % used:98.0 RAM Used (GB):16.699318272</t>
  </si>
  <si>
    <t>The CPU usage is: 0.0 RAM memory % used:98.0 RAM Used (GB):16.701022208</t>
  </si>
  <si>
    <t>The CPU usage is: 0.0 RAM memory % used:98.0 RAM Used (GB):16.698998784</t>
  </si>
  <si>
    <t>The CPU usage is: 0.0 RAM memory % used:98.0 RAM Used (GB):16.702283776</t>
  </si>
  <si>
    <t>The CPU usage is: 0.0 RAM memory % used:98.0 RAM Used (GB):16.70084608</t>
  </si>
  <si>
    <t>The CPU usage is: 0.0 RAM memory % used:98.0 RAM Used (GB):16.698884096</t>
  </si>
  <si>
    <t>The CPU usage is: 100.0 RAM memory % used:98.1 RAM Used (GB):16.712921088</t>
  </si>
  <si>
    <t>The CPU usage is: 0.0 RAM memory % used:98.1 RAM Used (GB):16.718532608</t>
  </si>
  <si>
    <t>The CPU usage is: 0.0 RAM memory % used:98.1 RAM Used (GB):16.714969088</t>
  </si>
  <si>
    <t>The CPU usage is: 0.0 RAM memory % used:98.1 RAM Used (GB):16.712085504</t>
  </si>
  <si>
    <t>The CPU usage is: 0.0 RAM memory % used:98.1 RAM Used (GB):16.712101888</t>
  </si>
  <si>
    <t>The CPU usage is: 0.0 RAM memory % used:98.1 RAM Used (GB):16.714780672</t>
  </si>
  <si>
    <t>The CPU usage is: 0.0 RAM memory % used:98.1 RAM Used (GB):16.713207808</t>
  </si>
  <si>
    <t>The CPU usage is: 0.0 RAM memory % used:98.1 RAM Used (GB):16.717541376</t>
  </si>
  <si>
    <t>The CPU usage is: 0.0 RAM memory % used:98.1 RAM Used (GB):16.719396864</t>
  </si>
  <si>
    <t>The CPU usage is: 50.0 RAM memory % used:98.1 RAM Used (GB):16.725766144</t>
  </si>
  <si>
    <t>The CPU usage is: 33.3 RAM memory % used:98.3 RAM Used (GB):16.747937792</t>
  </si>
  <si>
    <t>The CPU usage is: 0.0 RAM memory % used:98.3 RAM Used (GB):16.752570368</t>
  </si>
  <si>
    <t>The CPU usage is: 0.0 RAM memory % used:98.3 RAM Used (GB):16.751628288</t>
  </si>
  <si>
    <t>The CPU usage is: 0.0 RAM memory % used:98.3 RAM Used (GB):16.750370816</t>
  </si>
  <si>
    <t>The CPU usage is: 0.0 RAM memory % used:98.3 RAM Used (GB):16.749961216</t>
  </si>
  <si>
    <t>The CPU usage is: 0.0 RAM memory % used:98.3 RAM Used (GB):16.749359104</t>
  </si>
  <si>
    <t>The CPU usage is: 0.0 RAM memory % used:98.2 RAM Used (GB):16.731652096</t>
  </si>
  <si>
    <t>The CPU usage is: 0.0 RAM memory % used:98.2 RAM Used (GB):16.729165824</t>
  </si>
  <si>
    <t>The CPU usage is: 0.0 RAM memory % used:98.1 RAM Used (GB):16.722915328</t>
  </si>
  <si>
    <t>The CPU usage is: 0.0 RAM memory % used:98.2 RAM Used (GB):16.738168832</t>
  </si>
  <si>
    <t>The CPU usage is: 11.1 RAM memory % used:98.1 RAM Used (GB):16.72214528</t>
  </si>
  <si>
    <t>The CPU usage is: 0.0 RAM memory % used:98.1 RAM Used (GB):16.722075648</t>
  </si>
  <si>
    <t>The CPU usage is: 100.0 RAM memory % used:98.2 RAM Used (GB):16.732889088</t>
  </si>
  <si>
    <t>The CPU usage is: 0.0 RAM memory % used:98.3 RAM Used (GB):16.743989248</t>
  </si>
  <si>
    <t>The CPU usage is: 25.0 RAM memory % used:98.2 RAM Used (GB):16.74276864</t>
  </si>
  <si>
    <t>The CPU usage is: 20.0 RAM memory % used:98.3 RAM Used (GB):16.748081152</t>
  </si>
  <si>
    <t>The CPU usage is: 0.0 RAM memory % used:98.3 RAM Used (GB):16.747614208</t>
  </si>
  <si>
    <t>The CPU usage is: 0.0 RAM memory % used:98.3 RAM Used (GB):16.75687936</t>
  </si>
  <si>
    <t>The CPU usage is: 100.0 RAM memory % used:98.3 RAM Used (GB):16.754384896</t>
  </si>
  <si>
    <t>The CPU usage is: 0.0 RAM memory % used:98.3 RAM Used (GB):16.752959488</t>
  </si>
  <si>
    <t>The CPU usage is: 0.0 RAM memory % used:98.3 RAM Used (GB):16.750206976</t>
  </si>
  <si>
    <t>The CPU usage is: 100.0 RAM memory % used:98.3 RAM Used (GB):16.75032576</t>
  </si>
  <si>
    <t>The CPU usage is: 0.0 RAM memory % used:98.3 RAM Used (GB):16.745693184</t>
  </si>
  <si>
    <t>The CPU usage is: 0.0 RAM memory % used:98.3 RAM Used (GB):16.76005376</t>
  </si>
  <si>
    <t>The CPU usage is: 0.0 RAM memory % used:98.4 RAM Used (GB):16.7643136</t>
  </si>
  <si>
    <t>The CPU usage is: 0.0 RAM memory % used:98.4 RAM Used (GB):16.76509184</t>
  </si>
  <si>
    <t>The CPU usage is: 0.0 RAM memory % used:98.4 RAM Used (GB):16.7612416</t>
  </si>
  <si>
    <t>The CPU usage is: 0.0 RAM memory % used:98.4 RAM Used (GB):16.76449792</t>
  </si>
  <si>
    <t>The CPU usage is: 100.0 RAM memory % used:98.4 RAM Used (GB):16.768581632</t>
  </si>
  <si>
    <t>The CPU usage is: 0.0 RAM memory % used:98.4 RAM Used (GB):16.76443648</t>
  </si>
  <si>
    <t>The CPU usage is: 33.3 RAM memory % used:98.4 RAM Used (GB):16.763199488</t>
  </si>
  <si>
    <t>The CPU usage is: 0.0 RAM memory % used:98.4 RAM Used (GB):16.7666688</t>
  </si>
  <si>
    <t>The CPU usage is: 0.0 RAM memory % used:98.4 RAM Used (GB):16.762699776</t>
  </si>
  <si>
    <t>The CPU usage is: 0.0 RAM memory % used:98.4 RAM Used (GB):16.766119936</t>
  </si>
  <si>
    <t>The CPU usage is: 0.0 RAM memory % used:98.5 RAM Used (GB):16.7801856</t>
  </si>
  <si>
    <t>The CPU usage is: 33.3 RAM memory % used:98.4 RAM Used (GB):16.7770112</t>
  </si>
  <si>
    <t>The CPU usage is: 0.0 RAM memory % used:98.4 RAM Used (GB):16.767500288</t>
  </si>
  <si>
    <t>The CPU usage is: 0.0 RAM memory % used:98.5 RAM Used (GB):16.778944512</t>
  </si>
  <si>
    <t>The CPU usage is: 33.3 RAM memory % used:98.4 RAM Used (GB):16.77459456</t>
  </si>
  <si>
    <t>The CPU usage is: 0.0 RAM memory % used:98.4 RAM Used (GB):16.77467648</t>
  </si>
  <si>
    <t>The CPU usage is: 100.0 RAM memory % used:98.4 RAM Used (GB):16.776773632</t>
  </si>
  <si>
    <t>The CPU usage is: 0.0 RAM memory % used:98.4 RAM Used (GB):16.760487936</t>
  </si>
  <si>
    <t>The CPU usage is: 0.0 RAM memory % used:98.3 RAM Used (GB):16.759259136</t>
  </si>
  <si>
    <t>The CPU usage is: 0.0 RAM memory % used:98.3 RAM Used (GB):16.756269056</t>
  </si>
  <si>
    <t>The CPU usage is: 0.0 RAM memory % used:98.3 RAM Used (GB):16.754618368</t>
  </si>
  <si>
    <t>The CPU usage is: 0.0 RAM memory % used:98.3 RAM Used (GB):16.755019776</t>
  </si>
  <si>
    <t>The CPU usage is: 0.0 RAM memory % used:98.4 RAM Used (GB):16.768831488</t>
  </si>
  <si>
    <t>The CPU usage is: 0.0 RAM memory % used:98.4 RAM Used (GB):16.775995392</t>
  </si>
  <si>
    <t>The CPU usage is: 0.0 RAM memory % used:98.4 RAM Used (GB):16.768196608</t>
  </si>
  <si>
    <t>The CPU usage is: 20.0 RAM memory % used:98.4 RAM Used (GB):16.76511232</t>
  </si>
  <si>
    <t>The CPU usage is: 0.0 RAM memory % used:98.3 RAM Used (GB):16.759320576</t>
  </si>
  <si>
    <t>The CPU usage is: 0.0 RAM memory % used:98.3 RAM Used (GB):16.759185408</t>
  </si>
  <si>
    <t>The CPU usage is: 0.0 RAM memory % used:98.3 RAM Used (GB):16.75872256</t>
  </si>
  <si>
    <t>The CPU usage is: 0.0 RAM memory % used:98.4 RAM Used (GB):16.767250432</t>
  </si>
  <si>
    <t>The CPU usage is: 0.0 RAM memory % used:98.4 RAM Used (GB):16.774033408</t>
  </si>
  <si>
    <t>The CPU usage is: 0.0 RAM memory % used:98.4 RAM Used (GB):16.765874176</t>
  </si>
  <si>
    <t>The CPU usage is: 0.0 RAM memory % used:98.4 RAM Used (GB):16.762359808</t>
  </si>
  <si>
    <t>The CPU usage is: 0.0 RAM memory % used:98.4 RAM Used (GB):16.769847296</t>
  </si>
  <si>
    <t>The CPU usage is: 0.0 RAM memory % used:98.4 RAM Used (GB):16.764248064</t>
  </si>
  <si>
    <t>The CPU usage is: 0.0 RAM memory % used:98.4 RAM Used (GB):16.766672896</t>
  </si>
  <si>
    <t>The CPU usage is: 0.0 RAM memory % used:98.4 RAM Used (GB):16.772907008</t>
  </si>
  <si>
    <t>The CPU usage is: 0.0 RAM memory % used:98.4 RAM Used (GB):16.766816256</t>
  </si>
  <si>
    <t>The CPU usage is: 0.0 RAM memory % used:98.4 RAM Used (GB):16.768385024</t>
  </si>
  <si>
    <t>The CPU usage is: 0.0 RAM memory % used:98.4 RAM Used (GB):16.775385088</t>
  </si>
  <si>
    <t>The CPU usage is: 66.7 RAM memory % used:98.4 RAM Used (GB):16.76466176</t>
  </si>
  <si>
    <t>The CPU usage is: 0.0 RAM memory % used:98.5 RAM Used (GB):16.777170944</t>
  </si>
  <si>
    <t>The CPU usage is: 50.0 RAM memory % used:98.3 RAM Used (GB):16.752238592</t>
  </si>
  <si>
    <t>The CPU usage is: 0.0 RAM memory % used:98.3 RAM Used (GB):16.74856448</t>
  </si>
  <si>
    <t>The CPU usage is: 0.0 RAM memory % used:98.3 RAM Used (GB):16.746397696</t>
  </si>
  <si>
    <t>The CPU usage is: 0.0 RAM memory % used:98.3 RAM Used (GB):16.750395392</t>
  </si>
  <si>
    <t>The CPU usage is: 0.0 RAM memory % used:98.7 RAM Used (GB):16.812916736</t>
  </si>
  <si>
    <t>The CPU usage is: 0.0 RAM memory % used:98.7 RAM Used (GB):16.823484416</t>
  </si>
  <si>
    <t>The CPU usage is: 0.0 RAM memory % used:98.8 RAM Used (GB):16.828850176</t>
  </si>
  <si>
    <t>The CPU usage is: 0.0 RAM memory % used:98.8 RAM Used (GB):16.835182592</t>
  </si>
  <si>
    <t>The CPU usage is: 0.0 RAM memory % used:98.9 RAM Used (GB):16.845807616</t>
  </si>
  <si>
    <t>The CPU usage is: 0.0 RAM memory % used:98.8 RAM Used (GB):16.834691072</t>
  </si>
  <si>
    <t>The CPU usage is: 0.0 RAM memory % used:98.7 RAM Used (GB):16.826507264</t>
  </si>
  <si>
    <t>The CPU usage is: 0.0 RAM memory % used:98.8 RAM Used (GB):16.837976064</t>
  </si>
  <si>
    <t>The CPU usage is: 100.0 RAM memory % used:98.3 RAM Used (GB):16.751529984</t>
  </si>
  <si>
    <t>The CPU usage is: 0.0 RAM memory % used:98.3 RAM Used (GB):16.753106944</t>
  </si>
  <si>
    <t>The CPU usage is: 0.0 RAM memory % used:98.4 RAM Used (GB):16.76787712</t>
  </si>
  <si>
    <t>The CPU usage is: 0.0 RAM memory % used:98.4 RAM Used (GB):16.768229376</t>
  </si>
  <si>
    <t>The CPU usage is: 0.0 RAM memory % used:98.4 RAM Used (GB):16.764977152</t>
  </si>
  <si>
    <t>The CPU usage is: 40.0 RAM memory % used:98.4 RAM Used (GB):16.772399104</t>
  </si>
  <si>
    <t>The CPU usage is: 100.0 RAM memory % used:98.4 RAM Used (GB):16.76832768</t>
  </si>
  <si>
    <t>The CPU usage is: 50.0 RAM memory % used:98.4 RAM Used (GB):16.762507264</t>
  </si>
  <si>
    <t>The CPU usage is: 0.0 RAM memory % used:98.4 RAM Used (GB):16.771657728</t>
  </si>
  <si>
    <t>The CPU usage is: 0.0 RAM memory % used:98.4 RAM Used (GB):16.766431232</t>
  </si>
  <si>
    <t>The CPU usage is: 0.0 RAM memory % used:98.5 RAM Used (GB):16.782712832</t>
  </si>
  <si>
    <t>The CPU usage is: 100.0 RAM memory % used:98.4 RAM Used (GB):16.772804608</t>
  </si>
  <si>
    <t>The CPU usage is: 16.7 RAM memory % used:99.3 RAM Used (GB):16.929611776</t>
  </si>
  <si>
    <t>The CPU usage is: 100.0 RAM memory % used:98.7 RAM Used (GB):16.812171264</t>
  </si>
  <si>
    <t>The CPU usage is: 90.0 RAM memory % used:98.2 RAM Used (GB):16.728481792</t>
  </si>
  <si>
    <t>The CPU usage is: 0.0 RAM memory % used:98.2 RAM Used (GB):16.72894464</t>
  </si>
  <si>
    <t>The CPU usage is: 0.0 RAM memory % used:98.9 RAM Used (GB):16.849711104</t>
  </si>
  <si>
    <t>The CPU usage is: 0.0 RAM memory % used:99.4 RAM Used (GB):16.930742272</t>
  </si>
  <si>
    <t>The CPU usage is: 0.0 RAM memory % used:98.9 RAM Used (GB):16.8559616</t>
  </si>
  <si>
    <t>The CPU usage is: 0.0 RAM memory % used:98.7 RAM Used (GB):16.81160192</t>
  </si>
  <si>
    <t>The CPU usage is: 100.0 RAM memory % used:98.9 RAM Used (GB):16.85129216</t>
  </si>
  <si>
    <t>The CPU usage is: 10.0 RAM memory % used:97.6 RAM Used (GB):16.626774016</t>
  </si>
  <si>
    <t>The CPU usage is: 50.0 RAM memory % used:97.7 RAM Used (GB):16.648036352</t>
  </si>
  <si>
    <t>The CPU usage is: 66.7 RAM memory % used:97.7 RAM Used (GB):16.656031744</t>
  </si>
  <si>
    <t>The CPU usage is: 50.0 RAM memory % used:97.7 RAM Used (GB):16.644907008</t>
  </si>
  <si>
    <t>The CPU usage is: 0.0 RAM memory % used:97.8 RAM Used (GB):16.659820544</t>
  </si>
  <si>
    <t>The CPU usage is: 0.0 RAM memory % used:97.8 RAM Used (GB):16.664825856</t>
  </si>
  <si>
    <t>The CPU usage is: 100.0 RAM memory % used:97.8 RAM Used (GB):16.669650944</t>
  </si>
  <si>
    <t>The CPU usage is: 0.0 RAM memory % used:97.8 RAM Used (GB):16.667283456</t>
  </si>
  <si>
    <t>The CPU usage is: 0.0 RAM memory % used:97.8 RAM Used (GB):16.669597696</t>
  </si>
  <si>
    <t>The CPU usage is: 0.0 RAM memory % used:97.5 RAM Used (GB):16.615718912</t>
  </si>
  <si>
    <t>The CPU usage is: 0.0 RAM memory % used:97.9 RAM Used (GB):16.680763392</t>
  </si>
  <si>
    <t>The CPU usage is: 0.0 RAM memory % used:98.0 RAM Used (GB):16.6925312</t>
  </si>
  <si>
    <t>The CPU usage is: 0.0 RAM memory % used:98.0 RAM Used (GB):16.705753088</t>
  </si>
  <si>
    <t>The CPU usage is: 0.0 RAM memory % used:98.1 RAM Used (GB):16.714235904</t>
  </si>
  <si>
    <t>The CPU usage is: 0.0 RAM memory % used:98.1 RAM Used (GB):16.7180288</t>
  </si>
  <si>
    <t>The CPU usage is: 0.0 RAM memory % used:98.8 RAM Used (GB):16.83529728</t>
  </si>
  <si>
    <t>The CPU usage is: 0.0 RAM memory % used:98.6 RAM Used (GB):16.7944192</t>
  </si>
  <si>
    <t>The CPU usage is: 0.0 RAM memory % used:98.1 RAM Used (GB):16.710414336</t>
  </si>
  <si>
    <t>The CPU usage is: 0.0 RAM memory % used:97.6 RAM Used (GB):16.630706176</t>
  </si>
  <si>
    <t>The CPU usage is: 0.0 RAM memory % used:97.4 RAM Used (GB):16.603602944</t>
  </si>
  <si>
    <t>The CPU usage is: 50.0 RAM memory % used:97.5 RAM Used (GB):16.618344448</t>
  </si>
  <si>
    <t>The CPU usage is: 0.0 RAM memory % used:97.6 RAM Used (GB):16.625516544</t>
  </si>
  <si>
    <t>The CPU usage is: 0.0 RAM memory % used:97.6 RAM Used (GB):16.62472192</t>
  </si>
  <si>
    <t>The CPU usage is: 100.0 RAM memory % used:97.7 RAM Used (GB):16.649773056</t>
  </si>
  <si>
    <t>The CPU usage is: 0.0 RAM memory % used:97.0 RAM Used (GB):16.53024768</t>
  </si>
  <si>
    <t>The CPU usage is: 20.0 RAM memory % used:97.0 RAM Used (GB):16.534089728</t>
  </si>
  <si>
    <t>The CPU usage is: 0.0 RAM memory % used:97.0 RAM Used (GB):16.533696512</t>
  </si>
  <si>
    <t>The CPU usage is: 0.0 RAM memory % used:97.0 RAM Used (GB):16.537452544</t>
  </si>
  <si>
    <t>The CPU usage is: 0.0 RAM memory % used:97.1 RAM Used (GB):16.544403456</t>
  </si>
  <si>
    <t>The CPU usage is: 0.0 RAM memory % used:96.9 RAM Used (GB):16.51335168</t>
  </si>
  <si>
    <t>The CPU usage is: 0.0 RAM memory % used:96.9 RAM Used (GB):16.513458176</t>
  </si>
  <si>
    <t>The CPU usage is: 0.0 RAM memory % used:96.9 RAM Used (GB):16.521293824</t>
  </si>
  <si>
    <t>The CPU usage is: 0.0 RAM memory % used:96.9 RAM Used (GB):16.516829184</t>
  </si>
  <si>
    <t>The CPU usage is: 0.0 RAM memory % used:96.9 RAM Used (GB):16.517369856</t>
  </si>
  <si>
    <t>The CPU usage is: 100.0 RAM memory % used:97.0 RAM Used (GB):16.531034112</t>
  </si>
  <si>
    <t>The CPU usage is: 0.0 RAM memory % used:97.1 RAM Used (GB):16.546721792</t>
  </si>
  <si>
    <t>The CPU usage is: 42.9 RAM memory % used:97.1 RAM Used (GB):16.548851712</t>
  </si>
  <si>
    <t>The CPU usage is: 0.0 RAM memory % used:97.1 RAM Used (GB):16.55107584</t>
  </si>
  <si>
    <t>The CPU usage is: 100.0 RAM memory % used:97.1 RAM Used (GB):16.551522304</t>
  </si>
  <si>
    <t>The CPU usage is: 0.0 RAM memory % used:97.1 RAM Used (GB):16.551006208</t>
  </si>
  <si>
    <t>The CPU usage is: 0.0 RAM memory % used:97.2 RAM Used (GB):16.556920832</t>
  </si>
  <si>
    <t>The CPU usage is: 100.0 RAM memory % used:97.2 RAM Used (GB):16.56741888</t>
  </si>
  <si>
    <t>The CPU usage is: 0.0 RAM memory % used:97.3 RAM Used (GB):16.574255104</t>
  </si>
  <si>
    <t>The CPU usage is: 0.0 RAM memory % used:97.3 RAM Used (GB):16.5772288</t>
  </si>
  <si>
    <t>The CPU usage is: 0.0 RAM memory % used:97.4 RAM Used (GB):16.594669568</t>
  </si>
  <si>
    <t>The CPU usage is: 0.0 RAM memory % used:97.4 RAM Used (GB):16.605077504</t>
  </si>
  <si>
    <t>The CPU usage is: 0.0 RAM memory % used:97.5 RAM Used (GB):16.615022592</t>
  </si>
  <si>
    <t>The CPU usage is: 0.0 RAM memory % used:97.5 RAM Used (GB):16.614076416</t>
  </si>
  <si>
    <t>The CPU usage is: 40.0 RAM memory % used:97.6 RAM Used (GB):16.628699136</t>
  </si>
  <si>
    <t>The CPU usage is: 0.0 RAM memory % used:97.6 RAM Used (GB):16.628064256</t>
  </si>
  <si>
    <t>The CPU usage is: 12.5 RAM memory % used:97.5 RAM Used (GB):16.620896256</t>
  </si>
  <si>
    <t>The CPU usage is: 0.0 RAM memory % used:97.5 RAM Used (GB):16.615960576</t>
  </si>
  <si>
    <t>The CPU usage is: 0.0 RAM memory % used:97.5 RAM Used (GB):16.61392896</t>
  </si>
  <si>
    <t>The CPU usage is: 100.0 RAM memory % used:97.5 RAM Used (GB):16.613863424</t>
  </si>
  <si>
    <t>The CPU usage is: 50.0 RAM memory % used:97.5 RAM Used (GB):16.618737664</t>
  </si>
  <si>
    <t>The CPU usage is: 0.0 RAM memory % used:97.5 RAM Used (GB):16.613462016</t>
  </si>
  <si>
    <t>The CPU usage is: 0.0 RAM memory % used:97.5 RAM Used (GB):16.62113792</t>
  </si>
  <si>
    <t>The CPU usage is: 100.0 RAM memory % used:97.5 RAM Used (GB):16.617074688</t>
  </si>
  <si>
    <t>The CPU usage is: 0.0 RAM memory % used:97.5 RAM Used (GB):16.615759872</t>
  </si>
  <si>
    <t>The CPU usage is: 50.0 RAM memory % used:97.6 RAM Used (GB):16.637796352</t>
  </si>
  <si>
    <t>The CPU usage is: 0.0 RAM memory % used:97.6 RAM Used (GB):16.635420672</t>
  </si>
  <si>
    <t>The CPU usage is: 0.0 RAM memory % used:97.6 RAM Used (GB):16.62601216</t>
  </si>
  <si>
    <t>The CPU usage is: 0.0 RAM memory % used:98.0 RAM Used (GB):16.692211712</t>
  </si>
  <si>
    <t>The CPU usage is: 0.0 RAM memory % used:98.2 RAM Used (GB):16.739516416</t>
  </si>
  <si>
    <t>The CPU usage is: 0.0 RAM memory % used:98.2 RAM Used (GB):16.739500032</t>
  </si>
  <si>
    <t>The CPU usage is: 0.0 RAM memory % used:98.3 RAM Used (GB):16.743395328</t>
  </si>
  <si>
    <t>The CPU usage is: 100.0 RAM memory % used:98.3 RAM Used (GB):16.748412928</t>
  </si>
  <si>
    <t>The CPU usage is: 10.0 RAM memory % used:98.7 RAM Used (GB):16.812924928</t>
  </si>
  <si>
    <t>The CPU usage is: 0.0 RAM memory % used:99.0 RAM Used (GB):16.862654464</t>
  </si>
  <si>
    <t>The CPU usage is: 0.0 RAM memory % used:98.9 RAM Used (GB):16.84957184</t>
  </si>
  <si>
    <t>The CPU usage is: 0.0 RAM memory % used:98.9 RAM Used (GB):16.84576256</t>
  </si>
  <si>
    <t>The CPU usage is: 0.0 RAM memory % used:98.8 RAM Used (GB):16.836411392</t>
  </si>
  <si>
    <t>The CPU usage is: 0.0 RAM memory % used:91.2 RAM Used (GB):15.548260352</t>
  </si>
  <si>
    <t>The CPU usage is: 0.0 RAM memory % used:81.8 RAM Used (GB):13.940113408</t>
  </si>
  <si>
    <t xml:space="preserve">Ótimo aparelho eletrônico para a casa. Recomendo!
Ótimo cabelo eletricista para revestir o cabeçal da minha PC. Valeu a pena
Ótimo monitor. Funciona perfeitamente.
Ótimo tostador automático. Super facil de usar!
Óptimo o lavador automático comprado ontem. Funciona muito bem.
Ótimo lavador de pratos. Tudo funciona muito bem.
Ótimo sistema de ar condicionado para este clima quente.
Ótimo, muito bom o produto.
Ótima mola de cozinhar. Funciona muito bem.
Ótimo aparelho, funciona muito bem desde o dia da compra.
Ótima escovadeira para meu pissoado. Estou extremamente satisfeita com o resultado.
Ótimo sistema de sonoplay. Tudo funciona bem.
Ótimo esse refrigerador. Funciona bem e está muito estético na sala.
Ótimo aparelho. Funciona perfeitamente desde que eu comecei a usá-lo.
                    Com
Ótimo sistema de segurança para minha casa. Valeu a pena!
Ótimo monitor para computador!
Óptimo corte-trilho. Achei muito bom.
Ótima lâmpada LED. Consome menos energia do que a minha antiga e brilhante.
Ótima lâmpada LED. Mantém a cor muito bem.
Ótimo lavador de roupa. Fica limpo muito rápido.
Ótimo cabelo de reboque para o carro, muito funcional.
Ótimo rádio AM/FM com altavoz de boa qualidade.
Ótimo lavador de pratos. Trabalha perfeitamente.
Ótimo leitor Kindle. Eu adoro ler livros eletrônicos agora.
Ótima máquina para lavar prataria. Funciona muito bem.
Óptimo esse blender! Funciona muito bem.
Óptico do computador é incrível. Gosto muito.
Ótimo aparelho e fácil de usar.
Ótimo lavador de pratos. Super satisfeito com a compra.
Ótima toalha para o banheiro. Acho super funcional.
Ótimo balança para o ginásio. Super recomendo!
Ótima luz LED que comprei ontem. Foi muito útil.
Ótimo pé de pulga para o meu cachorro. Gosto muito!
Ótima cadeira de escritório. Mantém a postura perfeitamente.
Ótimo modelo desse refrigerador. Fica muito frio e consumidor bastante baixo.
                    Com
Ótimo rádio FM. Acho muito bom.
Ótimo refrigerador! O mais espaçoso que já comprei.
Ótimo cabelo para o quarto. Estilo minimalista, muito bonito.
Ótima cadeira para escrever!
Ótima lámpada LED. Valeu a pena o investimento!
Ótimo cadeirante motorizado. Vale a pena o dinheiro.
Ótimo celular de qualidade alta. Bem custoso mas valeu a pena.
Ótimo modelo de esquiador a venda no site. Pensei que era um bom investimento.
                    Com
Ótimo celular com muita bateria. Eu recomendo.
Ótimo computador portátil. Bastante leve para viajar com ele.
Ótimo aparelho de TV LED. Foi o melhor investimento que fiz hoje.
Ótima limpeza para o meu carro com este shampoo.
Ótima lavadora! Fácil de usar, limpa muito bem e consumo pouco água.
Ótimo telefone celular com preço bastante razoável.
Ótimo lavadora. Fácil de usar e funciona perfeitamente desde o primeiro momento.
                    Coment
</t>
  </si>
  <si>
    <t>revestir</t>
  </si>
  <si>
    <t>cabeçal</t>
  </si>
  <si>
    <t>pc</t>
  </si>
  <si>
    <t>clima</t>
  </si>
  <si>
    <t>quente</t>
  </si>
  <si>
    <t>mola</t>
  </si>
  <si>
    <t>escovadeira</t>
  </si>
  <si>
    <t>pissoado</t>
  </si>
  <si>
    <t>sonoplay</t>
  </si>
  <si>
    <t>estético</t>
  </si>
  <si>
    <t>sala</t>
  </si>
  <si>
    <t>comecei</t>
  </si>
  <si>
    <t>cortetrilho</t>
  </si>
  <si>
    <t>consome</t>
  </si>
  <si>
    <t>reboque</t>
  </si>
  <si>
    <t>altavoz</t>
  </si>
  <si>
    <t>ginásio</t>
  </si>
  <si>
    <t>pé</t>
  </si>
  <si>
    <t>pulga</t>
  </si>
  <si>
    <t>cachorro</t>
  </si>
  <si>
    <t>postura</t>
  </si>
  <si>
    <t>minimalista</t>
  </si>
  <si>
    <t>escrever</t>
  </si>
  <si>
    <t>lámpada</t>
  </si>
  <si>
    <t>esquiador</t>
  </si>
  <si>
    <t>venda</t>
  </si>
  <si>
    <t>pensei</t>
  </si>
  <si>
    <t>viajar</t>
  </si>
  <si>
    <t>shampoo</t>
  </si>
  <si>
    <t>{"valorA":"eletricista","valorB":1}</t>
  </si>
  <si>
    <t>{"valorA":"cabeçal","valorB":1}</t>
  </si>
  <si>
    <t>{"valorA":"revestir","valorB":1}</t>
  </si>
  <si>
    <t>{"valorA":"pc","valorB":1}</t>
  </si>
  <si>
    <t>{"valorA":"automático","valorB":1}</t>
  </si>
  <si>
    <t>{"valorA":"tostador","valorB":1}</t>
  </si>
  <si>
    <t>{"valorA":"automático","valorB":2}</t>
  </si>
  <si>
    <t>{"valorA":"clima","valorB":1}</t>
  </si>
  <si>
    <t>{"valorA":"quente","valorB":1}</t>
  </si>
  <si>
    <t>{"valorA":"cozinhar","valorB":1}</t>
  </si>
  <si>
    <t>{"valorA":"mola","valorB":1}</t>
  </si>
  <si>
    <t>{"valorA":"pissoado","valorB":1}</t>
  </si>
  <si>
    <t>{"valorA":"escovadeira","valorB":1}</t>
  </si>
  <si>
    <t>{"valorA":"extremamente","valorB":1}</t>
  </si>
  <si>
    <t>{"valorA":"sonoplay","valorB":1}</t>
  </si>
  <si>
    <t>{"valorA":"estético","valorB":1}</t>
  </si>
  <si>
    <t>{"valorA":"sala","valorB":1}</t>
  </si>
  <si>
    <t>{"valorA":"comecei","valorB":1}</t>
  </si>
  <si>
    <t>{"valorA":"usálo","valorB":1}</t>
  </si>
  <si>
    <t>{"valorA":"sistema","valorB":3}</t>
  </si>
  <si>
    <t>{"valorA":"cortetrilho","valorB":1}</t>
  </si>
  <si>
    <t>{"valorA":"consome","valorB":1}</t>
  </si>
  <si>
    <t>{"valorA":"minha","valorB":3}</t>
  </si>
  <si>
    <t>{"valorA":"cor","valorB":1}</t>
  </si>
  <si>
    <t>{"valorA":"reboque","valorB":1}</t>
  </si>
  <si>
    <t>{"valorA":"altavoz","valorB":1}</t>
  </si>
  <si>
    <t>{"valorA":"eletrônicos","valorB":1}</t>
  </si>
  <si>
    <t>{"valorA":"adoro","valorB":1}</t>
  </si>
  <si>
    <t>{"valorA":"óptimo","valorB":3}</t>
  </si>
  <si>
    <t>{"valorA":"super","valorB":2}</t>
  </si>
  <si>
    <t>{"valorA":"super","valorB":3}</t>
  </si>
  <si>
    <t>{"valorA":"super","valorB":4}</t>
  </si>
  <si>
    <t>{"valorA":"balança","valorB":1}</t>
  </si>
  <si>
    <t>{"valorA":"ginásio","valorB":1}</t>
  </si>
  <si>
    <t>{"valorA":"pé","valorB":1}</t>
  </si>
  <si>
    <t>{"valorA":"cachorro","valorB":1}</t>
  </si>
  <si>
    <t>{"valorA":"pulga","valorB":1}</t>
  </si>
  <si>
    <t>{"valorA":"mantém","valorB":2}</t>
  </si>
  <si>
    <t>{"valorA":"postura","valorB":1}</t>
  </si>
  <si>
    <t>{"valorA":"rádio","valorB":2}</t>
  </si>
  <si>
    <t>{"valorA":"acho","valorB":2}</t>
  </si>
  <si>
    <t>{"valorA":"fm","valorB":1}</t>
  </si>
  <si>
    <t>{"valorA":"refrigerador","valorB":3}</t>
  </si>
  <si>
    <t>{"valorA":"já","valorB":1}</t>
  </si>
  <si>
    <t>{"valorA":"minimalista","valorB":1}</t>
  </si>
  <si>
    <t>{"valorA":"escrever","valorB":1}</t>
  </si>
  <si>
    <t>{"valorA":"lámpada","valorB":1}</t>
  </si>
  <si>
    <t>{"valorA":"led","valorB":4}</t>
  </si>
  <si>
    <t>{"valorA":"pena","valorB":5}</t>
  </si>
  <si>
    <t>{"valorA":"custoso","valorB":1}</t>
  </si>
  <si>
    <t>{"valorA":"pensei","valorB":1}</t>
  </si>
  <si>
    <t>{"valorA":"investimento","valorB":2}</t>
  </si>
  <si>
    <t>{"valorA":"esquiador","valorB":1}</t>
  </si>
  <si>
    <t>{"valorA":"venda","valorB":1}</t>
  </si>
  <si>
    <t>{"valorA":"viajar","valorB":1}</t>
  </si>
  <si>
    <t>{"valorA":"aparelho","valorB":5}</t>
  </si>
  <si>
    <t>{"valorA":"led","valorB":5}</t>
  </si>
  <si>
    <t>{"valorA":"investimento","valorB":3}</t>
  </si>
  <si>
    <t>{"valorA":"shampoo","valorB":1}</t>
  </si>
  <si>
    <t>{"valorA":"o","valorB":15}</t>
  </si>
  <si>
    <t>{"valorA":"o","valorB":16}</t>
  </si>
  <si>
    <t>The CPU usage is: 33.3 RAM memory % used:97.6 RAM Used (GB):16.639479808</t>
  </si>
  <si>
    <t>The CPU usage is: 0.0 RAM memory % used:97.7 RAM Used (GB):16.645853184</t>
  </si>
  <si>
    <t>The CPU usage is: 0.0 RAM memory % used:97.7 RAM Used (GB):16.643411968</t>
  </si>
  <si>
    <t>The CPU usage is: 0.0 RAM memory % used:97.7 RAM Used (GB):16.64344064</t>
  </si>
  <si>
    <t>The CPU usage is: 0.0 RAM memory % used:97.7 RAM Used (GB):16.647376896</t>
  </si>
  <si>
    <t>The CPU usage is: 0.0 RAM memory % used:97.7 RAM Used (GB):16.644493312</t>
  </si>
  <si>
    <t>The CPU usage is: 20.0 RAM memory % used:97.7 RAM Used (GB):16.648364032</t>
  </si>
  <si>
    <t>The CPU usage is: 0.0 RAM memory % used:97.2 RAM Used (GB):16.571789312</t>
  </si>
  <si>
    <t>The CPU usage is: 0.0 RAM memory % used:97.1 RAM Used (GB):16.54706176</t>
  </si>
  <si>
    <t>The CPU usage is: 0.0 RAM memory % used:97.1 RAM Used (GB):16.552542208</t>
  </si>
  <si>
    <t>The CPU usage is: 100.0 RAM memory % used:97.1 RAM Used (GB):16.546115584</t>
  </si>
  <si>
    <t>The CPU usage is: 0.0 RAM memory % used:97.1 RAM Used (GB):16.550662144</t>
  </si>
  <si>
    <t>The CPU usage is: 0.0 RAM memory % used:97.1 RAM Used (GB):16.545202176</t>
  </si>
  <si>
    <t>The CPU usage is: 0.0 RAM memory % used:97.0 RAM Used (GB):16.530239488</t>
  </si>
  <si>
    <t>The CPU usage is: 28.6 RAM memory % used:97.0 RAM Used (GB):16.529301504</t>
  </si>
  <si>
    <t>The CPU usage is: 0.0 RAM memory % used:97.2 RAM Used (GB):16.556126208</t>
  </si>
  <si>
    <t>The CPU usage is: 0.0 RAM memory % used:97.1 RAM Used (GB):16.55519232</t>
  </si>
  <si>
    <t>The CPU usage is: 0.0 RAM memory % used:97.1 RAM Used (GB):16.554893312</t>
  </si>
  <si>
    <t>The CPU usage is: 0.0 RAM memory % used:97.1 RAM Used (GB):16.55431168</t>
  </si>
  <si>
    <t>The CPU usage is: 0.0 RAM memory % used:97.2 RAM Used (GB):16.565383168</t>
  </si>
  <si>
    <t>The CPU usage is: 0.0 RAM memory % used:96.8 RAM Used (GB):16.493170688</t>
  </si>
  <si>
    <t>The CPU usage is: 0.0 RAM memory % used:96.8 RAM Used (GB):16.497975296</t>
  </si>
  <si>
    <t>The CPU usage is: 0.0 RAM memory % used:96.8 RAM Used (GB):16.501837824</t>
  </si>
  <si>
    <t>The CPU usage is: 33.3 RAM memory % used:96.8 RAM Used (GB):16.501866496</t>
  </si>
  <si>
    <t>The CPU usage is: 0.0 RAM memory % used:96.7 RAM Used (GB):16.478117888</t>
  </si>
  <si>
    <t>The CPU usage is: 0.0 RAM memory % used:96.7 RAM Used (GB):16.474984448</t>
  </si>
  <si>
    <t>The CPU usage is: 0.0 RAM memory % used:96.7 RAM Used (GB):16.473595904</t>
  </si>
  <si>
    <t>The CPU usage is: 0.0 RAM memory % used:96.7 RAM Used (GB):16.47081472</t>
  </si>
  <si>
    <t>The CPU usage is: 0.0 RAM memory % used:96.6 RAM Used (GB):16.469590016</t>
  </si>
  <si>
    <t>The CPU usage is: 40.0 RAM memory % used:96.6 RAM Used (GB):16.467562496</t>
  </si>
  <si>
    <t>The CPU usage is: 33.3 RAM memory % used:96.7 RAM Used (GB):16.4737024</t>
  </si>
  <si>
    <t>The CPU usage is: 0.0 RAM memory % used:96.7 RAM Used (GB):16.478728192</t>
  </si>
  <si>
    <t>The CPU usage is: 0.0 RAM memory % used:96.7 RAM Used (GB):16.477138944</t>
  </si>
  <si>
    <t>The CPU usage is: 0.0 RAM memory % used:96.7 RAM Used (GB):16.474873856</t>
  </si>
  <si>
    <t>The CPU usage is: 0.0 RAM memory % used:96.6 RAM Used (GB):16.460898304</t>
  </si>
  <si>
    <t>The CPU usage is: 0.0 RAM memory % used:96.6 RAM Used (GB):16.459993088</t>
  </si>
  <si>
    <t>The CPU usage is: 0.0 RAM memory % used:96.6 RAM Used (GB):16.458829824</t>
  </si>
  <si>
    <t>The CPU usage is: 0.0 RAM memory % used:96.7 RAM Used (GB):16.47087616</t>
  </si>
  <si>
    <t>The CPU usage is: 0.0 RAM memory % used:96.6 RAM Used (GB):16.46004224</t>
  </si>
  <si>
    <t>The CPU usage is: 0.0 RAM memory % used:96.6 RAM Used (GB):16.459419648</t>
  </si>
  <si>
    <t>The CPU usage is: 0.0 RAM memory % used:96.1 RAM Used (GB):16.37492736</t>
  </si>
  <si>
    <t>The CPU usage is: 66.7 RAM memory % used:96.2 RAM Used (GB):16.387833856</t>
  </si>
  <si>
    <t>The CPU usage is: 0.0 RAM memory % used:96.1 RAM Used (GB):16.384909312</t>
  </si>
  <si>
    <t>The CPU usage is: 0.0 RAM memory % used:96.1 RAM Used (GB):16.383090688</t>
  </si>
  <si>
    <t>The CPU usage is: 20.0 RAM memory % used:96.2 RAM Used (GB):16.387100672</t>
  </si>
  <si>
    <t>The CPU usage is: 0.0 RAM memory % used:96.2 RAM Used (GB):16.385241088</t>
  </si>
  <si>
    <t>The CPU usage is: 0.0 RAM memory % used:96.1 RAM Used (GB):16.383881216</t>
  </si>
  <si>
    <t>The CPU usage is: 0.0 RAM memory % used:96.2 RAM Used (GB):16.388231168</t>
  </si>
  <si>
    <t>The CPU usage is: 0.0 RAM memory % used:96.2 RAM Used (GB):16.386834432</t>
  </si>
  <si>
    <t>The CPU usage is: 0.0 RAM memory % used:96.2 RAM Used (GB):16.387223552</t>
  </si>
  <si>
    <t>The CPU usage is: 0.0 RAM memory % used:96.2 RAM Used (GB):16.386039808</t>
  </si>
  <si>
    <t>The CPU usage is: 0.0 RAM memory % used:96.2 RAM Used (GB):16.385564672</t>
  </si>
  <si>
    <t>The CPU usage is: 0.0 RAM memory % used:96.2 RAM Used (GB):16.38674432</t>
  </si>
  <si>
    <t>The CPU usage is: 0.0 RAM memory % used:96.2 RAM Used (GB):16.38518784</t>
  </si>
  <si>
    <t>The CPU usage is: 50.0 RAM memory % used:96.1 RAM Used (GB):16.384946176</t>
  </si>
  <si>
    <t>The CPU usage is: 0.0 RAM memory % used:96.2 RAM Used (GB):16.389459968</t>
  </si>
  <si>
    <t>The CPU usage is: 0.0 RAM memory % used:96.2 RAM Used (GB):16.3872768</t>
  </si>
  <si>
    <t>The CPU usage is: 0.0 RAM memory % used:96.2 RAM Used (GB):16.38989824</t>
  </si>
  <si>
    <t>The CPU usage is: 0.0 RAM memory % used:96.2 RAM Used (GB):16.386195456</t>
  </si>
  <si>
    <t>The CPU usage is: 0.0 RAM memory % used:96.1 RAM Used (GB):16.384802816</t>
  </si>
  <si>
    <t>The CPU usage is: 0.0 RAM memory % used:96.2 RAM Used (GB):16.388337664</t>
  </si>
  <si>
    <t>The CPU usage is: 0.0 RAM memory % used:96.2 RAM Used (GB):16.389996544</t>
  </si>
  <si>
    <t>The CPU usage is: 66.7 RAM memory % used:96.2 RAM Used (GB):16.396484608</t>
  </si>
  <si>
    <t>The CPU usage is: 100.0 RAM memory % used:96.2 RAM Used (GB):16.39534592</t>
  </si>
  <si>
    <t>The CPU usage is: 0.0 RAM memory % used:96.2 RAM Used (GB):16.396746752</t>
  </si>
  <si>
    <t>The CPU usage is: 0.0 RAM memory % used:96.2 RAM Used (GB):16.39686144</t>
  </si>
  <si>
    <t>The CPU usage is: 0.0 RAM memory % used:96.2 RAM Used (GB):16.400965632</t>
  </si>
  <si>
    <t>The CPU usage is: 0.0 RAM memory % used:96.2 RAM Used (GB):16.40011776</t>
  </si>
  <si>
    <t>The CPU usage is: 0.0 RAM memory % used:96.2 RAM Used (GB):16.399548416</t>
  </si>
  <si>
    <t>The CPU usage is: 0.0 RAM memory % used:96.3 RAM Used (GB):16.403361792</t>
  </si>
  <si>
    <t>The CPU usage is: 0.0 RAM memory % used:96.3 RAM Used (GB):16.415096832</t>
  </si>
  <si>
    <t>The CPU usage is: 0.0 RAM memory % used:96.3 RAM Used (GB):16.414380032</t>
  </si>
  <si>
    <t>The CPU usage is: 0.0 RAM memory % used:96.3 RAM Used (GB):16.413130752</t>
  </si>
  <si>
    <t>The CPU usage is: 16.7 RAM memory % used:96.3 RAM Used (GB):16.41650176</t>
  </si>
  <si>
    <t>The CPU usage is: 16.7 RAM memory % used:96.3 RAM Used (GB):16.414851072</t>
  </si>
  <si>
    <t>The CPU usage is: 100.0 RAM memory % used:96.3 RAM Used (GB):16.417890304</t>
  </si>
  <si>
    <t>The CPU usage is: 0.0 RAM memory % used:96.4 RAM Used (GB):16.427147264</t>
  </si>
  <si>
    <t>The CPU usage is: 16.7 RAM memory % used:96.4 RAM Used (GB):16.424402944</t>
  </si>
  <si>
    <t>The CPU usage is: 100.0 RAM memory % used:96.4 RAM Used (GB):16.423632896</t>
  </si>
  <si>
    <t>The CPU usage is: 100.0 RAM memory % used:96.4 RAM Used (GB):16.432541696</t>
  </si>
  <si>
    <t>The CPU usage is: 0.0 RAM memory % used:96.4 RAM Used (GB):16.432566272</t>
  </si>
  <si>
    <t>The CPU usage is: 50.0 RAM memory % used:96.4 RAM Used (GB):16.429830144</t>
  </si>
  <si>
    <t>The CPU usage is: 12.5 RAM memory % used:96.4 RAM Used (GB):16.429318144</t>
  </si>
  <si>
    <t>The CPU usage is: 0.0 RAM memory % used:96.5 RAM Used (GB):16.43798528</t>
  </si>
  <si>
    <t>The CPU usage is: 40.0 RAM memory % used:96.5 RAM Used (GB):16.438874112</t>
  </si>
  <si>
    <t>The CPU usage is: 14.3 RAM memory % used:96.5 RAM Used (GB):16.441380864</t>
  </si>
  <si>
    <t>The CPU usage is: 50.0 RAM memory % used:96.5 RAM Used (GB):16.44171264</t>
  </si>
  <si>
    <t>The CPU usage is: 0.0 RAM memory % used:96.4 RAM Used (GB):16.420999168</t>
  </si>
  <si>
    <t>The CPU usage is: 0.0 RAM memory % used:96.4 RAM Used (GB):16.420900864</t>
  </si>
  <si>
    <t>The CPU usage is: 0.0 RAM memory % used:96.4 RAM Used (GB):16.434159616</t>
  </si>
  <si>
    <t>The CPU usage is: 20.0 RAM memory % used:96.1 RAM Used (GB):16.375721984</t>
  </si>
  <si>
    <t>The CPU usage is: 0.0 RAM memory % used:96.1 RAM Used (GB):16.380821504</t>
  </si>
  <si>
    <t>The CPU usage is: 0.0 RAM memory % used:96.1 RAM Used (GB):16.378277888</t>
  </si>
  <si>
    <t>The CPU usage is: 0.0 RAM memory % used:96.1 RAM Used (GB):16.377278464</t>
  </si>
  <si>
    <t>The CPU usage is: 0.0 RAM memory % used:96.1 RAM Used (GB):16.378896384</t>
  </si>
  <si>
    <t>The CPU usage is: 0.0 RAM memory % used:96.1 RAM Used (GB):16.377491456</t>
  </si>
  <si>
    <t>The CPU usage is: 0.0 RAM memory % used:96.1 RAM Used (GB):16.37705728</t>
  </si>
  <si>
    <t>The CPU usage is: 0.0 RAM memory % used:96.1 RAM Used (GB):16.384073728</t>
  </si>
  <si>
    <t>The CPU usage is: 0.0 RAM memory % used:96.1 RAM Used (GB):16.382578688</t>
  </si>
  <si>
    <t>The CPU usage is: 0.0 RAM memory % used:96.1 RAM Used (GB):16.38293504</t>
  </si>
  <si>
    <t>The CPU usage is: 50.0 RAM memory % used:96.1 RAM Used (GB):16.382242816</t>
  </si>
  <si>
    <t>The CPU usage is: 0.0 RAM memory % used:96.1 RAM Used (GB):16.382267392</t>
  </si>
  <si>
    <t>The CPU usage is: 66.7 RAM memory % used:96.1 RAM Used (GB):16.383369216</t>
  </si>
  <si>
    <t>The CPU usage is: 20.0 RAM memory % used:96.1 RAM Used (GB):16.382898176</t>
  </si>
  <si>
    <t>The CPU usage is: 0.0 RAM memory % used:96.1 RAM Used (GB):16.382898176</t>
  </si>
  <si>
    <t>The CPU usage is: 0.0 RAM memory % used:96.1 RAM Used (GB):16.384458752</t>
  </si>
  <si>
    <t>The CPU usage is: 0.0 RAM memory % used:96.1 RAM Used (GB):16.383410176</t>
  </si>
  <si>
    <t>The CPU usage is: 0.0 RAM memory % used:96.1 RAM Used (GB):16.383438848</t>
  </si>
  <si>
    <t>The CPU usage is: 0.0 RAM memory % used:96.2 RAM Used (GB):16.385921024</t>
  </si>
  <si>
    <t>The CPU usage is: 0.0 RAM memory % used:96.2 RAM Used (GB):16.385990656</t>
  </si>
  <si>
    <t>The CPU usage is: 0.0 RAM memory % used:96.2 RAM Used (GB):16.386052096</t>
  </si>
  <si>
    <t>The CPU usage is: 20.0 RAM memory % used:96.2 RAM Used (GB):16.394584064</t>
  </si>
  <si>
    <t>The CPU usage is: 0.0 RAM memory % used:96.2 RAM Used (GB):16.399228928</t>
  </si>
  <si>
    <t>The CPU usage is: 33.3 RAM memory % used:96.2 RAM Used (GB):16.396263424</t>
  </si>
  <si>
    <t>The CPU usage is: 50.0 RAM memory % used:96.2 RAM Used (GB):16.395882496</t>
  </si>
  <si>
    <t>The CPU usage is: 0.0 RAM memory % used:96.2 RAM Used (GB):16.401174528</t>
  </si>
  <si>
    <t>The CPU usage is: 0.0 RAM memory % used:96.2 RAM Used (GB):16.399982592</t>
  </si>
  <si>
    <t>The CPU usage is: 0.0 RAM memory % used:96.2 RAM Used (GB):16.39890944</t>
  </si>
  <si>
    <t>The CPU usage is: 0.0 RAM memory % used:96.3 RAM Used (GB):16.402874368</t>
  </si>
  <si>
    <t>The CPU usage is: 0.0 RAM memory % used:96.2 RAM Used (GB):16.402108416</t>
  </si>
  <si>
    <t>The CPU usage is: 0.0 RAM memory % used:96.3 RAM Used (GB):16.412389376</t>
  </si>
  <si>
    <t>The CPU usage is: 0.0 RAM memory % used:96.3 RAM Used (GB):16.40910848</t>
  </si>
  <si>
    <t>The CPU usage is: 0.0 RAM memory % used:96.4 RAM Used (GB):16.419700736</t>
  </si>
  <si>
    <t>The CPU usage is: 0.0 RAM memory % used:96.3 RAM Used (GB):16.414195712</t>
  </si>
  <si>
    <t>The CPU usage is: 0.0 RAM memory % used:96.4 RAM Used (GB):16.425242624</t>
  </si>
  <si>
    <t>The CPU usage is: 0.0 RAM memory % used:96.4 RAM Used (GB):16.431034368</t>
  </si>
  <si>
    <t>The CPU usage is: 0.0 RAM memory % used:96.4 RAM Used (GB):16.429539328</t>
  </si>
  <si>
    <t>The CPU usage is: 100.0 RAM memory % used:96.4 RAM Used (GB):16.432033792</t>
  </si>
  <si>
    <t>The CPU usage is: 0.0 RAM memory % used:96.4 RAM Used (GB):16.43153408</t>
  </si>
  <si>
    <t>The CPU usage is: 0.0 RAM memory % used:96.4 RAM Used (GB):16.429154304</t>
  </si>
  <si>
    <t>The CPU usage is: 0.0 RAM memory % used:96.4 RAM Used (GB):16.433414144</t>
  </si>
  <si>
    <t>The CPU usage is: 0.0 RAM memory % used:96.4 RAM Used (GB):16.433938432</t>
  </si>
  <si>
    <t>The CPU usage is: 0.0 RAM memory % used:96.4 RAM Used (GB):16.431796224</t>
  </si>
  <si>
    <t>The CPU usage is: 0.0 RAM memory % used:96.4 RAM Used (GB):16.432533504</t>
  </si>
  <si>
    <t>The CPU usage is: 0.0 RAM memory % used:96.5 RAM Used (GB):16.436830208</t>
  </si>
  <si>
    <t>The CPU usage is: 0.0 RAM memory % used:96.5 RAM Used (GB):16.438259712</t>
  </si>
  <si>
    <t>The CPU usage is: 0.0 RAM memory % used:96.5 RAM Used (GB):16.441982976</t>
  </si>
  <si>
    <t>The CPU usage is: 0.0 RAM memory % used:96.6 RAM Used (GB):16.453382144</t>
  </si>
  <si>
    <t>The CPU usage is: 20.0 RAM memory % used:96.7 RAM Used (GB):16.477024256</t>
  </si>
  <si>
    <t>The CPU usage is: 0.0 RAM memory % used:96.7 RAM Used (GB):16.473747456</t>
  </si>
  <si>
    <t>The CPU usage is: 11.1 RAM memory % used:96.7 RAM Used (GB):16.472141824</t>
  </si>
  <si>
    <t>The CPU usage is: 0.0 RAM memory % used:96.7 RAM Used (GB):16.476561408</t>
  </si>
  <si>
    <t>The CPU usage is: 0.0 RAM memory % used:96.7 RAM Used (GB):16.481071104</t>
  </si>
  <si>
    <t>The CPU usage is: 100.0 RAM memory % used:96.7 RAM Used (GB):16.477298688</t>
  </si>
  <si>
    <t>The CPU usage is: 0.0 RAM memory % used:96.7 RAM Used (GB):16.476581888</t>
  </si>
  <si>
    <t>The CPU usage is: 0.0 RAM memory % used:96.7 RAM Used (GB):16.476672</t>
  </si>
  <si>
    <t>The CPU usage is: 100.0 RAM memory % used:96.7 RAM Used (GB):16.475684864</t>
  </si>
  <si>
    <t>The CPU usage is: 25.0 RAM memory % used:96.7 RAM Used (GB):16.47495168</t>
  </si>
  <si>
    <t>The CPU usage is: 50.0 RAM memory % used:96.7 RAM Used (GB):16.478949376</t>
  </si>
  <si>
    <t>The CPU usage is: 100.0 RAM memory % used:96.7 RAM Used (GB):16.478359552</t>
  </si>
  <si>
    <t>The CPU usage is: 50.0 RAM memory % used:96.7 RAM Used (GB):16.477773824</t>
  </si>
  <si>
    <t>The CPU usage is: 0.0 RAM memory % used:96.7 RAM Used (GB):16.480284672</t>
  </si>
  <si>
    <t>The CPU usage is: 0.0 RAM memory % used:96.8 RAM Used (GB):16.497242112</t>
  </si>
  <si>
    <t>The CPU usage is: 0.0 RAM memory % used:96.8 RAM Used (GB):16.497328128</t>
  </si>
  <si>
    <t>The CPU usage is: 0.0 RAM memory % used:96.8 RAM Used (GB):16.4977664</t>
  </si>
  <si>
    <t>The CPU usage is: 0.0 RAM memory % used:96.8 RAM Used (GB):16.493576192</t>
  </si>
  <si>
    <t>The CPU usage is: 0.0 RAM memory % used:96.8 RAM Used (GB):16.49027072</t>
  </si>
  <si>
    <t>The CPU usage is: 0.0 RAM memory % used:96.8 RAM Used (GB):16.489336832</t>
  </si>
  <si>
    <t>The CPU usage is: 0.0 RAM memory % used:96.8 RAM Used (GB):16.49444864</t>
  </si>
  <si>
    <t>The CPU usage is: 0.0 RAM memory % used:96.2 RAM Used (GB):16.389136384</t>
  </si>
  <si>
    <t>The CPU usage is: 0.0 RAM memory % used:96.2 RAM Used (GB):16.395907072</t>
  </si>
  <si>
    <t>The CPU usage is: 33.3 RAM memory % used:96.2 RAM Used (GB):16.395677696</t>
  </si>
  <si>
    <t>The CPU usage is: 50.0 RAM memory % used:96.2 RAM Used (GB):16.3956736</t>
  </si>
  <si>
    <t>The CPU usage is: 0.0 RAM memory % used:96.2 RAM Used (GB):16.395423744</t>
  </si>
  <si>
    <t>The CPU usage is: 0.0 RAM memory % used:96.2 RAM Used (GB):16.395390976</t>
  </si>
  <si>
    <t>The CPU usage is: 75.0 RAM memory % used:96.2 RAM Used (GB):16.395403264</t>
  </si>
  <si>
    <t>The CPU usage is: 0.0 RAM memory % used:96.2 RAM Used (GB):16.39714816</t>
  </si>
  <si>
    <t>The CPU usage is: 0.0 RAM memory % used:96.2 RAM Used (GB):16.394801152</t>
  </si>
  <si>
    <t>The CPU usage is: 50.0 RAM memory % used:96.2 RAM Used (GB):16.398856192</t>
  </si>
  <si>
    <t>The CPU usage is: 0.0 RAM memory % used:96.2 RAM Used (GB):16.39626752</t>
  </si>
  <si>
    <t>The CPU usage is: 16.7 RAM memory % used:96.2 RAM Used (GB):16.39483392</t>
  </si>
  <si>
    <t>The CPU usage is: 0.0 RAM memory % used:96.2 RAM Used (GB):16.397963264</t>
  </si>
  <si>
    <t>The CPU usage is: 0.0 RAM memory % used:96.2 RAM Used (GB):16.39622656</t>
  </si>
  <si>
    <t>The CPU usage is: 0.0 RAM memory % used:96.2 RAM Used (GB):16.39528448</t>
  </si>
  <si>
    <t>The CPU usage is: 0.0 RAM memory % used:96.2 RAM Used (GB):16.39909376</t>
  </si>
  <si>
    <t>The CPU usage is: 0.0 RAM memory % used:96.2 RAM Used (GB):16.395751424</t>
  </si>
  <si>
    <t>The CPU usage is: 0.0 RAM memory % used:96.3 RAM Used (GB):16.404062208</t>
  </si>
  <si>
    <t>The CPU usage is: 0.0 RAM memory % used:96.3 RAM Used (GB):16.402567168</t>
  </si>
  <si>
    <t>The CPU usage is: 0.0 RAM memory % used:96.2 RAM Used (GB):16.40122368</t>
  </si>
  <si>
    <t>The CPU usage is: 0.0 RAM memory % used:96.3 RAM Used (GB):16.404103168</t>
  </si>
  <si>
    <t>The CPU usage is: 0.0 RAM memory % used:96.3 RAM Used (GB):16.403963904</t>
  </si>
  <si>
    <t>The CPU usage is: 0.0 RAM memory % used:96.3 RAM Used (GB):16.402489344</t>
  </si>
  <si>
    <t>The CPU usage is: 0.0 RAM memory % used:96.3 RAM Used (GB):16.405946368</t>
  </si>
  <si>
    <t>The CPU usage is: 0.0 RAM memory % used:96.3 RAM Used (GB):16.404652032</t>
  </si>
  <si>
    <t>The CPU usage is: 0.0 RAM memory % used:96.2 RAM Used (GB):16.400515072</t>
  </si>
  <si>
    <t>The CPU usage is: 25.0 RAM memory % used:96.2 RAM Used (GB):16.40040448</t>
  </si>
  <si>
    <t>The CPU usage is: 0.0 RAM memory % used:96.2 RAM Used (GB):16.400236544</t>
  </si>
  <si>
    <t>The CPU usage is: 0.0 RAM memory % used:96.2 RAM Used (GB):16.39901184</t>
  </si>
  <si>
    <t>The CPU usage is: 0.0 RAM memory % used:96.2 RAM Used (GB):16.401666048</t>
  </si>
  <si>
    <t>The CPU usage is: 0.0 RAM memory % used:96.2 RAM Used (GB):16.397832192</t>
  </si>
  <si>
    <t>The CPU usage is: 33.3 RAM memory % used:96.2 RAM Used (GB):16.401645568</t>
  </si>
  <si>
    <t>The CPU usage is: 0.0 RAM memory % used:96.2 RAM Used (GB):16.401604608</t>
  </si>
  <si>
    <t>The CPU usage is: 0.0 RAM memory % used:96.3 RAM Used (GB):16.40574976</t>
  </si>
  <si>
    <t>The CPU usage is: 0.0 RAM memory % used:96.3 RAM Used (GB):16.405323776</t>
  </si>
  <si>
    <t>The CPU usage is: 0.0 RAM memory % used:96.3 RAM Used (GB):16.405164032</t>
  </si>
  <si>
    <t>The CPU usage is: 33.3 RAM memory % used:96.3 RAM Used (GB):16.409829376</t>
  </si>
  <si>
    <t>The CPU usage is: 0.0 RAM memory % used:96.3 RAM Used (GB):16.409014272</t>
  </si>
  <si>
    <t>The CPU usage is: 0.0 RAM memory % used:96.3 RAM Used (GB):16.409112576</t>
  </si>
  <si>
    <t>The CPU usage is: 0.0 RAM memory % used:96.4 RAM Used (GB):16.421134336</t>
  </si>
  <si>
    <t>The CPU usage is: 0.0 RAM memory % used:96.3 RAM Used (GB):16.418824192</t>
  </si>
  <si>
    <t>The CPU usage is: 0.0 RAM memory % used:96.3 RAM Used (GB):16.413188096</t>
  </si>
  <si>
    <t>The CPU usage is: 50.0 RAM memory % used:96.3 RAM Used (GB):16.411127808</t>
  </si>
  <si>
    <t>The CPU usage is: 20.0 RAM memory % used:96.4 RAM Used (GB):16.421380096</t>
  </si>
  <si>
    <t>The CPU usage is: 66.7 RAM memory % used:96.4 RAM Used (GB):16.422350848</t>
  </si>
  <si>
    <t>The CPU usage is: 0.0 RAM memory % used:96.3 RAM Used (GB):16.416874496</t>
  </si>
  <si>
    <t>The CPU usage is: 20.0 RAM memory % used:96.4 RAM Used (GB):16.420827136</t>
  </si>
  <si>
    <t>The CPU usage is: 50.0 RAM memory % used:96.4 RAM Used (GB):16.422670336</t>
  </si>
  <si>
    <t>The CPU usage is: 0.0 RAM memory % used:96.4 RAM Used (GB):16.41996288</t>
  </si>
  <si>
    <t>The CPU usage is: 0.0 RAM memory % used:96.3 RAM Used (GB):16.416182272</t>
  </si>
  <si>
    <t>The CPU usage is: 0.0 RAM memory % used:96.3 RAM Used (GB):16.415903744</t>
  </si>
  <si>
    <t>The CPU usage is: 0.0 RAM memory % used:96.4 RAM Used (GB):16.420352</t>
  </si>
  <si>
    <t>The CPU usage is: 0.0 RAM memory % used:96.3 RAM Used (GB):16.41832448</t>
  </si>
  <si>
    <t>The CPU usage is: 0.0 RAM memory % used:96.8 RAM Used (GB):16.489377792</t>
  </si>
  <si>
    <t>The CPU usage is: 0.0 RAM memory % used:96.8 RAM Used (GB):16.488976384</t>
  </si>
  <si>
    <t>The CPU usage is: 0.0 RAM memory % used:96.8 RAM Used (GB):16.488640512</t>
  </si>
  <si>
    <t>The CPU usage is: 0.0 RAM memory % used:96.7 RAM Used (GB):16.473239552</t>
  </si>
  <si>
    <t>The CPU usage is: 0.0 RAM memory % used:96.5 RAM Used (GB):16.448335872</t>
  </si>
  <si>
    <t>The CPU usage is: 0.0 RAM memory % used:96.5 RAM Used (GB):16.44945408</t>
  </si>
  <si>
    <t>The CPU usage is: 0.0 RAM memory % used:96.5 RAM Used (GB):16.44941312</t>
  </si>
  <si>
    <t>The CPU usage is: 100.0 RAM memory % used:96.5 RAM Used (GB):16.45207552</t>
  </si>
  <si>
    <t>The CPU usage is: 33.3 RAM memory % used:96.5 RAM Used (GB):16.453279744</t>
  </si>
  <si>
    <t>The CPU usage is: 33.3 RAM memory % used:96.5 RAM Used (GB):16.452947968</t>
  </si>
  <si>
    <t>The CPU usage is: 0.0 RAM memory % used:96.5 RAM Used (GB):16.453210112</t>
  </si>
  <si>
    <t>The CPU usage is: 0.0 RAM memory % used:96.5 RAM Used (GB):16.445210624</t>
  </si>
  <si>
    <t>The CPU usage is: 0.0 RAM memory % used:96.5 RAM Used (GB):16.444325888</t>
  </si>
  <si>
    <t>The CPU usage is: 66.7 RAM memory % used:96.6 RAM Used (GB):16.454598656</t>
  </si>
  <si>
    <t>The CPU usage is: 0.0 RAM memory % used:96.6 RAM Used (GB):16.459149312</t>
  </si>
  <si>
    <t>The CPU usage is: 0.0 RAM memory % used:96.6 RAM Used (GB):16.458780672</t>
  </si>
  <si>
    <t>The CPU usage is: 0.0 RAM memory % used:96.6 RAM Used (GB):16.459976704</t>
  </si>
  <si>
    <t>The CPU usage is: 0.0 RAM memory % used:96.6 RAM Used (GB):16.459300864</t>
  </si>
  <si>
    <t>The CPU usage is: 22.2 RAM memory % used:96.6 RAM Used (GB):16.458653696</t>
  </si>
  <si>
    <t>The CPU usage is: 0.0 RAM memory % used:96.6 RAM Used (GB):16.45815808</t>
  </si>
  <si>
    <t>The CPU usage is: 40.0 RAM memory % used:96.6 RAM Used (GB):16.46098432</t>
  </si>
  <si>
    <t>The CPU usage is: 0.0 RAM memory % used:96.6 RAM Used (GB):16.46692352</t>
  </si>
  <si>
    <t>The CPU usage is: 0.0 RAM memory % used:96.6 RAM Used (GB):16.467259392</t>
  </si>
  <si>
    <t>The CPU usage is: 0.0 RAM memory % used:96.6 RAM Used (GB):16.46712832</t>
  </si>
  <si>
    <t>The CPU usage is: 0.0 RAM memory % used:96.6 RAM Used (GB):16.4666368</t>
  </si>
  <si>
    <t>The CPU usage is: 0.0 RAM memory % used:96.6 RAM Used (GB):16.468553728</t>
  </si>
  <si>
    <t>The CPU usage is: 25.0 RAM memory % used:96.6 RAM Used (GB):16.468430848</t>
  </si>
  <si>
    <t>The CPU usage is: 0.0 RAM memory % used:96.6 RAM Used (GB):16.468185088</t>
  </si>
  <si>
    <t>The CPU usage is: 0.0 RAM memory % used:96.6 RAM Used (GB):16.46936064</t>
  </si>
  <si>
    <t>The CPU usage is: 0.0 RAM memory % used:96.8 RAM Used (GB):16.49061888</t>
  </si>
  <si>
    <t>The CPU usage is: 0.0 RAM memory % used:96.9 RAM Used (GB):16.507346944</t>
  </si>
  <si>
    <t>The CPU usage is: 100.0 RAM memory % used:96.9 RAM Used (GB):16.5059584</t>
  </si>
  <si>
    <t>The CPU usage is: 0.0 RAM memory % used:96.9 RAM Used (GB):16.505954304</t>
  </si>
  <si>
    <t>The CPU usage is: 0.0 RAM memory % used:96.9 RAM Used (GB):16.5088256</t>
  </si>
  <si>
    <t>The CPU usage is: 0.0 RAM memory % used:96.9 RAM Used (GB):16.5070848</t>
  </si>
  <si>
    <t>The CPU usage is: 0.0 RAM memory % used:96.9 RAM Used (GB):16.506228736</t>
  </si>
  <si>
    <t>The CPU usage is: 0.0 RAM memory % used:96.9 RAM Used (GB):16.507113472</t>
  </si>
  <si>
    <t>The CPU usage is: 0.0 RAM memory % used:96.9 RAM Used (GB):16.509341696</t>
  </si>
  <si>
    <t>The CPU usage is: 0.0 RAM memory % used:96.9 RAM Used (GB):16.508567552</t>
  </si>
  <si>
    <t>The CPU usage is: 0.0 RAM memory % used:96.9 RAM Used (GB):16.507600896</t>
  </si>
  <si>
    <t>The CPU usage is: 0.0 RAM memory % used:96.9 RAM Used (GB):16.51175424</t>
  </si>
  <si>
    <t>The CPU usage is: 0.0 RAM memory % used:96.9 RAM Used (GB):16.510795776</t>
  </si>
  <si>
    <t>The CPU usage is: 0.0 RAM memory % used:96.9 RAM Used (GB):16.509386752</t>
  </si>
  <si>
    <t>The CPU usage is: 20.0 RAM memory % used:96.9 RAM Used (GB):16.514220032</t>
  </si>
  <si>
    <t>The CPU usage is: 0.0 RAM memory % used:96.9 RAM Used (GB):16.511205376</t>
  </si>
  <si>
    <t>The CPU usage is: 0.0 RAM memory % used:96.9 RAM Used (GB):16.512929792</t>
  </si>
  <si>
    <t>The CPU usage is: 0.0 RAM memory % used:96.9 RAM Used (GB):16.512192512</t>
  </si>
  <si>
    <t>The CPU usage is: 0.0 RAM memory % used:96.9 RAM Used (GB):16.511471616</t>
  </si>
  <si>
    <t>The CPU usage is: 0.0 RAM memory % used:96.9 RAM Used (GB):16.510922752</t>
  </si>
  <si>
    <t>The CPU usage is: 0.0 RAM memory % used:96.9 RAM Used (GB):16.513654784</t>
  </si>
  <si>
    <t>The CPU usage is: 0.0 RAM memory % used:96.9 RAM Used (GB):16.511184896</t>
  </si>
  <si>
    <t>The CPU usage is: 0.0 RAM memory % used:96.9 RAM Used (GB):16.509759488</t>
  </si>
  <si>
    <t>The CPU usage is: 0.0 RAM memory % used:96.9 RAM Used (GB):16.512131072</t>
  </si>
  <si>
    <t>The CPU usage is: 0.0 RAM memory % used:96.9 RAM Used (GB):16.509714432</t>
  </si>
  <si>
    <t>The CPU usage is: 0.0 RAM memory % used:96.9 RAM Used (GB):16.509652992</t>
  </si>
  <si>
    <t>The CPU usage is: 0.0 RAM memory % used:96.9 RAM Used (GB):16.514285568</t>
  </si>
  <si>
    <t>The CPU usage is: 0.0 RAM memory % used:96.9 RAM Used (GB):16.512</t>
  </si>
  <si>
    <t>The CPU usage is: 0.0 RAM memory % used:96.9 RAM Used (GB):16.511328256</t>
  </si>
  <si>
    <t>The CPU usage is: 100.0 RAM memory % used:96.9 RAM Used (GB):16.510676992</t>
  </si>
  <si>
    <t>The CPU usage is: 0.0 RAM memory % used:96.9 RAM Used (GB):16.510431232</t>
  </si>
  <si>
    <t>The CPU usage is: 0.0 RAM memory % used:96.9 RAM Used (GB):16.512991232</t>
  </si>
  <si>
    <t>The CPU usage is: 0.0 RAM memory % used:96.9 RAM Used (GB):16.510509056</t>
  </si>
  <si>
    <t>The CPU usage is: 0.0 RAM memory % used:96.9 RAM Used (GB):16.519409664</t>
  </si>
  <si>
    <t>The CPU usage is: 10.0 RAM memory % used:97.1 RAM Used (GB):16.544022528</t>
  </si>
  <si>
    <t>The CPU usage is: 0.0 RAM memory % used:97.1 RAM Used (GB):16.543309824</t>
  </si>
  <si>
    <t>The CPU usage is: 50.0 RAM memory % used:97.1 RAM Used (GB):16.545390592</t>
  </si>
  <si>
    <t>The CPU usage is: 0.0 RAM memory % used:97.1 RAM Used (GB):16.544186368</t>
  </si>
  <si>
    <t>The CPU usage is: 33.3 RAM memory % used:97.1 RAM Used (GB):16.543801344</t>
  </si>
  <si>
    <t>The CPU usage is: 0.0 RAM memory % used:97.1 RAM Used (GB):16.551538688</t>
  </si>
  <si>
    <t>The CPU usage is: 0.0 RAM memory % used:97.1 RAM Used (GB):16.548089856</t>
  </si>
  <si>
    <t>The CPU usage is: 0.0 RAM memory % used:97.1 RAM Used (GB):16.548253696</t>
  </si>
  <si>
    <t>The CPU usage is: 25.0 RAM memory % used:97.2 RAM Used (GB):16.561737728</t>
  </si>
  <si>
    <t>The CPU usage is: 100.0 RAM memory % used:97.2 RAM Used (GB):16.56102912</t>
  </si>
  <si>
    <t>The CPU usage is: 0.0 RAM memory % used:97.2 RAM Used (GB):16.561983488</t>
  </si>
  <si>
    <t>The CPU usage is: 0.0 RAM memory % used:97.2 RAM Used (GB):16.567001088</t>
  </si>
  <si>
    <t>The CPU usage is: 0.0 RAM memory % used:97.3 RAM Used (GB):16.58394624</t>
  </si>
  <si>
    <t>The CPU usage is: 0.0 RAM memory % used:97.3 RAM Used (GB):16.579874816</t>
  </si>
  <si>
    <t>The CPU usage is: 0.0 RAM memory % used:97.2 RAM Used (GB):16.570609664</t>
  </si>
  <si>
    <t>The CPU usage is: 0.0 RAM memory % used:97.2 RAM Used (GB):16.56940544</t>
  </si>
  <si>
    <t>The CPU usage is: 0.0 RAM memory % used:97.2 RAM Used (GB):16.569229312</t>
  </si>
  <si>
    <t>The CPU usage is: 100.0 RAM memory % used:97.3 RAM Used (GB):16.572616704</t>
  </si>
  <si>
    <t>The CPU usage is: 0.0 RAM memory % used:97.2 RAM Used (GB):16.5723136</t>
  </si>
  <si>
    <t>The CPU usage is: 100.0 RAM memory % used:97.2 RAM Used (GB):16.571019264</t>
  </si>
  <si>
    <t>The CPU usage is: 0.0 RAM memory % used:97.2 RAM Used (GB):16.568717312</t>
  </si>
  <si>
    <t>The CPU usage is: 50.0 RAM memory % used:97.3 RAM Used (GB):16.572739584</t>
  </si>
  <si>
    <t>The CPU usage is: 50.0 RAM memory % used:97.3 RAM Used (GB):16.57698304</t>
  </si>
  <si>
    <t>The CPU usage is: 0.0 RAM memory % used:97.5 RAM Used (GB):16.607412224</t>
  </si>
  <si>
    <t>The CPU usage is: 0.0 RAM memory % used:97.6 RAM Used (GB):16.639705088</t>
  </si>
  <si>
    <t>The CPU usage is: 0.0 RAM memory % used:97.4 RAM Used (GB):16.605208576</t>
  </si>
  <si>
    <t>The CPU usage is: 0.0 RAM memory % used:97.8 RAM Used (GB):16.665124864</t>
  </si>
  <si>
    <t>The CPU usage is: 66.7 RAM memory % used:97.6 RAM Used (GB):16.629182464</t>
  </si>
  <si>
    <t>The CPU usage is: 0.0 RAM memory % used:97.6 RAM Used (GB):16.633020416</t>
  </si>
  <si>
    <t>The CPU usage is: 0.0 RAM memory % used:97.6 RAM Used (GB):16.631975936</t>
  </si>
  <si>
    <t>The CPU usage is: 0.0 RAM memory % used:97.6 RAM Used (GB):16.62851072</t>
  </si>
  <si>
    <t>The CPU usage is: 0.0 RAM memory % used:97.6 RAM Used (GB):16.625115136</t>
  </si>
  <si>
    <t>The CPU usage is: 12.5 RAM memory % used:97.6 RAM Used (GB):16.635437056</t>
  </si>
  <si>
    <t>The CPU usage is: 33.3 RAM memory % used:97.6 RAM Used (GB):16.633888768</t>
  </si>
  <si>
    <t>The CPU usage is: 0.0 RAM memory % used:97.6 RAM Used (GB):16.632045568</t>
  </si>
  <si>
    <t>The CPU usage is: 100.0 RAM memory % used:98.0 RAM Used (GB):16.704303104</t>
  </si>
  <si>
    <t>The CPU usage is: 33.3 RAM memory % used:98.1 RAM Used (GB):16.712466432</t>
  </si>
  <si>
    <t>The CPU usage is: 0.0 RAM memory % used:98.1 RAM Used (GB):16.715902976</t>
  </si>
  <si>
    <t>The CPU usage is: 50.0 RAM memory % used:98.2 RAM Used (GB):16.727453696</t>
  </si>
  <si>
    <t>The CPU usage is: 0.0 RAM memory % used:98.7 RAM Used (GB):16.814358528</t>
  </si>
  <si>
    <t>The CPU usage is: 0.0 RAM memory % used:98.2 RAM Used (GB):16.730812416</t>
  </si>
  <si>
    <t>The CPU usage is: 0.0 RAM memory % used:98.0 RAM Used (GB):16.70735872</t>
  </si>
  <si>
    <t>The CPU usage is: 0.0 RAM memory % used:98.1 RAM Used (GB):16.712781824</t>
  </si>
  <si>
    <t>The CPU usage is: 0.0 RAM memory % used:98.1 RAM Used (GB):16.71458816</t>
  </si>
  <si>
    <t>The CPU usage is: 0.0 RAM memory % used:98.1 RAM Used (GB):16.712589312</t>
  </si>
  <si>
    <t>The CPU usage is: 0.0 RAM memory % used:98.0 RAM Used (GB):16.705314816</t>
  </si>
  <si>
    <t>The CPU usage is: 0.0 RAM memory % used:98.1 RAM Used (GB):16.709144576</t>
  </si>
  <si>
    <t>The CPU usage is: 10.0 RAM memory % used:98.0 RAM Used (GB):16.700366848</t>
  </si>
  <si>
    <t>The CPU usage is: 0.0 RAM memory % used:98.0 RAM Used (GB):16.692232192</t>
  </si>
  <si>
    <t>The CPU usage is: 20.0 RAM memory % used:98.0 RAM Used (GB):16.696373248</t>
  </si>
  <si>
    <t>The CPU usage is: 0.0 RAM memory % used:98.0 RAM Used (GB):16.69388288</t>
  </si>
  <si>
    <t>The CPU usage is: 0.0 RAM memory % used:97.9 RAM Used (GB):16.690634752</t>
  </si>
  <si>
    <t>The CPU usage is: 0.0 RAM memory % used:98.0 RAM Used (GB):16.699142144</t>
  </si>
  <si>
    <t>The CPU usage is: 0.0 RAM memory % used:98.0 RAM Used (GB):16.694882304</t>
  </si>
  <si>
    <t>The CPU usage is: 0.0 RAM memory % used:98.0 RAM Used (GB):16.692215808</t>
  </si>
  <si>
    <t>The CPU usage is: 0.0 RAM memory % used:97.9 RAM Used (GB):16.678600704</t>
  </si>
  <si>
    <t>The CPU usage is: 25.0 RAM memory % used:97.9 RAM Used (GB):16.685174784</t>
  </si>
  <si>
    <t>The CPU usage is: 0.0 RAM memory % used:97.9 RAM Used (GB):16.683184128</t>
  </si>
  <si>
    <t>The CPU usage is: 50.0 RAM memory % used:97.9 RAM Used (GB):16.6782976</t>
  </si>
  <si>
    <t>The CPU usage is: 0.0 RAM memory % used:97.9 RAM Used (GB):16.6796288</t>
  </si>
  <si>
    <t>The CPU usage is: 22.2 RAM memory % used:97.9 RAM Used (GB):16.680087552</t>
  </si>
  <si>
    <t>The CPU usage is: 0.0 RAM memory % used:97.9 RAM Used (GB):16.679067648</t>
  </si>
  <si>
    <t>The CPU usage is: 0.0 RAM memory % used:97.9 RAM Used (GB):16.678006784</t>
  </si>
  <si>
    <t>The CPU usage is: 0.0 RAM memory % used:97.9 RAM Used (GB):16.678141952</t>
  </si>
  <si>
    <t>The CPU usage is: 0.0 RAM memory % used:97.9 RAM Used (GB):16.677306368</t>
  </si>
  <si>
    <t>The CPU usage is: 0.0 RAM memory % used:97.8 RAM Used (GB):16.669581312</t>
  </si>
  <si>
    <t>The CPU usage is: 0.0 RAM memory % used:97.8 RAM Used (GB):16.669392896</t>
  </si>
  <si>
    <t>The CPU usage is: 0.0 RAM memory % used:97.8 RAM Used (GB):16.668987392</t>
  </si>
  <si>
    <t>The CPU usage is: 0.0 RAM memory % used:97.8 RAM Used (GB):16.670425088</t>
  </si>
  <si>
    <t>The CPU usage is: 0.0 RAM memory % used:97.8 RAM Used (GB):16.670089216</t>
  </si>
  <si>
    <t>The CPU usage is: 0.0 RAM memory % used:97.8 RAM Used (GB):16.67012608</t>
  </si>
  <si>
    <t>The CPU usage is: 0.0 RAM memory % used:97.8 RAM Used (GB):16.669945856</t>
  </si>
  <si>
    <t>The CPU usage is: 0.0 RAM memory % used:97.8 RAM Used (GB):16.669462528</t>
  </si>
  <si>
    <t>The CPU usage is: 0.0 RAM memory % used:97.8 RAM Used (GB):16.667373568</t>
  </si>
  <si>
    <t>The CPU usage is: 0.0 RAM memory % used:97.8 RAM Used (GB):16.669917184</t>
  </si>
  <si>
    <t>The CPU usage is: 0.0 RAM memory % used:97.8 RAM Used (GB):16.668274688</t>
  </si>
  <si>
    <t>The CPU usage is: 0.0 RAM memory % used:97.8 RAM Used (GB):16.66500608</t>
  </si>
  <si>
    <t>The CPU usage is: 0.0 RAM memory % used:97.8 RAM Used (GB):16.666284032</t>
  </si>
  <si>
    <t>The CPU usage is: 0.0 RAM memory % used:97.8 RAM Used (GB):16.665362432</t>
  </si>
  <si>
    <t>The CPU usage is: 0.0 RAM memory % used:97.8 RAM Used (GB):16.664608768</t>
  </si>
  <si>
    <t>The CPU usage is: 0.0 RAM memory % used:97.8 RAM Used (GB):16.665980928</t>
  </si>
  <si>
    <t>The CPU usage is: 0.0 RAM memory % used:97.8 RAM Used (GB):16.670613504</t>
  </si>
  <si>
    <t>The CPU usage is: 50.0 RAM memory % used:97.8 RAM Used (GB):16.670429184</t>
  </si>
  <si>
    <t>The CPU usage is: 0.0 RAM memory % used:97.9 RAM Used (GB):16.676581376</t>
  </si>
  <si>
    <t>The CPU usage is: 40.0 RAM memory % used:97.9 RAM Used (GB):16.676143104</t>
  </si>
  <si>
    <t>The CPU usage is: 0.0 RAM memory % used:97.8 RAM Used (GB):16.673447936</t>
  </si>
  <si>
    <t>The CPU usage is: 0.0 RAM memory % used:97.9 RAM Used (GB):16.681504768</t>
  </si>
  <si>
    <t>The CPU usage is: 0.0 RAM memory % used:96.6 RAM Used (GB):16.455774208</t>
  </si>
  <si>
    <t>The CPU usage is: 0.0 RAM memory % used:96.6 RAM Used (GB):16.465846272</t>
  </si>
  <si>
    <t>The CPU usage is: 0.0 RAM memory % used:96.7 RAM Used (GB):16.470700032</t>
  </si>
  <si>
    <t>The CPU usage is: 0.0 RAM memory % used:96.7 RAM Used (GB):16.47665152</t>
  </si>
  <si>
    <t>The CPU usage is: 0.0 RAM memory % used:96.7 RAM Used (GB):16.476520448</t>
  </si>
  <si>
    <t>The CPU usage is: 0.0 RAM memory % used:96.7 RAM Used (GB):16.476450816</t>
  </si>
  <si>
    <t>The CPU usage is: 0.0 RAM memory % used:96.7 RAM Used (GB):16.478994432</t>
  </si>
  <si>
    <t>The CPU usage is: 0.0 RAM memory % used:96.7 RAM Used (GB):16.47747072</t>
  </si>
  <si>
    <t>The CPU usage is: 0.0 RAM memory % used:96.7 RAM Used (GB):16.477356032</t>
  </si>
  <si>
    <t>The CPU usage is: 0.0 RAM memory % used:96.6 RAM Used (GB):16.462462976</t>
  </si>
  <si>
    <t>The CPU usage is: 100.0 RAM memory % used:96.6 RAM Used (GB):16.459374592</t>
  </si>
  <si>
    <t>The CPU usage is: 0.0 RAM memory % used:96.6 RAM Used (GB):16.453361664</t>
  </si>
  <si>
    <t>The CPU usage is: 0.0 RAM memory % used:96.6 RAM Used (GB):16.458190848</t>
  </si>
  <si>
    <t>The CPU usage is: 0.0 RAM memory % used:96.6 RAM Used (GB):16.45625344</t>
  </si>
  <si>
    <t>The CPU usage is: 0.0 RAM memory % used:96.6 RAM Used (GB):16.454344704</t>
  </si>
  <si>
    <t>The CPU usage is: 0.0 RAM memory % used:96.6 RAM Used (GB):16.461594624</t>
  </si>
  <si>
    <t>The CPU usage is: 0.0 RAM memory % used:96.6 RAM Used (GB):16.457728</t>
  </si>
  <si>
    <t>The CPU usage is: 0.0 RAM memory % used:96.6 RAM Used (GB):16.453451776</t>
  </si>
  <si>
    <t>The CPU usage is: 0.0 RAM memory % used:96.6 RAM Used (GB):16.460017664</t>
  </si>
  <si>
    <t>The CPU usage is: 0.0 RAM memory % used:96.6 RAM Used (GB):16.455499776</t>
  </si>
  <si>
    <t>The CPU usage is: 0.0 RAM memory % used:96.6 RAM Used (GB):16.45453312</t>
  </si>
  <si>
    <t>The CPU usage is: 0.0 RAM memory % used:96.6 RAM Used (GB):16.456097792</t>
  </si>
  <si>
    <t>The CPU usage is: 0.0 RAM memory % used:96.6 RAM Used (GB):16.459001856</t>
  </si>
  <si>
    <t>The CPU usage is: 0.0 RAM memory % used:96.6 RAM Used (GB):16.456892416</t>
  </si>
  <si>
    <t>The CPU usage is: 0.0 RAM memory % used:96.6 RAM Used (GB):16.46241792</t>
  </si>
  <si>
    <t>The CPU usage is: 50.0 RAM memory % used:96.6 RAM Used (GB):16.457609216</t>
  </si>
  <si>
    <t>The CPU usage is: 0.0 RAM memory % used:96.6 RAM Used (GB):16.455942144</t>
  </si>
  <si>
    <t>The CPU usage is: 0.0 RAM memory % used:96.6 RAM Used (GB):16.45568</t>
  </si>
  <si>
    <t>The CPU usage is: 0.0 RAM memory % used:96.6 RAM Used (GB):16.461381632</t>
  </si>
  <si>
    <t>The CPU usage is: 0.0 RAM memory % used:96.6 RAM Used (GB):16.458715136</t>
  </si>
  <si>
    <t>The CPU usage is: 0.0 RAM memory % used:97.0 RAM Used (GB):16.532738048</t>
  </si>
  <si>
    <t>The CPU usage is: 0.0 RAM memory % used:97.0 RAM Used (GB):16.530292736</t>
  </si>
  <si>
    <t>The CPU usage is: 50.0 RAM memory % used:97.0 RAM Used (GB):16.534048768</t>
  </si>
  <si>
    <t>The CPU usage is: 0.0 RAM memory % used:97.1 RAM Used (GB):16.539062272</t>
  </si>
  <si>
    <t>The CPU usage is: 0.0 RAM memory % used:97.0 RAM Used (GB):16.538095616</t>
  </si>
  <si>
    <t>The CPU usage is: 0.0 RAM memory % used:97.1 RAM Used (GB):16.547905536</t>
  </si>
  <si>
    <t>The CPU usage is: 0.0 RAM memory % used:97.0 RAM Used (GB):16.531841024</t>
  </si>
  <si>
    <t>The CPU usage is: 0.0 RAM memory % used:97.0 RAM Used (GB):16.536612864</t>
  </si>
  <si>
    <t>The CPU usage is: 0.0 RAM memory % used:97.0 RAM Used (GB):16.53538816</t>
  </si>
  <si>
    <t>The CPU usage is: 0.0 RAM memory % used:97.0 RAM Used (GB):16.529645568</t>
  </si>
  <si>
    <t>The CPU usage is: 25.0 RAM memory % used:97.0 RAM Used (GB):16.536461312</t>
  </si>
  <si>
    <t>The CPU usage is: 0.0 RAM memory % used:97.1 RAM Used (GB):16.54472704</t>
  </si>
  <si>
    <t>The CPU usage is: 0.0 RAM memory % used:97.2 RAM Used (GB):16.560812032</t>
  </si>
  <si>
    <t>The CPU usage is: 0.0 RAM memory % used:97.2 RAM Used (GB):16.559476736</t>
  </si>
  <si>
    <t>The CPU usage is: 50.0 RAM memory % used:97.2 RAM Used (GB):16.568856576</t>
  </si>
  <si>
    <t>The CPU usage is: 0.0 RAM memory % used:97.2 RAM Used (GB):16.564842496</t>
  </si>
  <si>
    <t>The CPU usage is: 0.0 RAM memory % used:97.2 RAM Used (GB):16.563462144</t>
  </si>
  <si>
    <t>The CPU usage is: 0.0 RAM memory % used:97.2 RAM Used (GB):16.570908672</t>
  </si>
  <si>
    <t>The CPU usage is: 0.0 RAM memory % used:97.2 RAM Used (GB):16.567701504</t>
  </si>
  <si>
    <t>The CPU usage is: 0.0 RAM memory % used:92.8 RAM Used (GB):15.81252608</t>
  </si>
  <si>
    <t>The CPU usage is: 0.0 RAM memory % used:87.4 RAM Used (GB):14.892433408</t>
  </si>
  <si>
    <t>The CPU usage is: 0.0 RAM memory % used:77.4 RAM Used (GB):13.195505664</t>
  </si>
  <si>
    <t>The CPU usage is: 0.0 RAM memory % used:68.1 RAM Used (GB):11.61259008</t>
  </si>
  <si>
    <t>The CPU usage is: 0.0 RAM memory % used:67.4 RAM Used (GB):11.478175744</t>
  </si>
  <si>
    <t>The CPU usage is: 0.0 RAM memory % used:67.4 RAM Used (GB):11.48203008</t>
  </si>
  <si>
    <t>The CPU usage is: 0.0 RAM memory % used:67.4 RAM Used (GB):11.48352512</t>
  </si>
  <si>
    <t>The CPU usage is: 0.0 RAM memory % used:67.4 RAM Used (GB):11.48444672</t>
  </si>
  <si>
    <t>The CPU usage is: 0.0 RAM memory % used:67.4 RAM Used (GB):11.48717056</t>
  </si>
  <si>
    <t>The CPU usage is: 0.0 RAM memory % used:67.4 RAM Used (GB):11.487731712</t>
  </si>
  <si>
    <t>The CPU usage is: 0.0 RAM memory % used:67.4 RAM Used (GB):11.48821504</t>
  </si>
  <si>
    <t>The CPU usage is: 0.0 RAM memory % used:67.4 RAM Used (GB):11.489214464</t>
  </si>
  <si>
    <t>The CPU usage is: 0.0 RAM memory % used:67.4 RAM Used (GB):11.490050048</t>
  </si>
  <si>
    <t>DESV.PAD</t>
  </si>
  <si>
    <t>TEMPO TOTAL</t>
  </si>
  <si>
    <t>TEMPO INÍCIO</t>
  </si>
  <si>
    <t>PySpark</t>
  </si>
  <si>
    <t>PyFlink</t>
  </si>
  <si>
    <t>Três Colunas</t>
  </si>
  <si>
    <t>Vinte Colunas</t>
  </si>
  <si>
    <t>TheBloke/Llama-2-7B-Chat-GGUF</t>
  </si>
  <si>
    <t>TheBloke/Llama-2-13B-chat-GGUF</t>
  </si>
  <si>
    <t>TheBloke/zephyr-7B-beta-GGUF</t>
  </si>
  <si>
    <t>DESV. PAD</t>
  </si>
  <si>
    <t>RAM</t>
  </si>
  <si>
    <t>16 palavras incorretas de 454</t>
  </si>
  <si>
    <t>16 palavras incorretas de 468</t>
  </si>
  <si>
    <t>8 palavras incorretas de 402</t>
  </si>
  <si>
    <t>4 palavras incorretas de 472</t>
  </si>
  <si>
    <t>8 palavras incorretas de 455</t>
  </si>
  <si>
    <t>8 palavras incorretas de 369</t>
  </si>
  <si>
    <t>ok</t>
  </si>
  <si>
    <t>Proporção de Palavras Incorretas</t>
  </si>
  <si>
    <t>Proporção de Frases Incoerentes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</si>
</sst>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0.0"/>
    <numFmt numFmtId="166" formatCode="#,##0.000"/>
  </numFmts>
  <fonts count="8">
    <font>
      <sz val="10.0"/>
      <color rgb="FF000000"/>
      <name val="Arial"/>
      <scheme val="minor"/>
    </font>
    <font>
      <sz val="11.0"/>
      <color rgb="FF000000"/>
      <name val="Calibri"/>
    </font>
    <font/>
    <font>
      <sz val="12.0"/>
      <color rgb="FF000000"/>
      <name val="Arial"/>
    </font>
    <font>
      <color theme="1"/>
      <name val="Arial"/>
      <scheme val="minor"/>
    </font>
    <font>
      <color theme="1"/>
      <name val="Arial"/>
    </font>
    <font>
      <color rgb="FF333333"/>
      <name val="Verdana"/>
    </font>
    <font>
      <sz val="9.0"/>
      <color rgb="FF000000"/>
      <name val="&quot;Google Sans Mono&quot;"/>
    </font>
  </fonts>
  <fills count="10">
    <fill>
      <patternFill patternType="none"/>
    </fill>
    <fill>
      <patternFill patternType="lightGray"/>
    </fill>
    <fill>
      <patternFill patternType="solid">
        <fgColor rgb="FFFAFAFA"/>
        <bgColor rgb="FFFAFAFA"/>
      </patternFill>
    </fill>
    <fill>
      <patternFill patternType="solid">
        <fgColor rgb="FFFFFFFF"/>
        <bgColor rgb="FFFFFFFF"/>
      </patternFill>
    </fill>
    <fill>
      <patternFill patternType="solid">
        <fgColor rgb="FFFFFF00"/>
        <bgColor rgb="FFFFFF00"/>
      </patternFill>
    </fill>
    <fill>
      <patternFill patternType="solid">
        <fgColor rgb="FFC9DAF8"/>
        <bgColor rgb="FFC9DAF8"/>
      </patternFill>
    </fill>
    <fill>
      <patternFill patternType="solid">
        <fgColor theme="9"/>
        <bgColor theme="9"/>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s>
  <borders count="8">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000000"/>
      </right>
      <top style="thin">
        <color rgb="FF000000"/>
      </top>
    </border>
    <border>
      <bottom style="thin">
        <color rgb="FF000000"/>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1" fillId="0" fontId="1" numFmtId="0" xfId="0" applyAlignment="1" applyBorder="1" applyFont="1">
      <alignment horizontal="center" readingOrder="0" shrinkToFit="0" wrapText="1"/>
    </xf>
    <xf borderId="2" fillId="0" fontId="1" numFmtId="0" xfId="0" applyAlignment="1" applyBorder="1" applyFont="1">
      <alignment horizontal="center" readingOrder="0" shrinkToFit="0" wrapText="1"/>
    </xf>
    <xf borderId="3" fillId="0" fontId="2" numFmtId="0" xfId="0" applyBorder="1" applyFont="1"/>
    <xf borderId="0" fillId="0" fontId="3" numFmtId="0" xfId="0" applyAlignment="1" applyFont="1">
      <alignment readingOrder="0"/>
    </xf>
    <xf borderId="0" fillId="0" fontId="4" numFmtId="0" xfId="0" applyAlignment="1" applyFont="1">
      <alignment readingOrder="0"/>
    </xf>
    <xf borderId="0" fillId="0" fontId="4" numFmtId="0" xfId="0" applyFont="1"/>
    <xf borderId="0" fillId="0" fontId="4" numFmtId="4" xfId="0" applyAlignment="1" applyFont="1" applyNumberFormat="1">
      <alignment readingOrder="0"/>
    </xf>
    <xf borderId="0" fillId="0" fontId="5" numFmtId="0" xfId="0" applyAlignment="1" applyFont="1">
      <alignment vertical="bottom"/>
    </xf>
    <xf borderId="0" fillId="0" fontId="5" numFmtId="4" xfId="0" applyAlignment="1" applyFont="1" applyNumberFormat="1">
      <alignment vertical="bottom"/>
    </xf>
    <xf borderId="0" fillId="0" fontId="4" numFmtId="4" xfId="0" applyFont="1" applyNumberFormat="1"/>
    <xf borderId="0" fillId="2" fontId="6" numFmtId="0" xfId="0" applyAlignment="1" applyFill="1" applyFont="1">
      <alignment horizontal="left"/>
    </xf>
    <xf borderId="0" fillId="0" fontId="3" numFmtId="0" xfId="0" applyFont="1"/>
    <xf quotePrefix="1" borderId="0" fillId="0" fontId="3" numFmtId="0" xfId="0" applyAlignment="1" applyFont="1">
      <alignment readingOrder="0"/>
    </xf>
    <xf borderId="0" fillId="0" fontId="5" numFmtId="0" xfId="0" applyAlignment="1" applyFont="1">
      <alignment vertical="bottom"/>
    </xf>
    <xf borderId="0" fillId="3" fontId="7" numFmtId="0" xfId="0" applyAlignment="1" applyFill="1" applyFont="1">
      <alignment readingOrder="0"/>
    </xf>
    <xf borderId="2" fillId="4" fontId="4" numFmtId="0" xfId="0" applyAlignment="1" applyBorder="1" applyFill="1" applyFont="1">
      <alignment readingOrder="0"/>
    </xf>
    <xf borderId="1" fillId="4" fontId="4" numFmtId="0" xfId="0" applyAlignment="1" applyBorder="1" applyFont="1">
      <alignment readingOrder="0" shrinkToFit="0" wrapText="1"/>
    </xf>
    <xf borderId="2" fillId="4" fontId="4" numFmtId="0" xfId="0" applyBorder="1" applyFont="1"/>
    <xf borderId="2" fillId="5" fontId="4" numFmtId="0" xfId="0" applyAlignment="1" applyBorder="1" applyFill="1" applyFont="1">
      <alignment readingOrder="0"/>
    </xf>
    <xf borderId="2" fillId="0" fontId="4" numFmtId="164" xfId="0" applyBorder="1" applyFont="1" applyNumberFormat="1"/>
    <xf borderId="0" fillId="4" fontId="5" numFmtId="0" xfId="0" applyAlignment="1" applyFont="1">
      <alignment vertical="bottom"/>
    </xf>
    <xf borderId="4" fillId="6" fontId="4" numFmtId="0" xfId="0" applyAlignment="1" applyBorder="1" applyFill="1" applyFont="1">
      <alignment horizontal="center" readingOrder="0"/>
    </xf>
    <xf borderId="5" fillId="0" fontId="2" numFmtId="0" xfId="0" applyBorder="1" applyFont="1"/>
    <xf borderId="0" fillId="0" fontId="4" numFmtId="165" xfId="0" applyFont="1" applyNumberFormat="1"/>
    <xf borderId="2" fillId="7" fontId="4" numFmtId="0" xfId="0" applyAlignment="1" applyBorder="1" applyFill="1" applyFont="1">
      <alignment readingOrder="0"/>
    </xf>
    <xf borderId="0" fillId="6" fontId="4" numFmtId="0" xfId="0" applyAlignment="1" applyFont="1">
      <alignment horizontal="center" readingOrder="0"/>
    </xf>
    <xf borderId="2" fillId="0" fontId="4" numFmtId="166" xfId="0" applyBorder="1" applyFont="1" applyNumberFormat="1"/>
    <xf borderId="2" fillId="0" fontId="4" numFmtId="166" xfId="0" applyAlignment="1" applyBorder="1" applyFont="1" applyNumberFormat="1">
      <alignment readingOrder="0"/>
    </xf>
    <xf borderId="0" fillId="0" fontId="4" numFmtId="0" xfId="0" applyAlignment="1" applyFont="1">
      <alignment horizontal="center" readingOrder="0"/>
    </xf>
    <xf borderId="1" fillId="8" fontId="4" numFmtId="0" xfId="0" applyAlignment="1" applyBorder="1" applyFill="1" applyFont="1">
      <alignment horizontal="center" readingOrder="0"/>
    </xf>
    <xf borderId="6" fillId="8" fontId="4" numFmtId="0" xfId="0" applyAlignment="1" applyBorder="1" applyFont="1">
      <alignment horizontal="center" readingOrder="0"/>
    </xf>
    <xf borderId="2" fillId="9" fontId="4" numFmtId="0" xfId="0" applyAlignment="1" applyBorder="1" applyFill="1" applyFont="1">
      <alignment horizontal="left" readingOrder="0"/>
    </xf>
    <xf borderId="2" fillId="0" fontId="4" numFmtId="164" xfId="0" applyAlignment="1" applyBorder="1" applyFont="1" applyNumberFormat="1">
      <alignment horizontal="center"/>
    </xf>
    <xf borderId="2" fillId="0" fontId="4" numFmtId="0" xfId="0" applyAlignment="1" applyBorder="1" applyFont="1">
      <alignment horizontal="center" readingOrder="0"/>
    </xf>
    <xf borderId="2" fillId="0" fontId="4" numFmtId="164" xfId="0" applyAlignment="1" applyBorder="1" applyFont="1" applyNumberFormat="1">
      <alignment horizontal="center" readingOrder="0"/>
    </xf>
    <xf borderId="2" fillId="9" fontId="4" numFmtId="0" xfId="0" applyAlignment="1" applyBorder="1" applyFont="1">
      <alignment readingOrder="0"/>
    </xf>
    <xf borderId="0" fillId="0" fontId="5" numFmtId="0" xfId="0" applyAlignment="1" applyFont="1">
      <alignment readingOrder="0" vertical="bottom"/>
    </xf>
    <xf borderId="7" fillId="0" fontId="5" numFmtId="0" xfId="0" applyAlignment="1" applyBorder="1" applyFont="1">
      <alignment vertical="bottom"/>
    </xf>
    <xf borderId="2" fillId="8" fontId="4" numFmtId="0" xfId="0" applyAlignment="1" applyBorder="1" applyFont="1">
      <alignment horizontal="center" readingOrder="0"/>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2" t="s">
        <v>3</v>
      </c>
      <c r="E1" s="2" t="s">
        <v>4</v>
      </c>
    </row>
    <row r="2">
      <c r="A2" s="3"/>
      <c r="B2" s="2">
        <v>500.0</v>
      </c>
      <c r="C2" s="2">
        <v>152.0</v>
      </c>
      <c r="D2" s="2">
        <v>184.0</v>
      </c>
      <c r="E2" s="2">
        <v>164.0</v>
      </c>
    </row>
  </sheetData>
  <mergeCells count="1">
    <mergeCell ref="A1:A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13"/>
    <col customWidth="1" min="2" max="2" width="21.38"/>
    <col customWidth="1" min="3" max="3" width="8.75"/>
  </cols>
  <sheetData>
    <row r="1">
      <c r="A1" s="4" t="s">
        <v>5</v>
      </c>
      <c r="B1" s="5" t="s">
        <v>6</v>
      </c>
      <c r="C1" s="5" t="s">
        <v>7</v>
      </c>
      <c r="D1" s="5" t="s">
        <v>8</v>
      </c>
      <c r="E1" s="5" t="s">
        <v>9</v>
      </c>
    </row>
    <row r="2">
      <c r="A2" s="4" t="s">
        <v>10</v>
      </c>
      <c r="B2" s="6" t="str">
        <f t="shared" ref="B2:B21" si="1">LEFT(A2,LEN(A2)-5)</f>
        <v>Ar Condicionado</v>
      </c>
      <c r="C2" s="6" t="str">
        <f t="shared" ref="C2:C21" si="2">RIGHT(A2,LEN(A2)-LEN(B2)-2)</f>
        <v> 19</v>
      </c>
      <c r="D2" s="6">
        <f t="shared" ref="D2:D21" si="3">VALUE(C2)</f>
        <v>19</v>
      </c>
      <c r="E2" s="6">
        <f>SUM(D2:D1021)</f>
        <v>500</v>
      </c>
    </row>
    <row r="3">
      <c r="A3" s="4" t="s">
        <v>11</v>
      </c>
      <c r="B3" s="6" t="str">
        <f t="shared" si="1"/>
        <v>Aspirador</v>
      </c>
      <c r="C3" s="6" t="str">
        <f t="shared" si="2"/>
        <v> 27</v>
      </c>
      <c r="D3" s="6">
        <f t="shared" si="3"/>
        <v>27</v>
      </c>
    </row>
    <row r="4">
      <c r="A4" s="4" t="s">
        <v>12</v>
      </c>
      <c r="B4" s="6" t="str">
        <f t="shared" si="1"/>
        <v>Carregador de Celular</v>
      </c>
      <c r="C4" s="6" t="str">
        <f t="shared" si="2"/>
        <v> 19</v>
      </c>
      <c r="D4" s="6">
        <f t="shared" si="3"/>
        <v>19</v>
      </c>
    </row>
    <row r="5">
      <c r="A5" s="4" t="s">
        <v>13</v>
      </c>
      <c r="B5" s="6" t="str">
        <f t="shared" si="1"/>
        <v>Carregador de Computador</v>
      </c>
      <c r="C5" s="6" t="str">
        <f t="shared" si="2"/>
        <v> 27</v>
      </c>
      <c r="D5" s="6">
        <f t="shared" si="3"/>
        <v>27</v>
      </c>
    </row>
    <row r="6">
      <c r="A6" s="4" t="s">
        <v>14</v>
      </c>
      <c r="B6" s="6" t="str">
        <f t="shared" si="1"/>
        <v>Celular</v>
      </c>
      <c r="C6" s="6" t="str">
        <f t="shared" si="2"/>
        <v> 21</v>
      </c>
      <c r="D6" s="6">
        <f t="shared" si="3"/>
        <v>21</v>
      </c>
    </row>
    <row r="7">
      <c r="A7" s="4" t="s">
        <v>15</v>
      </c>
      <c r="B7" s="6" t="str">
        <f t="shared" si="1"/>
        <v>Chuveiro Elétrico</v>
      </c>
      <c r="C7" s="6" t="str">
        <f t="shared" si="2"/>
        <v> 30</v>
      </c>
      <c r="D7" s="6">
        <f t="shared" si="3"/>
        <v>30</v>
      </c>
    </row>
    <row r="8">
      <c r="A8" s="4" t="s">
        <v>16</v>
      </c>
      <c r="B8" s="6" t="str">
        <f t="shared" si="1"/>
        <v>Computador</v>
      </c>
      <c r="C8" s="6" t="str">
        <f t="shared" si="2"/>
        <v> 23</v>
      </c>
      <c r="D8" s="6">
        <f t="shared" si="3"/>
        <v>23</v>
      </c>
    </row>
    <row r="9">
      <c r="A9" s="4" t="s">
        <v>17</v>
      </c>
      <c r="B9" s="6" t="str">
        <f t="shared" si="1"/>
        <v>Filtro de Linha</v>
      </c>
      <c r="C9" s="6" t="str">
        <f t="shared" si="2"/>
        <v> 20</v>
      </c>
      <c r="D9" s="6">
        <f t="shared" si="3"/>
        <v>20</v>
      </c>
    </row>
    <row r="10">
      <c r="A10" s="4" t="s">
        <v>18</v>
      </c>
      <c r="B10" s="6" t="str">
        <f t="shared" si="1"/>
        <v>Fogão</v>
      </c>
      <c r="C10" s="6" t="str">
        <f t="shared" si="2"/>
        <v> 24</v>
      </c>
      <c r="D10" s="6">
        <f t="shared" si="3"/>
        <v>24</v>
      </c>
    </row>
    <row r="11">
      <c r="A11" s="4" t="s">
        <v>19</v>
      </c>
      <c r="B11" s="6" t="str">
        <f t="shared" si="1"/>
        <v>Fone de Ouvido</v>
      </c>
      <c r="C11" s="6" t="str">
        <f t="shared" si="2"/>
        <v> 21</v>
      </c>
      <c r="D11" s="6">
        <f t="shared" si="3"/>
        <v>21</v>
      </c>
    </row>
    <row r="12">
      <c r="A12" s="4" t="s">
        <v>20</v>
      </c>
      <c r="B12" s="6" t="str">
        <f t="shared" si="1"/>
        <v>Freezer</v>
      </c>
      <c r="C12" s="6" t="str">
        <f t="shared" si="2"/>
        <v> 26</v>
      </c>
      <c r="D12" s="6">
        <f t="shared" si="3"/>
        <v>26</v>
      </c>
    </row>
    <row r="13">
      <c r="A13" s="4" t="s">
        <v>21</v>
      </c>
      <c r="B13" s="6" t="str">
        <f t="shared" si="1"/>
        <v>Liquidificador</v>
      </c>
      <c r="C13" s="6" t="str">
        <f t="shared" si="2"/>
        <v> 21</v>
      </c>
      <c r="D13" s="6">
        <f t="shared" si="3"/>
        <v>21</v>
      </c>
    </row>
    <row r="14">
      <c r="A14" s="4" t="s">
        <v>22</v>
      </c>
      <c r="B14" s="6" t="str">
        <f t="shared" si="1"/>
        <v>Lustre</v>
      </c>
      <c r="C14" s="6" t="str">
        <f t="shared" si="2"/>
        <v> 26</v>
      </c>
      <c r="D14" s="6">
        <f t="shared" si="3"/>
        <v>26</v>
      </c>
    </row>
    <row r="15">
      <c r="A15" s="4" t="s">
        <v>23</v>
      </c>
      <c r="B15" s="6" t="str">
        <f t="shared" si="1"/>
        <v>Microondas</v>
      </c>
      <c r="C15" s="6" t="str">
        <f t="shared" si="2"/>
        <v> 31</v>
      </c>
      <c r="D15" s="6">
        <f t="shared" si="3"/>
        <v>31</v>
      </c>
    </row>
    <row r="16">
      <c r="A16" s="4" t="s">
        <v>24</v>
      </c>
      <c r="B16" s="6" t="str">
        <f t="shared" si="1"/>
        <v>Mouse de Computador</v>
      </c>
      <c r="C16" s="6" t="str">
        <f t="shared" si="2"/>
        <v> 20</v>
      </c>
      <c r="D16" s="6">
        <f t="shared" si="3"/>
        <v>20</v>
      </c>
    </row>
    <row r="17">
      <c r="A17" s="4" t="s">
        <v>25</v>
      </c>
      <c r="B17" s="6" t="str">
        <f t="shared" si="1"/>
        <v>Purificador de Água</v>
      </c>
      <c r="C17" s="6" t="str">
        <f t="shared" si="2"/>
        <v> 28</v>
      </c>
      <c r="D17" s="6">
        <f t="shared" si="3"/>
        <v>28</v>
      </c>
    </row>
    <row r="18">
      <c r="A18" s="4" t="s">
        <v>26</v>
      </c>
      <c r="B18" s="6" t="str">
        <f t="shared" si="1"/>
        <v>Relógio</v>
      </c>
      <c r="C18" s="6" t="str">
        <f t="shared" si="2"/>
        <v> 34</v>
      </c>
      <c r="D18" s="6">
        <f t="shared" si="3"/>
        <v>34</v>
      </c>
    </row>
    <row r="19">
      <c r="A19" s="4" t="s">
        <v>27</v>
      </c>
      <c r="B19" s="6" t="str">
        <f t="shared" si="1"/>
        <v>Roteador</v>
      </c>
      <c r="C19" s="6" t="str">
        <f t="shared" si="2"/>
        <v> 26</v>
      </c>
      <c r="D19" s="6">
        <f t="shared" si="3"/>
        <v>26</v>
      </c>
    </row>
    <row r="20">
      <c r="A20" s="4" t="s">
        <v>28</v>
      </c>
      <c r="B20" s="6" t="str">
        <f t="shared" si="1"/>
        <v>Teclado de Computador</v>
      </c>
      <c r="C20" s="6" t="str">
        <f t="shared" si="2"/>
        <v> 28</v>
      </c>
      <c r="D20" s="6">
        <f t="shared" si="3"/>
        <v>28</v>
      </c>
    </row>
    <row r="21">
      <c r="A21" s="4" t="s">
        <v>29</v>
      </c>
      <c r="B21" s="6" t="str">
        <f t="shared" si="1"/>
        <v>Ventilador</v>
      </c>
      <c r="C21" s="6" t="str">
        <f t="shared" si="2"/>
        <v> 29</v>
      </c>
      <c r="D21" s="6">
        <f t="shared" si="3"/>
        <v>29</v>
      </c>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row r="1007">
      <c r="A1007" s="4"/>
    </row>
    <row r="1008">
      <c r="A1008" s="4"/>
    </row>
    <row r="1009">
      <c r="A1009" s="4"/>
    </row>
    <row r="1010">
      <c r="A1010" s="4"/>
    </row>
    <row r="1011">
      <c r="A1011" s="4"/>
    </row>
    <row r="1012">
      <c r="A1012" s="4"/>
    </row>
    <row r="1013">
      <c r="A1013" s="4"/>
    </row>
    <row r="1014">
      <c r="A1014" s="4"/>
    </row>
    <row r="1015">
      <c r="A1015" s="4"/>
    </row>
    <row r="1016">
      <c r="A1016" s="4"/>
    </row>
    <row r="1017">
      <c r="A1017" s="4"/>
    </row>
    <row r="1018">
      <c r="A1018" s="4"/>
    </row>
    <row r="1019">
      <c r="A1019" s="4"/>
    </row>
    <row r="1020">
      <c r="A1020" s="4"/>
    </row>
    <row r="1021">
      <c r="A1021" s="4"/>
    </row>
  </sheetData>
  <autoFilter ref="$A$1:$C$21">
    <sortState ref="A1:C21">
      <sortCondition ref="B1:B21"/>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c r="A2" s="4" t="s">
        <v>31</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33</v>
      </c>
    </row>
    <row r="3">
      <c r="A3" s="4" t="s">
        <v>34</v>
      </c>
    </row>
    <row r="4">
      <c r="A4" s="4" t="s">
        <v>35</v>
      </c>
    </row>
    <row r="5">
      <c r="A5" s="4" t="s">
        <v>36</v>
      </c>
    </row>
    <row r="6">
      <c r="A6" s="4" t="s">
        <v>37</v>
      </c>
    </row>
    <row r="7">
      <c r="A7" s="4" t="s">
        <v>38</v>
      </c>
    </row>
    <row r="8">
      <c r="A8" s="4" t="s">
        <v>39</v>
      </c>
    </row>
    <row r="9">
      <c r="A9" s="4" t="s">
        <v>40</v>
      </c>
    </row>
    <row r="10">
      <c r="A10" s="4" t="s">
        <v>41</v>
      </c>
    </row>
    <row r="11">
      <c r="A11" s="4" t="s">
        <v>42</v>
      </c>
    </row>
    <row r="12">
      <c r="A12" s="4" t="s">
        <v>33</v>
      </c>
    </row>
    <row r="13">
      <c r="A13" s="4" t="s">
        <v>43</v>
      </c>
    </row>
    <row r="14">
      <c r="A14" s="4" t="s">
        <v>44</v>
      </c>
    </row>
    <row r="15">
      <c r="A15" s="4" t="s">
        <v>45</v>
      </c>
    </row>
    <row r="16">
      <c r="A16" s="4" t="s">
        <v>46</v>
      </c>
    </row>
    <row r="17">
      <c r="A17" s="4" t="s">
        <v>47</v>
      </c>
    </row>
    <row r="18">
      <c r="A18" s="4" t="s">
        <v>41</v>
      </c>
    </row>
    <row r="19">
      <c r="A19" s="4" t="s">
        <v>42</v>
      </c>
    </row>
    <row r="20">
      <c r="A20" s="4" t="s">
        <v>48</v>
      </c>
    </row>
    <row r="21">
      <c r="A21" s="4" t="s">
        <v>49</v>
      </c>
    </row>
    <row r="22">
      <c r="A22" s="4" t="s">
        <v>33</v>
      </c>
    </row>
    <row r="23">
      <c r="A23" s="4" t="s">
        <v>34</v>
      </c>
    </row>
    <row r="24">
      <c r="A24" s="4" t="s">
        <v>50</v>
      </c>
    </row>
    <row r="25">
      <c r="A25" s="4" t="s">
        <v>40</v>
      </c>
    </row>
    <row r="26">
      <c r="A26" s="4" t="s">
        <v>51</v>
      </c>
    </row>
    <row r="27">
      <c r="A27" s="4" t="s">
        <v>52</v>
      </c>
    </row>
    <row r="28">
      <c r="A28" s="4" t="s">
        <v>33</v>
      </c>
    </row>
    <row r="29">
      <c r="A29" s="4" t="s">
        <v>34</v>
      </c>
    </row>
    <row r="30">
      <c r="A30" s="4" t="s">
        <v>40</v>
      </c>
    </row>
    <row r="31">
      <c r="A31" s="4" t="s">
        <v>53</v>
      </c>
    </row>
    <row r="32">
      <c r="A32" s="4" t="s">
        <v>54</v>
      </c>
    </row>
    <row r="33">
      <c r="A33" s="4" t="s">
        <v>55</v>
      </c>
    </row>
    <row r="34">
      <c r="A34" s="4" t="s">
        <v>56</v>
      </c>
    </row>
    <row r="35">
      <c r="A35" s="4" t="s">
        <v>57</v>
      </c>
    </row>
    <row r="36">
      <c r="A36" s="4" t="s">
        <v>58</v>
      </c>
    </row>
    <row r="37">
      <c r="A37" s="4" t="s">
        <v>59</v>
      </c>
    </row>
    <row r="38">
      <c r="A38" s="4" t="s">
        <v>60</v>
      </c>
    </row>
    <row r="39">
      <c r="A39" s="4" t="s">
        <v>33</v>
      </c>
    </row>
    <row r="40">
      <c r="A40" s="4" t="s">
        <v>34</v>
      </c>
    </row>
    <row r="41">
      <c r="A41" s="4" t="s">
        <v>61</v>
      </c>
    </row>
    <row r="42">
      <c r="A42" s="4" t="s">
        <v>62</v>
      </c>
    </row>
    <row r="43">
      <c r="A43" s="4" t="s">
        <v>63</v>
      </c>
    </row>
    <row r="44">
      <c r="A44" s="4" t="s">
        <v>64</v>
      </c>
    </row>
    <row r="45">
      <c r="A45" s="4" t="s">
        <v>35</v>
      </c>
    </row>
    <row r="46">
      <c r="A46" s="4" t="s">
        <v>65</v>
      </c>
    </row>
    <row r="47">
      <c r="A47" s="4" t="s">
        <v>66</v>
      </c>
    </row>
    <row r="48">
      <c r="A48" s="4" t="s">
        <v>67</v>
      </c>
    </row>
    <row r="49">
      <c r="A49" s="4" t="s">
        <v>68</v>
      </c>
    </row>
    <row r="50">
      <c r="A50" s="4" t="s">
        <v>69</v>
      </c>
    </row>
    <row r="51">
      <c r="A51" s="4" t="s">
        <v>70</v>
      </c>
    </row>
    <row r="52">
      <c r="A52" s="4" t="s">
        <v>33</v>
      </c>
    </row>
    <row r="53">
      <c r="A53" s="4" t="s">
        <v>51</v>
      </c>
    </row>
    <row r="54">
      <c r="A54" s="4" t="s">
        <v>71</v>
      </c>
    </row>
    <row r="55">
      <c r="A55" s="4" t="s">
        <v>44</v>
      </c>
    </row>
    <row r="56">
      <c r="A56" s="4" t="s">
        <v>72</v>
      </c>
    </row>
    <row r="57">
      <c r="A57" s="4" t="s">
        <v>73</v>
      </c>
    </row>
    <row r="58">
      <c r="A58" s="4" t="s">
        <v>74</v>
      </c>
    </row>
    <row r="59">
      <c r="A59" s="4" t="s">
        <v>48</v>
      </c>
    </row>
    <row r="60">
      <c r="A60" s="4" t="s">
        <v>75</v>
      </c>
    </row>
    <row r="61">
      <c r="A61" s="4" t="s">
        <v>76</v>
      </c>
    </row>
    <row r="62">
      <c r="A62" s="4" t="s">
        <v>33</v>
      </c>
    </row>
    <row r="63">
      <c r="A63" s="4" t="s">
        <v>36</v>
      </c>
    </row>
    <row r="64">
      <c r="A64" s="4" t="s">
        <v>71</v>
      </c>
    </row>
    <row r="65">
      <c r="A65" s="4" t="s">
        <v>44</v>
      </c>
    </row>
    <row r="66">
      <c r="A66" s="4" t="s">
        <v>72</v>
      </c>
    </row>
    <row r="67">
      <c r="A67" s="4" t="s">
        <v>77</v>
      </c>
    </row>
    <row r="68">
      <c r="A68" s="4" t="s">
        <v>78</v>
      </c>
    </row>
    <row r="69">
      <c r="A69" s="4" t="s">
        <v>79</v>
      </c>
    </row>
    <row r="70">
      <c r="A70" s="4" t="s">
        <v>33</v>
      </c>
    </row>
    <row r="71">
      <c r="A71" s="4" t="s">
        <v>34</v>
      </c>
    </row>
    <row r="72">
      <c r="A72" s="4" t="s">
        <v>80</v>
      </c>
    </row>
    <row r="73">
      <c r="A73" s="4" t="s">
        <v>37</v>
      </c>
    </row>
    <row r="74">
      <c r="A74" s="4" t="s">
        <v>44</v>
      </c>
    </row>
    <row r="75">
      <c r="A75" s="4" t="s">
        <v>81</v>
      </c>
    </row>
    <row r="76">
      <c r="A76" s="4" t="s">
        <v>82</v>
      </c>
    </row>
    <row r="77">
      <c r="A77" s="4" t="s">
        <v>83</v>
      </c>
    </row>
    <row r="78">
      <c r="A78" s="4" t="s">
        <v>84</v>
      </c>
    </row>
    <row r="79">
      <c r="A79" s="4" t="s">
        <v>82</v>
      </c>
    </row>
    <row r="80">
      <c r="A80" s="4" t="s">
        <v>85</v>
      </c>
    </row>
    <row r="81">
      <c r="A81" s="4" t="s">
        <v>40</v>
      </c>
    </row>
    <row r="82">
      <c r="A82" s="4" t="s">
        <v>86</v>
      </c>
    </row>
    <row r="83">
      <c r="A83" s="4" t="s">
        <v>33</v>
      </c>
    </row>
    <row r="84">
      <c r="A84" s="4" t="s">
        <v>34</v>
      </c>
    </row>
    <row r="85">
      <c r="A85" s="4" t="s">
        <v>36</v>
      </c>
    </row>
    <row r="86">
      <c r="A86" s="4" t="s">
        <v>87</v>
      </c>
    </row>
    <row r="87">
      <c r="A87" s="4" t="s">
        <v>88</v>
      </c>
    </row>
    <row r="88">
      <c r="A88" s="4" t="s">
        <v>89</v>
      </c>
    </row>
    <row r="89">
      <c r="A89" s="4" t="s">
        <v>90</v>
      </c>
    </row>
    <row r="90">
      <c r="A90" s="4" t="s">
        <v>33</v>
      </c>
    </row>
    <row r="91">
      <c r="A91" s="4" t="s">
        <v>43</v>
      </c>
    </row>
    <row r="92">
      <c r="A92" s="4" t="s">
        <v>41</v>
      </c>
    </row>
    <row r="93">
      <c r="A93" s="4" t="s">
        <v>45</v>
      </c>
    </row>
    <row r="94">
      <c r="A94" s="4" t="s">
        <v>46</v>
      </c>
    </row>
    <row r="95">
      <c r="A95" s="4" t="s">
        <v>91</v>
      </c>
    </row>
    <row r="96">
      <c r="A96" s="4" t="s">
        <v>92</v>
      </c>
    </row>
    <row r="97">
      <c r="A97" s="4" t="s">
        <v>93</v>
      </c>
    </row>
    <row r="98">
      <c r="A98" s="4" t="s">
        <v>94</v>
      </c>
    </row>
    <row r="99">
      <c r="A99" s="4" t="s">
        <v>95</v>
      </c>
    </row>
    <row r="100">
      <c r="A100" s="4" t="s">
        <v>33</v>
      </c>
    </row>
    <row r="101">
      <c r="A101" s="4" t="s">
        <v>34</v>
      </c>
    </row>
    <row r="102">
      <c r="A102" s="4" t="s">
        <v>50</v>
      </c>
    </row>
    <row r="103">
      <c r="A103" s="4" t="s">
        <v>40</v>
      </c>
    </row>
    <row r="104">
      <c r="A104" s="4" t="s">
        <v>33</v>
      </c>
    </row>
    <row r="105">
      <c r="A105" s="4" t="s">
        <v>34</v>
      </c>
    </row>
    <row r="106">
      <c r="A106" s="4" t="s">
        <v>96</v>
      </c>
    </row>
    <row r="107">
      <c r="A107" s="4" t="s">
        <v>97</v>
      </c>
    </row>
    <row r="108">
      <c r="A108" s="4" t="s">
        <v>92</v>
      </c>
    </row>
    <row r="109">
      <c r="A109" s="4" t="s">
        <v>98</v>
      </c>
    </row>
    <row r="110">
      <c r="A110" s="4" t="s">
        <v>99</v>
      </c>
    </row>
    <row r="111">
      <c r="A111" s="4" t="s">
        <v>33</v>
      </c>
    </row>
    <row r="112">
      <c r="A112" s="4" t="s">
        <v>34</v>
      </c>
    </row>
    <row r="113">
      <c r="A113" s="4" t="s">
        <v>40</v>
      </c>
    </row>
    <row r="114">
      <c r="A114" s="4" t="s">
        <v>75</v>
      </c>
    </row>
    <row r="115">
      <c r="A115" s="4" t="s">
        <v>100</v>
      </c>
    </row>
    <row r="116">
      <c r="A116" s="4" t="s">
        <v>48</v>
      </c>
    </row>
    <row r="117">
      <c r="A117" s="4" t="s">
        <v>101</v>
      </c>
    </row>
    <row r="118">
      <c r="A118" s="4" t="s">
        <v>33</v>
      </c>
    </row>
    <row r="119">
      <c r="A119" s="4" t="s">
        <v>102</v>
      </c>
    </row>
    <row r="120">
      <c r="A120" s="4" t="s">
        <v>103</v>
      </c>
    </row>
    <row r="121">
      <c r="A121" s="4" t="s">
        <v>104</v>
      </c>
    </row>
    <row r="122">
      <c r="A122" s="4" t="s">
        <v>40</v>
      </c>
    </row>
    <row r="123">
      <c r="A123" s="4" t="s">
        <v>75</v>
      </c>
    </row>
    <row r="124">
      <c r="A124" s="4" t="s">
        <v>100</v>
      </c>
    </row>
    <row r="125">
      <c r="A125" s="4" t="s">
        <v>33</v>
      </c>
    </row>
    <row r="126">
      <c r="A126" s="4" t="s">
        <v>34</v>
      </c>
    </row>
    <row r="127">
      <c r="A127" s="4" t="s">
        <v>36</v>
      </c>
    </row>
    <row r="128">
      <c r="A128" s="4" t="s">
        <v>105</v>
      </c>
    </row>
    <row r="129">
      <c r="A129" s="4" t="s">
        <v>106</v>
      </c>
    </row>
    <row r="130">
      <c r="A130" s="4" t="s">
        <v>88</v>
      </c>
    </row>
    <row r="131">
      <c r="A131" s="4" t="s">
        <v>89</v>
      </c>
    </row>
    <row r="132">
      <c r="A132" s="4" t="s">
        <v>33</v>
      </c>
    </row>
    <row r="133">
      <c r="A133" s="4" t="s">
        <v>34</v>
      </c>
    </row>
    <row r="134">
      <c r="A134" s="4" t="s">
        <v>88</v>
      </c>
    </row>
    <row r="135">
      <c r="A135" s="4" t="s">
        <v>89</v>
      </c>
    </row>
    <row r="136">
      <c r="A136" s="4" t="s">
        <v>48</v>
      </c>
    </row>
    <row r="137">
      <c r="A137" s="4" t="s">
        <v>35</v>
      </c>
    </row>
    <row r="138">
      <c r="A138" s="4" t="s">
        <v>107</v>
      </c>
    </row>
    <row r="139">
      <c r="A139" s="4" t="s">
        <v>41</v>
      </c>
    </row>
    <row r="140">
      <c r="A140" s="4" t="s">
        <v>42</v>
      </c>
    </row>
    <row r="141">
      <c r="A141" s="4" t="s">
        <v>33</v>
      </c>
    </row>
    <row r="142">
      <c r="A142" s="4" t="s">
        <v>34</v>
      </c>
    </row>
    <row r="143">
      <c r="A143" s="4" t="s">
        <v>88</v>
      </c>
    </row>
    <row r="144">
      <c r="A144" s="4" t="s">
        <v>89</v>
      </c>
    </row>
    <row r="145">
      <c r="A145" s="4" t="s">
        <v>90</v>
      </c>
    </row>
    <row r="146">
      <c r="A146" s="4" t="s">
        <v>33</v>
      </c>
    </row>
    <row r="147">
      <c r="A147" s="4" t="s">
        <v>108</v>
      </c>
    </row>
    <row r="148">
      <c r="A148" s="4" t="s">
        <v>109</v>
      </c>
    </row>
    <row r="149">
      <c r="A149" s="4" t="s">
        <v>110</v>
      </c>
    </row>
    <row r="150">
      <c r="A150" s="4" t="s">
        <v>111</v>
      </c>
    </row>
    <row r="151">
      <c r="A151" s="4" t="s">
        <v>88</v>
      </c>
    </row>
    <row r="152">
      <c r="A152" s="4" t="s">
        <v>40</v>
      </c>
    </row>
    <row r="153">
      <c r="A153" s="4" t="s">
        <v>75</v>
      </c>
    </row>
    <row r="154">
      <c r="A154" s="4" t="s">
        <v>33</v>
      </c>
    </row>
    <row r="155">
      <c r="A155" s="4" t="s">
        <v>112</v>
      </c>
    </row>
    <row r="156">
      <c r="A156" s="4" t="s">
        <v>41</v>
      </c>
    </row>
    <row r="157">
      <c r="A157" s="4" t="s">
        <v>113</v>
      </c>
    </row>
    <row r="158">
      <c r="A158" s="4" t="s">
        <v>114</v>
      </c>
    </row>
    <row r="159">
      <c r="A159" s="4" t="s">
        <v>115</v>
      </c>
    </row>
    <row r="160">
      <c r="A160" s="4" t="s">
        <v>116</v>
      </c>
    </row>
    <row r="161">
      <c r="A161" s="4" t="s">
        <v>117</v>
      </c>
    </row>
    <row r="162">
      <c r="A162" s="4" t="s">
        <v>41</v>
      </c>
    </row>
    <row r="163">
      <c r="A163" s="4" t="s">
        <v>118</v>
      </c>
    </row>
    <row r="164">
      <c r="A164" s="4" t="s">
        <v>33</v>
      </c>
    </row>
    <row r="165">
      <c r="A165" s="4" t="s">
        <v>34</v>
      </c>
    </row>
    <row r="166">
      <c r="A166" s="4" t="s">
        <v>35</v>
      </c>
    </row>
    <row r="167">
      <c r="A167" s="4" t="s">
        <v>96</v>
      </c>
    </row>
    <row r="168">
      <c r="A168" s="4" t="s">
        <v>65</v>
      </c>
    </row>
    <row r="169">
      <c r="A169" s="4" t="s">
        <v>119</v>
      </c>
    </row>
    <row r="170">
      <c r="A170" s="4" t="s">
        <v>120</v>
      </c>
    </row>
    <row r="171">
      <c r="A171" s="4" t="s">
        <v>121</v>
      </c>
    </row>
    <row r="172">
      <c r="A172" s="4" t="s">
        <v>92</v>
      </c>
    </row>
    <row r="173">
      <c r="A173" s="4" t="s">
        <v>122</v>
      </c>
    </row>
    <row r="174">
      <c r="A174" s="4" t="s">
        <v>123</v>
      </c>
    </row>
    <row r="175">
      <c r="A175" s="4" t="s">
        <v>33</v>
      </c>
    </row>
    <row r="176">
      <c r="A176" s="4" t="s">
        <v>34</v>
      </c>
    </row>
    <row r="177">
      <c r="A177" s="4" t="s">
        <v>96</v>
      </c>
    </row>
    <row r="178">
      <c r="A178" s="4" t="s">
        <v>88</v>
      </c>
    </row>
    <row r="179">
      <c r="A179" s="4" t="s">
        <v>75</v>
      </c>
    </row>
    <row r="180">
      <c r="A180" s="4" t="s">
        <v>33</v>
      </c>
    </row>
    <row r="181">
      <c r="A181" s="4" t="s">
        <v>124</v>
      </c>
    </row>
    <row r="182">
      <c r="A182" s="4" t="s">
        <v>36</v>
      </c>
    </row>
    <row r="183">
      <c r="A183" s="4" t="s">
        <v>125</v>
      </c>
    </row>
    <row r="184">
      <c r="A184" s="4" t="s">
        <v>50</v>
      </c>
    </row>
    <row r="185">
      <c r="A185" s="4" t="s">
        <v>40</v>
      </c>
    </row>
    <row r="186">
      <c r="A186" s="4" t="s">
        <v>126</v>
      </c>
    </row>
    <row r="187">
      <c r="A187" s="4" t="s">
        <v>127</v>
      </c>
    </row>
    <row r="188">
      <c r="A188" s="4" t="s">
        <v>33</v>
      </c>
    </row>
    <row r="189">
      <c r="A189" s="4" t="s">
        <v>34</v>
      </c>
    </row>
    <row r="190">
      <c r="A190" s="4" t="s">
        <v>40</v>
      </c>
    </row>
    <row r="191">
      <c r="A191" s="4" t="s">
        <v>53</v>
      </c>
    </row>
    <row r="192">
      <c r="A192" s="4" t="s">
        <v>115</v>
      </c>
    </row>
    <row r="193">
      <c r="A193" s="4" t="s">
        <v>92</v>
      </c>
    </row>
    <row r="194">
      <c r="A194" s="4" t="s">
        <v>93</v>
      </c>
    </row>
    <row r="195">
      <c r="A195" s="4" t="s">
        <v>33</v>
      </c>
    </row>
    <row r="196">
      <c r="A196" s="4" t="s">
        <v>34</v>
      </c>
    </row>
    <row r="197">
      <c r="A197" s="4" t="s">
        <v>90</v>
      </c>
    </row>
    <row r="198">
      <c r="A198" s="4" t="s">
        <v>33</v>
      </c>
    </row>
    <row r="199">
      <c r="A199" s="4" t="s">
        <v>34</v>
      </c>
    </row>
    <row r="200">
      <c r="A200" s="4" t="s">
        <v>88</v>
      </c>
    </row>
    <row r="201">
      <c r="A201" s="4" t="s">
        <v>89</v>
      </c>
    </row>
    <row r="202">
      <c r="A202" s="4" t="s">
        <v>48</v>
      </c>
    </row>
    <row r="203">
      <c r="A203" s="4" t="s">
        <v>35</v>
      </c>
    </row>
    <row r="204">
      <c r="A204" s="4" t="s">
        <v>75</v>
      </c>
    </row>
    <row r="205">
      <c r="A205" s="4" t="s">
        <v>128</v>
      </c>
    </row>
    <row r="206">
      <c r="A206" s="4" t="s">
        <v>101</v>
      </c>
    </row>
    <row r="207">
      <c r="A207" s="4" t="s">
        <v>129</v>
      </c>
    </row>
    <row r="208">
      <c r="A208" s="4" t="s">
        <v>109</v>
      </c>
    </row>
    <row r="209">
      <c r="A209" s="4" t="s">
        <v>119</v>
      </c>
    </row>
    <row r="210">
      <c r="A210" s="4" t="s">
        <v>130</v>
      </c>
    </row>
    <row r="211">
      <c r="A211" s="4" t="s">
        <v>33</v>
      </c>
    </row>
    <row r="212">
      <c r="A212" s="4" t="s">
        <v>36</v>
      </c>
    </row>
    <row r="213">
      <c r="A213" s="4" t="s">
        <v>131</v>
      </c>
    </row>
    <row r="214">
      <c r="A214" s="4" t="s">
        <v>88</v>
      </c>
    </row>
    <row r="215">
      <c r="A215" s="4" t="s">
        <v>40</v>
      </c>
    </row>
    <row r="216">
      <c r="A216" s="4" t="s">
        <v>75</v>
      </c>
    </row>
    <row r="217">
      <c r="A217" s="4" t="s">
        <v>90</v>
      </c>
    </row>
    <row r="218">
      <c r="A218" s="4" t="s">
        <v>33</v>
      </c>
    </row>
    <row r="219">
      <c r="A219" s="4" t="s">
        <v>34</v>
      </c>
    </row>
    <row r="220">
      <c r="A220" s="4" t="s">
        <v>132</v>
      </c>
    </row>
    <row r="221">
      <c r="A221" s="4" t="s">
        <v>133</v>
      </c>
    </row>
    <row r="222">
      <c r="A222" s="4" t="s">
        <v>134</v>
      </c>
    </row>
    <row r="223">
      <c r="A223" s="4" t="s">
        <v>135</v>
      </c>
    </row>
    <row r="224">
      <c r="A224" s="4" t="s">
        <v>136</v>
      </c>
    </row>
    <row r="225">
      <c r="A225" s="4" t="s">
        <v>137</v>
      </c>
    </row>
    <row r="226">
      <c r="A226" s="4" t="s">
        <v>75</v>
      </c>
    </row>
    <row r="227">
      <c r="A227" s="4" t="s">
        <v>138</v>
      </c>
    </row>
    <row r="228">
      <c r="A228" s="4" t="s">
        <v>119</v>
      </c>
    </row>
    <row r="229">
      <c r="A229" s="4" t="s">
        <v>34</v>
      </c>
    </row>
    <row r="230">
      <c r="A230" s="4" t="s">
        <v>35</v>
      </c>
    </row>
    <row r="231">
      <c r="A231" s="4" t="s">
        <v>41</v>
      </c>
    </row>
    <row r="232">
      <c r="A232" s="4" t="s">
        <v>139</v>
      </c>
    </row>
    <row r="233">
      <c r="A233" s="4" t="s">
        <v>140</v>
      </c>
    </row>
    <row r="234">
      <c r="A234" s="4" t="s">
        <v>33</v>
      </c>
    </row>
    <row r="235">
      <c r="A235" s="4" t="s">
        <v>119</v>
      </c>
    </row>
    <row r="236">
      <c r="A236" s="4" t="s">
        <v>62</v>
      </c>
    </row>
    <row r="237">
      <c r="A237" s="4" t="s">
        <v>63</v>
      </c>
    </row>
    <row r="238">
      <c r="A238" s="4" t="s">
        <v>64</v>
      </c>
    </row>
    <row r="239">
      <c r="A239" s="4" t="s">
        <v>35</v>
      </c>
    </row>
    <row r="240">
      <c r="A240" s="4" t="s">
        <v>65</v>
      </c>
    </row>
    <row r="241">
      <c r="A241" s="4" t="s">
        <v>39</v>
      </c>
    </row>
    <row r="242">
      <c r="A242" s="4" t="s">
        <v>40</v>
      </c>
    </row>
    <row r="243">
      <c r="A243" s="4" t="s">
        <v>33</v>
      </c>
    </row>
    <row r="244">
      <c r="A244" s="4" t="s">
        <v>34</v>
      </c>
    </row>
    <row r="245">
      <c r="A245" s="4" t="s">
        <v>132</v>
      </c>
    </row>
    <row r="246">
      <c r="A246" s="4" t="s">
        <v>133</v>
      </c>
    </row>
    <row r="247">
      <c r="A247" s="4" t="s">
        <v>46</v>
      </c>
    </row>
    <row r="248">
      <c r="A248" s="4" t="s">
        <v>88</v>
      </c>
    </row>
    <row r="249">
      <c r="A249" s="4" t="s">
        <v>75</v>
      </c>
    </row>
    <row r="250">
      <c r="A250" s="4" t="s">
        <v>48</v>
      </c>
    </row>
    <row r="251">
      <c r="A251" s="4" t="s">
        <v>35</v>
      </c>
    </row>
    <row r="252">
      <c r="A252" s="4" t="s">
        <v>75</v>
      </c>
    </row>
    <row r="253">
      <c r="A253" s="4" t="s">
        <v>141</v>
      </c>
    </row>
    <row r="254">
      <c r="A254" s="4" t="s">
        <v>33</v>
      </c>
    </row>
    <row r="255">
      <c r="A255" s="4" t="s">
        <v>34</v>
      </c>
    </row>
    <row r="256">
      <c r="A256" s="4" t="s">
        <v>142</v>
      </c>
    </row>
    <row r="257">
      <c r="A257" s="4" t="s">
        <v>143</v>
      </c>
    </row>
    <row r="258">
      <c r="A258" s="4" t="s">
        <v>33</v>
      </c>
    </row>
    <row r="259">
      <c r="A259" s="4" t="s">
        <v>144</v>
      </c>
    </row>
    <row r="260">
      <c r="A260" s="4" t="s">
        <v>35</v>
      </c>
    </row>
    <row r="261">
      <c r="A261" s="4" t="s">
        <v>107</v>
      </c>
    </row>
    <row r="262">
      <c r="A262" s="4" t="s">
        <v>41</v>
      </c>
    </row>
    <row r="263">
      <c r="A263" s="4" t="s">
        <v>42</v>
      </c>
    </row>
    <row r="264">
      <c r="A264" s="4" t="s">
        <v>48</v>
      </c>
    </row>
    <row r="265">
      <c r="A265" s="4" t="s">
        <v>145</v>
      </c>
    </row>
    <row r="266">
      <c r="A266" s="4" t="s">
        <v>33</v>
      </c>
    </row>
    <row r="267">
      <c r="A267" s="4" t="s">
        <v>34</v>
      </c>
    </row>
    <row r="268">
      <c r="A268" s="4" t="s">
        <v>90</v>
      </c>
    </row>
    <row r="269">
      <c r="A269" s="4" t="s">
        <v>40</v>
      </c>
    </row>
    <row r="270">
      <c r="A270" s="4" t="s">
        <v>33</v>
      </c>
    </row>
    <row r="271">
      <c r="A271" s="4" t="s">
        <v>64</v>
      </c>
    </row>
    <row r="272">
      <c r="A272" s="4" t="s">
        <v>50</v>
      </c>
    </row>
    <row r="273">
      <c r="A273" s="4" t="s">
        <v>40</v>
      </c>
    </row>
    <row r="274">
      <c r="A274" s="4" t="s">
        <v>129</v>
      </c>
    </row>
    <row r="275">
      <c r="A275" s="4" t="s">
        <v>146</v>
      </c>
    </row>
    <row r="276">
      <c r="A276" s="4" t="s">
        <v>48</v>
      </c>
    </row>
    <row r="277">
      <c r="A277" s="4" t="s">
        <v>126</v>
      </c>
    </row>
    <row r="278">
      <c r="A278" s="4" t="s">
        <v>147</v>
      </c>
    </row>
    <row r="279">
      <c r="A279" s="4" t="s">
        <v>33</v>
      </c>
    </row>
    <row r="280">
      <c r="A280" s="4" t="s">
        <v>34</v>
      </c>
    </row>
    <row r="281">
      <c r="A281" s="4" t="s">
        <v>36</v>
      </c>
    </row>
    <row r="282">
      <c r="A282" s="4" t="s">
        <v>148</v>
      </c>
    </row>
    <row r="283">
      <c r="A283" s="4" t="s">
        <v>61</v>
      </c>
    </row>
    <row r="284">
      <c r="A284" s="4" t="s">
        <v>33</v>
      </c>
    </row>
    <row r="285">
      <c r="A285" s="4" t="s">
        <v>144</v>
      </c>
    </row>
    <row r="286">
      <c r="A286" s="4" t="s">
        <v>149</v>
      </c>
    </row>
    <row r="287">
      <c r="A287" s="4" t="s">
        <v>44</v>
      </c>
    </row>
    <row r="288">
      <c r="A288" s="4" t="s">
        <v>119</v>
      </c>
    </row>
    <row r="289">
      <c r="A289" s="4" t="s">
        <v>62</v>
      </c>
    </row>
    <row r="290">
      <c r="A290" s="4" t="s">
        <v>150</v>
      </c>
    </row>
    <row r="291">
      <c r="A291" s="4" t="s">
        <v>41</v>
      </c>
    </row>
    <row r="292">
      <c r="A292" s="4" t="s">
        <v>99</v>
      </c>
    </row>
    <row r="293">
      <c r="A293" s="4" t="s">
        <v>151</v>
      </c>
    </row>
    <row r="294">
      <c r="A294" s="4" t="s">
        <v>33</v>
      </c>
    </row>
    <row r="295">
      <c r="A295" s="4" t="s">
        <v>34</v>
      </c>
    </row>
    <row r="296">
      <c r="A296" s="4" t="s">
        <v>142</v>
      </c>
    </row>
    <row r="297">
      <c r="A297" s="4" t="s">
        <v>143</v>
      </c>
    </row>
    <row r="298">
      <c r="A298" s="4" t="s">
        <v>115</v>
      </c>
    </row>
    <row r="299">
      <c r="A299" s="4" t="s">
        <v>119</v>
      </c>
    </row>
    <row r="300">
      <c r="A300" s="4" t="s">
        <v>62</v>
      </c>
    </row>
    <row r="301">
      <c r="A301" s="4" t="s">
        <v>63</v>
      </c>
    </row>
    <row r="302">
      <c r="A302" s="4" t="s">
        <v>152</v>
      </c>
    </row>
    <row r="303">
      <c r="A303" s="4" t="s">
        <v>33</v>
      </c>
    </row>
    <row r="304">
      <c r="A304" s="4" t="s">
        <v>34</v>
      </c>
    </row>
    <row r="305">
      <c r="A305" s="4" t="s">
        <v>50</v>
      </c>
    </row>
    <row r="306">
      <c r="A306" s="4" t="s">
        <v>40</v>
      </c>
    </row>
    <row r="307">
      <c r="A307" s="4" t="s">
        <v>132</v>
      </c>
    </row>
    <row r="308">
      <c r="A308" s="4" t="s">
        <v>37</v>
      </c>
    </row>
    <row r="309">
      <c r="A309" s="4" t="s">
        <v>44</v>
      </c>
    </row>
    <row r="310">
      <c r="A310" s="4" t="s">
        <v>153</v>
      </c>
    </row>
    <row r="311">
      <c r="A311" s="4" t="s">
        <v>88</v>
      </c>
    </row>
    <row r="312">
      <c r="A312" s="4" t="s">
        <v>75</v>
      </c>
    </row>
    <row r="313">
      <c r="A313" s="4" t="s">
        <v>48</v>
      </c>
    </row>
    <row r="314">
      <c r="A314" s="4" t="s">
        <v>35</v>
      </c>
    </row>
    <row r="315">
      <c r="A315" s="4" t="s">
        <v>107</v>
      </c>
    </row>
    <row r="316">
      <c r="A316" s="4" t="s">
        <v>41</v>
      </c>
    </row>
    <row r="317">
      <c r="A317" s="4" t="s">
        <v>154</v>
      </c>
    </row>
    <row r="318">
      <c r="A318" s="4" t="s">
        <v>33</v>
      </c>
    </row>
    <row r="319">
      <c r="A319" s="4" t="s">
        <v>34</v>
      </c>
    </row>
    <row r="320">
      <c r="A320" s="4" t="s">
        <v>90</v>
      </c>
    </row>
    <row r="321">
      <c r="A321" s="4" t="s">
        <v>33</v>
      </c>
    </row>
    <row r="322">
      <c r="A322" s="4" t="s">
        <v>34</v>
      </c>
    </row>
    <row r="323">
      <c r="A323" s="4" t="s">
        <v>35</v>
      </c>
    </row>
    <row r="324">
      <c r="A324" s="4" t="s">
        <v>80</v>
      </c>
    </row>
    <row r="325">
      <c r="A325" s="4" t="s">
        <v>155</v>
      </c>
    </row>
    <row r="326">
      <c r="A326" s="4" t="s">
        <v>156</v>
      </c>
    </row>
    <row r="327">
      <c r="A327" s="4" t="s">
        <v>157</v>
      </c>
    </row>
    <row r="328">
      <c r="A328" s="4" t="s">
        <v>33</v>
      </c>
    </row>
    <row r="329">
      <c r="A329" s="4" t="s">
        <v>158</v>
      </c>
    </row>
    <row r="330">
      <c r="A330" s="4" t="s">
        <v>88</v>
      </c>
    </row>
    <row r="331">
      <c r="A331" s="4" t="s">
        <v>89</v>
      </c>
    </row>
    <row r="332">
      <c r="A332" s="4" t="s">
        <v>48</v>
      </c>
    </row>
    <row r="333">
      <c r="A333" s="4" t="s">
        <v>35</v>
      </c>
    </row>
    <row r="334">
      <c r="A334" s="4" t="s">
        <v>107</v>
      </c>
    </row>
    <row r="335">
      <c r="A335" s="4" t="s">
        <v>41</v>
      </c>
    </row>
    <row r="336">
      <c r="A336" s="4" t="s">
        <v>42</v>
      </c>
    </row>
    <row r="337">
      <c r="A337" s="4" t="s">
        <v>33</v>
      </c>
    </row>
    <row r="338">
      <c r="A338" s="4" t="s">
        <v>34</v>
      </c>
    </row>
    <row r="339">
      <c r="A339" s="4" t="s">
        <v>40</v>
      </c>
    </row>
    <row r="340">
      <c r="A340" s="4" t="s">
        <v>53</v>
      </c>
    </row>
    <row r="341">
      <c r="A341" s="4" t="s">
        <v>115</v>
      </c>
    </row>
    <row r="342">
      <c r="A342" s="4" t="s">
        <v>92</v>
      </c>
    </row>
    <row r="343">
      <c r="A343" s="4" t="s">
        <v>93</v>
      </c>
    </row>
    <row r="344">
      <c r="A344" s="4" t="s">
        <v>33</v>
      </c>
    </row>
    <row r="345">
      <c r="A345" s="4" t="s">
        <v>34</v>
      </c>
    </row>
    <row r="346">
      <c r="A346" s="4" t="s">
        <v>35</v>
      </c>
    </row>
    <row r="347">
      <c r="A347" s="4" t="s">
        <v>96</v>
      </c>
    </row>
    <row r="348">
      <c r="A348" s="4" t="s">
        <v>65</v>
      </c>
    </row>
    <row r="349">
      <c r="A349" s="4" t="s">
        <v>33</v>
      </c>
    </row>
    <row r="350">
      <c r="A350" s="4" t="s">
        <v>144</v>
      </c>
    </row>
    <row r="351">
      <c r="A351" s="4" t="s">
        <v>39</v>
      </c>
    </row>
    <row r="352">
      <c r="A352" s="4" t="s">
        <v>159</v>
      </c>
    </row>
    <row r="353">
      <c r="A353" s="4" t="s">
        <v>129</v>
      </c>
    </row>
    <row r="354">
      <c r="A354" s="4" t="s">
        <v>146</v>
      </c>
    </row>
    <row r="355">
      <c r="A355" s="4" t="s">
        <v>33</v>
      </c>
    </row>
    <row r="356">
      <c r="A356" s="4" t="s">
        <v>34</v>
      </c>
    </row>
    <row r="357">
      <c r="A357" s="4" t="s">
        <v>114</v>
      </c>
    </row>
    <row r="358">
      <c r="A358" s="4" t="s">
        <v>160</v>
      </c>
    </row>
    <row r="359">
      <c r="A359" s="4" t="s">
        <v>161</v>
      </c>
    </row>
    <row r="360">
      <c r="A360" s="4" t="s">
        <v>162</v>
      </c>
    </row>
    <row r="361">
      <c r="A361" s="4" t="s">
        <v>33</v>
      </c>
    </row>
    <row r="362">
      <c r="A362" s="4" t="s">
        <v>34</v>
      </c>
    </row>
    <row r="363">
      <c r="A363" s="4" t="s">
        <v>35</v>
      </c>
    </row>
    <row r="364">
      <c r="A364" s="4" t="s">
        <v>75</v>
      </c>
    </row>
    <row r="365">
      <c r="A365" s="4" t="s">
        <v>128</v>
      </c>
    </row>
    <row r="366">
      <c r="A366" s="4" t="s">
        <v>101</v>
      </c>
    </row>
    <row r="367">
      <c r="A367" s="4" t="s">
        <v>129</v>
      </c>
    </row>
    <row r="368">
      <c r="A368" s="4" t="s">
        <v>109</v>
      </c>
    </row>
    <row r="369">
      <c r="A369" s="4" t="s">
        <v>119</v>
      </c>
    </row>
    <row r="370">
      <c r="A370" s="4" t="s">
        <v>130</v>
      </c>
    </row>
    <row r="371">
      <c r="A371" s="4" t="s">
        <v>109</v>
      </c>
    </row>
    <row r="372">
      <c r="A372" s="4" t="s">
        <v>110</v>
      </c>
    </row>
    <row r="373">
      <c r="A373" s="4" t="s">
        <v>163</v>
      </c>
    </row>
    <row r="374">
      <c r="A374" s="4" t="s">
        <v>48</v>
      </c>
    </row>
    <row r="375">
      <c r="A375" s="4" t="s">
        <v>88</v>
      </c>
    </row>
    <row r="376">
      <c r="A376" s="4" t="s">
        <v>89</v>
      </c>
    </row>
    <row r="377">
      <c r="A377" s="4" t="s">
        <v>33</v>
      </c>
    </row>
    <row r="378">
      <c r="A378" s="4" t="s">
        <v>34</v>
      </c>
    </row>
    <row r="379">
      <c r="A379" s="4" t="s">
        <v>36</v>
      </c>
    </row>
    <row r="380">
      <c r="A380" s="4" t="s">
        <v>164</v>
      </c>
    </row>
    <row r="381">
      <c r="A381" s="4" t="s">
        <v>44</v>
      </c>
    </row>
    <row r="382">
      <c r="A382" s="4" t="s">
        <v>165</v>
      </c>
    </row>
    <row r="383">
      <c r="A383" s="4" t="s">
        <v>33</v>
      </c>
    </row>
    <row r="384">
      <c r="A384" s="4" t="s">
        <v>34</v>
      </c>
    </row>
    <row r="385">
      <c r="A385" s="4" t="s">
        <v>121</v>
      </c>
    </row>
    <row r="386">
      <c r="A386" s="4" t="s">
        <v>92</v>
      </c>
    </row>
    <row r="387">
      <c r="A387" s="4" t="s">
        <v>122</v>
      </c>
    </row>
    <row r="388">
      <c r="A388" s="4" t="s">
        <v>119</v>
      </c>
    </row>
    <row r="389">
      <c r="A389" s="4" t="s">
        <v>166</v>
      </c>
    </row>
    <row r="390">
      <c r="A390" s="4" t="s">
        <v>33</v>
      </c>
    </row>
    <row r="391">
      <c r="A391" s="4" t="s">
        <v>34</v>
      </c>
    </row>
    <row r="392">
      <c r="A392" s="4" t="s">
        <v>167</v>
      </c>
    </row>
    <row r="393">
      <c r="A393" s="4" t="s">
        <v>53</v>
      </c>
    </row>
    <row r="394">
      <c r="A394" s="4" t="s">
        <v>33</v>
      </c>
    </row>
    <row r="395">
      <c r="A395" s="4" t="s">
        <v>34</v>
      </c>
    </row>
    <row r="396">
      <c r="A396" s="4" t="s">
        <v>90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175</v>
      </c>
      <c r="D2" s="8" t="str">
        <f t="shared" ref="D2:D322" si="1">C2</f>
        <v>{"valorA":"ótimo","valorB":1.0}</v>
      </c>
      <c r="E2" s="8" t="str">
        <f t="shared" ref="E2:E322" si="2">SUBSTITUTE(MID(C2,FIND(":",C2)+1,FIND(",",C2)-FIND(":",C2)-1),"""","")</f>
        <v>ótimo</v>
      </c>
      <c r="F2" s="8" t="str">
        <f>IFERROR(__xludf.DUMMYFUNCTION("UNIQUE(E2:E1322)"),"ótimo")</f>
        <v>ótimo</v>
      </c>
      <c r="G2" s="8" t="str">
        <f t="shared" ref="G2:G322" si="3">MID(C2,FIND("valorB",C2)+8,FIND("}",C2)-FIND("valorB",C2)-8)</f>
        <v>1.0</v>
      </c>
      <c r="H2" s="9">
        <f t="shared" ref="H2:H322" si="4">VALUE(SUBSTITUTE(G2,".",","))</f>
        <v>1</v>
      </c>
      <c r="I2" s="10">
        <f>IFERROR(__xludf.DUMMYFUNCTION("MAX(FILTER($H$2:$H1322,$E$2:$E1322=F2))"),49.0)</f>
        <v>49</v>
      </c>
      <c r="J2" s="11"/>
    </row>
    <row r="3">
      <c r="A3" s="4"/>
      <c r="C3" s="4" t="s">
        <v>176</v>
      </c>
      <c r="D3" s="8" t="str">
        <f t="shared" si="1"/>
        <v>{"valorA":"compras","valorB":1.0}</v>
      </c>
      <c r="E3" s="8" t="str">
        <f t="shared" si="2"/>
        <v>compras</v>
      </c>
      <c r="F3" s="8" t="str">
        <f>IFERROR(__xludf.DUMMYFUNCTION("""COMPUTED_VALUE"""),"compras")</f>
        <v>compras</v>
      </c>
      <c r="G3" s="6" t="str">
        <f t="shared" si="3"/>
        <v>1.0</v>
      </c>
      <c r="H3" s="9">
        <f t="shared" si="4"/>
        <v>1</v>
      </c>
      <c r="I3" s="10">
        <f>IFERROR(__xludf.DUMMYFUNCTION("MAX(FILTER($H$2:$H1322,$E$2:$E1322=F3))"),2.0)</f>
        <v>2</v>
      </c>
    </row>
    <row r="4">
      <c r="A4" s="4"/>
      <c r="C4" s="4" t="s">
        <v>177</v>
      </c>
      <c r="D4" s="8" t="str">
        <f t="shared" si="1"/>
        <v>{"valorA":"é","valorB":1.0}</v>
      </c>
      <c r="E4" s="8" t="str">
        <f t="shared" si="2"/>
        <v>é</v>
      </c>
      <c r="F4" s="8" t="str">
        <f>IFERROR(__xludf.DUMMYFUNCTION("""COMPUTED_VALUE"""),"é")</f>
        <v>é</v>
      </c>
      <c r="G4" s="6" t="str">
        <f t="shared" si="3"/>
        <v>1.0</v>
      </c>
      <c r="H4" s="9">
        <f t="shared" si="4"/>
        <v>1</v>
      </c>
      <c r="I4" s="10">
        <f>IFERROR(__xludf.DUMMYFUNCTION("MAX(FILTER($H$2:$H1322,$E$2:$E1322=F4))"),14.0)</f>
        <v>14</v>
      </c>
    </row>
    <row r="5">
      <c r="A5" s="4"/>
      <c r="C5" s="4" t="s">
        <v>178</v>
      </c>
      <c r="D5" s="8" t="str">
        <f t="shared" si="1"/>
        <v>{"valorA":"para","valorB":1.0}</v>
      </c>
      <c r="E5" s="8" t="str">
        <f t="shared" si="2"/>
        <v>para</v>
      </c>
      <c r="F5" s="8" t="str">
        <f>IFERROR(__xludf.DUMMYFUNCTION("""COMPUTED_VALUE"""),"para")</f>
        <v>para</v>
      </c>
      <c r="G5" s="6" t="str">
        <f t="shared" si="3"/>
        <v>1.0</v>
      </c>
      <c r="H5" s="9">
        <f t="shared" si="4"/>
        <v>1</v>
      </c>
      <c r="I5" s="10">
        <f>IFERROR(__xludf.DUMMYFUNCTION("MAX(FILTER($H$2:$H1322,$E$2:$E1322=F5))"),7.0)</f>
        <v>7</v>
      </c>
    </row>
    <row r="6">
      <c r="A6" s="4"/>
      <c r="C6" s="4" t="s">
        <v>179</v>
      </c>
      <c r="D6" s="8" t="str">
        <f t="shared" si="1"/>
        <v>{"valorA":"online","valorB":1.0}</v>
      </c>
      <c r="E6" s="8" t="str">
        <f t="shared" si="2"/>
        <v>online</v>
      </c>
      <c r="F6" s="8" t="str">
        <f>IFERROR(__xludf.DUMMYFUNCTION("""COMPUTED_VALUE"""),"online")</f>
        <v>online</v>
      </c>
      <c r="G6" s="6" t="str">
        <f t="shared" si="3"/>
        <v>1.0</v>
      </c>
      <c r="H6" s="9">
        <f t="shared" si="4"/>
        <v>1</v>
      </c>
      <c r="I6" s="10">
        <f>IFERROR(__xludf.DUMMYFUNCTION("MAX(FILTER($H$2:$H1322,$E$2:$E1322=F6))"),3.0)</f>
        <v>3</v>
      </c>
    </row>
    <row r="7">
      <c r="A7" s="4"/>
      <c r="C7" s="4" t="s">
        <v>180</v>
      </c>
      <c r="D7" s="8" t="str">
        <f t="shared" si="1"/>
        <v>{"valorA":"carrinho","valorB":1.0}</v>
      </c>
      <c r="E7" s="8" t="str">
        <f t="shared" si="2"/>
        <v>carrinho</v>
      </c>
      <c r="F7" s="8" t="str">
        <f>IFERROR(__xludf.DUMMYFUNCTION("""COMPUTED_VALUE"""),"carrinho")</f>
        <v>carrinho</v>
      </c>
      <c r="G7" s="6" t="str">
        <f t="shared" si="3"/>
        <v>1.0</v>
      </c>
      <c r="H7" s="9">
        <f t="shared" si="4"/>
        <v>1</v>
      </c>
      <c r="I7" s="10">
        <f>IFERROR(__xludf.DUMMYFUNCTION("MAX(FILTER($H$2:$H1322,$E$2:$E1322=F7))"),2.0)</f>
        <v>2</v>
      </c>
    </row>
    <row r="8">
      <c r="A8" s="4"/>
      <c r="C8" s="4" t="s">
        <v>181</v>
      </c>
      <c r="D8" s="8" t="str">
        <f t="shared" si="1"/>
        <v>{"valorA":"facil","valorB":1.0}</v>
      </c>
      <c r="E8" s="8" t="str">
        <f t="shared" si="2"/>
        <v>facil</v>
      </c>
      <c r="F8" s="8" t="str">
        <f>IFERROR(__xludf.DUMMYFUNCTION("""COMPUTED_VALUE"""),"facil")</f>
        <v>facil</v>
      </c>
      <c r="G8" s="6" t="str">
        <f t="shared" si="3"/>
        <v>1.0</v>
      </c>
      <c r="H8" s="9">
        <f t="shared" si="4"/>
        <v>1</v>
      </c>
      <c r="I8" s="10">
        <f>IFERROR(__xludf.DUMMYFUNCTION("MAX(FILTER($H$2:$H1322,$E$2:$E1322=F8))"),1.0)</f>
        <v>1</v>
      </c>
    </row>
    <row r="9">
      <c r="A9" s="4"/>
      <c r="C9" s="4" t="s">
        <v>182</v>
      </c>
      <c r="D9" s="8" t="str">
        <f t="shared" si="1"/>
        <v>{"valorA":"usar","valorB":2.0}</v>
      </c>
      <c r="E9" s="8" t="str">
        <f t="shared" si="2"/>
        <v>usar</v>
      </c>
      <c r="F9" s="8" t="str">
        <f>IFERROR(__xludf.DUMMYFUNCTION("""COMPUTED_VALUE"""),"usar")</f>
        <v>usar</v>
      </c>
      <c r="G9" s="6" t="str">
        <f t="shared" si="3"/>
        <v>2.0</v>
      </c>
      <c r="H9" s="9">
        <f t="shared" si="4"/>
        <v>2</v>
      </c>
      <c r="I9" s="10">
        <f>IFERROR(__xludf.DUMMYFUNCTION("MAX(FILTER($H$2:$H1322,$E$2:$E1322=F9))"),5.0)</f>
        <v>5</v>
      </c>
    </row>
    <row r="10">
      <c r="A10" s="4"/>
      <c r="C10" s="4" t="s">
        <v>183</v>
      </c>
      <c r="D10" s="8" t="str">
        <f t="shared" si="1"/>
        <v>{"valorA":"sapato","valorB":1.0}</v>
      </c>
      <c r="E10" s="8" t="str">
        <f t="shared" si="2"/>
        <v>sapato</v>
      </c>
      <c r="F10" s="8" t="str">
        <f>IFERROR(__xludf.DUMMYFUNCTION("""COMPUTED_VALUE"""),"sapato")</f>
        <v>sapato</v>
      </c>
      <c r="G10" s="6" t="str">
        <f t="shared" si="3"/>
        <v>1.0</v>
      </c>
      <c r="H10" s="9">
        <f t="shared" si="4"/>
        <v>1</v>
      </c>
      <c r="I10" s="10">
        <f>IFERROR(__xludf.DUMMYFUNCTION("MAX(FILTER($H$2:$H1322,$E$2:$E1322=F10))"),1.0)</f>
        <v>1</v>
      </c>
    </row>
    <row r="11">
      <c r="A11" s="4"/>
      <c r="C11" s="4" t="s">
        <v>184</v>
      </c>
      <c r="D11" s="8" t="str">
        <f t="shared" si="1"/>
        <v>{"valorA":"e","valorB":1.0}</v>
      </c>
      <c r="E11" s="8" t="str">
        <f t="shared" si="2"/>
        <v>e</v>
      </c>
      <c r="F11" s="8" t="str">
        <f>IFERROR(__xludf.DUMMYFUNCTION("""COMPUTED_VALUE"""),"e")</f>
        <v>e</v>
      </c>
      <c r="G11" s="6" t="str">
        <f t="shared" si="3"/>
        <v>1.0</v>
      </c>
      <c r="H11" s="9">
        <f t="shared" si="4"/>
        <v>1</v>
      </c>
      <c r="I11" s="10">
        <f>IFERROR(__xludf.DUMMYFUNCTION("MAX(FILTER($H$2:$H1322,$E$2:$E1322=F11))"),11.0)</f>
        <v>11</v>
      </c>
    </row>
    <row r="12">
      <c r="A12" s="4"/>
      <c r="C12" s="4" t="s">
        <v>185</v>
      </c>
      <c r="D12" s="8" t="str">
        <f t="shared" si="1"/>
        <v>{"valorA":"creme","valorB":1.0}</v>
      </c>
      <c r="E12" s="8" t="str">
        <f t="shared" si="2"/>
        <v>creme</v>
      </c>
      <c r="F12" s="8" t="str">
        <f>IFERROR(__xludf.DUMMYFUNCTION("""COMPUTED_VALUE"""),"creme")</f>
        <v>creme</v>
      </c>
      <c r="G12" s="6" t="str">
        <f t="shared" si="3"/>
        <v>1.0</v>
      </c>
      <c r="H12" s="9">
        <f t="shared" si="4"/>
        <v>1</v>
      </c>
      <c r="I12" s="10">
        <f>IFERROR(__xludf.DUMMYFUNCTION("MAX(FILTER($H$2:$H1322,$E$2:$E1322=F12))"),3.0)</f>
        <v>3</v>
      </c>
    </row>
    <row r="13">
      <c r="A13" s="4"/>
      <c r="C13" s="4" t="s">
        <v>186</v>
      </c>
      <c r="D13" s="8" t="str">
        <f t="shared" si="1"/>
        <v>{"valorA":"de","valorB":2.0}</v>
      </c>
      <c r="E13" s="8" t="str">
        <f t="shared" si="2"/>
        <v>de</v>
      </c>
      <c r="F13" s="8" t="str">
        <f>IFERROR(__xludf.DUMMYFUNCTION("""COMPUTED_VALUE"""),"de")</f>
        <v>de</v>
      </c>
      <c r="G13" s="6" t="str">
        <f t="shared" si="3"/>
        <v>2.0</v>
      </c>
      <c r="H13" s="9">
        <f t="shared" si="4"/>
        <v>2</v>
      </c>
      <c r="I13" s="10">
        <f>IFERROR(__xludf.DUMMYFUNCTION("MAX(FILTER($H$2:$H1322,$E$2:$E1322=F13))"),11.0)</f>
        <v>11</v>
      </c>
    </row>
    <row r="14">
      <c r="A14" s="4"/>
      <c r="C14" s="4" t="s">
        <v>187</v>
      </c>
      <c r="D14" s="8" t="str">
        <f t="shared" si="1"/>
        <v>{"valorA":"gosto","valorB":1.0}</v>
      </c>
      <c r="E14" s="8" t="str">
        <f t="shared" si="2"/>
        <v>gosto</v>
      </c>
      <c r="F14" s="8" t="str">
        <f>IFERROR(__xludf.DUMMYFUNCTION("""COMPUTED_VALUE"""),"gosto")</f>
        <v>gosto</v>
      </c>
      <c r="G14" s="6" t="str">
        <f t="shared" si="3"/>
        <v>1.0</v>
      </c>
      <c r="H14" s="9">
        <f t="shared" si="4"/>
        <v>1</v>
      </c>
      <c r="I14" s="10">
        <f>IFERROR(__xludf.DUMMYFUNCTION("MAX(FILTER($H$2:$H1322,$E$2:$E1322=F14))"),3.0)</f>
        <v>3</v>
      </c>
    </row>
    <row r="15">
      <c r="A15" s="4"/>
      <c r="C15" s="4" t="s">
        <v>188</v>
      </c>
      <c r="D15" s="8" t="str">
        <f t="shared" si="1"/>
        <v>{"valorA":"rápido","valorB":1.0}</v>
      </c>
      <c r="E15" s="8" t="str">
        <f t="shared" si="2"/>
        <v>rápido</v>
      </c>
      <c r="F15" s="8" t="str">
        <f>IFERROR(__xludf.DUMMYFUNCTION("""COMPUTED_VALUE"""),"rápido")</f>
        <v>rápido</v>
      </c>
      <c r="G15" s="6" t="str">
        <f t="shared" si="3"/>
        <v>1.0</v>
      </c>
      <c r="H15" s="9">
        <f t="shared" si="4"/>
        <v>1</v>
      </c>
      <c r="I15" s="10">
        <f>IFERROR(__xludf.DUMMYFUNCTION("MAX(FILTER($H$2:$H1322,$E$2:$E1322=F15))"),1.0)</f>
        <v>1</v>
      </c>
    </row>
    <row r="16">
      <c r="A16" s="4"/>
      <c r="C16" s="4" t="s">
        <v>189</v>
      </c>
      <c r="D16" s="8" t="str">
        <f t="shared" si="1"/>
        <v>{"valorA":"produto","valorB":2.0}</v>
      </c>
      <c r="E16" s="8" t="str">
        <f t="shared" si="2"/>
        <v>produto</v>
      </c>
      <c r="F16" s="8" t="str">
        <f>IFERROR(__xludf.DUMMYFUNCTION("""COMPUTED_VALUE"""),"produto")</f>
        <v>produto</v>
      </c>
      <c r="G16" s="6" t="str">
        <f t="shared" si="3"/>
        <v>2.0</v>
      </c>
      <c r="H16" s="9">
        <f t="shared" si="4"/>
        <v>2</v>
      </c>
      <c r="I16" s="10">
        <f>IFERROR(__xludf.DUMMYFUNCTION("MAX(FILTER($H$2:$H1322,$E$2:$E1322=F16))"),35.0)</f>
        <v>35</v>
      </c>
    </row>
    <row r="17">
      <c r="A17" s="4"/>
      <c r="C17" s="4" t="s">
        <v>190</v>
      </c>
      <c r="D17" s="8" t="str">
        <f t="shared" si="1"/>
        <v>{"valorA":"gostei","valorB":1.0}</v>
      </c>
      <c r="E17" s="8" t="str">
        <f t="shared" si="2"/>
        <v>gostei</v>
      </c>
      <c r="F17" s="8" t="str">
        <f>IFERROR(__xludf.DUMMYFUNCTION("""COMPUTED_VALUE"""),"gostei")</f>
        <v>gostei</v>
      </c>
      <c r="G17" s="6" t="str">
        <f t="shared" si="3"/>
        <v>1.0</v>
      </c>
      <c r="H17" s="9">
        <f t="shared" si="4"/>
        <v>1</v>
      </c>
      <c r="I17" s="10">
        <f>IFERROR(__xludf.DUMMYFUNCTION("MAX(FILTER($H$2:$H1322,$E$2:$E1322=F17))"),5.0)</f>
        <v>5</v>
      </c>
    </row>
    <row r="18">
      <c r="A18" s="4"/>
      <c r="C18" s="4" t="s">
        <v>191</v>
      </c>
      <c r="D18" s="8" t="str">
        <f t="shared" si="1"/>
        <v>{"valorA":"ótimo","valorB":3.0}</v>
      </c>
      <c r="E18" s="8" t="str">
        <f t="shared" si="2"/>
        <v>ótimo</v>
      </c>
      <c r="F18" s="8" t="str">
        <f>IFERROR(__xludf.DUMMYFUNCTION("""COMPUTED_VALUE"""),"esse")</f>
        <v>esse</v>
      </c>
      <c r="G18" s="6" t="str">
        <f t="shared" si="3"/>
        <v>3.0</v>
      </c>
      <c r="H18" s="9">
        <f t="shared" si="4"/>
        <v>3</v>
      </c>
      <c r="I18" s="10">
        <f>IFERROR(__xludf.DUMMYFUNCTION("MAX(FILTER($H$2:$H1322,$E$2:$E1322=F18))"),8.0)</f>
        <v>8</v>
      </c>
    </row>
    <row r="19">
      <c r="A19" s="4"/>
      <c r="C19" s="4" t="s">
        <v>192</v>
      </c>
      <c r="D19" s="8" t="str">
        <f t="shared" si="1"/>
        <v>{"valorA":"esse","valorB":1.0}</v>
      </c>
      <c r="E19" s="8" t="str">
        <f t="shared" si="2"/>
        <v>esse</v>
      </c>
      <c r="F19" s="8" t="str">
        <f>IFERROR(__xludf.DUMMYFUNCTION("""COMPUTED_VALUE"""),"muito")</f>
        <v>muito</v>
      </c>
      <c r="G19" s="6" t="str">
        <f t="shared" si="3"/>
        <v>1.0</v>
      </c>
      <c r="H19" s="9">
        <f t="shared" si="4"/>
        <v>1</v>
      </c>
      <c r="I19" s="10">
        <f>IFERROR(__xludf.DUMMYFUNCTION("MAX(FILTER($H$2:$H1322,$E$2:$E1322=F19))"),16.0)</f>
        <v>16</v>
      </c>
    </row>
    <row r="20">
      <c r="A20" s="4"/>
      <c r="C20" s="4" t="s">
        <v>193</v>
      </c>
      <c r="D20" s="8" t="str">
        <f t="shared" si="1"/>
        <v>{"valorA":"muito","valorB":2.0}</v>
      </c>
      <c r="E20" s="8" t="str">
        <f t="shared" si="2"/>
        <v>muito</v>
      </c>
      <c r="F20" s="8" t="str">
        <f>IFERROR(__xludf.DUMMYFUNCTION("""COMPUTED_VALUE"""),"hidratante")</f>
        <v>hidratante</v>
      </c>
      <c r="G20" s="6" t="str">
        <f t="shared" si="3"/>
        <v>2.0</v>
      </c>
      <c r="H20" s="9">
        <f t="shared" si="4"/>
        <v>2</v>
      </c>
      <c r="I20" s="10">
        <f>IFERROR(__xludf.DUMMYFUNCTION("MAX(FILTER($H$2:$H1322,$E$2:$E1322=F20))"),1.0)</f>
        <v>1</v>
      </c>
    </row>
    <row r="21">
      <c r="A21" s="4"/>
      <c r="C21" s="4" t="s">
        <v>194</v>
      </c>
      <c r="D21" s="8" t="str">
        <f t="shared" si="1"/>
        <v>{"valorA":"hidratante","valorB":1.0}</v>
      </c>
      <c r="E21" s="8" t="str">
        <f t="shared" si="2"/>
        <v>hidratante</v>
      </c>
      <c r="F21" s="8" t="str">
        <f>IFERROR(__xludf.DUMMYFUNCTION("""COMPUTED_VALUE"""),"desse")</f>
        <v>desse</v>
      </c>
      <c r="G21" s="6" t="str">
        <f t="shared" si="3"/>
        <v>1.0</v>
      </c>
      <c r="H21" s="9">
        <f t="shared" si="4"/>
        <v>1</v>
      </c>
      <c r="I21" s="10">
        <f>IFERROR(__xludf.DUMMYFUNCTION("MAX(FILTER($H$2:$H1322,$E$2:$E1322=F21))"),2.0)</f>
        <v>2</v>
      </c>
    </row>
    <row r="22">
      <c r="A22" s="4"/>
      <c r="C22" s="4" t="s">
        <v>195</v>
      </c>
      <c r="D22" s="8" t="str">
        <f t="shared" si="1"/>
        <v>{"valorA":"desse","valorB":1.0}</v>
      </c>
      <c r="E22" s="8" t="str">
        <f t="shared" si="2"/>
        <v>desse</v>
      </c>
      <c r="F22" s="8" t="str">
        <f>IFERROR(__xludf.DUMMYFUNCTION("""COMPUTED_VALUE"""),"seu")</f>
        <v>seu</v>
      </c>
      <c r="G22" s="6" t="str">
        <f t="shared" si="3"/>
        <v>1.0</v>
      </c>
      <c r="H22" s="9">
        <f t="shared" si="4"/>
        <v>1</v>
      </c>
      <c r="I22" s="10">
        <f>IFERROR(__xludf.DUMMYFUNCTION("MAX(FILTER($H$2:$H1322,$E$2:$E1322=F22))"),1.0)</f>
        <v>1</v>
      </c>
    </row>
    <row r="23">
      <c r="A23" s="4"/>
      <c r="C23" s="4" t="s">
        <v>196</v>
      </c>
      <c r="D23" s="8" t="str">
        <f t="shared" si="1"/>
        <v>{"valorA":"seu","valorB":1.0}</v>
      </c>
      <c r="E23" s="8" t="str">
        <f t="shared" si="2"/>
        <v>seu</v>
      </c>
      <c r="F23" s="8" t="str">
        <f>IFERROR(__xludf.DUMMYFUNCTION("""COMPUTED_VALUE"""),"comentário")</f>
        <v>comentário</v>
      </c>
      <c r="G23" s="6" t="str">
        <f t="shared" si="3"/>
        <v>1.0</v>
      </c>
      <c r="H23" s="9">
        <f t="shared" si="4"/>
        <v>1</v>
      </c>
      <c r="I23" s="10">
        <f>IFERROR(__xludf.DUMMYFUNCTION("MAX(FILTER($H$2:$H1322,$E$2:$E1322=F23))"),1.0)</f>
        <v>1</v>
      </c>
    </row>
    <row r="24">
      <c r="A24" s="4"/>
      <c r="C24" s="4" t="s">
        <v>197</v>
      </c>
      <c r="D24" s="8" t="str">
        <f t="shared" si="1"/>
        <v>{"valorA":"é","valorB":2.0}</v>
      </c>
      <c r="E24" s="8" t="str">
        <f t="shared" si="2"/>
        <v>é</v>
      </c>
      <c r="F24" s="8" t="str">
        <f>IFERROR(__xludf.DUMMYFUNCTION("""COMPUTED_VALUE"""),"parabéns")</f>
        <v>parabéns</v>
      </c>
      <c r="G24" s="6" t="str">
        <f t="shared" si="3"/>
        <v>2.0</v>
      </c>
      <c r="H24" s="9">
        <f t="shared" si="4"/>
        <v>2</v>
      </c>
      <c r="I24" s="10">
        <f>IFERROR(__xludf.DUMMYFUNCTION("MAX(FILTER($H$2:$H1322,$E$2:$E1322=F24))"),1.0)</f>
        <v>1</v>
      </c>
    </row>
    <row r="25">
      <c r="A25" s="4"/>
      <c r="C25" s="4" t="s">
        <v>198</v>
      </c>
      <c r="D25" s="8" t="str">
        <f t="shared" si="1"/>
        <v>{"valorA":"comentário","valorB":1.0}</v>
      </c>
      <c r="E25" s="8" t="str">
        <f t="shared" si="2"/>
        <v>comentário</v>
      </c>
      <c r="F25" s="8" t="str">
        <f>IFERROR(__xludf.DUMMYFUNCTION("""COMPUTED_VALUE"""),"meu")</f>
        <v>meu</v>
      </c>
      <c r="G25" s="6" t="str">
        <f t="shared" si="3"/>
        <v>1.0</v>
      </c>
      <c r="H25" s="9">
        <f t="shared" si="4"/>
        <v>1</v>
      </c>
      <c r="I25" s="10">
        <f>IFERROR(__xludf.DUMMYFUNCTION("MAX(FILTER($H$2:$H1322,$E$2:$E1322=F25))"),4.0)</f>
        <v>4</v>
      </c>
    </row>
    <row r="26">
      <c r="A26" s="4"/>
      <c r="C26" s="4" t="s">
        <v>199</v>
      </c>
      <c r="D26" s="8" t="str">
        <f t="shared" si="1"/>
        <v>{"valorA":"parabéns","valorB":1.0}</v>
      </c>
      <c r="E26" s="8" t="str">
        <f t="shared" si="2"/>
        <v>parabéns</v>
      </c>
      <c r="F26" s="8" t="str">
        <f>IFERROR(__xludf.DUMMYFUNCTION("""COMPUTED_VALUE"""),"comprado")</f>
        <v>comprado</v>
      </c>
      <c r="G26" s="6" t="str">
        <f t="shared" si="3"/>
        <v>1.0</v>
      </c>
      <c r="H26" s="9">
        <f t="shared" si="4"/>
        <v>1</v>
      </c>
      <c r="I26" s="10">
        <f>IFERROR(__xludf.DUMMYFUNCTION("MAX(FILTER($H$2:$H1322,$E$2:$E1322=F26))"),1.0)</f>
        <v>1</v>
      </c>
    </row>
    <row r="27">
      <c r="A27" s="4"/>
      <c r="C27" s="4" t="s">
        <v>200</v>
      </c>
      <c r="D27" s="8" t="str">
        <f t="shared" si="1"/>
        <v>{"valorA":"meu","valorB":1.0}</v>
      </c>
      <c r="E27" s="8" t="str">
        <f t="shared" si="2"/>
        <v>meu</v>
      </c>
      <c r="F27" s="8" t="str">
        <f>IFERROR(__xludf.DUMMYFUNCTION("""COMPUTED_VALUE"""),"incrível")</f>
        <v>incrível</v>
      </c>
      <c r="G27" s="6" t="str">
        <f t="shared" si="3"/>
        <v>1.0</v>
      </c>
      <c r="H27" s="9">
        <f t="shared" si="4"/>
        <v>1</v>
      </c>
      <c r="I27" s="10">
        <f>IFERROR(__xludf.DUMMYFUNCTION("MAX(FILTER($H$2:$H1322,$E$2:$E1322=F27))"),4.0)</f>
        <v>4</v>
      </c>
    </row>
    <row r="28">
      <c r="A28" s="4"/>
      <c r="C28" s="4" t="s">
        <v>201</v>
      </c>
      <c r="D28" s="8" t="str">
        <f t="shared" si="1"/>
        <v>{"valorA":"comprado","valorB":1.0}</v>
      </c>
      <c r="E28" s="8" t="str">
        <f t="shared" si="2"/>
        <v>comprado</v>
      </c>
      <c r="F28" s="8" t="str">
        <f>IFERROR(__xludf.DUMMYFUNCTION("""COMPUTED_VALUE"""),"por")</f>
        <v>por</v>
      </c>
      <c r="G28" s="6" t="str">
        <f t="shared" si="3"/>
        <v>1.0</v>
      </c>
      <c r="H28" s="9">
        <f t="shared" si="4"/>
        <v>1</v>
      </c>
      <c r="I28" s="10">
        <f>IFERROR(__xludf.DUMMYFUNCTION("MAX(FILTER($H$2:$H1322,$E$2:$E1322=F28))"),1.0)</f>
        <v>1</v>
      </c>
    </row>
    <row r="29">
      <c r="A29" s="4"/>
      <c r="C29" s="4" t="s">
        <v>202</v>
      </c>
      <c r="D29" s="8" t="str">
        <f t="shared" si="1"/>
        <v>{"valorA":"incrível","valorB":1.0}</v>
      </c>
      <c r="E29" s="8" t="str">
        <f t="shared" si="2"/>
        <v>incrível</v>
      </c>
      <c r="F29" s="8" t="str">
        <f>IFERROR(__xludf.DUMMYFUNCTION("""COMPUTED_VALUE"""),"pelo")</f>
        <v>pelo</v>
      </c>
      <c r="G29" s="6" t="str">
        <f t="shared" si="3"/>
        <v>1.0</v>
      </c>
      <c r="H29" s="9">
        <f t="shared" si="4"/>
        <v>1</v>
      </c>
      <c r="I29" s="10">
        <f>IFERROR(__xludf.DUMMYFUNCTION("MAX(FILTER($H$2:$H1322,$E$2:$E1322=F29))"),1.0)</f>
        <v>1</v>
      </c>
    </row>
    <row r="30">
      <c r="A30" s="4"/>
      <c r="C30" s="4" t="s">
        <v>203</v>
      </c>
      <c r="D30" s="8" t="str">
        <f t="shared" si="1"/>
        <v>{"valorA":"por","valorB":1.0}</v>
      </c>
      <c r="E30" s="8" t="str">
        <f t="shared" si="2"/>
        <v>por</v>
      </c>
      <c r="F30" s="8" t="str">
        <f>IFERROR(__xludf.DUMMYFUNCTION("""COMPUTED_VALUE"""),"muchas")</f>
        <v>muchas</v>
      </c>
      <c r="G30" s="6" t="str">
        <f t="shared" si="3"/>
        <v>1.0</v>
      </c>
      <c r="H30" s="9">
        <f t="shared" si="4"/>
        <v>1</v>
      </c>
      <c r="I30" s="10">
        <f>IFERROR(__xludf.DUMMYFUNCTION("MAX(FILTER($H$2:$H1322,$E$2:$E1322=F30))"),1.0)</f>
        <v>1</v>
      </c>
    </row>
    <row r="31">
      <c r="A31" s="4"/>
      <c r="C31" s="4" t="s">
        <v>204</v>
      </c>
      <c r="D31" s="8" t="str">
        <f t="shared" si="1"/>
        <v>{"valorA":"pelo","valorB":1.0}</v>
      </c>
      <c r="E31" s="8" t="str">
        <f t="shared" si="2"/>
        <v>pelo</v>
      </c>
      <c r="F31" s="8" t="str">
        <f>IFERROR(__xludf.DUMMYFUNCTION("""COMPUTED_VALUE"""),"ter")</f>
        <v>ter</v>
      </c>
      <c r="G31" s="6" t="str">
        <f t="shared" si="3"/>
        <v>1.0</v>
      </c>
      <c r="H31" s="9">
        <f t="shared" si="4"/>
        <v>1</v>
      </c>
      <c r="I31" s="10">
        <f>IFERROR(__xludf.DUMMYFUNCTION("MAX(FILTER($H$2:$H1322,$E$2:$E1322=F31))"),1.0)</f>
        <v>1</v>
      </c>
    </row>
    <row r="32">
      <c r="A32" s="4"/>
      <c r="C32" s="4" t="s">
        <v>205</v>
      </c>
      <c r="D32" s="8" t="str">
        <f t="shared" si="1"/>
        <v>{"valorA":"muchas","valorB":1.0}</v>
      </c>
      <c r="E32" s="8" t="str">
        <f t="shared" si="2"/>
        <v>muchas</v>
      </c>
      <c r="F32" s="8" t="str">
        <f>IFERROR(__xludf.DUMMYFUNCTION("""COMPUTED_VALUE"""),"graças")</f>
        <v>graças</v>
      </c>
      <c r="G32" s="6" t="str">
        <f t="shared" si="3"/>
        <v>1.0</v>
      </c>
      <c r="H32" s="9">
        <f t="shared" si="4"/>
        <v>1</v>
      </c>
      <c r="I32" s="10">
        <f>IFERROR(__xludf.DUMMYFUNCTION("MAX(FILTER($H$2:$H1322,$E$2:$E1322=F32))"),1.0)</f>
        <v>1</v>
      </c>
    </row>
    <row r="33">
      <c r="A33" s="4"/>
      <c r="C33" s="4" t="s">
        <v>206</v>
      </c>
      <c r="D33" s="8" t="str">
        <f t="shared" si="1"/>
        <v>{"valorA":"ter","valorB":1.0}</v>
      </c>
      <c r="E33" s="8" t="str">
        <f t="shared" si="2"/>
        <v>ter</v>
      </c>
      <c r="F33" s="8" t="str">
        <f>IFERROR(__xludf.DUMMYFUNCTION("""COMPUTED_VALUE"""),"carro")</f>
        <v>carro</v>
      </c>
      <c r="G33" s="6" t="str">
        <f t="shared" si="3"/>
        <v>1.0</v>
      </c>
      <c r="H33" s="9">
        <f t="shared" si="4"/>
        <v>1</v>
      </c>
      <c r="I33" s="10">
        <f>IFERROR(__xludf.DUMMYFUNCTION("MAX(FILTER($H$2:$H1322,$E$2:$E1322=F33))"),3.0)</f>
        <v>3</v>
      </c>
    </row>
    <row r="34">
      <c r="A34" s="4"/>
      <c r="C34" s="4" t="s">
        <v>207</v>
      </c>
      <c r="D34" s="8" t="str">
        <f t="shared" si="1"/>
        <v>{"valorA":"graças","valorB":1.0}</v>
      </c>
      <c r="E34" s="8" t="str">
        <f t="shared" si="2"/>
        <v>graças</v>
      </c>
      <c r="F34" s="8" t="str">
        <f>IFERROR(__xludf.DUMMYFUNCTION("""COMPUTED_VALUE"""),"ajudá")</f>
        <v>ajudá</v>
      </c>
      <c r="G34" s="6" t="str">
        <f t="shared" si="3"/>
        <v>1.0</v>
      </c>
      <c r="H34" s="9">
        <f t="shared" si="4"/>
        <v>1</v>
      </c>
      <c r="I34" s="10">
        <f>IFERROR(__xludf.DUMMYFUNCTION("MAX(FILTER($H$2:$H1322,$E$2:$E1322=F34))"),1.0)</f>
        <v>1</v>
      </c>
    </row>
    <row r="35">
      <c r="A35" s="4"/>
      <c r="C35" s="4" t="s">
        <v>208</v>
      </c>
      <c r="D35" s="8" t="str">
        <f t="shared" si="1"/>
        <v>{"valorA":"carro","valorB":1.0}</v>
      </c>
      <c r="E35" s="8" t="str">
        <f t="shared" si="2"/>
        <v>carro</v>
      </c>
      <c r="F35" s="8" t="str">
        <f>IFERROR(__xludf.DUMMYFUNCTION("""COMPUTED_VALUE"""),"vamos")</f>
        <v>vamos</v>
      </c>
      <c r="G35" s="6" t="str">
        <f t="shared" si="3"/>
        <v>1.0</v>
      </c>
      <c r="H35" s="9">
        <f t="shared" si="4"/>
        <v>1</v>
      </c>
      <c r="I35" s="10">
        <f>IFERROR(__xludf.DUMMYFUNCTION("MAX(FILTER($H$2:$H1322,$E$2:$E1322=F35))"),1.0)</f>
        <v>1</v>
      </c>
    </row>
    <row r="36">
      <c r="A36" s="4"/>
      <c r="C36" s="4" t="s">
        <v>209</v>
      </c>
      <c r="D36" s="8" t="str">
        <f t="shared" si="1"/>
        <v>{"valorA":"produto","valorB":4.0}</v>
      </c>
      <c r="E36" s="8" t="str">
        <f t="shared" si="2"/>
        <v>produto</v>
      </c>
      <c r="F36" s="8" t="str">
        <f>IFERROR(__xludf.DUMMYFUNCTION("""COMPUTED_VALUE"""),"podemos")</f>
        <v>podemos</v>
      </c>
      <c r="G36" s="6" t="str">
        <f t="shared" si="3"/>
        <v>4.0</v>
      </c>
      <c r="H36" s="9">
        <f t="shared" si="4"/>
        <v>4</v>
      </c>
      <c r="I36" s="10">
        <f>IFERROR(__xludf.DUMMYFUNCTION("MAX(FILTER($H$2:$H1322,$E$2:$E1322=F36))"),1.0)</f>
        <v>1</v>
      </c>
    </row>
    <row r="37">
      <c r="A37" s="4"/>
      <c r="C37" s="4" t="s">
        <v>210</v>
      </c>
      <c r="D37" s="8" t="str">
        <f t="shared" si="1"/>
        <v>{"valorA":"ótimo","valorB":5.0}</v>
      </c>
      <c r="E37" s="8" t="str">
        <f t="shared" si="2"/>
        <v>ótimo</v>
      </c>
      <c r="F37" s="8" t="str">
        <f>IFERROR(__xludf.DUMMYFUNCTION("""COMPUTED_VALUE"""),"satisfeito")</f>
        <v>satisfeito</v>
      </c>
      <c r="G37" s="6" t="str">
        <f t="shared" si="3"/>
        <v>5.0</v>
      </c>
      <c r="H37" s="9">
        <f t="shared" si="4"/>
        <v>5</v>
      </c>
      <c r="I37" s="10">
        <f>IFERROR(__xludf.DUMMYFUNCTION("MAX(FILTER($H$2:$H1322,$E$2:$E1322=F37))"),4.0)</f>
        <v>4</v>
      </c>
    </row>
    <row r="38">
      <c r="A38" s="4"/>
      <c r="C38" s="4" t="s">
        <v>211</v>
      </c>
      <c r="D38" s="8" t="str">
        <f t="shared" si="1"/>
        <v>{"valorA":"ajudá","valorB":1.0}</v>
      </c>
      <c r="E38" s="8" t="str">
        <f t="shared" si="2"/>
        <v>ajudá</v>
      </c>
      <c r="F38" s="8" t="str">
        <f>IFERROR(__xludf.DUMMYFUNCTION("""COMPUTED_VALUE"""),"novo")</f>
        <v>novo</v>
      </c>
      <c r="G38" s="6" t="str">
        <f t="shared" si="3"/>
        <v>1.0</v>
      </c>
      <c r="H38" s="9">
        <f t="shared" si="4"/>
        <v>1</v>
      </c>
      <c r="I38" s="10">
        <f>IFERROR(__xludf.DUMMYFUNCTION("MAX(FILTER($H$2:$H1322,$E$2:$E1322=F38))"),3.0)</f>
        <v>3</v>
      </c>
    </row>
    <row r="39">
      <c r="A39" s="4"/>
      <c r="C39" s="4" t="s">
        <v>212</v>
      </c>
      <c r="D39" s="8" t="str">
        <f t="shared" si="1"/>
        <v>{"valorA":"muito","valorB":3.0}</v>
      </c>
      <c r="E39" s="8" t="str">
        <f t="shared" si="2"/>
        <v>muito</v>
      </c>
      <c r="F39" s="8" t="str">
        <f>IFERROR(__xludf.DUMMYFUNCTION("""COMPUTED_VALUE"""),"adorei")</f>
        <v>adorei</v>
      </c>
      <c r="G39" s="6" t="str">
        <f t="shared" si="3"/>
        <v>3.0</v>
      </c>
      <c r="H39" s="9">
        <f t="shared" si="4"/>
        <v>3</v>
      </c>
      <c r="I39" s="10">
        <f>IFERROR(__xludf.DUMMYFUNCTION("MAX(FILTER($H$2:$H1322,$E$2:$E1322=F39))"),2.0)</f>
        <v>2</v>
      </c>
    </row>
    <row r="40">
      <c r="A40" s="4"/>
      <c r="C40" s="4" t="s">
        <v>213</v>
      </c>
      <c r="D40" s="8" t="str">
        <f t="shared" si="1"/>
        <v>{"valorA":"vamos","valorB":1.0}</v>
      </c>
      <c r="E40" s="8" t="str">
        <f t="shared" si="2"/>
        <v>vamos</v>
      </c>
      <c r="F40" s="8" t="str">
        <f>IFERROR(__xludf.DUMMYFUNCTION("""COMPUTED_VALUE"""),"netos")</f>
        <v>netos</v>
      </c>
      <c r="G40" s="6" t="str">
        <f t="shared" si="3"/>
        <v>1.0</v>
      </c>
      <c r="H40" s="9">
        <f t="shared" si="4"/>
        <v>1</v>
      </c>
      <c r="I40" s="10">
        <f>IFERROR(__xludf.DUMMYFUNCTION("MAX(FILTER($H$2:$H1322,$E$2:$E1322=F40))"),1.0)</f>
        <v>1</v>
      </c>
    </row>
    <row r="41">
      <c r="A41" s="4"/>
      <c r="C41" s="4" t="s">
        <v>214</v>
      </c>
      <c r="D41" s="8" t="str">
        <f t="shared" si="1"/>
        <v>{"valorA":"podemos","valorB":1.0}</v>
      </c>
      <c r="E41" s="8" t="str">
        <f t="shared" si="2"/>
        <v>podemos</v>
      </c>
      <c r="F41" s="8" t="str">
        <f>IFERROR(__xludf.DUMMYFUNCTION("""COMPUTED_VALUE"""),"bem")</f>
        <v>bem</v>
      </c>
      <c r="G41" s="6" t="str">
        <f t="shared" si="3"/>
        <v>1.0</v>
      </c>
      <c r="H41" s="9">
        <f t="shared" si="4"/>
        <v>1</v>
      </c>
      <c r="I41" s="10">
        <f>IFERROR(__xludf.DUMMYFUNCTION("MAX(FILTER($H$2:$H1322,$E$2:$E1322=F41))"),12.0)</f>
        <v>12</v>
      </c>
    </row>
    <row r="42">
      <c r="A42" s="4"/>
      <c r="C42" s="4" t="s">
        <v>215</v>
      </c>
      <c r="D42" s="8" t="str">
        <f t="shared" si="1"/>
        <v>{"valorA":"satisfeito","valorB":1.0}</v>
      </c>
      <c r="E42" s="8" t="str">
        <f t="shared" si="2"/>
        <v>satisfeito</v>
      </c>
      <c r="F42" s="8" t="str">
        <f>IFERROR(__xludf.DUMMYFUNCTION("""COMPUTED_VALUE"""),"adoram")</f>
        <v>adoram</v>
      </c>
      <c r="G42" s="6" t="str">
        <f t="shared" si="3"/>
        <v>1.0</v>
      </c>
      <c r="H42" s="9">
        <f t="shared" si="4"/>
        <v>1</v>
      </c>
      <c r="I42" s="10">
        <f>IFERROR(__xludf.DUMMYFUNCTION("MAX(FILTER($H$2:$H1322,$E$2:$E1322=F42))"),1.0)</f>
        <v>1</v>
      </c>
    </row>
    <row r="43">
      <c r="A43" s="4"/>
      <c r="C43" s="4" t="s">
        <v>216</v>
      </c>
      <c r="D43" s="8" t="str">
        <f t="shared" si="1"/>
        <v>{"valorA":"novo","valorB":1.0}</v>
      </c>
      <c r="E43" s="8" t="str">
        <f t="shared" si="2"/>
        <v>novo</v>
      </c>
      <c r="F43" s="8" t="str">
        <f>IFERROR(__xludf.DUMMYFUNCTION("""COMPUTED_VALUE"""),"muitos")</f>
        <v>muitos</v>
      </c>
      <c r="G43" s="6" t="str">
        <f t="shared" si="3"/>
        <v>1.0</v>
      </c>
      <c r="H43" s="9">
        <f t="shared" si="4"/>
        <v>1</v>
      </c>
      <c r="I43" s="10">
        <f>IFERROR(__xludf.DUMMYFUNCTION("MAX(FILTER($H$2:$H1322,$E$2:$E1322=F43))"),1.0)</f>
        <v>1</v>
      </c>
    </row>
    <row r="44">
      <c r="A44" s="4"/>
      <c r="C44" s="4" t="s">
        <v>217</v>
      </c>
      <c r="D44" s="8" t="str">
        <f t="shared" si="1"/>
        <v>{"valorA":"adorei","valorB":1.0}</v>
      </c>
      <c r="E44" s="8" t="str">
        <f t="shared" si="2"/>
        <v>adorei</v>
      </c>
      <c r="F44" s="8" t="str">
        <f>IFERROR(__xludf.DUMMYFUNCTION("""COMPUTED_VALUE"""),"meus")</f>
        <v>meus</v>
      </c>
      <c r="G44" s="6" t="str">
        <f t="shared" si="3"/>
        <v>1.0</v>
      </c>
      <c r="H44" s="9">
        <f t="shared" si="4"/>
        <v>1</v>
      </c>
      <c r="I44" s="10">
        <f>IFERROR(__xludf.DUMMYFUNCTION("MAX(FILTER($H$2:$H1322,$E$2:$E1322=F44))"),1.0)</f>
        <v>1</v>
      </c>
    </row>
    <row r="45">
      <c r="A45" s="4"/>
      <c r="C45" s="4" t="s">
        <v>218</v>
      </c>
      <c r="D45" s="8" t="str">
        <f t="shared" si="1"/>
        <v>{"valorA":"para","valorB":3.0}</v>
      </c>
      <c r="E45" s="8" t="str">
        <f t="shared" si="2"/>
        <v>para</v>
      </c>
      <c r="F45" s="8" t="str">
        <f>IFERROR(__xludf.DUMMYFUNCTION("""COMPUTED_VALUE"""),"funções")</f>
        <v>funções</v>
      </c>
      <c r="G45" s="6" t="str">
        <f t="shared" si="3"/>
        <v>3.0</v>
      </c>
      <c r="H45" s="9">
        <f t="shared" si="4"/>
        <v>3</v>
      </c>
      <c r="I45" s="10">
        <f>IFERROR(__xludf.DUMMYFUNCTION("MAX(FILTER($H$2:$H1322,$E$2:$E1322=F45))"),1.0)</f>
        <v>1</v>
      </c>
    </row>
    <row r="46">
      <c r="A46" s="4"/>
      <c r="C46" s="4" t="s">
        <v>219</v>
      </c>
      <c r="D46" s="8" t="str">
        <f t="shared" si="1"/>
        <v>{"valorA":"netos","valorB":1.0}</v>
      </c>
      <c r="E46" s="8" t="str">
        <f t="shared" si="2"/>
        <v>netos</v>
      </c>
      <c r="F46" s="8" t="str">
        <f>IFERROR(__xludf.DUMMYFUNCTION("""COMPUTED_VALUE"""),"crianças")</f>
        <v>crianças</v>
      </c>
      <c r="G46" s="6" t="str">
        <f t="shared" si="3"/>
        <v>1.0</v>
      </c>
      <c r="H46" s="9">
        <f t="shared" si="4"/>
        <v>1</v>
      </c>
      <c r="I46" s="10">
        <f>IFERROR(__xludf.DUMMYFUNCTION("MAX(FILTER($H$2:$H1322,$E$2:$E1322=F46))"),2.0)</f>
        <v>2</v>
      </c>
    </row>
    <row r="47">
      <c r="A47" s="4"/>
      <c r="C47" s="4" t="s">
        <v>220</v>
      </c>
      <c r="D47" s="8" t="str">
        <f t="shared" si="1"/>
        <v>{"valorA":"bem","valorB":1.0}</v>
      </c>
      <c r="E47" s="8" t="str">
        <f t="shared" si="2"/>
        <v>bem</v>
      </c>
      <c r="F47" s="8" t="str">
        <f>IFERROR(__xludf.DUMMYFUNCTION("""COMPUTED_VALUE"""),"brinquedo")</f>
        <v>brinquedo</v>
      </c>
      <c r="G47" s="6" t="str">
        <f t="shared" si="3"/>
        <v>1.0</v>
      </c>
      <c r="H47" s="9">
        <f t="shared" si="4"/>
        <v>1</v>
      </c>
      <c r="I47" s="10">
        <f>IFERROR(__xludf.DUMMYFUNCTION("MAX(FILTER($H$2:$H1322,$E$2:$E1322=F47))"),2.0)</f>
        <v>2</v>
      </c>
    </row>
    <row r="48">
      <c r="A48" s="4"/>
      <c r="C48" s="4" t="s">
        <v>221</v>
      </c>
      <c r="D48" s="8" t="str">
        <f t="shared" si="1"/>
        <v>{"valorA":"adoram","valorB":1.0}</v>
      </c>
      <c r="E48" s="8" t="str">
        <f t="shared" si="2"/>
        <v>adoram</v>
      </c>
      <c r="F48" s="8" t="str">
        <f>IFERROR(__xludf.DUMMYFUNCTION("""COMPUTED_VALUE"""),"madeiro")</f>
        <v>madeiro</v>
      </c>
      <c r="G48" s="6" t="str">
        <f t="shared" si="3"/>
        <v>1.0</v>
      </c>
      <c r="H48" s="9">
        <f t="shared" si="4"/>
        <v>1</v>
      </c>
      <c r="I48" s="10">
        <f>IFERROR(__xludf.DUMMYFUNCTION("MAX(FILTER($H$2:$H1322,$E$2:$E1322=F48))"),1.0)</f>
        <v>1</v>
      </c>
    </row>
    <row r="49">
      <c r="A49" s="4"/>
      <c r="C49" s="4" t="s">
        <v>222</v>
      </c>
      <c r="D49" s="8" t="str">
        <f t="shared" si="1"/>
        <v>{"valorA":"muitos","valorB":1.0}</v>
      </c>
      <c r="E49" s="8" t="str">
        <f t="shared" si="2"/>
        <v>muitos</v>
      </c>
      <c r="F49" s="8" t="str">
        <f>IFERROR(__xludf.DUMMYFUNCTION("""COMPUTED_VALUE"""),"minhas")</f>
        <v>minhas</v>
      </c>
      <c r="G49" s="6" t="str">
        <f t="shared" si="3"/>
        <v>1.0</v>
      </c>
      <c r="H49" s="9">
        <f t="shared" si="4"/>
        <v>1</v>
      </c>
      <c r="I49" s="10">
        <f>IFERROR(__xludf.DUMMYFUNCTION("MAX(FILTER($H$2:$H1322,$E$2:$E1322=F49))"),1.0)</f>
        <v>1</v>
      </c>
    </row>
    <row r="50">
      <c r="A50" s="4"/>
      <c r="C50" s="4" t="s">
        <v>223</v>
      </c>
      <c r="D50" s="8" t="str">
        <f t="shared" si="1"/>
        <v>{"valorA":"e","valorB":2.0}</v>
      </c>
      <c r="E50" s="8" t="str">
        <f t="shared" si="2"/>
        <v>e</v>
      </c>
      <c r="F50" s="8" t="str">
        <f>IFERROR(__xludf.DUMMYFUNCTION("""COMPUTED_VALUE"""),"macias")</f>
        <v>macias</v>
      </c>
      <c r="G50" s="6" t="str">
        <f t="shared" si="3"/>
        <v>2.0</v>
      </c>
      <c r="H50" s="9">
        <f t="shared" si="4"/>
        <v>2</v>
      </c>
      <c r="I50" s="10">
        <f>IFERROR(__xludf.DUMMYFUNCTION("MAX(FILTER($H$2:$H1322,$E$2:$E1322=F50))"),1.0)</f>
        <v>1</v>
      </c>
    </row>
    <row r="51">
      <c r="A51" s="4"/>
      <c r="C51" s="4" t="s">
        <v>224</v>
      </c>
      <c r="D51" s="8" t="str">
        <f t="shared" si="1"/>
        <v>{"valorA":"meus","valorB":1.0}</v>
      </c>
      <c r="E51" s="8" t="str">
        <f t="shared" si="2"/>
        <v>meus</v>
      </c>
      <c r="F51" s="8" t="str">
        <f>IFERROR(__xludf.DUMMYFUNCTION("""COMPUTED_VALUE"""),"recomendo")</f>
        <v>recomendo</v>
      </c>
      <c r="G51" s="6" t="str">
        <f t="shared" si="3"/>
        <v>1.0</v>
      </c>
      <c r="H51" s="9">
        <f t="shared" si="4"/>
        <v>1</v>
      </c>
      <c r="I51" s="10">
        <f>IFERROR(__xludf.DUMMYFUNCTION("MAX(FILTER($H$2:$H1322,$E$2:$E1322=F51))"),7.0)</f>
        <v>7</v>
      </c>
    </row>
    <row r="52">
      <c r="A52" s="4"/>
      <c r="C52" s="4" t="s">
        <v>225</v>
      </c>
      <c r="D52" s="8" t="str">
        <f t="shared" si="1"/>
        <v>{"valorA":"funções","valorB":1.0}</v>
      </c>
      <c r="E52" s="8" t="str">
        <f t="shared" si="2"/>
        <v>funções</v>
      </c>
      <c r="F52" s="8" t="str">
        <f>IFERROR(__xludf.DUMMYFUNCTION("""COMPUTED_VALUE"""),"frigorifico")</f>
        <v>frigorifico</v>
      </c>
      <c r="G52" s="6" t="str">
        <f t="shared" si="3"/>
        <v>1.0</v>
      </c>
      <c r="H52" s="9">
        <f t="shared" si="4"/>
        <v>1</v>
      </c>
      <c r="I52" s="10">
        <f>IFERROR(__xludf.DUMMYFUNCTION("MAX(FILTER($H$2:$H1322,$E$2:$E1322=F52))"),1.0)</f>
        <v>1</v>
      </c>
    </row>
    <row r="53">
      <c r="A53" s="4"/>
      <c r="C53" s="4" t="s">
        <v>226</v>
      </c>
      <c r="D53" s="8" t="str">
        <f t="shared" si="1"/>
        <v>{"valorA":"crianças","valorB":2.0}</v>
      </c>
      <c r="E53" s="8" t="str">
        <f t="shared" si="2"/>
        <v>crianças</v>
      </c>
      <c r="F53" s="8" t="str">
        <f>IFERROR(__xludf.DUMMYFUNCTION("""COMPUTED_VALUE"""),"agora")</f>
        <v>agora</v>
      </c>
      <c r="G53" s="6" t="str">
        <f t="shared" si="3"/>
        <v>2.0</v>
      </c>
      <c r="H53" s="9">
        <f t="shared" si="4"/>
        <v>2</v>
      </c>
      <c r="I53" s="10">
        <f>IFERROR(__xludf.DUMMYFUNCTION("MAX(FILTER($H$2:$H1322,$E$2:$E1322=F53))"),1.0)</f>
        <v>1</v>
      </c>
    </row>
    <row r="54">
      <c r="A54" s="4"/>
      <c r="C54" s="4" t="s">
        <v>227</v>
      </c>
      <c r="D54" s="8" t="str">
        <f t="shared" si="1"/>
        <v>{"valorA":"ótimo","valorB":7.0}</v>
      </c>
      <c r="E54" s="8" t="str">
        <f t="shared" si="2"/>
        <v>ótimo</v>
      </c>
      <c r="F54" s="8" t="str">
        <f>IFERROR(__xludf.DUMMYFUNCTION("""COMPUTED_VALUE"""),"estão")</f>
        <v>estão</v>
      </c>
      <c r="G54" s="6" t="str">
        <f t="shared" si="3"/>
        <v>7.0</v>
      </c>
      <c r="H54" s="9">
        <f t="shared" si="4"/>
        <v>7</v>
      </c>
      <c r="I54" s="10">
        <f>IFERROR(__xludf.DUMMYFUNCTION("MAX(FILTER($H$2:$H1322,$E$2:$E1322=F54))"),1.0)</f>
        <v>1</v>
      </c>
    </row>
    <row r="55">
      <c r="A55" s="4"/>
      <c r="C55" s="4" t="s">
        <v>228</v>
      </c>
      <c r="D55" s="8" t="str">
        <f t="shared" si="1"/>
        <v>{"valorA":"esse","valorB":2.0}</v>
      </c>
      <c r="E55" s="8" t="str">
        <f t="shared" si="2"/>
        <v>esse</v>
      </c>
      <c r="F55" s="8" t="str">
        <f>IFERROR(__xludf.DUMMYFUNCTION("""COMPUTED_VALUE"""),"mãos")</f>
        <v>mãos</v>
      </c>
      <c r="G55" s="6" t="str">
        <f t="shared" si="3"/>
        <v>2.0</v>
      </c>
      <c r="H55" s="9">
        <f t="shared" si="4"/>
        <v>2</v>
      </c>
      <c r="I55" s="10">
        <f>IFERROR(__xludf.DUMMYFUNCTION("MAX(FILTER($H$2:$H1322,$E$2:$E1322=F55))"),2.0)</f>
        <v>2</v>
      </c>
    </row>
    <row r="56">
      <c r="A56" s="4"/>
      <c r="C56" s="4" t="s">
        <v>229</v>
      </c>
      <c r="D56" s="8" t="str">
        <f t="shared" si="1"/>
        <v>{"valorA":"brinquedo","valorB":2.0}</v>
      </c>
      <c r="E56" s="8" t="str">
        <f t="shared" si="2"/>
        <v>brinquedo</v>
      </c>
      <c r="F56" s="8" t="str">
        <f>IFERROR(__xludf.DUMMYFUNCTION("""COMPUTED_VALUE"""),"essa")</f>
        <v>essa</v>
      </c>
      <c r="G56" s="6" t="str">
        <f t="shared" si="3"/>
        <v>2.0</v>
      </c>
      <c r="H56" s="9">
        <f t="shared" si="4"/>
        <v>2</v>
      </c>
      <c r="I56" s="10">
        <f>IFERROR(__xludf.DUMMYFUNCTION("MAX(FILTER($H$2:$H1322,$E$2:$E1322=F56))"),2.0)</f>
        <v>2</v>
      </c>
    </row>
    <row r="57">
      <c r="A57" s="4"/>
      <c r="C57" s="4" t="s">
        <v>230</v>
      </c>
      <c r="D57" s="8" t="str">
        <f t="shared" si="1"/>
        <v>{"valorA":"madeiro","valorB":1.0}</v>
      </c>
      <c r="E57" s="8" t="str">
        <f t="shared" si="2"/>
        <v>madeiro</v>
      </c>
      <c r="F57" s="8" t="str">
        <f>IFERROR(__xludf.DUMMYFUNCTION("""COMPUTED_VALUE"""),"perfeitamente")</f>
        <v>perfeitamente</v>
      </c>
      <c r="G57" s="6" t="str">
        <f t="shared" si="3"/>
        <v>1.0</v>
      </c>
      <c r="H57" s="9">
        <f t="shared" si="4"/>
        <v>1</v>
      </c>
      <c r="I57" s="10">
        <f>IFERROR(__xludf.DUMMYFUNCTION("MAX(FILTER($H$2:$H1322,$E$2:$E1322=F57))"),7.0)</f>
        <v>7</v>
      </c>
    </row>
    <row r="58">
      <c r="A58" s="4"/>
      <c r="C58" s="4" t="s">
        <v>231</v>
      </c>
      <c r="D58" s="8" t="str">
        <f t="shared" si="1"/>
        <v>{"valorA":"desse","valorB":2.0}</v>
      </c>
      <c r="E58" s="8" t="str">
        <f t="shared" si="2"/>
        <v>desse</v>
      </c>
      <c r="F58" s="8" t="str">
        <f>IFERROR(__xludf.DUMMYFUNCTION("""COMPUTED_VALUE"""),"as")</f>
        <v>as</v>
      </c>
      <c r="G58" s="6" t="str">
        <f t="shared" si="3"/>
        <v>2.0</v>
      </c>
      <c r="H58" s="9">
        <f t="shared" si="4"/>
        <v>2</v>
      </c>
      <c r="I58" s="10">
        <f>IFERROR(__xludf.DUMMYFUNCTION("MAX(FILTER($H$2:$H1322,$E$2:$E1322=F58))"),1.0)</f>
        <v>1</v>
      </c>
    </row>
    <row r="59">
      <c r="A59" s="4"/>
      <c r="C59" s="4" t="s">
        <v>232</v>
      </c>
      <c r="D59" s="8" t="str">
        <f t="shared" si="1"/>
        <v>{"valorA":"minhas","valorB":1.0}</v>
      </c>
      <c r="E59" s="8" t="str">
        <f t="shared" si="2"/>
        <v>minhas</v>
      </c>
      <c r="F59" s="8" t="str">
        <f>IFERROR(__xludf.DUMMYFUNCTION("""COMPUTED_VALUE"""),"funciona")</f>
        <v>funciona</v>
      </c>
      <c r="G59" s="6" t="str">
        <f t="shared" si="3"/>
        <v>1.0</v>
      </c>
      <c r="H59" s="9">
        <f t="shared" si="4"/>
        <v>1</v>
      </c>
      <c r="I59" s="10">
        <f>IFERROR(__xludf.DUMMYFUNCTION("MAX(FILTER($H$2:$H1322,$E$2:$E1322=F59))"),12.0)</f>
        <v>12</v>
      </c>
    </row>
    <row r="60">
      <c r="A60" s="4"/>
      <c r="C60" s="4" t="s">
        <v>233</v>
      </c>
      <c r="D60" s="8" t="str">
        <f t="shared" si="1"/>
        <v>{"valorA":"macias","valorB":1.0}</v>
      </c>
      <c r="E60" s="8" t="str">
        <f t="shared" si="2"/>
        <v>macias</v>
      </c>
      <c r="F60" s="8" t="str">
        <f>IFERROR(__xludf.DUMMYFUNCTION("""COMPUTED_VALUE"""),"vida")</f>
        <v>vida</v>
      </c>
      <c r="G60" s="6" t="str">
        <f t="shared" si="3"/>
        <v>1.0</v>
      </c>
      <c r="H60" s="9">
        <f t="shared" si="4"/>
        <v>1</v>
      </c>
      <c r="I60" s="10">
        <f>IFERROR(__xludf.DUMMYFUNCTION("MAX(FILTER($H$2:$H1322,$E$2:$E1322=F60))"),2.0)</f>
        <v>2</v>
      </c>
    </row>
    <row r="61">
      <c r="A61" s="4"/>
      <c r="C61" s="4" t="s">
        <v>234</v>
      </c>
      <c r="D61" s="8" t="str">
        <f t="shared" si="1"/>
        <v>{"valorA":"para","valorB":4.0}</v>
      </c>
      <c r="E61" s="8" t="str">
        <f t="shared" si="2"/>
        <v>para</v>
      </c>
      <c r="F61" s="8" t="str">
        <f>IFERROR(__xludf.DUMMYFUNCTION("""COMPUTED_VALUE"""),"faça")</f>
        <v>faça</v>
      </c>
      <c r="G61" s="6" t="str">
        <f t="shared" si="3"/>
        <v>4.0</v>
      </c>
      <c r="H61" s="9">
        <f t="shared" si="4"/>
        <v>4</v>
      </c>
      <c r="I61" s="10">
        <f>IFERROR(__xludf.DUMMYFUNCTION("MAX(FILTER($H$2:$H1322,$E$2:$E1322=F61))"),1.0)</f>
        <v>1</v>
      </c>
    </row>
    <row r="62">
      <c r="A62" s="4"/>
      <c r="C62" s="4" t="s">
        <v>235</v>
      </c>
      <c r="D62" s="8" t="str">
        <f t="shared" si="1"/>
        <v>{"valorA":"recomendo","valorB":1.0}</v>
      </c>
      <c r="E62" s="8" t="str">
        <f t="shared" si="2"/>
        <v>recomendo</v>
      </c>
      <c r="F62" s="8" t="str">
        <f>IFERROR(__xludf.DUMMYFUNCTION("""COMPUTED_VALUE"""),"hesitação")</f>
        <v>hesitação</v>
      </c>
      <c r="G62" s="6" t="str">
        <f t="shared" si="3"/>
        <v>1.0</v>
      </c>
      <c r="H62" s="9">
        <f t="shared" si="4"/>
        <v>1</v>
      </c>
      <c r="I62" s="10">
        <f>IFERROR(__xludf.DUMMYFUNCTION("MAX(FILTER($H$2:$H1322,$E$2:$E1322=F62))"),1.0)</f>
        <v>1</v>
      </c>
    </row>
    <row r="63">
      <c r="A63" s="4"/>
      <c r="C63" s="4" t="s">
        <v>236</v>
      </c>
      <c r="D63" s="8" t="str">
        <f t="shared" si="1"/>
        <v>{"valorA":"creme","valorB":2.0}</v>
      </c>
      <c r="E63" s="8" t="str">
        <f t="shared" si="2"/>
        <v>creme</v>
      </c>
      <c r="F63" s="8" t="str">
        <f>IFERROR(__xludf.DUMMYFUNCTION("""COMPUTED_VALUE"""),"ajudou")</f>
        <v>ajudou</v>
      </c>
      <c r="G63" s="6" t="str">
        <f t="shared" si="3"/>
        <v>2.0</v>
      </c>
      <c r="H63" s="9">
        <f t="shared" si="4"/>
        <v>2</v>
      </c>
      <c r="I63" s="10">
        <f>IFERROR(__xludf.DUMMYFUNCTION("MAX(FILTER($H$2:$H1322,$E$2:$E1322=F63))"),1.0)</f>
        <v>1</v>
      </c>
    </row>
    <row r="64">
      <c r="A64" s="4"/>
      <c r="C64" s="4" t="s">
        <v>237</v>
      </c>
      <c r="D64" s="8" t="str">
        <f t="shared" si="1"/>
        <v>{"valorA":"frigorifico","valorB":1.0}</v>
      </c>
      <c r="E64" s="8" t="str">
        <f t="shared" si="2"/>
        <v>frigorifico</v>
      </c>
      <c r="F64" s="8" t="str">
        <f>IFERROR(__xludf.DUMMYFUNCTION("""COMPUTED_VALUE"""),"sem")</f>
        <v>sem</v>
      </c>
      <c r="G64" s="6" t="str">
        <f t="shared" si="3"/>
        <v>1.0</v>
      </c>
      <c r="H64" s="9">
        <f t="shared" si="4"/>
        <v>1</v>
      </c>
      <c r="I64" s="10">
        <f>IFERROR(__xludf.DUMMYFUNCTION("MAX(FILTER($H$2:$H1322,$E$2:$E1322=F64))"),1.0)</f>
        <v>1</v>
      </c>
    </row>
    <row r="65">
      <c r="A65" s="4"/>
      <c r="C65" s="4" t="s">
        <v>238</v>
      </c>
      <c r="D65" s="8" t="str">
        <f t="shared" si="1"/>
        <v>{"valorA":"agora","valorB":1.0}</v>
      </c>
      <c r="E65" s="8" t="str">
        <f t="shared" si="2"/>
        <v>agora</v>
      </c>
      <c r="F65" s="8" t="str">
        <f>IFERROR(__xludf.DUMMYFUNCTION("""COMPUTED_VALUE"""),"realmente")</f>
        <v>realmente</v>
      </c>
      <c r="G65" s="6" t="str">
        <f t="shared" si="3"/>
        <v>1.0</v>
      </c>
      <c r="H65" s="9">
        <f t="shared" si="4"/>
        <v>1</v>
      </c>
      <c r="I65" s="10">
        <f>IFERROR(__xludf.DUMMYFUNCTION("MAX(FILTER($H$2:$H1322,$E$2:$E1322=F65))"),4.0)</f>
        <v>4</v>
      </c>
    </row>
    <row r="66">
      <c r="A66" s="4"/>
      <c r="C66" s="4" t="s">
        <v>239</v>
      </c>
      <c r="D66" s="8" t="str">
        <f t="shared" si="1"/>
        <v>{"valorA":"estão","valorB":1.0}</v>
      </c>
      <c r="E66" s="8" t="str">
        <f t="shared" si="2"/>
        <v>estão</v>
      </c>
      <c r="F66" s="8" t="str">
        <f>IFERROR(__xludf.DUMMYFUNCTION("""COMPUTED_VALUE"""),"compra")</f>
        <v>compra</v>
      </c>
      <c r="G66" s="6" t="str">
        <f t="shared" si="3"/>
        <v>1.0</v>
      </c>
      <c r="H66" s="9">
        <f t="shared" si="4"/>
        <v>1</v>
      </c>
      <c r="I66" s="10">
        <f>IFERROR(__xludf.DUMMYFUNCTION("MAX(FILTER($H$2:$H1322,$E$2:$E1322=F66))"),3.0)</f>
        <v>3</v>
      </c>
    </row>
    <row r="67">
      <c r="A67" s="4"/>
      <c r="C67" s="4" t="s">
        <v>240</v>
      </c>
      <c r="D67" s="8" t="str">
        <f t="shared" si="1"/>
        <v>{"valorA":"mãos","valorB":2.0}</v>
      </c>
      <c r="E67" s="8" t="str">
        <f t="shared" si="2"/>
        <v>mãos</v>
      </c>
      <c r="F67" s="8" t="str">
        <f>IFERROR(__xludf.DUMMYFUNCTION("""COMPUTED_VALUE"""),"a")</f>
        <v>a</v>
      </c>
      <c r="G67" s="6" t="str">
        <f t="shared" si="3"/>
        <v>2.0</v>
      </c>
      <c r="H67" s="9">
        <f t="shared" si="4"/>
        <v>2</v>
      </c>
      <c r="I67" s="10">
        <f>IFERROR(__xludf.DUMMYFUNCTION("MAX(FILTER($H$2:$H1322,$E$2:$E1322=F67))"),6.0)</f>
        <v>6</v>
      </c>
    </row>
    <row r="68">
      <c r="A68" s="4"/>
      <c r="C68" s="4" t="s">
        <v>241</v>
      </c>
      <c r="D68" s="8" t="str">
        <f t="shared" si="1"/>
        <v>{"valorA":"produto","valorB":6.0}</v>
      </c>
      <c r="E68" s="8" t="str">
        <f t="shared" si="2"/>
        <v>produto</v>
      </c>
      <c r="F68" s="8" t="str">
        <f>IFERROR(__xludf.DUMMYFUNCTION("""COMPUTED_VALUE"""),"minha")</f>
        <v>minha</v>
      </c>
      <c r="G68" s="6" t="str">
        <f t="shared" si="3"/>
        <v>6.0</v>
      </c>
      <c r="H68" s="9">
        <f t="shared" si="4"/>
        <v>6</v>
      </c>
      <c r="I68" s="10">
        <f>IFERROR(__xludf.DUMMYFUNCTION("MAX(FILTER($H$2:$H1322,$E$2:$E1322=F68))"),1.0)</f>
        <v>1</v>
      </c>
    </row>
    <row r="69">
      <c r="A69" s="4"/>
      <c r="C69" s="4" t="s">
        <v>242</v>
      </c>
      <c r="D69" s="8" t="str">
        <f t="shared" si="1"/>
        <v>{"valorA":"ótimo","valorB":9.0}</v>
      </c>
      <c r="E69" s="8" t="str">
        <f t="shared" si="2"/>
        <v>ótimo</v>
      </c>
      <c r="F69" s="8" t="str">
        <f>IFERROR(__xludf.DUMMYFUNCTION("""COMPUTED_VALUE"""),"barato")</f>
        <v>barato</v>
      </c>
      <c r="G69" s="6" t="str">
        <f t="shared" si="3"/>
        <v>9.0</v>
      </c>
      <c r="H69" s="9">
        <f t="shared" si="4"/>
        <v>9</v>
      </c>
      <c r="I69" s="10">
        <f>IFERROR(__xludf.DUMMYFUNCTION("MAX(FILTER($H$2:$H1322,$E$2:$E1322=F69))"),3.0)</f>
        <v>3</v>
      </c>
    </row>
    <row r="70">
      <c r="A70" s="4"/>
      <c r="C70" s="4" t="s">
        <v>243</v>
      </c>
      <c r="D70" s="8" t="str">
        <f t="shared" si="1"/>
        <v>{"valorA":"esse","valorB":3.0}</v>
      </c>
      <c r="E70" s="8" t="str">
        <f t="shared" si="2"/>
        <v>esse</v>
      </c>
      <c r="F70" s="8" t="str">
        <f>IFERROR(__xludf.DUMMYFUNCTION("""COMPUTED_VALUE"""),"relogio")</f>
        <v>relogio</v>
      </c>
      <c r="G70" s="6" t="str">
        <f t="shared" si="3"/>
        <v>3.0</v>
      </c>
      <c r="H70" s="9">
        <f t="shared" si="4"/>
        <v>3</v>
      </c>
      <c r="I70" s="10">
        <f>IFERROR(__xludf.DUMMYFUNCTION("MAX(FILTER($H$2:$H1322,$E$2:$E1322=F70))"),1.0)</f>
        <v>1</v>
      </c>
    </row>
    <row r="71">
      <c r="A71" s="4"/>
      <c r="C71" s="4" t="s">
        <v>244</v>
      </c>
      <c r="D71" s="8" t="str">
        <f t="shared" si="1"/>
        <v>{"valorA":"essa","valorB":1.0}</v>
      </c>
      <c r="E71" s="8" t="str">
        <f t="shared" si="2"/>
        <v>essa</v>
      </c>
      <c r="F71" s="8" t="str">
        <f>IFERROR(__xludf.DUMMYFUNCTION("""COMPUTED_VALUE"""),"me")</f>
        <v>me</v>
      </c>
      <c r="G71" s="6" t="str">
        <f t="shared" si="3"/>
        <v>1.0</v>
      </c>
      <c r="H71" s="9">
        <f t="shared" si="4"/>
        <v>1</v>
      </c>
      <c r="I71" s="10">
        <f>IFERROR(__xludf.DUMMYFUNCTION("MAX(FILTER($H$2:$H1322,$E$2:$E1322=F71))"),1.0)</f>
        <v>1</v>
      </c>
    </row>
    <row r="72">
      <c r="A72" s="4"/>
      <c r="C72" s="4" t="s">
        <v>245</v>
      </c>
      <c r="D72" s="8" t="str">
        <f t="shared" si="1"/>
        <v>{"valorA":"perfeitamente","valorB":1.0}</v>
      </c>
      <c r="E72" s="8" t="str">
        <f t="shared" si="2"/>
        <v>perfeitamente</v>
      </c>
      <c r="F72" s="8" t="str">
        <f>IFERROR(__xludf.DUMMYFUNCTION("""COMPUTED_VALUE"""),"feito")</f>
        <v>feito</v>
      </c>
      <c r="G72" s="6" t="str">
        <f t="shared" si="3"/>
        <v>1.0</v>
      </c>
      <c r="H72" s="9">
        <f t="shared" si="4"/>
        <v>1</v>
      </c>
      <c r="I72" s="10">
        <f>IFERROR(__xludf.DUMMYFUNCTION("MAX(FILTER($H$2:$H1322,$E$2:$E1322=F72))"),2.0)</f>
        <v>2</v>
      </c>
    </row>
    <row r="73">
      <c r="A73" s="4"/>
      <c r="C73" s="4" t="s">
        <v>246</v>
      </c>
      <c r="D73" s="8" t="str">
        <f t="shared" si="1"/>
        <v>{"valorA":"muito","valorB":4.0}</v>
      </c>
      <c r="E73" s="8" t="str">
        <f t="shared" si="2"/>
        <v>muito</v>
      </c>
      <c r="F73" s="8" t="str">
        <f>IFERROR(__xludf.DUMMYFUNCTION("""COMPUTED_VALUE"""),"parece")</f>
        <v>parece</v>
      </c>
      <c r="G73" s="6" t="str">
        <f t="shared" si="3"/>
        <v>4.0</v>
      </c>
      <c r="H73" s="9">
        <f t="shared" si="4"/>
        <v>4</v>
      </c>
      <c r="I73" s="10">
        <f>IFERROR(__xludf.DUMMYFUNCTION("MAX(FILTER($H$2:$H1322,$E$2:$E1322=F73))"),1.0)</f>
        <v>1</v>
      </c>
    </row>
    <row r="74">
      <c r="A74" s="4"/>
      <c r="C74" s="4" t="s">
        <v>247</v>
      </c>
      <c r="D74" s="8" t="str">
        <f t="shared" si="1"/>
        <v>{"valorA":"as","valorB":1.0}</v>
      </c>
      <c r="E74" s="8" t="str">
        <f t="shared" si="2"/>
        <v>as</v>
      </c>
      <c r="F74" s="8" t="str">
        <f>IFERROR(__xludf.DUMMYFUNCTION("""COMPUTED_VALUE"""),"solar")</f>
        <v>solar</v>
      </c>
      <c r="G74" s="6" t="str">
        <f t="shared" si="3"/>
        <v>1.0</v>
      </c>
      <c r="H74" s="9">
        <f t="shared" si="4"/>
        <v>1</v>
      </c>
      <c r="I74" s="10">
        <f>IFERROR(__xludf.DUMMYFUNCTION("MAX(FILTER($H$2:$H1322,$E$2:$E1322=F74))"),1.0)</f>
        <v>1</v>
      </c>
    </row>
    <row r="75">
      <c r="A75" s="4"/>
      <c r="C75" s="4" t="s">
        <v>248</v>
      </c>
      <c r="D75" s="8" t="str">
        <f t="shared" si="1"/>
        <v>{"valorA":"funciona","valorB":1.0}</v>
      </c>
      <c r="E75" s="8" t="str">
        <f t="shared" si="2"/>
        <v>funciona</v>
      </c>
      <c r="F75" s="8" t="str">
        <f>IFERROR(__xludf.DUMMYFUNCTION("""COMPUTED_VALUE"""),"relógio")</f>
        <v>relógio</v>
      </c>
      <c r="G75" s="6" t="str">
        <f t="shared" si="3"/>
        <v>1.0</v>
      </c>
      <c r="H75" s="9">
        <f t="shared" si="4"/>
        <v>1</v>
      </c>
      <c r="I75" s="10">
        <f>IFERROR(__xludf.DUMMYFUNCTION("MAX(FILTER($H$2:$H1322,$E$2:$E1322=F75))"),1.0)</f>
        <v>1</v>
      </c>
    </row>
    <row r="76">
      <c r="A76" s="4"/>
      <c r="C76" s="4" t="s">
        <v>249</v>
      </c>
      <c r="D76" s="8" t="str">
        <f t="shared" si="1"/>
        <v>{"valorA":"online","valorB":2.0}</v>
      </c>
      <c r="E76" s="8" t="str">
        <f t="shared" si="2"/>
        <v>online</v>
      </c>
      <c r="F76" s="8" t="str">
        <f>IFERROR(__xludf.DUMMYFUNCTION("""COMPUTED_VALUE"""),"fácil")</f>
        <v>fácil</v>
      </c>
      <c r="G76" s="6" t="str">
        <f t="shared" si="3"/>
        <v>2.0</v>
      </c>
      <c r="H76" s="9">
        <f t="shared" si="4"/>
        <v>2</v>
      </c>
      <c r="I76" s="10">
        <f>IFERROR(__xludf.DUMMYFUNCTION("MAX(FILTER($H$2:$H1322,$E$2:$E1322=F76))"),4.0)</f>
        <v>4</v>
      </c>
    </row>
    <row r="77">
      <c r="A77" s="4"/>
      <c r="C77" s="4" t="s">
        <v>250</v>
      </c>
      <c r="D77" s="8" t="str">
        <f t="shared" si="1"/>
        <v>{"valorA":"compras","valorB":2.0}</v>
      </c>
      <c r="E77" s="8" t="str">
        <f t="shared" si="2"/>
        <v>compras</v>
      </c>
      <c r="F77" s="8" t="str">
        <f>IFERROR(__xludf.DUMMYFUNCTION("""COMPUTED_VALUE"""),"ontem")</f>
        <v>ontem</v>
      </c>
      <c r="G77" s="6" t="str">
        <f t="shared" si="3"/>
        <v>2.0</v>
      </c>
      <c r="H77" s="9">
        <f t="shared" si="4"/>
        <v>2</v>
      </c>
      <c r="I77" s="10">
        <f>IFERROR(__xludf.DUMMYFUNCTION("MAX(FILTER($H$2:$H1322,$E$2:$E1322=F77))"),1.0)</f>
        <v>1</v>
      </c>
    </row>
    <row r="78">
      <c r="A78" s="4"/>
      <c r="C78" s="4" t="s">
        <v>251</v>
      </c>
      <c r="D78" s="8" t="str">
        <f t="shared" si="1"/>
        <v>{"valorA":"vida","valorB":1.0}</v>
      </c>
      <c r="E78" s="8" t="str">
        <f t="shared" si="2"/>
        <v>vida</v>
      </c>
      <c r="F78" s="8" t="str">
        <f>IFERROR(__xludf.DUMMYFUNCTION("""COMPUTED_VALUE"""),"com")</f>
        <v>com</v>
      </c>
      <c r="G78" s="6" t="str">
        <f t="shared" si="3"/>
        <v>1.0</v>
      </c>
      <c r="H78" s="9">
        <f t="shared" si="4"/>
        <v>1</v>
      </c>
      <c r="I78" s="10">
        <f>IFERROR(__xludf.DUMMYFUNCTION("MAX(FILTER($H$2:$H1322,$E$2:$E1322=F78))"),4.0)</f>
        <v>4</v>
      </c>
    </row>
    <row r="79">
      <c r="A79" s="4"/>
      <c r="C79" s="4" t="s">
        <v>252</v>
      </c>
      <c r="D79" s="8" t="str">
        <f t="shared" si="1"/>
        <v>{"valorA":"carrinho","valorB":2.0}</v>
      </c>
      <c r="E79" s="8" t="str">
        <f t="shared" si="2"/>
        <v>carrinho</v>
      </c>
      <c r="F79" s="8" t="str">
        <f>IFERROR(__xludf.DUMMYFUNCTION("""COMPUTED_VALUE"""),"comprei")</f>
        <v>comprei</v>
      </c>
      <c r="G79" s="6" t="str">
        <f t="shared" si="3"/>
        <v>2.0</v>
      </c>
      <c r="H79" s="9">
        <f t="shared" si="4"/>
        <v>2</v>
      </c>
      <c r="I79" s="10">
        <f>IFERROR(__xludf.DUMMYFUNCTION("MAX(FILTER($H$2:$H1322,$E$2:$E1322=F79))"),2.0)</f>
        <v>2</v>
      </c>
    </row>
    <row r="80">
      <c r="A80" s="4"/>
      <c r="C80" s="4" t="s">
        <v>253</v>
      </c>
      <c r="D80" s="8" t="str">
        <f t="shared" si="1"/>
        <v>{"valorA":"faça","valorB":1.0}</v>
      </c>
      <c r="E80" s="8" t="str">
        <f t="shared" si="2"/>
        <v>faça</v>
      </c>
      <c r="F80" s="8" t="str">
        <f>IFERROR(__xludf.DUMMYFUNCTION("""COMPUTED_VALUE"""),"refrigerador")</f>
        <v>refrigerador</v>
      </c>
      <c r="G80" s="6" t="str">
        <f t="shared" si="3"/>
        <v>1.0</v>
      </c>
      <c r="H80" s="9">
        <f t="shared" si="4"/>
        <v>1</v>
      </c>
      <c r="I80" s="10">
        <f>IFERROR(__xludf.DUMMYFUNCTION("MAX(FILTER($H$2:$H1322,$E$2:$E1322=F80))"),1.0)</f>
        <v>1</v>
      </c>
    </row>
    <row r="81">
      <c r="A81" s="4"/>
      <c r="C81" s="4" t="s">
        <v>254</v>
      </c>
      <c r="D81" s="8" t="str">
        <f t="shared" si="1"/>
        <v>{"valorA":"hesitação","valorB":1.0}</v>
      </c>
      <c r="E81" s="8" t="str">
        <f t="shared" si="2"/>
        <v>hesitação</v>
      </c>
      <c r="F81" s="8" t="str">
        <f>IFERROR(__xludf.DUMMYFUNCTION("""COMPUTED_VALUE"""),"que")</f>
        <v>que</v>
      </c>
      <c r="G81" s="6" t="str">
        <f t="shared" si="3"/>
        <v>1.0</v>
      </c>
      <c r="H81" s="9">
        <f t="shared" si="4"/>
        <v>1</v>
      </c>
      <c r="I81" s="10">
        <f>IFERROR(__xludf.DUMMYFUNCTION("MAX(FILTER($H$2:$H1322,$E$2:$E1322=F81))"),4.0)</f>
        <v>4</v>
      </c>
    </row>
    <row r="82">
      <c r="A82" s="4"/>
      <c r="C82" s="4" t="s">
        <v>255</v>
      </c>
      <c r="D82" s="8" t="str">
        <f t="shared" si="1"/>
        <v>{"valorA":"de","valorB":3.0}</v>
      </c>
      <c r="E82" s="8" t="str">
        <f t="shared" si="2"/>
        <v>de</v>
      </c>
      <c r="F82" s="8" t="str">
        <f>IFERROR(__xludf.DUMMYFUNCTION("""COMPUTED_VALUE"""),"veio")</f>
        <v>veio</v>
      </c>
      <c r="G82" s="6" t="str">
        <f t="shared" si="3"/>
        <v>3.0</v>
      </c>
      <c r="H82" s="9">
        <f t="shared" si="4"/>
        <v>3</v>
      </c>
      <c r="I82" s="10">
        <f>IFERROR(__xludf.DUMMYFUNCTION("MAX(FILTER($H$2:$H1322,$E$2:$E1322=F82))"),2.0)</f>
        <v>2</v>
      </c>
    </row>
    <row r="83">
      <c r="A83" s="4"/>
      <c r="C83" s="4" t="s">
        <v>256</v>
      </c>
      <c r="D83" s="8" t="str">
        <f t="shared" si="1"/>
        <v>{"valorA":"ajudou","valorB":1.0}</v>
      </c>
      <c r="E83" s="8" t="str">
        <f t="shared" si="2"/>
        <v>ajudou</v>
      </c>
      <c r="F83" s="8" t="str">
        <f>IFERROR(__xludf.DUMMYFUNCTION("""COMPUTED_VALUE"""),"uma")</f>
        <v>uma</v>
      </c>
      <c r="G83" s="6" t="str">
        <f t="shared" si="3"/>
        <v>1.0</v>
      </c>
      <c r="H83" s="9">
        <f t="shared" si="4"/>
        <v>1</v>
      </c>
      <c r="I83" s="10">
        <f>IFERROR(__xludf.DUMMYFUNCTION("MAX(FILTER($H$2:$H1322,$E$2:$E1322=F83))"),1.0)</f>
        <v>1</v>
      </c>
    </row>
    <row r="84">
      <c r="A84" s="4"/>
      <c r="C84" s="4" t="s">
        <v>257</v>
      </c>
      <c r="D84" s="8" t="str">
        <f t="shared" si="1"/>
        <v>{"valorA":"sem","valorB":1.0}</v>
      </c>
      <c r="E84" s="8" t="str">
        <f t="shared" si="2"/>
        <v>sem</v>
      </c>
      <c r="F84" s="8" t="str">
        <f>IFERROR(__xludf.DUMMYFUNCTION("""COMPUTED_VALUE"""),"cabelo")</f>
        <v>cabelo</v>
      </c>
      <c r="G84" s="6" t="str">
        <f t="shared" si="3"/>
        <v>1.0</v>
      </c>
      <c r="H84" s="9">
        <f t="shared" si="4"/>
        <v>1</v>
      </c>
      <c r="I84" s="10">
        <f>IFERROR(__xludf.DUMMYFUNCTION("MAX(FILTER($H$2:$H1322,$E$2:$E1322=F84))"),1.0)</f>
        <v>1</v>
      </c>
    </row>
    <row r="85">
      <c r="A85" s="4"/>
      <c r="C85" s="4" t="s">
        <v>258</v>
      </c>
      <c r="D85" s="8" t="str">
        <f t="shared" si="1"/>
        <v>{"valorA":"produto","valorB":8.0}</v>
      </c>
      <c r="E85" s="8" t="str">
        <f t="shared" si="2"/>
        <v>produto</v>
      </c>
      <c r="F85" s="8" t="str">
        <f>IFERROR(__xludf.DUMMYFUNCTION("""COMPUTED_VALUE"""),"acessórios")</f>
        <v>acessórios</v>
      </c>
      <c r="G85" s="6" t="str">
        <f t="shared" si="3"/>
        <v>8.0</v>
      </c>
      <c r="H85" s="9">
        <f t="shared" si="4"/>
        <v>8</v>
      </c>
      <c r="I85" s="10">
        <f>IFERROR(__xludf.DUMMYFUNCTION("MAX(FILTER($H$2:$H1322,$E$2:$E1322=F85))"),1.0)</f>
        <v>1</v>
      </c>
    </row>
    <row r="86">
      <c r="A86" s="4"/>
      <c r="C86" s="4" t="s">
        <v>259</v>
      </c>
      <c r="D86" s="8" t="str">
        <f t="shared" si="1"/>
        <v>{"valorA":"ótimo","valorB":12.0}</v>
      </c>
      <c r="E86" s="8" t="str">
        <f t="shared" si="2"/>
        <v>ótimo</v>
      </c>
      <c r="F86" s="8" t="str">
        <f>IFERROR(__xludf.DUMMYFUNCTION("""COMPUTED_VALUE"""),"comprimento")</f>
        <v>comprimento</v>
      </c>
      <c r="G86" s="6" t="str">
        <f t="shared" si="3"/>
        <v>12.0</v>
      </c>
      <c r="H86" s="9">
        <f t="shared" si="4"/>
        <v>12</v>
      </c>
      <c r="I86" s="10">
        <f>IFERROR(__xludf.DUMMYFUNCTION("MAX(FILTER($H$2:$H1322,$E$2:$E1322=F86))"),1.0)</f>
        <v>1</v>
      </c>
    </row>
    <row r="87">
      <c r="A87" s="4"/>
      <c r="C87" s="4" t="s">
        <v>260</v>
      </c>
      <c r="D87" s="8" t="str">
        <f t="shared" si="1"/>
        <v>{"valorA":"gostei","valorB":2.0}</v>
      </c>
      <c r="E87" s="8" t="str">
        <f t="shared" si="2"/>
        <v>gostei</v>
      </c>
      <c r="F87" s="8" t="str">
        <f>IFERROR(__xludf.DUMMYFUNCTION("""COMPUTED_VALUE"""),"caixa")</f>
        <v>caixa</v>
      </c>
      <c r="G87" s="6" t="str">
        <f t="shared" si="3"/>
        <v>2.0</v>
      </c>
      <c r="H87" s="9">
        <f t="shared" si="4"/>
        <v>2</v>
      </c>
      <c r="I87" s="10">
        <f>IFERROR(__xludf.DUMMYFUNCTION("MAX(FILTER($H$2:$H1322,$E$2:$E1322=F87))"),1.0)</f>
        <v>1</v>
      </c>
    </row>
    <row r="88">
      <c r="A88" s="4"/>
      <c r="C88" s="4" t="s">
        <v>261</v>
      </c>
      <c r="D88" s="8" t="str">
        <f t="shared" si="1"/>
        <v>{"valorA":"realmente","valorB":1.0}</v>
      </c>
      <c r="E88" s="8" t="str">
        <f t="shared" si="2"/>
        <v>realmente</v>
      </c>
      <c r="F88" s="8" t="str">
        <f>IFERROR(__xludf.DUMMYFUNCTION("""COMPUTED_VALUE"""),"investir")</f>
        <v>investir</v>
      </c>
      <c r="G88" s="6" t="str">
        <f t="shared" si="3"/>
        <v>1.0</v>
      </c>
      <c r="H88" s="9">
        <f t="shared" si="4"/>
        <v>1</v>
      </c>
      <c r="I88" s="10">
        <f>IFERROR(__xludf.DUMMYFUNCTION("MAX(FILTER($H$2:$H1322,$E$2:$E1322=F88))"),1.0)</f>
        <v>1</v>
      </c>
    </row>
    <row r="89">
      <c r="A89" s="4"/>
      <c r="C89" s="4" t="s">
        <v>262</v>
      </c>
      <c r="D89" s="8" t="str">
        <f t="shared" si="1"/>
        <v>{"valorA":"muito","valorB":5.0}</v>
      </c>
      <c r="E89" s="8" t="str">
        <f t="shared" si="2"/>
        <v>muito</v>
      </c>
      <c r="F89" s="8" t="str">
        <f>IFERROR(__xludf.DUMMYFUNCTION("""COMPUTED_VALUE"""),"pena")</f>
        <v>pena</v>
      </c>
      <c r="G89" s="6" t="str">
        <f t="shared" si="3"/>
        <v>5.0</v>
      </c>
      <c r="H89" s="9">
        <f t="shared" si="4"/>
        <v>5</v>
      </c>
      <c r="I89" s="10">
        <f>IFERROR(__xludf.DUMMYFUNCTION("MAX(FILTER($H$2:$H1322,$E$2:$E1322=F89))"),2.0)</f>
        <v>2</v>
      </c>
    </row>
    <row r="90">
      <c r="A90" s="4"/>
      <c r="C90" s="4" t="s">
        <v>263</v>
      </c>
      <c r="D90" s="8" t="str">
        <f t="shared" si="1"/>
        <v>{"valorA":"compra","valorB":1.0}</v>
      </c>
      <c r="E90" s="8" t="str">
        <f t="shared" si="2"/>
        <v>compra</v>
      </c>
      <c r="F90" s="8" t="str">
        <f>IFERROR(__xludf.DUMMYFUNCTION("""COMPUTED_VALUE"""),"o")</f>
        <v>o</v>
      </c>
      <c r="G90" s="6" t="str">
        <f t="shared" si="3"/>
        <v>1.0</v>
      </c>
      <c r="H90" s="9">
        <f t="shared" si="4"/>
        <v>1</v>
      </c>
      <c r="I90" s="10">
        <f>IFERROR(__xludf.DUMMYFUNCTION("MAX(FILTER($H$2:$H1322,$E$2:$E1322=F90))"),8.0)</f>
        <v>8</v>
      </c>
    </row>
    <row r="91">
      <c r="A91" s="4"/>
      <c r="C91" s="4" t="s">
        <v>264</v>
      </c>
      <c r="D91" s="8" t="str">
        <f t="shared" si="1"/>
        <v>{"valorA":"a","valorB":2.0}</v>
      </c>
      <c r="E91" s="8" t="str">
        <f t="shared" si="2"/>
        <v>a</v>
      </c>
      <c r="F91" s="8" t="str">
        <f>IFERROR(__xludf.DUMMYFUNCTION("""COMPUTED_VALUE"""),"livro")</f>
        <v>livro</v>
      </c>
      <c r="G91" s="6" t="str">
        <f t="shared" si="3"/>
        <v>2.0</v>
      </c>
      <c r="H91" s="9">
        <f t="shared" si="4"/>
        <v>2</v>
      </c>
      <c r="I91" s="10">
        <f>IFERROR(__xludf.DUMMYFUNCTION("MAX(FILTER($H$2:$H1322,$E$2:$E1322=F91))"),1.0)</f>
        <v>1</v>
      </c>
    </row>
    <row r="92">
      <c r="A92" s="4"/>
      <c r="C92" s="4" t="s">
        <v>265</v>
      </c>
      <c r="D92" s="8" t="str">
        <f t="shared" si="1"/>
        <v>{"valorA":"minha","valorB":1.0}</v>
      </c>
      <c r="E92" s="8" t="str">
        <f t="shared" si="2"/>
        <v>minha</v>
      </c>
      <c r="F92" s="8" t="str">
        <f>IFERROR(__xludf.DUMMYFUNCTION("""COMPUTED_VALUE"""),"vale")</f>
        <v>vale</v>
      </c>
      <c r="G92" s="6" t="str">
        <f t="shared" si="3"/>
        <v>1.0</v>
      </c>
      <c r="H92" s="9">
        <f t="shared" si="4"/>
        <v>1</v>
      </c>
      <c r="I92" s="10">
        <f>IFERROR(__xludf.DUMMYFUNCTION("MAX(FILTER($H$2:$H1322,$E$2:$E1322=F92))"),2.0)</f>
        <v>2</v>
      </c>
    </row>
    <row r="93">
      <c r="A93" s="4"/>
      <c r="C93" s="4" t="s">
        <v>266</v>
      </c>
      <c r="D93" s="8" t="str">
        <f t="shared" si="1"/>
        <v>{"valorA":"barato","valorB":1.0}</v>
      </c>
      <c r="E93" s="8" t="str">
        <f t="shared" si="2"/>
        <v>barato</v>
      </c>
      <c r="F93" s="8" t="str">
        <f>IFERROR(__xludf.DUMMYFUNCTION("""COMPUTED_VALUE"""),"resultado")</f>
        <v>resultado</v>
      </c>
      <c r="G93" s="6" t="str">
        <f t="shared" si="3"/>
        <v>1.0</v>
      </c>
      <c r="H93" s="9">
        <f t="shared" si="4"/>
        <v>1</v>
      </c>
      <c r="I93" s="10">
        <f>IFERROR(__xludf.DUMMYFUNCTION("MAX(FILTER($H$2:$H1322,$E$2:$E1322=F93))"),1.0)</f>
        <v>1</v>
      </c>
    </row>
    <row r="94">
      <c r="A94" s="4"/>
      <c r="C94" s="4" t="s">
        <v>267</v>
      </c>
      <c r="D94" s="8" t="str">
        <f t="shared" si="1"/>
        <v>{"valorA":"relogio","valorB":1.0}</v>
      </c>
      <c r="E94" s="8" t="str">
        <f t="shared" si="2"/>
        <v>relogio</v>
      </c>
      <c r="F94" s="8" t="str">
        <f>IFERROR(__xludf.DUMMYFUNCTION("""COMPUTED_VALUE"""),"deseio")</f>
        <v>deseio</v>
      </c>
      <c r="G94" s="6" t="str">
        <f t="shared" si="3"/>
        <v>1.0</v>
      </c>
      <c r="H94" s="9">
        <f t="shared" si="4"/>
        <v>1</v>
      </c>
      <c r="I94" s="10">
        <f>IFERROR(__xludf.DUMMYFUNCTION("MAX(FILTER($H$2:$H1322,$E$2:$E1322=F94))"),1.0)</f>
        <v>1</v>
      </c>
    </row>
    <row r="95">
      <c r="A95" s="4"/>
      <c r="C95" s="4" t="s">
        <v>268</v>
      </c>
      <c r="D95" s="8" t="str">
        <f t="shared" si="1"/>
        <v>{"valorA":"bem","valorB":3.0}</v>
      </c>
      <c r="E95" s="8" t="str">
        <f t="shared" si="2"/>
        <v>bem</v>
      </c>
      <c r="F95" s="8" t="str">
        <f>IFERROR(__xludf.DUMMYFUNCTION("""COMPUTED_VALUE"""),"escrita")</f>
        <v>escrita</v>
      </c>
      <c r="G95" s="6" t="str">
        <f t="shared" si="3"/>
        <v>3.0</v>
      </c>
      <c r="H95" s="9">
        <f t="shared" si="4"/>
        <v>3</v>
      </c>
      <c r="I95" s="10">
        <f>IFERROR(__xludf.DUMMYFUNCTION("MAX(FILTER($H$2:$H1322,$E$2:$E1322=F95))"),1.0)</f>
        <v>1</v>
      </c>
    </row>
    <row r="96">
      <c r="A96" s="4"/>
      <c r="C96" s="4" t="s">
        <v>269</v>
      </c>
      <c r="D96" s="8" t="str">
        <f t="shared" si="1"/>
        <v>{"valorA":"me","valorB":1.0}</v>
      </c>
      <c r="E96" s="8" t="str">
        <f t="shared" si="2"/>
        <v>me</v>
      </c>
      <c r="F96" s="8" t="str">
        <f>IFERROR(__xludf.DUMMYFUNCTION("""COMPUTED_VALUE"""),"da")</f>
        <v>da</v>
      </c>
      <c r="G96" s="6" t="str">
        <f t="shared" si="3"/>
        <v>1.0</v>
      </c>
      <c r="H96" s="9">
        <f t="shared" si="4"/>
        <v>1</v>
      </c>
      <c r="I96" s="10">
        <f>IFERROR(__xludf.DUMMYFUNCTION("MAX(FILTER($H$2:$H1322,$E$2:$E1322=F96))"),2.0)</f>
        <v>2</v>
      </c>
    </row>
    <row r="97">
      <c r="A97" s="4"/>
      <c r="C97" s="4" t="s">
        <v>270</v>
      </c>
      <c r="D97" s="8" t="str">
        <f t="shared" si="1"/>
        <v>{"valorA":"e","valorB":3.0}</v>
      </c>
      <c r="E97" s="8" t="str">
        <f t="shared" si="2"/>
        <v>e</v>
      </c>
      <c r="F97" s="8" t="str">
        <f>IFERROR(__xludf.DUMMYFUNCTION("""COMPUTED_VALUE"""),"outro")</f>
        <v>outro</v>
      </c>
      <c r="G97" s="6" t="str">
        <f t="shared" si="3"/>
        <v>3.0</v>
      </c>
      <c r="H97" s="9">
        <f t="shared" si="4"/>
        <v>3</v>
      </c>
      <c r="I97" s="10">
        <f>IFERROR(__xludf.DUMMYFUNCTION("MAX(FILTER($H$2:$H1322,$E$2:$E1322=F97))"),2.0)</f>
        <v>2</v>
      </c>
    </row>
    <row r="98">
      <c r="A98" s="4"/>
      <c r="C98" s="4" t="s">
        <v>271</v>
      </c>
      <c r="D98" s="8" t="str">
        <f t="shared" si="1"/>
        <v>{"valorA":"feito","valorB":2.0}</v>
      </c>
      <c r="E98" s="8" t="str">
        <f t="shared" si="2"/>
        <v>feito</v>
      </c>
      <c r="F98" s="8" t="str">
        <f>IFERROR(__xludf.DUMMYFUNCTION("""COMPUTED_VALUE"""),"do")</f>
        <v>do</v>
      </c>
      <c r="G98" s="6" t="str">
        <f t="shared" si="3"/>
        <v>2.0</v>
      </c>
      <c r="H98" s="9">
        <f t="shared" si="4"/>
        <v>2</v>
      </c>
      <c r="I98" s="10">
        <f>IFERROR(__xludf.DUMMYFUNCTION("MAX(FILTER($H$2:$H1322,$E$2:$E1322=F98))"),4.0)</f>
        <v>4</v>
      </c>
    </row>
    <row r="99">
      <c r="A99" s="4"/>
      <c r="C99" s="4" t="s">
        <v>272</v>
      </c>
      <c r="D99" s="8" t="str">
        <f t="shared" si="1"/>
        <v>{"valorA":"produto","valorB":9.0}</v>
      </c>
      <c r="E99" s="8" t="str">
        <f t="shared" si="2"/>
        <v>produto</v>
      </c>
      <c r="F99" s="8" t="str">
        <f>IFERROR(__xludf.DUMMYFUNCTION("""COMPUTED_VALUE"""),"mais")</f>
        <v>mais</v>
      </c>
      <c r="G99" s="6" t="str">
        <f t="shared" si="3"/>
        <v>9.0</v>
      </c>
      <c r="H99" s="9">
        <f t="shared" si="4"/>
        <v>9</v>
      </c>
      <c r="I99" s="10">
        <f>IFERROR(__xludf.DUMMYFUNCTION("MAX(FILTER($H$2:$H1322,$E$2:$E1322=F99))"),2.0)</f>
        <v>2</v>
      </c>
    </row>
    <row r="100">
      <c r="A100" s="4"/>
      <c r="C100" s="4" t="s">
        <v>273</v>
      </c>
      <c r="D100" s="8" t="str">
        <f t="shared" si="1"/>
        <v>{"valorA":"ótimo","valorB":14.0}</v>
      </c>
      <c r="E100" s="8" t="str">
        <f t="shared" si="2"/>
        <v>ótimo</v>
      </c>
      <c r="F100" s="8" t="str">
        <f>IFERROR(__xludf.DUMMYFUNCTION("""COMPUTED_VALUE"""),"qualidade")</f>
        <v>qualidade</v>
      </c>
      <c r="G100" s="6" t="str">
        <f t="shared" si="3"/>
        <v>14.0</v>
      </c>
      <c r="H100" s="9">
        <f t="shared" si="4"/>
        <v>14</v>
      </c>
      <c r="I100" s="10">
        <f>IFERROR(__xludf.DUMMYFUNCTION("MAX(FILTER($H$2:$H1322,$E$2:$E1322=F100))"),1.0)</f>
        <v>1</v>
      </c>
    </row>
    <row r="101">
      <c r="A101" s="4"/>
      <c r="C101" s="4" t="s">
        <v>274</v>
      </c>
      <c r="D101" s="8" t="str">
        <f t="shared" si="1"/>
        <v>{"valorA":"muito","valorB":7.0}</v>
      </c>
      <c r="E101" s="8" t="str">
        <f t="shared" si="2"/>
        <v>muito</v>
      </c>
      <c r="F101" s="8" t="str">
        <f>IFERROR(__xludf.DUMMYFUNCTION("""COMPUTED_VALUE"""),"rápida")</f>
        <v>rápida</v>
      </c>
      <c r="G101" s="6" t="str">
        <f t="shared" si="3"/>
        <v>7.0</v>
      </c>
      <c r="H101" s="9">
        <f t="shared" si="4"/>
        <v>7</v>
      </c>
      <c r="I101" s="10">
        <f>IFERROR(__xludf.DUMMYFUNCTION("MAX(FILTER($H$2:$H1322,$E$2:$E1322=F101))"),1.0)</f>
        <v>1</v>
      </c>
    </row>
    <row r="102">
      <c r="A102" s="4"/>
      <c r="C102" s="4" t="s">
        <v>275</v>
      </c>
      <c r="D102" s="8" t="str">
        <f t="shared" si="1"/>
        <v>{"valorA":"parece","valorB":1.0}</v>
      </c>
      <c r="E102" s="8" t="str">
        <f t="shared" si="2"/>
        <v>parece</v>
      </c>
      <c r="F102" s="8" t="str">
        <f>IFERROR(__xludf.DUMMYFUNCTION("""COMPUTED_VALUE"""),"entrega")</f>
        <v>entrega</v>
      </c>
      <c r="G102" s="6" t="str">
        <f t="shared" si="3"/>
        <v>1.0</v>
      </c>
      <c r="H102" s="9">
        <f t="shared" si="4"/>
        <v>1</v>
      </c>
      <c r="I102" s="10">
        <f>IFERROR(__xludf.DUMMYFUNCTION("MAX(FILTER($H$2:$H1322,$E$2:$E1322=F102))"),1.0)</f>
        <v>1</v>
      </c>
    </row>
    <row r="103">
      <c r="A103" s="4"/>
      <c r="C103" s="4" t="s">
        <v>276</v>
      </c>
      <c r="D103" s="8" t="str">
        <f t="shared" si="1"/>
        <v>{"valorA":"é","valorB":3.0}</v>
      </c>
      <c r="E103" s="8" t="str">
        <f t="shared" si="2"/>
        <v>é</v>
      </c>
      <c r="F103" s="8" t="str">
        <f>IFERROR(__xludf.DUMMYFUNCTION("""COMPUTED_VALUE"""),"on")</f>
        <v>on</v>
      </c>
      <c r="G103" s="6" t="str">
        <f t="shared" si="3"/>
        <v>3.0</v>
      </c>
      <c r="H103" s="9">
        <f t="shared" si="4"/>
        <v>3</v>
      </c>
      <c r="I103" s="10">
        <f>IFERROR(__xludf.DUMMYFUNCTION("MAX(FILTER($H$2:$H1322,$E$2:$E1322=F103))"),1.0)</f>
        <v>1</v>
      </c>
    </row>
    <row r="104">
      <c r="A104" s="4"/>
      <c r="C104" s="4" t="s">
        <v>277</v>
      </c>
      <c r="D104" s="8" t="str">
        <f t="shared" si="1"/>
        <v>{"valorA":"recomendo","valorB":2.0}</v>
      </c>
      <c r="E104" s="8" t="str">
        <f t="shared" si="2"/>
        <v>recomendo</v>
      </c>
      <c r="F104" s="8" t="str">
        <f>IFERROR(__xludf.DUMMYFUNCTION("""COMPUTED_VALUE"""),"telefone")</f>
        <v>telefone</v>
      </c>
      <c r="G104" s="6" t="str">
        <f t="shared" si="3"/>
        <v>2.0</v>
      </c>
      <c r="H104" s="9">
        <f t="shared" si="4"/>
        <v>2</v>
      </c>
      <c r="I104" s="10">
        <f>IFERROR(__xludf.DUMMYFUNCTION("MAX(FILTER($H$2:$H1322,$E$2:$E1322=F104))"),1.0)</f>
        <v>1</v>
      </c>
    </row>
    <row r="105">
      <c r="A105" s="4"/>
      <c r="C105" s="4" t="s">
        <v>278</v>
      </c>
      <c r="D105" s="8" t="str">
        <f t="shared" si="1"/>
        <v>{"valorA":"solar","valorB":1.0}</v>
      </c>
      <c r="E105" s="8" t="str">
        <f t="shared" si="2"/>
        <v>solar</v>
      </c>
      <c r="F105" s="8" t="str">
        <f>IFERROR(__xludf.DUMMYFUNCTION("""COMPUTED_VALUE"""),"excelente")</f>
        <v>excelente</v>
      </c>
      <c r="G105" s="6" t="str">
        <f t="shared" si="3"/>
        <v>1.0</v>
      </c>
      <c r="H105" s="9">
        <f t="shared" si="4"/>
        <v>1</v>
      </c>
      <c r="I105" s="10">
        <f>IFERROR(__xludf.DUMMYFUNCTION("MAX(FILTER($H$2:$H1322,$E$2:$E1322=F105))"),1.0)</f>
        <v>1</v>
      </c>
    </row>
    <row r="106">
      <c r="A106" s="4"/>
      <c r="C106" s="4" t="s">
        <v>279</v>
      </c>
      <c r="D106" s="8" t="str">
        <f t="shared" si="1"/>
        <v>{"valorA":"usar","valorB":3.0}</v>
      </c>
      <c r="E106" s="8" t="str">
        <f t="shared" si="2"/>
        <v>usar</v>
      </c>
      <c r="F106" s="8" t="str">
        <f>IFERROR(__xludf.DUMMYFUNCTION("""COMPUTED_VALUE"""),"como")</f>
        <v>como</v>
      </c>
      <c r="G106" s="6" t="str">
        <f t="shared" si="3"/>
        <v>3.0</v>
      </c>
      <c r="H106" s="9">
        <f t="shared" si="4"/>
        <v>3</v>
      </c>
      <c r="I106" s="10">
        <f>IFERROR(__xludf.DUMMYFUNCTION("MAX(FILTER($H$2:$H1322,$E$2:$E1322=F106))"),1.0)</f>
        <v>1</v>
      </c>
    </row>
    <row r="107">
      <c r="A107" s="4"/>
      <c r="C107" s="4" t="s">
        <v>280</v>
      </c>
      <c r="D107" s="8" t="str">
        <f t="shared" si="1"/>
        <v>{"valorA":"e","valorB":4.0}</v>
      </c>
      <c r="E107" s="8" t="str">
        <f t="shared" si="2"/>
        <v>e</v>
      </c>
      <c r="F107" s="8" t="str">
        <f>IFERROR(__xludf.DUMMYFUNCTION("""COMPUTED_VALUE"""),"dessa")</f>
        <v>dessa</v>
      </c>
      <c r="G107" s="6" t="str">
        <f t="shared" si="3"/>
        <v>4.0</v>
      </c>
      <c r="H107" s="9">
        <f t="shared" si="4"/>
        <v>4</v>
      </c>
      <c r="I107" s="10">
        <f>IFERROR(__xludf.DUMMYFUNCTION("MAX(FILTER($H$2:$H1322,$E$2:$E1322=F107))"),3.0)</f>
        <v>3</v>
      </c>
    </row>
    <row r="108">
      <c r="A108" s="4"/>
      <c r="C108" s="4" t="s">
        <v>281</v>
      </c>
      <c r="D108" s="8" t="str">
        <f t="shared" si="1"/>
        <v>{"valorA":"de","valorB":4.0}</v>
      </c>
      <c r="E108" s="8" t="str">
        <f t="shared" si="2"/>
        <v>de</v>
      </c>
      <c r="F108" s="8" t="str">
        <f>IFERROR(__xludf.DUMMYFUNCTION("""COMPUTED_VALUE"""),"loja")</f>
        <v>loja</v>
      </c>
      <c r="G108" s="6" t="str">
        <f t="shared" si="3"/>
        <v>4.0</v>
      </c>
      <c r="H108" s="9">
        <f t="shared" si="4"/>
        <v>4</v>
      </c>
      <c r="I108" s="10">
        <f>IFERROR(__xludf.DUMMYFUNCTION("MAX(FILTER($H$2:$H1322,$E$2:$E1322=F108))"),2.0)</f>
        <v>2</v>
      </c>
    </row>
    <row r="109">
      <c r="A109" s="4"/>
      <c r="C109" s="4" t="s">
        <v>282</v>
      </c>
      <c r="D109" s="8" t="str">
        <f t="shared" si="1"/>
        <v>{"valorA":"produto","valorB":12.0}</v>
      </c>
      <c r="E109" s="8" t="str">
        <f t="shared" si="2"/>
        <v>produto</v>
      </c>
      <c r="F109" s="8" t="str">
        <f>IFERROR(__xludf.DUMMYFUNCTION("""COMPUTED_VALUE"""),"line")</f>
        <v>line</v>
      </c>
      <c r="G109" s="6" t="str">
        <f t="shared" si="3"/>
        <v>12.0</v>
      </c>
      <c r="H109" s="9">
        <f t="shared" si="4"/>
        <v>12</v>
      </c>
      <c r="I109" s="10">
        <f>IFERROR(__xludf.DUMMYFUNCTION("MAX(FILTER($H$2:$H1322,$E$2:$E1322=F109))"),1.0)</f>
        <v>1</v>
      </c>
    </row>
    <row r="110">
      <c r="A110" s="4"/>
      <c r="C110" s="4" t="s">
        <v>283</v>
      </c>
      <c r="D110" s="8" t="str">
        <f t="shared" si="1"/>
        <v>{"valorA":"relógio","valorB":1.0}</v>
      </c>
      <c r="E110" s="8" t="str">
        <f t="shared" si="2"/>
        <v>relógio</v>
      </c>
      <c r="F110" s="8" t="str">
        <f>IFERROR(__xludf.DUMMYFUNCTION("""COMPUTED_VALUE"""),"custoso")</f>
        <v>custoso</v>
      </c>
      <c r="G110" s="6" t="str">
        <f t="shared" si="3"/>
        <v>1.0</v>
      </c>
      <c r="H110" s="9">
        <f t="shared" si="4"/>
        <v>1</v>
      </c>
      <c r="I110" s="10">
        <f>IFERROR(__xludf.DUMMYFUNCTION("MAX(FILTER($H$2:$H1322,$E$2:$E1322=F110))"),1.0)</f>
        <v>1</v>
      </c>
    </row>
    <row r="111">
      <c r="A111" s="4"/>
      <c r="C111" s="4" t="s">
        <v>284</v>
      </c>
      <c r="D111" s="8" t="str">
        <f t="shared" si="1"/>
        <v>{"valorA":"ótimo","valorB":17.0}</v>
      </c>
      <c r="E111" s="8" t="str">
        <f t="shared" si="2"/>
        <v>ótimo</v>
      </c>
      <c r="F111" s="8" t="str">
        <f>IFERROR(__xludf.DUMMYFUNCTION("""COMPUTED_VALUE"""),"satisfação")</f>
        <v>satisfação</v>
      </c>
      <c r="G111" s="6" t="str">
        <f t="shared" si="3"/>
        <v>17.0</v>
      </c>
      <c r="H111" s="9">
        <f t="shared" si="4"/>
        <v>17</v>
      </c>
      <c r="I111" s="10">
        <f>IFERROR(__xludf.DUMMYFUNCTION("MAX(FILTER($H$2:$H1322,$E$2:$E1322=F111))"),2.0)</f>
        <v>2</v>
      </c>
    </row>
    <row r="112">
      <c r="A112" s="4"/>
      <c r="C112" s="4" t="s">
        <v>285</v>
      </c>
      <c r="D112" s="8" t="str">
        <f t="shared" si="1"/>
        <v>{"valorA":"fácil","valorB":1.0}</v>
      </c>
      <c r="E112" s="8" t="str">
        <f t="shared" si="2"/>
        <v>fácil</v>
      </c>
      <c r="F112" s="8" t="str">
        <f>IFERROR(__xludf.DUMMYFUNCTION("""COMPUTED_VALUE"""),"total")</f>
        <v>total</v>
      </c>
      <c r="G112" s="6" t="str">
        <f t="shared" si="3"/>
        <v>1.0</v>
      </c>
      <c r="H112" s="9">
        <f t="shared" si="4"/>
        <v>1</v>
      </c>
      <c r="I112" s="10">
        <f>IFERROR(__xludf.DUMMYFUNCTION("MAX(FILTER($H$2:$H1322,$E$2:$E1322=F112))"),2.0)</f>
        <v>2</v>
      </c>
    </row>
    <row r="113">
      <c r="A113" s="4"/>
      <c r="C113" s="4" t="s">
        <v>286</v>
      </c>
      <c r="D113" s="8" t="str">
        <f t="shared" si="1"/>
        <v>{"valorA":"esse","valorB":4.0}</v>
      </c>
      <c r="E113" s="8" t="str">
        <f t="shared" si="2"/>
        <v>esse</v>
      </c>
      <c r="F113" s="8" t="str">
        <f>IFERROR(__xludf.DUMMYFUNCTION("""COMPUTED_VALUE"""),"chapéu")</f>
        <v>chapéu</v>
      </c>
      <c r="G113" s="6" t="str">
        <f t="shared" si="3"/>
        <v>4.0</v>
      </c>
      <c r="H113" s="9">
        <f t="shared" si="4"/>
        <v>4</v>
      </c>
      <c r="I113" s="10">
        <f>IFERROR(__xludf.DUMMYFUNCTION("MAX(FILTER($H$2:$H1322,$E$2:$E1322=F113))"),1.0)</f>
        <v>1</v>
      </c>
    </row>
    <row r="114">
      <c r="A114" s="4"/>
      <c r="C114" s="4" t="s">
        <v>287</v>
      </c>
      <c r="D114" s="8" t="str">
        <f t="shared" si="1"/>
        <v>{"valorA":"perfeitamente","valorB":4.0}</v>
      </c>
      <c r="E114" s="8" t="str">
        <f t="shared" si="2"/>
        <v>perfeitamente</v>
      </c>
      <c r="F114" s="8" t="str">
        <f>IFERROR(__xludf.DUMMYFUNCTION("""COMPUTED_VALUE"""),"durável")</f>
        <v>durável</v>
      </c>
      <c r="G114" s="6" t="str">
        <f t="shared" si="3"/>
        <v>4.0</v>
      </c>
      <c r="H114" s="9">
        <f t="shared" si="4"/>
        <v>4</v>
      </c>
      <c r="I114" s="10">
        <f>IFERROR(__xludf.DUMMYFUNCTION("MAX(FILTER($H$2:$H1322,$E$2:$E1322=F114))"),1.0)</f>
        <v>1</v>
      </c>
    </row>
    <row r="115">
      <c r="A115" s="4"/>
      <c r="C115" s="4" t="s">
        <v>288</v>
      </c>
      <c r="D115" s="8" t="str">
        <f t="shared" si="1"/>
        <v>{"valorA":"funciona","valorB":4.0}</v>
      </c>
      <c r="E115" s="8" t="str">
        <f t="shared" si="2"/>
        <v>funciona</v>
      </c>
      <c r="F115" s="8" t="str">
        <f>IFERROR(__xludf.DUMMYFUNCTION("""COMPUTED_VALUE"""),"confortável")</f>
        <v>confortável</v>
      </c>
      <c r="G115" s="6" t="str">
        <f t="shared" si="3"/>
        <v>4.0</v>
      </c>
      <c r="H115" s="9">
        <f t="shared" si="4"/>
        <v>4</v>
      </c>
      <c r="I115" s="10">
        <f>IFERROR(__xludf.DUMMYFUNCTION("MAX(FILTER($H$2:$H1322,$E$2:$E1322=F115))"),1.0)</f>
        <v>1</v>
      </c>
    </row>
    <row r="116">
      <c r="A116" s="4"/>
      <c r="C116" s="4" t="s">
        <v>289</v>
      </c>
      <c r="D116" s="8" t="str">
        <f t="shared" si="1"/>
        <v>{"valorA":"ontem","valorB":1.0}</v>
      </c>
      <c r="E116" s="8" t="str">
        <f t="shared" si="2"/>
        <v>ontem</v>
      </c>
      <c r="F116" s="8" t="str">
        <f>IFERROR(__xludf.DUMMYFUNCTION("""COMPUTED_VALUE"""),"relojoeira")</f>
        <v>relojoeira</v>
      </c>
      <c r="G116" s="6" t="str">
        <f t="shared" si="3"/>
        <v>1.0</v>
      </c>
      <c r="H116" s="9">
        <f t="shared" si="4"/>
        <v>1</v>
      </c>
      <c r="I116" s="10">
        <f>IFERROR(__xludf.DUMMYFUNCTION("MAX(FILTER($H$2:$H1322,$E$2:$E1322=F116))"),3.0)</f>
        <v>3</v>
      </c>
    </row>
    <row r="117">
      <c r="A117" s="4"/>
      <c r="C117" s="4" t="s">
        <v>290</v>
      </c>
      <c r="D117" s="8" t="str">
        <f t="shared" si="1"/>
        <v>{"valorA":"com","valorB":1.0}</v>
      </c>
      <c r="E117" s="8" t="str">
        <f t="shared" si="2"/>
        <v>com</v>
      </c>
      <c r="F117" s="8" t="str">
        <f>IFERROR(__xludf.DUMMYFUNCTION("""COMPUTED_VALUE"""),"design")</f>
        <v>design</v>
      </c>
      <c r="G117" s="6" t="str">
        <f t="shared" si="3"/>
        <v>1.0</v>
      </c>
      <c r="H117" s="9">
        <f t="shared" si="4"/>
        <v>1</v>
      </c>
      <c r="I117" s="10">
        <f>IFERROR(__xludf.DUMMYFUNCTION("MAX(FILTER($H$2:$H1322,$E$2:$E1322=F117))"),2.0)</f>
        <v>2</v>
      </c>
    </row>
    <row r="118">
      <c r="A118" s="4"/>
      <c r="C118" s="4" t="s">
        <v>291</v>
      </c>
      <c r="D118" s="8" t="str">
        <f t="shared" si="1"/>
        <v>{"valorA":"comprei","valorB":1.0}</v>
      </c>
      <c r="E118" s="8" t="str">
        <f t="shared" si="2"/>
        <v>comprei</v>
      </c>
      <c r="F118" s="8" t="str">
        <f>IFERROR(__xludf.DUMMYFUNCTION("""COMPUTED_VALUE"""),"activo")</f>
        <v>activo</v>
      </c>
      <c r="G118" s="6" t="str">
        <f t="shared" si="3"/>
        <v>1.0</v>
      </c>
      <c r="H118" s="9">
        <f t="shared" si="4"/>
        <v>1</v>
      </c>
      <c r="I118" s="10">
        <f>IFERROR(__xludf.DUMMYFUNCTION("MAX(FILTER($H$2:$H1322,$E$2:$E1322=F118))"),1.0)</f>
        <v>1</v>
      </c>
    </row>
    <row r="119">
      <c r="A119" s="4"/>
      <c r="C119" s="4" t="s">
        <v>292</v>
      </c>
      <c r="D119" s="8" t="str">
        <f t="shared" si="1"/>
        <v>{"valorA":"refrigerador","valorB":1.0}</v>
      </c>
      <c r="E119" s="8" t="str">
        <f t="shared" si="2"/>
        <v>refrigerador</v>
      </c>
      <c r="F119" s="8" t="str">
        <f>IFERROR(__xludf.DUMMYFUNCTION("""COMPUTED_VALUE"""),"telemóvel")</f>
        <v>telemóvel</v>
      </c>
      <c r="G119" s="6" t="str">
        <f t="shared" si="3"/>
        <v>1.0</v>
      </c>
      <c r="H119" s="9">
        <f t="shared" si="4"/>
        <v>1</v>
      </c>
      <c r="I119" s="10">
        <f>IFERROR(__xludf.DUMMYFUNCTION("MAX(FILTER($H$2:$H1322,$E$2:$E1322=F119))"),1.0)</f>
        <v>1</v>
      </c>
    </row>
    <row r="120">
      <c r="A120" s="4"/>
      <c r="C120" s="4" t="s">
        <v>293</v>
      </c>
      <c r="D120" s="8" t="str">
        <f t="shared" si="1"/>
        <v>{"valorA":"bem","valorB":4.0}</v>
      </c>
      <c r="E120" s="8" t="str">
        <f t="shared" si="2"/>
        <v>bem</v>
      </c>
      <c r="F120" s="8" t="str">
        <f>IFERROR(__xludf.DUMMYFUNCTION("""COMPUTED_VALUE"""),"perfeita")</f>
        <v>perfeita</v>
      </c>
      <c r="G120" s="6" t="str">
        <f t="shared" si="3"/>
        <v>4.0</v>
      </c>
      <c r="H120" s="9">
        <f t="shared" si="4"/>
        <v>4</v>
      </c>
      <c r="I120" s="10">
        <f>IFERROR(__xludf.DUMMYFUNCTION("MAX(FILTER($H$2:$H1322,$E$2:$E1322=F120))"),1.0)</f>
        <v>1</v>
      </c>
    </row>
    <row r="121">
      <c r="A121" s="4"/>
      <c r="C121" s="4" t="s">
        <v>294</v>
      </c>
      <c r="D121" s="8" t="str">
        <f t="shared" si="1"/>
        <v>{"valorA":"de","valorB":6.0}</v>
      </c>
      <c r="E121" s="8" t="str">
        <f t="shared" si="2"/>
        <v>de</v>
      </c>
      <c r="F121" s="8" t="str">
        <f>IFERROR(__xludf.DUMMYFUNCTION("""COMPUTED_VALUE"""),"estilo")</f>
        <v>estilo</v>
      </c>
      <c r="G121" s="6" t="str">
        <f t="shared" si="3"/>
        <v>6.0</v>
      </c>
      <c r="H121" s="9">
        <f t="shared" si="4"/>
        <v>6</v>
      </c>
      <c r="I121" s="10">
        <f>IFERROR(__xludf.DUMMYFUNCTION("MAX(FILTER($H$2:$H1322,$E$2:$E1322=F121))"),1.0)</f>
        <v>1</v>
      </c>
    </row>
    <row r="122">
      <c r="A122" s="4"/>
      <c r="C122" s="4" t="s">
        <v>295</v>
      </c>
      <c r="D122" s="8" t="str">
        <f t="shared" si="1"/>
        <v>{"valorA":"que","valorB":1.0}</v>
      </c>
      <c r="E122" s="8" t="str">
        <f t="shared" si="2"/>
        <v>que</v>
      </c>
      <c r="F122" s="8" t="str">
        <f>IFERROR(__xludf.DUMMYFUNCTION("""COMPUTED_VALUE"""),"aplicar")</f>
        <v>aplicar</v>
      </c>
      <c r="G122" s="6" t="str">
        <f t="shared" si="3"/>
        <v>1.0</v>
      </c>
      <c r="H122" s="9">
        <f t="shared" si="4"/>
        <v>1</v>
      </c>
      <c r="I122" s="10">
        <f>IFERROR(__xludf.DUMMYFUNCTION("MAX(FILTER($H$2:$H1322,$E$2:$E1322=F122))"),1.0)</f>
        <v>1</v>
      </c>
    </row>
    <row r="123">
      <c r="A123" s="4"/>
      <c r="C123" s="4" t="s">
        <v>296</v>
      </c>
      <c r="D123" s="8" t="str">
        <f t="shared" si="1"/>
        <v>{"valorA":"veio","valorB":1.0}</v>
      </c>
      <c r="E123" s="8" t="str">
        <f t="shared" si="2"/>
        <v>veio</v>
      </c>
      <c r="F123" s="8" t="str">
        <f>IFERROR(__xludf.DUMMYFUNCTION("""COMPUTED_VALUE"""),"pele")</f>
        <v>pele</v>
      </c>
      <c r="G123" s="6" t="str">
        <f t="shared" si="3"/>
        <v>1.0</v>
      </c>
      <c r="H123" s="9">
        <f t="shared" si="4"/>
        <v>1</v>
      </c>
      <c r="I123" s="10">
        <f>IFERROR(__xludf.DUMMYFUNCTION("MAX(FILTER($H$2:$H1322,$E$2:$E1322=F123))"),1.0)</f>
        <v>1</v>
      </c>
    </row>
    <row r="124">
      <c r="A124" s="4"/>
      <c r="C124" s="4" t="s">
        <v>297</v>
      </c>
      <c r="D124" s="8" t="str">
        <f t="shared" si="1"/>
        <v>{"valorA":"uma","valorB":1.0}</v>
      </c>
      <c r="E124" s="8" t="str">
        <f t="shared" si="2"/>
        <v>uma</v>
      </c>
      <c r="F124" s="8" t="str">
        <f>IFERROR(__xludf.DUMMYFUNCTION("""COMPUTED_VALUE"""),"relojoeiro")</f>
        <v>relojoeiro</v>
      </c>
      <c r="G124" s="6" t="str">
        <f t="shared" si="3"/>
        <v>1.0</v>
      </c>
      <c r="H124" s="9">
        <f t="shared" si="4"/>
        <v>1</v>
      </c>
      <c r="I124" s="10">
        <f>IFERROR(__xludf.DUMMYFUNCTION("MAX(FILTER($H$2:$H1322,$E$2:$E1322=F124))"),1.0)</f>
        <v>1</v>
      </c>
    </row>
    <row r="125">
      <c r="A125" s="4"/>
      <c r="C125" s="4" t="s">
        <v>298</v>
      </c>
      <c r="D125" s="8" t="str">
        <f t="shared" si="1"/>
        <v>{"valorA":"ótimo","valorB":19.0}</v>
      </c>
      <c r="E125" s="8" t="str">
        <f t="shared" si="2"/>
        <v>ótimo</v>
      </c>
      <c r="F125" s="8" t="str">
        <f>IFERROR(__xludf.DUMMYFUNCTION("""COMPUTED_VALUE"""),"fotos")</f>
        <v>fotos</v>
      </c>
      <c r="G125" s="6" t="str">
        <f t="shared" si="3"/>
        <v>19.0</v>
      </c>
      <c r="H125" s="9">
        <f t="shared" si="4"/>
        <v>19</v>
      </c>
      <c r="I125" s="10">
        <f>IFERROR(__xludf.DUMMYFUNCTION("MAX(FILTER($H$2:$H1322,$E$2:$E1322=F125))"),1.0)</f>
        <v>1</v>
      </c>
    </row>
    <row r="126">
      <c r="A126" s="4"/>
      <c r="C126" s="4" t="s">
        <v>299</v>
      </c>
      <c r="D126" s="8" t="str">
        <f t="shared" si="1"/>
        <v>{"valorA":"cabelo","valorB":1.0}</v>
      </c>
      <c r="E126" s="8" t="str">
        <f t="shared" si="2"/>
        <v>cabelo</v>
      </c>
      <c r="F126" s="8" t="str">
        <f>IFERROR(__xludf.DUMMYFUNCTION("""COMPUTED_VALUE"""),"incríveis")</f>
        <v>incríveis</v>
      </c>
      <c r="G126" s="6" t="str">
        <f t="shared" si="3"/>
        <v>1.0</v>
      </c>
      <c r="H126" s="9">
        <f t="shared" si="4"/>
        <v>1</v>
      </c>
      <c r="I126" s="10">
        <f>IFERROR(__xludf.DUMMYFUNCTION("MAX(FILTER($H$2:$H1322,$E$2:$E1322=F126))"),1.0)</f>
        <v>1</v>
      </c>
    </row>
    <row r="127">
      <c r="A127" s="4"/>
      <c r="C127" s="4" t="s">
        <v>300</v>
      </c>
      <c r="D127" s="8" t="str">
        <f t="shared" si="1"/>
        <v>{"valorA":"muito","valorB":8.0}</v>
      </c>
      <c r="E127" s="8" t="str">
        <f t="shared" si="2"/>
        <v>muito</v>
      </c>
      <c r="F127" s="8" t="str">
        <f>IFERROR(__xludf.DUMMYFUNCTION("""COMPUTED_VALUE"""),"câmera")</f>
        <v>câmera</v>
      </c>
      <c r="G127" s="6" t="str">
        <f t="shared" si="3"/>
        <v>8.0</v>
      </c>
      <c r="H127" s="9">
        <f t="shared" si="4"/>
        <v>8</v>
      </c>
      <c r="I127" s="10">
        <f>IFERROR(__xludf.DUMMYFUNCTION("MAX(FILTER($H$2:$H1322,$E$2:$E1322=F127))"),1.0)</f>
        <v>1</v>
      </c>
    </row>
    <row r="128">
      <c r="A128" s="4"/>
      <c r="C128" s="4" t="s">
        <v>301</v>
      </c>
      <c r="D128" s="8" t="str">
        <f t="shared" si="1"/>
        <v>{"valorA":"acessórios","valorB":1.0}</v>
      </c>
      <c r="E128" s="8" t="str">
        <f t="shared" si="2"/>
        <v>acessórios</v>
      </c>
      <c r="F128" s="8" t="str">
        <f>IFERROR(__xludf.DUMMYFUNCTION("""COMPUTED_VALUE"""),"em")</f>
        <v>em</v>
      </c>
      <c r="G128" s="6" t="str">
        <f t="shared" si="3"/>
        <v>1.0</v>
      </c>
      <c r="H128" s="9">
        <f t="shared" si="4"/>
        <v>1</v>
      </c>
      <c r="I128" s="10">
        <f>IFERROR(__xludf.DUMMYFUNCTION("MAX(FILTER($H$2:$H1322,$E$2:$E1322=F128))"),1.0)</f>
        <v>1</v>
      </c>
    </row>
    <row r="129">
      <c r="A129" s="4"/>
      <c r="C129" s="4" t="s">
        <v>302</v>
      </c>
      <c r="D129" s="8" t="str">
        <f t="shared" si="1"/>
        <v>{"valorA":"comprimento","valorB":1.0}</v>
      </c>
      <c r="E129" s="8" t="str">
        <f t="shared" si="2"/>
        <v>comprimento</v>
      </c>
      <c r="F129" s="8" t="str">
        <f>IFERROR(__xludf.DUMMYFUNCTION("""COMPUTED_VALUE"""),"bastante")</f>
        <v>bastante</v>
      </c>
      <c r="G129" s="6" t="str">
        <f t="shared" si="3"/>
        <v>1.0</v>
      </c>
      <c r="H129" s="9">
        <f t="shared" si="4"/>
        <v>1</v>
      </c>
      <c r="I129" s="10">
        <f>IFERROR(__xludf.DUMMYFUNCTION("MAX(FILTER($H$2:$H1322,$E$2:$E1322=F129))"),1.0)</f>
        <v>1</v>
      </c>
    </row>
    <row r="130">
      <c r="A130" s="4"/>
      <c r="C130" s="4" t="s">
        <v>303</v>
      </c>
      <c r="D130" s="8" t="str">
        <f t="shared" si="1"/>
        <v>{"valorA":"funciona","valorB":5.0}</v>
      </c>
      <c r="E130" s="8" t="str">
        <f t="shared" si="2"/>
        <v>funciona</v>
      </c>
      <c r="F130" s="8" t="str">
        <f>IFERROR(__xludf.DUMMYFUNCTION("""COMPUTED_VALUE"""),"forma")</f>
        <v>forma</v>
      </c>
      <c r="G130" s="6" t="str">
        <f t="shared" si="3"/>
        <v>5.0</v>
      </c>
      <c r="H130" s="9">
        <f t="shared" si="4"/>
        <v>5</v>
      </c>
      <c r="I130" s="10">
        <f>IFERROR(__xludf.DUMMYFUNCTION("MAX(FILTER($H$2:$H1322,$E$2:$E1322=F130))"),1.0)</f>
        <v>1</v>
      </c>
    </row>
    <row r="131">
      <c r="A131" s="4"/>
      <c r="C131" s="4" t="s">
        <v>304</v>
      </c>
      <c r="D131" s="8" t="str">
        <f t="shared" si="1"/>
        <v>{"valorA":"caixa","valorB":1.0}</v>
      </c>
      <c r="E131" s="8" t="str">
        <f t="shared" si="2"/>
        <v>caixa</v>
      </c>
      <c r="F131" s="8" t="str">
        <f>IFERROR(__xludf.DUMMYFUNCTION("""COMPUTED_VALUE"""),"reciclada")</f>
        <v>reciclada</v>
      </c>
      <c r="G131" s="6" t="str">
        <f t="shared" si="3"/>
        <v>1.0</v>
      </c>
      <c r="H131" s="9">
        <f t="shared" si="4"/>
        <v>1</v>
      </c>
      <c r="I131" s="10">
        <f>IFERROR(__xludf.DUMMYFUNCTION("MAX(FILTER($H$2:$H1322,$E$2:$E1322=F131))"),1.0)</f>
        <v>1</v>
      </c>
    </row>
    <row r="132">
      <c r="A132" s="4"/>
      <c r="C132" s="4" t="s">
        <v>305</v>
      </c>
      <c r="D132" s="8" t="str">
        <f t="shared" si="1"/>
        <v>{"valorA":"é","valorB":4.0}</v>
      </c>
      <c r="E132" s="8" t="str">
        <f t="shared" si="2"/>
        <v>é</v>
      </c>
      <c r="F132" s="8" t="str">
        <f>IFERROR(__xludf.DUMMYFUNCTION("""COMPUTED_VALUE"""),"recentemente")</f>
        <v>recentemente</v>
      </c>
      <c r="G132" s="6" t="str">
        <f t="shared" si="3"/>
        <v>4.0</v>
      </c>
      <c r="H132" s="9">
        <f t="shared" si="4"/>
        <v>4</v>
      </c>
      <c r="I132" s="10">
        <f>IFERROR(__xludf.DUMMYFUNCTION("MAX(FILTER($H$2:$H1322,$E$2:$E1322=F132))"),1.0)</f>
        <v>1</v>
      </c>
    </row>
    <row r="133">
      <c r="A133" s="4"/>
      <c r="C133" s="4" t="s">
        <v>306</v>
      </c>
      <c r="D133" s="8" t="str">
        <f t="shared" si="1"/>
        <v>{"valorA":"investir","valorB":1.0}</v>
      </c>
      <c r="E133" s="8" t="str">
        <f t="shared" si="2"/>
        <v>investir</v>
      </c>
      <c r="F133" s="8" t="str">
        <f>IFERROR(__xludf.DUMMYFUNCTION("""COMPUTED_VALUE"""),"dinheiro")</f>
        <v>dinheiro</v>
      </c>
      <c r="G133" s="6" t="str">
        <f t="shared" si="3"/>
        <v>1.0</v>
      </c>
      <c r="H133" s="9">
        <f t="shared" si="4"/>
        <v>1</v>
      </c>
      <c r="I133" s="10">
        <f>IFERROR(__xludf.DUMMYFUNCTION("MAX(FILTER($H$2:$H1322,$E$2:$E1322=F133))"),1.0)</f>
        <v>1</v>
      </c>
    </row>
    <row r="134">
      <c r="A134" s="4"/>
      <c r="C134" s="4" t="s">
        <v>307</v>
      </c>
      <c r="D134" s="8" t="str">
        <f t="shared" si="1"/>
        <v>{"valorA":"pena","valorB":1.0}</v>
      </c>
      <c r="E134" s="8" t="str">
        <f t="shared" si="2"/>
        <v>pena</v>
      </c>
      <c r="F134" s="8" t="str">
        <f>IFERROR(__xludf.DUMMYFUNCTION("""COMPUTED_VALUE"""),"caros")</f>
        <v>caros</v>
      </c>
      <c r="G134" s="6" t="str">
        <f t="shared" si="3"/>
        <v>1.0</v>
      </c>
      <c r="H134" s="9">
        <f t="shared" si="4"/>
        <v>1</v>
      </c>
      <c r="I134" s="10">
        <f>IFERROR(__xludf.DUMMYFUNCTION("MAX(FILTER($H$2:$H1322,$E$2:$E1322=F134))"),1.0)</f>
        <v>1</v>
      </c>
    </row>
    <row r="135">
      <c r="A135" s="4"/>
      <c r="C135" s="4" t="s">
        <v>308</v>
      </c>
      <c r="D135" s="8" t="str">
        <f t="shared" si="1"/>
        <v>{"valorA":"bem","valorB":5.0}</v>
      </c>
      <c r="E135" s="8" t="str">
        <f t="shared" si="2"/>
        <v>bem</v>
      </c>
      <c r="F135" s="8" t="str">
        <f>IFERROR(__xludf.DUMMYFUNCTION("""COMPUTED_VALUE"""),"refrigerante")</f>
        <v>refrigerante</v>
      </c>
      <c r="G135" s="6" t="str">
        <f t="shared" si="3"/>
        <v>5.0</v>
      </c>
      <c r="H135" s="9">
        <f t="shared" si="4"/>
        <v>5</v>
      </c>
      <c r="I135" s="10">
        <f>IFERROR(__xludf.DUMMYFUNCTION("MAX(FILTER($H$2:$H1322,$E$2:$E1322=F135))"),1.0)</f>
        <v>1</v>
      </c>
    </row>
    <row r="136">
      <c r="A136" s="4"/>
      <c r="C136" s="4" t="s">
        <v>309</v>
      </c>
      <c r="D136" s="8" t="str">
        <f t="shared" si="1"/>
        <v>{"valorA":"incrível","valorB":2.0}</v>
      </c>
      <c r="E136" s="8" t="str">
        <f t="shared" si="2"/>
        <v>incrível</v>
      </c>
      <c r="F136" s="8" t="str">
        <f>IFERROR(__xludf.DUMMYFUNCTION("""COMPUTED_VALUE"""),"super")</f>
        <v>super</v>
      </c>
      <c r="G136" s="6" t="str">
        <f t="shared" si="3"/>
        <v>2.0</v>
      </c>
      <c r="H136" s="9">
        <f t="shared" si="4"/>
        <v>2</v>
      </c>
      <c r="I136" s="10">
        <f>IFERROR(__xludf.DUMMYFUNCTION("MAX(FILTER($H$2:$H1322,$E$2:$E1322=F136))"),1.0)</f>
        <v>1</v>
      </c>
    </row>
    <row r="137">
      <c r="A137" s="4"/>
      <c r="C137" s="4" t="s">
        <v>310</v>
      </c>
      <c r="D137" s="8" t="str">
        <f t="shared" si="1"/>
        <v>{"valorA":"o","valorB":1.0}</v>
      </c>
      <c r="E137" s="8" t="str">
        <f t="shared" si="2"/>
        <v>o</v>
      </c>
      <c r="F137" s="8"/>
      <c r="G137" s="6" t="str">
        <f t="shared" si="3"/>
        <v>1.0</v>
      </c>
      <c r="H137" s="9">
        <f t="shared" si="4"/>
        <v>1</v>
      </c>
      <c r="I137" s="10">
        <f>IFERROR(__xludf.DUMMYFUNCTION("MAX(FILTER($H$2:$H1322,$E$2:$E1322=F137))"),0.0)</f>
        <v>0</v>
      </c>
    </row>
    <row r="138">
      <c r="A138" s="4"/>
      <c r="C138" s="4" t="s">
        <v>311</v>
      </c>
      <c r="D138" s="8" t="str">
        <f t="shared" si="1"/>
        <v>{"valorA":"livro","valorB":1.0}</v>
      </c>
      <c r="E138" s="8" t="str">
        <f t="shared" si="2"/>
        <v>livro</v>
      </c>
      <c r="F138" s="8"/>
      <c r="G138" s="6" t="str">
        <f t="shared" si="3"/>
        <v>1.0</v>
      </c>
      <c r="H138" s="9">
        <f t="shared" si="4"/>
        <v>1</v>
      </c>
      <c r="I138" s="10">
        <f>IFERROR(__xludf.DUMMYFUNCTION("MAX(FILTER($H$2:$H1322,$E$2:$E1322=F138))"),0.0)</f>
        <v>0</v>
      </c>
    </row>
    <row r="139">
      <c r="A139" s="4"/>
      <c r="C139" s="4" t="s">
        <v>312</v>
      </c>
      <c r="D139" s="8" t="str">
        <f t="shared" si="1"/>
        <v>{"valorA":"vale","valorB":1.0}</v>
      </c>
      <c r="E139" s="8" t="str">
        <f t="shared" si="2"/>
        <v>vale</v>
      </c>
      <c r="F139" s="8"/>
      <c r="G139" s="6" t="str">
        <f t="shared" si="3"/>
        <v>1.0</v>
      </c>
      <c r="H139" s="9">
        <f t="shared" si="4"/>
        <v>1</v>
      </c>
      <c r="I139" s="10">
        <f>IFERROR(__xludf.DUMMYFUNCTION("MAX(FILTER($H$2:$H1322,$E$2:$E1322=F139))"),0.0)</f>
        <v>0</v>
      </c>
    </row>
    <row r="140">
      <c r="A140" s="4"/>
      <c r="C140" s="4" t="s">
        <v>313</v>
      </c>
      <c r="D140" s="8" t="str">
        <f t="shared" si="1"/>
        <v>{"valorA":"produto","valorB":14.0}</v>
      </c>
      <c r="E140" s="8" t="str">
        <f t="shared" si="2"/>
        <v>produto</v>
      </c>
      <c r="F140" s="8"/>
      <c r="G140" s="6" t="str">
        <f t="shared" si="3"/>
        <v>14.0</v>
      </c>
      <c r="H140" s="9">
        <f t="shared" si="4"/>
        <v>14</v>
      </c>
      <c r="I140" s="10">
        <f>IFERROR(__xludf.DUMMYFUNCTION("MAX(FILTER($H$2:$H1322,$E$2:$E1322=F140))"),0.0)</f>
        <v>0</v>
      </c>
    </row>
    <row r="141">
      <c r="A141" s="4"/>
      <c r="C141" s="4" t="s">
        <v>314</v>
      </c>
      <c r="D141" s="8" t="str">
        <f t="shared" si="1"/>
        <v>{"valorA":"resultado","valorB":1.0}</v>
      </c>
      <c r="E141" s="8" t="str">
        <f t="shared" si="2"/>
        <v>resultado</v>
      </c>
      <c r="F141" s="8"/>
      <c r="G141" s="6" t="str">
        <f t="shared" si="3"/>
        <v>1.0</v>
      </c>
      <c r="H141" s="9">
        <f t="shared" si="4"/>
        <v>1</v>
      </c>
      <c r="I141" s="10">
        <f>IFERROR(__xludf.DUMMYFUNCTION("MAX(FILTER($H$2:$H1322,$E$2:$E1322=F141))"),0.0)</f>
        <v>0</v>
      </c>
    </row>
    <row r="142">
      <c r="A142" s="4"/>
      <c r="C142" s="4" t="s">
        <v>315</v>
      </c>
      <c r="D142" s="8" t="str">
        <f t="shared" si="1"/>
        <v>{"valorA":"ótimo","valorB":22.0}</v>
      </c>
      <c r="E142" s="8" t="str">
        <f t="shared" si="2"/>
        <v>ótimo</v>
      </c>
      <c r="F142" s="8"/>
      <c r="G142" s="6" t="str">
        <f t="shared" si="3"/>
        <v>22.0</v>
      </c>
      <c r="H142" s="9">
        <f t="shared" si="4"/>
        <v>22</v>
      </c>
      <c r="I142" s="10">
        <f>IFERROR(__xludf.DUMMYFUNCTION("MAX(FILTER($H$2:$H1322,$E$2:$E1322=F142))"),0.0)</f>
        <v>0</v>
      </c>
    </row>
    <row r="143">
      <c r="A143" s="4"/>
      <c r="C143" s="4" t="s">
        <v>316</v>
      </c>
      <c r="D143" s="8" t="str">
        <f t="shared" si="1"/>
        <v>{"valorA":"gostei","valorB":3.0}</v>
      </c>
      <c r="E143" s="8" t="str">
        <f t="shared" si="2"/>
        <v>gostei</v>
      </c>
      <c r="F143" s="8"/>
      <c r="G143" s="6" t="str">
        <f t="shared" si="3"/>
        <v>3.0</v>
      </c>
      <c r="H143" s="9">
        <f t="shared" si="4"/>
        <v>3</v>
      </c>
      <c r="I143" s="10">
        <f>IFERROR(__xludf.DUMMYFUNCTION("MAX(FILTER($H$2:$H1322,$E$2:$E1322=F143))"),0.0)</f>
        <v>0</v>
      </c>
    </row>
    <row r="144">
      <c r="A144" s="4"/>
      <c r="C144" s="4" t="s">
        <v>317</v>
      </c>
      <c r="D144" s="8" t="str">
        <f t="shared" si="1"/>
        <v>{"valorA":"esse","valorB":5.0}</v>
      </c>
      <c r="E144" s="8" t="str">
        <f t="shared" si="2"/>
        <v>esse</v>
      </c>
      <c r="F144" s="8"/>
      <c r="G144" s="6" t="str">
        <f t="shared" si="3"/>
        <v>5.0</v>
      </c>
      <c r="H144" s="9">
        <f t="shared" si="4"/>
        <v>5</v>
      </c>
      <c r="I144" s="10">
        <f>IFERROR(__xludf.DUMMYFUNCTION("MAX(FILTER($H$2:$H1322,$E$2:$E1322=F144))"),0.0)</f>
        <v>0</v>
      </c>
    </row>
    <row r="145">
      <c r="A145" s="4"/>
      <c r="C145" s="4" t="s">
        <v>318</v>
      </c>
      <c r="D145" s="8" t="str">
        <f t="shared" si="1"/>
        <v>{"valorA":"realmente","valorB":3.0}</v>
      </c>
      <c r="E145" s="8" t="str">
        <f t="shared" si="2"/>
        <v>realmente</v>
      </c>
      <c r="F145" s="8"/>
      <c r="G145" s="6" t="str">
        <f t="shared" si="3"/>
        <v>3.0</v>
      </c>
      <c r="H145" s="9">
        <f t="shared" si="4"/>
        <v>3</v>
      </c>
      <c r="I145" s="10">
        <f>IFERROR(__xludf.DUMMYFUNCTION("MAX(FILTER($H$2:$H1322,$E$2:$E1322=F145))"),0.0)</f>
        <v>0</v>
      </c>
    </row>
    <row r="146">
      <c r="A146" s="4"/>
      <c r="C146" s="4" t="s">
        <v>319</v>
      </c>
      <c r="D146" s="8" t="str">
        <f t="shared" si="1"/>
        <v>{"valorA":"muito","valorB":9.0}</v>
      </c>
      <c r="E146" s="8" t="str">
        <f t="shared" si="2"/>
        <v>muito</v>
      </c>
      <c r="F146" s="8"/>
      <c r="G146" s="6" t="str">
        <f t="shared" si="3"/>
        <v>9.0</v>
      </c>
      <c r="H146" s="9">
        <f t="shared" si="4"/>
        <v>9</v>
      </c>
      <c r="I146" s="10">
        <f>IFERROR(__xludf.DUMMYFUNCTION("MAX(FILTER($H$2:$H1322,$E$2:$E1322=F146))"),0.0)</f>
        <v>0</v>
      </c>
    </row>
    <row r="147">
      <c r="A147" s="4"/>
      <c r="C147" s="4" t="s">
        <v>320</v>
      </c>
      <c r="D147" s="8" t="str">
        <f t="shared" si="1"/>
        <v>{"valorA":"a","valorB":3.0}</v>
      </c>
      <c r="E147" s="8" t="str">
        <f t="shared" si="2"/>
        <v>a</v>
      </c>
      <c r="F147" s="8"/>
      <c r="G147" s="6" t="str">
        <f t="shared" si="3"/>
        <v>3.0</v>
      </c>
      <c r="H147" s="9">
        <f t="shared" si="4"/>
        <v>3</v>
      </c>
      <c r="I147" s="10">
        <f>IFERROR(__xludf.DUMMYFUNCTION("MAX(FILTER($H$2:$H1322,$E$2:$E1322=F147))"),0.0)</f>
        <v>0</v>
      </c>
    </row>
    <row r="148">
      <c r="A148" s="4"/>
      <c r="C148" s="4" t="s">
        <v>321</v>
      </c>
      <c r="D148" s="8" t="str">
        <f t="shared" si="1"/>
        <v>{"valorA":"deseio","valorB":1.0}</v>
      </c>
      <c r="E148" s="8" t="str">
        <f t="shared" si="2"/>
        <v>deseio</v>
      </c>
      <c r="F148" s="8"/>
      <c r="G148" s="6" t="str">
        <f t="shared" si="3"/>
        <v>1.0</v>
      </c>
      <c r="H148" s="9">
        <f t="shared" si="4"/>
        <v>1</v>
      </c>
      <c r="I148" s="10">
        <f>IFERROR(__xludf.DUMMYFUNCTION("MAX(FILTER($H$2:$H1322,$E$2:$E1322=F148))"),0.0)</f>
        <v>0</v>
      </c>
    </row>
    <row r="149">
      <c r="A149" s="4"/>
      <c r="C149" s="4" t="s">
        <v>322</v>
      </c>
      <c r="D149" s="8" t="str">
        <f t="shared" si="1"/>
        <v>{"valorA":"escrita","valorB":1.0}</v>
      </c>
      <c r="E149" s="8" t="str">
        <f t="shared" si="2"/>
        <v>escrita</v>
      </c>
      <c r="F149" s="8"/>
      <c r="G149" s="6" t="str">
        <f t="shared" si="3"/>
        <v>1.0</v>
      </c>
      <c r="H149" s="9">
        <f t="shared" si="4"/>
        <v>1</v>
      </c>
      <c r="I149" s="10">
        <f>IFERROR(__xludf.DUMMYFUNCTION("MAX(FILTER($H$2:$H1322,$E$2:$E1322=F149))"),0.0)</f>
        <v>0</v>
      </c>
    </row>
    <row r="150">
      <c r="A150" s="4"/>
      <c r="C150" s="4" t="s">
        <v>323</v>
      </c>
      <c r="D150" s="8" t="str">
        <f t="shared" si="1"/>
        <v>{"valorA":"da","valorB":1.0}</v>
      </c>
      <c r="E150" s="8" t="str">
        <f t="shared" si="2"/>
        <v>da</v>
      </c>
      <c r="F150" s="8"/>
      <c r="G150" s="6" t="str">
        <f t="shared" si="3"/>
        <v>1.0</v>
      </c>
      <c r="H150" s="9">
        <f t="shared" si="4"/>
        <v>1</v>
      </c>
      <c r="I150" s="10">
        <f>IFERROR(__xludf.DUMMYFUNCTION("MAX(FILTER($H$2:$H1322,$E$2:$E1322=F150))"),0.0)</f>
        <v>0</v>
      </c>
    </row>
    <row r="151">
      <c r="A151" s="4"/>
      <c r="C151" s="4" t="s">
        <v>324</v>
      </c>
      <c r="D151" s="8" t="str">
        <f t="shared" si="1"/>
        <v>{"valorA":"funciona","valorB":6.0}</v>
      </c>
      <c r="E151" s="8" t="str">
        <f t="shared" si="2"/>
        <v>funciona</v>
      </c>
      <c r="F151" s="8"/>
      <c r="G151" s="6" t="str">
        <f t="shared" si="3"/>
        <v>6.0</v>
      </c>
      <c r="H151" s="9">
        <f t="shared" si="4"/>
        <v>6</v>
      </c>
      <c r="I151" s="10">
        <f>IFERROR(__xludf.DUMMYFUNCTION("MAX(FILTER($H$2:$H1322,$E$2:$E1322=F151))"),0.0)</f>
        <v>0</v>
      </c>
    </row>
    <row r="152">
      <c r="A152" s="4"/>
      <c r="C152" s="4" t="s">
        <v>325</v>
      </c>
      <c r="D152" s="8" t="str">
        <f t="shared" si="1"/>
        <v>{"valorA":"recomendo","valorB":3.0}</v>
      </c>
      <c r="E152" s="8" t="str">
        <f t="shared" si="2"/>
        <v>recomendo</v>
      </c>
      <c r="F152" s="8"/>
      <c r="G152" s="6" t="str">
        <f t="shared" si="3"/>
        <v>3.0</v>
      </c>
      <c r="H152" s="9">
        <f t="shared" si="4"/>
        <v>3</v>
      </c>
      <c r="I152" s="10">
        <f>IFERROR(__xludf.DUMMYFUNCTION("MAX(FILTER($H$2:$H1322,$E$2:$E1322=F152))"),0.0)</f>
        <v>0</v>
      </c>
    </row>
    <row r="153">
      <c r="A153" s="4"/>
      <c r="C153" s="4" t="s">
        <v>326</v>
      </c>
      <c r="D153" s="8" t="str">
        <f t="shared" si="1"/>
        <v>{"valorA":"é","valorB":5.0}</v>
      </c>
      <c r="E153" s="8" t="str">
        <f t="shared" si="2"/>
        <v>é</v>
      </c>
      <c r="F153" s="8"/>
      <c r="G153" s="6" t="str">
        <f t="shared" si="3"/>
        <v>5.0</v>
      </c>
      <c r="H153" s="9">
        <f t="shared" si="4"/>
        <v>5</v>
      </c>
      <c r="I153" s="10">
        <f>IFERROR(__xludf.DUMMYFUNCTION("MAX(FILTER($H$2:$H1322,$E$2:$E1322=F153))"),0.0)</f>
        <v>0</v>
      </c>
    </row>
    <row r="154">
      <c r="A154" s="4"/>
      <c r="C154" s="4" t="s">
        <v>327</v>
      </c>
      <c r="D154" s="8" t="str">
        <f t="shared" si="1"/>
        <v>{"valorA":"barato","valorB":2.0}</v>
      </c>
      <c r="E154" s="8" t="str">
        <f t="shared" si="2"/>
        <v>barato</v>
      </c>
      <c r="F154" s="8"/>
      <c r="G154" s="6" t="str">
        <f t="shared" si="3"/>
        <v>2.0</v>
      </c>
      <c r="H154" s="9">
        <f t="shared" si="4"/>
        <v>2</v>
      </c>
      <c r="I154" s="10">
        <f>IFERROR(__xludf.DUMMYFUNCTION("MAX(FILTER($H$2:$H1322,$E$2:$E1322=F154))"),0.0)</f>
        <v>0</v>
      </c>
    </row>
    <row r="155">
      <c r="A155" s="4"/>
      <c r="C155" s="4" t="s">
        <v>328</v>
      </c>
      <c r="D155" s="8" t="str">
        <f t="shared" si="1"/>
        <v>{"valorA":"com","valorB":2.0}</v>
      </c>
      <c r="E155" s="8" t="str">
        <f t="shared" si="2"/>
        <v>com</v>
      </c>
      <c r="F155" s="8"/>
      <c r="G155" s="6" t="str">
        <f t="shared" si="3"/>
        <v>2.0</v>
      </c>
      <c r="H155" s="9">
        <f t="shared" si="4"/>
        <v>2</v>
      </c>
      <c r="I155" s="10">
        <f>IFERROR(__xludf.DUMMYFUNCTION("MAX(FILTER($H$2:$H1322,$E$2:$E1322=F155))"),0.0)</f>
        <v>0</v>
      </c>
    </row>
    <row r="156">
      <c r="A156" s="4"/>
      <c r="C156" s="4" t="s">
        <v>329</v>
      </c>
      <c r="D156" s="8" t="str">
        <f t="shared" si="1"/>
        <v>{"valorA":"outro","valorB":1.0}</v>
      </c>
      <c r="E156" s="8" t="str">
        <f t="shared" si="2"/>
        <v>outro</v>
      </c>
      <c r="F156" s="8"/>
      <c r="G156" s="6" t="str">
        <f t="shared" si="3"/>
        <v>1.0</v>
      </c>
      <c r="H156" s="9">
        <f t="shared" si="4"/>
        <v>1</v>
      </c>
      <c r="I156" s="10">
        <f>IFERROR(__xludf.DUMMYFUNCTION("MAX(FILTER($H$2:$H1322,$E$2:$E1322=F156))"),0.0)</f>
        <v>0</v>
      </c>
    </row>
    <row r="157">
      <c r="A157" s="4"/>
      <c r="C157" s="4" t="s">
        <v>330</v>
      </c>
      <c r="D157" s="8" t="str">
        <f t="shared" si="1"/>
        <v>{"valorA":"bem","valorB":6.0}</v>
      </c>
      <c r="E157" s="8" t="str">
        <f t="shared" si="2"/>
        <v>bem</v>
      </c>
      <c r="F157" s="8"/>
      <c r="G157" s="6" t="str">
        <f t="shared" si="3"/>
        <v>6.0</v>
      </c>
      <c r="H157" s="9">
        <f t="shared" si="4"/>
        <v>6</v>
      </c>
      <c r="I157" s="10">
        <f>IFERROR(__xludf.DUMMYFUNCTION("MAX(FILTER($H$2:$H1322,$E$2:$E1322=F157))"),0.0)</f>
        <v>0</v>
      </c>
    </row>
    <row r="158">
      <c r="A158" s="4"/>
      <c r="C158" s="4" t="s">
        <v>331</v>
      </c>
      <c r="D158" s="8" t="str">
        <f t="shared" si="1"/>
        <v>{"valorA":"e","valorB":5.0}</v>
      </c>
      <c r="E158" s="8" t="str">
        <f t="shared" si="2"/>
        <v>e</v>
      </c>
      <c r="F158" s="8"/>
      <c r="G158" s="6" t="str">
        <f t="shared" si="3"/>
        <v>5.0</v>
      </c>
      <c r="H158" s="9">
        <f t="shared" si="4"/>
        <v>5</v>
      </c>
      <c r="I158" s="10">
        <f>IFERROR(__xludf.DUMMYFUNCTION("MAX(FILTER($H$2:$H1322,$E$2:$E1322=F158))"),0.0)</f>
        <v>0</v>
      </c>
    </row>
    <row r="159">
      <c r="A159" s="4"/>
      <c r="C159" s="4" t="s">
        <v>332</v>
      </c>
      <c r="D159" s="8" t="str">
        <f t="shared" si="1"/>
        <v>{"valorA":"o","valorB":2.0}</v>
      </c>
      <c r="E159" s="8" t="str">
        <f t="shared" si="2"/>
        <v>o</v>
      </c>
      <c r="F159" s="8"/>
      <c r="G159" s="6" t="str">
        <f t="shared" si="3"/>
        <v>2.0</v>
      </c>
      <c r="H159" s="9">
        <f t="shared" si="4"/>
        <v>2</v>
      </c>
      <c r="I159" s="10">
        <f>IFERROR(__xludf.DUMMYFUNCTION("MAX(FILTER($H$2:$H1322,$E$2:$E1322=F159))"),0.0)</f>
        <v>0</v>
      </c>
    </row>
    <row r="160">
      <c r="A160" s="4"/>
      <c r="C160" s="4" t="s">
        <v>333</v>
      </c>
      <c r="D160" s="8" t="str">
        <f t="shared" si="1"/>
        <v>{"valorA":"que","valorB":2.0}</v>
      </c>
      <c r="E160" s="8" t="str">
        <f t="shared" si="2"/>
        <v>que</v>
      </c>
      <c r="F160" s="8"/>
      <c r="G160" s="6" t="str">
        <f t="shared" si="3"/>
        <v>2.0</v>
      </c>
      <c r="H160" s="9">
        <f t="shared" si="4"/>
        <v>2</v>
      </c>
      <c r="I160" s="10">
        <f>IFERROR(__xludf.DUMMYFUNCTION("MAX(FILTER($H$2:$H1322,$E$2:$E1322=F160))"),0.0)</f>
        <v>0</v>
      </c>
    </row>
    <row r="161">
      <c r="A161" s="4"/>
      <c r="C161" s="4" t="s">
        <v>334</v>
      </c>
      <c r="D161" s="8" t="str">
        <f t="shared" si="1"/>
        <v>{"valorA":"produto","valorB":17.0}</v>
      </c>
      <c r="E161" s="8" t="str">
        <f t="shared" si="2"/>
        <v>produto</v>
      </c>
      <c r="F161" s="8"/>
      <c r="G161" s="6" t="str">
        <f t="shared" si="3"/>
        <v>17.0</v>
      </c>
      <c r="H161" s="9">
        <f t="shared" si="4"/>
        <v>17</v>
      </c>
      <c r="I161" s="10">
        <f>IFERROR(__xludf.DUMMYFUNCTION("MAX(FILTER($H$2:$H1322,$E$2:$E1322=F161))"),0.0)</f>
        <v>0</v>
      </c>
    </row>
    <row r="162">
      <c r="A162" s="4"/>
      <c r="C162" s="4" t="s">
        <v>335</v>
      </c>
      <c r="D162" s="8" t="str">
        <f t="shared" si="1"/>
        <v>{"valorA":"do","valorB":1.0}</v>
      </c>
      <c r="E162" s="8" t="str">
        <f t="shared" si="2"/>
        <v>do</v>
      </c>
      <c r="F162" s="8"/>
      <c r="G162" s="6" t="str">
        <f t="shared" si="3"/>
        <v>1.0</v>
      </c>
      <c r="H162" s="9">
        <f t="shared" si="4"/>
        <v>1</v>
      </c>
      <c r="I162" s="10">
        <f>IFERROR(__xludf.DUMMYFUNCTION("MAX(FILTER($H$2:$H1322,$E$2:$E1322=F162))"),0.0)</f>
        <v>0</v>
      </c>
    </row>
    <row r="163">
      <c r="A163" s="4"/>
      <c r="C163" s="4" t="s">
        <v>336</v>
      </c>
      <c r="D163" s="8" t="str">
        <f t="shared" si="1"/>
        <v>{"valorA":"ótimo","valorB":25.0}</v>
      </c>
      <c r="E163" s="8" t="str">
        <f t="shared" si="2"/>
        <v>ótimo</v>
      </c>
      <c r="F163" s="8"/>
      <c r="G163" s="6" t="str">
        <f t="shared" si="3"/>
        <v>25.0</v>
      </c>
      <c r="H163" s="9">
        <f t="shared" si="4"/>
        <v>25</v>
      </c>
      <c r="I163" s="10">
        <f>IFERROR(__xludf.DUMMYFUNCTION("MAX(FILTER($H$2:$H1322,$E$2:$E1322=F163))"),0.0)</f>
        <v>0</v>
      </c>
    </row>
    <row r="164">
      <c r="A164" s="4"/>
      <c r="C164" s="4" t="s">
        <v>337</v>
      </c>
      <c r="D164" s="8" t="str">
        <f t="shared" si="1"/>
        <v>{"valorA":"mais","valorB":1.0}</v>
      </c>
      <c r="E164" s="8" t="str">
        <f t="shared" si="2"/>
        <v>mais</v>
      </c>
      <c r="F164" s="8"/>
      <c r="G164" s="6" t="str">
        <f t="shared" si="3"/>
        <v>1.0</v>
      </c>
      <c r="H164" s="9">
        <f t="shared" si="4"/>
        <v>1</v>
      </c>
      <c r="I164" s="10">
        <f>IFERROR(__xludf.DUMMYFUNCTION("MAX(FILTER($H$2:$H1322,$E$2:$E1322=F164))"),0.0)</f>
        <v>0</v>
      </c>
    </row>
    <row r="165">
      <c r="A165" s="4"/>
      <c r="C165" s="4" t="s">
        <v>338</v>
      </c>
      <c r="D165" s="8" t="str">
        <f t="shared" si="1"/>
        <v>{"valorA":"perfeitamente","valorB":5.0}</v>
      </c>
      <c r="E165" s="8" t="str">
        <f t="shared" si="2"/>
        <v>perfeitamente</v>
      </c>
      <c r="F165" s="8"/>
      <c r="G165" s="6" t="str">
        <f t="shared" si="3"/>
        <v>5.0</v>
      </c>
      <c r="H165" s="9">
        <f t="shared" si="4"/>
        <v>5</v>
      </c>
      <c r="I165" s="10">
        <f>IFERROR(__xludf.DUMMYFUNCTION("MAX(FILTER($H$2:$H1322,$E$2:$E1322=F165))"),0.0)</f>
        <v>0</v>
      </c>
    </row>
    <row r="166">
      <c r="A166" s="4"/>
      <c r="C166" s="4" t="s">
        <v>339</v>
      </c>
      <c r="D166" s="8" t="str">
        <f t="shared" si="1"/>
        <v>{"valorA":"muito","valorB":10.0}</v>
      </c>
      <c r="E166" s="8" t="str">
        <f t="shared" si="2"/>
        <v>muito</v>
      </c>
      <c r="F166" s="8"/>
      <c r="G166" s="6" t="str">
        <f t="shared" si="3"/>
        <v>10.0</v>
      </c>
      <c r="H166" s="9">
        <f t="shared" si="4"/>
        <v>10</v>
      </c>
      <c r="I166" s="10">
        <f>IFERROR(__xludf.DUMMYFUNCTION("MAX(FILTER($H$2:$H1322,$E$2:$E1322=F166))"),0.0)</f>
        <v>0</v>
      </c>
    </row>
    <row r="167">
      <c r="A167" s="4"/>
      <c r="C167" s="4" t="s">
        <v>340</v>
      </c>
      <c r="D167" s="8" t="str">
        <f t="shared" si="1"/>
        <v>{"valorA":"satisfeito","valorB":2.0}</v>
      </c>
      <c r="E167" s="8" t="str">
        <f t="shared" si="2"/>
        <v>satisfeito</v>
      </c>
      <c r="F167" s="8"/>
      <c r="G167" s="6" t="str">
        <f t="shared" si="3"/>
        <v>2.0</v>
      </c>
      <c r="H167" s="9">
        <f t="shared" si="4"/>
        <v>2</v>
      </c>
      <c r="I167" s="10">
        <f>IFERROR(__xludf.DUMMYFUNCTION("MAX(FILTER($H$2:$H1322,$E$2:$E1322=F167))"),0.0)</f>
        <v>0</v>
      </c>
    </row>
    <row r="168">
      <c r="A168" s="4"/>
      <c r="C168" s="4" t="s">
        <v>341</v>
      </c>
      <c r="D168" s="8" t="str">
        <f t="shared" si="1"/>
        <v>{"valorA":"compra","valorB":2.0}</v>
      </c>
      <c r="E168" s="8" t="str">
        <f t="shared" si="2"/>
        <v>compra</v>
      </c>
      <c r="F168" s="8"/>
      <c r="G168" s="6" t="str">
        <f t="shared" si="3"/>
        <v>2.0</v>
      </c>
      <c r="H168" s="9">
        <f t="shared" si="4"/>
        <v>2</v>
      </c>
      <c r="I168" s="10">
        <f>IFERROR(__xludf.DUMMYFUNCTION("MAX(FILTER($H$2:$H1322,$E$2:$E1322=F168))"),0.0)</f>
        <v>0</v>
      </c>
    </row>
    <row r="169">
      <c r="A169" s="4"/>
      <c r="C169" s="4" t="s">
        <v>342</v>
      </c>
      <c r="D169" s="8" t="str">
        <f t="shared" si="1"/>
        <v>{"valorA":"a","valorB":4.0}</v>
      </c>
      <c r="E169" s="8" t="str">
        <f t="shared" si="2"/>
        <v>a</v>
      </c>
      <c r="F169" s="8"/>
      <c r="G169" s="6" t="str">
        <f t="shared" si="3"/>
        <v>4.0</v>
      </c>
      <c r="H169" s="9">
        <f t="shared" si="4"/>
        <v>4</v>
      </c>
      <c r="I169" s="10">
        <f>IFERROR(__xludf.DUMMYFUNCTION("MAX(FILTER($H$2:$H1322,$E$2:$E1322=F169))"),0.0)</f>
        <v>0</v>
      </c>
    </row>
    <row r="170">
      <c r="A170" s="4"/>
      <c r="C170" s="4" t="s">
        <v>343</v>
      </c>
      <c r="D170" s="8" t="str">
        <f t="shared" si="1"/>
        <v>{"valorA":"funciona","valorB":7.0}</v>
      </c>
      <c r="E170" s="8" t="str">
        <f t="shared" si="2"/>
        <v>funciona</v>
      </c>
      <c r="F170" s="8"/>
      <c r="G170" s="6" t="str">
        <f t="shared" si="3"/>
        <v>7.0</v>
      </c>
      <c r="H170" s="9">
        <f t="shared" si="4"/>
        <v>7</v>
      </c>
      <c r="I170" s="10">
        <f>IFERROR(__xludf.DUMMYFUNCTION("MAX(FILTER($H$2:$H1322,$E$2:$E1322=F170))"),0.0)</f>
        <v>0</v>
      </c>
    </row>
    <row r="171">
      <c r="A171" s="4"/>
      <c r="C171" s="4" t="s">
        <v>344</v>
      </c>
      <c r="D171" s="8" t="str">
        <f t="shared" si="1"/>
        <v>{"valorA":"é","valorB":6.0}</v>
      </c>
      <c r="E171" s="8" t="str">
        <f t="shared" si="2"/>
        <v>é</v>
      </c>
      <c r="F171" s="8"/>
      <c r="G171" s="6" t="str">
        <f t="shared" si="3"/>
        <v>6.0</v>
      </c>
      <c r="H171" s="9">
        <f t="shared" si="4"/>
        <v>6</v>
      </c>
      <c r="I171" s="10">
        <f>IFERROR(__xludf.DUMMYFUNCTION("MAX(FILTER($H$2:$H1322,$E$2:$E1322=F171))"),0.0)</f>
        <v>0</v>
      </c>
    </row>
    <row r="172">
      <c r="A172" s="4"/>
      <c r="C172" s="4" t="s">
        <v>345</v>
      </c>
      <c r="D172" s="8" t="str">
        <f t="shared" si="1"/>
        <v>{"valorA":"recomendo","valorB":4.0}</v>
      </c>
      <c r="E172" s="8" t="str">
        <f t="shared" si="2"/>
        <v>recomendo</v>
      </c>
      <c r="F172" s="8"/>
      <c r="G172" s="6" t="str">
        <f t="shared" si="3"/>
        <v>4.0</v>
      </c>
      <c r="H172" s="9">
        <f t="shared" si="4"/>
        <v>4</v>
      </c>
      <c r="I172" s="10">
        <f>IFERROR(__xludf.DUMMYFUNCTION("MAX(FILTER($H$2:$H1322,$E$2:$E1322=F172))"),0.0)</f>
        <v>0</v>
      </c>
    </row>
    <row r="173">
      <c r="A173" s="4"/>
      <c r="C173" s="4" t="s">
        <v>346</v>
      </c>
      <c r="D173" s="8" t="str">
        <f t="shared" si="1"/>
        <v>{"valorA":"qualidade","valorB":1.0}</v>
      </c>
      <c r="E173" s="8" t="str">
        <f t="shared" si="2"/>
        <v>qualidade</v>
      </c>
      <c r="F173" s="8"/>
      <c r="G173" s="6" t="str">
        <f t="shared" si="3"/>
        <v>1.0</v>
      </c>
      <c r="H173" s="9">
        <f t="shared" si="4"/>
        <v>1</v>
      </c>
      <c r="I173" s="10">
        <f>IFERROR(__xludf.DUMMYFUNCTION("MAX(FILTER($H$2:$H1322,$E$2:$E1322=F173))"),0.0)</f>
        <v>0</v>
      </c>
    </row>
    <row r="174">
      <c r="A174" s="4"/>
      <c r="C174" s="4" t="s">
        <v>347</v>
      </c>
      <c r="D174" s="8" t="str">
        <f t="shared" si="1"/>
        <v>{"valorA":"rápida","valorB":1.0}</v>
      </c>
      <c r="E174" s="8" t="str">
        <f t="shared" si="2"/>
        <v>rápida</v>
      </c>
      <c r="F174" s="8"/>
      <c r="G174" s="6" t="str">
        <f t="shared" si="3"/>
        <v>1.0</v>
      </c>
      <c r="H174" s="9">
        <f t="shared" si="4"/>
        <v>1</v>
      </c>
      <c r="I174" s="10">
        <f>IFERROR(__xludf.DUMMYFUNCTION("MAX(FILTER($H$2:$H1322,$E$2:$E1322=F174))"),0.0)</f>
        <v>0</v>
      </c>
    </row>
    <row r="175">
      <c r="A175" s="4"/>
      <c r="C175" s="4" t="s">
        <v>348</v>
      </c>
      <c r="D175" s="8" t="str">
        <f t="shared" si="1"/>
        <v>{"valorA":"bem","valorB":8.0}</v>
      </c>
      <c r="E175" s="8" t="str">
        <f t="shared" si="2"/>
        <v>bem</v>
      </c>
      <c r="F175" s="8"/>
      <c r="G175" s="6" t="str">
        <f t="shared" si="3"/>
        <v>8.0</v>
      </c>
      <c r="H175" s="9">
        <f t="shared" si="4"/>
        <v>8</v>
      </c>
      <c r="I175" s="10">
        <f>IFERROR(__xludf.DUMMYFUNCTION("MAX(FILTER($H$2:$H1322,$E$2:$E1322=F175))"),0.0)</f>
        <v>0</v>
      </c>
    </row>
    <row r="176">
      <c r="A176" s="4"/>
      <c r="C176" s="4" t="s">
        <v>349</v>
      </c>
      <c r="D176" s="8" t="str">
        <f t="shared" si="1"/>
        <v>{"valorA":"entrega","valorB":1.0}</v>
      </c>
      <c r="E176" s="8" t="str">
        <f t="shared" si="2"/>
        <v>entrega</v>
      </c>
      <c r="F176" s="8"/>
      <c r="G176" s="6" t="str">
        <f t="shared" si="3"/>
        <v>1.0</v>
      </c>
      <c r="H176" s="9">
        <f t="shared" si="4"/>
        <v>1</v>
      </c>
      <c r="I176" s="10">
        <f>IFERROR(__xludf.DUMMYFUNCTION("MAX(FILTER($H$2:$H1322,$E$2:$E1322=F176))"),0.0)</f>
        <v>0</v>
      </c>
    </row>
    <row r="177">
      <c r="A177" s="4"/>
      <c r="C177" s="4" t="s">
        <v>350</v>
      </c>
      <c r="D177" s="8" t="str">
        <f t="shared" si="1"/>
        <v>{"valorA":"de","valorB":7.0}</v>
      </c>
      <c r="E177" s="8" t="str">
        <f t="shared" si="2"/>
        <v>de</v>
      </c>
      <c r="F177" s="8"/>
      <c r="G177" s="6" t="str">
        <f t="shared" si="3"/>
        <v>7.0</v>
      </c>
      <c r="H177" s="9">
        <f t="shared" si="4"/>
        <v>7</v>
      </c>
      <c r="I177" s="10">
        <f>IFERROR(__xludf.DUMMYFUNCTION("MAX(FILTER($H$2:$H1322,$E$2:$E1322=F177))"),0.0)</f>
        <v>0</v>
      </c>
    </row>
    <row r="178">
      <c r="A178" s="4"/>
      <c r="C178" s="4" t="s">
        <v>351</v>
      </c>
      <c r="D178" s="8" t="str">
        <f t="shared" si="1"/>
        <v>{"valorA":"o","valorB":3.0}</v>
      </c>
      <c r="E178" s="8" t="str">
        <f t="shared" si="2"/>
        <v>o</v>
      </c>
      <c r="F178" s="8"/>
      <c r="G178" s="6" t="str">
        <f t="shared" si="3"/>
        <v>3.0</v>
      </c>
      <c r="H178" s="9">
        <f t="shared" si="4"/>
        <v>3</v>
      </c>
      <c r="I178" s="10">
        <f>IFERROR(__xludf.DUMMYFUNCTION("MAX(FILTER($H$2:$H1322,$E$2:$E1322=F178))"),0.0)</f>
        <v>0</v>
      </c>
    </row>
    <row r="179">
      <c r="A179" s="4"/>
      <c r="C179" s="4" t="s">
        <v>352</v>
      </c>
      <c r="D179" s="8" t="str">
        <f t="shared" si="1"/>
        <v>{"valorA":"on","valorB":1.0}</v>
      </c>
      <c r="E179" s="8" t="str">
        <f t="shared" si="2"/>
        <v>on</v>
      </c>
      <c r="F179" s="8"/>
      <c r="G179" s="6" t="str">
        <f t="shared" si="3"/>
        <v>1.0</v>
      </c>
      <c r="H179" s="9">
        <f t="shared" si="4"/>
        <v>1</v>
      </c>
      <c r="I179" s="10">
        <f>IFERROR(__xludf.DUMMYFUNCTION("MAX(FILTER($H$2:$H1322,$E$2:$E1322=F179))"),0.0)</f>
        <v>0</v>
      </c>
    </row>
    <row r="180">
      <c r="A180" s="4"/>
      <c r="C180" s="4" t="s">
        <v>353</v>
      </c>
      <c r="D180" s="8" t="str">
        <f t="shared" si="1"/>
        <v>{"valorA":"produto","valorB":19.0}</v>
      </c>
      <c r="E180" s="8" t="str">
        <f t="shared" si="2"/>
        <v>produto</v>
      </c>
      <c r="F180" s="8"/>
      <c r="G180" s="6" t="str">
        <f t="shared" si="3"/>
        <v>19.0</v>
      </c>
      <c r="H180" s="9">
        <f t="shared" si="4"/>
        <v>19</v>
      </c>
      <c r="I180" s="10">
        <f>IFERROR(__xludf.DUMMYFUNCTION("MAX(FILTER($H$2:$H1322,$E$2:$E1322=F180))"),0.0)</f>
        <v>0</v>
      </c>
    </row>
    <row r="181">
      <c r="A181" s="4"/>
      <c r="C181" s="4" t="s">
        <v>354</v>
      </c>
      <c r="D181" s="8" t="str">
        <f t="shared" si="1"/>
        <v>{"valorA":"telefone","valorB":1.0}</v>
      </c>
      <c r="E181" s="8" t="str">
        <f t="shared" si="2"/>
        <v>telefone</v>
      </c>
      <c r="F181" s="8"/>
      <c r="G181" s="6" t="str">
        <f t="shared" si="3"/>
        <v>1.0</v>
      </c>
      <c r="H181" s="9">
        <f t="shared" si="4"/>
        <v>1</v>
      </c>
      <c r="I181" s="10">
        <f>IFERROR(__xludf.DUMMYFUNCTION("MAX(FILTER($H$2:$H1322,$E$2:$E1322=F181))"),0.0)</f>
        <v>0</v>
      </c>
    </row>
    <row r="182">
      <c r="A182" s="4"/>
      <c r="C182" s="4" t="s">
        <v>355</v>
      </c>
      <c r="D182" s="8" t="str">
        <f t="shared" si="1"/>
        <v>{"valorA":"ótimo","valorB":27.0}</v>
      </c>
      <c r="E182" s="8" t="str">
        <f t="shared" si="2"/>
        <v>ótimo</v>
      </c>
      <c r="F182" s="8"/>
      <c r="G182" s="6" t="str">
        <f t="shared" si="3"/>
        <v>27.0</v>
      </c>
      <c r="H182" s="9">
        <f t="shared" si="4"/>
        <v>27</v>
      </c>
      <c r="I182" s="10">
        <f>IFERROR(__xludf.DUMMYFUNCTION("MAX(FILTER($H$2:$H1322,$E$2:$E1322=F182))"),0.0)</f>
        <v>0</v>
      </c>
    </row>
    <row r="183">
      <c r="A183" s="4"/>
      <c r="C183" s="4" t="s">
        <v>356</v>
      </c>
      <c r="D183" s="8" t="str">
        <f t="shared" si="1"/>
        <v>{"valorA":"esse","valorB":6.0}</v>
      </c>
      <c r="E183" s="8" t="str">
        <f t="shared" si="2"/>
        <v>esse</v>
      </c>
      <c r="F183" s="8"/>
      <c r="G183" s="6" t="str">
        <f t="shared" si="3"/>
        <v>6.0</v>
      </c>
      <c r="H183" s="9">
        <f t="shared" si="4"/>
        <v>6</v>
      </c>
      <c r="I183" s="10">
        <f>IFERROR(__xludf.DUMMYFUNCTION("MAX(FILTER($H$2:$H1322,$E$2:$E1322=F183))"),0.0)</f>
        <v>0</v>
      </c>
    </row>
    <row r="184">
      <c r="A184" s="4"/>
      <c r="C184" s="4" t="s">
        <v>357</v>
      </c>
      <c r="D184" s="8" t="str">
        <f t="shared" si="1"/>
        <v>{"valorA":"excelente","valorB":1.0}</v>
      </c>
      <c r="E184" s="8" t="str">
        <f t="shared" si="2"/>
        <v>excelente</v>
      </c>
      <c r="F184" s="8"/>
      <c r="G184" s="6" t="str">
        <f t="shared" si="3"/>
        <v>1.0</v>
      </c>
      <c r="H184" s="9">
        <f t="shared" si="4"/>
        <v>1</v>
      </c>
      <c r="I184" s="10">
        <f>IFERROR(__xludf.DUMMYFUNCTION("MAX(FILTER($H$2:$H1322,$E$2:$E1322=F184))"),0.0)</f>
        <v>0</v>
      </c>
    </row>
    <row r="185">
      <c r="A185" s="4"/>
      <c r="C185" s="4" t="s">
        <v>358</v>
      </c>
      <c r="D185" s="8" t="str">
        <f t="shared" si="1"/>
        <v>{"valorA":"muito","valorB":11.0}</v>
      </c>
      <c r="E185" s="8" t="str">
        <f t="shared" si="2"/>
        <v>muito</v>
      </c>
      <c r="F185" s="8"/>
      <c r="G185" s="6" t="str">
        <f t="shared" si="3"/>
        <v>11.0</v>
      </c>
      <c r="H185" s="9">
        <f t="shared" si="4"/>
        <v>11</v>
      </c>
      <c r="I185" s="10">
        <f>IFERROR(__xludf.DUMMYFUNCTION("MAX(FILTER($H$2:$H1322,$E$2:$E1322=F185))"),0.0)</f>
        <v>0</v>
      </c>
    </row>
    <row r="186">
      <c r="A186" s="4"/>
      <c r="C186" s="4" t="s">
        <v>359</v>
      </c>
      <c r="D186" s="8" t="str">
        <f t="shared" si="1"/>
        <v>{"valorA":"como","valorB":1.0}</v>
      </c>
      <c r="E186" s="8" t="str">
        <f t="shared" si="2"/>
        <v>como</v>
      </c>
      <c r="F186" s="8"/>
      <c r="G186" s="6" t="str">
        <f t="shared" si="3"/>
        <v>1.0</v>
      </c>
      <c r="H186" s="9">
        <f t="shared" si="4"/>
        <v>1</v>
      </c>
      <c r="I186" s="10">
        <f>IFERROR(__xludf.DUMMYFUNCTION("MAX(FILTER($H$2:$H1322,$E$2:$E1322=F186))"),0.0)</f>
        <v>0</v>
      </c>
    </row>
    <row r="187">
      <c r="A187" s="4"/>
      <c r="C187" s="4" t="s">
        <v>360</v>
      </c>
      <c r="D187" s="8" t="str">
        <f t="shared" si="1"/>
        <v>{"valorA":"dessa","valorB":1.0}</v>
      </c>
      <c r="E187" s="8" t="str">
        <f t="shared" si="2"/>
        <v>dessa</v>
      </c>
      <c r="F187" s="8"/>
      <c r="G187" s="6" t="str">
        <f t="shared" si="3"/>
        <v>1.0</v>
      </c>
      <c r="H187" s="9">
        <f t="shared" si="4"/>
        <v>1</v>
      </c>
      <c r="I187" s="10">
        <f>IFERROR(__xludf.DUMMYFUNCTION("MAX(FILTER($H$2:$H1322,$E$2:$E1322=F187))"),0.0)</f>
        <v>0</v>
      </c>
    </row>
    <row r="188">
      <c r="A188" s="4"/>
      <c r="C188" s="4" t="s">
        <v>361</v>
      </c>
      <c r="D188" s="8" t="str">
        <f t="shared" si="1"/>
        <v>{"valorA":"loja","valorB":1.0}</v>
      </c>
      <c r="E188" s="8" t="str">
        <f t="shared" si="2"/>
        <v>loja</v>
      </c>
      <c r="F188" s="8"/>
      <c r="G188" s="6" t="str">
        <f t="shared" si="3"/>
        <v>1.0</v>
      </c>
      <c r="H188" s="9">
        <f t="shared" si="4"/>
        <v>1</v>
      </c>
      <c r="I188" s="10">
        <f>IFERROR(__xludf.DUMMYFUNCTION("MAX(FILTER($H$2:$H1322,$E$2:$E1322=F188))"),0.0)</f>
        <v>0</v>
      </c>
    </row>
    <row r="189">
      <c r="A189" s="4"/>
      <c r="C189" s="4" t="s">
        <v>362</v>
      </c>
      <c r="D189" s="8" t="str">
        <f t="shared" si="1"/>
        <v>{"valorA":"line","valorB":1.0}</v>
      </c>
      <c r="E189" s="8" t="str">
        <f t="shared" si="2"/>
        <v>line</v>
      </c>
      <c r="F189" s="8"/>
      <c r="G189" s="6" t="str">
        <f t="shared" si="3"/>
        <v>1.0</v>
      </c>
      <c r="H189" s="9">
        <f t="shared" si="4"/>
        <v>1</v>
      </c>
      <c r="I189" s="10">
        <f>IFERROR(__xludf.DUMMYFUNCTION("MAX(FILTER($H$2:$H1322,$E$2:$E1322=F189))"),0.0)</f>
        <v>0</v>
      </c>
    </row>
    <row r="190">
      <c r="A190" s="4"/>
      <c r="C190" s="4" t="s">
        <v>363</v>
      </c>
      <c r="D190" s="8" t="str">
        <f t="shared" si="1"/>
        <v>{"valorA":"funciona","valorB":8.0}</v>
      </c>
      <c r="E190" s="8" t="str">
        <f t="shared" si="2"/>
        <v>funciona</v>
      </c>
      <c r="F190" s="8"/>
      <c r="G190" s="6" t="str">
        <f t="shared" si="3"/>
        <v>8.0</v>
      </c>
      <c r="H190" s="9">
        <f t="shared" si="4"/>
        <v>8</v>
      </c>
      <c r="I190" s="10">
        <f>IFERROR(__xludf.DUMMYFUNCTION("MAX(FILTER($H$2:$H1322,$E$2:$E1322=F190))"),0.0)</f>
        <v>0</v>
      </c>
    </row>
    <row r="191">
      <c r="A191" s="4"/>
      <c r="C191" s="4" t="s">
        <v>364</v>
      </c>
      <c r="D191" s="8" t="str">
        <f t="shared" si="1"/>
        <v>{"valorA":"é","valorB":8.0}</v>
      </c>
      <c r="E191" s="8" t="str">
        <f t="shared" si="2"/>
        <v>é</v>
      </c>
      <c r="F191" s="8"/>
      <c r="G191" s="6" t="str">
        <f t="shared" si="3"/>
        <v>8.0</v>
      </c>
      <c r="H191" s="9">
        <f t="shared" si="4"/>
        <v>8</v>
      </c>
      <c r="I191" s="10">
        <f>IFERROR(__xludf.DUMMYFUNCTION("MAX(FILTER($H$2:$H1322,$E$2:$E1322=F191))"),0.0)</f>
        <v>0</v>
      </c>
    </row>
    <row r="192">
      <c r="A192" s="4"/>
      <c r="C192" s="4" t="s">
        <v>365</v>
      </c>
      <c r="D192" s="8" t="str">
        <f t="shared" si="1"/>
        <v>{"valorA":"online","valorB":3.0}</v>
      </c>
      <c r="E192" s="8" t="str">
        <f t="shared" si="2"/>
        <v>online</v>
      </c>
      <c r="F192" s="8"/>
      <c r="G192" s="6" t="str">
        <f t="shared" si="3"/>
        <v>3.0</v>
      </c>
      <c r="H192" s="9">
        <f t="shared" si="4"/>
        <v>3</v>
      </c>
      <c r="I192" s="10">
        <f>IFERROR(__xludf.DUMMYFUNCTION("MAX(FILTER($H$2:$H1322,$E$2:$E1322=F192))"),0.0)</f>
        <v>0</v>
      </c>
    </row>
    <row r="193">
      <c r="A193" s="4"/>
      <c r="C193" s="4" t="s">
        <v>366</v>
      </c>
      <c r="D193" s="8" t="str">
        <f t="shared" si="1"/>
        <v>{"valorA":"custoso","valorB":1.0}</v>
      </c>
      <c r="E193" s="8" t="str">
        <f t="shared" si="2"/>
        <v>custoso</v>
      </c>
      <c r="F193" s="8"/>
      <c r="G193" s="6" t="str">
        <f t="shared" si="3"/>
        <v>1.0</v>
      </c>
      <c r="H193" s="9">
        <f t="shared" si="4"/>
        <v>1</v>
      </c>
      <c r="I193" s="10">
        <f>IFERROR(__xludf.DUMMYFUNCTION("MAX(FILTER($H$2:$H1322,$E$2:$E1322=F193))"),0.0)</f>
        <v>0</v>
      </c>
    </row>
    <row r="194">
      <c r="A194" s="4"/>
      <c r="C194" s="4" t="s">
        <v>367</v>
      </c>
      <c r="D194" s="8" t="str">
        <f t="shared" si="1"/>
        <v>{"valorA":"meu","valorB":2.0}</v>
      </c>
      <c r="E194" s="8" t="str">
        <f t="shared" si="2"/>
        <v>meu</v>
      </c>
      <c r="F194" s="8"/>
      <c r="G194" s="6" t="str">
        <f t="shared" si="3"/>
        <v>2.0</v>
      </c>
      <c r="H194" s="9">
        <f t="shared" si="4"/>
        <v>2</v>
      </c>
      <c r="I194" s="10">
        <f>IFERROR(__xludf.DUMMYFUNCTION("MAX(FILTER($H$2:$H1322,$E$2:$E1322=F194))"),0.0)</f>
        <v>0</v>
      </c>
    </row>
    <row r="195">
      <c r="A195" s="4"/>
      <c r="C195" s="4" t="s">
        <v>368</v>
      </c>
      <c r="D195" s="8" t="str">
        <f t="shared" si="1"/>
        <v>{"valorA":"bem","valorB":10.0}</v>
      </c>
      <c r="E195" s="8" t="str">
        <f t="shared" si="2"/>
        <v>bem</v>
      </c>
      <c r="F195" s="8"/>
      <c r="G195" s="6" t="str">
        <f t="shared" si="3"/>
        <v>10.0</v>
      </c>
      <c r="H195" s="9">
        <f t="shared" si="4"/>
        <v>10</v>
      </c>
      <c r="I195" s="10">
        <f>IFERROR(__xludf.DUMMYFUNCTION("MAX(FILTER($H$2:$H1322,$E$2:$E1322=F195))"),0.0)</f>
        <v>0</v>
      </c>
    </row>
    <row r="196">
      <c r="A196" s="4"/>
      <c r="C196" s="4" t="s">
        <v>369</v>
      </c>
      <c r="D196" s="8" t="str">
        <f t="shared" si="1"/>
        <v>{"valorA":"incrível","valorB":3.0}</v>
      </c>
      <c r="E196" s="8" t="str">
        <f t="shared" si="2"/>
        <v>incrível</v>
      </c>
      <c r="F196" s="8"/>
      <c r="G196" s="6" t="str">
        <f t="shared" si="3"/>
        <v>3.0</v>
      </c>
      <c r="H196" s="9">
        <f t="shared" si="4"/>
        <v>3</v>
      </c>
      <c r="I196" s="10">
        <f>IFERROR(__xludf.DUMMYFUNCTION("MAX(FILTER($H$2:$H1322,$E$2:$E1322=F196))"),0.0)</f>
        <v>0</v>
      </c>
    </row>
    <row r="197">
      <c r="A197" s="4"/>
      <c r="C197" s="4" t="s">
        <v>370</v>
      </c>
      <c r="D197" s="8" t="str">
        <f t="shared" si="1"/>
        <v>{"valorA":"satisfação","valorB":1.0}</v>
      </c>
      <c r="E197" s="8" t="str">
        <f t="shared" si="2"/>
        <v>satisfação</v>
      </c>
      <c r="F197" s="8"/>
      <c r="G197" s="6" t="str">
        <f t="shared" si="3"/>
        <v>1.0</v>
      </c>
      <c r="H197" s="9">
        <f t="shared" si="4"/>
        <v>1</v>
      </c>
      <c r="I197" s="10">
        <f>IFERROR(__xludf.DUMMYFUNCTION("MAX(FILTER($H$2:$H1322,$E$2:$E1322=F197))"),0.0)</f>
        <v>0</v>
      </c>
    </row>
    <row r="198">
      <c r="A198" s="4"/>
      <c r="C198" s="4" t="s">
        <v>371</v>
      </c>
      <c r="D198" s="8" t="str">
        <f t="shared" si="1"/>
        <v>{"valorA":"e","valorB":6.0}</v>
      </c>
      <c r="E198" s="8" t="str">
        <f t="shared" si="2"/>
        <v>e</v>
      </c>
      <c r="F198" s="8"/>
      <c r="G198" s="6" t="str">
        <f t="shared" si="3"/>
        <v>6.0</v>
      </c>
      <c r="H198" s="9">
        <f t="shared" si="4"/>
        <v>6</v>
      </c>
      <c r="I198" s="10">
        <f>IFERROR(__xludf.DUMMYFUNCTION("MAX(FILTER($H$2:$H1322,$E$2:$E1322=F198))"),0.0)</f>
        <v>0</v>
      </c>
    </row>
    <row r="199">
      <c r="A199" s="4"/>
      <c r="C199" s="4" t="s">
        <v>372</v>
      </c>
      <c r="D199" s="8" t="str">
        <f t="shared" si="1"/>
        <v>{"valorA":"o","valorB":4.0}</v>
      </c>
      <c r="E199" s="8" t="str">
        <f t="shared" si="2"/>
        <v>o</v>
      </c>
      <c r="F199" s="8"/>
      <c r="G199" s="6" t="str">
        <f t="shared" si="3"/>
        <v>4.0</v>
      </c>
      <c r="H199" s="9">
        <f t="shared" si="4"/>
        <v>4</v>
      </c>
      <c r="I199" s="10">
        <f>IFERROR(__xludf.DUMMYFUNCTION("MAX(FILTER($H$2:$H1322,$E$2:$E1322=F199))"),0.0)</f>
        <v>0</v>
      </c>
    </row>
    <row r="200">
      <c r="A200" s="4"/>
      <c r="C200" s="4" t="s">
        <v>373</v>
      </c>
      <c r="D200" s="8" t="str">
        <f t="shared" si="1"/>
        <v>{"valorA":"gosto","valorB":2.0}</v>
      </c>
      <c r="E200" s="8" t="str">
        <f t="shared" si="2"/>
        <v>gosto</v>
      </c>
      <c r="F200" s="8"/>
      <c r="G200" s="6" t="str">
        <f t="shared" si="3"/>
        <v>2.0</v>
      </c>
      <c r="H200" s="9">
        <f t="shared" si="4"/>
        <v>2</v>
      </c>
      <c r="I200" s="10">
        <f>IFERROR(__xludf.DUMMYFUNCTION("MAX(FILTER($H$2:$H1322,$E$2:$E1322=F200))"),0.0)</f>
        <v>0</v>
      </c>
    </row>
    <row r="201">
      <c r="A201" s="4"/>
      <c r="C201" s="4" t="s">
        <v>374</v>
      </c>
      <c r="D201" s="8" t="str">
        <f t="shared" si="1"/>
        <v>{"valorA":"carro","valorB":2.0}</v>
      </c>
      <c r="E201" s="8" t="str">
        <f t="shared" si="2"/>
        <v>carro</v>
      </c>
      <c r="F201" s="8"/>
      <c r="G201" s="6" t="str">
        <f t="shared" si="3"/>
        <v>2.0</v>
      </c>
      <c r="H201" s="9">
        <f t="shared" si="4"/>
        <v>2</v>
      </c>
      <c r="I201" s="10">
        <f>IFERROR(__xludf.DUMMYFUNCTION("MAX(FILTER($H$2:$H1322,$E$2:$E1322=F201))"),0.0)</f>
        <v>0</v>
      </c>
    </row>
    <row r="202">
      <c r="A202" s="4"/>
      <c r="C202" s="4" t="s">
        <v>375</v>
      </c>
      <c r="D202" s="8" t="str">
        <f t="shared" si="1"/>
        <v>{"valorA":"produto","valorB":21.0}</v>
      </c>
      <c r="E202" s="8" t="str">
        <f t="shared" si="2"/>
        <v>produto</v>
      </c>
      <c r="F202" s="8"/>
      <c r="G202" s="6" t="str">
        <f t="shared" si="3"/>
        <v>21.0</v>
      </c>
      <c r="H202" s="9">
        <f t="shared" si="4"/>
        <v>21</v>
      </c>
      <c r="I202" s="10">
        <f>IFERROR(__xludf.DUMMYFUNCTION("MAX(FILTER($H$2:$H1322,$E$2:$E1322=F202))"),0.0)</f>
        <v>0</v>
      </c>
    </row>
    <row r="203">
      <c r="A203" s="4"/>
      <c r="C203" s="4" t="s">
        <v>376</v>
      </c>
      <c r="D203" s="8" t="str">
        <f t="shared" si="1"/>
        <v>{"valorA":"ótimo","valorB":30.0}</v>
      </c>
      <c r="E203" s="8" t="str">
        <f t="shared" si="2"/>
        <v>ótimo</v>
      </c>
      <c r="F203" s="8"/>
      <c r="G203" s="6" t="str">
        <f t="shared" si="3"/>
        <v>30.0</v>
      </c>
      <c r="H203" s="9">
        <f t="shared" si="4"/>
        <v>30</v>
      </c>
      <c r="I203" s="10">
        <f>IFERROR(__xludf.DUMMYFUNCTION("MAX(FILTER($H$2:$H1322,$E$2:$E1322=F203))"),0.0)</f>
        <v>0</v>
      </c>
    </row>
    <row r="204">
      <c r="A204" s="4"/>
      <c r="C204" s="4" t="s">
        <v>377</v>
      </c>
      <c r="D204" s="8" t="str">
        <f t="shared" si="1"/>
        <v>{"valorA":"muito","valorB":12.0}</v>
      </c>
      <c r="E204" s="8" t="str">
        <f t="shared" si="2"/>
        <v>muito</v>
      </c>
      <c r="F204" s="8"/>
      <c r="G204" s="6" t="str">
        <f t="shared" si="3"/>
        <v>12.0</v>
      </c>
      <c r="H204" s="9">
        <f t="shared" si="4"/>
        <v>12</v>
      </c>
      <c r="I204" s="10">
        <f>IFERROR(__xludf.DUMMYFUNCTION("MAX(FILTER($H$2:$H1322,$E$2:$E1322=F204))"),0.0)</f>
        <v>0</v>
      </c>
    </row>
    <row r="205">
      <c r="A205" s="4"/>
      <c r="C205" s="4" t="s">
        <v>378</v>
      </c>
      <c r="D205" s="8" t="str">
        <f t="shared" si="1"/>
        <v>{"valorA":"total","valorB":1.0}</v>
      </c>
      <c r="E205" s="8" t="str">
        <f t="shared" si="2"/>
        <v>total</v>
      </c>
      <c r="F205" s="8"/>
      <c r="G205" s="6" t="str">
        <f t="shared" si="3"/>
        <v>1.0</v>
      </c>
      <c r="H205" s="9">
        <f t="shared" si="4"/>
        <v>1</v>
      </c>
      <c r="I205" s="10">
        <f>IFERROR(__xludf.DUMMYFUNCTION("MAX(FILTER($H$2:$H1322,$E$2:$E1322=F205))"),0.0)</f>
        <v>0</v>
      </c>
    </row>
    <row r="206">
      <c r="A206" s="4"/>
      <c r="C206" s="4" t="s">
        <v>379</v>
      </c>
      <c r="D206" s="8" t="str">
        <f t="shared" si="1"/>
        <v>{"valorA":"novo","valorB":2.0}</v>
      </c>
      <c r="E206" s="8" t="str">
        <f t="shared" si="2"/>
        <v>novo</v>
      </c>
      <c r="F206" s="8"/>
      <c r="G206" s="6" t="str">
        <f t="shared" si="3"/>
        <v>2.0</v>
      </c>
      <c r="H206" s="9">
        <f t="shared" si="4"/>
        <v>2</v>
      </c>
      <c r="I206" s="10">
        <f>IFERROR(__xludf.DUMMYFUNCTION("MAX(FILTER($H$2:$H1322,$E$2:$E1322=F206))"),0.0)</f>
        <v>0</v>
      </c>
    </row>
    <row r="207">
      <c r="A207" s="4"/>
      <c r="C207" s="4" t="s">
        <v>380</v>
      </c>
      <c r="D207" s="8" t="str">
        <f t="shared" si="1"/>
        <v>{"valorA":"loja","valorB":2.0}</v>
      </c>
      <c r="E207" s="8" t="str">
        <f t="shared" si="2"/>
        <v>loja</v>
      </c>
      <c r="F207" s="8"/>
      <c r="G207" s="6" t="str">
        <f t="shared" si="3"/>
        <v>2.0</v>
      </c>
      <c r="H207" s="9">
        <f t="shared" si="4"/>
        <v>2</v>
      </c>
      <c r="I207" s="10">
        <f>IFERROR(__xludf.DUMMYFUNCTION("MAX(FILTER($H$2:$H1322,$E$2:$E1322=F207))"),0.0)</f>
        <v>0</v>
      </c>
    </row>
    <row r="208">
      <c r="A208" s="4"/>
      <c r="C208" s="4" t="s">
        <v>381</v>
      </c>
      <c r="D208" s="8" t="str">
        <f t="shared" si="1"/>
        <v>{"valorA":"dessa","valorB":2.0}</v>
      </c>
      <c r="E208" s="8" t="str">
        <f t="shared" si="2"/>
        <v>dessa</v>
      </c>
      <c r="F208" s="8"/>
      <c r="G208" s="6" t="str">
        <f t="shared" si="3"/>
        <v>2.0</v>
      </c>
      <c r="H208" s="9">
        <f t="shared" si="4"/>
        <v>2</v>
      </c>
      <c r="I208" s="10">
        <f>IFERROR(__xludf.DUMMYFUNCTION("MAX(FILTER($H$2:$H1322,$E$2:$E1322=F208))"),0.0)</f>
        <v>0</v>
      </c>
    </row>
    <row r="209">
      <c r="A209" s="4"/>
      <c r="C209" s="4" t="s">
        <v>382</v>
      </c>
      <c r="D209" s="8" t="str">
        <f t="shared" si="1"/>
        <v>{"valorA":"funciona","valorB":9.0}</v>
      </c>
      <c r="E209" s="8" t="str">
        <f t="shared" si="2"/>
        <v>funciona</v>
      </c>
      <c r="F209" s="8"/>
      <c r="G209" s="6" t="str">
        <f t="shared" si="3"/>
        <v>9.0</v>
      </c>
      <c r="H209" s="9">
        <f t="shared" si="4"/>
        <v>9</v>
      </c>
      <c r="I209" s="10">
        <f>IFERROR(__xludf.DUMMYFUNCTION("MAX(FILTER($H$2:$H1322,$E$2:$E1322=F209))"),0.0)</f>
        <v>0</v>
      </c>
    </row>
    <row r="210">
      <c r="A210" s="4"/>
      <c r="C210" s="4" t="s">
        <v>383</v>
      </c>
      <c r="D210" s="8" t="str">
        <f t="shared" si="1"/>
        <v>{"valorA":"recomendo","valorB":5.0}</v>
      </c>
      <c r="E210" s="8" t="str">
        <f t="shared" si="2"/>
        <v>recomendo</v>
      </c>
      <c r="F210" s="8"/>
      <c r="G210" s="6" t="str">
        <f t="shared" si="3"/>
        <v>5.0</v>
      </c>
      <c r="H210" s="9">
        <f t="shared" si="4"/>
        <v>5</v>
      </c>
      <c r="I210" s="10">
        <f>IFERROR(__xludf.DUMMYFUNCTION("MAX(FILTER($H$2:$H1322,$E$2:$E1322=F210))"),0.0)</f>
        <v>0</v>
      </c>
    </row>
    <row r="211">
      <c r="A211" s="4"/>
      <c r="C211" s="4" t="s">
        <v>384</v>
      </c>
      <c r="D211" s="8" t="str">
        <f t="shared" si="1"/>
        <v>{"valorA":"é","valorB":9.0}</v>
      </c>
      <c r="E211" s="8" t="str">
        <f t="shared" si="2"/>
        <v>é</v>
      </c>
      <c r="F211" s="8"/>
      <c r="G211" s="6" t="str">
        <f t="shared" si="3"/>
        <v>9.0</v>
      </c>
      <c r="H211" s="9">
        <f t="shared" si="4"/>
        <v>9</v>
      </c>
      <c r="I211" s="10">
        <f>IFERROR(__xludf.DUMMYFUNCTION("MAX(FILTER($H$2:$H1322,$E$2:$E1322=F211))"),0.0)</f>
        <v>0</v>
      </c>
    </row>
    <row r="212">
      <c r="A212" s="4"/>
      <c r="C212" s="4" t="s">
        <v>385</v>
      </c>
      <c r="D212" s="8" t="str">
        <f t="shared" si="1"/>
        <v>{"valorA":"chapéu","valorB":1.0}</v>
      </c>
      <c r="E212" s="8" t="str">
        <f t="shared" si="2"/>
        <v>chapéu</v>
      </c>
      <c r="F212" s="8"/>
      <c r="G212" s="6" t="str">
        <f t="shared" si="3"/>
        <v>1.0</v>
      </c>
      <c r="H212" s="9">
        <f t="shared" si="4"/>
        <v>1</v>
      </c>
      <c r="I212" s="10">
        <f>IFERROR(__xludf.DUMMYFUNCTION("MAX(FILTER($H$2:$H1322,$E$2:$E1322=F212))"),0.0)</f>
        <v>0</v>
      </c>
    </row>
    <row r="213">
      <c r="A213" s="4"/>
      <c r="C213" s="4" t="s">
        <v>386</v>
      </c>
      <c r="D213" s="8" t="str">
        <f t="shared" si="1"/>
        <v>{"valorA":"usar","valorB":4.0}</v>
      </c>
      <c r="E213" s="8" t="str">
        <f t="shared" si="2"/>
        <v>usar</v>
      </c>
      <c r="F213" s="8"/>
      <c r="G213" s="6" t="str">
        <f t="shared" si="3"/>
        <v>4.0</v>
      </c>
      <c r="H213" s="9">
        <f t="shared" si="4"/>
        <v>4</v>
      </c>
      <c r="I213" s="10">
        <f>IFERROR(__xludf.DUMMYFUNCTION("MAX(FILTER($H$2:$H1322,$E$2:$E1322=F213))"),0.0)</f>
        <v>0</v>
      </c>
    </row>
    <row r="214">
      <c r="A214" s="4"/>
      <c r="C214" s="4" t="s">
        <v>387</v>
      </c>
      <c r="D214" s="8" t="str">
        <f t="shared" si="1"/>
        <v>{"valorA":"e","valorB":8.0}</v>
      </c>
      <c r="E214" s="8" t="str">
        <f t="shared" si="2"/>
        <v>e</v>
      </c>
      <c r="F214" s="8"/>
      <c r="G214" s="6" t="str">
        <f t="shared" si="3"/>
        <v>8.0</v>
      </c>
      <c r="H214" s="9">
        <f t="shared" si="4"/>
        <v>8</v>
      </c>
      <c r="I214" s="10">
        <f>IFERROR(__xludf.DUMMYFUNCTION("MAX(FILTER($H$2:$H1322,$E$2:$E1322=F214))"),0.0)</f>
        <v>0</v>
      </c>
    </row>
    <row r="215">
      <c r="A215" s="4"/>
      <c r="C215" s="4" t="s">
        <v>388</v>
      </c>
      <c r="D215" s="8" t="str">
        <f t="shared" si="1"/>
        <v>{"valorA":"durável","valorB":1.0}</v>
      </c>
      <c r="E215" s="8" t="str">
        <f t="shared" si="2"/>
        <v>durável</v>
      </c>
      <c r="F215" s="8"/>
      <c r="G215" s="6" t="str">
        <f t="shared" si="3"/>
        <v>1.0</v>
      </c>
      <c r="H215" s="9">
        <f t="shared" si="4"/>
        <v>1</v>
      </c>
      <c r="I215" s="10">
        <f>IFERROR(__xludf.DUMMYFUNCTION("MAX(FILTER($H$2:$H1322,$E$2:$E1322=F215))"),0.0)</f>
        <v>0</v>
      </c>
    </row>
    <row r="216">
      <c r="A216" s="4"/>
      <c r="C216" s="4" t="s">
        <v>389</v>
      </c>
      <c r="D216" s="8" t="str">
        <f t="shared" si="1"/>
        <v>{"valorA":"de","valorB":8.0}</v>
      </c>
      <c r="E216" s="8" t="str">
        <f t="shared" si="2"/>
        <v>de</v>
      </c>
      <c r="F216" s="8"/>
      <c r="G216" s="6" t="str">
        <f t="shared" si="3"/>
        <v>8.0</v>
      </c>
      <c r="H216" s="9">
        <f t="shared" si="4"/>
        <v>8</v>
      </c>
      <c r="I216" s="10">
        <f>IFERROR(__xludf.DUMMYFUNCTION("MAX(FILTER($H$2:$H1322,$E$2:$E1322=F216))"),0.0)</f>
        <v>0</v>
      </c>
    </row>
    <row r="217">
      <c r="A217" s="4"/>
      <c r="C217" s="4" t="s">
        <v>390</v>
      </c>
      <c r="D217" s="8" t="str">
        <f t="shared" si="1"/>
        <v>{"valorA":"carro","valorB":3.0}</v>
      </c>
      <c r="E217" s="8" t="str">
        <f t="shared" si="2"/>
        <v>carro</v>
      </c>
      <c r="F217" s="8"/>
      <c r="G217" s="6" t="str">
        <f t="shared" si="3"/>
        <v>3.0</v>
      </c>
      <c r="H217" s="9">
        <f t="shared" si="4"/>
        <v>3</v>
      </c>
      <c r="I217" s="10">
        <f>IFERROR(__xludf.DUMMYFUNCTION("MAX(FILTER($H$2:$H1322,$E$2:$E1322=F217))"),0.0)</f>
        <v>0</v>
      </c>
    </row>
    <row r="218">
      <c r="A218" s="4"/>
      <c r="C218" s="4" t="s">
        <v>391</v>
      </c>
      <c r="D218" s="8" t="str">
        <f t="shared" si="1"/>
        <v>{"valorA":"produto","valorB":23.0}</v>
      </c>
      <c r="E218" s="8" t="str">
        <f t="shared" si="2"/>
        <v>produto</v>
      </c>
      <c r="F218" s="8"/>
      <c r="G218" s="6" t="str">
        <f t="shared" si="3"/>
        <v>23.0</v>
      </c>
      <c r="H218" s="9">
        <f t="shared" si="4"/>
        <v>23</v>
      </c>
      <c r="I218" s="10">
        <f>IFERROR(__xludf.DUMMYFUNCTION("MAX(FILTER($H$2:$H1322,$E$2:$E1322=F218))"),0.0)</f>
        <v>0</v>
      </c>
    </row>
    <row r="219">
      <c r="A219" s="4"/>
      <c r="C219" s="4" t="s">
        <v>392</v>
      </c>
      <c r="D219" s="8" t="str">
        <f t="shared" si="1"/>
        <v>{"valorA":"do","valorB":2.0}</v>
      </c>
      <c r="E219" s="8" t="str">
        <f t="shared" si="2"/>
        <v>do</v>
      </c>
      <c r="F219" s="8"/>
      <c r="G219" s="6" t="str">
        <f t="shared" si="3"/>
        <v>2.0</v>
      </c>
      <c r="H219" s="9">
        <f t="shared" si="4"/>
        <v>2</v>
      </c>
      <c r="I219" s="10">
        <f>IFERROR(__xludf.DUMMYFUNCTION("MAX(FILTER($H$2:$H1322,$E$2:$E1322=F219))"),0.0)</f>
        <v>0</v>
      </c>
    </row>
    <row r="220">
      <c r="A220" s="4"/>
      <c r="C220" s="4" t="s">
        <v>393</v>
      </c>
      <c r="D220" s="8" t="str">
        <f t="shared" si="1"/>
        <v>{"valorA":"gostei","valorB":4.0}</v>
      </c>
      <c r="E220" s="8" t="str">
        <f t="shared" si="2"/>
        <v>gostei</v>
      </c>
      <c r="F220" s="8"/>
      <c r="G220" s="6" t="str">
        <f t="shared" si="3"/>
        <v>4.0</v>
      </c>
      <c r="H220" s="9">
        <f t="shared" si="4"/>
        <v>4</v>
      </c>
      <c r="I220" s="10">
        <f>IFERROR(__xludf.DUMMYFUNCTION("MAX(FILTER($H$2:$H1322,$E$2:$E1322=F220))"),0.0)</f>
        <v>0</v>
      </c>
    </row>
    <row r="221">
      <c r="A221" s="4"/>
      <c r="C221" s="4" t="s">
        <v>394</v>
      </c>
      <c r="D221" s="8" t="str">
        <f t="shared" si="1"/>
        <v>{"valorA":"ótimo","valorB":34.0}</v>
      </c>
      <c r="E221" s="8" t="str">
        <f t="shared" si="2"/>
        <v>ótimo</v>
      </c>
      <c r="F221" s="8"/>
      <c r="G221" s="6" t="str">
        <f t="shared" si="3"/>
        <v>34.0</v>
      </c>
      <c r="H221" s="9">
        <f t="shared" si="4"/>
        <v>34</v>
      </c>
      <c r="I221" s="10">
        <f>IFERROR(__xludf.DUMMYFUNCTION("MAX(FILTER($H$2:$H1322,$E$2:$E1322=F221))"),0.0)</f>
        <v>0</v>
      </c>
    </row>
    <row r="222">
      <c r="A222" s="4"/>
      <c r="C222" s="4" t="s">
        <v>395</v>
      </c>
      <c r="D222" s="8" t="str">
        <f t="shared" si="1"/>
        <v>{"valorA":"esse","valorB":7.0}</v>
      </c>
      <c r="E222" s="8" t="str">
        <f t="shared" si="2"/>
        <v>esse</v>
      </c>
      <c r="F222" s="8"/>
      <c r="G222" s="6" t="str">
        <f t="shared" si="3"/>
        <v>7.0</v>
      </c>
      <c r="H222" s="9">
        <f t="shared" si="4"/>
        <v>7</v>
      </c>
      <c r="I222" s="10">
        <f>IFERROR(__xludf.DUMMYFUNCTION("MAX(FILTER($H$2:$H1322,$E$2:$E1322=F222))"),0.0)</f>
        <v>0</v>
      </c>
    </row>
    <row r="223">
      <c r="A223" s="4"/>
      <c r="C223" s="4" t="s">
        <v>396</v>
      </c>
      <c r="D223" s="8" t="str">
        <f t="shared" si="1"/>
        <v>{"valorA":"fácil","valorB":2.0}</v>
      </c>
      <c r="E223" s="8" t="str">
        <f t="shared" si="2"/>
        <v>fácil</v>
      </c>
      <c r="F223" s="8"/>
      <c r="G223" s="6" t="str">
        <f t="shared" si="3"/>
        <v>2.0</v>
      </c>
      <c r="H223" s="9">
        <f t="shared" si="4"/>
        <v>2</v>
      </c>
      <c r="I223" s="10">
        <f>IFERROR(__xludf.DUMMYFUNCTION("MAX(FILTER($H$2:$H1322,$E$2:$E1322=F223))"),0.0)</f>
        <v>0</v>
      </c>
    </row>
    <row r="224">
      <c r="A224" s="4"/>
      <c r="C224" s="4" t="s">
        <v>397</v>
      </c>
      <c r="D224" s="8" t="str">
        <f t="shared" si="1"/>
        <v>{"valorA":"muito","valorB":14.0}</v>
      </c>
      <c r="E224" s="8" t="str">
        <f t="shared" si="2"/>
        <v>muito</v>
      </c>
      <c r="F224" s="8"/>
      <c r="G224" s="6" t="str">
        <f t="shared" si="3"/>
        <v>14.0</v>
      </c>
      <c r="H224" s="9">
        <f t="shared" si="4"/>
        <v>14</v>
      </c>
      <c r="I224" s="10">
        <f>IFERROR(__xludf.DUMMYFUNCTION("MAX(FILTER($H$2:$H1322,$E$2:$E1322=F224))"),0.0)</f>
        <v>0</v>
      </c>
    </row>
    <row r="225">
      <c r="A225" s="4"/>
      <c r="C225" s="4" t="s">
        <v>398</v>
      </c>
      <c r="D225" s="8" t="str">
        <f t="shared" si="1"/>
        <v>{"valorA":"confortável","valorB":1.0}</v>
      </c>
      <c r="E225" s="8" t="str">
        <f t="shared" si="2"/>
        <v>confortável</v>
      </c>
      <c r="F225" s="8"/>
      <c r="G225" s="6" t="str">
        <f t="shared" si="3"/>
        <v>1.0</v>
      </c>
      <c r="H225" s="9">
        <f t="shared" si="4"/>
        <v>1</v>
      </c>
      <c r="I225" s="10">
        <f>IFERROR(__xludf.DUMMYFUNCTION("MAX(FILTER($H$2:$H1322,$E$2:$E1322=F225))"),0.0)</f>
        <v>0</v>
      </c>
    </row>
    <row r="226">
      <c r="A226" s="4"/>
      <c r="C226" s="4" t="s">
        <v>399</v>
      </c>
      <c r="D226" s="8" t="str">
        <f t="shared" si="1"/>
        <v>{"valorA":"relojoeira","valorB":1.0}</v>
      </c>
      <c r="E226" s="8" t="str">
        <f t="shared" si="2"/>
        <v>relojoeira</v>
      </c>
      <c r="F226" s="8"/>
      <c r="G226" s="6" t="str">
        <f t="shared" si="3"/>
        <v>1.0</v>
      </c>
      <c r="H226" s="9">
        <f t="shared" si="4"/>
        <v>1</v>
      </c>
      <c r="I226" s="10">
        <f>IFERROR(__xludf.DUMMYFUNCTION("MAX(FILTER($H$2:$H1322,$E$2:$E1322=F226))"),0.0)</f>
        <v>0</v>
      </c>
    </row>
    <row r="227">
      <c r="A227" s="4"/>
      <c r="C227" s="4" t="s">
        <v>400</v>
      </c>
      <c r="D227" s="8" t="str">
        <f t="shared" si="1"/>
        <v>{"valorA":"adorei","valorB":2.0}</v>
      </c>
      <c r="E227" s="8" t="str">
        <f t="shared" si="2"/>
        <v>adorei</v>
      </c>
      <c r="F227" s="8"/>
      <c r="G227" s="6" t="str">
        <f t="shared" si="3"/>
        <v>2.0</v>
      </c>
      <c r="H227" s="9">
        <f t="shared" si="4"/>
        <v>2</v>
      </c>
      <c r="I227" s="10">
        <f>IFERROR(__xludf.DUMMYFUNCTION("MAX(FILTER($H$2:$H1322,$E$2:$E1322=F227))"),0.0)</f>
        <v>0</v>
      </c>
    </row>
    <row r="228">
      <c r="A228" s="4"/>
      <c r="C228" s="4" t="s">
        <v>401</v>
      </c>
      <c r="D228" s="8" t="str">
        <f t="shared" si="1"/>
        <v>{"valorA":"design","valorB":1.0}</v>
      </c>
      <c r="E228" s="8" t="str">
        <f t="shared" si="2"/>
        <v>design</v>
      </c>
      <c r="F228" s="8"/>
      <c r="G228" s="6" t="str">
        <f t="shared" si="3"/>
        <v>1.0</v>
      </c>
      <c r="H228" s="9">
        <f t="shared" si="4"/>
        <v>1</v>
      </c>
      <c r="I228" s="10">
        <f>IFERROR(__xludf.DUMMYFUNCTION("MAX(FILTER($H$2:$H1322,$E$2:$E1322=F228))"),0.0)</f>
        <v>0</v>
      </c>
    </row>
    <row r="229">
      <c r="A229" s="4"/>
      <c r="C229" s="4" t="s">
        <v>402</v>
      </c>
      <c r="D229" s="8" t="str">
        <f t="shared" si="1"/>
        <v>{"valorA":"da","valorB":2.0}</v>
      </c>
      <c r="E229" s="8" t="str">
        <f t="shared" si="2"/>
        <v>da</v>
      </c>
      <c r="F229" s="8"/>
      <c r="G229" s="6" t="str">
        <f t="shared" si="3"/>
        <v>2.0</v>
      </c>
      <c r="H229" s="9">
        <f t="shared" si="4"/>
        <v>2</v>
      </c>
      <c r="I229" s="10">
        <f>IFERROR(__xludf.DUMMYFUNCTION("MAX(FILTER($H$2:$H1322,$E$2:$E1322=F229))"),0.0)</f>
        <v>0</v>
      </c>
    </row>
    <row r="230">
      <c r="A230" s="4"/>
      <c r="C230" s="4" t="s">
        <v>403</v>
      </c>
      <c r="D230" s="8" t="str">
        <f t="shared" si="1"/>
        <v>{"valorA":"para","valorB":5.0}</v>
      </c>
      <c r="E230" s="8" t="str">
        <f t="shared" si="2"/>
        <v>para</v>
      </c>
      <c r="F230" s="8"/>
      <c r="G230" s="6" t="str">
        <f t="shared" si="3"/>
        <v>5.0</v>
      </c>
      <c r="H230" s="9">
        <f t="shared" si="4"/>
        <v>5</v>
      </c>
      <c r="I230" s="10">
        <f>IFERROR(__xludf.DUMMYFUNCTION("MAX(FILTER($H$2:$H1322,$E$2:$E1322=F230))"),0.0)</f>
        <v>0</v>
      </c>
    </row>
    <row r="231">
      <c r="A231" s="4"/>
      <c r="C231" s="4" t="s">
        <v>404</v>
      </c>
      <c r="D231" s="8" t="str">
        <f t="shared" si="1"/>
        <v>{"valorA":"com","valorB":3.0}</v>
      </c>
      <c r="E231" s="8" t="str">
        <f t="shared" si="2"/>
        <v>com</v>
      </c>
      <c r="F231" s="8"/>
      <c r="G231" s="6" t="str">
        <f t="shared" si="3"/>
        <v>3.0</v>
      </c>
      <c r="H231" s="9">
        <f t="shared" si="4"/>
        <v>3</v>
      </c>
      <c r="I231" s="10">
        <f>IFERROR(__xludf.DUMMYFUNCTION("MAX(FILTER($H$2:$H1322,$E$2:$E1322=F231))"),0.0)</f>
        <v>0</v>
      </c>
    </row>
    <row r="232">
      <c r="A232" s="4"/>
      <c r="C232" s="4" t="s">
        <v>405</v>
      </c>
      <c r="D232" s="8" t="str">
        <f t="shared" si="1"/>
        <v>{"valorA":"activo","valorB":1.0}</v>
      </c>
      <c r="E232" s="8" t="str">
        <f t="shared" si="2"/>
        <v>activo</v>
      </c>
      <c r="F232" s="8"/>
      <c r="G232" s="6" t="str">
        <f t="shared" si="3"/>
        <v>1.0</v>
      </c>
      <c r="H232" s="9">
        <f t="shared" si="4"/>
        <v>1</v>
      </c>
      <c r="I232" s="10">
        <f>IFERROR(__xludf.DUMMYFUNCTION("MAX(FILTER($H$2:$H1322,$E$2:$E1322=F232))"),0.0)</f>
        <v>0</v>
      </c>
    </row>
    <row r="233">
      <c r="A233" s="4"/>
      <c r="C233" s="4" t="s">
        <v>406</v>
      </c>
      <c r="D233" s="8" t="str">
        <f t="shared" si="1"/>
        <v>{"valorA":"vida","valorB":2.0}</v>
      </c>
      <c r="E233" s="8" t="str">
        <f t="shared" si="2"/>
        <v>vida</v>
      </c>
      <c r="F233" s="8"/>
      <c r="G233" s="6" t="str">
        <f t="shared" si="3"/>
        <v>2.0</v>
      </c>
      <c r="H233" s="9">
        <f t="shared" si="4"/>
        <v>2</v>
      </c>
      <c r="I233" s="10">
        <f>IFERROR(__xludf.DUMMYFUNCTION("MAX(FILTER($H$2:$H1322,$E$2:$E1322=F233))"),0.0)</f>
        <v>0</v>
      </c>
    </row>
    <row r="234">
      <c r="A234" s="4"/>
      <c r="C234" s="4" t="s">
        <v>407</v>
      </c>
      <c r="D234" s="8" t="str">
        <f t="shared" si="1"/>
        <v>{"valorA":"meu","valorB":4.0}</v>
      </c>
      <c r="E234" s="8" t="str">
        <f t="shared" si="2"/>
        <v>meu</v>
      </c>
      <c r="F234" s="8"/>
      <c r="G234" s="6" t="str">
        <f t="shared" si="3"/>
        <v>4.0</v>
      </c>
      <c r="H234" s="9">
        <f t="shared" si="4"/>
        <v>4</v>
      </c>
      <c r="I234" s="10">
        <f>IFERROR(__xludf.DUMMYFUNCTION("MAX(FILTER($H$2:$H1322,$E$2:$E1322=F234))"),0.0)</f>
        <v>0</v>
      </c>
    </row>
    <row r="235">
      <c r="A235" s="4"/>
      <c r="C235" s="4" t="s">
        <v>408</v>
      </c>
      <c r="D235" s="8" t="str">
        <f t="shared" si="1"/>
        <v>{"valorA":"satisfação","valorB":2.0}</v>
      </c>
      <c r="E235" s="8" t="str">
        <f t="shared" si="2"/>
        <v>satisfação</v>
      </c>
      <c r="F235" s="8"/>
      <c r="G235" s="6" t="str">
        <f t="shared" si="3"/>
        <v>2.0</v>
      </c>
      <c r="H235" s="9">
        <f t="shared" si="4"/>
        <v>2</v>
      </c>
      <c r="I235" s="10">
        <f>IFERROR(__xludf.DUMMYFUNCTION("MAX(FILTER($H$2:$H1322,$E$2:$E1322=F235))"),0.0)</f>
        <v>0</v>
      </c>
    </row>
    <row r="236">
      <c r="A236" s="4"/>
      <c r="C236" s="4" t="s">
        <v>409</v>
      </c>
      <c r="D236" s="8" t="str">
        <f t="shared" si="1"/>
        <v>{"valorA":"o","valorB":6.0}</v>
      </c>
      <c r="E236" s="8" t="str">
        <f t="shared" si="2"/>
        <v>o</v>
      </c>
      <c r="F236" s="8"/>
      <c r="G236" s="6" t="str">
        <f t="shared" si="3"/>
        <v>6.0</v>
      </c>
      <c r="H236" s="9">
        <f t="shared" si="4"/>
        <v>6</v>
      </c>
      <c r="I236" s="10">
        <f>IFERROR(__xludf.DUMMYFUNCTION("MAX(FILTER($H$2:$H1322,$E$2:$E1322=F236))"),0.0)</f>
        <v>0</v>
      </c>
    </row>
    <row r="237">
      <c r="A237" s="4"/>
      <c r="C237" s="4" t="s">
        <v>410</v>
      </c>
      <c r="D237" s="8" t="str">
        <f t="shared" si="1"/>
        <v>{"valorA":"de","valorB":9.0}</v>
      </c>
      <c r="E237" s="8" t="str">
        <f t="shared" si="2"/>
        <v>de</v>
      </c>
      <c r="F237" s="8"/>
      <c r="G237" s="6" t="str">
        <f t="shared" si="3"/>
        <v>9.0</v>
      </c>
      <c r="H237" s="9">
        <f t="shared" si="4"/>
        <v>9</v>
      </c>
      <c r="I237" s="10">
        <f>IFERROR(__xludf.DUMMYFUNCTION("MAX(FILTER($H$2:$H1322,$E$2:$E1322=F237))"),0.0)</f>
        <v>0</v>
      </c>
    </row>
    <row r="238">
      <c r="A238" s="4"/>
      <c r="C238" s="4" t="s">
        <v>411</v>
      </c>
      <c r="D238" s="8" t="str">
        <f t="shared" si="1"/>
        <v>{"valorA":"telemóvel","valorB":1.0}</v>
      </c>
      <c r="E238" s="8" t="str">
        <f t="shared" si="2"/>
        <v>telemóvel</v>
      </c>
      <c r="F238" s="8"/>
      <c r="G238" s="6" t="str">
        <f t="shared" si="3"/>
        <v>1.0</v>
      </c>
      <c r="H238" s="9">
        <f t="shared" si="4"/>
        <v>1</v>
      </c>
      <c r="I238" s="10">
        <f>IFERROR(__xludf.DUMMYFUNCTION("MAX(FILTER($H$2:$H1322,$E$2:$E1322=F238))"),0.0)</f>
        <v>0</v>
      </c>
    </row>
    <row r="239">
      <c r="A239" s="4"/>
      <c r="C239" s="4" t="s">
        <v>412</v>
      </c>
      <c r="D239" s="8" t="str">
        <f t="shared" si="1"/>
        <v>{"valorA":"perfeita","valorB":1.0}</v>
      </c>
      <c r="E239" s="8" t="str">
        <f t="shared" si="2"/>
        <v>perfeita</v>
      </c>
      <c r="F239" s="8"/>
      <c r="G239" s="6" t="str">
        <f t="shared" si="3"/>
        <v>1.0</v>
      </c>
      <c r="H239" s="9">
        <f t="shared" si="4"/>
        <v>1</v>
      </c>
      <c r="I239" s="10">
        <f>IFERROR(__xludf.DUMMYFUNCTION("MAX(FILTER($H$2:$H1322,$E$2:$E1322=F239))"),0.0)</f>
        <v>0</v>
      </c>
    </row>
    <row r="240">
      <c r="A240" s="4"/>
      <c r="C240" s="4" t="s">
        <v>413</v>
      </c>
      <c r="D240" s="8" t="str">
        <f t="shared" si="1"/>
        <v>{"valorA":"produto","valorB":24.0}</v>
      </c>
      <c r="E240" s="8" t="str">
        <f t="shared" si="2"/>
        <v>produto</v>
      </c>
      <c r="F240" s="8"/>
      <c r="G240" s="6" t="str">
        <f t="shared" si="3"/>
        <v>24.0</v>
      </c>
      <c r="H240" s="9">
        <f t="shared" si="4"/>
        <v>24</v>
      </c>
      <c r="I240" s="10">
        <f>IFERROR(__xludf.DUMMYFUNCTION("MAX(FILTER($H$2:$H1322,$E$2:$E1322=F240))"),0.0)</f>
        <v>0</v>
      </c>
    </row>
    <row r="241">
      <c r="A241" s="4"/>
      <c r="C241" s="4" t="s">
        <v>414</v>
      </c>
      <c r="D241" s="8" t="str">
        <f t="shared" si="1"/>
        <v>{"valorA":"ótimo","valorB":36.0}</v>
      </c>
      <c r="E241" s="8" t="str">
        <f t="shared" si="2"/>
        <v>ótimo</v>
      </c>
      <c r="F241" s="8"/>
      <c r="G241" s="6" t="str">
        <f t="shared" si="3"/>
        <v>36.0</v>
      </c>
      <c r="H241" s="9">
        <f t="shared" si="4"/>
        <v>36</v>
      </c>
      <c r="I241" s="10">
        <f>IFERROR(__xludf.DUMMYFUNCTION("MAX(FILTER($H$2:$H1322,$E$2:$E1322=F241))"),0.0)</f>
        <v>0</v>
      </c>
    </row>
    <row r="242">
      <c r="A242" s="4"/>
      <c r="C242" s="4" t="s">
        <v>415</v>
      </c>
      <c r="D242" s="8" t="str">
        <f t="shared" si="1"/>
        <v>{"valorA":"estilo","valorB":1.0}</v>
      </c>
      <c r="E242" s="8" t="str">
        <f t="shared" si="2"/>
        <v>estilo</v>
      </c>
      <c r="F242" s="8"/>
      <c r="G242" s="6" t="str">
        <f t="shared" si="3"/>
        <v>1.0</v>
      </c>
      <c r="H242" s="9">
        <f t="shared" si="4"/>
        <v>1</v>
      </c>
      <c r="I242" s="10">
        <f>IFERROR(__xludf.DUMMYFUNCTION("MAX(FILTER($H$2:$H1322,$E$2:$E1322=F242))"),0.0)</f>
        <v>0</v>
      </c>
    </row>
    <row r="243">
      <c r="A243" s="4"/>
      <c r="C243" s="4" t="s">
        <v>416</v>
      </c>
      <c r="D243" s="8" t="str">
        <f t="shared" si="1"/>
        <v>{"valorA":"total","valorB":2.0}</v>
      </c>
      <c r="E243" s="8" t="str">
        <f t="shared" si="2"/>
        <v>total</v>
      </c>
      <c r="F243" s="8"/>
      <c r="G243" s="6" t="str">
        <f t="shared" si="3"/>
        <v>2.0</v>
      </c>
      <c r="H243" s="9">
        <f t="shared" si="4"/>
        <v>2</v>
      </c>
      <c r="I243" s="10">
        <f>IFERROR(__xludf.DUMMYFUNCTION("MAX(FILTER($H$2:$H1322,$E$2:$E1322=F243))"),0.0)</f>
        <v>0</v>
      </c>
    </row>
    <row r="244">
      <c r="A244" s="4"/>
      <c r="C244" s="4" t="s">
        <v>417</v>
      </c>
      <c r="D244" s="8" t="str">
        <f t="shared" si="1"/>
        <v>{"valorA":"novo","valorB":3.0}</v>
      </c>
      <c r="E244" s="8" t="str">
        <f t="shared" si="2"/>
        <v>novo</v>
      </c>
      <c r="F244" s="8"/>
      <c r="G244" s="6" t="str">
        <f t="shared" si="3"/>
        <v>3.0</v>
      </c>
      <c r="H244" s="9">
        <f t="shared" si="4"/>
        <v>3</v>
      </c>
      <c r="I244" s="10">
        <f>IFERROR(__xludf.DUMMYFUNCTION("MAX(FILTER($H$2:$H1322,$E$2:$E1322=F244))"),0.0)</f>
        <v>0</v>
      </c>
    </row>
    <row r="245">
      <c r="A245" s="4"/>
      <c r="C245" s="4" t="s">
        <v>418</v>
      </c>
      <c r="D245" s="8" t="str">
        <f t="shared" si="1"/>
        <v>{"valorA":"relojoeira","valorB":2.0}</v>
      </c>
      <c r="E245" s="8" t="str">
        <f t="shared" si="2"/>
        <v>relojoeira</v>
      </c>
      <c r="F245" s="8"/>
      <c r="G245" s="6" t="str">
        <f t="shared" si="3"/>
        <v>2.0</v>
      </c>
      <c r="H245" s="9">
        <f t="shared" si="4"/>
        <v>2</v>
      </c>
      <c r="I245" s="10">
        <f>IFERROR(__xludf.DUMMYFUNCTION("MAX(FILTER($H$2:$H1322,$E$2:$E1322=F245))"),0.0)</f>
        <v>0</v>
      </c>
    </row>
    <row r="246">
      <c r="A246" s="4"/>
      <c r="C246" s="4" t="s">
        <v>419</v>
      </c>
      <c r="D246" s="8" t="str">
        <f t="shared" si="1"/>
        <v>{"valorA":"para","valorB":6.0}</v>
      </c>
      <c r="E246" s="8" t="str">
        <f t="shared" si="2"/>
        <v>para</v>
      </c>
      <c r="F246" s="8"/>
      <c r="G246" s="6" t="str">
        <f t="shared" si="3"/>
        <v>6.0</v>
      </c>
      <c r="H246" s="9">
        <f t="shared" si="4"/>
        <v>6</v>
      </c>
      <c r="I246" s="10">
        <f>IFERROR(__xludf.DUMMYFUNCTION("MAX(FILTER($H$2:$H1322,$E$2:$E1322=F246))"),0.0)</f>
        <v>0</v>
      </c>
    </row>
    <row r="247">
      <c r="A247" s="4"/>
      <c r="C247" s="4" t="s">
        <v>420</v>
      </c>
      <c r="D247" s="8" t="str">
        <f t="shared" si="1"/>
        <v>{"valorA":"é","valorB":10.0}</v>
      </c>
      <c r="E247" s="8" t="str">
        <f t="shared" si="2"/>
        <v>é</v>
      </c>
      <c r="F247" s="8"/>
      <c r="G247" s="6" t="str">
        <f t="shared" si="3"/>
        <v>10.0</v>
      </c>
      <c r="H247" s="9">
        <f t="shared" si="4"/>
        <v>10</v>
      </c>
      <c r="I247" s="10">
        <f>IFERROR(__xludf.DUMMYFUNCTION("MAX(FILTER($H$2:$H1322,$E$2:$E1322=F247))"),0.0)</f>
        <v>0</v>
      </c>
    </row>
    <row r="248">
      <c r="A248" s="4"/>
      <c r="C248" s="4" t="s">
        <v>421</v>
      </c>
      <c r="D248" s="8" t="str">
        <f t="shared" si="1"/>
        <v>{"valorA":"aplicar","valorB":1.0}</v>
      </c>
      <c r="E248" s="8" t="str">
        <f t="shared" si="2"/>
        <v>aplicar</v>
      </c>
      <c r="F248" s="8"/>
      <c r="G248" s="6" t="str">
        <f t="shared" si="3"/>
        <v>1.0</v>
      </c>
      <c r="H248" s="9">
        <f t="shared" si="4"/>
        <v>1</v>
      </c>
      <c r="I248" s="10">
        <f>IFERROR(__xludf.DUMMYFUNCTION("MAX(FILTER($H$2:$H1322,$E$2:$E1322=F248))"),0.0)</f>
        <v>0</v>
      </c>
    </row>
    <row r="249">
      <c r="A249" s="4"/>
      <c r="C249" s="4" t="s">
        <v>422</v>
      </c>
      <c r="D249" s="8" t="str">
        <f t="shared" si="1"/>
        <v>{"valorA":"recomendo","valorB":6.0}</v>
      </c>
      <c r="E249" s="8" t="str">
        <f t="shared" si="2"/>
        <v>recomendo</v>
      </c>
      <c r="F249" s="8"/>
      <c r="G249" s="6" t="str">
        <f t="shared" si="3"/>
        <v>6.0</v>
      </c>
      <c r="H249" s="9">
        <f t="shared" si="4"/>
        <v>6</v>
      </c>
      <c r="I249" s="10">
        <f>IFERROR(__xludf.DUMMYFUNCTION("MAX(FILTER($H$2:$H1322,$E$2:$E1322=F249))"),0.0)</f>
        <v>0</v>
      </c>
    </row>
    <row r="250">
      <c r="A250" s="4"/>
      <c r="C250" s="4" t="s">
        <v>423</v>
      </c>
      <c r="D250" s="8" t="str">
        <f t="shared" si="1"/>
        <v>{"valorA":"bem","valorB":11.0}</v>
      </c>
      <c r="E250" s="8" t="str">
        <f t="shared" si="2"/>
        <v>bem</v>
      </c>
      <c r="F250" s="8"/>
      <c r="G250" s="6" t="str">
        <f t="shared" si="3"/>
        <v>11.0</v>
      </c>
      <c r="H250" s="9">
        <f t="shared" si="4"/>
        <v>11</v>
      </c>
      <c r="I250" s="10">
        <f>IFERROR(__xludf.DUMMYFUNCTION("MAX(FILTER($H$2:$H1322,$E$2:$E1322=F250))"),0.0)</f>
        <v>0</v>
      </c>
    </row>
    <row r="251">
      <c r="A251" s="4"/>
      <c r="C251" s="4" t="s">
        <v>424</v>
      </c>
      <c r="D251" s="8" t="str">
        <f t="shared" si="1"/>
        <v>{"valorA":"pele","valorB":1.0}</v>
      </c>
      <c r="E251" s="8" t="str">
        <f t="shared" si="2"/>
        <v>pele</v>
      </c>
      <c r="F251" s="8"/>
      <c r="G251" s="6" t="str">
        <f t="shared" si="3"/>
        <v>1.0</v>
      </c>
      <c r="H251" s="9">
        <f t="shared" si="4"/>
        <v>1</v>
      </c>
      <c r="I251" s="10">
        <f>IFERROR(__xludf.DUMMYFUNCTION("MAX(FILTER($H$2:$H1322,$E$2:$E1322=F251))"),0.0)</f>
        <v>0</v>
      </c>
    </row>
    <row r="252">
      <c r="A252" s="4"/>
      <c r="C252" s="4" t="s">
        <v>425</v>
      </c>
      <c r="D252" s="8" t="str">
        <f t="shared" si="1"/>
        <v>{"valorA":"e","valorB":9.0}</v>
      </c>
      <c r="E252" s="8" t="str">
        <f t="shared" si="2"/>
        <v>e</v>
      </c>
      <c r="F252" s="8"/>
      <c r="G252" s="6" t="str">
        <f t="shared" si="3"/>
        <v>9.0</v>
      </c>
      <c r="H252" s="9">
        <f t="shared" si="4"/>
        <v>9</v>
      </c>
      <c r="I252" s="10">
        <f>IFERROR(__xludf.DUMMYFUNCTION("MAX(FILTER($H$2:$H1322,$E$2:$E1322=F252))"),0.0)</f>
        <v>0</v>
      </c>
    </row>
    <row r="253">
      <c r="A253" s="4"/>
      <c r="C253" s="4" t="s">
        <v>426</v>
      </c>
      <c r="D253" s="8" t="str">
        <f t="shared" si="1"/>
        <v>{"valorA":"creme","valorB":3.0}</v>
      </c>
      <c r="E253" s="8" t="str">
        <f t="shared" si="2"/>
        <v>creme</v>
      </c>
      <c r="F253" s="8"/>
      <c r="G253" s="6" t="str">
        <f t="shared" si="3"/>
        <v>3.0</v>
      </c>
      <c r="H253" s="9">
        <f t="shared" si="4"/>
        <v>3</v>
      </c>
      <c r="I253" s="10">
        <f>IFERROR(__xludf.DUMMYFUNCTION("MAX(FILTER($H$2:$H1322,$E$2:$E1322=F253))"),0.0)</f>
        <v>0</v>
      </c>
    </row>
    <row r="254">
      <c r="A254" s="4"/>
      <c r="C254" s="4" t="s">
        <v>427</v>
      </c>
      <c r="D254" s="8" t="str">
        <f t="shared" si="1"/>
        <v>{"valorA":"de","valorB":10.0}</v>
      </c>
      <c r="E254" s="8" t="str">
        <f t="shared" si="2"/>
        <v>de</v>
      </c>
      <c r="F254" s="8"/>
      <c r="G254" s="6" t="str">
        <f t="shared" si="3"/>
        <v>10.0</v>
      </c>
      <c r="H254" s="9">
        <f t="shared" si="4"/>
        <v>10</v>
      </c>
      <c r="I254" s="10">
        <f>IFERROR(__xludf.DUMMYFUNCTION("MAX(FILTER($H$2:$H1322,$E$2:$E1322=F254))"),0.0)</f>
        <v>0</v>
      </c>
    </row>
    <row r="255">
      <c r="A255" s="4"/>
      <c r="C255" s="4" t="s">
        <v>428</v>
      </c>
      <c r="D255" s="8" t="str">
        <f t="shared" si="1"/>
        <v>{"valorA":"produto","valorB":26.0}</v>
      </c>
      <c r="E255" s="8" t="str">
        <f t="shared" si="2"/>
        <v>produto</v>
      </c>
      <c r="F255" s="8"/>
      <c r="G255" s="6" t="str">
        <f t="shared" si="3"/>
        <v>26.0</v>
      </c>
      <c r="H255" s="9">
        <f t="shared" si="4"/>
        <v>26</v>
      </c>
      <c r="I255" s="10">
        <f>IFERROR(__xludf.DUMMYFUNCTION("MAX(FILTER($H$2:$H1322,$E$2:$E1322=F255))"),0.0)</f>
        <v>0</v>
      </c>
    </row>
    <row r="256">
      <c r="A256" s="4"/>
      <c r="C256" s="4" t="s">
        <v>429</v>
      </c>
      <c r="D256" s="8" t="str">
        <f t="shared" si="1"/>
        <v>{"valorA":"gostei","valorB":5.0}</v>
      </c>
      <c r="E256" s="8" t="str">
        <f t="shared" si="2"/>
        <v>gostei</v>
      </c>
      <c r="F256" s="8"/>
      <c r="G256" s="6" t="str">
        <f t="shared" si="3"/>
        <v>5.0</v>
      </c>
      <c r="H256" s="9">
        <f t="shared" si="4"/>
        <v>5</v>
      </c>
      <c r="I256" s="10">
        <f>IFERROR(__xludf.DUMMYFUNCTION("MAX(FILTER($H$2:$H1322,$E$2:$E1322=F256))"),0.0)</f>
        <v>0</v>
      </c>
    </row>
    <row r="257">
      <c r="A257" s="4"/>
      <c r="C257" s="4" t="s">
        <v>430</v>
      </c>
      <c r="D257" s="8" t="str">
        <f t="shared" si="1"/>
        <v>{"valorA":"ótimo","valorB":38.0}</v>
      </c>
      <c r="E257" s="8" t="str">
        <f t="shared" si="2"/>
        <v>ótimo</v>
      </c>
      <c r="F257" s="8"/>
      <c r="G257" s="6" t="str">
        <f t="shared" si="3"/>
        <v>38.0</v>
      </c>
      <c r="H257" s="9">
        <f t="shared" si="4"/>
        <v>38</v>
      </c>
      <c r="I257" s="10">
        <f>IFERROR(__xludf.DUMMYFUNCTION("MAX(FILTER($H$2:$H1322,$E$2:$E1322=F257))"),0.0)</f>
        <v>0</v>
      </c>
    </row>
    <row r="258">
      <c r="A258" s="4"/>
      <c r="C258" s="4" t="s">
        <v>431</v>
      </c>
      <c r="D258" s="8" t="str">
        <f t="shared" si="1"/>
        <v>{"valorA":"fácil","valorB":3.0}</v>
      </c>
      <c r="E258" s="8" t="str">
        <f t="shared" si="2"/>
        <v>fácil</v>
      </c>
      <c r="F258" s="8"/>
      <c r="G258" s="6" t="str">
        <f t="shared" si="3"/>
        <v>3.0</v>
      </c>
      <c r="H258" s="9">
        <f t="shared" si="4"/>
        <v>3</v>
      </c>
      <c r="I258" s="10">
        <f>IFERROR(__xludf.DUMMYFUNCTION("MAX(FILTER($H$2:$H1322,$E$2:$E1322=F258))"),0.0)</f>
        <v>0</v>
      </c>
    </row>
    <row r="259">
      <c r="A259" s="4"/>
      <c r="C259" s="4" t="s">
        <v>432</v>
      </c>
      <c r="D259" s="8" t="str">
        <f t="shared" si="1"/>
        <v>{"valorA":"muito","valorB":15.0}</v>
      </c>
      <c r="E259" s="8" t="str">
        <f t="shared" si="2"/>
        <v>muito</v>
      </c>
      <c r="F259" s="8"/>
      <c r="G259" s="6" t="str">
        <f t="shared" si="3"/>
        <v>15.0</v>
      </c>
      <c r="H259" s="9">
        <f t="shared" si="4"/>
        <v>15</v>
      </c>
      <c r="I259" s="10">
        <f>IFERROR(__xludf.DUMMYFUNCTION("MAX(FILTER($H$2:$H1322,$E$2:$E1322=F259))"),0.0)</f>
        <v>0</v>
      </c>
    </row>
    <row r="260">
      <c r="A260" s="4"/>
      <c r="C260" s="4" t="s">
        <v>433</v>
      </c>
      <c r="D260" s="8" t="str">
        <f t="shared" si="1"/>
        <v>{"valorA":"dessa","valorB":3.0}</v>
      </c>
      <c r="E260" s="8" t="str">
        <f t="shared" si="2"/>
        <v>dessa</v>
      </c>
      <c r="F260" s="8"/>
      <c r="G260" s="6" t="str">
        <f t="shared" si="3"/>
        <v>3.0</v>
      </c>
      <c r="H260" s="9">
        <f t="shared" si="4"/>
        <v>3</v>
      </c>
      <c r="I260" s="10">
        <f>IFERROR(__xludf.DUMMYFUNCTION("MAX(FILTER($H$2:$H1322,$E$2:$E1322=F260))"),0.0)</f>
        <v>0</v>
      </c>
    </row>
    <row r="261">
      <c r="A261" s="4"/>
      <c r="C261" s="4" t="s">
        <v>434</v>
      </c>
      <c r="D261" s="8" t="str">
        <f t="shared" si="1"/>
        <v>{"valorA":"funciona","valorB":10.0}</v>
      </c>
      <c r="E261" s="8" t="str">
        <f t="shared" si="2"/>
        <v>funciona</v>
      </c>
      <c r="F261" s="8"/>
      <c r="G261" s="6" t="str">
        <f t="shared" si="3"/>
        <v>10.0</v>
      </c>
      <c r="H261" s="9">
        <f t="shared" si="4"/>
        <v>10</v>
      </c>
      <c r="I261" s="10">
        <f>IFERROR(__xludf.DUMMYFUNCTION("MAX(FILTER($H$2:$H1322,$E$2:$E1322=F261))"),0.0)</f>
        <v>0</v>
      </c>
    </row>
    <row r="262">
      <c r="A262" s="4"/>
      <c r="C262" s="4" t="s">
        <v>435</v>
      </c>
      <c r="D262" s="8" t="str">
        <f t="shared" si="1"/>
        <v>{"valorA":"é","valorB":12.0}</v>
      </c>
      <c r="E262" s="8" t="str">
        <f t="shared" si="2"/>
        <v>é</v>
      </c>
      <c r="F262" s="8"/>
      <c r="G262" s="6" t="str">
        <f t="shared" si="3"/>
        <v>12.0</v>
      </c>
      <c r="H262" s="9">
        <f t="shared" si="4"/>
        <v>12</v>
      </c>
      <c r="I262" s="10">
        <f>IFERROR(__xludf.DUMMYFUNCTION("MAX(FILTER($H$2:$H1322,$E$2:$E1322=F262))"),0.0)</f>
        <v>0</v>
      </c>
    </row>
    <row r="263">
      <c r="A263" s="4"/>
      <c r="C263" s="4" t="s">
        <v>436</v>
      </c>
      <c r="D263" s="8" t="str">
        <f t="shared" si="1"/>
        <v>{"valorA":"com","valorB":4.0}</v>
      </c>
      <c r="E263" s="8" t="str">
        <f t="shared" si="2"/>
        <v>com</v>
      </c>
      <c r="F263" s="8"/>
      <c r="G263" s="6" t="str">
        <f t="shared" si="3"/>
        <v>4.0</v>
      </c>
      <c r="H263" s="9">
        <f t="shared" si="4"/>
        <v>4</v>
      </c>
      <c r="I263" s="10">
        <f>IFERROR(__xludf.DUMMYFUNCTION("MAX(FILTER($H$2:$H1322,$E$2:$E1322=F263))"),0.0)</f>
        <v>0</v>
      </c>
    </row>
    <row r="264">
      <c r="A264" s="4"/>
      <c r="C264" s="4" t="s">
        <v>437</v>
      </c>
      <c r="D264" s="8" t="str">
        <f t="shared" si="1"/>
        <v>{"valorA":"relojoeiro","valorB":1.0}</v>
      </c>
      <c r="E264" s="8" t="str">
        <f t="shared" si="2"/>
        <v>relojoeiro</v>
      </c>
      <c r="F264" s="8"/>
      <c r="G264" s="6" t="str">
        <f t="shared" si="3"/>
        <v>1.0</v>
      </c>
      <c r="H264" s="9">
        <f t="shared" si="4"/>
        <v>1</v>
      </c>
      <c r="I264" s="10">
        <f>IFERROR(__xludf.DUMMYFUNCTION("MAX(FILTER($H$2:$H1322,$E$2:$E1322=F264))"),0.0)</f>
        <v>0</v>
      </c>
    </row>
    <row r="265">
      <c r="A265" s="4"/>
      <c r="C265" s="4" t="s">
        <v>438</v>
      </c>
      <c r="D265" s="8" t="str">
        <f t="shared" si="1"/>
        <v>{"valorA":"fotos","valorB":1.0}</v>
      </c>
      <c r="E265" s="8" t="str">
        <f t="shared" si="2"/>
        <v>fotos</v>
      </c>
      <c r="F265" s="8"/>
      <c r="G265" s="6" t="str">
        <f t="shared" si="3"/>
        <v>1.0</v>
      </c>
      <c r="H265" s="9">
        <f t="shared" si="4"/>
        <v>1</v>
      </c>
      <c r="I265" s="10">
        <f>IFERROR(__xludf.DUMMYFUNCTION("MAX(FILTER($H$2:$H1322,$E$2:$E1322=F265))"),0.0)</f>
        <v>0</v>
      </c>
    </row>
    <row r="266">
      <c r="A266" s="4"/>
      <c r="C266" s="4" t="s">
        <v>439</v>
      </c>
      <c r="D266" s="8" t="str">
        <f t="shared" si="1"/>
        <v>{"valorA":"usar","valorB":5.0}</v>
      </c>
      <c r="E266" s="8" t="str">
        <f t="shared" si="2"/>
        <v>usar</v>
      </c>
      <c r="F266" s="8"/>
      <c r="G266" s="6" t="str">
        <f t="shared" si="3"/>
        <v>5.0</v>
      </c>
      <c r="H266" s="9">
        <f t="shared" si="4"/>
        <v>5</v>
      </c>
      <c r="I266" s="10">
        <f>IFERROR(__xludf.DUMMYFUNCTION("MAX(FILTER($H$2:$H1322,$E$2:$E1322=F266))"),0.0)</f>
        <v>0</v>
      </c>
    </row>
    <row r="267">
      <c r="A267" s="4"/>
      <c r="C267" s="4" t="s">
        <v>440</v>
      </c>
      <c r="D267" s="8" t="str">
        <f t="shared" si="1"/>
        <v>{"valorA":"e","valorB":10.0}</v>
      </c>
      <c r="E267" s="8" t="str">
        <f t="shared" si="2"/>
        <v>e</v>
      </c>
      <c r="F267" s="8"/>
      <c r="G267" s="6" t="str">
        <f t="shared" si="3"/>
        <v>10.0</v>
      </c>
      <c r="H267" s="9">
        <f t="shared" si="4"/>
        <v>10</v>
      </c>
      <c r="I267" s="10">
        <f>IFERROR(__xludf.DUMMYFUNCTION("MAX(FILTER($H$2:$H1322,$E$2:$E1322=F267))"),0.0)</f>
        <v>0</v>
      </c>
    </row>
    <row r="268">
      <c r="A268" s="4"/>
      <c r="C268" s="4" t="s">
        <v>441</v>
      </c>
      <c r="D268" s="8" t="str">
        <f t="shared" si="1"/>
        <v>{"valorA":"de","valorB":11.0}</v>
      </c>
      <c r="E268" s="8" t="str">
        <f t="shared" si="2"/>
        <v>de</v>
      </c>
      <c r="F268" s="8"/>
      <c r="G268" s="6" t="str">
        <f t="shared" si="3"/>
        <v>11.0</v>
      </c>
      <c r="H268" s="9">
        <f t="shared" si="4"/>
        <v>11</v>
      </c>
      <c r="I268" s="10">
        <f>IFERROR(__xludf.DUMMYFUNCTION("MAX(FILTER($H$2:$H1322,$E$2:$E1322=F268))"),0.0)</f>
        <v>0</v>
      </c>
    </row>
    <row r="269">
      <c r="A269" s="4"/>
      <c r="C269" s="4" t="s">
        <v>442</v>
      </c>
      <c r="D269" s="8" t="str">
        <f t="shared" si="1"/>
        <v>{"valorA":"incríveis","valorB":1.0}</v>
      </c>
      <c r="E269" s="8" t="str">
        <f t="shared" si="2"/>
        <v>incríveis</v>
      </c>
      <c r="F269" s="8"/>
      <c r="G269" s="6" t="str">
        <f t="shared" si="3"/>
        <v>1.0</v>
      </c>
      <c r="H269" s="9">
        <f t="shared" si="4"/>
        <v>1</v>
      </c>
      <c r="I269" s="10">
        <f>IFERROR(__xludf.DUMMYFUNCTION("MAX(FILTER($H$2:$H1322,$E$2:$E1322=F269))"),0.0)</f>
        <v>0</v>
      </c>
    </row>
    <row r="270">
      <c r="A270" s="4"/>
      <c r="C270" s="4" t="s">
        <v>443</v>
      </c>
      <c r="D270" s="8" t="str">
        <f t="shared" si="1"/>
        <v>{"valorA":"produto","valorB":28.0}</v>
      </c>
      <c r="E270" s="8" t="str">
        <f t="shared" si="2"/>
        <v>produto</v>
      </c>
      <c r="F270" s="8"/>
      <c r="G270" s="6" t="str">
        <f t="shared" si="3"/>
        <v>28.0</v>
      </c>
      <c r="H270" s="9">
        <f t="shared" si="4"/>
        <v>28</v>
      </c>
      <c r="I270" s="10">
        <f>IFERROR(__xludf.DUMMYFUNCTION("MAX(FILTER($H$2:$H1322,$E$2:$E1322=F270))"),0.0)</f>
        <v>0</v>
      </c>
    </row>
    <row r="271">
      <c r="A271" s="4"/>
      <c r="C271" s="4" t="s">
        <v>444</v>
      </c>
      <c r="D271" s="8" t="str">
        <f t="shared" si="1"/>
        <v>{"valorA":"ótimo","valorB":41.0}</v>
      </c>
      <c r="E271" s="8" t="str">
        <f t="shared" si="2"/>
        <v>ótimo</v>
      </c>
      <c r="F271" s="8"/>
      <c r="G271" s="6" t="str">
        <f t="shared" si="3"/>
        <v>41.0</v>
      </c>
      <c r="H271" s="9">
        <f t="shared" si="4"/>
        <v>41</v>
      </c>
      <c r="I271" s="10">
        <f>IFERROR(__xludf.DUMMYFUNCTION("MAX(FILTER($H$2:$H1322,$E$2:$E1322=F271))"),0.0)</f>
        <v>0</v>
      </c>
    </row>
    <row r="272">
      <c r="A272" s="4"/>
      <c r="C272" s="4" t="s">
        <v>445</v>
      </c>
      <c r="D272" s="8" t="str">
        <f t="shared" si="1"/>
        <v>{"valorA":"fácil","valorB":4.0}</v>
      </c>
      <c r="E272" s="8" t="str">
        <f t="shared" si="2"/>
        <v>fácil</v>
      </c>
      <c r="F272" s="8"/>
      <c r="G272" s="6" t="str">
        <f t="shared" si="3"/>
        <v>4.0</v>
      </c>
      <c r="H272" s="9">
        <f t="shared" si="4"/>
        <v>4</v>
      </c>
      <c r="I272" s="10">
        <f>IFERROR(__xludf.DUMMYFUNCTION("MAX(FILTER($H$2:$H1322,$E$2:$E1322=F272))"),0.0)</f>
        <v>0</v>
      </c>
    </row>
    <row r="273">
      <c r="A273" s="4"/>
      <c r="C273" s="4" t="s">
        <v>446</v>
      </c>
      <c r="D273" s="8" t="str">
        <f t="shared" si="1"/>
        <v>{"valorA":"câmera","valorB":1.0}</v>
      </c>
      <c r="E273" s="8" t="str">
        <f t="shared" si="2"/>
        <v>câmera</v>
      </c>
      <c r="F273" s="8"/>
      <c r="G273" s="6" t="str">
        <f t="shared" si="3"/>
        <v>1.0</v>
      </c>
      <c r="H273" s="9">
        <f t="shared" si="4"/>
        <v>1</v>
      </c>
      <c r="I273" s="10">
        <f>IFERROR(__xludf.DUMMYFUNCTION("MAX(FILTER($H$2:$H1322,$E$2:$E1322=F273))"),0.0)</f>
        <v>0</v>
      </c>
    </row>
    <row r="274">
      <c r="A274" s="4"/>
      <c r="C274" s="4" t="s">
        <v>447</v>
      </c>
      <c r="D274" s="8" t="str">
        <f t="shared" si="1"/>
        <v>{"valorA":"essa","valorB":2.0}</v>
      </c>
      <c r="E274" s="8" t="str">
        <f t="shared" si="2"/>
        <v>essa</v>
      </c>
      <c r="F274" s="8"/>
      <c r="G274" s="6" t="str">
        <f t="shared" si="3"/>
        <v>2.0</v>
      </c>
      <c r="H274" s="9">
        <f t="shared" si="4"/>
        <v>2</v>
      </c>
      <c r="I274" s="10">
        <f>IFERROR(__xludf.DUMMYFUNCTION("MAX(FILTER($H$2:$H1322,$E$2:$E1322=F274))"),0.0)</f>
        <v>0</v>
      </c>
    </row>
    <row r="275">
      <c r="A275" s="4"/>
      <c r="C275" s="4" t="s">
        <v>448</v>
      </c>
      <c r="D275" s="8" t="str">
        <f t="shared" si="1"/>
        <v>{"valorA":"perfeitamente","valorB":6.0}</v>
      </c>
      <c r="E275" s="8" t="str">
        <f t="shared" si="2"/>
        <v>perfeitamente</v>
      </c>
      <c r="F275" s="8"/>
      <c r="G275" s="6" t="str">
        <f t="shared" si="3"/>
        <v>6.0</v>
      </c>
      <c r="H275" s="9">
        <f t="shared" si="4"/>
        <v>6</v>
      </c>
      <c r="I275" s="10">
        <f>IFERROR(__xludf.DUMMYFUNCTION("MAX(FILTER($H$2:$H1322,$E$2:$E1322=F275))"),0.0)</f>
        <v>0</v>
      </c>
    </row>
    <row r="276">
      <c r="A276" s="4"/>
      <c r="C276" s="4" t="s">
        <v>449</v>
      </c>
      <c r="D276" s="8" t="str">
        <f t="shared" si="1"/>
        <v>{"valorA":"muito","valorB":16.0}</v>
      </c>
      <c r="E276" s="8" t="str">
        <f t="shared" si="2"/>
        <v>muito</v>
      </c>
      <c r="F276" s="8"/>
      <c r="G276" s="6" t="str">
        <f t="shared" si="3"/>
        <v>16.0</v>
      </c>
      <c r="H276" s="9">
        <f t="shared" si="4"/>
        <v>16</v>
      </c>
      <c r="I276" s="10">
        <f>IFERROR(__xludf.DUMMYFUNCTION("MAX(FILTER($H$2:$H1322,$E$2:$E1322=F276))"),0.0)</f>
        <v>0</v>
      </c>
    </row>
    <row r="277">
      <c r="A277" s="4"/>
      <c r="C277" s="4" t="s">
        <v>450</v>
      </c>
      <c r="D277" s="8" t="str">
        <f t="shared" si="1"/>
        <v>{"valorA":"satisfeito","valorB":3.0}</v>
      </c>
      <c r="E277" s="8" t="str">
        <f t="shared" si="2"/>
        <v>satisfeito</v>
      </c>
      <c r="F277" s="8"/>
      <c r="G277" s="6" t="str">
        <f t="shared" si="3"/>
        <v>3.0</v>
      </c>
      <c r="H277" s="9">
        <f t="shared" si="4"/>
        <v>3</v>
      </c>
      <c r="I277" s="10">
        <f>IFERROR(__xludf.DUMMYFUNCTION("MAX(FILTER($H$2:$H1322,$E$2:$E1322=F277))"),0.0)</f>
        <v>0</v>
      </c>
    </row>
    <row r="278">
      <c r="A278" s="4"/>
      <c r="C278" s="4" t="s">
        <v>451</v>
      </c>
      <c r="D278" s="8" t="str">
        <f t="shared" si="1"/>
        <v>{"valorA":"compra","valorB":3.0}</v>
      </c>
      <c r="E278" s="8" t="str">
        <f t="shared" si="2"/>
        <v>compra</v>
      </c>
      <c r="F278" s="8"/>
      <c r="G278" s="6" t="str">
        <f t="shared" si="3"/>
        <v>3.0</v>
      </c>
      <c r="H278" s="9">
        <f t="shared" si="4"/>
        <v>3</v>
      </c>
      <c r="I278" s="10">
        <f>IFERROR(__xludf.DUMMYFUNCTION("MAX(FILTER($H$2:$H1322,$E$2:$E1322=F278))"),0.0)</f>
        <v>0</v>
      </c>
    </row>
    <row r="279">
      <c r="A279" s="4"/>
      <c r="C279" s="4" t="s">
        <v>452</v>
      </c>
      <c r="D279" s="8" t="str">
        <f t="shared" si="1"/>
        <v>{"valorA":"a","valorB":5.0}</v>
      </c>
      <c r="E279" s="8" t="str">
        <f t="shared" si="2"/>
        <v>a</v>
      </c>
      <c r="F279" s="8"/>
      <c r="G279" s="6" t="str">
        <f t="shared" si="3"/>
        <v>5.0</v>
      </c>
      <c r="H279" s="9">
        <f t="shared" si="4"/>
        <v>5</v>
      </c>
      <c r="I279" s="10">
        <f>IFERROR(__xludf.DUMMYFUNCTION("MAX(FILTER($H$2:$H1322,$E$2:$E1322=F279))"),0.0)</f>
        <v>0</v>
      </c>
    </row>
    <row r="280">
      <c r="A280" s="4"/>
      <c r="C280" s="4" t="s">
        <v>453</v>
      </c>
      <c r="D280" s="8" t="str">
        <f t="shared" si="1"/>
        <v>{"valorA":"funciona","valorB":11.0}</v>
      </c>
      <c r="E280" s="8" t="str">
        <f t="shared" si="2"/>
        <v>funciona</v>
      </c>
      <c r="F280" s="8"/>
      <c r="G280" s="6" t="str">
        <f t="shared" si="3"/>
        <v>11.0</v>
      </c>
      <c r="H280" s="9">
        <f t="shared" si="4"/>
        <v>11</v>
      </c>
      <c r="I280" s="10">
        <f>IFERROR(__xludf.DUMMYFUNCTION("MAX(FILTER($H$2:$H1322,$E$2:$E1322=F280))"),0.0)</f>
        <v>0</v>
      </c>
    </row>
    <row r="281">
      <c r="A281" s="4"/>
      <c r="C281" s="4" t="s">
        <v>454</v>
      </c>
      <c r="D281" s="8" t="str">
        <f t="shared" si="1"/>
        <v>{"valorA":"é","valorB":13.0}</v>
      </c>
      <c r="E281" s="8" t="str">
        <f t="shared" si="2"/>
        <v>é</v>
      </c>
      <c r="F281" s="8"/>
      <c r="G281" s="6" t="str">
        <f t="shared" si="3"/>
        <v>13.0</v>
      </c>
      <c r="H281" s="9">
        <f t="shared" si="4"/>
        <v>13</v>
      </c>
      <c r="I281" s="10">
        <f>IFERROR(__xludf.DUMMYFUNCTION("MAX(FILTER($H$2:$H1322,$E$2:$E1322=F281))"),0.0)</f>
        <v>0</v>
      </c>
    </row>
    <row r="282">
      <c r="A282" s="4"/>
      <c r="C282" s="4" t="s">
        <v>455</v>
      </c>
      <c r="D282" s="8" t="str">
        <f t="shared" si="1"/>
        <v>{"valorA":"em","valorB":1.0}</v>
      </c>
      <c r="E282" s="8" t="str">
        <f t="shared" si="2"/>
        <v>em</v>
      </c>
      <c r="F282" s="8"/>
      <c r="G282" s="6" t="str">
        <f t="shared" si="3"/>
        <v>1.0</v>
      </c>
      <c r="H282" s="9">
        <f t="shared" si="4"/>
        <v>1</v>
      </c>
      <c r="I282" s="10">
        <f>IFERROR(__xludf.DUMMYFUNCTION("MAX(FILTER($H$2:$H1322,$E$2:$E1322=F282))"),0.0)</f>
        <v>0</v>
      </c>
    </row>
    <row r="283">
      <c r="A283" s="4"/>
      <c r="C283" s="4" t="s">
        <v>456</v>
      </c>
      <c r="D283" s="8" t="str">
        <f t="shared" si="1"/>
        <v>{"valorA":"bastante","valorB":1.0}</v>
      </c>
      <c r="E283" s="8" t="str">
        <f t="shared" si="2"/>
        <v>bastante</v>
      </c>
      <c r="F283" s="8"/>
      <c r="G283" s="6" t="str">
        <f t="shared" si="3"/>
        <v>1.0</v>
      </c>
      <c r="H283" s="9">
        <f t="shared" si="4"/>
        <v>1</v>
      </c>
      <c r="I283" s="10">
        <f>IFERROR(__xludf.DUMMYFUNCTION("MAX(FILTER($H$2:$H1322,$E$2:$E1322=F283))"),0.0)</f>
        <v>0</v>
      </c>
    </row>
    <row r="284">
      <c r="A284" s="4"/>
      <c r="C284" s="4" t="s">
        <v>457</v>
      </c>
      <c r="D284" s="8" t="str">
        <f t="shared" si="1"/>
        <v>{"valorA":"incrível","valorB":4.0}</v>
      </c>
      <c r="E284" s="8" t="str">
        <f t="shared" si="2"/>
        <v>incrível</v>
      </c>
      <c r="F284" s="8"/>
      <c r="G284" s="6" t="str">
        <f t="shared" si="3"/>
        <v>4.0</v>
      </c>
      <c r="H284" s="9">
        <f t="shared" si="4"/>
        <v>4</v>
      </c>
      <c r="I284" s="10">
        <f>IFERROR(__xludf.DUMMYFUNCTION("MAX(FILTER($H$2:$H1322,$E$2:$E1322=F284))"),0.0)</f>
        <v>0</v>
      </c>
    </row>
    <row r="285">
      <c r="A285" s="4"/>
      <c r="C285" s="4" t="s">
        <v>458</v>
      </c>
      <c r="D285" s="8" t="str">
        <f t="shared" si="1"/>
        <v>{"valorA":"forma","valorB":1.0}</v>
      </c>
      <c r="E285" s="8" t="str">
        <f t="shared" si="2"/>
        <v>forma</v>
      </c>
      <c r="F285" s="8"/>
      <c r="G285" s="6" t="str">
        <f t="shared" si="3"/>
        <v>1.0</v>
      </c>
      <c r="H285" s="9">
        <f t="shared" si="4"/>
        <v>1</v>
      </c>
      <c r="I285" s="10">
        <f>IFERROR(__xludf.DUMMYFUNCTION("MAX(FILTER($H$2:$H1322,$E$2:$E1322=F285))"),0.0)</f>
        <v>0</v>
      </c>
    </row>
    <row r="286">
      <c r="A286" s="4"/>
      <c r="C286" s="4" t="s">
        <v>459</v>
      </c>
      <c r="D286" s="8" t="str">
        <f t="shared" si="1"/>
        <v>{"valorA":"gosto","valorB":3.0}</v>
      </c>
      <c r="E286" s="8" t="str">
        <f t="shared" si="2"/>
        <v>gosto</v>
      </c>
      <c r="F286" s="8"/>
      <c r="G286" s="6" t="str">
        <f t="shared" si="3"/>
        <v>3.0</v>
      </c>
      <c r="H286" s="9">
        <f t="shared" si="4"/>
        <v>3</v>
      </c>
      <c r="I286" s="10">
        <f>IFERROR(__xludf.DUMMYFUNCTION("MAX(FILTER($H$2:$H1322,$E$2:$E1322=F286))"),0.0)</f>
        <v>0</v>
      </c>
    </row>
    <row r="287">
      <c r="A287" s="4"/>
      <c r="C287" s="4" t="s">
        <v>460</v>
      </c>
      <c r="D287" s="8" t="str">
        <f t="shared" si="1"/>
        <v>{"valorA":"veio","valorB":2.0}</v>
      </c>
      <c r="E287" s="8" t="str">
        <f t="shared" si="2"/>
        <v>veio</v>
      </c>
      <c r="F287" s="8"/>
      <c r="G287" s="6" t="str">
        <f t="shared" si="3"/>
        <v>2.0</v>
      </c>
      <c r="H287" s="9">
        <f t="shared" si="4"/>
        <v>2</v>
      </c>
      <c r="I287" s="10">
        <f>IFERROR(__xludf.DUMMYFUNCTION("MAX(FILTER($H$2:$H1322,$E$2:$E1322=F287))"),0.0)</f>
        <v>0</v>
      </c>
    </row>
    <row r="288">
      <c r="A288" s="4"/>
      <c r="C288" s="4" t="s">
        <v>461</v>
      </c>
      <c r="D288" s="8" t="str">
        <f t="shared" si="1"/>
        <v>{"valorA":"produto","valorB":30.0}</v>
      </c>
      <c r="E288" s="8" t="str">
        <f t="shared" si="2"/>
        <v>produto</v>
      </c>
      <c r="F288" s="8"/>
      <c r="G288" s="6" t="str">
        <f t="shared" si="3"/>
        <v>30.0</v>
      </c>
      <c r="H288" s="9">
        <f t="shared" si="4"/>
        <v>30</v>
      </c>
      <c r="I288" s="10">
        <f>IFERROR(__xludf.DUMMYFUNCTION("MAX(FILTER($H$2:$H1322,$E$2:$E1322=F288))"),0.0)</f>
        <v>0</v>
      </c>
    </row>
    <row r="289">
      <c r="A289" s="4"/>
      <c r="C289" s="4" t="s">
        <v>462</v>
      </c>
      <c r="D289" s="8" t="str">
        <f t="shared" si="1"/>
        <v>{"valorA":"do","valorB":3.0}</v>
      </c>
      <c r="E289" s="8" t="str">
        <f t="shared" si="2"/>
        <v>do</v>
      </c>
      <c r="F289" s="8"/>
      <c r="G289" s="6" t="str">
        <f t="shared" si="3"/>
        <v>3.0</v>
      </c>
      <c r="H289" s="9">
        <f t="shared" si="4"/>
        <v>3</v>
      </c>
      <c r="I289" s="10">
        <f>IFERROR(__xludf.DUMMYFUNCTION("MAX(FILTER($H$2:$H1322,$E$2:$E1322=F289))"),0.0)</f>
        <v>0</v>
      </c>
    </row>
    <row r="290">
      <c r="A290" s="4"/>
      <c r="C290" s="4" t="s">
        <v>463</v>
      </c>
      <c r="D290" s="8" t="str">
        <f t="shared" si="1"/>
        <v>{"valorA":"reciclada","valorB":1.0}</v>
      </c>
      <c r="E290" s="8" t="str">
        <f t="shared" si="2"/>
        <v>reciclada</v>
      </c>
      <c r="F290" s="8"/>
      <c r="G290" s="6" t="str">
        <f t="shared" si="3"/>
        <v>1.0</v>
      </c>
      <c r="H290" s="9">
        <f t="shared" si="4"/>
        <v>1</v>
      </c>
      <c r="I290" s="10">
        <f>IFERROR(__xludf.DUMMYFUNCTION("MAX(FILTER($H$2:$H1322,$E$2:$E1322=F290))"),0.0)</f>
        <v>0</v>
      </c>
    </row>
    <row r="291">
      <c r="A291" s="4"/>
      <c r="C291" s="4" t="s">
        <v>464</v>
      </c>
      <c r="D291" s="8" t="str">
        <f t="shared" si="1"/>
        <v>{"valorA":"ótimo","valorB":44.0}</v>
      </c>
      <c r="E291" s="8" t="str">
        <f t="shared" si="2"/>
        <v>ótimo</v>
      </c>
      <c r="F291" s="8"/>
      <c r="G291" s="6" t="str">
        <f t="shared" si="3"/>
        <v>44.0</v>
      </c>
      <c r="H291" s="9">
        <f t="shared" si="4"/>
        <v>44</v>
      </c>
      <c r="I291" s="10">
        <f>IFERROR(__xludf.DUMMYFUNCTION("MAX(FILTER($H$2:$H1322,$E$2:$E1322=F291))"),0.0)</f>
        <v>0</v>
      </c>
    </row>
    <row r="292">
      <c r="A292" s="4"/>
      <c r="C292" s="4" t="s">
        <v>465</v>
      </c>
      <c r="D292" s="8" t="str">
        <f t="shared" si="1"/>
        <v>{"valorA":"realmente","valorB":4.0}</v>
      </c>
      <c r="E292" s="8" t="str">
        <f t="shared" si="2"/>
        <v>realmente</v>
      </c>
      <c r="F292" s="8"/>
      <c r="G292" s="6" t="str">
        <f t="shared" si="3"/>
        <v>4.0</v>
      </c>
      <c r="H292" s="9">
        <f t="shared" si="4"/>
        <v>4</v>
      </c>
      <c r="I292" s="10">
        <f>IFERROR(__xludf.DUMMYFUNCTION("MAX(FILTER($H$2:$H1322,$E$2:$E1322=F292))"),0.0)</f>
        <v>0</v>
      </c>
    </row>
    <row r="293">
      <c r="A293" s="4"/>
      <c r="C293" s="4" t="s">
        <v>466</v>
      </c>
      <c r="D293" s="8" t="str">
        <f t="shared" si="1"/>
        <v>{"valorA":"relojoeira","valorB":3.0}</v>
      </c>
      <c r="E293" s="8" t="str">
        <f t="shared" si="2"/>
        <v>relojoeira</v>
      </c>
      <c r="F293" s="8"/>
      <c r="G293" s="6" t="str">
        <f t="shared" si="3"/>
        <v>3.0</v>
      </c>
      <c r="H293" s="9">
        <f t="shared" si="4"/>
        <v>3</v>
      </c>
      <c r="I293" s="10">
        <f>IFERROR(__xludf.DUMMYFUNCTION("MAX(FILTER($H$2:$H1322,$E$2:$E1322=F293))"),0.0)</f>
        <v>0</v>
      </c>
    </row>
    <row r="294">
      <c r="A294" s="4"/>
      <c r="C294" s="4" t="s">
        <v>467</v>
      </c>
      <c r="D294" s="8" t="str">
        <f t="shared" si="1"/>
        <v>{"valorA":"design","valorB":2.0}</v>
      </c>
      <c r="E294" s="8" t="str">
        <f t="shared" si="2"/>
        <v>design</v>
      </c>
      <c r="F294" s="8"/>
      <c r="G294" s="6" t="str">
        <f t="shared" si="3"/>
        <v>2.0</v>
      </c>
      <c r="H294" s="9">
        <f t="shared" si="4"/>
        <v>2</v>
      </c>
      <c r="I294" s="10">
        <f>IFERROR(__xludf.DUMMYFUNCTION("MAX(FILTER($H$2:$H1322,$E$2:$E1322=F294))"),0.0)</f>
        <v>0</v>
      </c>
    </row>
    <row r="295">
      <c r="A295" s="4"/>
      <c r="C295" s="4" t="s">
        <v>468</v>
      </c>
      <c r="D295" s="8" t="str">
        <f t="shared" si="1"/>
        <v>{"valorA":"é","valorB":14.0}</v>
      </c>
      <c r="E295" s="8" t="str">
        <f t="shared" si="2"/>
        <v>é</v>
      </c>
      <c r="F295" s="8"/>
      <c r="G295" s="6" t="str">
        <f t="shared" si="3"/>
        <v>14.0</v>
      </c>
      <c r="H295" s="9">
        <f t="shared" si="4"/>
        <v>14</v>
      </c>
      <c r="I295" s="10">
        <f>IFERROR(__xludf.DUMMYFUNCTION("MAX(FILTER($H$2:$H1322,$E$2:$E1322=F295))"),0.0)</f>
        <v>0</v>
      </c>
    </row>
    <row r="296">
      <c r="A296" s="4"/>
      <c r="C296" s="4" t="s">
        <v>469</v>
      </c>
      <c r="D296" s="8" t="str">
        <f t="shared" si="1"/>
        <v>{"valorA":"para","valorB":7.0}</v>
      </c>
      <c r="E296" s="8" t="str">
        <f t="shared" si="2"/>
        <v>para</v>
      </c>
      <c r="F296" s="8"/>
      <c r="G296" s="6" t="str">
        <f t="shared" si="3"/>
        <v>7.0</v>
      </c>
      <c r="H296" s="9">
        <f t="shared" si="4"/>
        <v>7</v>
      </c>
      <c r="I296" s="10">
        <f>IFERROR(__xludf.DUMMYFUNCTION("MAX(FILTER($H$2:$H1322,$E$2:$E1322=F296))"),0.0)</f>
        <v>0</v>
      </c>
    </row>
    <row r="297">
      <c r="A297" s="4"/>
      <c r="C297" s="4" t="s">
        <v>470</v>
      </c>
      <c r="D297" s="8" t="str">
        <f t="shared" si="1"/>
        <v>{"valorA":"comprei","valorB":2.0}</v>
      </c>
      <c r="E297" s="8" t="str">
        <f t="shared" si="2"/>
        <v>comprei</v>
      </c>
      <c r="F297" s="8"/>
      <c r="G297" s="6" t="str">
        <f t="shared" si="3"/>
        <v>2.0</v>
      </c>
      <c r="H297" s="9">
        <f t="shared" si="4"/>
        <v>2</v>
      </c>
      <c r="I297" s="10">
        <f>IFERROR(__xludf.DUMMYFUNCTION("MAX(FILTER($H$2:$H1322,$E$2:$E1322=F297))"),0.0)</f>
        <v>0</v>
      </c>
    </row>
    <row r="298">
      <c r="A298" s="4"/>
      <c r="C298" s="4" t="s">
        <v>471</v>
      </c>
      <c r="D298" s="8" t="str">
        <f t="shared" si="1"/>
        <v>{"valorA":"barato","valorB":3.0}</v>
      </c>
      <c r="E298" s="8" t="str">
        <f t="shared" si="2"/>
        <v>barato</v>
      </c>
      <c r="F298" s="8"/>
      <c r="G298" s="6" t="str">
        <f t="shared" si="3"/>
        <v>3.0</v>
      </c>
      <c r="H298" s="9">
        <f t="shared" si="4"/>
        <v>3</v>
      </c>
      <c r="I298" s="10">
        <f>IFERROR(__xludf.DUMMYFUNCTION("MAX(FILTER($H$2:$H1322,$E$2:$E1322=F298))"),0.0)</f>
        <v>0</v>
      </c>
    </row>
    <row r="299">
      <c r="A299" s="4"/>
      <c r="C299" s="4" t="s">
        <v>472</v>
      </c>
      <c r="D299" s="8" t="str">
        <f t="shared" si="1"/>
        <v>{"valorA":"recentemente","valorB":1.0}</v>
      </c>
      <c r="E299" s="8" t="str">
        <f t="shared" si="2"/>
        <v>recentemente</v>
      </c>
      <c r="F299" s="8"/>
      <c r="G299" s="6" t="str">
        <f t="shared" si="3"/>
        <v>1.0</v>
      </c>
      <c r="H299" s="9">
        <f t="shared" si="4"/>
        <v>1</v>
      </c>
      <c r="I299" s="10">
        <f>IFERROR(__xludf.DUMMYFUNCTION("MAX(FILTER($H$2:$H1322,$E$2:$E1322=F299))"),0.0)</f>
        <v>0</v>
      </c>
    </row>
    <row r="300">
      <c r="A300" s="4"/>
      <c r="C300" s="4" t="s">
        <v>473</v>
      </c>
      <c r="D300" s="8" t="str">
        <f t="shared" si="1"/>
        <v>{"valorA":"pena","valorB":2.0}</v>
      </c>
      <c r="E300" s="8" t="str">
        <f t="shared" si="2"/>
        <v>pena</v>
      </c>
      <c r="F300" s="8"/>
      <c r="G300" s="6" t="str">
        <f t="shared" si="3"/>
        <v>2.0</v>
      </c>
      <c r="H300" s="9">
        <f t="shared" si="4"/>
        <v>2</v>
      </c>
      <c r="I300" s="10">
        <f>IFERROR(__xludf.DUMMYFUNCTION("MAX(FILTER($H$2:$H1322,$E$2:$E1322=F300))"),0.0)</f>
        <v>0</v>
      </c>
    </row>
    <row r="301">
      <c r="A301" s="4"/>
      <c r="C301" s="4" t="s">
        <v>474</v>
      </c>
      <c r="D301" s="8" t="str">
        <f t="shared" si="1"/>
        <v>{"valorA":"bem","valorB":12.0}</v>
      </c>
      <c r="E301" s="8" t="str">
        <f t="shared" si="2"/>
        <v>bem</v>
      </c>
      <c r="F301" s="8"/>
      <c r="G301" s="6" t="str">
        <f t="shared" si="3"/>
        <v>12.0</v>
      </c>
      <c r="H301" s="9">
        <f t="shared" si="4"/>
        <v>12</v>
      </c>
      <c r="I301" s="10">
        <f>IFERROR(__xludf.DUMMYFUNCTION("MAX(FILTER($H$2:$H1322,$E$2:$E1322=F301))"),0.0)</f>
        <v>0</v>
      </c>
    </row>
    <row r="302">
      <c r="A302" s="4"/>
      <c r="C302" s="4" t="s">
        <v>475</v>
      </c>
      <c r="D302" s="8" t="str">
        <f t="shared" si="1"/>
        <v>{"valorA":"outro","valorB":2.0}</v>
      </c>
      <c r="E302" s="8" t="str">
        <f t="shared" si="2"/>
        <v>outro</v>
      </c>
      <c r="F302" s="8"/>
      <c r="G302" s="6" t="str">
        <f t="shared" si="3"/>
        <v>2.0</v>
      </c>
      <c r="H302" s="9">
        <f t="shared" si="4"/>
        <v>2</v>
      </c>
      <c r="I302" s="10">
        <f>IFERROR(__xludf.DUMMYFUNCTION("MAX(FILTER($H$2:$H1322,$E$2:$E1322=F302))"),0.0)</f>
        <v>0</v>
      </c>
    </row>
    <row r="303">
      <c r="A303" s="4"/>
      <c r="C303" s="4" t="s">
        <v>476</v>
      </c>
      <c r="D303" s="8" t="str">
        <f t="shared" si="1"/>
        <v>{"valorA":"o","valorB":8.0}</v>
      </c>
      <c r="E303" s="8" t="str">
        <f t="shared" si="2"/>
        <v>o</v>
      </c>
      <c r="F303" s="8"/>
      <c r="G303" s="6" t="str">
        <f t="shared" si="3"/>
        <v>8.0</v>
      </c>
      <c r="H303" s="9">
        <f t="shared" si="4"/>
        <v>8</v>
      </c>
      <c r="I303" s="10">
        <f>IFERROR(__xludf.DUMMYFUNCTION("MAX(FILTER($H$2:$H1322,$E$2:$E1322=F303))"),0.0)</f>
        <v>0</v>
      </c>
    </row>
    <row r="304">
      <c r="A304" s="4"/>
      <c r="C304" s="4" t="s">
        <v>477</v>
      </c>
      <c r="D304" s="8" t="str">
        <f t="shared" si="1"/>
        <v>{"valorA":"e","valorB":11.0}</v>
      </c>
      <c r="E304" s="8" t="str">
        <f t="shared" si="2"/>
        <v>e</v>
      </c>
      <c r="F304" s="8"/>
      <c r="G304" s="6" t="str">
        <f t="shared" si="3"/>
        <v>11.0</v>
      </c>
      <c r="H304" s="9">
        <f t="shared" si="4"/>
        <v>11</v>
      </c>
      <c r="I304" s="10">
        <f>IFERROR(__xludf.DUMMYFUNCTION("MAX(FILTER($H$2:$H1322,$E$2:$E1322=F304))"),0.0)</f>
        <v>0</v>
      </c>
    </row>
    <row r="305">
      <c r="A305" s="4"/>
      <c r="C305" s="4" t="s">
        <v>478</v>
      </c>
      <c r="D305" s="8" t="str">
        <f t="shared" si="1"/>
        <v>{"valorA":"dinheiro","valorB":1.0}</v>
      </c>
      <c r="E305" s="8" t="str">
        <f t="shared" si="2"/>
        <v>dinheiro</v>
      </c>
      <c r="F305" s="8"/>
      <c r="G305" s="6" t="str">
        <f t="shared" si="3"/>
        <v>1.0</v>
      </c>
      <c r="H305" s="9">
        <f t="shared" si="4"/>
        <v>1</v>
      </c>
      <c r="I305" s="10">
        <f>IFERROR(__xludf.DUMMYFUNCTION("MAX(FILTER($H$2:$H1322,$E$2:$E1322=F305))"),0.0)</f>
        <v>0</v>
      </c>
    </row>
    <row r="306">
      <c r="A306" s="4"/>
      <c r="C306" s="4" t="s">
        <v>479</v>
      </c>
      <c r="D306" s="8" t="str">
        <f t="shared" si="1"/>
        <v>{"valorA":"caros","valorB":1.0}</v>
      </c>
      <c r="E306" s="8" t="str">
        <f t="shared" si="2"/>
        <v>caros</v>
      </c>
      <c r="F306" s="8"/>
      <c r="G306" s="6" t="str">
        <f t="shared" si="3"/>
        <v>1.0</v>
      </c>
      <c r="H306" s="9">
        <f t="shared" si="4"/>
        <v>1</v>
      </c>
      <c r="I306" s="10">
        <f>IFERROR(__xludf.DUMMYFUNCTION("MAX(FILTER($H$2:$H1322,$E$2:$E1322=F306))"),0.0)</f>
        <v>0</v>
      </c>
    </row>
    <row r="307">
      <c r="A307" s="4"/>
      <c r="C307" s="4" t="s">
        <v>480</v>
      </c>
      <c r="D307" s="8" t="str">
        <f t="shared" si="1"/>
        <v>{"valorA":"vale","valorB":2.0}</v>
      </c>
      <c r="E307" s="8" t="str">
        <f t="shared" si="2"/>
        <v>vale</v>
      </c>
      <c r="F307" s="8"/>
      <c r="G307" s="6" t="str">
        <f t="shared" si="3"/>
        <v>2.0</v>
      </c>
      <c r="H307" s="9">
        <f t="shared" si="4"/>
        <v>2</v>
      </c>
      <c r="I307" s="10">
        <f>IFERROR(__xludf.DUMMYFUNCTION("MAX(FILTER($H$2:$H1322,$E$2:$E1322=F307))"),0.0)</f>
        <v>0</v>
      </c>
    </row>
    <row r="308">
      <c r="A308" s="4"/>
      <c r="C308" s="4" t="s">
        <v>481</v>
      </c>
      <c r="D308" s="8" t="str">
        <f t="shared" si="1"/>
        <v>{"valorA":"que","valorB":4.0}</v>
      </c>
      <c r="E308" s="8" t="str">
        <f t="shared" si="2"/>
        <v>que</v>
      </c>
      <c r="F308" s="8"/>
      <c r="G308" s="6" t="str">
        <f t="shared" si="3"/>
        <v>4.0</v>
      </c>
      <c r="H308" s="9">
        <f t="shared" si="4"/>
        <v>4</v>
      </c>
      <c r="I308" s="10">
        <f>IFERROR(__xludf.DUMMYFUNCTION("MAX(FILTER($H$2:$H1322,$E$2:$E1322=F308))"),0.0)</f>
        <v>0</v>
      </c>
    </row>
    <row r="309">
      <c r="A309" s="4"/>
      <c r="C309" s="4" t="s">
        <v>482</v>
      </c>
      <c r="D309" s="8" t="str">
        <f t="shared" si="1"/>
        <v>{"valorA":"produto","valorB":33.0}</v>
      </c>
      <c r="E309" s="8" t="str">
        <f t="shared" si="2"/>
        <v>produto</v>
      </c>
      <c r="F309" s="8"/>
      <c r="G309" s="6" t="str">
        <f t="shared" si="3"/>
        <v>33.0</v>
      </c>
      <c r="H309" s="9">
        <f t="shared" si="4"/>
        <v>33</v>
      </c>
      <c r="I309" s="10">
        <f>IFERROR(__xludf.DUMMYFUNCTION("MAX(FILTER($H$2:$H1322,$E$2:$E1322=F309))"),0.0)</f>
        <v>0</v>
      </c>
    </row>
    <row r="310">
      <c r="A310" s="4"/>
      <c r="C310" s="4" t="s">
        <v>483</v>
      </c>
      <c r="D310" s="8" t="str">
        <f t="shared" si="1"/>
        <v>{"valorA":"do","valorB":4.0}</v>
      </c>
      <c r="E310" s="8" t="str">
        <f t="shared" si="2"/>
        <v>do</v>
      </c>
      <c r="F310" s="8"/>
      <c r="G310" s="6" t="str">
        <f t="shared" si="3"/>
        <v>4.0</v>
      </c>
      <c r="H310" s="9">
        <f t="shared" si="4"/>
        <v>4</v>
      </c>
      <c r="I310" s="10">
        <f>IFERROR(__xludf.DUMMYFUNCTION("MAX(FILTER($H$2:$H1322,$E$2:$E1322=F310))"),0.0)</f>
        <v>0</v>
      </c>
    </row>
    <row r="311">
      <c r="A311" s="4"/>
      <c r="C311" s="4" t="s">
        <v>484</v>
      </c>
      <c r="D311" s="8" t="str">
        <f t="shared" si="1"/>
        <v>{"valorA":"ótimo","valorB":47.0}</v>
      </c>
      <c r="E311" s="8" t="str">
        <f t="shared" si="2"/>
        <v>ótimo</v>
      </c>
      <c r="F311" s="8"/>
      <c r="G311" s="6" t="str">
        <f t="shared" si="3"/>
        <v>47.0</v>
      </c>
      <c r="H311" s="9">
        <f t="shared" si="4"/>
        <v>47</v>
      </c>
      <c r="I311" s="10">
        <f>IFERROR(__xludf.DUMMYFUNCTION("MAX(FILTER($H$2:$H1322,$E$2:$E1322=F311))"),0.0)</f>
        <v>0</v>
      </c>
    </row>
    <row r="312">
      <c r="A312" s="4"/>
      <c r="C312" s="4" t="s">
        <v>485</v>
      </c>
      <c r="D312" s="8" t="str">
        <f t="shared" si="1"/>
        <v>{"valorA":"mais","valorB":2.0}</v>
      </c>
      <c r="E312" s="8" t="str">
        <f t="shared" si="2"/>
        <v>mais</v>
      </c>
      <c r="F312" s="8"/>
      <c r="G312" s="6" t="str">
        <f t="shared" si="3"/>
        <v>2.0</v>
      </c>
      <c r="H312" s="9">
        <f t="shared" si="4"/>
        <v>2</v>
      </c>
      <c r="I312" s="10">
        <f>IFERROR(__xludf.DUMMYFUNCTION("MAX(FILTER($H$2:$H1322,$E$2:$E1322=F312))"),0.0)</f>
        <v>0</v>
      </c>
    </row>
    <row r="313">
      <c r="A313" s="4"/>
      <c r="C313" s="4" t="s">
        <v>486</v>
      </c>
      <c r="D313" s="8" t="str">
        <f t="shared" si="1"/>
        <v>{"valorA":"refrigerante","valorB":1.0}</v>
      </c>
      <c r="E313" s="8" t="str">
        <f t="shared" si="2"/>
        <v>refrigerante</v>
      </c>
      <c r="F313" s="8"/>
      <c r="G313" s="6" t="str">
        <f t="shared" si="3"/>
        <v>1.0</v>
      </c>
      <c r="H313" s="9">
        <f t="shared" si="4"/>
        <v>1</v>
      </c>
      <c r="I313" s="10">
        <f>IFERROR(__xludf.DUMMYFUNCTION("MAX(FILTER($H$2:$H1322,$E$2:$E1322=F313))"),0.0)</f>
        <v>0</v>
      </c>
    </row>
    <row r="314">
      <c r="A314" s="4"/>
      <c r="C314" s="4" t="s">
        <v>487</v>
      </c>
      <c r="D314" s="8" t="str">
        <f t="shared" si="1"/>
        <v>{"valorA":"esse","valorB":8.0}</v>
      </c>
      <c r="E314" s="8" t="str">
        <f t="shared" si="2"/>
        <v>esse</v>
      </c>
      <c r="F314" s="8"/>
      <c r="G314" s="6" t="str">
        <f t="shared" si="3"/>
        <v>8.0</v>
      </c>
      <c r="H314" s="9">
        <f t="shared" si="4"/>
        <v>8</v>
      </c>
      <c r="I314" s="10">
        <f>IFERROR(__xludf.DUMMYFUNCTION("MAX(FILTER($H$2:$H1322,$E$2:$E1322=F314))"),0.0)</f>
        <v>0</v>
      </c>
    </row>
    <row r="315">
      <c r="A315" s="4"/>
      <c r="C315" s="4" t="s">
        <v>488</v>
      </c>
      <c r="D315" s="8" t="str">
        <f t="shared" si="1"/>
        <v>{"valorA":"perfeitamente","valorB":7.0}</v>
      </c>
      <c r="E315" s="8" t="str">
        <f t="shared" si="2"/>
        <v>perfeitamente</v>
      </c>
      <c r="F315" s="8"/>
      <c r="G315" s="6" t="str">
        <f t="shared" si="3"/>
        <v>7.0</v>
      </c>
      <c r="H315" s="9">
        <f t="shared" si="4"/>
        <v>7</v>
      </c>
      <c r="I315" s="10">
        <f>IFERROR(__xludf.DUMMYFUNCTION("MAX(FILTER($H$2:$H1322,$E$2:$E1322=F315))"),0.0)</f>
        <v>0</v>
      </c>
    </row>
    <row r="316">
      <c r="A316" s="4"/>
      <c r="C316" s="4" t="s">
        <v>489</v>
      </c>
      <c r="D316" s="8" t="str">
        <f t="shared" si="1"/>
        <v>{"valorA":"a","valorB":6.0}</v>
      </c>
      <c r="E316" s="8" t="str">
        <f t="shared" si="2"/>
        <v>a</v>
      </c>
      <c r="F316" s="8"/>
      <c r="G316" s="6" t="str">
        <f t="shared" si="3"/>
        <v>6.0</v>
      </c>
      <c r="H316" s="9">
        <f t="shared" si="4"/>
        <v>6</v>
      </c>
      <c r="I316" s="10">
        <f>IFERROR(__xludf.DUMMYFUNCTION("MAX(FILTER($H$2:$H1322,$E$2:$E1322=F316))"),0.0)</f>
        <v>0</v>
      </c>
    </row>
    <row r="317">
      <c r="A317" s="4"/>
      <c r="C317" s="4" t="s">
        <v>490</v>
      </c>
      <c r="D317" s="8" t="str">
        <f t="shared" si="1"/>
        <v>{"valorA":"funciona","valorB":12.0}</v>
      </c>
      <c r="E317" s="8" t="str">
        <f t="shared" si="2"/>
        <v>funciona</v>
      </c>
      <c r="F317" s="8"/>
      <c r="G317" s="6" t="str">
        <f t="shared" si="3"/>
        <v>12.0</v>
      </c>
      <c r="H317" s="9">
        <f t="shared" si="4"/>
        <v>12</v>
      </c>
      <c r="I317" s="10">
        <f>IFERROR(__xludf.DUMMYFUNCTION("MAX(FILTER($H$2:$H1322,$E$2:$E1322=F317))"),0.0)</f>
        <v>0</v>
      </c>
    </row>
    <row r="318">
      <c r="A318" s="4"/>
      <c r="C318" s="4" t="s">
        <v>491</v>
      </c>
      <c r="D318" s="8" t="str">
        <f t="shared" si="1"/>
        <v>{"valorA":"recomendo","valorB":7.0}</v>
      </c>
      <c r="E318" s="8" t="str">
        <f t="shared" si="2"/>
        <v>recomendo</v>
      </c>
      <c r="F318" s="8"/>
      <c r="G318" s="6" t="str">
        <f t="shared" si="3"/>
        <v>7.0</v>
      </c>
      <c r="H318" s="9">
        <f t="shared" si="4"/>
        <v>7</v>
      </c>
      <c r="I318" s="10">
        <f>IFERROR(__xludf.DUMMYFUNCTION("MAX(FILTER($H$2:$H1322,$E$2:$E1322=F318))"),0.0)</f>
        <v>0</v>
      </c>
    </row>
    <row r="319">
      <c r="A319" s="4"/>
      <c r="C319" s="4" t="s">
        <v>492</v>
      </c>
      <c r="D319" s="8" t="str">
        <f t="shared" si="1"/>
        <v>{"valorA":"super","valorB":1.0}</v>
      </c>
      <c r="E319" s="8" t="str">
        <f t="shared" si="2"/>
        <v>super</v>
      </c>
      <c r="F319" s="8"/>
      <c r="G319" s="6" t="str">
        <f t="shared" si="3"/>
        <v>1.0</v>
      </c>
      <c r="H319" s="9">
        <f t="shared" si="4"/>
        <v>1</v>
      </c>
      <c r="I319" s="10">
        <f>IFERROR(__xludf.DUMMYFUNCTION("MAX(FILTER($H$2:$H1322,$E$2:$E1322=F319))"),0.0)</f>
        <v>0</v>
      </c>
    </row>
    <row r="320">
      <c r="A320" s="4"/>
      <c r="C320" s="4" t="s">
        <v>493</v>
      </c>
      <c r="D320" s="8" t="str">
        <f t="shared" si="1"/>
        <v>{"valorA":"produto","valorB":35.0}</v>
      </c>
      <c r="E320" s="8" t="str">
        <f t="shared" si="2"/>
        <v>produto</v>
      </c>
      <c r="F320" s="8"/>
      <c r="G320" s="6" t="str">
        <f t="shared" si="3"/>
        <v>35.0</v>
      </c>
      <c r="H320" s="9">
        <f t="shared" si="4"/>
        <v>35</v>
      </c>
      <c r="I320" s="10">
        <f>IFERROR(__xludf.DUMMYFUNCTION("MAX(FILTER($H$2:$H1322,$E$2:$E1322=F320))"),0.0)</f>
        <v>0</v>
      </c>
    </row>
    <row r="321">
      <c r="A321" s="4"/>
      <c r="C321" s="4" t="s">
        <v>494</v>
      </c>
      <c r="D321" s="8" t="str">
        <f t="shared" si="1"/>
        <v>{"valorA":"ótimo","valorB":49.0}</v>
      </c>
      <c r="E321" s="8" t="str">
        <f t="shared" si="2"/>
        <v>ótimo</v>
      </c>
      <c r="F321" s="8"/>
      <c r="G321" s="6" t="str">
        <f t="shared" si="3"/>
        <v>49.0</v>
      </c>
      <c r="H321" s="9">
        <f t="shared" si="4"/>
        <v>49</v>
      </c>
      <c r="I321" s="10">
        <f>IFERROR(__xludf.DUMMYFUNCTION("MAX(FILTER($H$2:$H1322,$E$2:$E1322=F321))"),0.0)</f>
        <v>0</v>
      </c>
    </row>
    <row r="322">
      <c r="A322" s="4"/>
      <c r="C322" s="4" t="s">
        <v>495</v>
      </c>
      <c r="D322" s="8" t="str">
        <f t="shared" si="1"/>
        <v>{"valorA":"satisfeito","valorB":4.0}</v>
      </c>
      <c r="E322" s="8" t="str">
        <f t="shared" si="2"/>
        <v>satisfeito</v>
      </c>
      <c r="F322" s="8"/>
      <c r="G322" s="6" t="str">
        <f t="shared" si="3"/>
        <v>4.0</v>
      </c>
      <c r="H322" s="9">
        <f t="shared" si="4"/>
        <v>4</v>
      </c>
      <c r="I322" s="10">
        <f>IFERROR(__xludf.DUMMYFUNCTION("MAX(FILTER($H$2:$H1322,$E$2:$E1322=F322))"),0.0)</f>
        <v>0</v>
      </c>
    </row>
    <row r="323">
      <c r="A323" s="4"/>
      <c r="C323" s="4"/>
      <c r="H323" s="10"/>
    </row>
    <row r="324">
      <c r="A324" s="4"/>
      <c r="C324" s="4"/>
      <c r="H324" s="10"/>
    </row>
    <row r="325">
      <c r="A325" s="4"/>
      <c r="C325" s="4"/>
      <c r="H325" s="10"/>
    </row>
    <row r="326">
      <c r="A326" s="4"/>
      <c r="C326" s="4"/>
      <c r="H326" s="10"/>
    </row>
    <row r="327">
      <c r="A327" s="4"/>
      <c r="C327" s="4"/>
      <c r="H327" s="10"/>
    </row>
    <row r="328">
      <c r="A328" s="4"/>
      <c r="C328" s="4"/>
      <c r="H328" s="10"/>
    </row>
    <row r="329">
      <c r="A329" s="4"/>
      <c r="C329" s="4"/>
      <c r="H329" s="10"/>
    </row>
    <row r="330">
      <c r="A330" s="4"/>
      <c r="C330" s="4"/>
      <c r="H330" s="10"/>
    </row>
    <row r="331">
      <c r="A331" s="4"/>
      <c r="C331" s="4"/>
      <c r="H331" s="10"/>
    </row>
    <row r="332">
      <c r="A332" s="4"/>
      <c r="C332" s="4"/>
      <c r="H332" s="10"/>
    </row>
    <row r="333">
      <c r="A333" s="4"/>
      <c r="C333" s="4"/>
      <c r="H333" s="10"/>
    </row>
    <row r="334">
      <c r="A334" s="4"/>
      <c r="C334" s="4"/>
      <c r="H334" s="10"/>
    </row>
    <row r="335">
      <c r="A335" s="4"/>
      <c r="C335" s="4"/>
      <c r="H335" s="10"/>
    </row>
    <row r="336">
      <c r="A336" s="4"/>
      <c r="C336" s="4"/>
      <c r="H336" s="10"/>
    </row>
    <row r="337">
      <c r="A337" s="4"/>
      <c r="C337" s="4"/>
      <c r="H337" s="10"/>
    </row>
    <row r="338">
      <c r="A338" s="4"/>
      <c r="C338" s="4"/>
      <c r="H338" s="10"/>
    </row>
    <row r="339">
      <c r="A339" s="4"/>
      <c r="C339" s="4"/>
      <c r="H339" s="10"/>
    </row>
    <row r="340">
      <c r="A340" s="4"/>
      <c r="C340" s="4"/>
      <c r="H340" s="10"/>
    </row>
    <row r="341">
      <c r="A341" s="4"/>
      <c r="C341" s="4"/>
      <c r="H341" s="10"/>
    </row>
    <row r="342">
      <c r="A342" s="4"/>
      <c r="C342" s="4"/>
      <c r="H342" s="10"/>
    </row>
    <row r="343">
      <c r="A343" s="4"/>
      <c r="C343" s="4"/>
      <c r="H343" s="10"/>
    </row>
    <row r="344">
      <c r="A344" s="4"/>
      <c r="C344" s="4"/>
      <c r="H344" s="10"/>
    </row>
    <row r="345">
      <c r="A345" s="4"/>
      <c r="C345" s="4"/>
      <c r="H345" s="10"/>
    </row>
    <row r="346">
      <c r="A346" s="4"/>
      <c r="C346" s="4"/>
      <c r="H346" s="10"/>
    </row>
    <row r="347">
      <c r="A347" s="4"/>
      <c r="C347" s="4"/>
      <c r="H347" s="10"/>
    </row>
    <row r="348">
      <c r="A348" s="4"/>
      <c r="C348" s="4"/>
      <c r="H348" s="10"/>
    </row>
    <row r="349">
      <c r="A349" s="4"/>
      <c r="C349" s="4"/>
      <c r="H349" s="10"/>
    </row>
    <row r="350">
      <c r="A350" s="4"/>
      <c r="C350" s="4"/>
      <c r="H350" s="10"/>
    </row>
    <row r="351">
      <c r="A351" s="4"/>
      <c r="C351" s="4"/>
      <c r="H351" s="10"/>
    </row>
    <row r="352">
      <c r="A352" s="4"/>
      <c r="C352" s="4"/>
      <c r="H352" s="10"/>
    </row>
    <row r="353">
      <c r="A353" s="4"/>
      <c r="C353" s="4"/>
      <c r="H353" s="10"/>
    </row>
    <row r="354">
      <c r="A354" s="4"/>
      <c r="C354" s="4"/>
      <c r="H354" s="10"/>
    </row>
    <row r="355">
      <c r="A355" s="4"/>
      <c r="C355" s="4"/>
      <c r="H355" s="10"/>
    </row>
    <row r="356">
      <c r="A356" s="4"/>
      <c r="C356" s="4"/>
      <c r="H356" s="10"/>
    </row>
    <row r="357">
      <c r="A357" s="4"/>
      <c r="C357" s="4"/>
      <c r="H357" s="10"/>
    </row>
    <row r="358">
      <c r="A358" s="4"/>
      <c r="C358" s="4"/>
      <c r="H358" s="10"/>
    </row>
    <row r="359">
      <c r="A359" s="4"/>
      <c r="C359" s="4"/>
      <c r="H359" s="10"/>
    </row>
    <row r="360">
      <c r="A360" s="4"/>
      <c r="C360" s="4"/>
      <c r="H360" s="10"/>
    </row>
    <row r="361">
      <c r="A361" s="4"/>
      <c r="C361" s="4"/>
      <c r="H361" s="10"/>
    </row>
    <row r="362">
      <c r="A362" s="4"/>
      <c r="C362" s="4"/>
      <c r="H362" s="10"/>
    </row>
    <row r="363">
      <c r="A363" s="4"/>
      <c r="C363" s="4"/>
      <c r="H363" s="10"/>
    </row>
    <row r="364">
      <c r="A364" s="4"/>
      <c r="C364" s="4"/>
      <c r="H364" s="10"/>
    </row>
    <row r="365">
      <c r="A365" s="4"/>
      <c r="C365" s="4"/>
      <c r="H365" s="10"/>
    </row>
    <row r="366">
      <c r="A366" s="4"/>
      <c r="C366" s="4"/>
      <c r="H366" s="10"/>
    </row>
    <row r="367">
      <c r="A367" s="4"/>
      <c r="C367" s="4"/>
      <c r="H367" s="10"/>
    </row>
    <row r="368">
      <c r="A368" s="4"/>
      <c r="C368" s="4"/>
      <c r="H368" s="10"/>
    </row>
    <row r="369">
      <c r="A369" s="4"/>
      <c r="C369" s="4"/>
      <c r="H369" s="10"/>
    </row>
    <row r="370">
      <c r="A370" s="4"/>
      <c r="C370" s="4"/>
      <c r="H370" s="10"/>
    </row>
    <row r="371">
      <c r="A371" s="4"/>
      <c r="C371" s="4"/>
      <c r="H371" s="10"/>
    </row>
    <row r="372">
      <c r="A372" s="4"/>
      <c r="C372" s="4"/>
      <c r="H372" s="10"/>
    </row>
    <row r="373">
      <c r="A373" s="4"/>
      <c r="C373" s="4"/>
      <c r="H373" s="10"/>
    </row>
    <row r="374">
      <c r="A374" s="4"/>
      <c r="C374" s="4"/>
      <c r="H374" s="10"/>
    </row>
    <row r="375">
      <c r="A375" s="4"/>
      <c r="C375" s="4"/>
      <c r="H375" s="10"/>
    </row>
    <row r="376">
      <c r="A376" s="4"/>
      <c r="C376" s="4"/>
      <c r="H376" s="10"/>
    </row>
    <row r="377">
      <c r="A377" s="4"/>
      <c r="C377" s="4"/>
      <c r="H377" s="10"/>
    </row>
    <row r="378">
      <c r="A378" s="4"/>
      <c r="C378" s="4"/>
      <c r="H378" s="10"/>
    </row>
    <row r="379">
      <c r="A379" s="4"/>
      <c r="C379" s="4"/>
      <c r="H379" s="10"/>
    </row>
    <row r="380">
      <c r="A380" s="4"/>
      <c r="C380" s="4"/>
      <c r="H380" s="10"/>
    </row>
    <row r="381">
      <c r="A381" s="4"/>
      <c r="C381" s="4"/>
      <c r="H381" s="10"/>
    </row>
    <row r="382">
      <c r="A382" s="4"/>
      <c r="C382" s="4"/>
      <c r="H382" s="10"/>
    </row>
    <row r="383">
      <c r="A383" s="4"/>
      <c r="C383" s="4"/>
      <c r="H383" s="10"/>
    </row>
    <row r="384">
      <c r="A384" s="4"/>
      <c r="C384" s="4"/>
      <c r="H384" s="10"/>
    </row>
    <row r="385">
      <c r="A385" s="4"/>
      <c r="C385" s="4"/>
      <c r="H385" s="10"/>
    </row>
    <row r="386">
      <c r="A386" s="4"/>
      <c r="C386" s="4"/>
      <c r="H386" s="10"/>
    </row>
    <row r="387">
      <c r="A387" s="4"/>
      <c r="C387" s="4"/>
      <c r="H387" s="10"/>
    </row>
    <row r="388">
      <c r="A388" s="4"/>
      <c r="C388" s="4"/>
      <c r="H388" s="10"/>
    </row>
    <row r="389">
      <c r="A389" s="4"/>
      <c r="C389" s="4"/>
      <c r="H389" s="10"/>
    </row>
    <row r="390">
      <c r="A390" s="4"/>
      <c r="C390" s="4"/>
      <c r="H390" s="10"/>
    </row>
    <row r="391">
      <c r="A391" s="4"/>
      <c r="C391" s="4"/>
      <c r="H391" s="10"/>
    </row>
    <row r="392">
      <c r="A392" s="4"/>
      <c r="C392" s="4"/>
      <c r="H392" s="10"/>
    </row>
    <row r="393">
      <c r="A393" s="4"/>
      <c r="C393" s="4"/>
      <c r="H393" s="10"/>
    </row>
    <row r="394">
      <c r="A394" s="4"/>
      <c r="C394" s="4"/>
      <c r="H394" s="10"/>
    </row>
    <row r="395">
      <c r="A395" s="4"/>
      <c r="C395" s="4"/>
      <c r="H395" s="10"/>
    </row>
    <row r="396">
      <c r="A396" s="4"/>
      <c r="C396" s="4"/>
      <c r="H396" s="10"/>
    </row>
    <row r="397">
      <c r="A397" s="4"/>
      <c r="C397" s="4"/>
      <c r="H397" s="10"/>
    </row>
    <row r="398">
      <c r="A398" s="4"/>
      <c r="C398" s="4"/>
      <c r="H398" s="10"/>
    </row>
    <row r="399">
      <c r="A399" s="4"/>
      <c r="C399" s="4"/>
      <c r="H399" s="10"/>
    </row>
    <row r="400">
      <c r="A400" s="4"/>
      <c r="C400" s="4"/>
      <c r="H400" s="10"/>
    </row>
    <row r="401">
      <c r="A401" s="4"/>
      <c r="C401" s="4"/>
      <c r="H401" s="10"/>
    </row>
    <row r="402">
      <c r="A402" s="4"/>
      <c r="C402" s="4"/>
      <c r="H402" s="10"/>
    </row>
    <row r="403">
      <c r="A403" s="4"/>
      <c r="C403" s="4"/>
      <c r="H403" s="10"/>
    </row>
    <row r="404">
      <c r="A404" s="4"/>
      <c r="C404" s="4"/>
      <c r="H404" s="10"/>
    </row>
    <row r="405">
      <c r="A405" s="4"/>
      <c r="C405" s="4"/>
      <c r="H405" s="10"/>
    </row>
    <row r="406">
      <c r="A406" s="4"/>
      <c r="C406" s="4"/>
      <c r="H406" s="10"/>
    </row>
    <row r="407">
      <c r="A407" s="4"/>
      <c r="C407" s="4"/>
      <c r="H407" s="10"/>
    </row>
    <row r="408">
      <c r="A408" s="4"/>
      <c r="C408" s="4"/>
      <c r="H408" s="10"/>
    </row>
    <row r="409">
      <c r="A409" s="4"/>
      <c r="C409" s="4"/>
      <c r="H409" s="10"/>
    </row>
    <row r="410">
      <c r="A410" s="4"/>
      <c r="C410" s="4"/>
      <c r="H410" s="10"/>
    </row>
    <row r="411">
      <c r="A411" s="4"/>
      <c r="C411" s="4"/>
      <c r="H411" s="10"/>
    </row>
    <row r="412">
      <c r="A412" s="4"/>
      <c r="C412" s="4"/>
      <c r="H412" s="10"/>
    </row>
    <row r="413">
      <c r="A413" s="4"/>
      <c r="C413" s="4"/>
      <c r="H413" s="10"/>
    </row>
    <row r="414">
      <c r="A414" s="4"/>
      <c r="C414" s="4"/>
      <c r="H414" s="10"/>
    </row>
    <row r="415">
      <c r="A415" s="4"/>
      <c r="C415" s="4"/>
      <c r="H415" s="10"/>
    </row>
    <row r="416">
      <c r="A416" s="4"/>
      <c r="C416" s="4"/>
      <c r="H416" s="10"/>
    </row>
    <row r="417">
      <c r="A417" s="4"/>
      <c r="C417" s="4"/>
      <c r="H417" s="10"/>
    </row>
    <row r="418">
      <c r="A418" s="4"/>
      <c r="C418" s="4"/>
      <c r="H418" s="10"/>
    </row>
    <row r="419">
      <c r="A419" s="4"/>
      <c r="C419" s="4"/>
      <c r="H419" s="10"/>
    </row>
    <row r="420">
      <c r="A420" s="4"/>
      <c r="C420" s="4"/>
      <c r="H420" s="10"/>
    </row>
    <row r="421">
      <c r="A421" s="4"/>
      <c r="C421" s="4"/>
      <c r="H421" s="10"/>
    </row>
    <row r="422">
      <c r="A422" s="4"/>
      <c r="C422" s="4"/>
      <c r="H422" s="10"/>
    </row>
    <row r="423">
      <c r="A423" s="4"/>
      <c r="C423" s="4"/>
      <c r="H423" s="10"/>
    </row>
    <row r="424">
      <c r="A424" s="4"/>
      <c r="C424" s="4"/>
      <c r="H424" s="10"/>
    </row>
    <row r="425">
      <c r="A425" s="4"/>
      <c r="C425" s="4"/>
      <c r="H425" s="10"/>
    </row>
    <row r="426">
      <c r="A426" s="4"/>
      <c r="C426" s="4"/>
      <c r="H426" s="10"/>
    </row>
    <row r="427">
      <c r="A427" s="4"/>
      <c r="C427" s="4"/>
      <c r="H427" s="10"/>
    </row>
    <row r="428">
      <c r="A428" s="4"/>
      <c r="C428" s="4"/>
      <c r="H428" s="10"/>
    </row>
    <row r="429">
      <c r="A429" s="4"/>
      <c r="C429" s="4"/>
      <c r="H429" s="10"/>
    </row>
    <row r="430">
      <c r="A430" s="4"/>
      <c r="C430" s="4"/>
      <c r="H430" s="10"/>
    </row>
    <row r="431">
      <c r="A431" s="4"/>
      <c r="C431" s="4"/>
      <c r="H431" s="10"/>
    </row>
    <row r="432">
      <c r="A432" s="4"/>
      <c r="C432" s="4"/>
      <c r="H432" s="10"/>
    </row>
    <row r="433">
      <c r="A433" s="4"/>
      <c r="C433" s="4"/>
      <c r="H433" s="10"/>
    </row>
    <row r="434">
      <c r="A434" s="4"/>
      <c r="C434" s="4"/>
      <c r="H434" s="10"/>
    </row>
    <row r="435">
      <c r="A435" s="4"/>
      <c r="C435" s="4"/>
      <c r="H435" s="10"/>
    </row>
    <row r="436">
      <c r="A436" s="4"/>
      <c r="C436" s="4"/>
      <c r="H436" s="10"/>
    </row>
    <row r="437">
      <c r="A437" s="4"/>
      <c r="C437" s="4"/>
      <c r="H437" s="10"/>
    </row>
    <row r="438">
      <c r="A438" s="4"/>
      <c r="C438" s="4"/>
      <c r="H438" s="10"/>
    </row>
    <row r="439">
      <c r="A439" s="4"/>
      <c r="C439" s="4"/>
      <c r="H439" s="10"/>
    </row>
    <row r="440">
      <c r="A440" s="4"/>
      <c r="C440" s="4"/>
      <c r="H440" s="10"/>
    </row>
    <row r="441">
      <c r="A441" s="4"/>
      <c r="C441" s="4"/>
      <c r="H441" s="10"/>
    </row>
    <row r="442">
      <c r="A442" s="4"/>
      <c r="C442" s="4"/>
      <c r="H442" s="10"/>
    </row>
    <row r="443">
      <c r="A443" s="4"/>
      <c r="C443" s="4"/>
      <c r="H443" s="10"/>
    </row>
    <row r="444">
      <c r="A444" s="4"/>
      <c r="C444" s="4"/>
      <c r="H444" s="10"/>
    </row>
    <row r="445">
      <c r="A445" s="4"/>
      <c r="C445" s="4"/>
      <c r="H445" s="10"/>
    </row>
    <row r="446">
      <c r="A446" s="4"/>
      <c r="C446" s="4"/>
      <c r="H446" s="10"/>
    </row>
    <row r="447">
      <c r="A447" s="4"/>
      <c r="C447" s="4"/>
      <c r="H447" s="10"/>
    </row>
    <row r="448">
      <c r="A448" s="4"/>
      <c r="C448" s="4"/>
      <c r="H448" s="10"/>
    </row>
    <row r="449">
      <c r="A449" s="4"/>
      <c r="C449" s="4"/>
      <c r="H449" s="10"/>
    </row>
    <row r="450">
      <c r="A450" s="4"/>
      <c r="C450" s="4"/>
      <c r="H450" s="10"/>
    </row>
    <row r="451">
      <c r="A451" s="4"/>
      <c r="C451" s="4"/>
      <c r="H451" s="10"/>
    </row>
    <row r="452">
      <c r="A452" s="4"/>
      <c r="C452" s="4"/>
      <c r="H452" s="10"/>
    </row>
    <row r="453">
      <c r="A453" s="4"/>
      <c r="C453" s="4"/>
      <c r="H453" s="10"/>
    </row>
    <row r="454">
      <c r="A454" s="4"/>
      <c r="C454" s="4"/>
      <c r="H454" s="10"/>
    </row>
    <row r="455">
      <c r="A455" s="4"/>
      <c r="C455" s="4"/>
      <c r="H455" s="10"/>
    </row>
    <row r="456">
      <c r="A456" s="4"/>
      <c r="C456" s="4"/>
      <c r="H456" s="10"/>
    </row>
    <row r="457">
      <c r="A457" s="4"/>
      <c r="C457" s="4"/>
      <c r="H457" s="10"/>
    </row>
    <row r="458">
      <c r="A458" s="4"/>
      <c r="C458" s="4"/>
      <c r="H458" s="10"/>
    </row>
    <row r="459">
      <c r="A459" s="4"/>
      <c r="C459" s="4"/>
      <c r="H459" s="10"/>
    </row>
    <row r="460">
      <c r="A460" s="4"/>
      <c r="C460" s="4"/>
      <c r="H460" s="10"/>
    </row>
    <row r="461">
      <c r="A461" s="4"/>
      <c r="C461" s="4"/>
      <c r="H461" s="10"/>
    </row>
    <row r="462">
      <c r="A462" s="4"/>
      <c r="C462" s="4"/>
      <c r="H462" s="10"/>
    </row>
    <row r="463">
      <c r="A463" s="4"/>
      <c r="C463" s="4"/>
      <c r="H463" s="10"/>
    </row>
    <row r="464">
      <c r="A464" s="4"/>
      <c r="C464" s="4"/>
      <c r="H464" s="10"/>
    </row>
    <row r="465">
      <c r="A465" s="4"/>
      <c r="C465" s="4"/>
      <c r="H465" s="10"/>
    </row>
    <row r="466">
      <c r="A466" s="4"/>
      <c r="C466" s="4"/>
      <c r="H466" s="10"/>
    </row>
    <row r="467">
      <c r="A467" s="4"/>
      <c r="C467" s="4"/>
      <c r="H467" s="10"/>
    </row>
    <row r="468">
      <c r="A468" s="4"/>
      <c r="C468" s="4"/>
      <c r="H468" s="10"/>
    </row>
    <row r="469">
      <c r="A469" s="4"/>
      <c r="C469" s="4"/>
      <c r="H469" s="10"/>
    </row>
    <row r="470">
      <c r="A470" s="4"/>
      <c r="C470" s="4"/>
      <c r="H470" s="10"/>
    </row>
    <row r="471">
      <c r="A471" s="4"/>
      <c r="C471" s="4"/>
      <c r="H471" s="10"/>
    </row>
    <row r="472">
      <c r="A472" s="4"/>
      <c r="C472" s="4"/>
      <c r="H472" s="10"/>
    </row>
    <row r="473">
      <c r="A473" s="4"/>
      <c r="C473" s="4"/>
      <c r="H473" s="10"/>
    </row>
    <row r="474">
      <c r="A474" s="4"/>
      <c r="C474" s="4"/>
      <c r="H474" s="10"/>
    </row>
    <row r="475">
      <c r="A475" s="4"/>
      <c r="C475" s="4"/>
      <c r="H475" s="10"/>
    </row>
    <row r="476">
      <c r="A476" s="4"/>
      <c r="C476" s="4"/>
      <c r="H476" s="10"/>
    </row>
    <row r="477">
      <c r="A477" s="4"/>
      <c r="C477" s="4"/>
      <c r="H477" s="10"/>
    </row>
    <row r="478">
      <c r="A478" s="4"/>
      <c r="C478" s="4"/>
      <c r="H478" s="10"/>
    </row>
    <row r="479">
      <c r="A479" s="4"/>
      <c r="C479" s="4"/>
      <c r="H479" s="10"/>
    </row>
    <row r="480">
      <c r="A480" s="4"/>
      <c r="C480" s="4"/>
      <c r="H480" s="10"/>
    </row>
    <row r="481">
      <c r="A481" s="4"/>
      <c r="C481" s="4"/>
      <c r="H481" s="10"/>
    </row>
    <row r="482">
      <c r="A482" s="4"/>
      <c r="C482" s="4"/>
      <c r="H482" s="10"/>
    </row>
    <row r="483">
      <c r="A483" s="4"/>
      <c r="C483" s="4"/>
      <c r="H483" s="10"/>
    </row>
    <row r="484">
      <c r="A484" s="4"/>
      <c r="C484" s="4"/>
      <c r="H484" s="10"/>
    </row>
    <row r="485">
      <c r="A485" s="4"/>
      <c r="C485" s="4"/>
      <c r="H485" s="10"/>
    </row>
    <row r="486">
      <c r="A486" s="4"/>
      <c r="C486" s="4"/>
      <c r="H486" s="10"/>
    </row>
    <row r="487">
      <c r="A487" s="4"/>
      <c r="C487" s="4"/>
      <c r="H487" s="10"/>
    </row>
    <row r="488">
      <c r="A488" s="4"/>
      <c r="C488" s="4"/>
      <c r="H488" s="10"/>
    </row>
    <row r="489">
      <c r="A489" s="4"/>
      <c r="C489" s="4"/>
      <c r="H489" s="10"/>
    </row>
    <row r="490">
      <c r="A490" s="4"/>
      <c r="C490" s="4"/>
      <c r="H490" s="10"/>
    </row>
    <row r="491">
      <c r="A491" s="4"/>
      <c r="C491" s="4"/>
      <c r="H491" s="10"/>
    </row>
    <row r="492">
      <c r="A492" s="4"/>
      <c r="C492" s="4"/>
      <c r="H492" s="10"/>
    </row>
    <row r="493">
      <c r="A493" s="4"/>
      <c r="C493" s="4"/>
      <c r="H493" s="10"/>
    </row>
    <row r="494">
      <c r="A494" s="4"/>
      <c r="C494" s="4"/>
      <c r="H494" s="10"/>
    </row>
    <row r="495">
      <c r="A495" s="4"/>
      <c r="C495" s="4"/>
      <c r="H495" s="10"/>
    </row>
    <row r="496">
      <c r="A496" s="4"/>
      <c r="C496" s="4"/>
      <c r="H496" s="10"/>
    </row>
    <row r="497">
      <c r="A497" s="4"/>
      <c r="C497" s="4"/>
      <c r="H497" s="10"/>
    </row>
    <row r="498">
      <c r="A498" s="4"/>
      <c r="C498" s="4"/>
      <c r="H498" s="10"/>
    </row>
    <row r="499">
      <c r="A499" s="4"/>
      <c r="C499" s="4"/>
      <c r="H499" s="10"/>
    </row>
    <row r="500">
      <c r="A500" s="4"/>
      <c r="C500" s="4"/>
      <c r="H500" s="10"/>
    </row>
    <row r="501">
      <c r="A501" s="4"/>
      <c r="C501" s="4"/>
      <c r="H501" s="10"/>
    </row>
    <row r="502">
      <c r="A502" s="4"/>
      <c r="C502" s="4"/>
      <c r="H502" s="10"/>
    </row>
    <row r="503">
      <c r="A503" s="4"/>
      <c r="C503" s="4"/>
      <c r="H503" s="10"/>
    </row>
    <row r="504">
      <c r="A504" s="4"/>
      <c r="C504" s="4"/>
      <c r="H504" s="10"/>
    </row>
    <row r="505">
      <c r="A505" s="4"/>
      <c r="C505" s="4"/>
      <c r="H505" s="10"/>
    </row>
    <row r="506">
      <c r="A506" s="4"/>
      <c r="C506" s="4"/>
      <c r="H506" s="10"/>
    </row>
    <row r="507">
      <c r="A507" s="4"/>
      <c r="C507" s="4"/>
      <c r="H507" s="10"/>
    </row>
    <row r="508">
      <c r="A508" s="4"/>
      <c r="C508" s="4"/>
      <c r="H508" s="10"/>
    </row>
    <row r="509">
      <c r="A509" s="4"/>
      <c r="C509" s="4"/>
      <c r="H509" s="10"/>
    </row>
    <row r="510">
      <c r="A510" s="4"/>
      <c r="C510" s="4"/>
      <c r="H510" s="10"/>
    </row>
    <row r="511">
      <c r="A511" s="4"/>
      <c r="C511" s="4"/>
      <c r="H511" s="10"/>
    </row>
    <row r="512">
      <c r="A512" s="4"/>
      <c r="C512" s="4"/>
      <c r="H512" s="10"/>
    </row>
    <row r="513">
      <c r="A513" s="4"/>
      <c r="C513" s="4"/>
      <c r="H513" s="10"/>
    </row>
    <row r="514">
      <c r="A514" s="4"/>
      <c r="C514" s="4"/>
      <c r="H514" s="10"/>
    </row>
    <row r="515">
      <c r="A515" s="4"/>
      <c r="C515" s="4"/>
      <c r="H515" s="10"/>
    </row>
    <row r="516">
      <c r="A516" s="4"/>
      <c r="C516" s="4"/>
      <c r="H516" s="10"/>
    </row>
    <row r="517">
      <c r="A517" s="4"/>
      <c r="C517" s="4"/>
      <c r="H517" s="10"/>
    </row>
    <row r="518">
      <c r="A518" s="4"/>
      <c r="C518" s="4"/>
      <c r="H518" s="10"/>
    </row>
    <row r="519">
      <c r="A519" s="4"/>
      <c r="C519" s="4"/>
      <c r="H519" s="10"/>
    </row>
    <row r="520">
      <c r="A520" s="4"/>
      <c r="C520" s="4"/>
      <c r="H520" s="10"/>
    </row>
    <row r="521">
      <c r="A521" s="4"/>
      <c r="C521" s="4"/>
      <c r="H521" s="10"/>
    </row>
    <row r="522">
      <c r="A522" s="4"/>
      <c r="C522" s="4"/>
      <c r="H522" s="10"/>
    </row>
    <row r="523">
      <c r="A523" s="4"/>
      <c r="C523" s="4"/>
      <c r="H523" s="10"/>
    </row>
    <row r="524">
      <c r="A524" s="4"/>
      <c r="C524" s="4"/>
      <c r="H524" s="10"/>
    </row>
    <row r="525">
      <c r="A525" s="4"/>
      <c r="C525" s="4"/>
      <c r="H525" s="10"/>
    </row>
    <row r="526">
      <c r="A526" s="4"/>
      <c r="C526" s="4"/>
      <c r="H526" s="10"/>
    </row>
    <row r="527">
      <c r="A527" s="4"/>
      <c r="C527" s="4"/>
      <c r="H527" s="10"/>
    </row>
    <row r="528">
      <c r="A528" s="4"/>
      <c r="C528" s="4"/>
      <c r="H528" s="10"/>
    </row>
    <row r="529">
      <c r="A529" s="4"/>
      <c r="C529" s="4"/>
      <c r="H529" s="10"/>
    </row>
    <row r="530">
      <c r="A530" s="4"/>
      <c r="C530" s="4"/>
      <c r="H530" s="10"/>
    </row>
    <row r="531">
      <c r="A531" s="4"/>
      <c r="C531" s="4"/>
      <c r="H531" s="10"/>
    </row>
    <row r="532">
      <c r="A532" s="4"/>
      <c r="C532" s="4"/>
      <c r="H532" s="10"/>
    </row>
    <row r="533">
      <c r="A533" s="4"/>
      <c r="C533" s="4"/>
      <c r="H533" s="10"/>
    </row>
    <row r="534">
      <c r="A534" s="4"/>
      <c r="C534" s="4"/>
      <c r="H534" s="10"/>
    </row>
    <row r="535">
      <c r="A535" s="4"/>
      <c r="C535" s="4"/>
      <c r="H535" s="10"/>
    </row>
    <row r="536">
      <c r="A536" s="4"/>
      <c r="C536" s="4"/>
      <c r="H536" s="10"/>
    </row>
    <row r="537">
      <c r="A537" s="4"/>
      <c r="C537" s="4"/>
      <c r="H537" s="10"/>
    </row>
    <row r="538">
      <c r="A538" s="4"/>
      <c r="C538" s="4"/>
      <c r="H538" s="10"/>
    </row>
    <row r="539">
      <c r="A539" s="4"/>
      <c r="C539" s="4"/>
      <c r="H539" s="10"/>
    </row>
    <row r="540">
      <c r="A540" s="4"/>
      <c r="C540" s="4"/>
      <c r="H540" s="10"/>
    </row>
    <row r="541">
      <c r="A541" s="4"/>
      <c r="C541" s="4"/>
      <c r="H541" s="10"/>
    </row>
    <row r="542">
      <c r="A542" s="4"/>
      <c r="C542" s="4"/>
      <c r="H542" s="10"/>
    </row>
    <row r="543">
      <c r="A543" s="4"/>
      <c r="C543" s="4"/>
      <c r="H543" s="10"/>
    </row>
    <row r="544">
      <c r="A544" s="4"/>
      <c r="C544" s="4"/>
      <c r="H544" s="10"/>
    </row>
    <row r="545">
      <c r="A545" s="4"/>
      <c r="C545" s="4"/>
      <c r="H545" s="10"/>
    </row>
    <row r="546">
      <c r="A546" s="4"/>
      <c r="C546" s="4"/>
      <c r="H546" s="10"/>
    </row>
    <row r="547">
      <c r="A547" s="4"/>
      <c r="C547" s="4"/>
      <c r="H547" s="10"/>
    </row>
    <row r="548">
      <c r="A548" s="4"/>
      <c r="C548" s="4"/>
      <c r="H548" s="10"/>
    </row>
    <row r="549">
      <c r="A549" s="4"/>
      <c r="C549" s="4"/>
      <c r="H549" s="10"/>
    </row>
    <row r="550">
      <c r="A550" s="4"/>
      <c r="C550" s="4"/>
      <c r="H550" s="10"/>
    </row>
    <row r="551">
      <c r="A551" s="4"/>
      <c r="C551" s="4"/>
      <c r="H551" s="10"/>
    </row>
    <row r="552">
      <c r="A552" s="4"/>
      <c r="C552" s="4"/>
      <c r="H552" s="10"/>
    </row>
    <row r="553">
      <c r="A553" s="4"/>
      <c r="C553" s="4"/>
      <c r="H553" s="10"/>
    </row>
    <row r="554">
      <c r="A554" s="4"/>
      <c r="C554" s="4"/>
      <c r="H554" s="10"/>
    </row>
    <row r="555">
      <c r="A555" s="4"/>
      <c r="C555" s="4"/>
      <c r="H555" s="10"/>
    </row>
    <row r="556">
      <c r="A556" s="4"/>
      <c r="C556" s="4"/>
      <c r="H556" s="10"/>
    </row>
    <row r="557">
      <c r="A557" s="4"/>
      <c r="C557" s="4"/>
      <c r="H557" s="10"/>
    </row>
    <row r="558">
      <c r="A558" s="4"/>
      <c r="C558" s="4"/>
      <c r="H558" s="10"/>
    </row>
    <row r="559">
      <c r="A559" s="4"/>
      <c r="C559" s="4"/>
      <c r="H559" s="10"/>
    </row>
    <row r="560">
      <c r="A560" s="4"/>
      <c r="C560" s="4"/>
      <c r="H560" s="10"/>
    </row>
    <row r="561">
      <c r="A561" s="4"/>
      <c r="C561" s="4"/>
      <c r="H561" s="10"/>
    </row>
    <row r="562">
      <c r="A562" s="4"/>
      <c r="C562" s="4"/>
      <c r="H562" s="10"/>
    </row>
    <row r="563">
      <c r="A563" s="4"/>
      <c r="C563" s="4"/>
      <c r="H563" s="10"/>
    </row>
    <row r="564">
      <c r="A564" s="4"/>
      <c r="C564" s="4"/>
      <c r="H564" s="10"/>
    </row>
    <row r="565">
      <c r="A565" s="4"/>
      <c r="C565" s="4"/>
      <c r="H565" s="10"/>
    </row>
    <row r="566">
      <c r="A566" s="4"/>
      <c r="C566" s="4"/>
      <c r="H566" s="10"/>
    </row>
    <row r="567">
      <c r="A567" s="4"/>
      <c r="C567" s="4"/>
      <c r="H567" s="10"/>
    </row>
    <row r="568">
      <c r="A568" s="4"/>
      <c r="C568" s="4"/>
      <c r="H568" s="10"/>
    </row>
    <row r="569">
      <c r="A569" s="4"/>
      <c r="C569" s="4"/>
      <c r="H569" s="10"/>
    </row>
    <row r="570">
      <c r="A570" s="4"/>
      <c r="C570" s="4"/>
      <c r="H570" s="10"/>
    </row>
    <row r="571">
      <c r="A571" s="4"/>
      <c r="C571" s="4"/>
      <c r="H571" s="10"/>
    </row>
    <row r="572">
      <c r="A572" s="4"/>
      <c r="C572" s="4"/>
      <c r="H572" s="10"/>
    </row>
    <row r="573">
      <c r="A573" s="4"/>
      <c r="C573" s="4"/>
      <c r="H573" s="10"/>
    </row>
    <row r="574">
      <c r="A574" s="4"/>
      <c r="C574" s="4"/>
      <c r="H574" s="10"/>
    </row>
    <row r="575">
      <c r="A575" s="4"/>
      <c r="C575" s="4"/>
      <c r="H575" s="10"/>
    </row>
    <row r="576">
      <c r="A576" s="4"/>
      <c r="C576" s="4"/>
      <c r="H576" s="10"/>
    </row>
    <row r="577">
      <c r="A577" s="4"/>
      <c r="C577" s="4"/>
      <c r="H577" s="10"/>
    </row>
    <row r="578">
      <c r="A578" s="4"/>
      <c r="C578" s="4"/>
      <c r="H578" s="10"/>
    </row>
    <row r="579">
      <c r="A579" s="4"/>
      <c r="C579" s="4"/>
      <c r="H579" s="10"/>
    </row>
    <row r="580">
      <c r="A580" s="4"/>
      <c r="C580" s="4"/>
      <c r="H580" s="10"/>
    </row>
    <row r="581">
      <c r="A581" s="4"/>
      <c r="C581" s="4"/>
      <c r="H581" s="10"/>
    </row>
    <row r="582">
      <c r="A582" s="4"/>
      <c r="C582" s="4"/>
      <c r="H582" s="10"/>
    </row>
    <row r="583">
      <c r="A583" s="4"/>
      <c r="C583" s="4"/>
      <c r="H583" s="10"/>
    </row>
    <row r="584">
      <c r="A584" s="4"/>
      <c r="C584" s="4"/>
      <c r="H584" s="10"/>
    </row>
    <row r="585">
      <c r="A585" s="4"/>
      <c r="C585" s="4"/>
      <c r="H585" s="10"/>
    </row>
    <row r="586">
      <c r="A586" s="4"/>
      <c r="C586" s="4"/>
      <c r="H586" s="10"/>
    </row>
    <row r="587">
      <c r="A587" s="4"/>
      <c r="C587" s="4"/>
      <c r="H587" s="10"/>
    </row>
    <row r="588">
      <c r="A588" s="4"/>
      <c r="C588" s="4"/>
      <c r="H588" s="10"/>
    </row>
    <row r="589">
      <c r="A589" s="4"/>
      <c r="C589" s="4"/>
      <c r="H589" s="10"/>
    </row>
    <row r="590">
      <c r="A590" s="4"/>
      <c r="C590" s="4"/>
      <c r="H590" s="10"/>
    </row>
    <row r="591">
      <c r="A591" s="4"/>
      <c r="C591" s="4"/>
      <c r="H591" s="10"/>
    </row>
    <row r="592">
      <c r="A592" s="4"/>
      <c r="C592" s="4"/>
      <c r="H592" s="10"/>
    </row>
    <row r="593">
      <c r="A593" s="4"/>
      <c r="C593" s="4"/>
      <c r="H593" s="10"/>
    </row>
    <row r="594">
      <c r="A594" s="4"/>
      <c r="C594" s="4"/>
      <c r="H594" s="10"/>
    </row>
    <row r="595">
      <c r="A595" s="4"/>
      <c r="C595" s="4"/>
      <c r="H595" s="10"/>
    </row>
    <row r="596">
      <c r="A596" s="4"/>
      <c r="C596" s="4"/>
      <c r="H596" s="10"/>
    </row>
    <row r="597">
      <c r="A597" s="4"/>
      <c r="C597" s="4"/>
      <c r="H597" s="10"/>
    </row>
    <row r="598">
      <c r="A598" s="4"/>
      <c r="C598" s="4"/>
      <c r="H598" s="10"/>
    </row>
    <row r="599">
      <c r="A599" s="4"/>
      <c r="C599" s="4"/>
      <c r="H599" s="10"/>
    </row>
    <row r="600">
      <c r="A600" s="4"/>
      <c r="C600" s="4"/>
      <c r="H600" s="10"/>
    </row>
    <row r="601">
      <c r="A601" s="4"/>
      <c r="C601" s="4"/>
      <c r="H601" s="10"/>
    </row>
    <row r="602">
      <c r="A602" s="4"/>
      <c r="C602" s="4"/>
      <c r="H602" s="10"/>
    </row>
    <row r="603">
      <c r="A603" s="4"/>
      <c r="C603" s="4"/>
      <c r="H603" s="10"/>
    </row>
    <row r="604">
      <c r="A604" s="4"/>
      <c r="C604" s="4"/>
      <c r="H604" s="10"/>
    </row>
    <row r="605">
      <c r="A605" s="4"/>
      <c r="C605" s="4"/>
      <c r="H605" s="10"/>
    </row>
    <row r="606">
      <c r="A606" s="4"/>
      <c r="C606" s="4"/>
      <c r="H606" s="10"/>
    </row>
    <row r="607">
      <c r="A607" s="4"/>
      <c r="C607" s="4"/>
      <c r="H607" s="10"/>
    </row>
    <row r="608">
      <c r="A608" s="4"/>
      <c r="C608" s="4"/>
      <c r="H608" s="10"/>
    </row>
    <row r="609">
      <c r="A609" s="4"/>
      <c r="C609" s="4"/>
      <c r="H609" s="10"/>
    </row>
    <row r="610">
      <c r="A610" s="4"/>
      <c r="C610" s="4"/>
      <c r="H610" s="10"/>
    </row>
    <row r="611">
      <c r="A611" s="4"/>
      <c r="C611" s="4"/>
      <c r="H611" s="10"/>
    </row>
    <row r="612">
      <c r="A612" s="4"/>
      <c r="C612" s="4"/>
      <c r="H612" s="10"/>
    </row>
    <row r="613">
      <c r="A613" s="4"/>
      <c r="C613" s="4"/>
      <c r="H613" s="10"/>
    </row>
    <row r="614">
      <c r="A614" s="4"/>
      <c r="C614" s="4"/>
      <c r="H614" s="10"/>
    </row>
    <row r="615">
      <c r="A615" s="4"/>
      <c r="C615" s="4"/>
      <c r="H615" s="10"/>
    </row>
    <row r="616">
      <c r="A616" s="4"/>
      <c r="C616" s="4"/>
      <c r="H616" s="10"/>
    </row>
    <row r="617">
      <c r="A617" s="4"/>
      <c r="C617" s="4"/>
      <c r="H617" s="10"/>
    </row>
    <row r="618">
      <c r="A618" s="4"/>
      <c r="C618" s="4"/>
      <c r="H618" s="10"/>
    </row>
    <row r="619">
      <c r="A619" s="4"/>
      <c r="C619" s="4"/>
      <c r="H619" s="10"/>
    </row>
    <row r="620">
      <c r="A620" s="4"/>
      <c r="C620" s="4"/>
      <c r="H620" s="10"/>
    </row>
    <row r="621">
      <c r="A621" s="4"/>
      <c r="C621" s="4"/>
      <c r="H621" s="10"/>
    </row>
    <row r="622">
      <c r="A622" s="4"/>
      <c r="C622" s="4"/>
      <c r="H622" s="10"/>
    </row>
    <row r="623">
      <c r="A623" s="4"/>
      <c r="C623" s="4"/>
      <c r="H623" s="10"/>
    </row>
    <row r="624">
      <c r="A624" s="4"/>
      <c r="C624" s="4"/>
      <c r="H624" s="10"/>
    </row>
    <row r="625">
      <c r="A625" s="4"/>
      <c r="C625" s="4"/>
      <c r="H625" s="10"/>
    </row>
    <row r="626">
      <c r="A626" s="4"/>
      <c r="C626" s="4"/>
      <c r="H626" s="10"/>
    </row>
    <row r="627">
      <c r="A627" s="4"/>
      <c r="C627" s="4"/>
      <c r="H627" s="10"/>
    </row>
    <row r="628">
      <c r="A628" s="4"/>
      <c r="C628" s="4"/>
      <c r="H628" s="10"/>
    </row>
    <row r="629">
      <c r="A629" s="4"/>
      <c r="C629" s="4"/>
      <c r="H629" s="10"/>
    </row>
    <row r="630">
      <c r="A630" s="4"/>
      <c r="C630" s="4"/>
      <c r="H630" s="10"/>
    </row>
    <row r="631">
      <c r="A631" s="4"/>
      <c r="C631" s="4"/>
      <c r="H631" s="10"/>
    </row>
    <row r="632">
      <c r="A632" s="4"/>
      <c r="C632" s="4"/>
      <c r="H632" s="10"/>
    </row>
    <row r="633">
      <c r="A633" s="4"/>
      <c r="C633" s="4"/>
      <c r="H633" s="10"/>
    </row>
    <row r="634">
      <c r="A634" s="4"/>
      <c r="C634" s="4"/>
      <c r="H634" s="10"/>
    </row>
    <row r="635">
      <c r="A635" s="4"/>
      <c r="C635" s="4"/>
      <c r="H635" s="10"/>
    </row>
    <row r="636">
      <c r="A636" s="4"/>
      <c r="C636" s="4"/>
      <c r="H636" s="10"/>
    </row>
    <row r="637">
      <c r="A637" s="4"/>
      <c r="C637" s="4"/>
      <c r="H637" s="10"/>
    </row>
    <row r="638">
      <c r="A638" s="4"/>
      <c r="C638" s="4"/>
      <c r="H638" s="10"/>
    </row>
    <row r="639">
      <c r="A639" s="4"/>
      <c r="C639" s="4"/>
      <c r="H639" s="10"/>
    </row>
    <row r="640">
      <c r="A640" s="4"/>
      <c r="C640" s="4"/>
      <c r="H640" s="10"/>
    </row>
    <row r="641">
      <c r="A641" s="4"/>
      <c r="C641" s="4"/>
      <c r="H641" s="10"/>
    </row>
    <row r="642">
      <c r="A642" s="4"/>
      <c r="C642" s="4"/>
      <c r="H642" s="10"/>
    </row>
    <row r="643">
      <c r="A643" s="4"/>
      <c r="C643" s="4"/>
      <c r="H643" s="10"/>
    </row>
    <row r="644">
      <c r="A644" s="4"/>
      <c r="C644" s="4"/>
      <c r="H644" s="10"/>
    </row>
    <row r="645">
      <c r="A645" s="4"/>
      <c r="C645" s="4"/>
      <c r="H645" s="10"/>
    </row>
    <row r="646">
      <c r="A646" s="4"/>
      <c r="C646" s="4"/>
      <c r="H646" s="10"/>
    </row>
    <row r="647">
      <c r="A647" s="4"/>
      <c r="C647" s="4"/>
      <c r="H647" s="10"/>
    </row>
    <row r="648">
      <c r="A648" s="4"/>
      <c r="C648" s="4"/>
      <c r="H648" s="10"/>
    </row>
    <row r="649">
      <c r="A649" s="4"/>
      <c r="C649" s="4"/>
      <c r="H649" s="10"/>
    </row>
    <row r="650">
      <c r="A650" s="4"/>
      <c r="C650" s="4"/>
      <c r="H650" s="10"/>
    </row>
    <row r="651">
      <c r="A651" s="4"/>
      <c r="C651" s="4"/>
      <c r="H651" s="10"/>
    </row>
    <row r="652">
      <c r="A652" s="4"/>
      <c r="C652" s="4"/>
      <c r="H652" s="10"/>
    </row>
    <row r="653">
      <c r="A653" s="4"/>
      <c r="C653" s="4"/>
      <c r="H653" s="10"/>
    </row>
    <row r="654">
      <c r="A654" s="4"/>
      <c r="C654" s="4"/>
      <c r="H654" s="10"/>
    </row>
    <row r="655">
      <c r="A655" s="4"/>
      <c r="C655" s="4"/>
      <c r="H655" s="10"/>
    </row>
    <row r="656">
      <c r="A656" s="4"/>
      <c r="C656" s="4"/>
      <c r="H656" s="10"/>
    </row>
    <row r="657">
      <c r="A657" s="4"/>
      <c r="C657" s="4"/>
      <c r="H657" s="10"/>
    </row>
    <row r="658">
      <c r="A658" s="4"/>
      <c r="C658" s="4"/>
      <c r="H658" s="10"/>
    </row>
    <row r="659">
      <c r="A659" s="4"/>
      <c r="C659" s="4"/>
      <c r="H659" s="10"/>
    </row>
    <row r="660">
      <c r="A660" s="4"/>
      <c r="C660" s="4"/>
      <c r="H660" s="10"/>
    </row>
    <row r="661">
      <c r="A661" s="4"/>
      <c r="C661" s="4"/>
      <c r="H661" s="10"/>
    </row>
    <row r="662">
      <c r="A662" s="4"/>
      <c r="C662" s="4"/>
      <c r="H662" s="10"/>
    </row>
    <row r="663">
      <c r="A663" s="4"/>
      <c r="C663" s="4"/>
      <c r="H663" s="10"/>
    </row>
    <row r="664">
      <c r="A664" s="4"/>
      <c r="C664" s="4"/>
      <c r="H664" s="10"/>
    </row>
    <row r="665">
      <c r="A665" s="4"/>
      <c r="C665" s="4"/>
      <c r="H665" s="10"/>
    </row>
    <row r="666">
      <c r="A666" s="4"/>
      <c r="C666" s="4"/>
      <c r="H666" s="10"/>
    </row>
    <row r="667">
      <c r="A667" s="4"/>
      <c r="C667" s="4"/>
      <c r="H667" s="10"/>
    </row>
    <row r="668">
      <c r="A668" s="4"/>
      <c r="C668" s="4"/>
      <c r="H668" s="10"/>
    </row>
    <row r="669">
      <c r="A669" s="4"/>
      <c r="C669" s="4"/>
      <c r="H669" s="10"/>
    </row>
    <row r="670">
      <c r="A670" s="4"/>
      <c r="C670" s="4"/>
      <c r="H670" s="10"/>
    </row>
    <row r="671">
      <c r="A671" s="4"/>
      <c r="C671" s="4"/>
      <c r="H671" s="10"/>
    </row>
    <row r="672">
      <c r="A672" s="4"/>
      <c r="C672" s="4"/>
      <c r="H672" s="10"/>
    </row>
    <row r="673">
      <c r="A673" s="4"/>
      <c r="C673" s="4"/>
      <c r="H673" s="10"/>
    </row>
    <row r="674">
      <c r="A674" s="4"/>
      <c r="C674" s="4"/>
      <c r="H674" s="10"/>
    </row>
    <row r="675">
      <c r="A675" s="4"/>
      <c r="C675" s="4"/>
      <c r="H675" s="10"/>
    </row>
    <row r="676">
      <c r="A676" s="4"/>
      <c r="C676" s="4"/>
      <c r="H676" s="10"/>
    </row>
    <row r="677">
      <c r="A677" s="4"/>
      <c r="C677" s="4"/>
      <c r="H677" s="10"/>
    </row>
    <row r="678">
      <c r="A678" s="4"/>
      <c r="C678" s="4"/>
      <c r="H678" s="10"/>
    </row>
    <row r="679">
      <c r="A679" s="4"/>
      <c r="C679" s="4"/>
      <c r="H679" s="10"/>
    </row>
    <row r="680">
      <c r="A680" s="4"/>
      <c r="C680" s="4"/>
      <c r="H680" s="10"/>
    </row>
    <row r="681">
      <c r="A681" s="4"/>
      <c r="C681" s="4"/>
      <c r="H681" s="10"/>
    </row>
    <row r="682">
      <c r="A682" s="4"/>
      <c r="C682" s="4"/>
      <c r="H682" s="10"/>
    </row>
    <row r="683">
      <c r="A683" s="4"/>
      <c r="C683" s="4"/>
      <c r="H683" s="10"/>
    </row>
    <row r="684">
      <c r="A684" s="4"/>
      <c r="C684" s="4"/>
      <c r="H684" s="10"/>
    </row>
    <row r="685">
      <c r="A685" s="4"/>
      <c r="C685" s="4"/>
      <c r="H685" s="10"/>
    </row>
    <row r="686">
      <c r="A686" s="4"/>
      <c r="C686" s="4"/>
      <c r="H686" s="10"/>
    </row>
    <row r="687">
      <c r="A687" s="4"/>
      <c r="C687" s="4"/>
      <c r="H687" s="10"/>
    </row>
    <row r="688">
      <c r="A688" s="4"/>
      <c r="C688" s="4"/>
      <c r="H688" s="10"/>
    </row>
    <row r="689">
      <c r="A689" s="4"/>
      <c r="C689" s="4"/>
      <c r="H689" s="10"/>
    </row>
    <row r="690">
      <c r="A690" s="4"/>
      <c r="C690" s="4"/>
      <c r="H690" s="10"/>
    </row>
    <row r="691">
      <c r="A691" s="4"/>
      <c r="C691" s="4"/>
      <c r="H691" s="10"/>
    </row>
    <row r="692">
      <c r="A692" s="4"/>
      <c r="C692" s="4"/>
      <c r="H692" s="10"/>
    </row>
    <row r="693">
      <c r="A693" s="4"/>
      <c r="C693" s="4"/>
      <c r="H693" s="10"/>
    </row>
    <row r="694">
      <c r="A694" s="4"/>
      <c r="C694" s="4"/>
      <c r="H694" s="10"/>
    </row>
    <row r="695">
      <c r="A695" s="4"/>
      <c r="C695" s="4"/>
      <c r="H695" s="10"/>
    </row>
    <row r="696">
      <c r="A696" s="4"/>
      <c r="C696" s="4"/>
      <c r="H696" s="10"/>
    </row>
    <row r="697">
      <c r="A697" s="4"/>
      <c r="C697" s="4"/>
      <c r="H697" s="10"/>
    </row>
    <row r="698">
      <c r="A698" s="4"/>
      <c r="C698" s="4"/>
      <c r="H698" s="10"/>
    </row>
    <row r="699">
      <c r="A699" s="4"/>
      <c r="C699" s="4"/>
      <c r="H699" s="10"/>
    </row>
    <row r="700">
      <c r="A700" s="4"/>
      <c r="C700" s="4"/>
      <c r="H700" s="10"/>
    </row>
    <row r="701">
      <c r="A701" s="4"/>
      <c r="C701" s="4"/>
      <c r="H701" s="10"/>
    </row>
    <row r="702">
      <c r="A702" s="4"/>
      <c r="C702" s="4"/>
      <c r="H702" s="10"/>
    </row>
    <row r="703">
      <c r="A703" s="4"/>
      <c r="C703" s="4"/>
      <c r="H703" s="10"/>
    </row>
    <row r="704">
      <c r="A704" s="4"/>
      <c r="C704" s="4"/>
      <c r="H704" s="10"/>
    </row>
    <row r="705">
      <c r="A705" s="4"/>
      <c r="C705" s="4"/>
      <c r="H705" s="10"/>
    </row>
    <row r="706">
      <c r="A706" s="4"/>
      <c r="C706" s="4"/>
      <c r="H706" s="10"/>
    </row>
    <row r="707">
      <c r="A707" s="4"/>
      <c r="C707" s="4"/>
      <c r="H707" s="10"/>
    </row>
    <row r="708">
      <c r="A708" s="4"/>
      <c r="C708" s="4"/>
      <c r="H708" s="10"/>
    </row>
    <row r="709">
      <c r="A709" s="4"/>
      <c r="C709" s="4"/>
      <c r="H709" s="10"/>
    </row>
    <row r="710">
      <c r="A710" s="4"/>
      <c r="C710" s="4"/>
      <c r="H710" s="10"/>
    </row>
    <row r="711">
      <c r="A711" s="4"/>
      <c r="C711" s="4"/>
      <c r="H711" s="10"/>
    </row>
    <row r="712">
      <c r="A712" s="4"/>
      <c r="C712" s="4"/>
      <c r="H712" s="10"/>
    </row>
    <row r="713">
      <c r="A713" s="4"/>
      <c r="C713" s="4"/>
      <c r="H713" s="10"/>
    </row>
    <row r="714">
      <c r="A714" s="4"/>
      <c r="C714" s="4"/>
      <c r="H714" s="10"/>
    </row>
    <row r="715">
      <c r="A715" s="4"/>
      <c r="C715" s="4"/>
      <c r="H715" s="10"/>
    </row>
    <row r="716">
      <c r="A716" s="4"/>
      <c r="C716" s="4"/>
      <c r="H716" s="10"/>
    </row>
    <row r="717">
      <c r="A717" s="4"/>
      <c r="C717" s="4"/>
      <c r="H717" s="10"/>
    </row>
    <row r="718">
      <c r="A718" s="4"/>
      <c r="C718" s="4"/>
      <c r="H718" s="10"/>
    </row>
    <row r="719">
      <c r="A719" s="4"/>
      <c r="C719" s="4"/>
      <c r="H719" s="10"/>
    </row>
    <row r="720">
      <c r="A720" s="4"/>
      <c r="C720" s="4"/>
      <c r="H720" s="10"/>
    </row>
    <row r="721">
      <c r="A721" s="4"/>
      <c r="C721" s="4"/>
      <c r="H721" s="10"/>
    </row>
    <row r="722">
      <c r="A722" s="4"/>
      <c r="C722" s="4"/>
      <c r="H722" s="10"/>
    </row>
    <row r="723">
      <c r="A723" s="4"/>
      <c r="C723" s="4"/>
      <c r="H723" s="10"/>
    </row>
    <row r="724">
      <c r="A724" s="4"/>
      <c r="C724" s="4"/>
      <c r="H724" s="10"/>
    </row>
    <row r="725">
      <c r="A725" s="4"/>
      <c r="C725" s="4"/>
      <c r="H725" s="10"/>
    </row>
    <row r="726">
      <c r="A726" s="4"/>
      <c r="C726" s="4"/>
      <c r="H726" s="10"/>
    </row>
    <row r="727">
      <c r="A727" s="4"/>
      <c r="C727" s="4"/>
      <c r="H727" s="10"/>
    </row>
    <row r="728">
      <c r="A728" s="4"/>
      <c r="C728" s="4"/>
      <c r="H728" s="10"/>
    </row>
    <row r="729">
      <c r="A729" s="4"/>
      <c r="C729" s="4"/>
      <c r="H729" s="10"/>
    </row>
    <row r="730">
      <c r="A730" s="4"/>
      <c r="C730" s="4"/>
      <c r="H730" s="10"/>
    </row>
    <row r="731">
      <c r="A731" s="4"/>
      <c r="C731" s="4"/>
      <c r="H731" s="10"/>
    </row>
    <row r="732">
      <c r="A732" s="4"/>
      <c r="C732" s="4"/>
      <c r="H732" s="10"/>
    </row>
    <row r="733">
      <c r="A733" s="4"/>
      <c r="C733" s="4"/>
      <c r="H733" s="10"/>
    </row>
    <row r="734">
      <c r="A734" s="4"/>
      <c r="C734" s="4"/>
      <c r="H734" s="10"/>
    </row>
    <row r="735">
      <c r="A735" s="4"/>
      <c r="C735" s="4"/>
      <c r="H735" s="10"/>
    </row>
    <row r="736">
      <c r="A736" s="4"/>
      <c r="C736" s="4"/>
      <c r="H736" s="10"/>
    </row>
    <row r="737">
      <c r="A737" s="4"/>
      <c r="C737" s="4"/>
      <c r="H737" s="10"/>
    </row>
    <row r="738">
      <c r="A738" s="4"/>
      <c r="C738" s="4"/>
      <c r="H738" s="10"/>
    </row>
    <row r="739">
      <c r="A739" s="4"/>
      <c r="C739" s="4"/>
      <c r="H739" s="10"/>
    </row>
    <row r="740">
      <c r="A740" s="4"/>
      <c r="C740" s="4"/>
      <c r="H740" s="10"/>
    </row>
    <row r="741">
      <c r="A741" s="4"/>
      <c r="C741" s="4"/>
      <c r="H741" s="10"/>
    </row>
    <row r="742">
      <c r="A742" s="4"/>
      <c r="C742" s="4"/>
      <c r="H742" s="10"/>
    </row>
    <row r="743">
      <c r="A743" s="4"/>
      <c r="C743" s="4"/>
      <c r="H743" s="10"/>
    </row>
    <row r="744">
      <c r="A744" s="4"/>
      <c r="C744" s="4"/>
      <c r="H744" s="10"/>
    </row>
    <row r="745">
      <c r="A745" s="4"/>
      <c r="C745" s="4"/>
      <c r="H745" s="10"/>
    </row>
    <row r="746">
      <c r="A746" s="4"/>
      <c r="C746" s="4"/>
      <c r="H746" s="10"/>
    </row>
    <row r="747">
      <c r="A747" s="4"/>
      <c r="C747" s="4"/>
      <c r="H747" s="10"/>
    </row>
    <row r="748">
      <c r="A748" s="4"/>
      <c r="C748" s="4"/>
      <c r="H748" s="10"/>
    </row>
    <row r="749">
      <c r="A749" s="4"/>
      <c r="C749" s="4"/>
      <c r="H749" s="10"/>
    </row>
    <row r="750">
      <c r="A750" s="4"/>
      <c r="C750" s="4"/>
      <c r="H750" s="10"/>
    </row>
    <row r="751">
      <c r="A751" s="4"/>
      <c r="C751" s="4"/>
      <c r="H751" s="10"/>
    </row>
    <row r="752">
      <c r="A752" s="4"/>
      <c r="C752" s="4"/>
      <c r="H752" s="10"/>
    </row>
    <row r="753">
      <c r="A753" s="4"/>
      <c r="C753" s="4"/>
      <c r="H753" s="10"/>
    </row>
    <row r="754">
      <c r="A754" s="4"/>
      <c r="C754" s="4"/>
      <c r="H754" s="10"/>
    </row>
    <row r="755">
      <c r="A755" s="4"/>
      <c r="C755" s="4"/>
      <c r="H755" s="10"/>
    </row>
    <row r="756">
      <c r="A756" s="4"/>
      <c r="C756" s="4"/>
      <c r="H756" s="10"/>
    </row>
    <row r="757">
      <c r="A757" s="4"/>
      <c r="C757" s="4"/>
      <c r="H757" s="10"/>
    </row>
    <row r="758">
      <c r="A758" s="4"/>
      <c r="C758" s="4"/>
      <c r="H758" s="10"/>
    </row>
    <row r="759">
      <c r="A759" s="4"/>
      <c r="C759" s="4"/>
      <c r="H759" s="10"/>
    </row>
    <row r="760">
      <c r="A760" s="4"/>
      <c r="C760" s="4"/>
      <c r="H760" s="10"/>
    </row>
    <row r="761">
      <c r="A761" s="4"/>
      <c r="C761" s="4"/>
      <c r="H761" s="10"/>
    </row>
    <row r="762">
      <c r="A762" s="4"/>
      <c r="C762" s="4"/>
      <c r="H762" s="10"/>
    </row>
    <row r="763">
      <c r="A763" s="4"/>
      <c r="C763" s="4"/>
      <c r="H763" s="10"/>
    </row>
    <row r="764">
      <c r="A764" s="4"/>
      <c r="C764" s="4"/>
      <c r="H764" s="10"/>
    </row>
    <row r="765">
      <c r="A765" s="4"/>
      <c r="C765" s="4"/>
      <c r="H765" s="10"/>
    </row>
    <row r="766">
      <c r="A766" s="4"/>
      <c r="C766" s="4"/>
      <c r="H766" s="10"/>
    </row>
    <row r="767">
      <c r="A767" s="4"/>
      <c r="C767" s="4"/>
      <c r="H767" s="10"/>
    </row>
    <row r="768">
      <c r="A768" s="4"/>
      <c r="C768" s="4"/>
      <c r="H768" s="10"/>
    </row>
    <row r="769">
      <c r="A769" s="4"/>
      <c r="C769" s="4"/>
      <c r="H769" s="10"/>
    </row>
    <row r="770">
      <c r="A770" s="4"/>
      <c r="C770" s="4"/>
      <c r="H770" s="10"/>
    </row>
    <row r="771">
      <c r="A771" s="4"/>
      <c r="C771" s="4"/>
      <c r="H771" s="10"/>
    </row>
    <row r="772">
      <c r="A772" s="4"/>
      <c r="C772" s="4"/>
      <c r="H772" s="10"/>
    </row>
    <row r="773">
      <c r="A773" s="4"/>
      <c r="C773" s="4"/>
      <c r="H773" s="10"/>
    </row>
    <row r="774">
      <c r="A774" s="4"/>
      <c r="C774" s="4"/>
      <c r="H774" s="10"/>
    </row>
    <row r="775">
      <c r="A775" s="4"/>
      <c r="C775" s="4"/>
      <c r="H775" s="10"/>
    </row>
    <row r="776">
      <c r="A776" s="4"/>
      <c r="C776" s="4"/>
      <c r="H776" s="10"/>
    </row>
    <row r="777">
      <c r="A777" s="4"/>
      <c r="C777" s="4"/>
      <c r="H777" s="10"/>
    </row>
    <row r="778">
      <c r="A778" s="4"/>
      <c r="C778" s="4"/>
      <c r="H778" s="10"/>
    </row>
    <row r="779">
      <c r="A779" s="4"/>
      <c r="C779" s="4"/>
      <c r="H779" s="10"/>
    </row>
    <row r="780">
      <c r="A780" s="4"/>
      <c r="C780" s="4"/>
      <c r="H780" s="10"/>
    </row>
    <row r="781">
      <c r="A781" s="4"/>
      <c r="C781" s="4"/>
      <c r="H781" s="10"/>
    </row>
    <row r="782">
      <c r="A782" s="4"/>
      <c r="C782" s="4"/>
      <c r="H782" s="10"/>
    </row>
    <row r="783">
      <c r="A783" s="4"/>
      <c r="C783" s="4"/>
      <c r="H783" s="10"/>
    </row>
    <row r="784">
      <c r="A784" s="4"/>
      <c r="C784" s="4"/>
      <c r="H784" s="10"/>
    </row>
    <row r="785">
      <c r="A785" s="4"/>
      <c r="C785" s="4"/>
      <c r="H785" s="10"/>
    </row>
    <row r="786">
      <c r="A786" s="4"/>
      <c r="C786" s="4"/>
      <c r="H786" s="10"/>
    </row>
    <row r="787">
      <c r="A787" s="4"/>
      <c r="C787" s="4"/>
      <c r="H787" s="10"/>
    </row>
    <row r="788">
      <c r="A788" s="4"/>
      <c r="C788" s="4"/>
      <c r="H788" s="10"/>
    </row>
    <row r="789">
      <c r="A789" s="4"/>
      <c r="C789" s="4"/>
      <c r="H789" s="10"/>
    </row>
    <row r="790">
      <c r="A790" s="4"/>
      <c r="C790" s="4"/>
      <c r="H790" s="10"/>
    </row>
    <row r="791">
      <c r="A791" s="4"/>
      <c r="C791" s="4"/>
      <c r="H791" s="10"/>
    </row>
    <row r="792">
      <c r="A792" s="4"/>
      <c r="C792" s="4"/>
      <c r="H792" s="10"/>
    </row>
    <row r="793">
      <c r="A793" s="4"/>
      <c r="C793" s="4"/>
      <c r="H793" s="10"/>
    </row>
    <row r="794">
      <c r="A794" s="4"/>
      <c r="C794" s="4"/>
      <c r="H794" s="10"/>
    </row>
    <row r="795">
      <c r="A795" s="4"/>
      <c r="C795" s="4"/>
      <c r="H795" s="10"/>
    </row>
    <row r="796">
      <c r="A796" s="4"/>
      <c r="C796" s="4"/>
      <c r="H796" s="10"/>
    </row>
    <row r="797">
      <c r="A797" s="4"/>
      <c r="C797" s="4"/>
      <c r="H797" s="10"/>
    </row>
    <row r="798">
      <c r="A798" s="4"/>
      <c r="C798" s="4"/>
      <c r="H798" s="10"/>
    </row>
    <row r="799">
      <c r="A799" s="4"/>
      <c r="C799" s="4"/>
      <c r="H799" s="10"/>
    </row>
    <row r="800">
      <c r="A800" s="4"/>
      <c r="C800" s="4"/>
      <c r="H800" s="10"/>
    </row>
    <row r="801">
      <c r="A801" s="4"/>
      <c r="C801" s="4"/>
      <c r="H801" s="10"/>
    </row>
    <row r="802">
      <c r="A802" s="4"/>
      <c r="C802" s="4"/>
      <c r="H802" s="10"/>
    </row>
    <row r="803">
      <c r="A803" s="4"/>
      <c r="C803" s="4"/>
      <c r="H803" s="10"/>
    </row>
    <row r="804">
      <c r="A804" s="4"/>
      <c r="C804" s="4"/>
      <c r="H804" s="10"/>
    </row>
    <row r="805">
      <c r="A805" s="4"/>
      <c r="C805" s="4"/>
      <c r="H805" s="10"/>
    </row>
    <row r="806">
      <c r="A806" s="4"/>
      <c r="C806" s="4"/>
      <c r="H806" s="10"/>
    </row>
    <row r="807">
      <c r="A807" s="4"/>
      <c r="C807" s="4"/>
      <c r="H807" s="10"/>
    </row>
    <row r="808">
      <c r="A808" s="4"/>
      <c r="C808" s="4"/>
      <c r="H808" s="10"/>
    </row>
    <row r="809">
      <c r="A809" s="4"/>
      <c r="C809" s="4"/>
      <c r="H809" s="10"/>
    </row>
    <row r="810">
      <c r="A810" s="4"/>
      <c r="C810" s="4"/>
      <c r="H810" s="10"/>
    </row>
    <row r="811">
      <c r="A811" s="4"/>
      <c r="C811" s="4"/>
      <c r="H811" s="10"/>
    </row>
    <row r="812">
      <c r="A812" s="4"/>
      <c r="C812" s="4"/>
      <c r="H812" s="10"/>
    </row>
    <row r="813">
      <c r="A813" s="4"/>
      <c r="C813" s="4"/>
      <c r="H813" s="10"/>
    </row>
    <row r="814">
      <c r="A814" s="4"/>
      <c r="C814" s="4"/>
      <c r="H814" s="10"/>
    </row>
    <row r="815">
      <c r="A815" s="4"/>
      <c r="C815" s="4"/>
      <c r="H815" s="10"/>
    </row>
    <row r="816">
      <c r="A816" s="4"/>
      <c r="C816" s="4"/>
      <c r="H816" s="10"/>
    </row>
    <row r="817">
      <c r="A817" s="4"/>
      <c r="C817" s="4"/>
      <c r="H817" s="10"/>
    </row>
    <row r="818">
      <c r="A818" s="4"/>
      <c r="C818" s="4"/>
      <c r="H818" s="10"/>
    </row>
    <row r="819">
      <c r="A819" s="4"/>
      <c r="C819" s="4"/>
      <c r="H819" s="10"/>
    </row>
    <row r="820">
      <c r="A820" s="4"/>
      <c r="C820" s="4"/>
      <c r="H820" s="10"/>
    </row>
    <row r="821">
      <c r="A821" s="4"/>
      <c r="C821" s="4"/>
      <c r="H821" s="10"/>
    </row>
    <row r="822">
      <c r="A822" s="4"/>
      <c r="C822" s="4"/>
      <c r="H822" s="10"/>
    </row>
    <row r="823">
      <c r="A823" s="4"/>
      <c r="C823" s="4"/>
      <c r="H823" s="10"/>
    </row>
    <row r="824">
      <c r="A824" s="4"/>
      <c r="C824" s="4"/>
      <c r="H824" s="10"/>
    </row>
    <row r="825">
      <c r="A825" s="4"/>
      <c r="C825" s="4"/>
      <c r="H825" s="10"/>
    </row>
    <row r="826">
      <c r="A826" s="4"/>
      <c r="C826" s="4"/>
      <c r="H826" s="10"/>
    </row>
    <row r="827">
      <c r="A827" s="4"/>
      <c r="C827" s="4"/>
      <c r="H827" s="10"/>
    </row>
    <row r="828">
      <c r="A828" s="4"/>
      <c r="C828" s="4"/>
      <c r="H828" s="10"/>
    </row>
    <row r="829">
      <c r="A829" s="4"/>
      <c r="C829" s="4"/>
      <c r="H829" s="10"/>
    </row>
    <row r="830">
      <c r="A830" s="4"/>
      <c r="C830" s="4"/>
      <c r="H830" s="10"/>
    </row>
    <row r="831">
      <c r="A831" s="4"/>
      <c r="C831" s="4"/>
      <c r="H831" s="10"/>
    </row>
    <row r="832">
      <c r="A832" s="4"/>
      <c r="C832" s="4"/>
      <c r="H832" s="10"/>
    </row>
    <row r="833">
      <c r="A833" s="4"/>
      <c r="C833" s="4"/>
      <c r="H833" s="10"/>
    </row>
    <row r="834">
      <c r="A834" s="4"/>
      <c r="C834" s="4"/>
      <c r="H834" s="10"/>
    </row>
    <row r="835">
      <c r="A835" s="4"/>
      <c r="C835" s="4"/>
      <c r="H835" s="10"/>
    </row>
    <row r="836">
      <c r="A836" s="4"/>
      <c r="C836" s="4"/>
      <c r="H836" s="10"/>
    </row>
    <row r="837">
      <c r="A837" s="4"/>
      <c r="C837" s="4"/>
      <c r="H837" s="10"/>
    </row>
    <row r="838">
      <c r="A838" s="4"/>
      <c r="C838" s="4"/>
      <c r="H838" s="10"/>
    </row>
    <row r="839">
      <c r="A839" s="4"/>
      <c r="C839" s="4"/>
      <c r="H839" s="10"/>
    </row>
    <row r="840">
      <c r="A840" s="4"/>
      <c r="C840" s="4"/>
      <c r="H840" s="10"/>
    </row>
    <row r="841">
      <c r="A841" s="4"/>
      <c r="C841" s="4"/>
      <c r="H841" s="10"/>
    </row>
    <row r="842">
      <c r="A842" s="4"/>
      <c r="C842" s="4"/>
      <c r="H842" s="10"/>
    </row>
    <row r="843">
      <c r="A843" s="4"/>
      <c r="C843" s="4"/>
      <c r="H843" s="10"/>
    </row>
    <row r="844">
      <c r="A844" s="4"/>
      <c r="C844" s="4"/>
      <c r="H844" s="10"/>
    </row>
    <row r="845">
      <c r="A845" s="4"/>
      <c r="C845" s="4"/>
      <c r="H845" s="10"/>
    </row>
    <row r="846">
      <c r="A846" s="4"/>
      <c r="C846" s="4"/>
      <c r="H846" s="10"/>
    </row>
    <row r="847">
      <c r="A847" s="4"/>
      <c r="C847" s="4"/>
      <c r="H847" s="10"/>
    </row>
    <row r="848">
      <c r="A848" s="4"/>
      <c r="C848" s="4"/>
      <c r="H848" s="10"/>
    </row>
    <row r="849">
      <c r="A849" s="4"/>
      <c r="C849" s="4"/>
      <c r="H849" s="10"/>
    </row>
    <row r="850">
      <c r="A850" s="4"/>
      <c r="C850" s="4"/>
      <c r="H850" s="10"/>
    </row>
    <row r="851">
      <c r="A851" s="4"/>
      <c r="C851" s="4"/>
      <c r="H851" s="10"/>
    </row>
    <row r="852">
      <c r="A852" s="4"/>
      <c r="C852" s="4"/>
      <c r="H852" s="10"/>
    </row>
    <row r="853">
      <c r="A853" s="4"/>
      <c r="C853" s="4"/>
      <c r="H853" s="10"/>
    </row>
    <row r="854">
      <c r="A854" s="4"/>
      <c r="C854" s="4"/>
      <c r="H854" s="10"/>
    </row>
    <row r="855">
      <c r="A855" s="4"/>
      <c r="C855" s="4"/>
      <c r="H855" s="10"/>
    </row>
    <row r="856">
      <c r="A856" s="4"/>
      <c r="C856" s="4"/>
      <c r="H856" s="10"/>
    </row>
    <row r="857">
      <c r="A857" s="4"/>
      <c r="C857" s="4"/>
      <c r="H857" s="10"/>
    </row>
    <row r="858">
      <c r="A858" s="4"/>
      <c r="C858" s="4"/>
      <c r="H858" s="10"/>
    </row>
    <row r="859">
      <c r="A859" s="4"/>
      <c r="C859" s="4"/>
      <c r="H859" s="10"/>
    </row>
    <row r="860">
      <c r="A860" s="4"/>
      <c r="C860" s="4"/>
      <c r="H860" s="10"/>
    </row>
    <row r="861">
      <c r="A861" s="4"/>
      <c r="C861" s="4"/>
      <c r="H861" s="10"/>
    </row>
    <row r="862">
      <c r="A862" s="4"/>
      <c r="C862" s="4"/>
      <c r="H862" s="10"/>
    </row>
    <row r="863">
      <c r="A863" s="4"/>
      <c r="C863" s="4"/>
      <c r="H863" s="10"/>
    </row>
    <row r="864">
      <c r="A864" s="4"/>
      <c r="C864" s="4"/>
      <c r="H864" s="10"/>
    </row>
    <row r="865">
      <c r="A865" s="4"/>
      <c r="C865" s="4"/>
      <c r="H865" s="10"/>
    </row>
    <row r="866">
      <c r="A866" s="4"/>
      <c r="C866" s="4"/>
      <c r="H866" s="10"/>
    </row>
    <row r="867">
      <c r="A867" s="4"/>
      <c r="C867" s="4"/>
      <c r="H867" s="10"/>
    </row>
    <row r="868">
      <c r="A868" s="4"/>
      <c r="C868" s="4"/>
      <c r="H868" s="10"/>
    </row>
    <row r="869">
      <c r="A869" s="4"/>
      <c r="C869" s="4"/>
      <c r="H869" s="10"/>
    </row>
    <row r="870">
      <c r="A870" s="4"/>
      <c r="C870" s="4"/>
      <c r="H870" s="10"/>
    </row>
    <row r="871">
      <c r="A871" s="4"/>
      <c r="C871" s="4"/>
      <c r="H871" s="10"/>
    </row>
    <row r="872">
      <c r="A872" s="4"/>
      <c r="C872" s="4"/>
      <c r="H872" s="10"/>
    </row>
    <row r="873">
      <c r="A873" s="4"/>
      <c r="C873" s="4"/>
      <c r="H873" s="10"/>
    </row>
    <row r="874">
      <c r="A874" s="4"/>
      <c r="C874" s="4"/>
      <c r="H874" s="10"/>
    </row>
    <row r="875">
      <c r="A875" s="4"/>
      <c r="C875" s="4"/>
      <c r="H875" s="10"/>
    </row>
    <row r="876">
      <c r="A876" s="4"/>
      <c r="C876" s="4"/>
      <c r="H876" s="10"/>
    </row>
    <row r="877">
      <c r="A877" s="4"/>
      <c r="C877" s="4"/>
      <c r="H877" s="10"/>
    </row>
    <row r="878">
      <c r="A878" s="4"/>
      <c r="C878" s="4"/>
      <c r="H878" s="10"/>
    </row>
    <row r="879">
      <c r="A879" s="4"/>
      <c r="C879" s="4"/>
      <c r="H879" s="10"/>
    </row>
    <row r="880">
      <c r="A880" s="4"/>
      <c r="C880" s="4"/>
      <c r="H880" s="10"/>
    </row>
    <row r="881">
      <c r="A881" s="4"/>
      <c r="C881" s="4"/>
      <c r="H881" s="10"/>
    </row>
    <row r="882">
      <c r="A882" s="4"/>
      <c r="C882" s="4"/>
      <c r="H882" s="10"/>
    </row>
    <row r="883">
      <c r="A883" s="4"/>
      <c r="C883" s="4"/>
      <c r="H883" s="10"/>
    </row>
    <row r="884">
      <c r="A884" s="4"/>
      <c r="C884" s="4"/>
      <c r="H884" s="10"/>
    </row>
    <row r="885">
      <c r="A885" s="4"/>
      <c r="C885" s="4"/>
      <c r="H885" s="10"/>
    </row>
    <row r="886">
      <c r="A886" s="4"/>
      <c r="C886" s="4"/>
      <c r="H886" s="10"/>
    </row>
    <row r="887">
      <c r="A887" s="4"/>
      <c r="C887" s="4"/>
      <c r="H887" s="10"/>
    </row>
    <row r="888">
      <c r="A888" s="4"/>
      <c r="C888" s="4"/>
      <c r="H888" s="10"/>
    </row>
    <row r="889">
      <c r="A889" s="4"/>
      <c r="C889" s="4"/>
      <c r="H889" s="10"/>
    </row>
    <row r="890">
      <c r="A890" s="4"/>
      <c r="C890" s="4"/>
      <c r="H890" s="10"/>
    </row>
    <row r="891">
      <c r="A891" s="4"/>
      <c r="C891" s="4"/>
      <c r="H891" s="10"/>
    </row>
    <row r="892">
      <c r="A892" s="4"/>
      <c r="C892" s="4"/>
      <c r="H892" s="10"/>
    </row>
    <row r="893">
      <c r="A893" s="4"/>
      <c r="C893" s="4"/>
      <c r="H893" s="10"/>
    </row>
    <row r="894">
      <c r="A894" s="4"/>
      <c r="C894" s="4"/>
      <c r="H894" s="10"/>
    </row>
    <row r="895">
      <c r="A895" s="4"/>
      <c r="C895" s="4"/>
      <c r="H895" s="10"/>
    </row>
    <row r="896">
      <c r="A896" s="4"/>
      <c r="C896" s="4"/>
      <c r="H896" s="10"/>
    </row>
    <row r="897">
      <c r="A897" s="4"/>
      <c r="C897" s="4"/>
      <c r="H897" s="10"/>
    </row>
    <row r="898">
      <c r="A898" s="4"/>
      <c r="C898" s="4"/>
      <c r="H898" s="10"/>
    </row>
    <row r="899">
      <c r="A899" s="4"/>
      <c r="C899" s="4"/>
      <c r="H899" s="10"/>
    </row>
    <row r="900">
      <c r="A900" s="4"/>
      <c r="C900" s="4"/>
      <c r="H900" s="10"/>
    </row>
    <row r="901">
      <c r="A901" s="4"/>
      <c r="C901" s="4"/>
      <c r="H901" s="10"/>
    </row>
    <row r="902">
      <c r="A902" s="4"/>
      <c r="C902" s="4"/>
      <c r="H902" s="10"/>
    </row>
    <row r="903">
      <c r="A903" s="4"/>
      <c r="C903" s="4"/>
      <c r="H903" s="10"/>
    </row>
    <row r="904">
      <c r="A904" s="4"/>
      <c r="C904" s="4"/>
      <c r="H904" s="10"/>
    </row>
    <row r="905">
      <c r="A905" s="4"/>
      <c r="C905" s="4"/>
      <c r="H905" s="10"/>
    </row>
    <row r="906">
      <c r="A906" s="4"/>
      <c r="C906" s="4"/>
      <c r="H906" s="10"/>
    </row>
    <row r="907">
      <c r="A907" s="4"/>
      <c r="C907" s="4"/>
      <c r="H907" s="10"/>
    </row>
    <row r="908">
      <c r="A908" s="4"/>
      <c r="C908" s="4"/>
      <c r="H908" s="10"/>
    </row>
    <row r="909">
      <c r="A909" s="4"/>
      <c r="C909" s="4"/>
      <c r="H909" s="10"/>
    </row>
    <row r="910">
      <c r="A910" s="4"/>
      <c r="C910" s="4"/>
      <c r="H910" s="10"/>
    </row>
    <row r="911">
      <c r="A911" s="4"/>
      <c r="C911" s="4"/>
      <c r="H911" s="10"/>
    </row>
    <row r="912">
      <c r="A912" s="4"/>
      <c r="C912" s="4"/>
      <c r="H912" s="10"/>
    </row>
    <row r="913">
      <c r="A913" s="4"/>
      <c r="C913" s="4"/>
      <c r="H913" s="10"/>
    </row>
    <row r="914">
      <c r="A914" s="4"/>
      <c r="C914" s="4"/>
      <c r="H914" s="10"/>
    </row>
    <row r="915">
      <c r="A915" s="4"/>
      <c r="C915" s="4"/>
      <c r="H915" s="10"/>
    </row>
    <row r="916">
      <c r="A916" s="4"/>
      <c r="C916" s="4"/>
      <c r="H916" s="10"/>
    </row>
    <row r="917">
      <c r="A917" s="4"/>
      <c r="C917" s="4"/>
      <c r="H917" s="10"/>
    </row>
    <row r="918">
      <c r="A918" s="4"/>
      <c r="C918" s="4"/>
      <c r="H918" s="10"/>
    </row>
    <row r="919">
      <c r="A919" s="4"/>
      <c r="C919" s="4"/>
      <c r="H919" s="10"/>
    </row>
    <row r="920">
      <c r="A920" s="4"/>
      <c r="C920" s="4"/>
      <c r="H920" s="10"/>
    </row>
    <row r="921">
      <c r="A921" s="4"/>
      <c r="C921" s="4"/>
      <c r="H921" s="10"/>
    </row>
    <row r="922">
      <c r="A922" s="4"/>
      <c r="C922" s="4"/>
      <c r="H922" s="10"/>
    </row>
    <row r="923">
      <c r="A923" s="4"/>
      <c r="C923" s="4"/>
      <c r="H923" s="10"/>
    </row>
    <row r="924">
      <c r="A924" s="4"/>
      <c r="C924" s="4"/>
      <c r="H924" s="10"/>
    </row>
    <row r="925">
      <c r="A925" s="4"/>
      <c r="C925" s="4"/>
      <c r="H925" s="10"/>
    </row>
    <row r="926">
      <c r="A926" s="4"/>
      <c r="C926" s="4"/>
      <c r="H926" s="10"/>
    </row>
    <row r="927">
      <c r="A927" s="4"/>
      <c r="C927" s="4"/>
      <c r="H927" s="10"/>
    </row>
    <row r="928">
      <c r="A928" s="4"/>
      <c r="C928" s="4"/>
      <c r="H928" s="10"/>
    </row>
    <row r="929">
      <c r="A929" s="4"/>
      <c r="C929" s="4"/>
      <c r="H929" s="10"/>
    </row>
    <row r="930">
      <c r="A930" s="4"/>
      <c r="C930" s="4"/>
      <c r="H930" s="10"/>
    </row>
    <row r="931">
      <c r="A931" s="4"/>
      <c r="C931" s="4"/>
      <c r="H931" s="10"/>
    </row>
    <row r="932">
      <c r="A932" s="4"/>
      <c r="C932" s="4"/>
      <c r="H932" s="10"/>
    </row>
    <row r="933">
      <c r="A933" s="4"/>
      <c r="C933" s="4"/>
      <c r="H933" s="10"/>
    </row>
    <row r="934">
      <c r="A934" s="4"/>
      <c r="C934" s="4"/>
      <c r="H934" s="10"/>
    </row>
    <row r="935">
      <c r="A935" s="4"/>
      <c r="C935" s="4"/>
      <c r="H935" s="10"/>
    </row>
    <row r="936">
      <c r="A936" s="4"/>
      <c r="C936" s="4"/>
      <c r="H936" s="10"/>
    </row>
    <row r="937">
      <c r="A937" s="4"/>
      <c r="C937" s="4"/>
      <c r="H937" s="10"/>
    </row>
    <row r="938">
      <c r="A938" s="4"/>
      <c r="C938" s="4"/>
      <c r="H938" s="10"/>
    </row>
    <row r="939">
      <c r="A939" s="4"/>
      <c r="C939" s="4"/>
      <c r="H939" s="10"/>
    </row>
    <row r="940">
      <c r="A940" s="4"/>
      <c r="C940" s="4"/>
      <c r="H940" s="10"/>
    </row>
    <row r="941">
      <c r="A941" s="4"/>
      <c r="C941" s="4"/>
      <c r="H941" s="10"/>
    </row>
    <row r="942">
      <c r="A942" s="4"/>
      <c r="C942" s="4"/>
      <c r="H942" s="10"/>
    </row>
    <row r="943">
      <c r="A943" s="4"/>
      <c r="C943" s="4"/>
      <c r="H943" s="10"/>
    </row>
    <row r="944">
      <c r="A944" s="4"/>
      <c r="C944" s="4"/>
      <c r="H944" s="10"/>
    </row>
    <row r="945">
      <c r="A945" s="4"/>
      <c r="C945" s="4"/>
      <c r="H945" s="10"/>
    </row>
    <row r="946">
      <c r="A946" s="4"/>
      <c r="C946" s="4"/>
      <c r="H946" s="10"/>
    </row>
    <row r="947">
      <c r="A947" s="4"/>
      <c r="C947" s="4"/>
      <c r="H947" s="10"/>
    </row>
    <row r="948">
      <c r="A948" s="4"/>
      <c r="C948" s="4"/>
      <c r="H948" s="10"/>
    </row>
    <row r="949">
      <c r="A949" s="4"/>
      <c r="C949" s="4"/>
      <c r="H949" s="10"/>
    </row>
    <row r="950">
      <c r="A950" s="4"/>
      <c r="C950" s="4"/>
      <c r="H950" s="10"/>
    </row>
    <row r="951">
      <c r="A951" s="4"/>
      <c r="C951" s="4"/>
      <c r="H951" s="10"/>
    </row>
    <row r="952">
      <c r="A952" s="4"/>
      <c r="C952" s="4"/>
      <c r="H952" s="10"/>
    </row>
    <row r="953">
      <c r="A953" s="4"/>
      <c r="C953" s="4"/>
      <c r="H953" s="10"/>
    </row>
    <row r="954">
      <c r="A954" s="4"/>
      <c r="C954" s="4"/>
      <c r="H954" s="10"/>
    </row>
    <row r="955">
      <c r="A955" s="4"/>
      <c r="C955" s="4"/>
      <c r="H955" s="10"/>
    </row>
    <row r="956">
      <c r="A956" s="4"/>
      <c r="C956" s="4"/>
      <c r="H956" s="10"/>
    </row>
    <row r="957">
      <c r="A957" s="4"/>
      <c r="C957" s="4"/>
      <c r="H957" s="10"/>
    </row>
    <row r="958">
      <c r="A958" s="4"/>
      <c r="C958" s="4"/>
      <c r="H958" s="10"/>
    </row>
    <row r="959">
      <c r="A959" s="4"/>
      <c r="C959" s="4"/>
      <c r="H959" s="10"/>
    </row>
    <row r="960">
      <c r="A960" s="4"/>
      <c r="C960" s="4"/>
      <c r="H960" s="10"/>
    </row>
    <row r="961">
      <c r="A961" s="4"/>
      <c r="C961" s="4"/>
      <c r="H961" s="10"/>
    </row>
    <row r="962">
      <c r="A962" s="4"/>
      <c r="C962" s="4"/>
      <c r="H962" s="10"/>
    </row>
    <row r="963">
      <c r="A963" s="4"/>
      <c r="C963" s="4"/>
      <c r="H963" s="10"/>
    </row>
    <row r="964">
      <c r="A964" s="4"/>
      <c r="C964" s="4"/>
      <c r="H964" s="10"/>
    </row>
    <row r="965">
      <c r="A965" s="4"/>
      <c r="C965" s="4"/>
      <c r="H965" s="10"/>
    </row>
    <row r="966">
      <c r="A966" s="4"/>
      <c r="C966" s="4"/>
      <c r="H966" s="10"/>
    </row>
    <row r="967">
      <c r="A967" s="4"/>
      <c r="C967" s="4"/>
      <c r="H967" s="10"/>
    </row>
    <row r="968">
      <c r="A968" s="4"/>
      <c r="C968" s="4"/>
      <c r="H968" s="10"/>
    </row>
    <row r="969">
      <c r="A969" s="4"/>
      <c r="C969" s="4"/>
      <c r="H969" s="10"/>
    </row>
    <row r="970">
      <c r="A970" s="4"/>
      <c r="C970" s="4"/>
      <c r="H970" s="10"/>
    </row>
    <row r="971">
      <c r="A971" s="4"/>
      <c r="C971" s="4"/>
      <c r="H971" s="10"/>
    </row>
    <row r="972">
      <c r="A972" s="4"/>
      <c r="C972" s="4"/>
      <c r="H972" s="10"/>
    </row>
    <row r="973">
      <c r="A973" s="4"/>
      <c r="C973" s="4"/>
      <c r="H973" s="10"/>
    </row>
    <row r="974">
      <c r="A974" s="4"/>
      <c r="C974" s="4"/>
      <c r="H974" s="10"/>
    </row>
    <row r="975">
      <c r="A975" s="4"/>
      <c r="C975" s="4"/>
      <c r="H975" s="10"/>
    </row>
    <row r="976">
      <c r="A976" s="4"/>
      <c r="C976" s="4"/>
      <c r="H976" s="10"/>
    </row>
    <row r="977">
      <c r="A977" s="4"/>
      <c r="C977" s="4"/>
      <c r="H977" s="10"/>
    </row>
    <row r="978">
      <c r="A978" s="4"/>
      <c r="C978" s="4"/>
      <c r="H978" s="10"/>
    </row>
    <row r="979">
      <c r="A979" s="4"/>
      <c r="C979" s="4"/>
      <c r="H979" s="10"/>
    </row>
    <row r="980">
      <c r="A980" s="4"/>
      <c r="C980" s="4"/>
      <c r="H980" s="10"/>
    </row>
    <row r="981">
      <c r="A981" s="4"/>
      <c r="C981" s="4"/>
      <c r="H981" s="10"/>
    </row>
    <row r="982">
      <c r="A982" s="4"/>
      <c r="C982" s="4"/>
      <c r="H982" s="10"/>
    </row>
    <row r="983">
      <c r="A983" s="4"/>
      <c r="C983" s="4"/>
      <c r="H983" s="10"/>
    </row>
    <row r="984">
      <c r="A984" s="4"/>
      <c r="C984" s="4"/>
      <c r="H984" s="10"/>
    </row>
    <row r="985">
      <c r="A985" s="4"/>
      <c r="C985" s="4"/>
      <c r="H985" s="10"/>
    </row>
    <row r="986">
      <c r="A986" s="4"/>
      <c r="C986" s="4"/>
      <c r="H986" s="10"/>
    </row>
    <row r="987">
      <c r="A987" s="4"/>
      <c r="C987" s="4"/>
      <c r="H987" s="10"/>
    </row>
    <row r="988">
      <c r="A988" s="4"/>
      <c r="C988" s="4"/>
      <c r="H988" s="10"/>
    </row>
    <row r="989">
      <c r="A989" s="4"/>
      <c r="C989" s="4"/>
      <c r="H989" s="10"/>
    </row>
    <row r="990">
      <c r="A990" s="4"/>
      <c r="C990" s="4"/>
      <c r="H990" s="10"/>
    </row>
    <row r="991">
      <c r="A991" s="4"/>
      <c r="C991" s="4"/>
      <c r="H991" s="10"/>
    </row>
    <row r="992">
      <c r="A992" s="4"/>
      <c r="C992" s="4"/>
      <c r="H992" s="10"/>
    </row>
    <row r="993">
      <c r="A993" s="4"/>
      <c r="C993" s="4"/>
      <c r="H993" s="10"/>
    </row>
    <row r="994">
      <c r="A994" s="4"/>
      <c r="C994" s="4"/>
      <c r="H994" s="10"/>
    </row>
    <row r="995">
      <c r="A995" s="4"/>
      <c r="C995" s="4"/>
      <c r="H995" s="10"/>
    </row>
    <row r="996">
      <c r="A996" s="4"/>
      <c r="C996" s="4"/>
      <c r="H996" s="10"/>
    </row>
    <row r="997">
      <c r="A997" s="4"/>
      <c r="C997" s="4"/>
      <c r="H997" s="10"/>
    </row>
    <row r="998">
      <c r="A998" s="4"/>
      <c r="C998" s="4"/>
      <c r="H998" s="10"/>
    </row>
    <row r="999">
      <c r="A999" s="4"/>
      <c r="C999" s="4"/>
      <c r="H999" s="10"/>
    </row>
    <row r="1000">
      <c r="A1000" s="4"/>
      <c r="C1000" s="4"/>
      <c r="H1000" s="10"/>
    </row>
    <row r="1001">
      <c r="A1001" s="4"/>
      <c r="C1001" s="4"/>
      <c r="H1001" s="10"/>
    </row>
    <row r="1002">
      <c r="A1002" s="4"/>
      <c r="C1002" s="4"/>
      <c r="H1002" s="10"/>
    </row>
    <row r="1003">
      <c r="A1003" s="4"/>
      <c r="C1003" s="4"/>
      <c r="H1003" s="10"/>
    </row>
    <row r="1004">
      <c r="A1004" s="4"/>
      <c r="C1004" s="4"/>
      <c r="H1004" s="10"/>
    </row>
    <row r="1005">
      <c r="A1005" s="4"/>
      <c r="C1005" s="4"/>
      <c r="H1005" s="10"/>
    </row>
    <row r="1006">
      <c r="A1006" s="4"/>
      <c r="C1006" s="4"/>
      <c r="H1006" s="10"/>
    </row>
    <row r="1007">
      <c r="A1007" s="4"/>
      <c r="C1007" s="4"/>
      <c r="H1007" s="10"/>
    </row>
    <row r="1008">
      <c r="A1008" s="4"/>
      <c r="C1008" s="4"/>
      <c r="H1008" s="10"/>
    </row>
    <row r="1009">
      <c r="A1009" s="4"/>
      <c r="C1009" s="4"/>
      <c r="H1009" s="10"/>
    </row>
    <row r="1010">
      <c r="A1010" s="4"/>
      <c r="C1010" s="4"/>
      <c r="H1010" s="10"/>
    </row>
    <row r="1011">
      <c r="A1011" s="4"/>
      <c r="C1011" s="4"/>
      <c r="H1011" s="10"/>
    </row>
    <row r="1012">
      <c r="A1012" s="4"/>
      <c r="C1012" s="4"/>
      <c r="H1012" s="10"/>
    </row>
    <row r="1013">
      <c r="A1013" s="4"/>
      <c r="C1013" s="4"/>
      <c r="H1013" s="10"/>
    </row>
    <row r="1014">
      <c r="A1014" s="4"/>
      <c r="C1014" s="4"/>
      <c r="H1014" s="10"/>
    </row>
    <row r="1015">
      <c r="A1015" s="4"/>
      <c r="C1015" s="4"/>
      <c r="H1015" s="10"/>
    </row>
    <row r="1016">
      <c r="A1016" s="4"/>
      <c r="C1016" s="4"/>
      <c r="H1016" s="10"/>
    </row>
    <row r="1017">
      <c r="A1017" s="4"/>
      <c r="C1017" s="4"/>
      <c r="H1017" s="10"/>
    </row>
    <row r="1018">
      <c r="A1018" s="4"/>
      <c r="C1018" s="4"/>
      <c r="H1018" s="10"/>
    </row>
    <row r="1019">
      <c r="A1019" s="4"/>
      <c r="C1019" s="4"/>
      <c r="H1019" s="10"/>
    </row>
    <row r="1020">
      <c r="A1020" s="4"/>
      <c r="C1020" s="4"/>
      <c r="H1020" s="10"/>
    </row>
    <row r="1021">
      <c r="A1021" s="4"/>
      <c r="C1021" s="4"/>
      <c r="H1021" s="10"/>
    </row>
    <row r="1022">
      <c r="A1022" s="4"/>
      <c r="C1022" s="4"/>
      <c r="H1022" s="10"/>
    </row>
    <row r="1023">
      <c r="A1023" s="4"/>
      <c r="C1023" s="4"/>
      <c r="H1023" s="10"/>
    </row>
    <row r="1024">
      <c r="A1024" s="4"/>
      <c r="C1024" s="4"/>
      <c r="H1024" s="10"/>
    </row>
    <row r="1025">
      <c r="A1025" s="4"/>
      <c r="C1025" s="4"/>
      <c r="H1025" s="10"/>
    </row>
    <row r="1026">
      <c r="A1026" s="4"/>
      <c r="C1026" s="4"/>
      <c r="H1026" s="10"/>
    </row>
    <row r="1027">
      <c r="A1027" s="4"/>
      <c r="C1027" s="4"/>
      <c r="H1027" s="10"/>
    </row>
    <row r="1028">
      <c r="A1028" s="4"/>
      <c r="C1028" s="4"/>
      <c r="H1028" s="10"/>
    </row>
    <row r="1029">
      <c r="A1029" s="4"/>
      <c r="C1029" s="4"/>
      <c r="H1029" s="10"/>
    </row>
    <row r="1030">
      <c r="A1030" s="4"/>
      <c r="C1030" s="4"/>
      <c r="H1030" s="10"/>
    </row>
    <row r="1031">
      <c r="A1031" s="4"/>
      <c r="C1031" s="4"/>
      <c r="H1031" s="10"/>
    </row>
    <row r="1032">
      <c r="A1032" s="4"/>
      <c r="C1032" s="4"/>
      <c r="H1032" s="10"/>
    </row>
    <row r="1033">
      <c r="A1033" s="4"/>
      <c r="C1033" s="4"/>
      <c r="H1033" s="10"/>
    </row>
    <row r="1034">
      <c r="A1034" s="4"/>
      <c r="C1034" s="4"/>
      <c r="H1034" s="10"/>
    </row>
    <row r="1035">
      <c r="A1035" s="4"/>
      <c r="C1035" s="4"/>
      <c r="H1035" s="10"/>
    </row>
    <row r="1036">
      <c r="A1036" s="4"/>
      <c r="C1036" s="4"/>
      <c r="H1036" s="10"/>
    </row>
    <row r="1037">
      <c r="A1037" s="4"/>
      <c r="C1037" s="4"/>
      <c r="H1037" s="10"/>
    </row>
    <row r="1038">
      <c r="A1038" s="4"/>
      <c r="C1038" s="4"/>
      <c r="H1038" s="10"/>
    </row>
    <row r="1039">
      <c r="A1039" s="4"/>
      <c r="C1039" s="4"/>
      <c r="H1039" s="10"/>
    </row>
    <row r="1040">
      <c r="A1040" s="4"/>
      <c r="C1040" s="4"/>
      <c r="H1040" s="10"/>
    </row>
    <row r="1041">
      <c r="A1041" s="4"/>
      <c r="C1041" s="4"/>
      <c r="H1041" s="10"/>
    </row>
    <row r="1042">
      <c r="A1042" s="4"/>
      <c r="C1042" s="4"/>
      <c r="H1042" s="10"/>
    </row>
    <row r="1043">
      <c r="A1043" s="4"/>
      <c r="C1043" s="4"/>
      <c r="H1043" s="10"/>
    </row>
    <row r="1044">
      <c r="A1044" s="4"/>
      <c r="C1044" s="4"/>
      <c r="H1044" s="10"/>
    </row>
    <row r="1045">
      <c r="A1045" s="4"/>
      <c r="C1045" s="4"/>
      <c r="H1045" s="10"/>
    </row>
    <row r="1046">
      <c r="A1046" s="4"/>
      <c r="C1046" s="4"/>
      <c r="H1046" s="10"/>
    </row>
    <row r="1047">
      <c r="A1047" s="4"/>
      <c r="C1047" s="4"/>
      <c r="H1047" s="10"/>
    </row>
    <row r="1048">
      <c r="A1048" s="4"/>
      <c r="C1048" s="4"/>
      <c r="H1048" s="10"/>
    </row>
    <row r="1049">
      <c r="A1049" s="4"/>
      <c r="C1049" s="4"/>
      <c r="H1049" s="10"/>
    </row>
    <row r="1050">
      <c r="A1050" s="4"/>
      <c r="C1050" s="4"/>
      <c r="H1050" s="10"/>
    </row>
    <row r="1051">
      <c r="A1051" s="4"/>
      <c r="C1051" s="4"/>
      <c r="H1051" s="10"/>
    </row>
    <row r="1052">
      <c r="A1052" s="4"/>
      <c r="C1052" s="4"/>
      <c r="H1052" s="10"/>
    </row>
    <row r="1053">
      <c r="A1053" s="4"/>
      <c r="C1053" s="4"/>
      <c r="H1053" s="10"/>
    </row>
    <row r="1054">
      <c r="A1054" s="4"/>
      <c r="C1054" s="4"/>
      <c r="H1054" s="10"/>
    </row>
    <row r="1055">
      <c r="A1055" s="4"/>
      <c r="C1055" s="4"/>
      <c r="H1055" s="10"/>
    </row>
    <row r="1056">
      <c r="A1056" s="4"/>
      <c r="C1056" s="4"/>
      <c r="H1056" s="10"/>
    </row>
    <row r="1057">
      <c r="A1057" s="4"/>
      <c r="C1057" s="4"/>
      <c r="H1057" s="10"/>
    </row>
    <row r="1058">
      <c r="A1058" s="4"/>
      <c r="C1058" s="4"/>
      <c r="H1058" s="10"/>
    </row>
    <row r="1059">
      <c r="A1059" s="4"/>
      <c r="C1059" s="4"/>
      <c r="H1059" s="10"/>
    </row>
    <row r="1060">
      <c r="A1060" s="4"/>
      <c r="C1060" s="4"/>
      <c r="H1060" s="10"/>
    </row>
    <row r="1061">
      <c r="A1061" s="4"/>
      <c r="C1061" s="4"/>
      <c r="H1061" s="10"/>
    </row>
    <row r="1062">
      <c r="A1062" s="4"/>
      <c r="C1062" s="4"/>
      <c r="H1062" s="10"/>
    </row>
    <row r="1063">
      <c r="A1063" s="4"/>
      <c r="C1063" s="4"/>
      <c r="H1063" s="10"/>
    </row>
    <row r="1064">
      <c r="A1064" s="4"/>
      <c r="C1064" s="4"/>
      <c r="H1064" s="10"/>
    </row>
    <row r="1065">
      <c r="A1065" s="4"/>
      <c r="C1065" s="4"/>
      <c r="H1065" s="10"/>
    </row>
    <row r="1066">
      <c r="A1066" s="4"/>
      <c r="C1066" s="4"/>
      <c r="H1066" s="10"/>
    </row>
    <row r="1067">
      <c r="A1067" s="4"/>
      <c r="C1067" s="4"/>
      <c r="H1067" s="10"/>
    </row>
    <row r="1068">
      <c r="A1068" s="4"/>
      <c r="C1068" s="4"/>
      <c r="H1068" s="10"/>
    </row>
    <row r="1069">
      <c r="A1069" s="4"/>
      <c r="C1069" s="4"/>
      <c r="H1069" s="10"/>
    </row>
    <row r="1070">
      <c r="A1070" s="4"/>
      <c r="C1070" s="4"/>
      <c r="H1070" s="10"/>
    </row>
    <row r="1071">
      <c r="A1071" s="4"/>
      <c r="C1071" s="4"/>
      <c r="H1071" s="10"/>
    </row>
    <row r="1072">
      <c r="A1072" s="4"/>
      <c r="C1072" s="4"/>
      <c r="H1072" s="10"/>
    </row>
    <row r="1073">
      <c r="A1073" s="4"/>
      <c r="C1073" s="4"/>
      <c r="H1073" s="10"/>
    </row>
    <row r="1074">
      <c r="A1074" s="4"/>
      <c r="C1074" s="4"/>
      <c r="H1074" s="10"/>
    </row>
    <row r="1075">
      <c r="A1075" s="4"/>
      <c r="C1075" s="4"/>
      <c r="H1075" s="10"/>
    </row>
    <row r="1076">
      <c r="A1076" s="4"/>
      <c r="C1076" s="4"/>
      <c r="H1076" s="10"/>
    </row>
    <row r="1077">
      <c r="A1077" s="4"/>
      <c r="C1077" s="4"/>
      <c r="H1077" s="10"/>
    </row>
    <row r="1078">
      <c r="A1078" s="4"/>
      <c r="C1078" s="4"/>
      <c r="H1078" s="10"/>
    </row>
    <row r="1079">
      <c r="A1079" s="4"/>
      <c r="C1079" s="4"/>
      <c r="H1079" s="10"/>
    </row>
    <row r="1080">
      <c r="A1080" s="4"/>
      <c r="C1080" s="4"/>
      <c r="H1080" s="10"/>
    </row>
    <row r="1081">
      <c r="A1081" s="4"/>
      <c r="C1081" s="4"/>
      <c r="H1081" s="10"/>
    </row>
    <row r="1082">
      <c r="A1082" s="4"/>
      <c r="C1082" s="4"/>
      <c r="H1082" s="10"/>
    </row>
    <row r="1083">
      <c r="A1083" s="4"/>
      <c r="C1083" s="4"/>
      <c r="H1083" s="10"/>
    </row>
    <row r="1084">
      <c r="A1084" s="4"/>
      <c r="C1084" s="4"/>
      <c r="H1084" s="10"/>
    </row>
    <row r="1085">
      <c r="A1085" s="4"/>
      <c r="C1085" s="4"/>
      <c r="H1085" s="10"/>
    </row>
    <row r="1086">
      <c r="A1086" s="4"/>
      <c r="C1086" s="4"/>
      <c r="H1086" s="10"/>
    </row>
    <row r="1087">
      <c r="A1087" s="4"/>
      <c r="C1087" s="4"/>
      <c r="H1087" s="10"/>
    </row>
    <row r="1088">
      <c r="A1088" s="4"/>
      <c r="C1088" s="4"/>
      <c r="H1088" s="10"/>
    </row>
    <row r="1089">
      <c r="A1089" s="4"/>
      <c r="C1089" s="4"/>
      <c r="H1089" s="10"/>
    </row>
    <row r="1090">
      <c r="A1090" s="4"/>
      <c r="C1090" s="4"/>
      <c r="H1090" s="10"/>
    </row>
    <row r="1091">
      <c r="A1091" s="4"/>
      <c r="C1091" s="4"/>
      <c r="H1091" s="10"/>
    </row>
    <row r="1092">
      <c r="A1092" s="4"/>
      <c r="C1092" s="4"/>
      <c r="H1092" s="10"/>
    </row>
    <row r="1093">
      <c r="A1093" s="4"/>
      <c r="C1093" s="4"/>
      <c r="H1093" s="10"/>
    </row>
    <row r="1094">
      <c r="A1094" s="4"/>
      <c r="C1094" s="4"/>
      <c r="H1094" s="10"/>
    </row>
    <row r="1095">
      <c r="A1095" s="4"/>
      <c r="C1095" s="4"/>
      <c r="H1095" s="10"/>
    </row>
    <row r="1096">
      <c r="A1096" s="4"/>
      <c r="C1096" s="4"/>
      <c r="H1096" s="10"/>
    </row>
    <row r="1097">
      <c r="A1097" s="4"/>
      <c r="C1097" s="4"/>
      <c r="H1097" s="10"/>
    </row>
    <row r="1098">
      <c r="A1098" s="4"/>
      <c r="C1098" s="4"/>
      <c r="H1098" s="10"/>
    </row>
    <row r="1099">
      <c r="A1099" s="4"/>
      <c r="C1099" s="4"/>
      <c r="H1099" s="10"/>
    </row>
    <row r="1100">
      <c r="A1100" s="4"/>
      <c r="C1100" s="4"/>
      <c r="H1100" s="10"/>
    </row>
    <row r="1101">
      <c r="A1101" s="4"/>
      <c r="C1101" s="4"/>
      <c r="H1101" s="10"/>
    </row>
    <row r="1102">
      <c r="A1102" s="4"/>
      <c r="C1102" s="4"/>
      <c r="H1102" s="10"/>
    </row>
    <row r="1103">
      <c r="A1103" s="4"/>
      <c r="C1103" s="4"/>
      <c r="H1103" s="10"/>
    </row>
    <row r="1104">
      <c r="A1104" s="4"/>
      <c r="C1104" s="4"/>
      <c r="H1104" s="10"/>
    </row>
    <row r="1105">
      <c r="A1105" s="4"/>
      <c r="C1105" s="4"/>
      <c r="H1105" s="10"/>
    </row>
    <row r="1106">
      <c r="A1106" s="4"/>
      <c r="C1106" s="4"/>
      <c r="H1106" s="10"/>
    </row>
    <row r="1107">
      <c r="A1107" s="4"/>
      <c r="C1107" s="4"/>
      <c r="H1107" s="10"/>
    </row>
    <row r="1108">
      <c r="A1108" s="4"/>
      <c r="C1108" s="4"/>
      <c r="H1108" s="10"/>
    </row>
    <row r="1109">
      <c r="A1109" s="4"/>
      <c r="C1109" s="4"/>
      <c r="H1109" s="10"/>
    </row>
    <row r="1110">
      <c r="A1110" s="4"/>
      <c r="C1110" s="4"/>
      <c r="H1110" s="10"/>
    </row>
    <row r="1111">
      <c r="A1111" s="4"/>
      <c r="C1111" s="4"/>
      <c r="H1111" s="10"/>
    </row>
    <row r="1112">
      <c r="A1112" s="4"/>
      <c r="C1112" s="4"/>
      <c r="H1112" s="10"/>
    </row>
    <row r="1113">
      <c r="A1113" s="4"/>
      <c r="C1113" s="4"/>
      <c r="H1113" s="10"/>
    </row>
    <row r="1114">
      <c r="A1114" s="4"/>
      <c r="C1114" s="4"/>
      <c r="H1114" s="10"/>
    </row>
    <row r="1115">
      <c r="A1115" s="4"/>
      <c r="C1115" s="4"/>
      <c r="H1115" s="10"/>
    </row>
    <row r="1116">
      <c r="A1116" s="4"/>
      <c r="C1116" s="4"/>
      <c r="H1116" s="10"/>
    </row>
    <row r="1117">
      <c r="A1117" s="4"/>
      <c r="C1117" s="4"/>
      <c r="H1117" s="10"/>
    </row>
    <row r="1118">
      <c r="A1118" s="4"/>
      <c r="C1118" s="4"/>
      <c r="H1118" s="10"/>
    </row>
    <row r="1119">
      <c r="A1119" s="4"/>
      <c r="C1119" s="4"/>
      <c r="H1119" s="10"/>
    </row>
    <row r="1120">
      <c r="A1120" s="4"/>
      <c r="C1120" s="4"/>
      <c r="H1120" s="10"/>
    </row>
    <row r="1121">
      <c r="A1121" s="4"/>
      <c r="C1121" s="4"/>
      <c r="H1121" s="10"/>
    </row>
    <row r="1122">
      <c r="A1122" s="4"/>
      <c r="C1122" s="4"/>
      <c r="H1122" s="10"/>
    </row>
    <row r="1123">
      <c r="A1123" s="4"/>
      <c r="C1123" s="4"/>
      <c r="H1123" s="10"/>
    </row>
    <row r="1124">
      <c r="A1124" s="4"/>
      <c r="C1124" s="4"/>
      <c r="H1124" s="10"/>
    </row>
    <row r="1125">
      <c r="A1125" s="4"/>
      <c r="C1125" s="4"/>
      <c r="H1125" s="10"/>
    </row>
    <row r="1126">
      <c r="A1126" s="4"/>
      <c r="C1126" s="4"/>
      <c r="H1126" s="10"/>
    </row>
    <row r="1127">
      <c r="A1127" s="4"/>
      <c r="C1127" s="4"/>
      <c r="H1127" s="10"/>
    </row>
    <row r="1128">
      <c r="A1128" s="4"/>
      <c r="C1128" s="4"/>
      <c r="H1128" s="10"/>
    </row>
    <row r="1129">
      <c r="A1129" s="4"/>
      <c r="C1129" s="4"/>
      <c r="H1129" s="10"/>
    </row>
    <row r="1130">
      <c r="A1130" s="4"/>
      <c r="C1130" s="4"/>
      <c r="H1130" s="10"/>
    </row>
    <row r="1131">
      <c r="A1131" s="4"/>
      <c r="C1131" s="4"/>
      <c r="H1131" s="10"/>
    </row>
    <row r="1132">
      <c r="A1132" s="4"/>
      <c r="C1132" s="4"/>
      <c r="H1132" s="10"/>
    </row>
    <row r="1133">
      <c r="A1133" s="4"/>
      <c r="C1133" s="4"/>
      <c r="H1133" s="10"/>
    </row>
    <row r="1134">
      <c r="A1134" s="4"/>
      <c r="C1134" s="4"/>
      <c r="H1134" s="10"/>
    </row>
    <row r="1135">
      <c r="A1135" s="4"/>
      <c r="C1135" s="4"/>
      <c r="H1135" s="10"/>
    </row>
    <row r="1136">
      <c r="A1136" s="4"/>
      <c r="C1136" s="4"/>
      <c r="H1136" s="10"/>
    </row>
    <row r="1137">
      <c r="A1137" s="4"/>
      <c r="C1137" s="4"/>
      <c r="H1137" s="10"/>
    </row>
    <row r="1138">
      <c r="A1138" s="4"/>
      <c r="C1138" s="4"/>
      <c r="H1138" s="10"/>
    </row>
    <row r="1139">
      <c r="A1139" s="4"/>
      <c r="C1139" s="4"/>
      <c r="H1139" s="10"/>
    </row>
    <row r="1140">
      <c r="A1140" s="4"/>
      <c r="C1140" s="4"/>
      <c r="H1140" s="10"/>
    </row>
    <row r="1141">
      <c r="A1141" s="4"/>
      <c r="C1141" s="4"/>
      <c r="H1141" s="10"/>
    </row>
    <row r="1142">
      <c r="A1142" s="4"/>
      <c r="C1142" s="4"/>
      <c r="H1142" s="10"/>
    </row>
    <row r="1143">
      <c r="A1143" s="4"/>
      <c r="C1143" s="4"/>
      <c r="H1143" s="10"/>
    </row>
    <row r="1144">
      <c r="A1144" s="4"/>
      <c r="C1144" s="4"/>
      <c r="H1144" s="10"/>
    </row>
    <row r="1145">
      <c r="A1145" s="4"/>
      <c r="C1145" s="4"/>
      <c r="H1145" s="10"/>
    </row>
    <row r="1146">
      <c r="A1146" s="4"/>
      <c r="C1146" s="4"/>
      <c r="H1146" s="10"/>
    </row>
    <row r="1147">
      <c r="A1147" s="4"/>
      <c r="C1147" s="4"/>
      <c r="H1147" s="10"/>
    </row>
    <row r="1148">
      <c r="A1148" s="4"/>
      <c r="C1148" s="4"/>
      <c r="H1148" s="10"/>
    </row>
    <row r="1149">
      <c r="A1149" s="4"/>
      <c r="C1149" s="4"/>
      <c r="H1149" s="10"/>
    </row>
    <row r="1150">
      <c r="A1150" s="4"/>
      <c r="C1150" s="4"/>
      <c r="H1150" s="10"/>
    </row>
    <row r="1151">
      <c r="A1151" s="4"/>
      <c r="C1151" s="4"/>
      <c r="H1151" s="10"/>
    </row>
    <row r="1152">
      <c r="A1152" s="4"/>
      <c r="C1152" s="4"/>
      <c r="H1152" s="10"/>
    </row>
    <row r="1153">
      <c r="A1153" s="4"/>
      <c r="C1153" s="4"/>
      <c r="H1153" s="10"/>
    </row>
    <row r="1154">
      <c r="A1154" s="4"/>
      <c r="C1154" s="4"/>
      <c r="H1154" s="10"/>
    </row>
    <row r="1155">
      <c r="A1155" s="4"/>
      <c r="C1155" s="4"/>
      <c r="H1155" s="10"/>
    </row>
    <row r="1156">
      <c r="A1156" s="4"/>
      <c r="C1156" s="4"/>
      <c r="H1156" s="10"/>
    </row>
    <row r="1157">
      <c r="A1157" s="4"/>
      <c r="C1157" s="4"/>
      <c r="H1157" s="10"/>
    </row>
    <row r="1158">
      <c r="A1158" s="4"/>
      <c r="C1158" s="4"/>
      <c r="H1158" s="10"/>
    </row>
    <row r="1159">
      <c r="A1159" s="4"/>
      <c r="C1159" s="4"/>
      <c r="H1159" s="10"/>
    </row>
    <row r="1160">
      <c r="A1160" s="4"/>
      <c r="C1160" s="4"/>
      <c r="H1160" s="10"/>
    </row>
    <row r="1161">
      <c r="A1161" s="4"/>
      <c r="C1161" s="4"/>
      <c r="H1161" s="10"/>
    </row>
    <row r="1162">
      <c r="A1162" s="4"/>
      <c r="C1162" s="4"/>
      <c r="H1162" s="10"/>
    </row>
    <row r="1163">
      <c r="A1163" s="4"/>
      <c r="C1163" s="4"/>
      <c r="H1163" s="10"/>
    </row>
    <row r="1164">
      <c r="A1164" s="4"/>
      <c r="C1164" s="4"/>
      <c r="H1164" s="10"/>
    </row>
    <row r="1165">
      <c r="A1165" s="4"/>
      <c r="C1165" s="4"/>
      <c r="H1165" s="10"/>
    </row>
    <row r="1166">
      <c r="A1166" s="4"/>
      <c r="C1166" s="4"/>
      <c r="H1166" s="10"/>
    </row>
    <row r="1167">
      <c r="A1167" s="4"/>
      <c r="C1167" s="4"/>
      <c r="H1167" s="10"/>
    </row>
    <row r="1168">
      <c r="A1168" s="4"/>
      <c r="C1168" s="4"/>
      <c r="H1168" s="10"/>
    </row>
    <row r="1169">
      <c r="A1169" s="4"/>
      <c r="C1169" s="4"/>
      <c r="H1169" s="10"/>
    </row>
    <row r="1170">
      <c r="A1170" s="4"/>
      <c r="C1170" s="4"/>
      <c r="H1170" s="10"/>
    </row>
    <row r="1171">
      <c r="A1171" s="4"/>
      <c r="C1171" s="4"/>
      <c r="H1171" s="10"/>
    </row>
    <row r="1172">
      <c r="A1172" s="4"/>
      <c r="C1172" s="4"/>
      <c r="H1172" s="10"/>
    </row>
    <row r="1173">
      <c r="A1173" s="4"/>
      <c r="C1173" s="4"/>
      <c r="H1173" s="10"/>
    </row>
    <row r="1174">
      <c r="A1174" s="4"/>
      <c r="C1174" s="4"/>
      <c r="H1174" s="10"/>
    </row>
    <row r="1175">
      <c r="A1175" s="4"/>
      <c r="C1175" s="4"/>
      <c r="H1175" s="10"/>
    </row>
    <row r="1176">
      <c r="A1176" s="4"/>
      <c r="C1176" s="4"/>
      <c r="H1176" s="10"/>
    </row>
    <row r="1177">
      <c r="A1177" s="4"/>
      <c r="C1177" s="4"/>
      <c r="H1177" s="10"/>
    </row>
    <row r="1178">
      <c r="A1178" s="4"/>
      <c r="C1178" s="4"/>
      <c r="H1178" s="10"/>
    </row>
    <row r="1179">
      <c r="A1179" s="4"/>
      <c r="C1179" s="4"/>
      <c r="H1179" s="10"/>
    </row>
    <row r="1180">
      <c r="A1180" s="4"/>
      <c r="C1180" s="4"/>
      <c r="H1180" s="10"/>
    </row>
    <row r="1181">
      <c r="A1181" s="4"/>
      <c r="C1181" s="4"/>
      <c r="H1181" s="10"/>
    </row>
    <row r="1182">
      <c r="A1182" s="4"/>
      <c r="C1182" s="4"/>
      <c r="H1182" s="10"/>
    </row>
    <row r="1183">
      <c r="A1183" s="4"/>
      <c r="C1183" s="4"/>
      <c r="H1183" s="10"/>
    </row>
    <row r="1184">
      <c r="A1184" s="4"/>
      <c r="C1184" s="4"/>
      <c r="H1184" s="10"/>
    </row>
    <row r="1185">
      <c r="A1185" s="4"/>
      <c r="C1185" s="4"/>
      <c r="H1185" s="10"/>
    </row>
    <row r="1186">
      <c r="A1186" s="4"/>
      <c r="C1186" s="4"/>
      <c r="H1186" s="10"/>
    </row>
    <row r="1187">
      <c r="A1187" s="4"/>
      <c r="C1187" s="4"/>
      <c r="H1187" s="10"/>
    </row>
    <row r="1188">
      <c r="A1188" s="4"/>
      <c r="C1188" s="4"/>
      <c r="H1188" s="10"/>
    </row>
    <row r="1189">
      <c r="A1189" s="4"/>
      <c r="C1189" s="4"/>
      <c r="H1189" s="10"/>
    </row>
    <row r="1190">
      <c r="A1190" s="4"/>
      <c r="C1190" s="4"/>
      <c r="H1190" s="10"/>
    </row>
    <row r="1191">
      <c r="A1191" s="4"/>
      <c r="C1191" s="4"/>
      <c r="H1191" s="10"/>
    </row>
    <row r="1192">
      <c r="A1192" s="4"/>
      <c r="C1192" s="4"/>
      <c r="H1192" s="10"/>
    </row>
    <row r="1193">
      <c r="A1193" s="4"/>
      <c r="C1193" s="4"/>
      <c r="H1193" s="10"/>
    </row>
    <row r="1194">
      <c r="A1194" s="4"/>
      <c r="C1194" s="4"/>
      <c r="H1194" s="10"/>
    </row>
    <row r="1195">
      <c r="A1195" s="4"/>
      <c r="C1195" s="4"/>
      <c r="H1195" s="10"/>
    </row>
    <row r="1196">
      <c r="A1196" s="4"/>
      <c r="C1196" s="4"/>
      <c r="H1196" s="10"/>
    </row>
    <row r="1197">
      <c r="A1197" s="4"/>
      <c r="C1197" s="4"/>
      <c r="H1197" s="10"/>
    </row>
    <row r="1198">
      <c r="A1198" s="4"/>
      <c r="C1198" s="4"/>
      <c r="H1198" s="10"/>
    </row>
    <row r="1199">
      <c r="A1199" s="4"/>
      <c r="C1199" s="4"/>
      <c r="H1199" s="10"/>
    </row>
    <row r="1200">
      <c r="A1200" s="4"/>
      <c r="C1200" s="4"/>
      <c r="H1200" s="10"/>
    </row>
    <row r="1201">
      <c r="A1201" s="4"/>
      <c r="C1201" s="4"/>
      <c r="H1201" s="10"/>
    </row>
    <row r="1202">
      <c r="A1202" s="4"/>
      <c r="C1202" s="4"/>
      <c r="H1202" s="10"/>
    </row>
    <row r="1203">
      <c r="A1203" s="4"/>
      <c r="C1203" s="4"/>
      <c r="H1203" s="10"/>
    </row>
    <row r="1204">
      <c r="A1204" s="4"/>
      <c r="C1204" s="4"/>
      <c r="H1204" s="10"/>
    </row>
    <row r="1205">
      <c r="A1205" s="4"/>
      <c r="C1205" s="4"/>
      <c r="H1205" s="10"/>
    </row>
    <row r="1206">
      <c r="A1206" s="4"/>
      <c r="C1206" s="4"/>
      <c r="H1206" s="10"/>
    </row>
    <row r="1207">
      <c r="A1207" s="4"/>
      <c r="C1207" s="4"/>
      <c r="H1207" s="10"/>
    </row>
    <row r="1208">
      <c r="A1208" s="4"/>
      <c r="C1208" s="4"/>
      <c r="H1208" s="10"/>
    </row>
    <row r="1209">
      <c r="A1209" s="4"/>
      <c r="C1209" s="4"/>
      <c r="H1209" s="10"/>
    </row>
    <row r="1210">
      <c r="A1210" s="4"/>
      <c r="C1210" s="4"/>
      <c r="H1210" s="10"/>
    </row>
    <row r="1211">
      <c r="A1211" s="4"/>
      <c r="C1211" s="4"/>
      <c r="H1211" s="10"/>
    </row>
    <row r="1212">
      <c r="A1212" s="4"/>
      <c r="C1212" s="4"/>
      <c r="H1212" s="10"/>
    </row>
    <row r="1213">
      <c r="A1213" s="4"/>
      <c r="C1213" s="4"/>
      <c r="H1213" s="10"/>
    </row>
    <row r="1214">
      <c r="A1214" s="4"/>
      <c r="C1214" s="4"/>
      <c r="H1214" s="10"/>
    </row>
    <row r="1215">
      <c r="A1215" s="4"/>
      <c r="C1215" s="4"/>
      <c r="H1215" s="10"/>
    </row>
    <row r="1216">
      <c r="A1216" s="4"/>
      <c r="C1216" s="4"/>
      <c r="H1216" s="10"/>
    </row>
    <row r="1217">
      <c r="A1217" s="4"/>
      <c r="C1217" s="4"/>
      <c r="H1217" s="10"/>
    </row>
    <row r="1218">
      <c r="A1218" s="4"/>
      <c r="C1218" s="4"/>
      <c r="H1218" s="10"/>
    </row>
    <row r="1219">
      <c r="A1219" s="4"/>
      <c r="C1219" s="4"/>
      <c r="H1219" s="10"/>
    </row>
    <row r="1220">
      <c r="A1220" s="4"/>
      <c r="C1220" s="4"/>
      <c r="H1220" s="10"/>
    </row>
    <row r="1221">
      <c r="A1221" s="4"/>
      <c r="C1221" s="4"/>
      <c r="H1221" s="10"/>
    </row>
    <row r="1222">
      <c r="A1222" s="4"/>
      <c r="C1222" s="4"/>
      <c r="H1222" s="10"/>
    </row>
    <row r="1223">
      <c r="A1223" s="4"/>
      <c r="C1223" s="4"/>
      <c r="H1223" s="10"/>
    </row>
    <row r="1224">
      <c r="A1224" s="4"/>
      <c r="C1224" s="4"/>
      <c r="H1224" s="10"/>
    </row>
    <row r="1225">
      <c r="A1225" s="4"/>
      <c r="C1225" s="4"/>
      <c r="H1225" s="10"/>
    </row>
    <row r="1226">
      <c r="A1226" s="4"/>
      <c r="C1226" s="4"/>
      <c r="H1226" s="10"/>
    </row>
    <row r="1227">
      <c r="A1227" s="4"/>
      <c r="C1227" s="4"/>
      <c r="H1227" s="10"/>
    </row>
    <row r="1228">
      <c r="A1228" s="4"/>
      <c r="C1228" s="4"/>
      <c r="H1228" s="10"/>
    </row>
    <row r="1229">
      <c r="A1229" s="4"/>
      <c r="C1229" s="4"/>
      <c r="H1229" s="10"/>
    </row>
    <row r="1230">
      <c r="A1230" s="4"/>
      <c r="C1230" s="4"/>
      <c r="H1230" s="10"/>
    </row>
    <row r="1231">
      <c r="A1231" s="4"/>
      <c r="C1231" s="4"/>
      <c r="H1231" s="10"/>
    </row>
    <row r="1232">
      <c r="A1232" s="4"/>
      <c r="C1232" s="4"/>
      <c r="H1232" s="10"/>
    </row>
    <row r="1233">
      <c r="A1233" s="4"/>
      <c r="C1233" s="4"/>
      <c r="H1233" s="10"/>
    </row>
    <row r="1234">
      <c r="A1234" s="4"/>
      <c r="C1234" s="4"/>
      <c r="H1234" s="10"/>
    </row>
    <row r="1235">
      <c r="A1235" s="4"/>
      <c r="C1235" s="4"/>
      <c r="H1235" s="10"/>
    </row>
    <row r="1236">
      <c r="A1236" s="4"/>
      <c r="C1236" s="4"/>
      <c r="H1236" s="10"/>
    </row>
    <row r="1237">
      <c r="A1237" s="4"/>
      <c r="C1237" s="4"/>
      <c r="H1237" s="10"/>
    </row>
    <row r="1238">
      <c r="A1238" s="4"/>
      <c r="C1238" s="4"/>
      <c r="H1238" s="10"/>
    </row>
    <row r="1239">
      <c r="A1239" s="4"/>
      <c r="C1239" s="4"/>
      <c r="H1239" s="10"/>
    </row>
    <row r="1240">
      <c r="A1240" s="4"/>
      <c r="C1240" s="4"/>
      <c r="H1240" s="10"/>
    </row>
    <row r="1241">
      <c r="A1241" s="4"/>
      <c r="C1241" s="4"/>
      <c r="H1241" s="10"/>
    </row>
    <row r="1242">
      <c r="A1242" s="4"/>
      <c r="C1242" s="4"/>
      <c r="H1242" s="10"/>
    </row>
    <row r="1243">
      <c r="A1243" s="4"/>
      <c r="C1243" s="4"/>
      <c r="H1243" s="10"/>
    </row>
    <row r="1244">
      <c r="A1244" s="4"/>
      <c r="C1244" s="4"/>
      <c r="H1244" s="10"/>
    </row>
    <row r="1245">
      <c r="A1245" s="4"/>
      <c r="C1245" s="4"/>
      <c r="H1245" s="10"/>
    </row>
    <row r="1246">
      <c r="A1246" s="4"/>
      <c r="C1246" s="4"/>
      <c r="H1246" s="10"/>
    </row>
    <row r="1247">
      <c r="A1247" s="4"/>
      <c r="C1247" s="4"/>
      <c r="H1247" s="10"/>
    </row>
    <row r="1248">
      <c r="A1248" s="4"/>
      <c r="C1248" s="4"/>
      <c r="H1248" s="10"/>
    </row>
    <row r="1249">
      <c r="A1249" s="4"/>
      <c r="C1249" s="4"/>
      <c r="H1249" s="10"/>
    </row>
    <row r="1250">
      <c r="A1250" s="4"/>
      <c r="C1250" s="4"/>
      <c r="H1250" s="10"/>
    </row>
    <row r="1251">
      <c r="A1251" s="4"/>
      <c r="C1251" s="4"/>
      <c r="H1251" s="10"/>
    </row>
    <row r="1252">
      <c r="A1252" s="4"/>
      <c r="C1252" s="4"/>
      <c r="H1252" s="10"/>
    </row>
    <row r="1253">
      <c r="A1253" s="4"/>
      <c r="C1253" s="4"/>
      <c r="H1253" s="10"/>
    </row>
    <row r="1254">
      <c r="A1254" s="4"/>
      <c r="C1254" s="4"/>
      <c r="H1254" s="10"/>
    </row>
    <row r="1255">
      <c r="A1255" s="4"/>
      <c r="C1255" s="4"/>
      <c r="H1255" s="10"/>
    </row>
    <row r="1256">
      <c r="A1256" s="4"/>
      <c r="C1256" s="4"/>
      <c r="H1256" s="10"/>
    </row>
    <row r="1257">
      <c r="A1257" s="4"/>
      <c r="C1257" s="4"/>
      <c r="H1257" s="10"/>
    </row>
    <row r="1258">
      <c r="A1258" s="4"/>
      <c r="C1258" s="4"/>
      <c r="H1258" s="10"/>
    </row>
    <row r="1259">
      <c r="A1259" s="4"/>
      <c r="C1259" s="4"/>
      <c r="H1259" s="10"/>
    </row>
    <row r="1260">
      <c r="A1260" s="4"/>
      <c r="C1260" s="4"/>
      <c r="H1260" s="10"/>
    </row>
    <row r="1261">
      <c r="A1261" s="4"/>
      <c r="C1261" s="4"/>
      <c r="H1261" s="10"/>
    </row>
    <row r="1262">
      <c r="A1262" s="4"/>
      <c r="C1262" s="4"/>
      <c r="H1262" s="10"/>
    </row>
    <row r="1263">
      <c r="A1263" s="4"/>
      <c r="C1263" s="4"/>
      <c r="H1263" s="10"/>
    </row>
    <row r="1264">
      <c r="A1264" s="4"/>
      <c r="C1264" s="4"/>
      <c r="H1264" s="10"/>
    </row>
    <row r="1265">
      <c r="A1265" s="4"/>
      <c r="C1265" s="4"/>
      <c r="H1265" s="10"/>
    </row>
    <row r="1266">
      <c r="A1266" s="4"/>
      <c r="C1266" s="4"/>
      <c r="H1266" s="10"/>
    </row>
    <row r="1267">
      <c r="A1267" s="4"/>
      <c r="C1267" s="4"/>
      <c r="H1267" s="10"/>
    </row>
    <row r="1268">
      <c r="A1268" s="4"/>
      <c r="C1268" s="4"/>
      <c r="H1268" s="10"/>
    </row>
    <row r="1269">
      <c r="A1269" s="4"/>
      <c r="C1269" s="4"/>
      <c r="H1269" s="10"/>
    </row>
    <row r="1270">
      <c r="A1270" s="4"/>
      <c r="C1270" s="4"/>
      <c r="H1270" s="10"/>
    </row>
    <row r="1271">
      <c r="A1271" s="4"/>
      <c r="C1271" s="4"/>
      <c r="H1271" s="10"/>
    </row>
    <row r="1272">
      <c r="A1272" s="4"/>
      <c r="C1272" s="4"/>
      <c r="H1272" s="10"/>
    </row>
    <row r="1273">
      <c r="A1273" s="4"/>
      <c r="C1273" s="4"/>
      <c r="H1273" s="10"/>
    </row>
    <row r="1274">
      <c r="A1274" s="4"/>
      <c r="C1274" s="4"/>
      <c r="H1274" s="10"/>
    </row>
    <row r="1275">
      <c r="A1275" s="4"/>
      <c r="C1275" s="4"/>
      <c r="H1275" s="10"/>
    </row>
    <row r="1276">
      <c r="A1276" s="4"/>
      <c r="C1276" s="4"/>
      <c r="H1276" s="10"/>
    </row>
    <row r="1277">
      <c r="A1277" s="4"/>
      <c r="C1277" s="4"/>
      <c r="H1277" s="10"/>
    </row>
    <row r="1278">
      <c r="A1278" s="4"/>
      <c r="C1278" s="4"/>
      <c r="H1278" s="10"/>
    </row>
    <row r="1279">
      <c r="A1279" s="4"/>
      <c r="C1279" s="4"/>
      <c r="H1279" s="10"/>
    </row>
    <row r="1280">
      <c r="A1280" s="4"/>
      <c r="C1280" s="4"/>
      <c r="H1280" s="10"/>
    </row>
    <row r="1281">
      <c r="A1281" s="4"/>
      <c r="C1281" s="4"/>
      <c r="H1281" s="10"/>
    </row>
    <row r="1282">
      <c r="A1282" s="4"/>
      <c r="C1282" s="4"/>
      <c r="H1282" s="10"/>
    </row>
    <row r="1283">
      <c r="A1283" s="4"/>
      <c r="C1283" s="4"/>
      <c r="H1283" s="10"/>
    </row>
    <row r="1284">
      <c r="A1284" s="4"/>
      <c r="C1284" s="4"/>
      <c r="H1284" s="10"/>
    </row>
    <row r="1285">
      <c r="A1285" s="4"/>
      <c r="C1285" s="4"/>
      <c r="H1285" s="10"/>
    </row>
    <row r="1286">
      <c r="A1286" s="4"/>
      <c r="C1286" s="4"/>
      <c r="H1286" s="10"/>
    </row>
    <row r="1287">
      <c r="A1287" s="4"/>
      <c r="C1287" s="4"/>
      <c r="H1287" s="10"/>
    </row>
    <row r="1288">
      <c r="A1288" s="4"/>
      <c r="C1288" s="4"/>
      <c r="H1288" s="10"/>
    </row>
    <row r="1289">
      <c r="A1289" s="4"/>
      <c r="C1289" s="4"/>
      <c r="H1289" s="10"/>
    </row>
    <row r="1290">
      <c r="A1290" s="4"/>
      <c r="C1290" s="4"/>
      <c r="H1290" s="10"/>
    </row>
    <row r="1291">
      <c r="A1291" s="4"/>
      <c r="C1291" s="4"/>
      <c r="H1291" s="10"/>
    </row>
    <row r="1292">
      <c r="A1292" s="4"/>
      <c r="C1292" s="4"/>
      <c r="H1292" s="10"/>
    </row>
    <row r="1293">
      <c r="A1293" s="4"/>
      <c r="C1293" s="4"/>
      <c r="H1293" s="10"/>
    </row>
    <row r="1294">
      <c r="A1294" s="4"/>
      <c r="C1294" s="4"/>
      <c r="H1294" s="10"/>
    </row>
    <row r="1295">
      <c r="A1295" s="4"/>
      <c r="C1295" s="4"/>
      <c r="H1295" s="10"/>
    </row>
    <row r="1296">
      <c r="A1296" s="4"/>
      <c r="C1296" s="4"/>
      <c r="H1296" s="10"/>
    </row>
    <row r="1297">
      <c r="A1297" s="4"/>
      <c r="C1297" s="4"/>
      <c r="H1297" s="10"/>
    </row>
    <row r="1298">
      <c r="A1298" s="4"/>
      <c r="C1298" s="4"/>
      <c r="H1298" s="10"/>
    </row>
    <row r="1299">
      <c r="A1299" s="4"/>
      <c r="C1299" s="4"/>
      <c r="H1299" s="10"/>
    </row>
    <row r="1300">
      <c r="A1300" s="4"/>
      <c r="C1300" s="4"/>
      <c r="H1300" s="10"/>
    </row>
    <row r="1301">
      <c r="A1301" s="4"/>
      <c r="C1301" s="4"/>
      <c r="H1301" s="10"/>
    </row>
    <row r="1302">
      <c r="A1302" s="4"/>
      <c r="C1302" s="4"/>
      <c r="H1302" s="10"/>
    </row>
    <row r="1303">
      <c r="A1303" s="4"/>
      <c r="C1303" s="4"/>
      <c r="H1303" s="10"/>
    </row>
    <row r="1304">
      <c r="A1304" s="4"/>
      <c r="C1304" s="4"/>
      <c r="H1304" s="10"/>
    </row>
    <row r="1305">
      <c r="A1305" s="4"/>
      <c r="C1305" s="4"/>
      <c r="H1305" s="10"/>
    </row>
    <row r="1306">
      <c r="A1306" s="4"/>
      <c r="C1306" s="4"/>
      <c r="H1306" s="10"/>
    </row>
    <row r="1307">
      <c r="A1307" s="4"/>
      <c r="C1307" s="4"/>
      <c r="H1307" s="10"/>
    </row>
    <row r="1308">
      <c r="A1308" s="4"/>
      <c r="C1308" s="4"/>
      <c r="H1308" s="10"/>
    </row>
    <row r="1309">
      <c r="A1309" s="4"/>
      <c r="C1309" s="4"/>
      <c r="H1309" s="10"/>
    </row>
    <row r="1310">
      <c r="A1310" s="4"/>
      <c r="C1310" s="4"/>
      <c r="H1310" s="10"/>
    </row>
    <row r="1311">
      <c r="A1311" s="4"/>
      <c r="C1311" s="4"/>
      <c r="H1311" s="10"/>
    </row>
    <row r="1312">
      <c r="A1312" s="4"/>
      <c r="C1312" s="4"/>
      <c r="H1312" s="10"/>
    </row>
    <row r="1313">
      <c r="A1313" s="4"/>
      <c r="C1313" s="4"/>
      <c r="H1313" s="10"/>
    </row>
    <row r="1314">
      <c r="A1314" s="4"/>
      <c r="C1314" s="4"/>
      <c r="H1314" s="10"/>
    </row>
    <row r="1315">
      <c r="A1315" s="4"/>
      <c r="C1315" s="4"/>
      <c r="H1315" s="10"/>
    </row>
    <row r="1316">
      <c r="A1316" s="4"/>
      <c r="C1316" s="4"/>
      <c r="H1316" s="10"/>
    </row>
    <row r="1317">
      <c r="A1317" s="4"/>
      <c r="C1317" s="4"/>
      <c r="H1317" s="10"/>
    </row>
    <row r="1318">
      <c r="A1318" s="4"/>
      <c r="C1318" s="4"/>
      <c r="H1318" s="10"/>
    </row>
    <row r="1319">
      <c r="A1319" s="4"/>
      <c r="C1319" s="4"/>
      <c r="H1319" s="10"/>
    </row>
    <row r="1320">
      <c r="A1320" s="4"/>
      <c r="C1320" s="4"/>
      <c r="H1320" s="10"/>
    </row>
    <row r="1321">
      <c r="A1321" s="4"/>
      <c r="C1321" s="4"/>
      <c r="H1321" s="10"/>
    </row>
    <row r="1322">
      <c r="A1322" s="4"/>
      <c r="C1322" s="4"/>
      <c r="H1322"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c r="A2" s="4" t="s">
        <v>496</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33</v>
      </c>
    </row>
    <row r="3">
      <c r="A3" s="4" t="s">
        <v>34</v>
      </c>
    </row>
    <row r="4">
      <c r="A4" s="4" t="s">
        <v>497</v>
      </c>
    </row>
    <row r="5">
      <c r="A5" s="4" t="s">
        <v>498</v>
      </c>
    </row>
    <row r="6">
      <c r="A6" s="4" t="s">
        <v>499</v>
      </c>
    </row>
    <row r="7">
      <c r="A7" s="4" t="s">
        <v>119</v>
      </c>
    </row>
    <row r="8">
      <c r="A8" s="4" t="s">
        <v>500</v>
      </c>
    </row>
    <row r="9">
      <c r="A9" s="4" t="s">
        <v>109</v>
      </c>
    </row>
    <row r="10">
      <c r="A10" s="4" t="s">
        <v>501</v>
      </c>
    </row>
    <row r="11">
      <c r="A11" s="4" t="s">
        <v>33</v>
      </c>
    </row>
    <row r="12">
      <c r="A12" s="4" t="s">
        <v>34</v>
      </c>
    </row>
    <row r="13">
      <c r="A13" s="4" t="s">
        <v>497</v>
      </c>
    </row>
    <row r="14">
      <c r="A14" s="4" t="s">
        <v>502</v>
      </c>
    </row>
    <row r="15">
      <c r="A15" s="4" t="s">
        <v>40</v>
      </c>
    </row>
    <row r="16">
      <c r="A16" s="4" t="s">
        <v>92</v>
      </c>
    </row>
    <row r="17">
      <c r="A17" s="4" t="s">
        <v>503</v>
      </c>
    </row>
    <row r="18">
      <c r="A18" s="4" t="s">
        <v>504</v>
      </c>
    </row>
    <row r="19">
      <c r="A19" s="4" t="s">
        <v>33</v>
      </c>
    </row>
    <row r="20">
      <c r="A20" s="4" t="s">
        <v>34</v>
      </c>
    </row>
    <row r="21">
      <c r="A21" s="4" t="s">
        <v>497</v>
      </c>
    </row>
    <row r="22">
      <c r="A22" s="4" t="s">
        <v>498</v>
      </c>
    </row>
    <row r="23">
      <c r="A23" s="4" t="s">
        <v>121</v>
      </c>
    </row>
    <row r="24">
      <c r="A24" s="4" t="s">
        <v>92</v>
      </c>
    </row>
    <row r="25">
      <c r="A25" s="4" t="s">
        <v>122</v>
      </c>
    </row>
    <row r="26">
      <c r="A26" s="4" t="s">
        <v>119</v>
      </c>
    </row>
    <row r="27">
      <c r="A27" s="4" t="s">
        <v>500</v>
      </c>
    </row>
    <row r="28">
      <c r="A28" s="4" t="s">
        <v>109</v>
      </c>
    </row>
    <row r="29">
      <c r="A29" s="4" t="s">
        <v>505</v>
      </c>
    </row>
    <row r="30">
      <c r="A30" s="4" t="s">
        <v>33</v>
      </c>
    </row>
    <row r="31">
      <c r="A31" s="4" t="s">
        <v>500</v>
      </c>
    </row>
    <row r="32">
      <c r="A32" s="4" t="s">
        <v>48</v>
      </c>
    </row>
    <row r="33">
      <c r="A33" s="4" t="s">
        <v>139</v>
      </c>
    </row>
    <row r="34">
      <c r="A34" s="4" t="s">
        <v>129</v>
      </c>
    </row>
    <row r="35">
      <c r="A35" s="4" t="s">
        <v>62</v>
      </c>
    </row>
    <row r="36">
      <c r="A36" s="4" t="s">
        <v>506</v>
      </c>
    </row>
    <row r="37">
      <c r="A37" s="4" t="s">
        <v>39</v>
      </c>
    </row>
    <row r="38">
      <c r="A38" s="4" t="s">
        <v>40</v>
      </c>
    </row>
    <row r="39">
      <c r="A39" s="4" t="s">
        <v>33</v>
      </c>
    </row>
    <row r="40">
      <c r="A40" s="4" t="s">
        <v>155</v>
      </c>
    </row>
    <row r="41">
      <c r="A41" s="4" t="s">
        <v>88</v>
      </c>
    </row>
    <row r="42">
      <c r="A42" s="4" t="s">
        <v>40</v>
      </c>
    </row>
    <row r="43">
      <c r="A43" s="4" t="s">
        <v>75</v>
      </c>
    </row>
    <row r="44">
      <c r="A44" s="4" t="s">
        <v>48</v>
      </c>
    </row>
    <row r="45">
      <c r="A45" s="4" t="s">
        <v>92</v>
      </c>
    </row>
    <row r="46">
      <c r="A46" s="4" t="s">
        <v>139</v>
      </c>
    </row>
    <row r="47">
      <c r="A47" s="4" t="s">
        <v>35</v>
      </c>
    </row>
    <row r="48">
      <c r="A48" s="4" t="s">
        <v>65</v>
      </c>
    </row>
    <row r="49">
      <c r="A49" s="4" t="s">
        <v>33</v>
      </c>
    </row>
    <row r="50">
      <c r="A50" s="4" t="s">
        <v>34</v>
      </c>
    </row>
    <row r="51">
      <c r="A51" s="4" t="s">
        <v>497</v>
      </c>
    </row>
    <row r="52">
      <c r="A52" s="4" t="s">
        <v>498</v>
      </c>
    </row>
    <row r="53">
      <c r="A53" s="4" t="s">
        <v>507</v>
      </c>
    </row>
    <row r="54">
      <c r="A54" s="4" t="s">
        <v>92</v>
      </c>
    </row>
    <row r="55">
      <c r="A55" s="4" t="s">
        <v>508</v>
      </c>
    </row>
    <row r="56">
      <c r="A56" s="4" t="s">
        <v>160</v>
      </c>
    </row>
    <row r="57">
      <c r="A57" s="4" t="s">
        <v>500</v>
      </c>
    </row>
    <row r="58">
      <c r="A58" s="4" t="s">
        <v>109</v>
      </c>
    </row>
    <row r="59">
      <c r="A59" s="4" t="s">
        <v>501</v>
      </c>
    </row>
    <row r="60">
      <c r="A60" s="4" t="s">
        <v>33</v>
      </c>
    </row>
    <row r="61">
      <c r="A61" s="4" t="s">
        <v>34</v>
      </c>
    </row>
    <row r="62">
      <c r="A62" s="4" t="s">
        <v>509</v>
      </c>
    </row>
    <row r="63">
      <c r="A63" s="4" t="s">
        <v>92</v>
      </c>
    </row>
    <row r="64">
      <c r="A64" s="4" t="s">
        <v>510</v>
      </c>
    </row>
    <row r="65">
      <c r="A65" s="4" t="s">
        <v>103</v>
      </c>
    </row>
    <row r="66">
      <c r="A66" s="4" t="s">
        <v>511</v>
      </c>
    </row>
    <row r="67">
      <c r="A67" s="4" t="s">
        <v>512</v>
      </c>
    </row>
    <row r="68">
      <c r="A68" s="4" t="s">
        <v>115</v>
      </c>
    </row>
    <row r="69">
      <c r="A69" s="4" t="s">
        <v>98</v>
      </c>
    </row>
    <row r="70">
      <c r="A70" s="4" t="s">
        <v>93</v>
      </c>
    </row>
    <row r="71">
      <c r="A71" s="4" t="s">
        <v>33</v>
      </c>
    </row>
    <row r="72">
      <c r="A72" s="4" t="s">
        <v>34</v>
      </c>
    </row>
    <row r="73">
      <c r="A73" s="4" t="s">
        <v>44</v>
      </c>
    </row>
    <row r="74">
      <c r="A74" s="4" t="s">
        <v>513</v>
      </c>
    </row>
    <row r="75">
      <c r="A75" s="4" t="s">
        <v>514</v>
      </c>
    </row>
    <row r="76">
      <c r="A76" s="4" t="s">
        <v>139</v>
      </c>
    </row>
    <row r="77">
      <c r="A77" s="4" t="s">
        <v>48</v>
      </c>
    </row>
    <row r="78">
      <c r="A78" s="4" t="s">
        <v>515</v>
      </c>
    </row>
    <row r="79">
      <c r="A79" s="4" t="s">
        <v>90</v>
      </c>
    </row>
    <row r="80">
      <c r="A80" s="4" t="s">
        <v>33</v>
      </c>
    </row>
    <row r="81">
      <c r="A81" s="4" t="s">
        <v>516</v>
      </c>
    </row>
    <row r="82">
      <c r="A82" s="4" t="s">
        <v>50</v>
      </c>
    </row>
    <row r="83">
      <c r="A83" s="4" t="s">
        <v>40</v>
      </c>
    </row>
    <row r="84">
      <c r="A84" s="4" t="s">
        <v>126</v>
      </c>
    </row>
    <row r="85">
      <c r="A85" s="4" t="s">
        <v>139</v>
      </c>
    </row>
    <row r="86">
      <c r="A86" s="4" t="s">
        <v>129</v>
      </c>
    </row>
    <row r="87">
      <c r="A87" s="4" t="s">
        <v>517</v>
      </c>
    </row>
    <row r="88">
      <c r="A88" s="4" t="s">
        <v>33</v>
      </c>
    </row>
    <row r="89">
      <c r="A89" s="4" t="s">
        <v>500</v>
      </c>
    </row>
    <row r="90">
      <c r="A90" s="4" t="s">
        <v>44</v>
      </c>
    </row>
    <row r="91">
      <c r="A91" s="4" t="s">
        <v>518</v>
      </c>
    </row>
    <row r="92">
      <c r="A92" s="4" t="s">
        <v>34</v>
      </c>
    </row>
    <row r="93">
      <c r="A93" s="4" t="s">
        <v>519</v>
      </c>
    </row>
    <row r="94">
      <c r="A94" s="4" t="s">
        <v>520</v>
      </c>
    </row>
    <row r="95">
      <c r="A95" s="4" t="s">
        <v>138</v>
      </c>
    </row>
    <row r="96">
      <c r="A96" s="4" t="s">
        <v>521</v>
      </c>
    </row>
    <row r="97">
      <c r="A97" s="4" t="s">
        <v>90</v>
      </c>
    </row>
    <row r="98">
      <c r="A98" s="4" t="s">
        <v>92</v>
      </c>
    </row>
    <row r="99">
      <c r="A99" s="4" t="s">
        <v>522</v>
      </c>
    </row>
    <row r="100">
      <c r="A100" s="4" t="s">
        <v>33</v>
      </c>
    </row>
    <row r="101">
      <c r="A101" s="4" t="s">
        <v>500</v>
      </c>
    </row>
    <row r="102">
      <c r="A102" s="4" t="s">
        <v>48</v>
      </c>
    </row>
    <row r="103">
      <c r="A103" s="4" t="s">
        <v>139</v>
      </c>
    </row>
    <row r="104">
      <c r="A104" s="4" t="s">
        <v>44</v>
      </c>
    </row>
    <row r="105">
      <c r="A105" s="4" t="s">
        <v>119</v>
      </c>
    </row>
    <row r="106">
      <c r="A106" s="4" t="s">
        <v>62</v>
      </c>
    </row>
    <row r="107">
      <c r="A107" s="4" t="s">
        <v>523</v>
      </c>
    </row>
    <row r="108">
      <c r="A108" s="4" t="s">
        <v>33</v>
      </c>
    </row>
    <row r="109">
      <c r="A109" s="4" t="s">
        <v>34</v>
      </c>
    </row>
    <row r="110">
      <c r="A110" s="4" t="s">
        <v>509</v>
      </c>
    </row>
    <row r="111">
      <c r="A111" s="4" t="s">
        <v>92</v>
      </c>
    </row>
    <row r="112">
      <c r="A112" s="4" t="s">
        <v>510</v>
      </c>
    </row>
    <row r="113">
      <c r="A113" s="4" t="s">
        <v>50</v>
      </c>
    </row>
    <row r="114">
      <c r="A114" s="4" t="s">
        <v>40</v>
      </c>
    </row>
    <row r="115">
      <c r="A115" s="4" t="s">
        <v>129</v>
      </c>
    </row>
    <row r="116">
      <c r="A116" s="4" t="s">
        <v>120</v>
      </c>
    </row>
    <row r="117">
      <c r="A117" s="4" t="s">
        <v>524</v>
      </c>
    </row>
    <row r="118">
      <c r="A118" s="4" t="s">
        <v>33</v>
      </c>
    </row>
    <row r="119">
      <c r="A119" s="4" t="s">
        <v>34</v>
      </c>
    </row>
    <row r="120">
      <c r="A120" s="4" t="s">
        <v>90</v>
      </c>
    </row>
    <row r="121">
      <c r="A121" s="4" t="s">
        <v>44</v>
      </c>
    </row>
    <row r="122">
      <c r="A122" s="4" t="s">
        <v>522</v>
      </c>
    </row>
    <row r="123">
      <c r="A123" s="4" t="s">
        <v>88</v>
      </c>
    </row>
    <row r="124">
      <c r="A124" s="4" t="s">
        <v>89</v>
      </c>
    </row>
    <row r="125">
      <c r="A125" s="4" t="s">
        <v>33</v>
      </c>
    </row>
    <row r="126">
      <c r="A126" s="4" t="s">
        <v>500</v>
      </c>
    </row>
    <row r="127">
      <c r="A127" s="4" t="s">
        <v>36</v>
      </c>
    </row>
    <row r="128">
      <c r="A128" s="4" t="s">
        <v>516</v>
      </c>
    </row>
    <row r="129">
      <c r="A129" s="4" t="s">
        <v>525</v>
      </c>
    </row>
    <row r="130">
      <c r="A130" s="4" t="s">
        <v>88</v>
      </c>
    </row>
    <row r="131">
      <c r="A131" s="4" t="s">
        <v>75</v>
      </c>
    </row>
    <row r="132">
      <c r="A132" s="4" t="s">
        <v>48</v>
      </c>
    </row>
    <row r="133">
      <c r="A133" s="4" t="s">
        <v>35</v>
      </c>
    </row>
    <row r="134">
      <c r="A134" s="4" t="s">
        <v>526</v>
      </c>
    </row>
    <row r="135">
      <c r="A135" s="4" t="s">
        <v>33</v>
      </c>
    </row>
    <row r="136">
      <c r="A136" s="4" t="s">
        <v>34</v>
      </c>
    </row>
    <row r="137">
      <c r="A137" s="4" t="s">
        <v>44</v>
      </c>
    </row>
    <row r="138">
      <c r="A138" s="4" t="s">
        <v>527</v>
      </c>
    </row>
    <row r="139">
      <c r="A139" s="4" t="s">
        <v>528</v>
      </c>
    </row>
    <row r="140">
      <c r="A140" s="4" t="s">
        <v>529</v>
      </c>
    </row>
    <row r="141">
      <c r="A141" s="4" t="s">
        <v>48</v>
      </c>
    </row>
    <row r="142">
      <c r="A142" s="4" t="s">
        <v>107</v>
      </c>
    </row>
    <row r="143">
      <c r="A143" s="4" t="s">
        <v>41</v>
      </c>
    </row>
    <row r="144">
      <c r="A144" s="4" t="s">
        <v>42</v>
      </c>
    </row>
    <row r="145">
      <c r="A145" s="4" t="s">
        <v>33</v>
      </c>
    </row>
    <row r="146">
      <c r="A146" s="4" t="s">
        <v>500</v>
      </c>
    </row>
    <row r="147">
      <c r="A147" s="4" t="s">
        <v>68</v>
      </c>
    </row>
    <row r="148">
      <c r="A148" s="4" t="s">
        <v>518</v>
      </c>
    </row>
    <row r="149">
      <c r="A149" s="4" t="s">
        <v>34</v>
      </c>
    </row>
    <row r="150">
      <c r="A150" s="4" t="s">
        <v>519</v>
      </c>
    </row>
    <row r="151">
      <c r="A151" s="4" t="s">
        <v>520</v>
      </c>
    </row>
    <row r="152">
      <c r="A152" s="4" t="s">
        <v>498</v>
      </c>
    </row>
    <row r="153">
      <c r="A153" s="4" t="s">
        <v>530</v>
      </c>
    </row>
    <row r="154">
      <c r="A154" s="4" t="s">
        <v>531</v>
      </c>
    </row>
    <row r="155">
      <c r="A155" s="4" t="s">
        <v>119</v>
      </c>
    </row>
    <row r="156">
      <c r="A156" s="4" t="s">
        <v>532</v>
      </c>
    </row>
    <row r="157">
      <c r="A157" s="4" t="s">
        <v>33</v>
      </c>
    </row>
    <row r="158">
      <c r="A158" s="4" t="s">
        <v>34</v>
      </c>
    </row>
    <row r="159">
      <c r="A159" s="4" t="s">
        <v>44</v>
      </c>
    </row>
    <row r="160">
      <c r="A160" s="4" t="s">
        <v>119</v>
      </c>
    </row>
    <row r="161">
      <c r="A161" s="4" t="s">
        <v>500</v>
      </c>
    </row>
    <row r="162">
      <c r="A162" s="4" t="s">
        <v>109</v>
      </c>
    </row>
    <row r="163">
      <c r="A163" s="4" t="s">
        <v>501</v>
      </c>
    </row>
    <row r="164">
      <c r="A164" s="4" t="s">
        <v>88</v>
      </c>
    </row>
    <row r="165">
      <c r="A165" s="4" t="s">
        <v>75</v>
      </c>
    </row>
    <row r="166">
      <c r="A166" s="4" t="s">
        <v>33</v>
      </c>
    </row>
    <row r="167">
      <c r="A167" s="4" t="s">
        <v>34</v>
      </c>
    </row>
    <row r="168">
      <c r="A168" s="4" t="s">
        <v>509</v>
      </c>
    </row>
    <row r="169">
      <c r="A169" s="4" t="s">
        <v>92</v>
      </c>
    </row>
    <row r="170">
      <c r="A170" s="4" t="s">
        <v>510</v>
      </c>
    </row>
    <row r="171">
      <c r="A171" s="4" t="s">
        <v>50</v>
      </c>
    </row>
    <row r="172">
      <c r="A172" s="4" t="s">
        <v>40</v>
      </c>
    </row>
    <row r="173">
      <c r="A173" s="4" t="s">
        <v>33</v>
      </c>
    </row>
    <row r="174">
      <c r="A174" s="4" t="s">
        <v>34</v>
      </c>
    </row>
    <row r="175">
      <c r="A175" s="4" t="s">
        <v>44</v>
      </c>
    </row>
    <row r="176">
      <c r="A176" s="4" t="s">
        <v>513</v>
      </c>
    </row>
    <row r="177">
      <c r="A177" s="4" t="s">
        <v>533</v>
      </c>
    </row>
    <row r="178">
      <c r="A178" s="4" t="s">
        <v>518</v>
      </c>
    </row>
    <row r="179">
      <c r="A179" s="4" t="s">
        <v>534</v>
      </c>
    </row>
    <row r="180">
      <c r="A180" s="4" t="s">
        <v>41</v>
      </c>
    </row>
    <row r="181">
      <c r="A181" s="4" t="s">
        <v>535</v>
      </c>
    </row>
    <row r="182">
      <c r="A182" s="4" t="s">
        <v>520</v>
      </c>
    </row>
    <row r="183">
      <c r="A183" s="4" t="s">
        <v>48</v>
      </c>
    </row>
    <row r="184">
      <c r="A184" s="4" t="s">
        <v>107</v>
      </c>
    </row>
    <row r="185">
      <c r="A185" s="4" t="s">
        <v>41</v>
      </c>
    </row>
    <row r="186">
      <c r="A186" s="4" t="s">
        <v>42</v>
      </c>
    </row>
    <row r="187">
      <c r="A187" s="4" t="s">
        <v>33</v>
      </c>
    </row>
    <row r="188">
      <c r="A188" s="4" t="s">
        <v>506</v>
      </c>
    </row>
    <row r="189">
      <c r="A189" s="4" t="s">
        <v>536</v>
      </c>
    </row>
    <row r="190">
      <c r="A190" s="4" t="s">
        <v>41</v>
      </c>
    </row>
    <row r="191">
      <c r="A191" s="4" t="s">
        <v>537</v>
      </c>
    </row>
    <row r="192">
      <c r="A192" s="4" t="s">
        <v>130</v>
      </c>
    </row>
    <row r="193">
      <c r="A193" s="4" t="s">
        <v>126</v>
      </c>
    </row>
    <row r="194">
      <c r="A194" s="4" t="s">
        <v>538</v>
      </c>
    </row>
    <row r="195">
      <c r="A195" s="4" t="s">
        <v>539</v>
      </c>
    </row>
    <row r="196">
      <c r="A196" s="4" t="s">
        <v>33</v>
      </c>
    </row>
    <row r="197">
      <c r="A197" s="4" t="s">
        <v>34</v>
      </c>
    </row>
    <row r="198">
      <c r="A198" s="4" t="s">
        <v>44</v>
      </c>
    </row>
    <row r="199">
      <c r="A199" s="4" t="s">
        <v>513</v>
      </c>
    </row>
    <row r="200">
      <c r="A200" s="4" t="s">
        <v>533</v>
      </c>
    </row>
    <row r="201">
      <c r="A201" s="4" t="s">
        <v>518</v>
      </c>
    </row>
    <row r="202">
      <c r="A202" s="4" t="s">
        <v>540</v>
      </c>
    </row>
    <row r="203">
      <c r="A203" s="4" t="s">
        <v>41</v>
      </c>
    </row>
    <row r="204">
      <c r="A204" s="4" t="s">
        <v>541</v>
      </c>
    </row>
    <row r="205">
      <c r="A205" s="4" t="s">
        <v>139</v>
      </c>
    </row>
    <row r="206">
      <c r="A206" s="4" t="s">
        <v>90</v>
      </c>
    </row>
    <row r="207">
      <c r="A207" s="4" t="s">
        <v>33</v>
      </c>
    </row>
    <row r="208">
      <c r="A208" s="4" t="s">
        <v>34</v>
      </c>
    </row>
    <row r="209">
      <c r="A209" s="4" t="s">
        <v>107</v>
      </c>
    </row>
    <row r="210">
      <c r="A210" s="4" t="s">
        <v>41</v>
      </c>
    </row>
    <row r="211">
      <c r="A211" s="4" t="s">
        <v>542</v>
      </c>
    </row>
    <row r="212">
      <c r="A212" s="4" t="s">
        <v>48</v>
      </c>
    </row>
    <row r="213">
      <c r="A213" s="4" t="s">
        <v>88</v>
      </c>
    </row>
    <row r="214">
      <c r="A214" s="4" t="s">
        <v>89</v>
      </c>
    </row>
    <row r="215">
      <c r="A215" s="4" t="s">
        <v>33</v>
      </c>
    </row>
    <row r="216">
      <c r="A216" s="4" t="s">
        <v>34</v>
      </c>
    </row>
    <row r="217">
      <c r="A217" s="4" t="s">
        <v>44</v>
      </c>
    </row>
    <row r="218">
      <c r="A218" s="4" t="s">
        <v>513</v>
      </c>
    </row>
    <row r="219">
      <c r="A219" s="4" t="s">
        <v>543</v>
      </c>
    </row>
    <row r="220">
      <c r="A220" s="4" t="s">
        <v>41</v>
      </c>
    </row>
    <row r="221">
      <c r="A221" s="4" t="s">
        <v>116</v>
      </c>
    </row>
    <row r="222">
      <c r="A222" s="4" t="s">
        <v>155</v>
      </c>
    </row>
    <row r="223">
      <c r="A223" s="4" t="s">
        <v>544</v>
      </c>
    </row>
    <row r="224">
      <c r="A224" s="4" t="s">
        <v>50</v>
      </c>
    </row>
    <row r="225">
      <c r="A225" s="4" t="s">
        <v>40</v>
      </c>
    </row>
    <row r="226">
      <c r="A226" s="4" t="s">
        <v>57</v>
      </c>
    </row>
    <row r="227">
      <c r="A227" s="4" t="s">
        <v>33</v>
      </c>
    </row>
    <row r="228">
      <c r="A228" s="4" t="s">
        <v>500</v>
      </c>
    </row>
    <row r="229">
      <c r="A229" s="4" t="s">
        <v>36</v>
      </c>
    </row>
    <row r="230">
      <c r="A230" s="4" t="s">
        <v>506</v>
      </c>
    </row>
    <row r="231">
      <c r="A231" s="4" t="s">
        <v>88</v>
      </c>
    </row>
    <row r="232">
      <c r="A232" s="4" t="s">
        <v>75</v>
      </c>
    </row>
    <row r="233">
      <c r="A233" s="4" t="s">
        <v>497</v>
      </c>
    </row>
    <row r="234">
      <c r="A234" s="4" t="s">
        <v>498</v>
      </c>
    </row>
    <row r="235">
      <c r="A235" s="4" t="s">
        <v>509</v>
      </c>
    </row>
    <row r="236">
      <c r="A236" s="4" t="s">
        <v>92</v>
      </c>
    </row>
    <row r="237">
      <c r="A237" s="4" t="s">
        <v>545</v>
      </c>
    </row>
    <row r="238">
      <c r="A238" s="4" t="s">
        <v>109</v>
      </c>
    </row>
    <row r="239">
      <c r="A239" s="4" t="s">
        <v>501</v>
      </c>
    </row>
    <row r="240">
      <c r="A240" s="4" t="s">
        <v>33</v>
      </c>
    </row>
    <row r="241">
      <c r="A241" s="4" t="s">
        <v>546</v>
      </c>
    </row>
    <row r="242">
      <c r="A242" s="4" t="s">
        <v>119</v>
      </c>
    </row>
    <row r="243">
      <c r="A243" s="4" t="s">
        <v>62</v>
      </c>
    </row>
    <row r="244">
      <c r="A244" s="4" t="s">
        <v>540</v>
      </c>
    </row>
    <row r="245">
      <c r="A245" s="4" t="s">
        <v>50</v>
      </c>
    </row>
    <row r="246">
      <c r="A246" s="4" t="s">
        <v>40</v>
      </c>
    </row>
    <row r="247">
      <c r="A247" s="4" t="s">
        <v>129</v>
      </c>
    </row>
    <row r="248">
      <c r="A248" s="4" t="s">
        <v>500</v>
      </c>
    </row>
    <row r="249">
      <c r="A249" s="4" t="s">
        <v>48</v>
      </c>
    </row>
    <row r="250">
      <c r="A250" s="4" t="s">
        <v>126</v>
      </c>
    </row>
    <row r="251">
      <c r="A251" s="4" t="s">
        <v>139</v>
      </c>
    </row>
    <row r="252">
      <c r="A252" s="4" t="s">
        <v>33</v>
      </c>
    </row>
    <row r="253">
      <c r="A253" s="4" t="s">
        <v>34</v>
      </c>
    </row>
    <row r="254">
      <c r="A254" s="4" t="s">
        <v>107</v>
      </c>
    </row>
    <row r="255">
      <c r="A255" s="4" t="s">
        <v>41</v>
      </c>
    </row>
    <row r="256">
      <c r="A256" s="4" t="s">
        <v>42</v>
      </c>
    </row>
    <row r="257">
      <c r="A257" s="4" t="s">
        <v>48</v>
      </c>
    </row>
    <row r="258">
      <c r="A258" s="4" t="s">
        <v>529</v>
      </c>
    </row>
    <row r="259">
      <c r="A259" s="4" t="s">
        <v>50</v>
      </c>
    </row>
    <row r="260">
      <c r="A260" s="4" t="s">
        <v>40</v>
      </c>
    </row>
    <row r="261">
      <c r="A261" s="4" t="s">
        <v>33</v>
      </c>
    </row>
    <row r="262">
      <c r="A262" s="4" t="s">
        <v>34</v>
      </c>
    </row>
    <row r="263">
      <c r="A263" s="4" t="s">
        <v>536</v>
      </c>
    </row>
    <row r="264">
      <c r="A264" s="4" t="s">
        <v>41</v>
      </c>
    </row>
    <row r="265">
      <c r="A265" s="4" t="s">
        <v>537</v>
      </c>
    </row>
    <row r="266">
      <c r="A266" s="4" t="s">
        <v>128</v>
      </c>
    </row>
    <row r="267">
      <c r="A267" s="4" t="s">
        <v>518</v>
      </c>
    </row>
    <row r="268">
      <c r="A268" s="4" t="s">
        <v>33</v>
      </c>
    </row>
    <row r="269">
      <c r="A269" s="4" t="s">
        <v>34</v>
      </c>
    </row>
    <row r="270">
      <c r="A270" s="4" t="s">
        <v>44</v>
      </c>
    </row>
    <row r="271">
      <c r="A271" s="4" t="s">
        <v>92</v>
      </c>
    </row>
    <row r="272">
      <c r="A272" s="4" t="s">
        <v>527</v>
      </c>
    </row>
    <row r="273">
      <c r="A273" s="4" t="s">
        <v>35</v>
      </c>
    </row>
    <row r="274">
      <c r="A274" s="4" t="s">
        <v>75</v>
      </c>
    </row>
    <row r="275">
      <c r="A275" s="4" t="s">
        <v>107</v>
      </c>
    </row>
    <row r="276">
      <c r="A276" s="4" t="s">
        <v>41</v>
      </c>
    </row>
    <row r="277">
      <c r="A277" s="4" t="s">
        <v>42</v>
      </c>
    </row>
    <row r="278">
      <c r="A278" s="4" t="s">
        <v>48</v>
      </c>
    </row>
    <row r="279">
      <c r="A279" s="4" t="s">
        <v>547</v>
      </c>
    </row>
    <row r="280">
      <c r="A280" s="4" t="s">
        <v>75</v>
      </c>
    </row>
    <row r="281">
      <c r="A281" s="4" t="s">
        <v>548</v>
      </c>
    </row>
    <row r="282">
      <c r="A282" s="4" t="s">
        <v>33</v>
      </c>
    </row>
    <row r="283">
      <c r="A283" s="4" t="s">
        <v>500</v>
      </c>
    </row>
    <row r="284">
      <c r="A284" s="4" t="s">
        <v>44</v>
      </c>
    </row>
    <row r="285">
      <c r="A285" s="4" t="s">
        <v>518</v>
      </c>
    </row>
    <row r="286">
      <c r="A286" s="4" t="s">
        <v>34</v>
      </c>
    </row>
    <row r="287">
      <c r="A287" s="4" t="s">
        <v>519</v>
      </c>
    </row>
    <row r="288">
      <c r="A288" s="4" t="s">
        <v>520</v>
      </c>
    </row>
    <row r="289">
      <c r="A289" s="4" t="s">
        <v>549</v>
      </c>
    </row>
    <row r="290">
      <c r="A290" s="4" t="s">
        <v>550</v>
      </c>
    </row>
    <row r="291">
      <c r="A291" s="4" t="s">
        <v>33</v>
      </c>
    </row>
    <row r="292">
      <c r="A292" s="4" t="s">
        <v>62</v>
      </c>
    </row>
    <row r="293">
      <c r="A293" s="4" t="s">
        <v>63</v>
      </c>
    </row>
    <row r="294">
      <c r="A294" s="4" t="s">
        <v>506</v>
      </c>
    </row>
    <row r="295">
      <c r="A295" s="4" t="s">
        <v>167</v>
      </c>
    </row>
    <row r="296">
      <c r="A296" s="4" t="s">
        <v>551</v>
      </c>
    </row>
    <row r="297">
      <c r="A297" s="4" t="s">
        <v>512</v>
      </c>
    </row>
    <row r="298">
      <c r="A298" s="4" t="s">
        <v>115</v>
      </c>
    </row>
    <row r="299">
      <c r="A299" s="4" t="s">
        <v>92</v>
      </c>
    </row>
    <row r="300">
      <c r="A300" s="4" t="s">
        <v>93</v>
      </c>
    </row>
    <row r="301">
      <c r="A301" s="4" t="s">
        <v>33</v>
      </c>
    </row>
    <row r="302">
      <c r="A302" s="4" t="s">
        <v>34</v>
      </c>
    </row>
    <row r="303">
      <c r="A303" s="4" t="s">
        <v>497</v>
      </c>
    </row>
    <row r="304">
      <c r="A304" s="4" t="s">
        <v>35</v>
      </c>
    </row>
    <row r="305">
      <c r="A305" s="4" t="s">
        <v>40</v>
      </c>
    </row>
    <row r="306">
      <c r="A306" s="4" t="s">
        <v>552</v>
      </c>
    </row>
    <row r="307">
      <c r="A307" s="4" t="s">
        <v>33</v>
      </c>
    </row>
    <row r="308">
      <c r="A308" s="4" t="s">
        <v>34</v>
      </c>
    </row>
    <row r="309">
      <c r="A309" s="4" t="s">
        <v>44</v>
      </c>
    </row>
    <row r="310">
      <c r="A310" s="4" t="s">
        <v>119</v>
      </c>
    </row>
    <row r="311">
      <c r="A311" s="4" t="s">
        <v>500</v>
      </c>
    </row>
    <row r="312">
      <c r="A312" s="4" t="s">
        <v>109</v>
      </c>
    </row>
    <row r="313">
      <c r="A313" s="4" t="s">
        <v>501</v>
      </c>
    </row>
    <row r="314">
      <c r="A314" s="4" t="s">
        <v>88</v>
      </c>
    </row>
    <row r="315">
      <c r="A315" s="4" t="s">
        <v>75</v>
      </c>
    </row>
    <row r="316">
      <c r="A316" s="4" t="s">
        <v>553</v>
      </c>
    </row>
    <row r="317">
      <c r="A317" s="4" t="s">
        <v>155</v>
      </c>
    </row>
    <row r="318">
      <c r="A318" s="4" t="s">
        <v>107</v>
      </c>
    </row>
    <row r="319">
      <c r="A319" s="4" t="s">
        <v>41</v>
      </c>
    </row>
    <row r="320">
      <c r="A320" s="4" t="s">
        <v>42</v>
      </c>
    </row>
    <row r="321">
      <c r="A321" s="4" t="s">
        <v>48</v>
      </c>
    </row>
    <row r="322">
      <c r="A322" s="4" t="s">
        <v>554</v>
      </c>
    </row>
    <row r="323">
      <c r="A323" s="4" t="s">
        <v>541</v>
      </c>
    </row>
    <row r="324">
      <c r="A324" s="4" t="s">
        <v>139</v>
      </c>
    </row>
    <row r="325">
      <c r="A325" s="4" t="s">
        <v>33</v>
      </c>
    </row>
    <row r="326">
      <c r="A326" s="4" t="s">
        <v>34</v>
      </c>
    </row>
    <row r="327">
      <c r="A327" s="4" t="s">
        <v>44</v>
      </c>
    </row>
    <row r="328">
      <c r="A328" s="4" t="s">
        <v>119</v>
      </c>
    </row>
    <row r="329">
      <c r="A329" s="4" t="s">
        <v>500</v>
      </c>
    </row>
    <row r="330">
      <c r="A330" s="4" t="s">
        <v>109</v>
      </c>
    </row>
    <row r="331">
      <c r="A331" s="4" t="s">
        <v>501</v>
      </c>
    </row>
    <row r="332">
      <c r="A332" s="4" t="s">
        <v>103</v>
      </c>
    </row>
    <row r="333">
      <c r="A333" s="4" t="s">
        <v>555</v>
      </c>
    </row>
    <row r="334">
      <c r="A334" s="4" t="s">
        <v>69</v>
      </c>
    </row>
    <row r="335">
      <c r="A335" s="4" t="s">
        <v>70</v>
      </c>
    </row>
    <row r="336">
      <c r="A336" s="4" t="s">
        <v>33</v>
      </c>
    </row>
    <row r="337">
      <c r="A337" s="4" t="s">
        <v>34</v>
      </c>
    </row>
    <row r="338">
      <c r="A338" s="4" t="s">
        <v>509</v>
      </c>
    </row>
    <row r="339">
      <c r="A339" s="4" t="s">
        <v>92</v>
      </c>
    </row>
    <row r="340">
      <c r="A340" s="4" t="s">
        <v>510</v>
      </c>
    </row>
    <row r="341">
      <c r="A341" s="4" t="s">
        <v>33</v>
      </c>
    </row>
    <row r="342">
      <c r="A342" s="4" t="s">
        <v>500</v>
      </c>
    </row>
    <row r="343">
      <c r="A343" s="4" t="s">
        <v>44</v>
      </c>
    </row>
    <row r="344">
      <c r="A344" s="4" t="s">
        <v>518</v>
      </c>
    </row>
    <row r="345">
      <c r="A345" s="4" t="s">
        <v>34</v>
      </c>
    </row>
    <row r="346">
      <c r="A346" s="4" t="s">
        <v>519</v>
      </c>
    </row>
    <row r="347">
      <c r="A347" s="4" t="s">
        <v>520</v>
      </c>
    </row>
    <row r="348">
      <c r="A348" s="4" t="s">
        <v>138</v>
      </c>
    </row>
    <row r="349">
      <c r="A349" s="4" t="s">
        <v>36</v>
      </c>
    </row>
    <row r="350">
      <c r="A350" s="4" t="s">
        <v>50</v>
      </c>
    </row>
    <row r="351">
      <c r="A351" s="4" t="s">
        <v>556</v>
      </c>
    </row>
    <row r="352">
      <c r="A352" s="4" t="s">
        <v>33</v>
      </c>
    </row>
    <row r="353">
      <c r="A353" s="4" t="s">
        <v>34</v>
      </c>
    </row>
    <row r="354">
      <c r="A354" s="4" t="s">
        <v>50</v>
      </c>
    </row>
    <row r="355">
      <c r="A355" s="4" t="s">
        <v>40</v>
      </c>
    </row>
    <row r="356">
      <c r="A356" s="4" t="s">
        <v>129</v>
      </c>
    </row>
    <row r="357">
      <c r="A357" s="4" t="s">
        <v>557</v>
      </c>
    </row>
    <row r="358">
      <c r="A358" s="4" t="s">
        <v>48</v>
      </c>
    </row>
    <row r="359">
      <c r="A359" s="4" t="s">
        <v>558</v>
      </c>
    </row>
    <row r="360">
      <c r="A360" s="4" t="s">
        <v>559</v>
      </c>
    </row>
    <row r="361">
      <c r="A361" s="4" t="s">
        <v>33</v>
      </c>
    </row>
    <row r="362">
      <c r="A362" s="4" t="s">
        <v>560</v>
      </c>
    </row>
    <row r="363">
      <c r="A363" s="4" t="s">
        <v>107</v>
      </c>
    </row>
    <row r="364">
      <c r="A364" s="4" t="s">
        <v>41</v>
      </c>
    </row>
    <row r="365">
      <c r="A365" s="4" t="s">
        <v>42</v>
      </c>
    </row>
    <row r="366">
      <c r="A366" s="4" t="s">
        <v>48</v>
      </c>
    </row>
    <row r="367">
      <c r="A367" s="4" t="s">
        <v>101</v>
      </c>
    </row>
    <row r="368">
      <c r="A368" s="4" t="s">
        <v>33</v>
      </c>
    </row>
    <row r="369">
      <c r="A369" s="4" t="s">
        <v>500</v>
      </c>
    </row>
    <row r="370">
      <c r="A370" s="4" t="s">
        <v>44</v>
      </c>
    </row>
    <row r="371">
      <c r="A371" s="4" t="s">
        <v>119</v>
      </c>
    </row>
    <row r="372">
      <c r="A372" s="4" t="s">
        <v>109</v>
      </c>
    </row>
    <row r="373">
      <c r="A373" s="4" t="s">
        <v>549</v>
      </c>
    </row>
    <row r="374">
      <c r="A374" s="4" t="s">
        <v>561</v>
      </c>
    </row>
    <row r="375">
      <c r="A375" s="4" t="s">
        <v>562</v>
      </c>
    </row>
    <row r="376">
      <c r="A376" s="4" t="s">
        <v>563</v>
      </c>
    </row>
    <row r="377">
      <c r="A377" s="4" t="s">
        <v>564</v>
      </c>
    </row>
    <row r="378">
      <c r="A378" s="4" t="s">
        <v>33</v>
      </c>
    </row>
    <row r="379">
      <c r="A379" s="4" t="s">
        <v>500</v>
      </c>
    </row>
    <row r="380">
      <c r="A380" s="4" t="s">
        <v>68</v>
      </c>
    </row>
    <row r="381">
      <c r="A381" s="4" t="s">
        <v>518</v>
      </c>
    </row>
    <row r="382">
      <c r="A382" s="4" t="s">
        <v>34</v>
      </c>
    </row>
    <row r="383">
      <c r="A383" s="4" t="s">
        <v>519</v>
      </c>
    </row>
    <row r="384">
      <c r="A384" s="4" t="s">
        <v>520</v>
      </c>
    </row>
    <row r="385">
      <c r="A385" s="4" t="s">
        <v>88</v>
      </c>
    </row>
    <row r="386">
      <c r="A386" s="4" t="s">
        <v>89</v>
      </c>
    </row>
    <row r="387">
      <c r="A387" s="4" t="s">
        <v>33</v>
      </c>
    </row>
    <row r="388">
      <c r="A388" s="4" t="s">
        <v>34</v>
      </c>
    </row>
    <row r="389">
      <c r="A389" s="4" t="s">
        <v>88</v>
      </c>
    </row>
    <row r="390">
      <c r="A390" s="4" t="s">
        <v>89</v>
      </c>
    </row>
    <row r="391">
      <c r="A391" s="4" t="s">
        <v>509</v>
      </c>
    </row>
    <row r="392">
      <c r="A392" s="4" t="s">
        <v>92</v>
      </c>
    </row>
    <row r="393">
      <c r="A393" s="4" t="s">
        <v>510</v>
      </c>
    </row>
    <row r="394">
      <c r="A394" s="4" t="s">
        <v>33</v>
      </c>
    </row>
    <row r="395">
      <c r="A395" s="4" t="s">
        <v>34</v>
      </c>
    </row>
    <row r="396">
      <c r="A396" s="4" t="s">
        <v>497</v>
      </c>
    </row>
    <row r="397">
      <c r="A397" s="4" t="s">
        <v>40</v>
      </c>
    </row>
    <row r="398">
      <c r="A398" s="4" t="s">
        <v>552</v>
      </c>
    </row>
    <row r="399">
      <c r="A399" s="4" t="s">
        <v>33</v>
      </c>
    </row>
    <row r="400">
      <c r="A400" s="4" t="s">
        <v>34</v>
      </c>
    </row>
    <row r="401">
      <c r="A401" s="4" t="s">
        <v>75</v>
      </c>
    </row>
    <row r="402">
      <c r="A402" s="4" t="s">
        <v>565</v>
      </c>
    </row>
    <row r="403">
      <c r="A403" s="4" t="s">
        <v>119</v>
      </c>
    </row>
    <row r="404">
      <c r="A404" s="4" t="s">
        <v>500</v>
      </c>
    </row>
    <row r="405">
      <c r="A405" s="4" t="s">
        <v>109</v>
      </c>
    </row>
    <row r="406">
      <c r="A406" s="4" t="s">
        <v>501</v>
      </c>
    </row>
    <row r="407">
      <c r="A407" s="4" t="s">
        <v>33</v>
      </c>
    </row>
    <row r="408">
      <c r="A408" s="4" t="s">
        <v>155</v>
      </c>
    </row>
    <row r="409">
      <c r="A409" s="4" t="s">
        <v>509</v>
      </c>
    </row>
    <row r="410">
      <c r="A410" s="4" t="s">
        <v>92</v>
      </c>
    </row>
    <row r="411">
      <c r="A411" s="4" t="s">
        <v>510</v>
      </c>
    </row>
    <row r="412">
      <c r="A412" s="4" t="s">
        <v>33</v>
      </c>
    </row>
    <row r="413">
      <c r="A413" s="4" t="s">
        <v>34</v>
      </c>
    </row>
    <row r="414">
      <c r="A414" s="4" t="s">
        <v>75</v>
      </c>
    </row>
    <row r="415">
      <c r="A415" s="4" t="s">
        <v>566</v>
      </c>
    </row>
    <row r="416">
      <c r="A416" s="4" t="s">
        <v>119</v>
      </c>
    </row>
    <row r="417">
      <c r="A417" s="4" t="s">
        <v>166</v>
      </c>
    </row>
    <row r="418">
      <c r="A418" s="4" t="s">
        <v>39</v>
      </c>
    </row>
    <row r="419">
      <c r="A419" s="4" t="s">
        <v>40</v>
      </c>
    </row>
    <row r="420">
      <c r="A420" s="4" t="s">
        <v>33</v>
      </c>
    </row>
    <row r="421">
      <c r="A421" s="4" t="s">
        <v>62</v>
      </c>
    </row>
    <row r="422">
      <c r="A422" s="4" t="s">
        <v>567</v>
      </c>
    </row>
    <row r="423">
      <c r="A423" s="4" t="s">
        <v>41</v>
      </c>
    </row>
    <row r="424">
      <c r="A424" s="4" t="s">
        <v>568</v>
      </c>
    </row>
    <row r="425">
      <c r="A425" s="4" t="s">
        <v>88</v>
      </c>
    </row>
    <row r="426">
      <c r="A426" s="4" t="s">
        <v>89</v>
      </c>
    </row>
    <row r="427">
      <c r="A427" s="4" t="s">
        <v>33</v>
      </c>
    </row>
    <row r="428">
      <c r="A428" s="4" t="s">
        <v>569</v>
      </c>
    </row>
    <row r="429">
      <c r="A429" s="4" t="s">
        <v>129</v>
      </c>
    </row>
    <row r="430">
      <c r="A430" s="4" t="s">
        <v>62</v>
      </c>
    </row>
    <row r="431">
      <c r="A431" s="4" t="s">
        <v>523</v>
      </c>
    </row>
    <row r="432">
      <c r="A432" s="4" t="s">
        <v>88</v>
      </c>
    </row>
    <row r="433">
      <c r="A433" s="4" t="s">
        <v>75</v>
      </c>
    </row>
    <row r="434">
      <c r="A434" s="4" t="s">
        <v>570</v>
      </c>
    </row>
    <row r="435">
      <c r="A435" s="4" t="s">
        <v>41</v>
      </c>
    </row>
    <row r="436">
      <c r="A436" s="4" t="s">
        <v>571</v>
      </c>
    </row>
    <row r="437">
      <c r="A437" s="4" t="s">
        <v>572</v>
      </c>
    </row>
    <row r="438">
      <c r="A438" s="4" t="s">
        <v>553</v>
      </c>
    </row>
    <row r="439">
      <c r="A439" s="4" t="s">
        <v>155</v>
      </c>
    </row>
    <row r="440">
      <c r="A440" s="4" t="s">
        <v>107</v>
      </c>
    </row>
    <row r="441">
      <c r="A441" s="4" t="s">
        <v>41</v>
      </c>
    </row>
    <row r="442">
      <c r="A442" s="4" t="s">
        <v>42</v>
      </c>
    </row>
    <row r="443">
      <c r="A443" s="4" t="s">
        <v>48</v>
      </c>
    </row>
    <row r="444">
      <c r="A444" s="4" t="s">
        <v>75</v>
      </c>
    </row>
    <row r="445">
      <c r="A445" s="4" t="s">
        <v>145</v>
      </c>
    </row>
    <row r="446">
      <c r="A446" s="4" t="s">
        <v>33</v>
      </c>
    </row>
    <row r="447">
      <c r="A447" s="4" t="s">
        <v>500</v>
      </c>
    </row>
    <row r="448">
      <c r="A448" s="4" t="s">
        <v>68</v>
      </c>
    </row>
    <row r="449">
      <c r="A449" s="4" t="s">
        <v>518</v>
      </c>
    </row>
    <row r="450">
      <c r="A450" s="4" t="s">
        <v>34</v>
      </c>
    </row>
    <row r="451">
      <c r="A451" s="4" t="s">
        <v>519</v>
      </c>
    </row>
    <row r="452">
      <c r="A452" s="4" t="s">
        <v>520</v>
      </c>
    </row>
    <row r="453">
      <c r="A453" s="4" t="s">
        <v>61</v>
      </c>
    </row>
    <row r="454">
      <c r="A454" s="4" t="s">
        <v>119</v>
      </c>
    </row>
    <row r="455">
      <c r="A455" s="4" t="s">
        <v>62</v>
      </c>
    </row>
    <row r="456">
      <c r="A456" s="4" t="s">
        <v>63</v>
      </c>
    </row>
    <row r="457">
      <c r="A457" s="4" t="s">
        <v>148</v>
      </c>
    </row>
    <row r="458">
      <c r="A458" s="4" t="s">
        <v>57</v>
      </c>
    </row>
    <row r="459">
      <c r="A459" s="4" t="s">
        <v>33</v>
      </c>
    </row>
    <row r="460">
      <c r="A460" s="4" t="s">
        <v>34</v>
      </c>
    </row>
    <row r="461">
      <c r="A461" s="4" t="s">
        <v>107</v>
      </c>
    </row>
    <row r="462">
      <c r="A462" s="4" t="s">
        <v>41</v>
      </c>
    </row>
    <row r="463">
      <c r="A463" s="4" t="s">
        <v>42</v>
      </c>
    </row>
    <row r="464">
      <c r="A464" s="4" t="s">
        <v>48</v>
      </c>
    </row>
    <row r="465">
      <c r="A465" s="4" t="s">
        <v>529</v>
      </c>
    </row>
    <row r="466">
      <c r="A466" s="4" t="s">
        <v>39</v>
      </c>
    </row>
    <row r="467">
      <c r="A467" s="4" t="s">
        <v>40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175</v>
      </c>
      <c r="D2" s="4" t="str">
        <f t="shared" ref="D2:D463" si="1">C2</f>
        <v>{"valorA":"ótimo","valorB":1.0}</v>
      </c>
      <c r="E2" s="8" t="str">
        <f t="shared" ref="E2:E463" si="2">SUBSTITUTE(MID(C2,FIND(":",C2)+1,FIND(",",C2)-FIND(":",C2)-1),"""","")</f>
        <v>ótimo</v>
      </c>
      <c r="F2" s="8" t="str">
        <f>IFERROR(__xludf.DUMMYFUNCTION("UNIQUE(E2:E1463)"),"ótimo")</f>
        <v>ótimo</v>
      </c>
      <c r="G2" s="8" t="str">
        <f t="shared" ref="G2:G463" si="3">MID(C2,FIND("valorB",C2)+8,FIND("}",C2)-FIND("valorB",C2)-8)</f>
        <v>1.0</v>
      </c>
      <c r="H2" s="9">
        <f t="shared" ref="H2:H463" si="4">VALUE(SUBSTITUTE(G2,".",","))</f>
        <v>1</v>
      </c>
      <c r="I2" s="10">
        <f>IFERROR(__xludf.DUMMYFUNCTION("MAX(FILTER($H$2:$H1463,$E$2:$E1463=F2))"),48.0)</f>
        <v>48</v>
      </c>
      <c r="J2" s="11"/>
    </row>
    <row r="3">
      <c r="A3" s="4"/>
      <c r="C3" s="4" t="s">
        <v>573</v>
      </c>
      <c r="D3" s="4" t="str">
        <f t="shared" si="1"/>
        <v>{"valorA":"valorizei","valorB":1.0}</v>
      </c>
      <c r="E3" s="8" t="str">
        <f t="shared" si="2"/>
        <v>valorizei</v>
      </c>
      <c r="F3" s="8" t="str">
        <f>IFERROR(__xludf.DUMMYFUNCTION("""COMPUTED_VALUE"""),"valorizei")</f>
        <v>valorizei</v>
      </c>
      <c r="G3" s="8" t="str">
        <f t="shared" si="3"/>
        <v>1.0</v>
      </c>
      <c r="H3" s="9">
        <f t="shared" si="4"/>
        <v>1</v>
      </c>
      <c r="I3" s="10">
        <f>IFERROR(__xludf.DUMMYFUNCTION("MAX(FILTER($H$2:$H1463,$E$2:$E1463=F3))"),1.0)</f>
        <v>1</v>
      </c>
    </row>
    <row r="4">
      <c r="A4" s="4"/>
      <c r="C4" s="4" t="s">
        <v>574</v>
      </c>
      <c r="D4" s="4" t="str">
        <f t="shared" si="1"/>
        <v>{"valorA":"chegar","valorB":1.0}</v>
      </c>
      <c r="E4" s="8" t="str">
        <f t="shared" si="2"/>
        <v>chegar</v>
      </c>
      <c r="F4" s="8" t="str">
        <f>IFERROR(__xludf.DUMMYFUNCTION("""COMPUTED_VALUE"""),"chegar")</f>
        <v>chegar</v>
      </c>
      <c r="G4" s="8" t="str">
        <f t="shared" si="3"/>
        <v>1.0</v>
      </c>
      <c r="H4" s="9">
        <f t="shared" si="4"/>
        <v>1</v>
      </c>
      <c r="I4" s="10">
        <f>IFERROR(__xludf.DUMMYFUNCTION("MAX(FILTER($H$2:$H1463,$E$2:$E1463=F4))"),1.0)</f>
        <v>1</v>
      </c>
    </row>
    <row r="5">
      <c r="A5" s="4"/>
      <c r="C5" s="4" t="s">
        <v>575</v>
      </c>
      <c r="D5" s="4" t="str">
        <f t="shared" si="1"/>
        <v>{"valorA":"demorou","valorB":1.0}</v>
      </c>
      <c r="E5" s="8" t="str">
        <f t="shared" si="2"/>
        <v>demorou</v>
      </c>
      <c r="F5" s="8" t="str">
        <f>IFERROR(__xludf.DUMMYFUNCTION("""COMPUTED_VALUE"""),"demorou")</f>
        <v>demorou</v>
      </c>
      <c r="G5" s="8" t="str">
        <f t="shared" si="3"/>
        <v>1.0</v>
      </c>
      <c r="H5" s="9">
        <f t="shared" si="4"/>
        <v>1</v>
      </c>
      <c r="I5" s="10">
        <f>IFERROR(__xludf.DUMMYFUNCTION("MAX(FILTER($H$2:$H1463,$E$2:$E1463=F5))"),1.0)</f>
        <v>1</v>
      </c>
    </row>
    <row r="6">
      <c r="A6" s="4"/>
      <c r="C6" s="4" t="s">
        <v>310</v>
      </c>
      <c r="D6" s="4" t="str">
        <f t="shared" si="1"/>
        <v>{"valorA":"o","valorB":1.0}</v>
      </c>
      <c r="E6" s="8" t="str">
        <f t="shared" si="2"/>
        <v>o</v>
      </c>
      <c r="F6" s="8" t="str">
        <f>IFERROR(__xludf.DUMMYFUNCTION("""COMPUTED_VALUE"""),"o")</f>
        <v>o</v>
      </c>
      <c r="G6" s="8" t="str">
        <f t="shared" si="3"/>
        <v>1.0</v>
      </c>
      <c r="H6" s="9">
        <f t="shared" si="4"/>
        <v>1</v>
      </c>
      <c r="I6" s="10">
        <f>IFERROR(__xludf.DUMMYFUNCTION("MAX(FILTER($H$2:$H1463,$E$2:$E1463=F6))"),12.0)</f>
        <v>12</v>
      </c>
    </row>
    <row r="7">
      <c r="A7" s="4"/>
      <c r="C7" s="4" t="s">
        <v>295</v>
      </c>
      <c r="D7" s="4" t="str">
        <f t="shared" si="1"/>
        <v>{"valorA":"que","valorB":1.0}</v>
      </c>
      <c r="E7" s="8" t="str">
        <f t="shared" si="2"/>
        <v>que</v>
      </c>
      <c r="F7" s="8" t="str">
        <f>IFERROR(__xludf.DUMMYFUNCTION("""COMPUTED_VALUE"""),"que")</f>
        <v>que</v>
      </c>
      <c r="G7" s="8" t="str">
        <f t="shared" si="3"/>
        <v>1.0</v>
      </c>
      <c r="H7" s="9">
        <f t="shared" si="4"/>
        <v>1</v>
      </c>
      <c r="I7" s="10">
        <f>IFERROR(__xludf.DUMMYFUNCTION("MAX(FILTER($H$2:$H1463,$E$2:$E1463=F7))"),9.0)</f>
        <v>9</v>
      </c>
    </row>
    <row r="8">
      <c r="A8" s="4"/>
      <c r="C8" s="4" t="s">
        <v>189</v>
      </c>
      <c r="D8" s="4" t="str">
        <f t="shared" si="1"/>
        <v>{"valorA":"produto","valorB":2.0}</v>
      </c>
      <c r="E8" s="8" t="str">
        <f t="shared" si="2"/>
        <v>produto</v>
      </c>
      <c r="F8" s="8" t="str">
        <f>IFERROR(__xludf.DUMMYFUNCTION("""COMPUTED_VALUE"""),"produto")</f>
        <v>produto</v>
      </c>
      <c r="G8" s="8" t="str">
        <f t="shared" si="3"/>
        <v>2.0</v>
      </c>
      <c r="H8" s="9">
        <f t="shared" si="4"/>
        <v>2</v>
      </c>
      <c r="I8" s="10">
        <f>IFERROR(__xludf.DUMMYFUNCTION("MAX(FILTER($H$2:$H1463,$E$2:$E1463=F8))"),34.0)</f>
        <v>34</v>
      </c>
    </row>
    <row r="9">
      <c r="A9" s="4"/>
      <c r="C9" s="4" t="s">
        <v>576</v>
      </c>
      <c r="D9" s="4" t="str">
        <f t="shared" si="1"/>
        <v>{"valorA":"ótimo","valorB":2.0}</v>
      </c>
      <c r="E9" s="8" t="str">
        <f t="shared" si="2"/>
        <v>ótimo</v>
      </c>
      <c r="F9" s="8" t="str">
        <f>IFERROR(__xludf.DUMMYFUNCTION("""COMPUTED_VALUE"""),"paguei")</f>
        <v>paguei</v>
      </c>
      <c r="G9" s="8" t="str">
        <f t="shared" si="3"/>
        <v>2.0</v>
      </c>
      <c r="H9" s="9">
        <f t="shared" si="4"/>
        <v>2</v>
      </c>
      <c r="I9" s="10">
        <f>IFERROR(__xludf.DUMMYFUNCTION("MAX(FILTER($H$2:$H1463,$E$2:$E1463=F9))"),7.0)</f>
        <v>7</v>
      </c>
    </row>
    <row r="10">
      <c r="A10" s="4"/>
      <c r="C10" s="4" t="s">
        <v>577</v>
      </c>
      <c r="D10" s="4" t="str">
        <f t="shared" si="1"/>
        <v>{"valorA":"paguei","valorB":1.0}</v>
      </c>
      <c r="E10" s="8" t="str">
        <f t="shared" si="2"/>
        <v>paguei</v>
      </c>
      <c r="F10" s="8" t="str">
        <f>IFERROR(__xludf.DUMMYFUNCTION("""COMPUTED_VALUE"""),"mas")</f>
        <v>mas</v>
      </c>
      <c r="G10" s="8" t="str">
        <f t="shared" si="3"/>
        <v>1.0</v>
      </c>
      <c r="H10" s="9">
        <f t="shared" si="4"/>
        <v>1</v>
      </c>
      <c r="I10" s="10">
        <f>IFERROR(__xludf.DUMMYFUNCTION("MAX(FILTER($H$2:$H1463,$E$2:$E1463=F10))"),7.0)</f>
        <v>7</v>
      </c>
    </row>
    <row r="11">
      <c r="A11" s="4"/>
      <c r="C11" s="4" t="s">
        <v>578</v>
      </c>
      <c r="D11" s="4" t="str">
        <f t="shared" si="1"/>
        <v>{"valorA":"mas","valorB":2.0}</v>
      </c>
      <c r="E11" s="8" t="str">
        <f t="shared" si="2"/>
        <v>mas</v>
      </c>
      <c r="F11" s="8" t="str">
        <f>IFERROR(__xludf.DUMMYFUNCTION("""COMPUTED_VALUE"""),"muito")</f>
        <v>muito</v>
      </c>
      <c r="G11" s="8" t="str">
        <f t="shared" si="3"/>
        <v>2.0</v>
      </c>
      <c r="H11" s="9">
        <f t="shared" si="4"/>
        <v>2</v>
      </c>
      <c r="I11" s="10">
        <f>IFERROR(__xludf.DUMMYFUNCTION("MAX(FILTER($H$2:$H1463,$E$2:$E1463=F11))"),14.0)</f>
        <v>14</v>
      </c>
    </row>
    <row r="12">
      <c r="A12" s="4"/>
      <c r="C12" s="4" t="s">
        <v>579</v>
      </c>
      <c r="D12" s="4" t="str">
        <f t="shared" si="1"/>
        <v>{"valorA":"muito","valorB":1.0}</v>
      </c>
      <c r="E12" s="8" t="str">
        <f t="shared" si="2"/>
        <v>muito</v>
      </c>
      <c r="F12" s="8" t="str">
        <f>IFERROR(__xludf.DUMMYFUNCTION("""COMPUTED_VALUE"""),"a")</f>
        <v>a</v>
      </c>
      <c r="G12" s="8" t="str">
        <f t="shared" si="3"/>
        <v>1.0</v>
      </c>
      <c r="H12" s="9">
        <f t="shared" si="4"/>
        <v>1</v>
      </c>
      <c r="I12" s="10">
        <f>IFERROR(__xludf.DUMMYFUNCTION("MAX(FILTER($H$2:$H1463,$E$2:$E1463=F12))"),14.0)</f>
        <v>14</v>
      </c>
    </row>
    <row r="13">
      <c r="A13" s="4"/>
      <c r="C13" s="4" t="s">
        <v>580</v>
      </c>
      <c r="D13" s="4" t="str">
        <f t="shared" si="1"/>
        <v>{"valorA":"a","valorB":1.0}</v>
      </c>
      <c r="E13" s="8" t="str">
        <f t="shared" si="2"/>
        <v>a</v>
      </c>
      <c r="F13" s="8" t="str">
        <f>IFERROR(__xludf.DUMMYFUNCTION("""COMPUTED_VALUE"""),"desapontiado")</f>
        <v>desapontiado</v>
      </c>
      <c r="G13" s="8" t="str">
        <f t="shared" si="3"/>
        <v>1.0</v>
      </c>
      <c r="H13" s="9">
        <f t="shared" si="4"/>
        <v>1</v>
      </c>
      <c r="I13" s="10">
        <f>IFERROR(__xludf.DUMMYFUNCTION("MAX(FILTER($H$2:$H1463,$E$2:$E1463=F13))"),1.0)</f>
        <v>1</v>
      </c>
    </row>
    <row r="14">
      <c r="A14" s="4"/>
      <c r="C14" s="4" t="s">
        <v>581</v>
      </c>
      <c r="D14" s="4" t="str">
        <f t="shared" si="1"/>
        <v>{"valorA":"desapontiado","valorB":1.0}</v>
      </c>
      <c r="E14" s="8" t="str">
        <f t="shared" si="2"/>
        <v>desapontiado</v>
      </c>
      <c r="F14" s="8" t="str">
        <f>IFERROR(__xludf.DUMMYFUNCTION("""COMPUTED_VALUE"""),"não")</f>
        <v>não</v>
      </c>
      <c r="G14" s="8" t="str">
        <f t="shared" si="3"/>
        <v>1.0</v>
      </c>
      <c r="H14" s="9">
        <f t="shared" si="4"/>
        <v>1</v>
      </c>
      <c r="I14" s="10">
        <f>IFERROR(__xludf.DUMMYFUNCTION("MAX(FILTER($H$2:$H1463,$E$2:$E1463=F14))"),5.0)</f>
        <v>5</v>
      </c>
    </row>
    <row r="15">
      <c r="A15" s="4"/>
      <c r="C15" s="4" t="s">
        <v>582</v>
      </c>
      <c r="D15" s="4" t="str">
        <f t="shared" si="1"/>
        <v>{"valorA":"não","valorB":1.0}</v>
      </c>
      <c r="E15" s="8" t="str">
        <f t="shared" si="2"/>
        <v>não</v>
      </c>
      <c r="F15" s="8" t="str">
        <f>IFERROR(__xludf.DUMMYFUNCTION("""COMPUTED_VALUE"""),"preço")</f>
        <v>preço</v>
      </c>
      <c r="G15" s="8" t="str">
        <f t="shared" si="3"/>
        <v>1.0</v>
      </c>
      <c r="H15" s="9">
        <f t="shared" si="4"/>
        <v>1</v>
      </c>
      <c r="I15" s="10">
        <f>IFERROR(__xludf.DUMMYFUNCTION("MAX(FILTER($H$2:$H1463,$E$2:$E1463=F15))"),19.0)</f>
        <v>19</v>
      </c>
    </row>
    <row r="16">
      <c r="A16" s="4"/>
      <c r="C16" s="4" t="s">
        <v>583</v>
      </c>
      <c r="D16" s="4" t="str">
        <f t="shared" si="1"/>
        <v>{"valorA":"preço","valorB":1.0}</v>
      </c>
      <c r="E16" s="8" t="str">
        <f t="shared" si="2"/>
        <v>preço</v>
      </c>
      <c r="F16" s="8" t="str">
        <f>IFERROR(__xludf.DUMMYFUNCTION("""COMPUTED_VALUE"""),"qualidade")</f>
        <v>qualidade</v>
      </c>
      <c r="G16" s="8" t="str">
        <f t="shared" si="3"/>
        <v>1.0</v>
      </c>
      <c r="H16" s="9">
        <f t="shared" si="4"/>
        <v>1</v>
      </c>
      <c r="I16" s="10">
        <f>IFERROR(__xludf.DUMMYFUNCTION("MAX(FILTER($H$2:$H1463,$E$2:$E1463=F16))"),8.0)</f>
        <v>8</v>
      </c>
    </row>
    <row r="17">
      <c r="A17" s="4"/>
      <c r="C17" s="4" t="s">
        <v>191</v>
      </c>
      <c r="D17" s="4" t="str">
        <f t="shared" si="1"/>
        <v>{"valorA":"ótimo","valorB":3.0}</v>
      </c>
      <c r="E17" s="8" t="str">
        <f t="shared" si="2"/>
        <v>ótimo</v>
      </c>
      <c r="F17" s="8" t="str">
        <f>IFERROR(__xludf.DUMMYFUNCTION("""COMPUTED_VALUE"""),"meu")</f>
        <v>meu</v>
      </c>
      <c r="G17" s="8" t="str">
        <f t="shared" si="3"/>
        <v>3.0</v>
      </c>
      <c r="H17" s="9">
        <f t="shared" si="4"/>
        <v>3</v>
      </c>
      <c r="I17" s="10">
        <f>IFERROR(__xludf.DUMMYFUNCTION("MAX(FILTER($H$2:$H1463,$E$2:$E1463=F17))"),7.0)</f>
        <v>7</v>
      </c>
    </row>
    <row r="18">
      <c r="A18" s="4"/>
      <c r="C18" s="4" t="s">
        <v>346</v>
      </c>
      <c r="D18" s="4" t="str">
        <f t="shared" si="1"/>
        <v>{"valorA":"qualidade","valorB":1.0}</v>
      </c>
      <c r="E18" s="8" t="str">
        <f t="shared" si="2"/>
        <v>qualidade</v>
      </c>
      <c r="F18" s="8" t="str">
        <f>IFERROR(__xludf.DUMMYFUNCTION("""COMPUTED_VALUE"""),"custa")</f>
        <v>custa</v>
      </c>
      <c r="G18" s="8" t="str">
        <f t="shared" si="3"/>
        <v>1.0</v>
      </c>
      <c r="H18" s="9">
        <f t="shared" si="4"/>
        <v>1</v>
      </c>
      <c r="I18" s="10">
        <f>IFERROR(__xludf.DUMMYFUNCTION("MAX(FILTER($H$2:$H1463,$E$2:$E1463=F18))"),1.0)</f>
        <v>1</v>
      </c>
    </row>
    <row r="19">
      <c r="A19" s="4"/>
      <c r="C19" s="4" t="s">
        <v>200</v>
      </c>
      <c r="D19" s="4" t="str">
        <f t="shared" si="1"/>
        <v>{"valorA":"meu","valorB":1.0}</v>
      </c>
      <c r="E19" s="8" t="str">
        <f t="shared" si="2"/>
        <v>meu</v>
      </c>
      <c r="F19" s="8" t="str">
        <f>IFERROR(__xludf.DUMMYFUNCTION("""COMPUTED_VALUE"""),"pena")</f>
        <v>pena</v>
      </c>
      <c r="G19" s="8" t="str">
        <f t="shared" si="3"/>
        <v>1.0</v>
      </c>
      <c r="H19" s="9">
        <f t="shared" si="4"/>
        <v>1</v>
      </c>
      <c r="I19" s="10">
        <f>IFERROR(__xludf.DUMMYFUNCTION("MAX(FILTER($H$2:$H1463,$E$2:$E1463=F19))"),1.0)</f>
        <v>1</v>
      </c>
    </row>
    <row r="20">
      <c r="A20" s="4"/>
      <c r="C20" s="4" t="s">
        <v>584</v>
      </c>
      <c r="D20" s="4" t="str">
        <f t="shared" si="1"/>
        <v>{"valorA":"custa","valorB":1.0}</v>
      </c>
      <c r="E20" s="8" t="str">
        <f t="shared" si="2"/>
        <v>custa</v>
      </c>
      <c r="F20" s="8" t="str">
        <f>IFERROR(__xludf.DUMMYFUNCTION("""COMPUTED_VALUE"""),"e")</f>
        <v>e</v>
      </c>
      <c r="G20" s="8" t="str">
        <f t="shared" si="3"/>
        <v>1.0</v>
      </c>
      <c r="H20" s="9">
        <f t="shared" si="4"/>
        <v>1</v>
      </c>
      <c r="I20" s="10">
        <f>IFERROR(__xludf.DUMMYFUNCTION("MAX(FILTER($H$2:$H1463,$E$2:$E1463=F20))"),16.0)</f>
        <v>16</v>
      </c>
    </row>
    <row r="21">
      <c r="A21" s="4"/>
      <c r="C21" s="4" t="s">
        <v>307</v>
      </c>
      <c r="D21" s="4" t="str">
        <f t="shared" si="1"/>
        <v>{"valorA":"pena","valorB":1.0}</v>
      </c>
      <c r="E21" s="8" t="str">
        <f t="shared" si="2"/>
        <v>pena</v>
      </c>
      <c r="F21" s="8" t="str">
        <f>IFERROR(__xludf.DUMMYFUNCTION("""COMPUTED_VALUE"""),"gosto")</f>
        <v>gosto</v>
      </c>
      <c r="G21" s="8" t="str">
        <f t="shared" si="3"/>
        <v>1.0</v>
      </c>
      <c r="H21" s="9">
        <f t="shared" si="4"/>
        <v>1</v>
      </c>
      <c r="I21" s="10">
        <f>IFERROR(__xludf.DUMMYFUNCTION("MAX(FILTER($H$2:$H1463,$E$2:$E1463=F21))"),3.0)</f>
        <v>3</v>
      </c>
    </row>
    <row r="22">
      <c r="A22" s="4"/>
      <c r="C22" s="4" t="s">
        <v>184</v>
      </c>
      <c r="D22" s="4" t="str">
        <f t="shared" si="1"/>
        <v>{"valorA":"e","valorB":1.0}</v>
      </c>
      <c r="E22" s="8" t="str">
        <f t="shared" si="2"/>
        <v>e</v>
      </c>
      <c r="F22" s="8" t="str">
        <f>IFERROR(__xludf.DUMMYFUNCTION("""COMPUTED_VALUE"""),"vale")</f>
        <v>vale</v>
      </c>
      <c r="G22" s="8" t="str">
        <f t="shared" si="3"/>
        <v>1.0</v>
      </c>
      <c r="H22" s="9">
        <f t="shared" si="4"/>
        <v>1</v>
      </c>
      <c r="I22" s="10">
        <f>IFERROR(__xludf.DUMMYFUNCTION("MAX(FILTER($H$2:$H1463,$E$2:$E1463=F22))"),1.0)</f>
        <v>1</v>
      </c>
    </row>
    <row r="23">
      <c r="A23" s="4"/>
      <c r="C23" s="4" t="s">
        <v>332</v>
      </c>
      <c r="D23" s="4" t="str">
        <f t="shared" si="1"/>
        <v>{"valorA":"o","valorB":2.0}</v>
      </c>
      <c r="E23" s="8" t="str">
        <f t="shared" si="2"/>
        <v>o</v>
      </c>
      <c r="F23" s="8" t="str">
        <f>IFERROR(__xludf.DUMMYFUNCTION("""COMPUTED_VALUE"""),"do")</f>
        <v>do</v>
      </c>
      <c r="G23" s="8" t="str">
        <f t="shared" si="3"/>
        <v>2.0</v>
      </c>
      <c r="H23" s="9">
        <f t="shared" si="4"/>
        <v>2</v>
      </c>
      <c r="I23" s="10">
        <f>IFERROR(__xludf.DUMMYFUNCTION("MAX(FILTER($H$2:$H1463,$E$2:$E1463=F23))"),6.0)</f>
        <v>6</v>
      </c>
    </row>
    <row r="24">
      <c r="A24" s="4"/>
      <c r="C24" s="4" t="s">
        <v>187</v>
      </c>
      <c r="D24" s="4" t="str">
        <f t="shared" si="1"/>
        <v>{"valorA":"gosto","valorB":1.0}</v>
      </c>
      <c r="E24" s="8" t="str">
        <f t="shared" si="2"/>
        <v>gosto</v>
      </c>
      <c r="F24" s="8" t="str">
        <f>IFERROR(__xludf.DUMMYFUNCTION("""COMPUTED_VALUE"""),"televisor")</f>
        <v>televisor</v>
      </c>
      <c r="G24" s="8" t="str">
        <f t="shared" si="3"/>
        <v>1.0</v>
      </c>
      <c r="H24" s="9">
        <f t="shared" si="4"/>
        <v>1</v>
      </c>
      <c r="I24" s="10">
        <f>IFERROR(__xludf.DUMMYFUNCTION("MAX(FILTER($H$2:$H1463,$E$2:$E1463=F24))"),4.0)</f>
        <v>4</v>
      </c>
    </row>
    <row r="25">
      <c r="A25" s="4"/>
      <c r="C25" s="4" t="s">
        <v>312</v>
      </c>
      <c r="D25" s="4" t="str">
        <f t="shared" si="1"/>
        <v>{"valorA":"vale","valorB":1.0}</v>
      </c>
      <c r="E25" s="8" t="str">
        <f t="shared" si="2"/>
        <v>vale</v>
      </c>
      <c r="F25" s="8" t="str">
        <f>IFERROR(__xludf.DUMMYFUNCTION("""COMPUTED_VALUE"""),"é")</f>
        <v>é</v>
      </c>
      <c r="G25" s="8" t="str">
        <f t="shared" si="3"/>
        <v>1.0</v>
      </c>
      <c r="H25" s="9">
        <f t="shared" si="4"/>
        <v>1</v>
      </c>
      <c r="I25" s="10">
        <f>IFERROR(__xludf.DUMMYFUNCTION("MAX(FILTER($H$2:$H1463,$E$2:$E1463=F25))"),4.0)</f>
        <v>4</v>
      </c>
    </row>
    <row r="26">
      <c r="A26" s="4"/>
      <c r="C26" s="4" t="s">
        <v>333</v>
      </c>
      <c r="D26" s="4" t="str">
        <f t="shared" si="1"/>
        <v>{"valorA":"que","valorB":2.0}</v>
      </c>
      <c r="E26" s="8" t="str">
        <f t="shared" si="2"/>
        <v>que</v>
      </c>
      <c r="F26" s="8" t="str">
        <f>IFERROR(__xludf.DUMMYFUNCTION("""COMPUTED_VALUE"""),"em")</f>
        <v>em</v>
      </c>
      <c r="G26" s="8" t="str">
        <f t="shared" si="3"/>
        <v>2.0</v>
      </c>
      <c r="H26" s="9">
        <f t="shared" si="4"/>
        <v>2</v>
      </c>
      <c r="I26" s="10">
        <f>IFERROR(__xludf.DUMMYFUNCTION("MAX(FILTER($H$2:$H1463,$E$2:$E1463=F26))"),1.0)</f>
        <v>1</v>
      </c>
    </row>
    <row r="27">
      <c r="A27" s="4"/>
      <c r="C27" s="4" t="s">
        <v>585</v>
      </c>
      <c r="D27" s="4" t="str">
        <f t="shared" si="1"/>
        <v>{"valorA":"produto","valorB":3.0}</v>
      </c>
      <c r="E27" s="8" t="str">
        <f t="shared" si="2"/>
        <v>produto</v>
      </c>
      <c r="F27" s="8" t="str">
        <f>IFERROR(__xludf.DUMMYFUNCTION("""COMPUTED_VALUE"""),"bem")</f>
        <v>bem</v>
      </c>
      <c r="G27" s="8" t="str">
        <f t="shared" si="3"/>
        <v>3.0</v>
      </c>
      <c r="H27" s="9">
        <f t="shared" si="4"/>
        <v>3</v>
      </c>
      <c r="I27" s="10">
        <f>IFERROR(__xludf.DUMMYFUNCTION("MAX(FILTER($H$2:$H1463,$E$2:$E1463=F27))"),11.0)</f>
        <v>11</v>
      </c>
    </row>
    <row r="28">
      <c r="A28" s="4"/>
      <c r="C28" s="4" t="s">
        <v>335</v>
      </c>
      <c r="D28" s="4" t="str">
        <f t="shared" si="1"/>
        <v>{"valorA":"do","valorB":1.0}</v>
      </c>
      <c r="E28" s="8" t="str">
        <f t="shared" si="2"/>
        <v>do</v>
      </c>
      <c r="F28" s="8" t="str">
        <f>IFERROR(__xludf.DUMMYFUNCTION("""COMPUTED_VALUE"""),"incrível")</f>
        <v>incrível</v>
      </c>
      <c r="G28" s="8" t="str">
        <f t="shared" si="3"/>
        <v>1.0</v>
      </c>
      <c r="H28" s="9">
        <f t="shared" si="4"/>
        <v>1</v>
      </c>
      <c r="I28" s="10">
        <f>IFERROR(__xludf.DUMMYFUNCTION("MAX(FILTER($H$2:$H1463,$E$2:$E1463=F28))"),1.0)</f>
        <v>1</v>
      </c>
    </row>
    <row r="29">
      <c r="A29" s="4"/>
      <c r="C29" s="4" t="s">
        <v>586</v>
      </c>
      <c r="D29" s="4" t="str">
        <f t="shared" si="1"/>
        <v>{"valorA":"televisor","valorB":1.0}</v>
      </c>
      <c r="E29" s="8" t="str">
        <f t="shared" si="2"/>
        <v>televisor</v>
      </c>
      <c r="F29" s="8" t="str">
        <f>IFERROR(__xludf.DUMMYFUNCTION("""COMPUTED_VALUE"""),"valia")</f>
        <v>valia</v>
      </c>
      <c r="G29" s="8" t="str">
        <f t="shared" si="3"/>
        <v>1.0</v>
      </c>
      <c r="H29" s="9">
        <f t="shared" si="4"/>
        <v>1</v>
      </c>
      <c r="I29" s="10">
        <f>IFERROR(__xludf.DUMMYFUNCTION("MAX(FILTER($H$2:$H1463,$E$2:$E1463=F29))"),1.0)</f>
        <v>1</v>
      </c>
    </row>
    <row r="30">
      <c r="A30" s="4"/>
      <c r="C30" s="4" t="s">
        <v>587</v>
      </c>
      <c r="D30" s="4" t="str">
        <f t="shared" si="1"/>
        <v>{"valorA":"ótimo","valorB":4.0}</v>
      </c>
      <c r="E30" s="8" t="str">
        <f t="shared" si="2"/>
        <v>ótimo</v>
      </c>
      <c r="F30" s="8" t="str">
        <f>IFERROR(__xludf.DUMMYFUNCTION("""COMPUTED_VALUE"""),"câmera")</f>
        <v>câmera</v>
      </c>
      <c r="G30" s="8" t="str">
        <f t="shared" si="3"/>
        <v>4.0</v>
      </c>
      <c r="H30" s="9">
        <f t="shared" si="4"/>
        <v>4</v>
      </c>
      <c r="I30" s="10">
        <f>IFERROR(__xludf.DUMMYFUNCTION("MAX(FILTER($H$2:$H1463,$E$2:$E1463=F30))"),5.0)</f>
        <v>5</v>
      </c>
    </row>
    <row r="31">
      <c r="A31" s="4"/>
      <c r="C31" s="4" t="s">
        <v>588</v>
      </c>
      <c r="D31" s="4" t="str">
        <f t="shared" si="1"/>
        <v>{"valorA":"mas","valorB":3.0}</v>
      </c>
      <c r="E31" s="8" t="str">
        <f t="shared" si="2"/>
        <v>mas</v>
      </c>
      <c r="F31" s="8" t="str">
        <f>IFERROR(__xludf.DUMMYFUNCTION("""COMPUTED_VALUE"""),"funciona")</f>
        <v>funciona</v>
      </c>
      <c r="G31" s="8" t="str">
        <f t="shared" si="3"/>
        <v>3.0</v>
      </c>
      <c r="H31" s="9">
        <f t="shared" si="4"/>
        <v>3</v>
      </c>
      <c r="I31" s="10">
        <f>IFERROR(__xludf.DUMMYFUNCTION("MAX(FILTER($H$2:$H1463,$E$2:$E1463=F31))"),11.0)</f>
        <v>11</v>
      </c>
    </row>
    <row r="32">
      <c r="A32" s="4"/>
      <c r="C32" s="4" t="s">
        <v>193</v>
      </c>
      <c r="D32" s="4" t="str">
        <f t="shared" si="1"/>
        <v>{"valorA":"muito","valorB":2.0}</v>
      </c>
      <c r="E32" s="8" t="str">
        <f t="shared" si="2"/>
        <v>muito</v>
      </c>
      <c r="F32" s="8" t="str">
        <f>IFERROR(__xludf.DUMMYFUNCTION("""COMPUTED_VALUE"""),"diferença")</f>
        <v>diferença</v>
      </c>
      <c r="G32" s="8" t="str">
        <f t="shared" si="3"/>
        <v>2.0</v>
      </c>
      <c r="H32" s="9">
        <f t="shared" si="4"/>
        <v>2</v>
      </c>
      <c r="I32" s="10">
        <f>IFERROR(__xludf.DUMMYFUNCTION("MAX(FILTER($H$2:$H1463,$E$2:$E1463=F32))"),1.0)</f>
        <v>1</v>
      </c>
    </row>
    <row r="33">
      <c r="A33" s="4"/>
      <c r="C33" s="4" t="s">
        <v>264</v>
      </c>
      <c r="D33" s="4" t="str">
        <f t="shared" si="1"/>
        <v>{"valorA":"a","valorB":2.0}</v>
      </c>
      <c r="E33" s="8" t="str">
        <f t="shared" si="2"/>
        <v>a</v>
      </c>
      <c r="F33" s="8" t="str">
        <f>IFERROR(__xludf.DUMMYFUNCTION("""COMPUTED_VALUE"""),"com")</f>
        <v>com</v>
      </c>
      <c r="G33" s="8" t="str">
        <f t="shared" si="3"/>
        <v>2.0</v>
      </c>
      <c r="H33" s="9">
        <f t="shared" si="4"/>
        <v>2</v>
      </c>
      <c r="I33" s="10">
        <f>IFERROR(__xludf.DUMMYFUNCTION("MAX(FILTER($H$2:$H1463,$E$2:$E1463=F33))"),2.0)</f>
        <v>2</v>
      </c>
    </row>
    <row r="34">
      <c r="A34" s="4"/>
      <c r="C34" s="4" t="s">
        <v>589</v>
      </c>
      <c r="D34" s="4" t="str">
        <f t="shared" si="1"/>
        <v>{"valorA":"não","valorB":2.0}</v>
      </c>
      <c r="E34" s="8" t="str">
        <f t="shared" si="2"/>
        <v>não</v>
      </c>
      <c r="F34" s="8" t="str">
        <f>IFERROR(__xludf.DUMMYFUNCTION("""COMPUTED_VALUE"""),"valeu")</f>
        <v>valeu</v>
      </c>
      <c r="G34" s="8" t="str">
        <f t="shared" si="3"/>
        <v>2.0</v>
      </c>
      <c r="H34" s="9">
        <f t="shared" si="4"/>
        <v>2</v>
      </c>
      <c r="I34" s="10">
        <f>IFERROR(__xludf.DUMMYFUNCTION("MAX(FILTER($H$2:$H1463,$E$2:$E1463=F34))"),7.0)</f>
        <v>7</v>
      </c>
    </row>
    <row r="35">
      <c r="A35" s="4"/>
      <c r="C35" s="4" t="s">
        <v>590</v>
      </c>
      <c r="D35" s="4" t="str">
        <f t="shared" si="1"/>
        <v>{"valorA":"preço","valorB":3.0}</v>
      </c>
      <c r="E35" s="8" t="str">
        <f t="shared" si="2"/>
        <v>preço</v>
      </c>
      <c r="F35" s="8" t="str">
        <f>IFERROR(__xludf.DUMMYFUNCTION("""COMPUTED_VALUE"""),"sinto")</f>
        <v>sinto</v>
      </c>
      <c r="G35" s="8" t="str">
        <f t="shared" si="3"/>
        <v>3.0</v>
      </c>
      <c r="H35" s="9">
        <f t="shared" si="4"/>
        <v>3</v>
      </c>
      <c r="I35" s="10">
        <f>IFERROR(__xludf.DUMMYFUNCTION("MAX(FILTER($H$2:$H1463,$E$2:$E1463=F35))"),1.0)</f>
        <v>1</v>
      </c>
    </row>
    <row r="36">
      <c r="A36" s="4"/>
      <c r="C36" s="4" t="s">
        <v>210</v>
      </c>
      <c r="D36" s="4" t="str">
        <f t="shared" si="1"/>
        <v>{"valorA":"ótimo","valorB":5.0}</v>
      </c>
      <c r="E36" s="8" t="str">
        <f t="shared" si="2"/>
        <v>ótimo</v>
      </c>
      <c r="F36" s="8" t="str">
        <f>IFERROR(__xludf.DUMMYFUNCTION("""COMPUTED_VALUE"""),"me")</f>
        <v>me</v>
      </c>
      <c r="G36" s="8" t="str">
        <f t="shared" si="3"/>
        <v>5.0</v>
      </c>
      <c r="H36" s="9">
        <f t="shared" si="4"/>
        <v>5</v>
      </c>
      <c r="I36" s="10">
        <f>IFERROR(__xludf.DUMMYFUNCTION("MAX(FILTER($H$2:$H1463,$E$2:$E1463=F36))"),2.0)</f>
        <v>2</v>
      </c>
    </row>
    <row r="37">
      <c r="A37" s="4"/>
      <c r="C37" s="4" t="s">
        <v>177</v>
      </c>
      <c r="D37" s="4" t="str">
        <f t="shared" si="1"/>
        <v>{"valorA":"é","valorB":1.0}</v>
      </c>
      <c r="E37" s="8" t="str">
        <f t="shared" si="2"/>
        <v>é</v>
      </c>
      <c r="F37" s="8" t="str">
        <f>IFERROR(__xludf.DUMMYFUNCTION("""COMPUTED_VALUE"""),"feliz")</f>
        <v>feliz</v>
      </c>
      <c r="G37" s="8" t="str">
        <f t="shared" si="3"/>
        <v>1.0</v>
      </c>
      <c r="H37" s="9">
        <f t="shared" si="4"/>
        <v>1</v>
      </c>
      <c r="I37" s="10">
        <f>IFERROR(__xludf.DUMMYFUNCTION("MAX(FILTER($H$2:$H1463,$E$2:$E1463=F37))"),2.0)</f>
        <v>2</v>
      </c>
    </row>
    <row r="38">
      <c r="A38" s="4"/>
      <c r="C38" s="4" t="s">
        <v>591</v>
      </c>
      <c r="D38" s="4" t="str">
        <f t="shared" si="1"/>
        <v>{"valorA":"qualidade","valorB":2.0}</v>
      </c>
      <c r="E38" s="8" t="str">
        <f t="shared" si="2"/>
        <v>qualidade</v>
      </c>
      <c r="F38" s="8" t="str">
        <f>IFERROR(__xludf.DUMMYFUNCTION("""COMPUTED_VALUE"""),"espera")</f>
        <v>espera</v>
      </c>
      <c r="G38" s="8" t="str">
        <f t="shared" si="3"/>
        <v>2.0</v>
      </c>
      <c r="H38" s="9">
        <f t="shared" si="4"/>
        <v>2</v>
      </c>
      <c r="I38" s="10">
        <f>IFERROR(__xludf.DUMMYFUNCTION("MAX(FILTER($H$2:$H1463,$E$2:$E1463=F38))"),6.0)</f>
        <v>6</v>
      </c>
    </row>
    <row r="39">
      <c r="A39" s="4"/>
      <c r="C39" s="4" t="s">
        <v>455</v>
      </c>
      <c r="D39" s="4" t="str">
        <f t="shared" si="1"/>
        <v>{"valorA":"em","valorB":1.0}</v>
      </c>
      <c r="E39" s="8" t="str">
        <f t="shared" si="2"/>
        <v>em</v>
      </c>
      <c r="F39" s="8" t="str">
        <f>IFERROR(__xludf.DUMMYFUNCTION("""COMPUTED_VALUE"""),"compra")</f>
        <v>compra</v>
      </c>
      <c r="G39" s="8" t="str">
        <f t="shared" si="3"/>
        <v>1.0</v>
      </c>
      <c r="H39" s="9">
        <f t="shared" si="4"/>
        <v>1</v>
      </c>
      <c r="I39" s="10">
        <f>IFERROR(__xludf.DUMMYFUNCTION("MAX(FILTER($H$2:$H1463,$E$2:$E1463=F39))"),2.0)</f>
        <v>2</v>
      </c>
    </row>
    <row r="40">
      <c r="A40" s="4"/>
      <c r="C40" s="4" t="s">
        <v>220</v>
      </c>
      <c r="D40" s="4" t="str">
        <f t="shared" si="1"/>
        <v>{"valorA":"bem","valorB":1.0}</v>
      </c>
      <c r="E40" s="8" t="str">
        <f t="shared" si="2"/>
        <v>bem</v>
      </c>
      <c r="F40" s="8" t="str">
        <f>IFERROR(__xludf.DUMMYFUNCTION("""COMPUTED_VALUE"""),"minha")</f>
        <v>minha</v>
      </c>
      <c r="G40" s="8" t="str">
        <f t="shared" si="3"/>
        <v>1.0</v>
      </c>
      <c r="H40" s="9">
        <f t="shared" si="4"/>
        <v>1</v>
      </c>
      <c r="I40" s="10">
        <f>IFERROR(__xludf.DUMMYFUNCTION("MAX(FILTER($H$2:$H1463,$E$2:$E1463=F40))"),1.0)</f>
        <v>1</v>
      </c>
    </row>
    <row r="41">
      <c r="A41" s="4"/>
      <c r="C41" s="4" t="s">
        <v>202</v>
      </c>
      <c r="D41" s="4" t="str">
        <f t="shared" si="1"/>
        <v>{"valorA":"incrível","valorB":1.0}</v>
      </c>
      <c r="E41" s="8" t="str">
        <f t="shared" si="2"/>
        <v>incrível</v>
      </c>
      <c r="F41" s="8" t="str">
        <f>IFERROR(__xludf.DUMMYFUNCTION("""COMPUTED_VALUE"""),"para")</f>
        <v>para</v>
      </c>
      <c r="G41" s="8" t="str">
        <f t="shared" si="3"/>
        <v>1.0</v>
      </c>
      <c r="H41" s="9">
        <f t="shared" si="4"/>
        <v>1</v>
      </c>
      <c r="I41" s="10">
        <f>IFERROR(__xludf.DUMMYFUNCTION("MAX(FILTER($H$2:$H1463,$E$2:$E1463=F41))"),15.0)</f>
        <v>15</v>
      </c>
    </row>
    <row r="42">
      <c r="A42" s="4"/>
      <c r="C42" s="4" t="s">
        <v>223</v>
      </c>
      <c r="D42" s="4" t="str">
        <f t="shared" si="1"/>
        <v>{"valorA":"e","valorB":2.0}</v>
      </c>
      <c r="E42" s="8" t="str">
        <f t="shared" si="2"/>
        <v>e</v>
      </c>
      <c r="F42" s="8" t="str">
        <f>IFERROR(__xludf.DUMMYFUNCTION("""COMPUTED_VALUE"""),"recomendo")</f>
        <v>recomendo</v>
      </c>
      <c r="G42" s="8" t="str">
        <f t="shared" si="3"/>
        <v>2.0</v>
      </c>
      <c r="H42" s="9">
        <f t="shared" si="4"/>
        <v>2</v>
      </c>
      <c r="I42" s="10">
        <f>IFERROR(__xludf.DUMMYFUNCTION("MAX(FILTER($H$2:$H1463,$E$2:$E1463=F42))"),4.0)</f>
        <v>4</v>
      </c>
    </row>
    <row r="43">
      <c r="A43" s="4"/>
      <c r="C43" s="4" t="s">
        <v>592</v>
      </c>
      <c r="D43" s="4" t="str">
        <f t="shared" si="1"/>
        <v>{"valorA":"valia","valorB":1.0}</v>
      </c>
      <c r="E43" s="8" t="str">
        <f t="shared" si="2"/>
        <v>valia</v>
      </c>
      <c r="F43" s="8" t="str">
        <f>IFERROR(__xludf.DUMMYFUNCTION("""COMPUTED_VALUE"""),"tv")</f>
        <v>tv</v>
      </c>
      <c r="G43" s="8" t="str">
        <f t="shared" si="3"/>
        <v>1.0</v>
      </c>
      <c r="H43" s="9">
        <f t="shared" si="4"/>
        <v>1</v>
      </c>
      <c r="I43" s="10">
        <f>IFERROR(__xludf.DUMMYFUNCTION("MAX(FILTER($H$2:$H1463,$E$2:$E1463=F43))"),2.0)</f>
        <v>2</v>
      </c>
    </row>
    <row r="44">
      <c r="A44" s="4"/>
      <c r="C44" s="4" t="s">
        <v>593</v>
      </c>
      <c r="D44" s="4" t="str">
        <f t="shared" si="1"/>
        <v>{"valorA":"que","valorB":3.0}</v>
      </c>
      <c r="E44" s="8" t="str">
        <f t="shared" si="2"/>
        <v>que</v>
      </c>
      <c r="F44" s="8" t="str">
        <f>IFERROR(__xludf.DUMMYFUNCTION("""COMPUTED_VALUE"""),"display")</f>
        <v>display</v>
      </c>
      <c r="G44" s="8" t="str">
        <f t="shared" si="3"/>
        <v>3.0</v>
      </c>
      <c r="H44" s="9">
        <f t="shared" si="4"/>
        <v>3</v>
      </c>
      <c r="I44" s="10">
        <f>IFERROR(__xludf.DUMMYFUNCTION("MAX(FILTER($H$2:$H1463,$E$2:$E1463=F44))"),1.0)</f>
        <v>1</v>
      </c>
    </row>
    <row r="45">
      <c r="A45" s="4"/>
      <c r="C45" s="4" t="s">
        <v>209</v>
      </c>
      <c r="D45" s="4" t="str">
        <f t="shared" si="1"/>
        <v>{"valorA":"produto","valorB":4.0}</v>
      </c>
      <c r="E45" s="8" t="str">
        <f t="shared" si="2"/>
        <v>produto</v>
      </c>
      <c r="F45" s="8" t="str">
        <f>IFERROR(__xludf.DUMMYFUNCTION("""COMPUTED_VALUE"""),"confiabilidade")</f>
        <v>confiabilidade</v>
      </c>
      <c r="G45" s="8" t="str">
        <f t="shared" si="3"/>
        <v>4.0</v>
      </c>
      <c r="H45" s="9">
        <f t="shared" si="4"/>
        <v>4</v>
      </c>
      <c r="I45" s="10">
        <f>IFERROR(__xludf.DUMMYFUNCTION("MAX(FILTER($H$2:$H1463,$E$2:$E1463=F45))"),1.0)</f>
        <v>1</v>
      </c>
    </row>
    <row r="46">
      <c r="A46" s="4"/>
      <c r="C46" s="4" t="s">
        <v>594</v>
      </c>
      <c r="D46" s="4" t="str">
        <f t="shared" si="1"/>
        <v>{"valorA":"ótimo","valorB":6.0}</v>
      </c>
      <c r="E46" s="8" t="str">
        <f t="shared" si="2"/>
        <v>ótimo</v>
      </c>
      <c r="F46" s="8" t="str">
        <f>IFERROR(__xludf.DUMMYFUNCTION("""COMPUTED_VALUE"""),"quem")</f>
        <v>quem</v>
      </c>
      <c r="G46" s="8" t="str">
        <f t="shared" si="3"/>
        <v>6.0</v>
      </c>
      <c r="H46" s="9">
        <f t="shared" si="4"/>
        <v>6</v>
      </c>
      <c r="I46" s="10">
        <f>IFERROR(__xludf.DUMMYFUNCTION("MAX(FILTER($H$2:$H1463,$E$2:$E1463=F46))"),4.0)</f>
        <v>4</v>
      </c>
    </row>
    <row r="47">
      <c r="A47" s="4"/>
      <c r="C47" s="4" t="s">
        <v>595</v>
      </c>
      <c r="D47" s="4" t="str">
        <f t="shared" si="1"/>
        <v>{"valorA":"paguei","valorB":2.0}</v>
      </c>
      <c r="E47" s="8" t="str">
        <f t="shared" si="2"/>
        <v>paguei</v>
      </c>
      <c r="F47" s="8" t="str">
        <f>IFERROR(__xludf.DUMMYFUNCTION("""COMPUTED_VALUE"""),"procura")</f>
        <v>procura</v>
      </c>
      <c r="G47" s="8" t="str">
        <f t="shared" si="3"/>
        <v>2.0</v>
      </c>
      <c r="H47" s="9">
        <f t="shared" si="4"/>
        <v>2</v>
      </c>
      <c r="I47" s="10">
        <f>IFERROR(__xludf.DUMMYFUNCTION("MAX(FILTER($H$2:$H1463,$E$2:$E1463=F47))"),1.0)</f>
        <v>1</v>
      </c>
    </row>
    <row r="48">
      <c r="A48" s="4"/>
      <c r="C48" s="4" t="s">
        <v>446</v>
      </c>
      <c r="D48" s="4" t="str">
        <f t="shared" si="1"/>
        <v>{"valorA":"câmera","valorB":1.0}</v>
      </c>
      <c r="E48" s="8" t="str">
        <f t="shared" si="2"/>
        <v>câmera</v>
      </c>
      <c r="F48" s="8" t="str">
        <f>IFERROR(__xludf.DUMMYFUNCTION("""COMPUTED_VALUE"""),"gostei")</f>
        <v>gostei</v>
      </c>
      <c r="G48" s="8" t="str">
        <f t="shared" si="3"/>
        <v>1.0</v>
      </c>
      <c r="H48" s="9">
        <f t="shared" si="4"/>
        <v>1</v>
      </c>
      <c r="I48" s="10">
        <f>IFERROR(__xludf.DUMMYFUNCTION("MAX(FILTER($H$2:$H1463,$E$2:$E1463=F48))"),8.0)</f>
        <v>8</v>
      </c>
    </row>
    <row r="49">
      <c r="A49" s="4"/>
      <c r="C49" s="4" t="s">
        <v>212</v>
      </c>
      <c r="D49" s="4" t="str">
        <f t="shared" si="1"/>
        <v>{"valorA":"muito","valorB":3.0}</v>
      </c>
      <c r="E49" s="8" t="str">
        <f t="shared" si="2"/>
        <v>muito</v>
      </c>
      <c r="F49" s="8" t="str">
        <f>IFERROR(__xludf.DUMMYFUNCTION("""COMPUTED_VALUE"""),"da")</f>
        <v>da</v>
      </c>
      <c r="G49" s="8" t="str">
        <f t="shared" si="3"/>
        <v>3.0</v>
      </c>
      <c r="H49" s="9">
        <f t="shared" si="4"/>
        <v>3</v>
      </c>
      <c r="I49" s="10">
        <f>IFERROR(__xludf.DUMMYFUNCTION("MAX(FILTER($H$2:$H1463,$E$2:$E1463=F49))"),3.0)</f>
        <v>3</v>
      </c>
    </row>
    <row r="50">
      <c r="A50" s="4"/>
      <c r="C50" s="4" t="s">
        <v>596</v>
      </c>
      <c r="D50" s="4" t="str">
        <f t="shared" si="1"/>
        <v>{"valorA":"mas","valorB":4.0}</v>
      </c>
      <c r="E50" s="8" t="str">
        <f t="shared" si="2"/>
        <v>mas</v>
      </c>
      <c r="F50" s="8" t="str">
        <f>IFERROR(__xludf.DUMMYFUNCTION("""COMPUTED_VALUE"""),"tão")</f>
        <v>tão</v>
      </c>
      <c r="G50" s="8" t="str">
        <f t="shared" si="3"/>
        <v>4.0</v>
      </c>
      <c r="H50" s="9">
        <f t="shared" si="4"/>
        <v>4</v>
      </c>
      <c r="I50" s="10">
        <f>IFERROR(__xludf.DUMMYFUNCTION("MAX(FILTER($H$2:$H1463,$E$2:$E1463=F50))"),6.0)</f>
        <v>6</v>
      </c>
    </row>
    <row r="51">
      <c r="A51" s="4"/>
      <c r="C51" s="4" t="s">
        <v>342</v>
      </c>
      <c r="D51" s="4" t="str">
        <f t="shared" si="1"/>
        <v>{"valorA":"a","valorB":4.0}</v>
      </c>
      <c r="E51" s="8" t="str">
        <f t="shared" si="2"/>
        <v>a</v>
      </c>
      <c r="F51" s="8" t="str">
        <f>IFERROR(__xludf.DUMMYFUNCTION("""COMPUTED_VALUE"""),"bom")</f>
        <v>bom</v>
      </c>
      <c r="G51" s="8" t="str">
        <f t="shared" si="3"/>
        <v>4.0</v>
      </c>
      <c r="H51" s="9">
        <f t="shared" si="4"/>
        <v>4</v>
      </c>
      <c r="I51" s="10">
        <f>IFERROR(__xludf.DUMMYFUNCTION("MAX(FILTER($H$2:$H1463,$E$2:$E1463=F51))"),7.0)</f>
        <v>7</v>
      </c>
    </row>
    <row r="52">
      <c r="A52" s="4"/>
      <c r="C52" s="4" t="s">
        <v>597</v>
      </c>
      <c r="D52" s="4" t="str">
        <f t="shared" si="1"/>
        <v>{"valorA":"não","valorB":3.0}</v>
      </c>
      <c r="E52" s="8" t="str">
        <f t="shared" si="2"/>
        <v>não</v>
      </c>
      <c r="F52" s="8" t="str">
        <f>IFERROR(__xludf.DUMMYFUNCTION("""COMPUTED_VALUE"""),"todos")</f>
        <v>todos</v>
      </c>
      <c r="G52" s="8" t="str">
        <f t="shared" si="3"/>
        <v>3.0</v>
      </c>
      <c r="H52" s="9">
        <f t="shared" si="4"/>
        <v>3</v>
      </c>
      <c r="I52" s="10">
        <f>IFERROR(__xludf.DUMMYFUNCTION("MAX(FILTER($H$2:$H1463,$E$2:$E1463=F52))"),2.0)</f>
        <v>2</v>
      </c>
    </row>
    <row r="53">
      <c r="A53" s="4"/>
      <c r="C53" s="4" t="s">
        <v>248</v>
      </c>
      <c r="D53" s="4" t="str">
        <f t="shared" si="1"/>
        <v>{"valorA":"funciona","valorB":1.0}</v>
      </c>
      <c r="E53" s="8" t="str">
        <f t="shared" si="2"/>
        <v>funciona</v>
      </c>
      <c r="F53" s="8" t="str">
        <f>IFERROR(__xludf.DUMMYFUNCTION("""COMPUTED_VALUE"""),"como")</f>
        <v>como</v>
      </c>
      <c r="G53" s="8" t="str">
        <f t="shared" si="3"/>
        <v>1.0</v>
      </c>
      <c r="H53" s="9">
        <f t="shared" si="4"/>
        <v>1</v>
      </c>
      <c r="I53" s="10">
        <f>IFERROR(__xludf.DUMMYFUNCTION("MAX(FILTER($H$2:$H1463,$E$2:$E1463=F53))"),2.0)</f>
        <v>2</v>
      </c>
    </row>
    <row r="54">
      <c r="A54" s="4"/>
      <c r="C54" s="4" t="s">
        <v>598</v>
      </c>
      <c r="D54" s="4" t="str">
        <f t="shared" si="1"/>
        <v>{"valorA":"diferença","valorB":1.0}</v>
      </c>
      <c r="E54" s="8" t="str">
        <f t="shared" si="2"/>
        <v>diferença</v>
      </c>
      <c r="F54" s="8" t="str">
        <f>IFERROR(__xludf.DUMMYFUNCTION("""COMPUTED_VALUE"""),"este")</f>
        <v>este</v>
      </c>
      <c r="G54" s="8" t="str">
        <f t="shared" si="3"/>
        <v>1.0</v>
      </c>
      <c r="H54" s="9">
        <f t="shared" si="4"/>
        <v>1</v>
      </c>
      <c r="I54" s="10">
        <f>IFERROR(__xludf.DUMMYFUNCTION("MAX(FILTER($H$2:$H1463,$E$2:$E1463=F54))"),1.0)</f>
        <v>1</v>
      </c>
    </row>
    <row r="55">
      <c r="A55" s="4"/>
      <c r="C55" s="4" t="s">
        <v>599</v>
      </c>
      <c r="D55" s="4" t="str">
        <f t="shared" si="1"/>
        <v>{"valorA":"preço","valorB":4.0}</v>
      </c>
      <c r="E55" s="8" t="str">
        <f t="shared" si="2"/>
        <v>preço</v>
      </c>
      <c r="F55" s="8" t="str">
        <f>IFERROR(__xludf.DUMMYFUNCTION("""COMPUTED_VALUE"""),"um")</f>
        <v>um</v>
      </c>
      <c r="G55" s="8" t="str">
        <f t="shared" si="3"/>
        <v>4.0</v>
      </c>
      <c r="H55" s="9">
        <f t="shared" si="4"/>
        <v>4</v>
      </c>
      <c r="I55" s="10">
        <f>IFERROR(__xludf.DUMMYFUNCTION("MAX(FILTER($H$2:$H1463,$E$2:$E1463=F55))"),9.0)</f>
        <v>9</v>
      </c>
    </row>
    <row r="56">
      <c r="A56" s="4"/>
      <c r="C56" s="4" t="s">
        <v>290</v>
      </c>
      <c r="D56" s="4" t="str">
        <f t="shared" si="1"/>
        <v>{"valorA":"com","valorB":1.0}</v>
      </c>
      <c r="E56" s="8" t="str">
        <f t="shared" si="2"/>
        <v>com</v>
      </c>
      <c r="F56" s="8" t="str">
        <f>IFERROR(__xludf.DUMMYFUNCTION("""COMPUTED_VALUE"""),"scanner")</f>
        <v>scanner</v>
      </c>
      <c r="G56" s="8" t="str">
        <f t="shared" si="3"/>
        <v>1.0</v>
      </c>
      <c r="H56" s="9">
        <f t="shared" si="4"/>
        <v>1</v>
      </c>
      <c r="I56" s="10">
        <f>IFERROR(__xludf.DUMMYFUNCTION("MAX(FILTER($H$2:$H1463,$E$2:$E1463=F56))"),2.0)</f>
        <v>2</v>
      </c>
    </row>
    <row r="57">
      <c r="A57" s="4"/>
      <c r="C57" s="4" t="s">
        <v>600</v>
      </c>
      <c r="D57" s="4" t="str">
        <f t="shared" si="1"/>
        <v>{"valorA":"valeu","valorB":1.0}</v>
      </c>
      <c r="E57" s="8" t="str">
        <f t="shared" si="2"/>
        <v>valeu</v>
      </c>
      <c r="F57" s="8" t="str">
        <f>IFERROR(__xludf.DUMMYFUNCTION("""COMPUTED_VALUE"""),"resultado")</f>
        <v>resultado</v>
      </c>
      <c r="G57" s="8" t="str">
        <f t="shared" si="3"/>
        <v>1.0</v>
      </c>
      <c r="H57" s="9">
        <f t="shared" si="4"/>
        <v>1</v>
      </c>
      <c r="I57" s="10">
        <f>IFERROR(__xludf.DUMMYFUNCTION("MAX(FILTER($H$2:$H1463,$E$2:$E1463=F57))"),1.0)</f>
        <v>1</v>
      </c>
    </row>
    <row r="58">
      <c r="A58" s="4"/>
      <c r="C58" s="4" t="s">
        <v>601</v>
      </c>
      <c r="D58" s="4" t="str">
        <f t="shared" si="1"/>
        <v>{"valorA":"sinto","valorB":1.0}</v>
      </c>
      <c r="E58" s="8" t="str">
        <f t="shared" si="2"/>
        <v>sinto</v>
      </c>
      <c r="F58" s="8" t="str">
        <f>IFERROR(__xludf.DUMMYFUNCTION("""COMPUTED_VALUE"""),"final")</f>
        <v>final</v>
      </c>
      <c r="G58" s="8" t="str">
        <f t="shared" si="3"/>
        <v>1.0</v>
      </c>
      <c r="H58" s="9">
        <f t="shared" si="4"/>
        <v>1</v>
      </c>
      <c r="I58" s="10">
        <f>IFERROR(__xludf.DUMMYFUNCTION("MAX(FILTER($H$2:$H1463,$E$2:$E1463=F58))"),1.0)</f>
        <v>1</v>
      </c>
    </row>
    <row r="59">
      <c r="A59" s="4"/>
      <c r="C59" s="4" t="s">
        <v>269</v>
      </c>
      <c r="D59" s="4" t="str">
        <f t="shared" si="1"/>
        <v>{"valorA":"me","valorB":1.0}</v>
      </c>
      <c r="E59" s="8" t="str">
        <f t="shared" si="2"/>
        <v>me</v>
      </c>
      <c r="F59" s="8" t="str">
        <f>IFERROR(__xludf.DUMMYFUNCTION("""COMPUTED_VALUE"""),"perfeitamente")</f>
        <v>perfeitamente</v>
      </c>
      <c r="G59" s="8" t="str">
        <f t="shared" si="3"/>
        <v>1.0</v>
      </c>
      <c r="H59" s="9">
        <f t="shared" si="4"/>
        <v>1</v>
      </c>
      <c r="I59" s="10">
        <f>IFERROR(__xludf.DUMMYFUNCTION("MAX(FILTER($H$2:$H1463,$E$2:$E1463=F59))"),5.0)</f>
        <v>5</v>
      </c>
    </row>
    <row r="60">
      <c r="A60" s="4"/>
      <c r="C60" s="4" t="s">
        <v>602</v>
      </c>
      <c r="D60" s="4" t="str">
        <f t="shared" si="1"/>
        <v>{"valorA":"feliz","valorB":1.0}</v>
      </c>
      <c r="E60" s="8" t="str">
        <f t="shared" si="2"/>
        <v>feliz</v>
      </c>
      <c r="F60" s="8" t="str">
        <f>IFERROR(__xludf.DUMMYFUNCTION("""COMPUTED_VALUE"""),"bonito")</f>
        <v>bonito</v>
      </c>
      <c r="G60" s="8" t="str">
        <f t="shared" si="3"/>
        <v>1.0</v>
      </c>
      <c r="H60" s="9">
        <f t="shared" si="4"/>
        <v>1</v>
      </c>
      <c r="I60" s="10">
        <f>IFERROR(__xludf.DUMMYFUNCTION("MAX(FILTER($H$2:$H1463,$E$2:$E1463=F60))"),1.0)</f>
        <v>1</v>
      </c>
    </row>
    <row r="61">
      <c r="A61" s="4"/>
      <c r="C61" s="4" t="s">
        <v>603</v>
      </c>
      <c r="D61" s="4" t="str">
        <f t="shared" si="1"/>
        <v>{"valorA":"espera","valorB":1.0}</v>
      </c>
      <c r="E61" s="8" t="str">
        <f t="shared" si="2"/>
        <v>espera</v>
      </c>
      <c r="F61" s="8" t="str">
        <f>IFERROR(__xludf.DUMMYFUNCTION("""COMPUTED_VALUE"""),"led")</f>
        <v>led</v>
      </c>
      <c r="G61" s="8" t="str">
        <f t="shared" si="3"/>
        <v>1.0</v>
      </c>
      <c r="H61" s="9">
        <f t="shared" si="4"/>
        <v>1</v>
      </c>
      <c r="I61" s="10">
        <f>IFERROR(__xludf.DUMMYFUNCTION("MAX(FILTER($H$2:$H1463,$E$2:$E1463=F61))"),1.0)</f>
        <v>1</v>
      </c>
    </row>
    <row r="62">
      <c r="A62" s="4"/>
      <c r="C62" s="4" t="s">
        <v>604</v>
      </c>
      <c r="D62" s="4" t="str">
        <f t="shared" si="1"/>
        <v>{"valorA":"produto","valorB":5.0}</v>
      </c>
      <c r="E62" s="8" t="str">
        <f t="shared" si="2"/>
        <v>produto</v>
      </c>
      <c r="F62" s="8" t="str">
        <f>IFERROR(__xludf.DUMMYFUNCTION("""COMPUTED_VALUE"""),"esse")</f>
        <v>esse</v>
      </c>
      <c r="G62" s="8" t="str">
        <f t="shared" si="3"/>
        <v>5.0</v>
      </c>
      <c r="H62" s="9">
        <f t="shared" si="4"/>
        <v>5</v>
      </c>
      <c r="I62" s="10">
        <f>IFERROR(__xludf.DUMMYFUNCTION("MAX(FILTER($H$2:$H1463,$E$2:$E1463=F62))"),3.0)</f>
        <v>3</v>
      </c>
    </row>
    <row r="63">
      <c r="A63" s="4"/>
      <c r="C63" s="4" t="s">
        <v>227</v>
      </c>
      <c r="D63" s="4" t="str">
        <f t="shared" si="1"/>
        <v>{"valorA":"ótimo","valorB":7.0}</v>
      </c>
      <c r="E63" s="8" t="str">
        <f t="shared" si="2"/>
        <v>ótimo</v>
      </c>
      <c r="F63" s="8" t="str">
        <f>IFERROR(__xludf.DUMMYFUNCTION("""COMPUTED_VALUE"""),"econômico")</f>
        <v>econômico</v>
      </c>
      <c r="G63" s="8" t="str">
        <f t="shared" si="3"/>
        <v>7.0</v>
      </c>
      <c r="H63" s="9">
        <f t="shared" si="4"/>
        <v>7</v>
      </c>
      <c r="I63" s="10">
        <f>IFERROR(__xludf.DUMMYFUNCTION("MAX(FILTER($H$2:$H1463,$E$2:$E1463=F63))"),3.0)</f>
        <v>3</v>
      </c>
    </row>
    <row r="64">
      <c r="A64" s="4"/>
      <c r="C64" s="4" t="s">
        <v>263</v>
      </c>
      <c r="D64" s="4" t="str">
        <f t="shared" si="1"/>
        <v>{"valorA":"compra","valorB":1.0}</v>
      </c>
      <c r="E64" s="8" t="str">
        <f t="shared" si="2"/>
        <v>compra</v>
      </c>
      <c r="F64" s="8" t="str">
        <f>IFERROR(__xludf.DUMMYFUNCTION("""COMPUTED_VALUE"""),"usar")</f>
        <v>usar</v>
      </c>
      <c r="G64" s="8" t="str">
        <f t="shared" si="3"/>
        <v>1.0</v>
      </c>
      <c r="H64" s="9">
        <f t="shared" si="4"/>
        <v>1</v>
      </c>
      <c r="I64" s="10">
        <f>IFERROR(__xludf.DUMMYFUNCTION("MAX(FILTER($H$2:$H1463,$E$2:$E1463=F64))"),8.0)</f>
        <v>8</v>
      </c>
    </row>
    <row r="65">
      <c r="A65" s="4"/>
      <c r="C65" s="4" t="s">
        <v>452</v>
      </c>
      <c r="D65" s="4" t="str">
        <f t="shared" si="1"/>
        <v>{"valorA":"a","valorB":5.0}</v>
      </c>
      <c r="E65" s="8" t="str">
        <f t="shared" si="2"/>
        <v>a</v>
      </c>
      <c r="F65" s="8" t="str">
        <f>IFERROR(__xludf.DUMMYFUNCTION("""COMPUTED_VALUE"""),"pequena")</f>
        <v>pequena</v>
      </c>
      <c r="G65" s="8" t="str">
        <f t="shared" si="3"/>
        <v>5.0</v>
      </c>
      <c r="H65" s="9">
        <f t="shared" si="4"/>
        <v>5</v>
      </c>
      <c r="I65" s="10">
        <f>IFERROR(__xludf.DUMMYFUNCTION("MAX(FILTER($H$2:$H1463,$E$2:$E1463=F65))"),1.0)</f>
        <v>1</v>
      </c>
    </row>
    <row r="66">
      <c r="A66" s="4"/>
      <c r="C66" s="4" t="s">
        <v>265</v>
      </c>
      <c r="D66" s="4" t="str">
        <f t="shared" si="1"/>
        <v>{"valorA":"minha","valorB":1.0}</v>
      </c>
      <c r="E66" s="8" t="str">
        <f t="shared" si="2"/>
        <v>minha</v>
      </c>
      <c r="F66" s="8" t="str">
        <f>IFERROR(__xludf.DUMMYFUNCTION("""COMPUTED_VALUE"""),"de")</f>
        <v>de</v>
      </c>
      <c r="G66" s="8" t="str">
        <f t="shared" si="3"/>
        <v>1.0</v>
      </c>
      <c r="H66" s="9">
        <f t="shared" si="4"/>
        <v>1</v>
      </c>
      <c r="I66" s="10">
        <f>IFERROR(__xludf.DUMMYFUNCTION("MAX(FILTER($H$2:$H1463,$E$2:$E1463=F66))"),16.0)</f>
        <v>16</v>
      </c>
    </row>
    <row r="67">
      <c r="A67" s="4"/>
      <c r="C67" s="4" t="s">
        <v>605</v>
      </c>
      <c r="D67" s="4" t="str">
        <f t="shared" si="1"/>
        <v>{"valorA":"ótimo","valorB":8.0}</v>
      </c>
      <c r="E67" s="8" t="str">
        <f t="shared" si="2"/>
        <v>ótimo</v>
      </c>
      <c r="F67" s="8" t="str">
        <f>IFERROR(__xludf.DUMMYFUNCTION("""COMPUTED_VALUE"""),"fácil")</f>
        <v>fácil</v>
      </c>
      <c r="G67" s="8" t="str">
        <f t="shared" si="3"/>
        <v>8.0</v>
      </c>
      <c r="H67" s="9">
        <f t="shared" si="4"/>
        <v>8</v>
      </c>
      <c r="I67" s="10">
        <f>IFERROR(__xludf.DUMMYFUNCTION("MAX(FILTER($H$2:$H1463,$E$2:$E1463=F67))"),9.0)</f>
        <v>9</v>
      </c>
    </row>
    <row r="68">
      <c r="A68" s="4"/>
      <c r="C68" s="4" t="s">
        <v>178</v>
      </c>
      <c r="D68" s="4" t="str">
        <f t="shared" si="1"/>
        <v>{"valorA":"para","valorB":1.0}</v>
      </c>
      <c r="E68" s="8" t="str">
        <f t="shared" si="2"/>
        <v>para</v>
      </c>
      <c r="F68" s="8" t="str">
        <f>IFERROR(__xludf.DUMMYFUNCTION("""COMPUTED_VALUE"""),"casa")</f>
        <v>casa</v>
      </c>
      <c r="G68" s="8" t="str">
        <f t="shared" si="3"/>
        <v>1.0</v>
      </c>
      <c r="H68" s="9">
        <f t="shared" si="4"/>
        <v>1</v>
      </c>
      <c r="I68" s="10">
        <f>IFERROR(__xludf.DUMMYFUNCTION("MAX(FILTER($H$2:$H1463,$E$2:$E1463=F68))"),2.0)</f>
        <v>2</v>
      </c>
    </row>
    <row r="69">
      <c r="A69" s="4"/>
      <c r="C69" s="4" t="s">
        <v>235</v>
      </c>
      <c r="D69" s="4" t="str">
        <f t="shared" si="1"/>
        <v>{"valorA":"recomendo","valorB":1.0}</v>
      </c>
      <c r="E69" s="8" t="str">
        <f t="shared" si="2"/>
        <v>recomendo</v>
      </c>
      <c r="F69" s="8" t="str">
        <f>IFERROR(__xludf.DUMMYFUNCTION("""COMPUTED_VALUE"""),"suficiente")</f>
        <v>suficiente</v>
      </c>
      <c r="G69" s="8" t="str">
        <f t="shared" si="3"/>
        <v>1.0</v>
      </c>
      <c r="H69" s="9">
        <f t="shared" si="4"/>
        <v>1</v>
      </c>
      <c r="I69" s="10">
        <f>IFERROR(__xludf.DUMMYFUNCTION("MAX(FILTER($H$2:$H1463,$E$2:$E1463=F69))"),1.0)</f>
        <v>1</v>
      </c>
    </row>
    <row r="70">
      <c r="A70" s="4"/>
      <c r="C70" s="4" t="s">
        <v>606</v>
      </c>
      <c r="D70" s="4" t="str">
        <f t="shared" si="1"/>
        <v>{"valorA":"qualidade","valorB":4.0}</v>
      </c>
      <c r="E70" s="8" t="str">
        <f t="shared" si="2"/>
        <v>qualidade</v>
      </c>
      <c r="F70" s="8" t="str">
        <f>IFERROR(__xludf.DUMMYFUNCTION("""COMPUTED_VALUE"""),"por")</f>
        <v>por</v>
      </c>
      <c r="G70" s="8" t="str">
        <f t="shared" si="3"/>
        <v>4.0</v>
      </c>
      <c r="H70" s="9">
        <f t="shared" si="4"/>
        <v>4</v>
      </c>
      <c r="I70" s="10">
        <f>IFERROR(__xludf.DUMMYFUNCTION("MAX(FILTER($H$2:$H1463,$E$2:$E1463=F70))"),3.0)</f>
        <v>3</v>
      </c>
    </row>
    <row r="71">
      <c r="A71" s="4"/>
      <c r="C71" s="4" t="s">
        <v>607</v>
      </c>
      <c r="D71" s="4" t="str">
        <f t="shared" si="1"/>
        <v>{"valorA":"tv","valorB":1.0}</v>
      </c>
      <c r="E71" s="8" t="str">
        <f t="shared" si="2"/>
        <v>tv</v>
      </c>
      <c r="F71" s="8" t="str">
        <f>IFERROR(__xludf.DUMMYFUNCTION("""COMPUTED_VALUE"""),"posso")</f>
        <v>posso</v>
      </c>
      <c r="G71" s="8" t="str">
        <f t="shared" si="3"/>
        <v>1.0</v>
      </c>
      <c r="H71" s="9">
        <f t="shared" si="4"/>
        <v>1</v>
      </c>
      <c r="I71" s="10">
        <f>IFERROR(__xludf.DUMMYFUNCTION("MAX(FILTER($H$2:$H1463,$E$2:$E1463=F71))"),1.0)</f>
        <v>1</v>
      </c>
    </row>
    <row r="72">
      <c r="A72" s="4"/>
      <c r="C72" s="4" t="s">
        <v>608</v>
      </c>
      <c r="D72" s="4" t="str">
        <f t="shared" si="1"/>
        <v>{"valorA":"display","valorB":1.0}</v>
      </c>
      <c r="E72" s="8" t="str">
        <f t="shared" si="2"/>
        <v>display</v>
      </c>
      <c r="F72" s="8" t="str">
        <f>IFERROR(__xludf.DUMMYFUNCTION("""COMPUTED_VALUE"""),"recomendar")</f>
        <v>recomendar</v>
      </c>
      <c r="G72" s="8" t="str">
        <f t="shared" si="3"/>
        <v>1.0</v>
      </c>
      <c r="H72" s="9">
        <f t="shared" si="4"/>
        <v>1</v>
      </c>
      <c r="I72" s="10">
        <f>IFERROR(__xludf.DUMMYFUNCTION("MAX(FILTER($H$2:$H1463,$E$2:$E1463=F72))"),1.0)</f>
        <v>1</v>
      </c>
    </row>
    <row r="73">
      <c r="A73" s="4"/>
      <c r="C73" s="4" t="s">
        <v>609</v>
      </c>
      <c r="D73" s="4" t="str">
        <f t="shared" si="1"/>
        <v>{"valorA":"confiabilidade","valorB":1.0}</v>
      </c>
      <c r="E73" s="8" t="str">
        <f t="shared" si="2"/>
        <v>confiabilidade</v>
      </c>
      <c r="F73" s="8" t="str">
        <f>IFERROR(__xludf.DUMMYFUNCTION("""COMPUTED_VALUE"""),"som")</f>
        <v>som</v>
      </c>
      <c r="G73" s="8" t="str">
        <f t="shared" si="3"/>
        <v>1.0</v>
      </c>
      <c r="H73" s="9">
        <f t="shared" si="4"/>
        <v>1</v>
      </c>
      <c r="I73" s="10">
        <f>IFERROR(__xludf.DUMMYFUNCTION("MAX(FILTER($H$2:$H1463,$E$2:$E1463=F73))"),1.0)</f>
        <v>1</v>
      </c>
    </row>
    <row r="74">
      <c r="A74" s="4"/>
      <c r="C74" s="4" t="s">
        <v>610</v>
      </c>
      <c r="D74" s="4" t="str">
        <f t="shared" si="1"/>
        <v>{"valorA":"quem","valorB":1.0}</v>
      </c>
      <c r="E74" s="8" t="str">
        <f t="shared" si="2"/>
        <v>quem</v>
      </c>
      <c r="F74" s="8" t="str">
        <f>IFERROR(__xludf.DUMMYFUNCTION("""COMPUTED_VALUE"""),"sistema")</f>
        <v>sistema</v>
      </c>
      <c r="G74" s="8" t="str">
        <f t="shared" si="3"/>
        <v>1.0</v>
      </c>
      <c r="H74" s="9">
        <f t="shared" si="4"/>
        <v>1</v>
      </c>
      <c r="I74" s="10">
        <f>IFERROR(__xludf.DUMMYFUNCTION("MAX(FILTER($H$2:$H1463,$E$2:$E1463=F74))"),1.0)</f>
        <v>1</v>
      </c>
    </row>
    <row r="75">
      <c r="A75" s="4"/>
      <c r="C75" s="4" t="s">
        <v>270</v>
      </c>
      <c r="D75" s="4" t="str">
        <f t="shared" si="1"/>
        <v>{"valorA":"e","valorB":3.0}</v>
      </c>
      <c r="E75" s="8" t="str">
        <f t="shared" si="2"/>
        <v>e</v>
      </c>
      <c r="F75" s="8" t="str">
        <f>IFERROR(__xludf.DUMMYFUNCTION("""COMPUTED_VALUE"""),"busca")</f>
        <v>busca</v>
      </c>
      <c r="G75" s="8" t="str">
        <f t="shared" si="3"/>
        <v>3.0</v>
      </c>
      <c r="H75" s="9">
        <f t="shared" si="4"/>
        <v>3</v>
      </c>
      <c r="I75" s="10">
        <f>IFERROR(__xludf.DUMMYFUNCTION("MAX(FILTER($H$2:$H1463,$E$2:$E1463=F75))"),2.0)</f>
        <v>2</v>
      </c>
    </row>
    <row r="76">
      <c r="A76" s="4"/>
      <c r="C76" s="4" t="s">
        <v>611</v>
      </c>
      <c r="D76" s="4" t="str">
        <f t="shared" si="1"/>
        <v>{"valorA":"procura","valorB":1.0}</v>
      </c>
      <c r="E76" s="8" t="str">
        <f t="shared" si="2"/>
        <v>procura</v>
      </c>
      <c r="F76" s="8" t="str">
        <f>IFERROR(__xludf.DUMMYFUNCTION("""COMPUTED_VALUE"""),"comprar")</f>
        <v>comprar</v>
      </c>
      <c r="G76" s="8" t="str">
        <f t="shared" si="3"/>
        <v>1.0</v>
      </c>
      <c r="H76" s="9">
        <f t="shared" si="4"/>
        <v>1</v>
      </c>
      <c r="I76" s="10">
        <f>IFERROR(__xludf.DUMMYFUNCTION("MAX(FILTER($H$2:$H1463,$E$2:$E1463=F76))"),2.0)</f>
        <v>2</v>
      </c>
    </row>
    <row r="77">
      <c r="A77" s="4"/>
      <c r="C77" s="4" t="s">
        <v>241</v>
      </c>
      <c r="D77" s="4" t="str">
        <f t="shared" si="1"/>
        <v>{"valorA":"produto","valorB":6.0}</v>
      </c>
      <c r="E77" s="8" t="str">
        <f t="shared" si="2"/>
        <v>produto</v>
      </c>
      <c r="F77" s="8" t="str">
        <f>IFERROR(__xludf.DUMMYFUNCTION("""COMPUTED_VALUE"""),"gostaria")</f>
        <v>gostaria</v>
      </c>
      <c r="G77" s="8" t="str">
        <f t="shared" si="3"/>
        <v>6.0</v>
      </c>
      <c r="H77" s="9">
        <f t="shared" si="4"/>
        <v>6</v>
      </c>
      <c r="I77" s="10">
        <f>IFERROR(__xludf.DUMMYFUNCTION("MAX(FILTER($H$2:$H1463,$E$2:$E1463=F77))"),2.0)</f>
        <v>2</v>
      </c>
    </row>
    <row r="78">
      <c r="A78" s="4"/>
      <c r="C78" s="4" t="s">
        <v>392</v>
      </c>
      <c r="D78" s="4" t="str">
        <f t="shared" si="1"/>
        <v>{"valorA":"do","valorB":2.0}</v>
      </c>
      <c r="E78" s="8" t="str">
        <f t="shared" si="2"/>
        <v>do</v>
      </c>
      <c r="F78" s="8" t="str">
        <f>IFERROR(__xludf.DUMMYFUNCTION("""COMPUTED_VALUE"""),"outro")</f>
        <v>outro</v>
      </c>
      <c r="G78" s="8" t="str">
        <f t="shared" si="3"/>
        <v>2.0</v>
      </c>
      <c r="H78" s="9">
        <f t="shared" si="4"/>
        <v>2</v>
      </c>
      <c r="I78" s="10">
        <f>IFERROR(__xludf.DUMMYFUNCTION("MAX(FILTER($H$2:$H1463,$E$2:$E1463=F78))"),1.0)</f>
        <v>1</v>
      </c>
    </row>
    <row r="79">
      <c r="A79" s="4"/>
      <c r="C79" s="4" t="s">
        <v>190</v>
      </c>
      <c r="D79" s="4" t="str">
        <f t="shared" si="1"/>
        <v>{"valorA":"gostei","valorB":1.0}</v>
      </c>
      <c r="E79" s="8" t="str">
        <f t="shared" si="2"/>
        <v>gostei</v>
      </c>
      <c r="F79" s="8" t="str">
        <f>IFERROR(__xludf.DUMMYFUNCTION("""COMPUTED_VALUE"""),"marca")</f>
        <v>marca</v>
      </c>
      <c r="G79" s="8" t="str">
        <f t="shared" si="3"/>
        <v>1.0</v>
      </c>
      <c r="H79" s="9">
        <f t="shared" si="4"/>
        <v>1</v>
      </c>
      <c r="I79" s="10">
        <f>IFERROR(__xludf.DUMMYFUNCTION("MAX(FILTER($H$2:$H1463,$E$2:$E1463=F79))"),1.0)</f>
        <v>1</v>
      </c>
    </row>
    <row r="80">
      <c r="A80" s="4"/>
      <c r="C80" s="4" t="s">
        <v>242</v>
      </c>
      <c r="D80" s="4" t="str">
        <f t="shared" si="1"/>
        <v>{"valorA":"ótimo","valorB":9.0}</v>
      </c>
      <c r="E80" s="8" t="str">
        <f t="shared" si="2"/>
        <v>ótimo</v>
      </c>
      <c r="F80" s="8" t="str">
        <f>IFERROR(__xludf.DUMMYFUNCTION("""COMPUTED_VALUE"""),"mesma")</f>
        <v>mesma</v>
      </c>
      <c r="G80" s="8" t="str">
        <f t="shared" si="3"/>
        <v>9.0</v>
      </c>
      <c r="H80" s="9">
        <f t="shared" si="4"/>
        <v>9</v>
      </c>
      <c r="I80" s="10">
        <f>IFERROR(__xludf.DUMMYFUNCTION("MAX(FILTER($H$2:$H1463,$E$2:$E1463=F80))"),1.0)</f>
        <v>1</v>
      </c>
    </row>
    <row r="81">
      <c r="A81" s="4"/>
      <c r="C81" s="4" t="s">
        <v>246</v>
      </c>
      <c r="D81" s="4" t="str">
        <f t="shared" si="1"/>
        <v>{"valorA":"muito","valorB":4.0}</v>
      </c>
      <c r="E81" s="8" t="str">
        <f t="shared" si="2"/>
        <v>muito</v>
      </c>
      <c r="F81" s="8" t="str">
        <f>IFERROR(__xludf.DUMMYFUNCTION("""COMPUTED_VALUE"""),"monitor")</f>
        <v>monitor</v>
      </c>
      <c r="G81" s="8" t="str">
        <f t="shared" si="3"/>
        <v>4.0</v>
      </c>
      <c r="H81" s="9">
        <f t="shared" si="4"/>
        <v>4</v>
      </c>
      <c r="I81" s="10">
        <f>IFERROR(__xludf.DUMMYFUNCTION("MAX(FILTER($H$2:$H1463,$E$2:$E1463=F81))"),2.0)</f>
        <v>2</v>
      </c>
    </row>
    <row r="82">
      <c r="A82" s="4"/>
      <c r="C82" s="4" t="s">
        <v>323</v>
      </c>
      <c r="D82" s="4" t="str">
        <f t="shared" si="1"/>
        <v>{"valorA":"da","valorB":1.0}</v>
      </c>
      <c r="E82" s="8" t="str">
        <f t="shared" si="2"/>
        <v>da</v>
      </c>
      <c r="F82" s="8" t="str">
        <f>IFERROR(__xludf.DUMMYFUNCTION("""COMPUTED_VALUE"""),"alta")</f>
        <v>alta</v>
      </c>
      <c r="G82" s="8" t="str">
        <f t="shared" si="3"/>
        <v>1.0</v>
      </c>
      <c r="H82" s="9">
        <f t="shared" si="4"/>
        <v>1</v>
      </c>
      <c r="I82" s="10">
        <f>IFERROR(__xludf.DUMMYFUNCTION("MAX(FILTER($H$2:$H1463,$E$2:$E1463=F82))"),2.0)</f>
        <v>2</v>
      </c>
    </row>
    <row r="83">
      <c r="A83" s="4"/>
      <c r="C83" s="4" t="s">
        <v>612</v>
      </c>
      <c r="D83" s="4" t="str">
        <f t="shared" si="1"/>
        <v>{"valorA":"ótimo","valorB":10.0}</v>
      </c>
      <c r="E83" s="8" t="str">
        <f t="shared" si="2"/>
        <v>ótimo</v>
      </c>
      <c r="F83" s="8" t="str">
        <f>IFERROR(__xludf.DUMMYFUNCTION("""COMPUTED_VALUE"""),"usuário")</f>
        <v>usuário</v>
      </c>
      <c r="G83" s="8" t="str">
        <f t="shared" si="3"/>
        <v>10.0</v>
      </c>
      <c r="H83" s="9">
        <f t="shared" si="4"/>
        <v>10</v>
      </c>
      <c r="I83" s="10">
        <f>IFERROR(__xludf.DUMMYFUNCTION("MAX(FILTER($H$2:$H1463,$E$2:$E1463=F83))"),1.0)</f>
        <v>1</v>
      </c>
    </row>
    <row r="84">
      <c r="A84" s="4"/>
      <c r="C84" s="4" t="s">
        <v>613</v>
      </c>
      <c r="D84" s="4" t="str">
        <f t="shared" si="1"/>
        <v>{"valorA":"para","valorB":2.0}</v>
      </c>
      <c r="E84" s="8" t="str">
        <f t="shared" si="2"/>
        <v>para</v>
      </c>
      <c r="F84" s="8" t="str">
        <f>IFERROR(__xludf.DUMMYFUNCTION("""COMPUTED_VALUE"""),"comentário")</f>
        <v>comentário</v>
      </c>
      <c r="G84" s="8" t="str">
        <f t="shared" si="3"/>
        <v>2.0</v>
      </c>
      <c r="H84" s="9">
        <f t="shared" si="4"/>
        <v>2</v>
      </c>
      <c r="I84" s="10">
        <f>IFERROR(__xludf.DUMMYFUNCTION("MAX(FILTER($H$2:$H1463,$E$2:$E1463=F84))"),2.0)</f>
        <v>2</v>
      </c>
    </row>
    <row r="85">
      <c r="A85" s="4"/>
      <c r="C85" s="4" t="s">
        <v>277</v>
      </c>
      <c r="D85" s="4" t="str">
        <f t="shared" si="1"/>
        <v>{"valorA":"recomendo","valorB":2.0}</v>
      </c>
      <c r="E85" s="8" t="str">
        <f t="shared" si="2"/>
        <v>recomendo</v>
      </c>
      <c r="F85" s="8" t="str">
        <f>IFERROR(__xludf.DUMMYFUNCTION("""COMPUTED_VALUE"""),"precisa")</f>
        <v>precisa</v>
      </c>
      <c r="G85" s="8" t="str">
        <f t="shared" si="3"/>
        <v>2.0</v>
      </c>
      <c r="H85" s="9">
        <f t="shared" si="4"/>
        <v>2</v>
      </c>
      <c r="I85" s="10">
        <f>IFERROR(__xludf.DUMMYFUNCTION("MAX(FILTER($H$2:$H1463,$E$2:$E1463=F85))"),1.0)</f>
        <v>1</v>
      </c>
    </row>
    <row r="86">
      <c r="A86" s="4"/>
      <c r="C86" s="4" t="s">
        <v>614</v>
      </c>
      <c r="D86" s="4" t="str">
        <f t="shared" si="1"/>
        <v>{"valorA":"tão","valorB":1.0}</v>
      </c>
      <c r="E86" s="8" t="str">
        <f t="shared" si="2"/>
        <v>tão</v>
      </c>
      <c r="F86" s="8" t="str">
        <f>IFERROR(__xludf.DUMMYFUNCTION("""COMPUTED_VALUE"""),"portátil")</f>
        <v>portátil</v>
      </c>
      <c r="G86" s="8" t="str">
        <f t="shared" si="3"/>
        <v>1.0</v>
      </c>
      <c r="H86" s="9">
        <f t="shared" si="4"/>
        <v>1</v>
      </c>
      <c r="I86" s="10">
        <f>IFERROR(__xludf.DUMMYFUNCTION("MAX(FILTER($H$2:$H1463,$E$2:$E1463=F86))"),1.0)</f>
        <v>1</v>
      </c>
    </row>
    <row r="87">
      <c r="A87" s="4"/>
      <c r="C87" s="4" t="s">
        <v>615</v>
      </c>
      <c r="D87" s="4" t="str">
        <f t="shared" si="1"/>
        <v>{"valorA":"bom","valorB":1.0}</v>
      </c>
      <c r="E87" s="8" t="str">
        <f t="shared" si="2"/>
        <v>bom</v>
      </c>
      <c r="F87" s="8" t="str">
        <f>IFERROR(__xludf.DUMMYFUNCTION("""COMPUTED_VALUE"""),"uma")</f>
        <v>uma</v>
      </c>
      <c r="G87" s="8" t="str">
        <f t="shared" si="3"/>
        <v>1.0</v>
      </c>
      <c r="H87" s="9">
        <f t="shared" si="4"/>
        <v>1</v>
      </c>
      <c r="I87" s="10">
        <f>IFERROR(__xludf.DUMMYFUNCTION("MAX(FILTER($H$2:$H1463,$E$2:$E1463=F87))"),1.0)</f>
        <v>1</v>
      </c>
    </row>
    <row r="88">
      <c r="A88" s="4"/>
      <c r="C88" s="4" t="s">
        <v>616</v>
      </c>
      <c r="D88" s="4" t="str">
        <f t="shared" si="1"/>
        <v>{"valorA":"produto","valorB":7.0}</v>
      </c>
      <c r="E88" s="8" t="str">
        <f t="shared" si="2"/>
        <v>produto</v>
      </c>
      <c r="F88" s="8" t="str">
        <f>IFERROR(__xludf.DUMMYFUNCTION("""COMPUTED_VALUE"""),"quantia")</f>
        <v>quantia</v>
      </c>
      <c r="G88" s="8" t="str">
        <f t="shared" si="3"/>
        <v>7.0</v>
      </c>
      <c r="H88" s="9">
        <f t="shared" si="4"/>
        <v>7</v>
      </c>
      <c r="I88" s="10">
        <f>IFERROR(__xludf.DUMMYFUNCTION("MAX(FILTER($H$2:$H1463,$E$2:$E1463=F88))"),1.0)</f>
        <v>1</v>
      </c>
    </row>
    <row r="89">
      <c r="A89" s="4"/>
      <c r="C89" s="4" t="s">
        <v>617</v>
      </c>
      <c r="D89" s="4" t="str">
        <f t="shared" si="1"/>
        <v>{"valorA":"todos","valorB":1.0}</v>
      </c>
      <c r="E89" s="8" t="str">
        <f t="shared" si="2"/>
        <v>todos</v>
      </c>
      <c r="F89" s="8" t="str">
        <f>IFERROR(__xludf.DUMMYFUNCTION("""COMPUTED_VALUE"""),"valor")</f>
        <v>valor</v>
      </c>
      <c r="G89" s="8" t="str">
        <f t="shared" si="3"/>
        <v>1.0</v>
      </c>
      <c r="H89" s="9">
        <f t="shared" si="4"/>
        <v>1</v>
      </c>
      <c r="I89" s="10">
        <f>IFERROR(__xludf.DUMMYFUNCTION("MAX(FILTER($H$2:$H1463,$E$2:$E1463=F89))"),1.0)</f>
        <v>1</v>
      </c>
    </row>
    <row r="90">
      <c r="A90" s="4"/>
      <c r="C90" s="4" t="s">
        <v>359</v>
      </c>
      <c r="D90" s="4" t="str">
        <f t="shared" si="1"/>
        <v>{"valorA":"como","valorB":1.0}</v>
      </c>
      <c r="E90" s="8" t="str">
        <f t="shared" si="2"/>
        <v>como</v>
      </c>
      <c r="F90" s="8" t="str">
        <f>IFERROR(__xludf.DUMMYFUNCTION("""COMPUTED_VALUE"""),"mais")</f>
        <v>mais</v>
      </c>
      <c r="G90" s="8" t="str">
        <f t="shared" si="3"/>
        <v>1.0</v>
      </c>
      <c r="H90" s="9">
        <f t="shared" si="4"/>
        <v>1</v>
      </c>
      <c r="I90" s="10">
        <f>IFERROR(__xludf.DUMMYFUNCTION("MAX(FILTER($H$2:$H1463,$E$2:$E1463=F90))"),1.0)</f>
        <v>1</v>
      </c>
    </row>
    <row r="91">
      <c r="A91" s="4"/>
      <c r="C91" s="4" t="s">
        <v>489</v>
      </c>
      <c r="D91" s="4" t="str">
        <f t="shared" si="1"/>
        <v>{"valorA":"a","valorB":6.0}</v>
      </c>
      <c r="E91" s="8" t="str">
        <f t="shared" si="2"/>
        <v>a</v>
      </c>
      <c r="F91" s="8" t="str">
        <f>IFERROR(__xludf.DUMMYFUNCTION("""COMPUTED_VALUE"""),"resposta")</f>
        <v>resposta</v>
      </c>
      <c r="G91" s="8" t="str">
        <f t="shared" si="3"/>
        <v>6.0</v>
      </c>
      <c r="H91" s="9">
        <f t="shared" si="4"/>
        <v>6</v>
      </c>
      <c r="I91" s="10">
        <f>IFERROR(__xludf.DUMMYFUNCTION("MAX(FILTER($H$2:$H1463,$E$2:$E1463=F91))"),1.0)</f>
        <v>1</v>
      </c>
    </row>
    <row r="92">
      <c r="A92" s="4"/>
      <c r="C92" s="4" t="s">
        <v>618</v>
      </c>
      <c r="D92" s="4" t="str">
        <f t="shared" si="1"/>
        <v>{"valorA":"este","valorB":1.0}</v>
      </c>
      <c r="E92" s="8" t="str">
        <f t="shared" si="2"/>
        <v>este</v>
      </c>
      <c r="F92" s="8" t="str">
        <f>IFERROR(__xludf.DUMMYFUNCTION("""COMPUTED_VALUE"""),"limpa")</f>
        <v>limpa</v>
      </c>
      <c r="G92" s="8" t="str">
        <f t="shared" si="3"/>
        <v>1.0</v>
      </c>
      <c r="H92" s="9">
        <f t="shared" si="4"/>
        <v>1</v>
      </c>
      <c r="I92" s="10">
        <f>IFERROR(__xludf.DUMMYFUNCTION("MAX(FILTER($H$2:$H1463,$E$2:$E1463=F92))"),1.0)</f>
        <v>1</v>
      </c>
    </row>
    <row r="93">
      <c r="A93" s="4"/>
      <c r="C93" s="4" t="s">
        <v>619</v>
      </c>
      <c r="D93" s="4" t="str">
        <f t="shared" si="1"/>
        <v>{"valorA":"um","valorB":1.0}</v>
      </c>
      <c r="E93" s="8" t="str">
        <f t="shared" si="2"/>
        <v>um</v>
      </c>
      <c r="F93" s="8" t="str">
        <f>IFERROR(__xludf.DUMMYFUNCTION("""COMPUTED_VALUE"""),"adorooo")</f>
        <v>adorooo</v>
      </c>
      <c r="G93" s="8" t="str">
        <f t="shared" si="3"/>
        <v>1.0</v>
      </c>
      <c r="H93" s="9">
        <f t="shared" si="4"/>
        <v>1</v>
      </c>
      <c r="I93" s="10">
        <f>IFERROR(__xludf.DUMMYFUNCTION("MAX(FILTER($H$2:$H1463,$E$2:$E1463=F93))"),1.0)</f>
        <v>1</v>
      </c>
    </row>
    <row r="94">
      <c r="A94" s="4"/>
      <c r="C94" s="4" t="s">
        <v>620</v>
      </c>
      <c r="D94" s="4" t="str">
        <f t="shared" si="1"/>
        <v>{"valorA":"preço","valorB":5.0}</v>
      </c>
      <c r="E94" s="8" t="str">
        <f t="shared" si="2"/>
        <v>preço</v>
      </c>
      <c r="F94" s="8" t="str">
        <f>IFERROR(__xludf.DUMMYFUNCTION("""COMPUTED_VALUE"""),"eu")</f>
        <v>eu</v>
      </c>
      <c r="G94" s="8" t="str">
        <f t="shared" si="3"/>
        <v>5.0</v>
      </c>
      <c r="H94" s="9">
        <f t="shared" si="4"/>
        <v>5</v>
      </c>
      <c r="I94" s="10">
        <f>IFERROR(__xludf.DUMMYFUNCTION("MAX(FILTER($H$2:$H1463,$E$2:$E1463=F94))"),2.0)</f>
        <v>2</v>
      </c>
    </row>
    <row r="95">
      <c r="A95" s="4"/>
      <c r="C95" s="4" t="s">
        <v>621</v>
      </c>
      <c r="D95" s="4" t="str">
        <f t="shared" si="1"/>
        <v>{"valorA":"ótimo","valorB":11.0}</v>
      </c>
      <c r="E95" s="8" t="str">
        <f t="shared" si="2"/>
        <v>ótimo</v>
      </c>
      <c r="F95" s="8" t="str">
        <f>IFERROR(__xludf.DUMMYFUNCTION("""COMPUTED_VALUE"""),"fico")</f>
        <v>fico</v>
      </c>
      <c r="G95" s="8" t="str">
        <f t="shared" si="3"/>
        <v>11.0</v>
      </c>
      <c r="H95" s="9">
        <f t="shared" si="4"/>
        <v>11</v>
      </c>
      <c r="I95" s="10">
        <f>IFERROR(__xludf.DUMMYFUNCTION("MAX(FILTER($H$2:$H1463,$E$2:$E1463=F95))"),1.0)</f>
        <v>1</v>
      </c>
    </row>
    <row r="96">
      <c r="A96" s="4"/>
      <c r="C96" s="4" t="s">
        <v>218</v>
      </c>
      <c r="D96" s="4" t="str">
        <f t="shared" si="1"/>
        <v>{"valorA":"para","valorB":3.0}</v>
      </c>
      <c r="E96" s="8" t="str">
        <f t="shared" si="2"/>
        <v>para</v>
      </c>
      <c r="F96" s="8" t="str">
        <f>IFERROR(__xludf.DUMMYFUNCTION("""COMPUTED_VALUE"""),"super")</f>
        <v>super</v>
      </c>
      <c r="G96" s="8" t="str">
        <f t="shared" si="3"/>
        <v>3.0</v>
      </c>
      <c r="H96" s="9">
        <f t="shared" si="4"/>
        <v>3</v>
      </c>
      <c r="I96" s="10">
        <f>IFERROR(__xludf.DUMMYFUNCTION("MAX(FILTER($H$2:$H1463,$E$2:$E1463=F96))"),1.0)</f>
        <v>1</v>
      </c>
    </row>
    <row r="97">
      <c r="A97" s="4"/>
      <c r="C97" s="4" t="s">
        <v>622</v>
      </c>
      <c r="D97" s="4" t="str">
        <f t="shared" si="1"/>
        <v>{"valorA":"qualidade","valorB":5.0}</v>
      </c>
      <c r="E97" s="8" t="str">
        <f t="shared" si="2"/>
        <v>qualidade</v>
      </c>
      <c r="F97" s="8" t="str">
        <f>IFERROR(__xludf.DUMMYFUNCTION("""COMPUTED_VALUE"""),"novo")</f>
        <v>novo</v>
      </c>
      <c r="G97" s="8" t="str">
        <f t="shared" si="3"/>
        <v>5.0</v>
      </c>
      <c r="H97" s="9">
        <f t="shared" si="4"/>
        <v>5</v>
      </c>
      <c r="I97" s="10">
        <f>IFERROR(__xludf.DUMMYFUNCTION("MAX(FILTER($H$2:$H1463,$E$2:$E1463=F97))"),2.0)</f>
        <v>2</v>
      </c>
    </row>
    <row r="98">
      <c r="A98" s="4"/>
      <c r="C98" s="4" t="s">
        <v>367</v>
      </c>
      <c r="D98" s="4" t="str">
        <f t="shared" si="1"/>
        <v>{"valorA":"meu","valorB":2.0}</v>
      </c>
      <c r="E98" s="8" t="str">
        <f t="shared" si="2"/>
        <v>meu</v>
      </c>
      <c r="F98" s="8" t="str">
        <f>IFERROR(__xludf.DUMMYFUNCTION("""COMPUTED_VALUE"""),"caro")</f>
        <v>caro</v>
      </c>
      <c r="G98" s="8" t="str">
        <f t="shared" si="3"/>
        <v>2.0</v>
      </c>
      <c r="H98" s="9">
        <f t="shared" si="4"/>
        <v>2</v>
      </c>
      <c r="I98" s="10">
        <f>IFERROR(__xludf.DUMMYFUNCTION("MAX(FILTER($H$2:$H1463,$E$2:$E1463=F98))"),2.0)</f>
        <v>2</v>
      </c>
    </row>
    <row r="99">
      <c r="A99" s="4"/>
      <c r="C99" s="4" t="s">
        <v>280</v>
      </c>
      <c r="D99" s="4" t="str">
        <f t="shared" si="1"/>
        <v>{"valorA":"e","valorB":4.0}</v>
      </c>
      <c r="E99" s="8" t="str">
        <f t="shared" si="2"/>
        <v>e</v>
      </c>
      <c r="F99" s="8" t="str">
        <f>IFERROR(__xludf.DUMMYFUNCTION("""COMPUTED_VALUE"""),"ótima")</f>
        <v>ótima</v>
      </c>
      <c r="G99" s="8" t="str">
        <f t="shared" si="3"/>
        <v>4.0</v>
      </c>
      <c r="H99" s="9">
        <f t="shared" si="4"/>
        <v>4</v>
      </c>
      <c r="I99" s="10">
        <f>IFERROR(__xludf.DUMMYFUNCTION("MAX(FILTER($H$2:$H1463,$E$2:$E1463=F99))"),2.0)</f>
        <v>2</v>
      </c>
    </row>
    <row r="100">
      <c r="A100" s="4"/>
      <c r="C100" s="4" t="s">
        <v>351</v>
      </c>
      <c r="D100" s="4" t="str">
        <f t="shared" si="1"/>
        <v>{"valorA":"o","valorB":3.0}</v>
      </c>
      <c r="E100" s="8" t="str">
        <f t="shared" si="2"/>
        <v>o</v>
      </c>
      <c r="F100" s="8" t="str">
        <f>IFERROR(__xludf.DUMMYFUNCTION("""COMPUTED_VALUE"""),"produz")</f>
        <v>produz</v>
      </c>
      <c r="G100" s="8" t="str">
        <f t="shared" si="3"/>
        <v>3.0</v>
      </c>
      <c r="H100" s="9">
        <f t="shared" si="4"/>
        <v>3</v>
      </c>
      <c r="I100" s="10">
        <f>IFERROR(__xludf.DUMMYFUNCTION("MAX(FILTER($H$2:$H1463,$E$2:$E1463=F100))"),1.0)</f>
        <v>1</v>
      </c>
    </row>
    <row r="101">
      <c r="A101" s="4"/>
      <c r="C101" s="4" t="s">
        <v>623</v>
      </c>
      <c r="D101" s="4" t="str">
        <f t="shared" si="1"/>
        <v>{"valorA":"scanner","valorB":1.0}</v>
      </c>
      <c r="E101" s="8" t="str">
        <f t="shared" si="2"/>
        <v>scanner</v>
      </c>
      <c r="F101" s="8" t="str">
        <f>IFERROR(__xludf.DUMMYFUNCTION("""COMPUTED_VALUE"""),"comprado")</f>
        <v>comprado</v>
      </c>
      <c r="G101" s="8" t="str">
        <f t="shared" si="3"/>
        <v>1.0</v>
      </c>
      <c r="H101" s="9">
        <f t="shared" si="4"/>
        <v>1</v>
      </c>
      <c r="I101" s="10">
        <f>IFERROR(__xludf.DUMMYFUNCTION("MAX(FILTER($H$2:$H1463,$E$2:$E1463=F101))"),1.0)</f>
        <v>1</v>
      </c>
    </row>
    <row r="102">
      <c r="A102" s="4"/>
      <c r="C102" s="4" t="s">
        <v>624</v>
      </c>
      <c r="D102" s="4" t="str">
        <f t="shared" si="1"/>
        <v>{"valorA":"preço","valorB":6.0}</v>
      </c>
      <c r="E102" s="8" t="str">
        <f t="shared" si="2"/>
        <v>preço</v>
      </c>
      <c r="F102" s="8" t="str">
        <f>IFERROR(__xludf.DUMMYFUNCTION("""COMPUTED_VALUE"""),"alegra")</f>
        <v>alegra</v>
      </c>
      <c r="G102" s="8" t="str">
        <f t="shared" si="3"/>
        <v>6.0</v>
      </c>
      <c r="H102" s="9">
        <f t="shared" si="4"/>
        <v>6</v>
      </c>
      <c r="I102" s="10">
        <f>IFERROR(__xludf.DUMMYFUNCTION("MAX(FILTER($H$2:$H1463,$E$2:$E1463=F102))"),1.0)</f>
        <v>1</v>
      </c>
    </row>
    <row r="103">
      <c r="A103" s="4"/>
      <c r="C103" s="4" t="s">
        <v>259</v>
      </c>
      <c r="D103" s="4" t="str">
        <f t="shared" si="1"/>
        <v>{"valorA":"ótimo","valorB":12.0}</v>
      </c>
      <c r="E103" s="8" t="str">
        <f t="shared" si="2"/>
        <v>ótimo</v>
      </c>
      <c r="F103" s="8" t="str">
        <f>IFERROR(__xludf.DUMMYFUNCTION("""COMPUTED_VALUE"""),"ter")</f>
        <v>ter</v>
      </c>
      <c r="G103" s="8" t="str">
        <f t="shared" si="3"/>
        <v>12.0</v>
      </c>
      <c r="H103" s="9">
        <f t="shared" si="4"/>
        <v>12</v>
      </c>
      <c r="I103" s="10">
        <f>IFERROR(__xludf.DUMMYFUNCTION("MAX(FILTER($H$2:$H1463,$E$2:$E1463=F103))"),1.0)</f>
        <v>1</v>
      </c>
    </row>
    <row r="104">
      <c r="A104" s="4"/>
      <c r="C104" s="4" t="s">
        <v>234</v>
      </c>
      <c r="D104" s="4" t="str">
        <f t="shared" si="1"/>
        <v>{"valorA":"para","valorB":4.0}</v>
      </c>
      <c r="E104" s="8" t="str">
        <f t="shared" si="2"/>
        <v>para</v>
      </c>
      <c r="F104" s="8" t="str">
        <f>IFERROR(__xludf.DUMMYFUNCTION("""COMPUTED_VALUE"""),"mucho")</f>
        <v>mucho</v>
      </c>
      <c r="G104" s="8" t="str">
        <f t="shared" si="3"/>
        <v>4.0</v>
      </c>
      <c r="H104" s="9">
        <f t="shared" si="4"/>
        <v>4</v>
      </c>
      <c r="I104" s="10">
        <f>IFERROR(__xludf.DUMMYFUNCTION("MAX(FILTER($H$2:$H1463,$E$2:$E1463=F104))"),1.0)</f>
        <v>1</v>
      </c>
    </row>
    <row r="105">
      <c r="A105" s="4"/>
      <c r="C105" s="4" t="s">
        <v>325</v>
      </c>
      <c r="D105" s="4" t="str">
        <f t="shared" si="1"/>
        <v>{"valorA":"recomendo","valorB":3.0}</v>
      </c>
      <c r="E105" s="8" t="str">
        <f t="shared" si="2"/>
        <v>recomendo</v>
      </c>
      <c r="F105" s="8" t="str">
        <f>IFERROR(__xludf.DUMMYFUNCTION("""COMPUTED_VALUE"""),"tamanho")</f>
        <v>tamanho</v>
      </c>
      <c r="G105" s="8" t="str">
        <f t="shared" si="3"/>
        <v>3.0</v>
      </c>
      <c r="H105" s="9">
        <f t="shared" si="4"/>
        <v>3</v>
      </c>
      <c r="I105" s="10">
        <f>IFERROR(__xludf.DUMMYFUNCTION("MAX(FILTER($H$2:$H1463,$E$2:$E1463=F105))"),1.0)</f>
        <v>1</v>
      </c>
    </row>
    <row r="106">
      <c r="A106" s="4"/>
      <c r="C106" s="4" t="s">
        <v>625</v>
      </c>
      <c r="D106" s="4" t="str">
        <f t="shared" si="1"/>
        <v>{"valorA":"valeu","valorB":2.0}</v>
      </c>
      <c r="E106" s="8" t="str">
        <f t="shared" si="2"/>
        <v>valeu</v>
      </c>
      <c r="F106" s="8" t="str">
        <f>IFERROR(__xludf.DUMMYFUNCTION("""COMPUTED_VALUE"""),"das")</f>
        <v>das</v>
      </c>
      <c r="G106" s="8" t="str">
        <f t="shared" si="3"/>
        <v>2.0</v>
      </c>
      <c r="H106" s="9">
        <f t="shared" si="4"/>
        <v>2</v>
      </c>
      <c r="I106" s="10">
        <f>IFERROR(__xludf.DUMMYFUNCTION("MAX(FILTER($H$2:$H1463,$E$2:$E1463=F106))"),1.0)</f>
        <v>1</v>
      </c>
    </row>
    <row r="107">
      <c r="A107" s="4"/>
      <c r="C107" s="4" t="s">
        <v>626</v>
      </c>
      <c r="D107" s="4" t="str">
        <f t="shared" si="1"/>
        <v>{"valorA":"espera","valorB":2.0}</v>
      </c>
      <c r="E107" s="8" t="str">
        <f t="shared" si="2"/>
        <v>espera</v>
      </c>
      <c r="F107" s="8" t="str">
        <f>IFERROR(__xludf.DUMMYFUNCTION("""COMPUTED_VALUE"""),"funcionalidades")</f>
        <v>funcionalidades</v>
      </c>
      <c r="G107" s="8" t="str">
        <f t="shared" si="3"/>
        <v>2.0</v>
      </c>
      <c r="H107" s="9">
        <f t="shared" si="4"/>
        <v>2</v>
      </c>
      <c r="I107" s="10">
        <f>IFERROR(__xludf.DUMMYFUNCTION("MAX(FILTER($H$2:$H1463,$E$2:$E1463=F107))"),1.0)</f>
        <v>1</v>
      </c>
    </row>
    <row r="108">
      <c r="A108" s="4"/>
      <c r="C108" s="4" t="s">
        <v>260</v>
      </c>
      <c r="D108" s="4" t="str">
        <f t="shared" si="1"/>
        <v>{"valorA":"gostei","valorB":2.0}</v>
      </c>
      <c r="E108" s="8" t="str">
        <f t="shared" si="2"/>
        <v>gostei</v>
      </c>
      <c r="F108" s="8" t="str">
        <f>IFERROR(__xludf.DUMMYFUNCTION("""COMPUTED_VALUE"""),"barato")</f>
        <v>barato</v>
      </c>
      <c r="G108" s="8" t="str">
        <f t="shared" si="3"/>
        <v>2.0</v>
      </c>
      <c r="H108" s="9">
        <f t="shared" si="4"/>
        <v>2</v>
      </c>
      <c r="I108" s="10">
        <f>IFERROR(__xludf.DUMMYFUNCTION("MAX(FILTER($H$2:$H1463,$E$2:$E1463=F108))"),1.0)</f>
        <v>1</v>
      </c>
    </row>
    <row r="109">
      <c r="A109" s="4"/>
      <c r="C109" s="4" t="s">
        <v>314</v>
      </c>
      <c r="D109" s="4" t="str">
        <f t="shared" si="1"/>
        <v>{"valorA":"resultado","valorB":1.0}</v>
      </c>
      <c r="E109" s="8" t="str">
        <f t="shared" si="2"/>
        <v>resultado</v>
      </c>
      <c r="F109" s="8" t="str">
        <f>IFERROR(__xludf.DUMMYFUNCTION("""COMPUTED_VALUE"""),"tablet")</f>
        <v>tablet</v>
      </c>
      <c r="G109" s="8" t="str">
        <f t="shared" si="3"/>
        <v>1.0</v>
      </c>
      <c r="H109" s="9">
        <f t="shared" si="4"/>
        <v>1</v>
      </c>
      <c r="I109" s="10">
        <f>IFERROR(__xludf.DUMMYFUNCTION("MAX(FILTER($H$2:$H1463,$E$2:$E1463=F109))"),1.0)</f>
        <v>1</v>
      </c>
    </row>
    <row r="110">
      <c r="A110" s="4"/>
      <c r="C110" s="4" t="s">
        <v>272</v>
      </c>
      <c r="D110" s="4" t="str">
        <f t="shared" si="1"/>
        <v>{"valorA":"produto","valorB":9.0}</v>
      </c>
      <c r="E110" s="8" t="str">
        <f t="shared" si="2"/>
        <v>produto</v>
      </c>
      <c r="F110" s="8" t="str">
        <f>IFERROR(__xludf.DUMMYFUNCTION("""COMPUTED_VALUE"""),"compriei")</f>
        <v>compriei</v>
      </c>
      <c r="G110" s="8" t="str">
        <f t="shared" si="3"/>
        <v>9.0</v>
      </c>
      <c r="H110" s="9">
        <f t="shared" si="4"/>
        <v>9</v>
      </c>
      <c r="I110" s="10">
        <f>IFERROR(__xludf.DUMMYFUNCTION("MAX(FILTER($H$2:$H1463,$E$2:$E1463=F110))"),1.0)</f>
        <v>1</v>
      </c>
    </row>
    <row r="111">
      <c r="A111" s="4"/>
      <c r="C111" s="4" t="s">
        <v>462</v>
      </c>
      <c r="D111" s="4" t="str">
        <f t="shared" si="1"/>
        <v>{"valorA":"do","valorB":3.0}</v>
      </c>
      <c r="E111" s="8" t="str">
        <f t="shared" si="2"/>
        <v>do</v>
      </c>
      <c r="F111" s="8" t="str">
        <f>IFERROR(__xludf.DUMMYFUNCTION("""COMPUTED_VALUE"""),"aqui")</f>
        <v>aqui</v>
      </c>
      <c r="G111" s="8" t="str">
        <f t="shared" si="3"/>
        <v>3.0</v>
      </c>
      <c r="H111" s="9">
        <f t="shared" si="4"/>
        <v>3</v>
      </c>
      <c r="I111" s="10">
        <f>IFERROR(__xludf.DUMMYFUNCTION("MAX(FILTER($H$2:$H1463,$E$2:$E1463=F111))"),1.0)</f>
        <v>1</v>
      </c>
    </row>
    <row r="112">
      <c r="A112" s="4"/>
      <c r="C112" s="4" t="s">
        <v>627</v>
      </c>
      <c r="D112" s="4" t="str">
        <f t="shared" si="1"/>
        <v>{"valorA":"final","valorB":1.0}</v>
      </c>
      <c r="E112" s="8" t="str">
        <f t="shared" si="2"/>
        <v>final</v>
      </c>
      <c r="F112" s="8" t="str">
        <f>IFERROR(__xludf.DUMMYFUNCTION("""COMPUTED_VALUE"""),"sempre")</f>
        <v>sempre</v>
      </c>
      <c r="G112" s="8" t="str">
        <f t="shared" si="3"/>
        <v>1.0</v>
      </c>
      <c r="H112" s="9">
        <f t="shared" si="4"/>
        <v>1</v>
      </c>
      <c r="I112" s="10">
        <f>IFERROR(__xludf.DUMMYFUNCTION("MAX(FILTER($H$2:$H1463,$E$2:$E1463=F112))"),1.0)</f>
        <v>1</v>
      </c>
    </row>
    <row r="113">
      <c r="A113" s="4"/>
      <c r="C113" s="4" t="s">
        <v>628</v>
      </c>
      <c r="D113" s="4" t="str">
        <f t="shared" si="1"/>
        <v>{"valorA":"ótimo","valorB":13.0}</v>
      </c>
      <c r="E113" s="8" t="str">
        <f t="shared" si="2"/>
        <v>ótimo</v>
      </c>
      <c r="F113" s="8" t="str">
        <f>IFERROR(__xludf.DUMMYFUNCTION("""COMPUTED_VALUE"""),"compro")</f>
        <v>compro</v>
      </c>
      <c r="G113" s="8" t="str">
        <f t="shared" si="3"/>
        <v>13.0</v>
      </c>
      <c r="H113" s="9">
        <f t="shared" si="4"/>
        <v>13</v>
      </c>
      <c r="I113" s="10">
        <f>IFERROR(__xludf.DUMMYFUNCTION("MAX(FILTER($H$2:$H1463,$E$2:$E1463=F113))"),1.0)</f>
        <v>1</v>
      </c>
    </row>
    <row r="114">
      <c r="A114" s="4"/>
      <c r="C114" s="4" t="s">
        <v>245</v>
      </c>
      <c r="D114" s="4" t="str">
        <f t="shared" si="1"/>
        <v>{"valorA":"perfeitamente","valorB":1.0}</v>
      </c>
      <c r="E114" s="8" t="str">
        <f t="shared" si="2"/>
        <v>perfeitamente</v>
      </c>
      <c r="F114" s="8" t="str">
        <f>IFERROR(__xludf.DUMMYFUNCTION("""COMPUTED_VALUE"""),"valorizado")</f>
        <v>valorizado</v>
      </c>
      <c r="G114" s="8" t="str">
        <f t="shared" si="3"/>
        <v>1.0</v>
      </c>
      <c r="H114" s="9">
        <f t="shared" si="4"/>
        <v>1</v>
      </c>
      <c r="I114" s="10">
        <f>IFERROR(__xludf.DUMMYFUNCTION("MAX(FILTER($H$2:$H1463,$E$2:$E1463=F114))"),1.0)</f>
        <v>1</v>
      </c>
    </row>
    <row r="115">
      <c r="A115" s="4"/>
      <c r="C115" s="4" t="s">
        <v>262</v>
      </c>
      <c r="D115" s="4" t="str">
        <f t="shared" si="1"/>
        <v>{"valorA":"muito","valorB":5.0}</v>
      </c>
      <c r="E115" s="8" t="str">
        <f t="shared" si="2"/>
        <v>muito</v>
      </c>
      <c r="F115" s="8" t="str">
        <f>IFERROR(__xludf.DUMMYFUNCTION("""COMPUTED_VALUE"""),"dinheiro")</f>
        <v>dinheiro</v>
      </c>
      <c r="G115" s="8" t="str">
        <f t="shared" si="3"/>
        <v>5.0</v>
      </c>
      <c r="H115" s="9">
        <f t="shared" si="4"/>
        <v>5</v>
      </c>
      <c r="I115" s="10">
        <f>IFERROR(__xludf.DUMMYFUNCTION("MAX(FILTER($H$2:$H1463,$E$2:$E1463=F115))"),1.0)</f>
        <v>1</v>
      </c>
    </row>
    <row r="116">
      <c r="A116" s="4"/>
      <c r="C116" s="4" t="s">
        <v>629</v>
      </c>
      <c r="D116" s="4" t="str">
        <f t="shared" si="1"/>
        <v>{"valorA":"todos","valorB":2.0}</v>
      </c>
      <c r="E116" s="8" t="str">
        <f t="shared" si="2"/>
        <v>todos</v>
      </c>
      <c r="F116" s="8" t="str">
        <f>IFERROR(__xludf.DUMMYFUNCTION("""COMPUTED_VALUE"""),"valido")</f>
        <v>valido</v>
      </c>
      <c r="G116" s="8" t="str">
        <f t="shared" si="3"/>
        <v>2.0</v>
      </c>
      <c r="H116" s="9">
        <f t="shared" si="4"/>
        <v>2</v>
      </c>
      <c r="I116" s="10">
        <f>IFERROR(__xludf.DUMMYFUNCTION("MAX(FILTER($H$2:$H1463,$E$2:$E1463=F116))"),1.0)</f>
        <v>1</v>
      </c>
    </row>
    <row r="117">
      <c r="A117" s="4"/>
      <c r="C117" s="4" t="s">
        <v>630</v>
      </c>
      <c r="D117" s="4" t="str">
        <f t="shared" si="1"/>
        <v>{"valorA":"a","valorB":7.0}</v>
      </c>
      <c r="E117" s="8" t="str">
        <f t="shared" si="2"/>
        <v>a</v>
      </c>
      <c r="F117" s="8" t="str">
        <f>IFERROR(__xludf.DUMMYFUNCTION("""COMPUTED_VALUE"""),"leitor")</f>
        <v>leitor</v>
      </c>
      <c r="G117" s="8" t="str">
        <f t="shared" si="3"/>
        <v>7.0</v>
      </c>
      <c r="H117" s="9">
        <f t="shared" si="4"/>
        <v>7</v>
      </c>
      <c r="I117" s="10">
        <f>IFERROR(__xludf.DUMMYFUNCTION("MAX(FILTER($H$2:$H1463,$E$2:$E1463=F117))"),1.0)</f>
        <v>1</v>
      </c>
    </row>
    <row r="118">
      <c r="A118" s="4"/>
      <c r="C118" s="4" t="s">
        <v>631</v>
      </c>
      <c r="D118" s="4" t="str">
        <f t="shared" si="1"/>
        <v>{"valorA":"funciona","valorB":2.0}</v>
      </c>
      <c r="E118" s="8" t="str">
        <f t="shared" si="2"/>
        <v>funciona</v>
      </c>
      <c r="F118" s="8" t="str">
        <f>IFERROR(__xludf.DUMMYFUNCTION("""COMPUTED_VALUE"""),"tatuadores")</f>
        <v>tatuadores</v>
      </c>
      <c r="G118" s="8" t="str">
        <f t="shared" si="3"/>
        <v>2.0</v>
      </c>
      <c r="H118" s="9">
        <f t="shared" si="4"/>
        <v>2</v>
      </c>
      <c r="I118" s="10">
        <f>IFERROR(__xludf.DUMMYFUNCTION("MAX(FILTER($H$2:$H1463,$E$2:$E1463=F118))"),1.0)</f>
        <v>1</v>
      </c>
    </row>
    <row r="119">
      <c r="A119" s="4"/>
      <c r="C119" s="4" t="s">
        <v>197</v>
      </c>
      <c r="D119" s="4" t="str">
        <f t="shared" si="1"/>
        <v>{"valorA":"é","valorB":2.0}</v>
      </c>
      <c r="E119" s="8" t="str">
        <f t="shared" si="2"/>
        <v>é</v>
      </c>
      <c r="F119" s="8" t="str">
        <f>IFERROR(__xludf.DUMMYFUNCTION("""COMPUTED_VALUE"""),"exemplos")</f>
        <v>exemplos</v>
      </c>
      <c r="G119" s="8" t="str">
        <f t="shared" si="3"/>
        <v>2.0</v>
      </c>
      <c r="H119" s="9">
        <f t="shared" si="4"/>
        <v>2</v>
      </c>
      <c r="I119" s="10">
        <f>IFERROR(__xludf.DUMMYFUNCTION("MAX(FILTER($H$2:$H1463,$E$2:$E1463=F119))"),1.0)</f>
        <v>1</v>
      </c>
    </row>
    <row r="120">
      <c r="A120" s="4"/>
      <c r="C120" s="4" t="s">
        <v>632</v>
      </c>
      <c r="D120" s="4" t="str">
        <f t="shared" si="1"/>
        <v>{"valorA":"bonito","valorB":1.0}</v>
      </c>
      <c r="E120" s="8" t="str">
        <f t="shared" si="2"/>
        <v>bonito</v>
      </c>
      <c r="F120" s="8" t="str">
        <f>IFERROR(__xludf.DUMMYFUNCTION("""COMPUTED_VALUE"""),"preçoqualidade")</f>
        <v>preçoqualidade</v>
      </c>
      <c r="G120" s="8" t="str">
        <f t="shared" si="3"/>
        <v>1.0</v>
      </c>
      <c r="H120" s="9">
        <f t="shared" si="4"/>
        <v>1</v>
      </c>
      <c r="I120" s="10">
        <f>IFERROR(__xludf.DUMMYFUNCTION("MAX(FILTER($H$2:$H1463,$E$2:$E1463=F120))"),1.0)</f>
        <v>1</v>
      </c>
    </row>
    <row r="121">
      <c r="A121" s="4"/>
      <c r="C121" s="4" t="s">
        <v>633</v>
      </c>
      <c r="D121" s="4" t="str">
        <f t="shared" si="1"/>
        <v>{"valorA":"tv","valorB":2.0}</v>
      </c>
      <c r="E121" s="8" t="str">
        <f t="shared" si="2"/>
        <v>tv</v>
      </c>
      <c r="F121" s="8" t="str">
        <f>IFERROR(__xludf.DUMMYFUNCTION("""COMPUTED_VALUE"""),"positivos")</f>
        <v>positivos</v>
      </c>
      <c r="G121" s="8" t="str">
        <f t="shared" si="3"/>
        <v>2.0</v>
      </c>
      <c r="H121" s="9">
        <f t="shared" si="4"/>
        <v>2</v>
      </c>
      <c r="I121" s="10">
        <f>IFERROR(__xludf.DUMMYFUNCTION("MAX(FILTER($H$2:$H1463,$E$2:$E1463=F121))"),1.0)</f>
        <v>1</v>
      </c>
    </row>
    <row r="122">
      <c r="A122" s="4"/>
      <c r="C122" s="4" t="s">
        <v>634</v>
      </c>
      <c r="D122" s="4" t="str">
        <f t="shared" si="1"/>
        <v>{"valorA":"bem","valorB":2.0}</v>
      </c>
      <c r="E122" s="8" t="str">
        <f t="shared" si="2"/>
        <v>bem</v>
      </c>
      <c r="F122" s="8" t="str">
        <f>IFERROR(__xludf.DUMMYFUNCTION("""COMPUTED_VALUE"""),"comentários")</f>
        <v>comentários</v>
      </c>
      <c r="G122" s="8" t="str">
        <f t="shared" si="3"/>
        <v>2.0</v>
      </c>
      <c r="H122" s="9">
        <f t="shared" si="4"/>
        <v>2</v>
      </c>
      <c r="I122" s="10">
        <f>IFERROR(__xludf.DUMMYFUNCTION("MAX(FILTER($H$2:$H1463,$E$2:$E1463=F122))"),1.0)</f>
        <v>1</v>
      </c>
    </row>
    <row r="123">
      <c r="A123" s="4"/>
      <c r="C123" s="4" t="s">
        <v>331</v>
      </c>
      <c r="D123" s="4" t="str">
        <f t="shared" si="1"/>
        <v>{"valorA":"e","valorB":5.0}</v>
      </c>
      <c r="E123" s="8" t="str">
        <f t="shared" si="2"/>
        <v>e</v>
      </c>
      <c r="F123" s="8" t="str">
        <f>IFERROR(__xludf.DUMMYFUNCTION("""COMPUTED_VALUE"""),"durável")</f>
        <v>durável</v>
      </c>
      <c r="G123" s="8" t="str">
        <f t="shared" si="3"/>
        <v>5.0</v>
      </c>
      <c r="H123" s="9">
        <f t="shared" si="4"/>
        <v>5</v>
      </c>
      <c r="I123" s="10">
        <f>IFERROR(__xludf.DUMMYFUNCTION("MAX(FILTER($H$2:$H1463,$E$2:$E1463=F123))"),1.0)</f>
        <v>1</v>
      </c>
    </row>
    <row r="124">
      <c r="A124" s="4"/>
      <c r="C124" s="4" t="s">
        <v>635</v>
      </c>
      <c r="D124" s="4" t="str">
        <f t="shared" si="1"/>
        <v>{"valorA":"led","valorB":1.0}</v>
      </c>
      <c r="E124" s="8" t="str">
        <f t="shared" si="2"/>
        <v>led</v>
      </c>
      <c r="F124" s="8" t="str">
        <f>IFERROR(__xludf.DUMMYFUNCTION("""COMPUTED_VALUE"""),"chapéu")</f>
        <v>chapéu</v>
      </c>
      <c r="G124" s="8" t="str">
        <f t="shared" si="3"/>
        <v>1.0</v>
      </c>
      <c r="H124" s="9">
        <f t="shared" si="4"/>
        <v>1</v>
      </c>
      <c r="I124" s="10">
        <f>IFERROR(__xludf.DUMMYFUNCTION("MAX(FILTER($H$2:$H1463,$E$2:$E1463=F124))"),1.0)</f>
        <v>1</v>
      </c>
    </row>
    <row r="125">
      <c r="A125" s="4"/>
      <c r="C125" s="4" t="s">
        <v>273</v>
      </c>
      <c r="D125" s="4" t="str">
        <f t="shared" si="1"/>
        <v>{"valorA":"ótimo","valorB":14.0}</v>
      </c>
      <c r="E125" s="8" t="str">
        <f t="shared" si="2"/>
        <v>ótimo</v>
      </c>
      <c r="F125" s="8" t="str">
        <f>IFERROR(__xludf.DUMMYFUNCTION("""COMPUTED_VALUE"""),"adorei")</f>
        <v>adorei</v>
      </c>
      <c r="G125" s="8" t="str">
        <f t="shared" si="3"/>
        <v>14.0</v>
      </c>
      <c r="H125" s="9">
        <f t="shared" si="4"/>
        <v>14</v>
      </c>
      <c r="I125" s="10">
        <f>IFERROR(__xludf.DUMMYFUNCTION("MAX(FILTER($H$2:$H1463,$E$2:$E1463=F125))"),1.0)</f>
        <v>1</v>
      </c>
    </row>
    <row r="126">
      <c r="A126" s="4"/>
      <c r="C126" s="4" t="s">
        <v>192</v>
      </c>
      <c r="D126" s="4" t="str">
        <f t="shared" si="1"/>
        <v>{"valorA":"esse","valorB":1.0}</v>
      </c>
      <c r="E126" s="8" t="str">
        <f t="shared" si="2"/>
        <v>esse</v>
      </c>
      <c r="F126" s="8"/>
      <c r="G126" s="8" t="str">
        <f t="shared" si="3"/>
        <v>1.0</v>
      </c>
      <c r="H126" s="9">
        <f t="shared" si="4"/>
        <v>1</v>
      </c>
      <c r="I126" s="10">
        <f>IFERROR(__xludf.DUMMYFUNCTION("MAX(FILTER($H$2:$H1463,$E$2:$E1463=F126))"),0.0)</f>
        <v>0</v>
      </c>
    </row>
    <row r="127">
      <c r="A127" s="4"/>
      <c r="C127" s="4" t="s">
        <v>636</v>
      </c>
      <c r="D127" s="4" t="str">
        <f t="shared" si="1"/>
        <v>{"valorA":"funciona","valorB":3.0}</v>
      </c>
      <c r="E127" s="8" t="str">
        <f t="shared" si="2"/>
        <v>funciona</v>
      </c>
      <c r="F127" s="8"/>
      <c r="G127" s="8" t="str">
        <f t="shared" si="3"/>
        <v>3.0</v>
      </c>
      <c r="H127" s="9">
        <f t="shared" si="4"/>
        <v>3</v>
      </c>
      <c r="I127" s="10">
        <f>IFERROR(__xludf.DUMMYFUNCTION("MAX(FILTER($H$2:$H1463,$E$2:$E1463=F127))"),0.0)</f>
        <v>0</v>
      </c>
    </row>
    <row r="128">
      <c r="A128" s="4"/>
      <c r="C128" s="4" t="s">
        <v>637</v>
      </c>
      <c r="D128" s="4" t="str">
        <f t="shared" si="1"/>
        <v>{"valorA":"preço","valorB":7.0}</v>
      </c>
      <c r="E128" s="8" t="str">
        <f t="shared" si="2"/>
        <v>preço</v>
      </c>
      <c r="F128" s="8"/>
      <c r="G128" s="8" t="str">
        <f t="shared" si="3"/>
        <v>7.0</v>
      </c>
      <c r="H128" s="9">
        <f t="shared" si="4"/>
        <v>7</v>
      </c>
      <c r="I128" s="10">
        <f>IFERROR(__xludf.DUMMYFUNCTION("MAX(FILTER($H$2:$H1463,$E$2:$E1463=F128))"),0.0)</f>
        <v>0</v>
      </c>
    </row>
    <row r="129">
      <c r="A129" s="4"/>
      <c r="C129" s="4" t="s">
        <v>638</v>
      </c>
      <c r="D129" s="4" t="str">
        <f t="shared" si="1"/>
        <v>{"valorA":"ótimo","valorB":15.0}</v>
      </c>
      <c r="E129" s="8" t="str">
        <f t="shared" si="2"/>
        <v>ótimo</v>
      </c>
      <c r="F129" s="8"/>
      <c r="G129" s="8" t="str">
        <f t="shared" si="3"/>
        <v>15.0</v>
      </c>
      <c r="H129" s="9">
        <f t="shared" si="4"/>
        <v>15</v>
      </c>
      <c r="I129" s="10">
        <f>IFERROR(__xludf.DUMMYFUNCTION("MAX(FILTER($H$2:$H1463,$E$2:$E1463=F129))"),0.0)</f>
        <v>0</v>
      </c>
    </row>
    <row r="130">
      <c r="A130" s="4"/>
      <c r="C130" s="4" t="s">
        <v>639</v>
      </c>
      <c r="D130" s="4" t="str">
        <f t="shared" si="1"/>
        <v>{"valorA":"econômico","valorB":1.0}</v>
      </c>
      <c r="E130" s="8" t="str">
        <f t="shared" si="2"/>
        <v>econômico</v>
      </c>
      <c r="F130" s="8"/>
      <c r="G130" s="8" t="str">
        <f t="shared" si="3"/>
        <v>1.0</v>
      </c>
      <c r="H130" s="9">
        <f t="shared" si="4"/>
        <v>1</v>
      </c>
      <c r="I130" s="10">
        <f>IFERROR(__xludf.DUMMYFUNCTION("MAX(FILTER($H$2:$H1463,$E$2:$E1463=F130))"),0.0)</f>
        <v>0</v>
      </c>
    </row>
    <row r="131">
      <c r="A131" s="4"/>
      <c r="C131" s="4" t="s">
        <v>403</v>
      </c>
      <c r="D131" s="4" t="str">
        <f t="shared" si="1"/>
        <v>{"valorA":"para","valorB":5.0}</v>
      </c>
      <c r="E131" s="8" t="str">
        <f t="shared" si="2"/>
        <v>para</v>
      </c>
      <c r="F131" s="8"/>
      <c r="G131" s="8" t="str">
        <f t="shared" si="3"/>
        <v>5.0</v>
      </c>
      <c r="H131" s="9">
        <f t="shared" si="4"/>
        <v>5</v>
      </c>
      <c r="I131" s="10">
        <f>IFERROR(__xludf.DUMMYFUNCTION("MAX(FILTER($H$2:$H1463,$E$2:$E1463=F131))"),0.0)</f>
        <v>0</v>
      </c>
    </row>
    <row r="132">
      <c r="A132" s="4"/>
      <c r="C132" s="4" t="s">
        <v>640</v>
      </c>
      <c r="D132" s="4" t="str">
        <f t="shared" si="1"/>
        <v>{"valorA":"usar","valorB":1.0}</v>
      </c>
      <c r="E132" s="8" t="str">
        <f t="shared" si="2"/>
        <v>usar</v>
      </c>
      <c r="F132" s="8"/>
      <c r="G132" s="8" t="str">
        <f t="shared" si="3"/>
        <v>1.0</v>
      </c>
      <c r="H132" s="9">
        <f t="shared" si="4"/>
        <v>1</v>
      </c>
      <c r="I132" s="10">
        <f>IFERROR(__xludf.DUMMYFUNCTION("MAX(FILTER($H$2:$H1463,$E$2:$E1463=F132))"),0.0)</f>
        <v>0</v>
      </c>
    </row>
    <row r="133">
      <c r="A133" s="4"/>
      <c r="C133" s="4" t="s">
        <v>641</v>
      </c>
      <c r="D133" s="4" t="str">
        <f t="shared" si="1"/>
        <v>{"valorA":"pequena","valorB":1.0}</v>
      </c>
      <c r="E133" s="8" t="str">
        <f t="shared" si="2"/>
        <v>pequena</v>
      </c>
      <c r="F133" s="8"/>
      <c r="G133" s="8" t="str">
        <f t="shared" si="3"/>
        <v>1.0</v>
      </c>
      <c r="H133" s="9">
        <f t="shared" si="4"/>
        <v>1</v>
      </c>
      <c r="I133" s="10">
        <f>IFERROR(__xludf.DUMMYFUNCTION("MAX(FILTER($H$2:$H1463,$E$2:$E1463=F133))"),0.0)</f>
        <v>0</v>
      </c>
    </row>
    <row r="134">
      <c r="A134" s="4"/>
      <c r="C134" s="4" t="s">
        <v>371</v>
      </c>
      <c r="D134" s="4" t="str">
        <f t="shared" si="1"/>
        <v>{"valorA":"e","valorB":6.0}</v>
      </c>
      <c r="E134" s="8" t="str">
        <f t="shared" si="2"/>
        <v>e</v>
      </c>
      <c r="F134" s="8"/>
      <c r="G134" s="8" t="str">
        <f t="shared" si="3"/>
        <v>6.0</v>
      </c>
      <c r="H134" s="9">
        <f t="shared" si="4"/>
        <v>6</v>
      </c>
      <c r="I134" s="10">
        <f>IFERROR(__xludf.DUMMYFUNCTION("MAX(FILTER($H$2:$H1463,$E$2:$E1463=F134))"),0.0)</f>
        <v>0</v>
      </c>
    </row>
    <row r="135">
      <c r="A135" s="4"/>
      <c r="C135" s="4" t="s">
        <v>642</v>
      </c>
      <c r="D135" s="4" t="str">
        <f t="shared" si="1"/>
        <v>{"valorA":"de","valorB":1.0}</v>
      </c>
      <c r="E135" s="8" t="str">
        <f t="shared" si="2"/>
        <v>de</v>
      </c>
      <c r="F135" s="8"/>
      <c r="G135" s="8" t="str">
        <f t="shared" si="3"/>
        <v>1.0</v>
      </c>
      <c r="H135" s="9">
        <f t="shared" si="4"/>
        <v>1</v>
      </c>
      <c r="I135" s="10">
        <f>IFERROR(__xludf.DUMMYFUNCTION("MAX(FILTER($H$2:$H1463,$E$2:$E1463=F135))"),0.0)</f>
        <v>0</v>
      </c>
    </row>
    <row r="136">
      <c r="A136" s="4"/>
      <c r="C136" s="4" t="s">
        <v>643</v>
      </c>
      <c r="D136" s="4" t="str">
        <f t="shared" si="1"/>
        <v>{"valorA":"produto","valorB":10.0}</v>
      </c>
      <c r="E136" s="8" t="str">
        <f t="shared" si="2"/>
        <v>produto</v>
      </c>
      <c r="F136" s="8"/>
      <c r="G136" s="8" t="str">
        <f t="shared" si="3"/>
        <v>10.0</v>
      </c>
      <c r="H136" s="9">
        <f t="shared" si="4"/>
        <v>10</v>
      </c>
      <c r="I136" s="10">
        <f>IFERROR(__xludf.DUMMYFUNCTION("MAX(FILTER($H$2:$H1463,$E$2:$E1463=F136))"),0.0)</f>
        <v>0</v>
      </c>
    </row>
    <row r="137">
      <c r="A137" s="4"/>
      <c r="C137" s="4" t="s">
        <v>285</v>
      </c>
      <c r="D137" s="4" t="str">
        <f t="shared" si="1"/>
        <v>{"valorA":"fácil","valorB":1.0}</v>
      </c>
      <c r="E137" s="8" t="str">
        <f t="shared" si="2"/>
        <v>fácil</v>
      </c>
      <c r="F137" s="8"/>
      <c r="G137" s="8" t="str">
        <f t="shared" si="3"/>
        <v>1.0</v>
      </c>
      <c r="H137" s="9">
        <f t="shared" si="4"/>
        <v>1</v>
      </c>
      <c r="I137" s="10">
        <f>IFERROR(__xludf.DUMMYFUNCTION("MAX(FILTER($H$2:$H1463,$E$2:$E1463=F137))"),0.0)</f>
        <v>0</v>
      </c>
    </row>
    <row r="138">
      <c r="A138" s="4"/>
      <c r="C138" s="4" t="s">
        <v>644</v>
      </c>
      <c r="D138" s="4" t="str">
        <f t="shared" si="1"/>
        <v>{"valorA":"casa","valorB":1.0}</v>
      </c>
      <c r="E138" s="8" t="str">
        <f t="shared" si="2"/>
        <v>casa</v>
      </c>
      <c r="F138" s="8"/>
      <c r="G138" s="8" t="str">
        <f t="shared" si="3"/>
        <v>1.0</v>
      </c>
      <c r="H138" s="9">
        <f t="shared" si="4"/>
        <v>1</v>
      </c>
      <c r="I138" s="10">
        <f>IFERROR(__xludf.DUMMYFUNCTION("MAX(FILTER($H$2:$H1463,$E$2:$E1463=F138))"),0.0)</f>
        <v>0</v>
      </c>
    </row>
    <row r="139">
      <c r="A139" s="4"/>
      <c r="C139" s="4" t="s">
        <v>645</v>
      </c>
      <c r="D139" s="4" t="str">
        <f t="shared" si="1"/>
        <v>{"valorA":"ótimo","valorB":16.0}</v>
      </c>
      <c r="E139" s="8" t="str">
        <f t="shared" si="2"/>
        <v>ótimo</v>
      </c>
      <c r="F139" s="8"/>
      <c r="G139" s="8" t="str">
        <f t="shared" si="3"/>
        <v>16.0</v>
      </c>
      <c r="H139" s="9">
        <f t="shared" si="4"/>
        <v>16</v>
      </c>
      <c r="I139" s="10">
        <f>IFERROR(__xludf.DUMMYFUNCTION("MAX(FILTER($H$2:$H1463,$E$2:$E1463=F139))"),0.0)</f>
        <v>0</v>
      </c>
    </row>
    <row r="140">
      <c r="A140" s="4"/>
      <c r="C140" s="4" t="s">
        <v>646</v>
      </c>
      <c r="D140" s="4" t="str">
        <f t="shared" si="1"/>
        <v>{"valorA":"suficiente","valorB":1.0}</v>
      </c>
      <c r="E140" s="8" t="str">
        <f t="shared" si="2"/>
        <v>suficiente</v>
      </c>
      <c r="F140" s="8"/>
      <c r="G140" s="8" t="str">
        <f t="shared" si="3"/>
        <v>1.0</v>
      </c>
      <c r="H140" s="9">
        <f t="shared" si="4"/>
        <v>1</v>
      </c>
      <c r="I140" s="10">
        <f>IFERROR(__xludf.DUMMYFUNCTION("MAX(FILTER($H$2:$H1463,$E$2:$E1463=F140))"),0.0)</f>
        <v>0</v>
      </c>
    </row>
    <row r="141">
      <c r="A141" s="4"/>
      <c r="C141" s="4" t="s">
        <v>647</v>
      </c>
      <c r="D141" s="4" t="str">
        <f t="shared" si="1"/>
        <v>{"valorA":"tão","valorB":2.0}</v>
      </c>
      <c r="E141" s="8" t="str">
        <f t="shared" si="2"/>
        <v>tão</v>
      </c>
      <c r="F141" s="8"/>
      <c r="G141" s="8" t="str">
        <f t="shared" si="3"/>
        <v>2.0</v>
      </c>
      <c r="H141" s="9">
        <f t="shared" si="4"/>
        <v>2</v>
      </c>
      <c r="I141" s="10">
        <f>IFERROR(__xludf.DUMMYFUNCTION("MAX(FILTER($H$2:$H1463,$E$2:$E1463=F141))"),0.0)</f>
        <v>0</v>
      </c>
    </row>
    <row r="142">
      <c r="A142" s="4"/>
      <c r="C142" s="4" t="s">
        <v>203</v>
      </c>
      <c r="D142" s="4" t="str">
        <f t="shared" si="1"/>
        <v>{"valorA":"por","valorB":1.0}</v>
      </c>
      <c r="E142" s="8" t="str">
        <f t="shared" si="2"/>
        <v>por</v>
      </c>
      <c r="F142" s="8"/>
      <c r="G142" s="8" t="str">
        <f t="shared" si="3"/>
        <v>1.0</v>
      </c>
      <c r="H142" s="9">
        <f t="shared" si="4"/>
        <v>1</v>
      </c>
      <c r="I142" s="10">
        <f>IFERROR(__xludf.DUMMYFUNCTION("MAX(FILTER($H$2:$H1463,$E$2:$E1463=F142))"),0.0)</f>
        <v>0</v>
      </c>
    </row>
    <row r="143">
      <c r="A143" s="4"/>
      <c r="C143" s="4" t="s">
        <v>372</v>
      </c>
      <c r="D143" s="4" t="str">
        <f t="shared" si="1"/>
        <v>{"valorA":"o","valorB":4.0}</v>
      </c>
      <c r="E143" s="8" t="str">
        <f t="shared" si="2"/>
        <v>o</v>
      </c>
      <c r="F143" s="8"/>
      <c r="G143" s="8" t="str">
        <f t="shared" si="3"/>
        <v>4.0</v>
      </c>
      <c r="H143" s="9">
        <f t="shared" si="4"/>
        <v>4</v>
      </c>
      <c r="I143" s="10">
        <f>IFERROR(__xludf.DUMMYFUNCTION("MAX(FILTER($H$2:$H1463,$E$2:$E1463=F143))"),0.0)</f>
        <v>0</v>
      </c>
    </row>
    <row r="144">
      <c r="A144" s="4"/>
      <c r="C144" s="4" t="s">
        <v>648</v>
      </c>
      <c r="D144" s="4" t="str">
        <f t="shared" si="1"/>
        <v>{"valorA":"bom","valorB":2.0}</v>
      </c>
      <c r="E144" s="8" t="str">
        <f t="shared" si="2"/>
        <v>bom</v>
      </c>
      <c r="F144" s="8"/>
      <c r="G144" s="8" t="str">
        <f t="shared" si="3"/>
        <v>2.0</v>
      </c>
      <c r="H144" s="9">
        <f t="shared" si="4"/>
        <v>2</v>
      </c>
      <c r="I144" s="10">
        <f>IFERROR(__xludf.DUMMYFUNCTION("MAX(FILTER($H$2:$H1463,$E$2:$E1463=F144))"),0.0)</f>
        <v>0</v>
      </c>
    </row>
    <row r="145">
      <c r="A145" s="4"/>
      <c r="C145" s="4" t="s">
        <v>649</v>
      </c>
      <c r="D145" s="4" t="str">
        <f t="shared" si="1"/>
        <v>{"valorA":"posso","valorB":1.0}</v>
      </c>
      <c r="E145" s="8" t="str">
        <f t="shared" si="2"/>
        <v>posso</v>
      </c>
      <c r="F145" s="8"/>
      <c r="G145" s="8" t="str">
        <f t="shared" si="3"/>
        <v>1.0</v>
      </c>
      <c r="H145" s="9">
        <f t="shared" si="4"/>
        <v>1</v>
      </c>
      <c r="I145" s="10">
        <f>IFERROR(__xludf.DUMMYFUNCTION("MAX(FILTER($H$2:$H1463,$E$2:$E1463=F145))"),0.0)</f>
        <v>0</v>
      </c>
    </row>
    <row r="146">
      <c r="A146" s="4"/>
      <c r="C146" s="4" t="s">
        <v>650</v>
      </c>
      <c r="D146" s="4" t="str">
        <f t="shared" si="1"/>
        <v>{"valorA":"recomendar","valorB":1.0}</v>
      </c>
      <c r="E146" s="8" t="str">
        <f t="shared" si="2"/>
        <v>recomendar</v>
      </c>
      <c r="F146" s="8"/>
      <c r="G146" s="8" t="str">
        <f t="shared" si="3"/>
        <v>1.0</v>
      </c>
      <c r="H146" s="9">
        <f t="shared" si="4"/>
        <v>1</v>
      </c>
      <c r="I146" s="10">
        <f>IFERROR(__xludf.DUMMYFUNCTION("MAX(FILTER($H$2:$H1463,$E$2:$E1463=F146))"),0.0)</f>
        <v>0</v>
      </c>
    </row>
    <row r="147">
      <c r="A147" s="4"/>
      <c r="C147" s="4" t="s">
        <v>651</v>
      </c>
      <c r="D147" s="4" t="str">
        <f t="shared" si="1"/>
        <v>{"valorA":"produto","valorB":11.0}</v>
      </c>
      <c r="E147" s="8" t="str">
        <f t="shared" si="2"/>
        <v>produto</v>
      </c>
      <c r="F147" s="8"/>
      <c r="G147" s="8" t="str">
        <f t="shared" si="3"/>
        <v>11.0</v>
      </c>
      <c r="H147" s="9">
        <f t="shared" si="4"/>
        <v>11</v>
      </c>
      <c r="I147" s="10">
        <f>IFERROR(__xludf.DUMMYFUNCTION("MAX(FILTER($H$2:$H1463,$E$2:$E1463=F147))"),0.0)</f>
        <v>0</v>
      </c>
    </row>
    <row r="148">
      <c r="A148" s="4"/>
      <c r="C148" s="4" t="s">
        <v>652</v>
      </c>
      <c r="D148" s="4" t="str">
        <f t="shared" si="1"/>
        <v>{"valorA":"não","valorB":4.0}</v>
      </c>
      <c r="E148" s="8" t="str">
        <f t="shared" si="2"/>
        <v>não</v>
      </c>
      <c r="F148" s="8"/>
      <c r="G148" s="8" t="str">
        <f t="shared" si="3"/>
        <v>4.0</v>
      </c>
      <c r="H148" s="9">
        <f t="shared" si="4"/>
        <v>4</v>
      </c>
      <c r="I148" s="10">
        <f>IFERROR(__xludf.DUMMYFUNCTION("MAX(FILTER($H$2:$H1463,$E$2:$E1463=F148))"),0.0)</f>
        <v>0</v>
      </c>
    </row>
    <row r="149">
      <c r="A149" s="4"/>
      <c r="C149" s="4" t="s">
        <v>653</v>
      </c>
      <c r="D149" s="4" t="str">
        <f t="shared" si="1"/>
        <v>{"valorA":"um","valorB":2.0}</v>
      </c>
      <c r="E149" s="8" t="str">
        <f t="shared" si="2"/>
        <v>um</v>
      </c>
      <c r="F149" s="8"/>
      <c r="G149" s="8" t="str">
        <f t="shared" si="3"/>
        <v>2.0</v>
      </c>
      <c r="H149" s="9">
        <f t="shared" si="4"/>
        <v>2</v>
      </c>
      <c r="I149" s="10">
        <f>IFERROR(__xludf.DUMMYFUNCTION("MAX(FILTER($H$2:$H1463,$E$2:$E1463=F149))"),0.0)</f>
        <v>0</v>
      </c>
    </row>
    <row r="150">
      <c r="A150" s="4"/>
      <c r="C150" s="4" t="s">
        <v>654</v>
      </c>
      <c r="D150" s="4" t="str">
        <f t="shared" si="1"/>
        <v>{"valorA":"preço","valorB":8.0}</v>
      </c>
      <c r="E150" s="8" t="str">
        <f t="shared" si="2"/>
        <v>preço</v>
      </c>
      <c r="F150" s="8"/>
      <c r="G150" s="8" t="str">
        <f t="shared" si="3"/>
        <v>8.0</v>
      </c>
      <c r="H150" s="9">
        <f t="shared" si="4"/>
        <v>8</v>
      </c>
      <c r="I150" s="10">
        <f>IFERROR(__xludf.DUMMYFUNCTION("MAX(FILTER($H$2:$H1463,$E$2:$E1463=F150))"),0.0)</f>
        <v>0</v>
      </c>
    </row>
    <row r="151">
      <c r="A151" s="4"/>
      <c r="C151" s="4" t="s">
        <v>284</v>
      </c>
      <c r="D151" s="4" t="str">
        <f t="shared" si="1"/>
        <v>{"valorA":"ótimo","valorB":17.0}</v>
      </c>
      <c r="E151" s="8" t="str">
        <f t="shared" si="2"/>
        <v>ótimo</v>
      </c>
      <c r="F151" s="8"/>
      <c r="G151" s="8" t="str">
        <f t="shared" si="3"/>
        <v>17.0</v>
      </c>
      <c r="H151" s="9">
        <f t="shared" si="4"/>
        <v>17</v>
      </c>
      <c r="I151" s="10">
        <f>IFERROR(__xludf.DUMMYFUNCTION("MAX(FILTER($H$2:$H1463,$E$2:$E1463=F151))"),0.0)</f>
        <v>0</v>
      </c>
    </row>
    <row r="152">
      <c r="A152" s="4"/>
      <c r="C152" s="4" t="s">
        <v>419</v>
      </c>
      <c r="D152" s="4" t="str">
        <f t="shared" si="1"/>
        <v>{"valorA":"para","valorB":6.0}</v>
      </c>
      <c r="E152" s="8" t="str">
        <f t="shared" si="2"/>
        <v>para</v>
      </c>
      <c r="F152" s="8"/>
      <c r="G152" s="8" t="str">
        <f t="shared" si="3"/>
        <v>6.0</v>
      </c>
      <c r="H152" s="9">
        <f t="shared" si="4"/>
        <v>6</v>
      </c>
      <c r="I152" s="10">
        <f>IFERROR(__xludf.DUMMYFUNCTION("MAX(FILTER($H$2:$H1463,$E$2:$E1463=F152))"),0.0)</f>
        <v>0</v>
      </c>
    </row>
    <row r="153">
      <c r="A153" s="4"/>
      <c r="C153" s="4" t="s">
        <v>268</v>
      </c>
      <c r="D153" s="4" t="str">
        <f t="shared" si="1"/>
        <v>{"valorA":"bem","valorB":3.0}</v>
      </c>
      <c r="E153" s="8" t="str">
        <f t="shared" si="2"/>
        <v>bem</v>
      </c>
      <c r="F153" s="8"/>
      <c r="G153" s="8" t="str">
        <f t="shared" si="3"/>
        <v>3.0</v>
      </c>
      <c r="H153" s="9">
        <f t="shared" si="4"/>
        <v>3</v>
      </c>
      <c r="I153" s="10">
        <f>IFERROR(__xludf.DUMMYFUNCTION("MAX(FILTER($H$2:$H1463,$E$2:$E1463=F153))"),0.0)</f>
        <v>0</v>
      </c>
    </row>
    <row r="154">
      <c r="A154" s="4"/>
      <c r="C154" s="4" t="s">
        <v>655</v>
      </c>
      <c r="D154" s="4" t="str">
        <f t="shared" si="1"/>
        <v>{"valorA":"o","valorB":5.0}</v>
      </c>
      <c r="E154" s="8" t="str">
        <f t="shared" si="2"/>
        <v>o</v>
      </c>
      <c r="F154" s="8"/>
      <c r="G154" s="8" t="str">
        <f t="shared" si="3"/>
        <v>5.0</v>
      </c>
      <c r="H154" s="9">
        <f t="shared" si="4"/>
        <v>5</v>
      </c>
      <c r="I154" s="10">
        <f>IFERROR(__xludf.DUMMYFUNCTION("MAX(FILTER($H$2:$H1463,$E$2:$E1463=F154))"),0.0)</f>
        <v>0</v>
      </c>
    </row>
    <row r="155">
      <c r="A155" s="4"/>
      <c r="C155" s="4" t="s">
        <v>481</v>
      </c>
      <c r="D155" s="4" t="str">
        <f t="shared" si="1"/>
        <v>{"valorA":"que","valorB":4.0}</v>
      </c>
      <c r="E155" s="8" t="str">
        <f t="shared" si="2"/>
        <v>que</v>
      </c>
      <c r="F155" s="8"/>
      <c r="G155" s="8" t="str">
        <f t="shared" si="3"/>
        <v>4.0</v>
      </c>
      <c r="H155" s="9">
        <f t="shared" si="4"/>
        <v>4</v>
      </c>
      <c r="I155" s="10">
        <f>IFERROR(__xludf.DUMMYFUNCTION("MAX(FILTER($H$2:$H1463,$E$2:$E1463=F155))"),0.0)</f>
        <v>0</v>
      </c>
    </row>
    <row r="156">
      <c r="A156" s="4"/>
      <c r="C156" s="4" t="s">
        <v>282</v>
      </c>
      <c r="D156" s="4" t="str">
        <f t="shared" si="1"/>
        <v>{"valorA":"produto","valorB":12.0}</v>
      </c>
      <c r="E156" s="8" t="str">
        <f t="shared" si="2"/>
        <v>produto</v>
      </c>
      <c r="F156" s="8"/>
      <c r="G156" s="8" t="str">
        <f t="shared" si="3"/>
        <v>12.0</v>
      </c>
      <c r="H156" s="9">
        <f t="shared" si="4"/>
        <v>12</v>
      </c>
      <c r="I156" s="10">
        <f>IFERROR(__xludf.DUMMYFUNCTION("MAX(FILTER($H$2:$H1463,$E$2:$E1463=F156))"),0.0)</f>
        <v>0</v>
      </c>
    </row>
    <row r="157">
      <c r="A157" s="4"/>
      <c r="C157" s="4" t="s">
        <v>656</v>
      </c>
      <c r="D157" s="4" t="str">
        <f t="shared" si="1"/>
        <v>{"valorA":"paguei","valorB":3.0}</v>
      </c>
      <c r="E157" s="8" t="str">
        <f t="shared" si="2"/>
        <v>paguei</v>
      </c>
      <c r="F157" s="8"/>
      <c r="G157" s="8" t="str">
        <f t="shared" si="3"/>
        <v>3.0</v>
      </c>
      <c r="H157" s="9">
        <f t="shared" si="4"/>
        <v>3</v>
      </c>
      <c r="I157" s="10">
        <f>IFERROR(__xludf.DUMMYFUNCTION("MAX(FILTER($H$2:$H1463,$E$2:$E1463=F157))"),0.0)</f>
        <v>0</v>
      </c>
    </row>
    <row r="158">
      <c r="A158" s="4"/>
      <c r="C158" s="4" t="s">
        <v>288</v>
      </c>
      <c r="D158" s="4" t="str">
        <f t="shared" si="1"/>
        <v>{"valorA":"funciona","valorB":4.0}</v>
      </c>
      <c r="E158" s="8" t="str">
        <f t="shared" si="2"/>
        <v>funciona</v>
      </c>
      <c r="F158" s="8"/>
      <c r="G158" s="8" t="str">
        <f t="shared" si="3"/>
        <v>4.0</v>
      </c>
      <c r="H158" s="9">
        <f t="shared" si="4"/>
        <v>4</v>
      </c>
      <c r="I158" s="10">
        <f>IFERROR(__xludf.DUMMYFUNCTION("MAX(FILTER($H$2:$H1463,$E$2:$E1463=F158))"),0.0)</f>
        <v>0</v>
      </c>
    </row>
    <row r="159">
      <c r="A159" s="4"/>
      <c r="C159" s="4" t="s">
        <v>657</v>
      </c>
      <c r="D159" s="4" t="str">
        <f t="shared" si="1"/>
        <v>{"valorA":"preço","valorB":9.0}</v>
      </c>
      <c r="E159" s="8" t="str">
        <f t="shared" si="2"/>
        <v>preço</v>
      </c>
      <c r="F159" s="8"/>
      <c r="G159" s="8" t="str">
        <f t="shared" si="3"/>
        <v>9.0</v>
      </c>
      <c r="H159" s="9">
        <f t="shared" si="4"/>
        <v>9</v>
      </c>
      <c r="I159" s="10">
        <f>IFERROR(__xludf.DUMMYFUNCTION("MAX(FILTER($H$2:$H1463,$E$2:$E1463=F159))"),0.0)</f>
        <v>0</v>
      </c>
    </row>
    <row r="160">
      <c r="A160" s="4"/>
      <c r="C160" s="4" t="s">
        <v>658</v>
      </c>
      <c r="D160" s="4" t="str">
        <f t="shared" si="1"/>
        <v>{"valorA":"ótimo","valorB":18.0}</v>
      </c>
      <c r="E160" s="8" t="str">
        <f t="shared" si="2"/>
        <v>ótimo</v>
      </c>
      <c r="F160" s="8"/>
      <c r="G160" s="8" t="str">
        <f t="shared" si="3"/>
        <v>18.0</v>
      </c>
      <c r="H160" s="9">
        <f t="shared" si="4"/>
        <v>18</v>
      </c>
      <c r="I160" s="10">
        <f>IFERROR(__xludf.DUMMYFUNCTION("MAX(FILTER($H$2:$H1463,$E$2:$E1463=F160))"),0.0)</f>
        <v>0</v>
      </c>
    </row>
    <row r="161">
      <c r="A161" s="4"/>
      <c r="C161" s="4" t="s">
        <v>659</v>
      </c>
      <c r="D161" s="4" t="str">
        <f t="shared" si="1"/>
        <v>{"valorA":"valeu","valorB":3.0}</v>
      </c>
      <c r="E161" s="8" t="str">
        <f t="shared" si="2"/>
        <v>valeu</v>
      </c>
      <c r="F161" s="8"/>
      <c r="G161" s="8" t="str">
        <f t="shared" si="3"/>
        <v>3.0</v>
      </c>
      <c r="H161" s="9">
        <f t="shared" si="4"/>
        <v>3</v>
      </c>
      <c r="I161" s="10">
        <f>IFERROR(__xludf.DUMMYFUNCTION("MAX(FILTER($H$2:$H1463,$E$2:$E1463=F161))"),0.0)</f>
        <v>0</v>
      </c>
    </row>
    <row r="162">
      <c r="A162" s="4"/>
      <c r="C162" s="4" t="s">
        <v>660</v>
      </c>
      <c r="D162" s="4" t="str">
        <f t="shared" si="1"/>
        <v>{"valorA":"espera","valorB":3.0}</v>
      </c>
      <c r="E162" s="8" t="str">
        <f t="shared" si="2"/>
        <v>espera</v>
      </c>
      <c r="F162" s="8"/>
      <c r="G162" s="8" t="str">
        <f t="shared" si="3"/>
        <v>3.0</v>
      </c>
      <c r="H162" s="9">
        <f t="shared" si="4"/>
        <v>3</v>
      </c>
      <c r="I162" s="10">
        <f>IFERROR(__xludf.DUMMYFUNCTION("MAX(FILTER($H$2:$H1463,$E$2:$E1463=F162))"),0.0)</f>
        <v>0</v>
      </c>
    </row>
    <row r="163">
      <c r="A163" s="4"/>
      <c r="C163" s="4" t="s">
        <v>661</v>
      </c>
      <c r="D163" s="4" t="str">
        <f t="shared" si="1"/>
        <v>{"valorA":"produto","valorB":13.0}</v>
      </c>
      <c r="E163" s="8" t="str">
        <f t="shared" si="2"/>
        <v>produto</v>
      </c>
      <c r="F163" s="8"/>
      <c r="G163" s="8" t="str">
        <f t="shared" si="3"/>
        <v>13.0</v>
      </c>
      <c r="H163" s="9">
        <f t="shared" si="4"/>
        <v>13</v>
      </c>
      <c r="I163" s="10">
        <f>IFERROR(__xludf.DUMMYFUNCTION("MAX(FILTER($H$2:$H1463,$E$2:$E1463=F163))"),0.0)</f>
        <v>0</v>
      </c>
    </row>
    <row r="164">
      <c r="A164" s="4"/>
      <c r="C164" s="4" t="s">
        <v>316</v>
      </c>
      <c r="D164" s="4" t="str">
        <f t="shared" si="1"/>
        <v>{"valorA":"gostei","valorB":3.0}</v>
      </c>
      <c r="E164" s="8" t="str">
        <f t="shared" si="2"/>
        <v>gostei</v>
      </c>
      <c r="F164" s="8"/>
      <c r="G164" s="8" t="str">
        <f t="shared" si="3"/>
        <v>3.0</v>
      </c>
      <c r="H164" s="9">
        <f t="shared" si="4"/>
        <v>3</v>
      </c>
      <c r="I164" s="10">
        <f>IFERROR(__xludf.DUMMYFUNCTION("MAX(FILTER($H$2:$H1463,$E$2:$E1463=F164))"),0.0)</f>
        <v>0</v>
      </c>
    </row>
    <row r="165">
      <c r="A165" s="4"/>
      <c r="C165" s="4" t="s">
        <v>662</v>
      </c>
      <c r="D165" s="4" t="str">
        <f t="shared" si="1"/>
        <v>{"valorA":"muito","valorB":6.0}</v>
      </c>
      <c r="E165" s="8" t="str">
        <f t="shared" si="2"/>
        <v>muito</v>
      </c>
      <c r="F165" s="8"/>
      <c r="G165" s="8" t="str">
        <f t="shared" si="3"/>
        <v>6.0</v>
      </c>
      <c r="H165" s="9">
        <f t="shared" si="4"/>
        <v>6</v>
      </c>
      <c r="I165" s="10">
        <f>IFERROR(__xludf.DUMMYFUNCTION("MAX(FILTER($H$2:$H1463,$E$2:$E1463=F165))"),0.0)</f>
        <v>0</v>
      </c>
    </row>
    <row r="166">
      <c r="A166" s="4"/>
      <c r="C166" s="4" t="s">
        <v>663</v>
      </c>
      <c r="D166" s="4" t="str">
        <f t="shared" si="1"/>
        <v>{"valorA":"a","valorB":8.0}</v>
      </c>
      <c r="E166" s="8" t="str">
        <f t="shared" si="2"/>
        <v>a</v>
      </c>
      <c r="F166" s="8"/>
      <c r="G166" s="8" t="str">
        <f t="shared" si="3"/>
        <v>8.0</v>
      </c>
      <c r="H166" s="9">
        <f t="shared" si="4"/>
        <v>8</v>
      </c>
      <c r="I166" s="10">
        <f>IFERROR(__xludf.DUMMYFUNCTION("MAX(FILTER($H$2:$H1463,$E$2:$E1463=F166))"),0.0)</f>
        <v>0</v>
      </c>
    </row>
    <row r="167">
      <c r="A167" s="4"/>
      <c r="C167" s="4" t="s">
        <v>469</v>
      </c>
      <c r="D167" s="4" t="str">
        <f t="shared" si="1"/>
        <v>{"valorA":"para","valorB":7.0}</v>
      </c>
      <c r="E167" s="8" t="str">
        <f t="shared" si="2"/>
        <v>para</v>
      </c>
      <c r="F167" s="8"/>
      <c r="G167" s="8" t="str">
        <f t="shared" si="3"/>
        <v>7.0</v>
      </c>
      <c r="H167" s="9">
        <f t="shared" si="4"/>
        <v>7</v>
      </c>
      <c r="I167" s="10">
        <f>IFERROR(__xludf.DUMMYFUNCTION("MAX(FILTER($H$2:$H1463,$E$2:$E1463=F167))"),0.0)</f>
        <v>0</v>
      </c>
    </row>
    <row r="168">
      <c r="A168" s="4"/>
      <c r="C168" s="4" t="s">
        <v>182</v>
      </c>
      <c r="D168" s="4" t="str">
        <f t="shared" si="1"/>
        <v>{"valorA":"usar","valorB":2.0}</v>
      </c>
      <c r="E168" s="8" t="str">
        <f t="shared" si="2"/>
        <v>usar</v>
      </c>
      <c r="F168" s="8"/>
      <c r="G168" s="8" t="str">
        <f t="shared" si="3"/>
        <v>2.0</v>
      </c>
      <c r="H168" s="9">
        <f t="shared" si="4"/>
        <v>2</v>
      </c>
      <c r="I168" s="10">
        <f>IFERROR(__xludf.DUMMYFUNCTION("MAX(FILTER($H$2:$H1463,$E$2:$E1463=F168))"),0.0)</f>
        <v>0</v>
      </c>
    </row>
    <row r="169">
      <c r="A169" s="4"/>
      <c r="C169" s="4" t="s">
        <v>664</v>
      </c>
      <c r="D169" s="4" t="str">
        <f t="shared" si="1"/>
        <v>{"valorA":"bom","valorB":3.0}</v>
      </c>
      <c r="E169" s="8" t="str">
        <f t="shared" si="2"/>
        <v>bom</v>
      </c>
      <c r="F169" s="8"/>
      <c r="G169" s="8" t="str">
        <f t="shared" si="3"/>
        <v>3.0</v>
      </c>
      <c r="H169" s="9">
        <f t="shared" si="4"/>
        <v>3</v>
      </c>
      <c r="I169" s="10">
        <f>IFERROR(__xludf.DUMMYFUNCTION("MAX(FILTER($H$2:$H1463,$E$2:$E1463=F169))"),0.0)</f>
        <v>0</v>
      </c>
    </row>
    <row r="170">
      <c r="A170" s="4"/>
      <c r="C170" s="4" t="s">
        <v>665</v>
      </c>
      <c r="D170" s="4" t="str">
        <f t="shared" si="1"/>
        <v>{"valorA":"quem","valorB":2.0}</v>
      </c>
      <c r="E170" s="8" t="str">
        <f t="shared" si="2"/>
        <v>quem</v>
      </c>
      <c r="F170" s="8"/>
      <c r="G170" s="8" t="str">
        <f t="shared" si="3"/>
        <v>2.0</v>
      </c>
      <c r="H170" s="9">
        <f t="shared" si="4"/>
        <v>2</v>
      </c>
      <c r="I170" s="10">
        <f>IFERROR(__xludf.DUMMYFUNCTION("MAX(FILTER($H$2:$H1463,$E$2:$E1463=F170))"),0.0)</f>
        <v>0</v>
      </c>
    </row>
    <row r="171">
      <c r="A171" s="4"/>
      <c r="C171" s="4" t="s">
        <v>255</v>
      </c>
      <c r="D171" s="4" t="str">
        <f t="shared" si="1"/>
        <v>{"valorA":"de","valorB":3.0}</v>
      </c>
      <c r="E171" s="8" t="str">
        <f t="shared" si="2"/>
        <v>de</v>
      </c>
      <c r="F171" s="8"/>
      <c r="G171" s="8" t="str">
        <f t="shared" si="3"/>
        <v>3.0</v>
      </c>
      <c r="H171" s="9">
        <f t="shared" si="4"/>
        <v>3</v>
      </c>
      <c r="I171" s="10">
        <f>IFERROR(__xludf.DUMMYFUNCTION("MAX(FILTER($H$2:$H1463,$E$2:$E1463=F171))"),0.0)</f>
        <v>0</v>
      </c>
    </row>
    <row r="172">
      <c r="A172" s="4"/>
      <c r="C172" s="4" t="s">
        <v>666</v>
      </c>
      <c r="D172" s="4" t="str">
        <f t="shared" si="1"/>
        <v>{"valorA":"e","valorB":7.0}</v>
      </c>
      <c r="E172" s="8" t="str">
        <f t="shared" si="2"/>
        <v>e</v>
      </c>
      <c r="F172" s="8"/>
      <c r="G172" s="8" t="str">
        <f t="shared" si="3"/>
        <v>7.0</v>
      </c>
      <c r="H172" s="9">
        <f t="shared" si="4"/>
        <v>7</v>
      </c>
      <c r="I172" s="10">
        <f>IFERROR(__xludf.DUMMYFUNCTION("MAX(FILTER($H$2:$H1463,$E$2:$E1463=F172))"),0.0)</f>
        <v>0</v>
      </c>
    </row>
    <row r="173">
      <c r="A173" s="4"/>
      <c r="C173" s="4" t="s">
        <v>313</v>
      </c>
      <c r="D173" s="4" t="str">
        <f t="shared" si="1"/>
        <v>{"valorA":"produto","valorB":14.0}</v>
      </c>
      <c r="E173" s="8" t="str">
        <f t="shared" si="2"/>
        <v>produto</v>
      </c>
      <c r="F173" s="8"/>
      <c r="G173" s="8" t="str">
        <f t="shared" si="3"/>
        <v>14.0</v>
      </c>
      <c r="H173" s="9">
        <f t="shared" si="4"/>
        <v>14</v>
      </c>
      <c r="I173" s="10">
        <f>IFERROR(__xludf.DUMMYFUNCTION("MAX(FILTER($H$2:$H1463,$E$2:$E1463=F173))"),0.0)</f>
        <v>0</v>
      </c>
    </row>
    <row r="174">
      <c r="A174" s="4"/>
      <c r="C174" s="4" t="s">
        <v>298</v>
      </c>
      <c r="D174" s="4" t="str">
        <f t="shared" si="1"/>
        <v>{"valorA":"ótimo","valorB":19.0}</v>
      </c>
      <c r="E174" s="8" t="str">
        <f t="shared" si="2"/>
        <v>ótimo</v>
      </c>
      <c r="F174" s="8"/>
      <c r="G174" s="8" t="str">
        <f t="shared" si="3"/>
        <v>19.0</v>
      </c>
      <c r="H174" s="9">
        <f t="shared" si="4"/>
        <v>19</v>
      </c>
      <c r="I174" s="10">
        <f>IFERROR(__xludf.DUMMYFUNCTION("MAX(FILTER($H$2:$H1463,$E$2:$E1463=F174))"),0.0)</f>
        <v>0</v>
      </c>
    </row>
    <row r="175">
      <c r="A175" s="4"/>
      <c r="C175" s="4" t="s">
        <v>667</v>
      </c>
      <c r="D175" s="4" t="str">
        <f t="shared" si="1"/>
        <v>{"valorA":"som","valorB":1.0}</v>
      </c>
      <c r="E175" s="8" t="str">
        <f t="shared" si="2"/>
        <v>som</v>
      </c>
      <c r="F175" s="8"/>
      <c r="G175" s="8" t="str">
        <f t="shared" si="3"/>
        <v>1.0</v>
      </c>
      <c r="H175" s="9">
        <f t="shared" si="4"/>
        <v>1</v>
      </c>
      <c r="I175" s="10">
        <f>IFERROR(__xludf.DUMMYFUNCTION("MAX(FILTER($H$2:$H1463,$E$2:$E1463=F175))"),0.0)</f>
        <v>0</v>
      </c>
    </row>
    <row r="176">
      <c r="A176" s="4"/>
      <c r="C176" s="4" t="s">
        <v>396</v>
      </c>
      <c r="D176" s="4" t="str">
        <f t="shared" si="1"/>
        <v>{"valorA":"fácil","valorB":2.0}</v>
      </c>
      <c r="E176" s="8" t="str">
        <f t="shared" si="2"/>
        <v>fácil</v>
      </c>
      <c r="F176" s="8"/>
      <c r="G176" s="8" t="str">
        <f t="shared" si="3"/>
        <v>2.0</v>
      </c>
      <c r="H176" s="9">
        <f t="shared" si="4"/>
        <v>2</v>
      </c>
      <c r="I176" s="10">
        <f>IFERROR(__xludf.DUMMYFUNCTION("MAX(FILTER($H$2:$H1463,$E$2:$E1463=F176))"),0.0)</f>
        <v>0</v>
      </c>
    </row>
    <row r="177">
      <c r="A177" s="4"/>
      <c r="C177" s="4" t="s">
        <v>668</v>
      </c>
      <c r="D177" s="4" t="str">
        <f t="shared" si="1"/>
        <v>{"valorA":"sistema","valorB":1.0}</v>
      </c>
      <c r="E177" s="8" t="str">
        <f t="shared" si="2"/>
        <v>sistema</v>
      </c>
      <c r="F177" s="8"/>
      <c r="G177" s="8" t="str">
        <f t="shared" si="3"/>
        <v>1.0</v>
      </c>
      <c r="H177" s="9">
        <f t="shared" si="4"/>
        <v>1</v>
      </c>
      <c r="I177" s="10">
        <f>IFERROR(__xludf.DUMMYFUNCTION("MAX(FILTER($H$2:$H1463,$E$2:$E1463=F177))"),0.0)</f>
        <v>0</v>
      </c>
    </row>
    <row r="178">
      <c r="A178" s="4"/>
      <c r="C178" s="4" t="s">
        <v>669</v>
      </c>
      <c r="D178" s="4" t="str">
        <f t="shared" si="1"/>
        <v>{"valorA":"busca","valorB":1.0}</v>
      </c>
      <c r="E178" s="8" t="str">
        <f t="shared" si="2"/>
        <v>busca</v>
      </c>
      <c r="F178" s="8"/>
      <c r="G178" s="8" t="str">
        <f t="shared" si="3"/>
        <v>1.0</v>
      </c>
      <c r="H178" s="9">
        <f t="shared" si="4"/>
        <v>1</v>
      </c>
      <c r="I178" s="10">
        <f>IFERROR(__xludf.DUMMYFUNCTION("MAX(FILTER($H$2:$H1463,$E$2:$E1463=F178))"),0.0)</f>
        <v>0</v>
      </c>
    </row>
    <row r="179">
      <c r="A179" s="4"/>
      <c r="C179" s="4" t="s">
        <v>670</v>
      </c>
      <c r="D179" s="4" t="str">
        <f t="shared" si="1"/>
        <v>{"valorA":"um","valorB":3.0}</v>
      </c>
      <c r="E179" s="8" t="str">
        <f t="shared" si="2"/>
        <v>um</v>
      </c>
      <c r="F179" s="8"/>
      <c r="G179" s="8" t="str">
        <f t="shared" si="3"/>
        <v>3.0</v>
      </c>
      <c r="H179" s="9">
        <f t="shared" si="4"/>
        <v>3</v>
      </c>
      <c r="I179" s="10">
        <f>IFERROR(__xludf.DUMMYFUNCTION("MAX(FILTER($H$2:$H1463,$E$2:$E1463=F179))"),0.0)</f>
        <v>0</v>
      </c>
    </row>
    <row r="180">
      <c r="A180" s="4"/>
      <c r="C180" s="4" t="s">
        <v>671</v>
      </c>
      <c r="D180" s="4" t="str">
        <f t="shared" si="1"/>
        <v>{"valorA":"ótimo","valorB":20.0}</v>
      </c>
      <c r="E180" s="8" t="str">
        <f t="shared" si="2"/>
        <v>ótimo</v>
      </c>
      <c r="F180" s="8"/>
      <c r="G180" s="8" t="str">
        <f t="shared" si="3"/>
        <v>20.0</v>
      </c>
      <c r="H180" s="9">
        <f t="shared" si="4"/>
        <v>20</v>
      </c>
      <c r="I180" s="10">
        <f>IFERROR(__xludf.DUMMYFUNCTION("MAX(FILTER($H$2:$H1463,$E$2:$E1463=F180))"),0.0)</f>
        <v>0</v>
      </c>
    </row>
    <row r="181">
      <c r="A181" s="4"/>
      <c r="C181" s="4" t="s">
        <v>672</v>
      </c>
      <c r="D181" s="4" t="str">
        <f t="shared" si="1"/>
        <v>{"valorA":"comprar","valorB":1.0}</v>
      </c>
      <c r="E181" s="8" t="str">
        <f t="shared" si="2"/>
        <v>comprar</v>
      </c>
      <c r="F181" s="8"/>
      <c r="G181" s="8" t="str">
        <f t="shared" si="3"/>
        <v>1.0</v>
      </c>
      <c r="H181" s="9">
        <f t="shared" si="4"/>
        <v>1</v>
      </c>
      <c r="I181" s="10">
        <f>IFERROR(__xludf.DUMMYFUNCTION("MAX(FILTER($H$2:$H1463,$E$2:$E1463=F181))"),0.0)</f>
        <v>0</v>
      </c>
    </row>
    <row r="182">
      <c r="A182" s="4"/>
      <c r="C182" s="4" t="s">
        <v>673</v>
      </c>
      <c r="D182" s="4" t="str">
        <f t="shared" si="1"/>
        <v>{"valorA":"gostaria","valorB":1.0}</v>
      </c>
      <c r="E182" s="8" t="str">
        <f t="shared" si="2"/>
        <v>gostaria</v>
      </c>
      <c r="F182" s="8"/>
      <c r="G182" s="8" t="str">
        <f t="shared" si="3"/>
        <v>1.0</v>
      </c>
      <c r="H182" s="9">
        <f t="shared" si="4"/>
        <v>1</v>
      </c>
      <c r="I182" s="10">
        <f>IFERROR(__xludf.DUMMYFUNCTION("MAX(FILTER($H$2:$H1463,$E$2:$E1463=F182))"),0.0)</f>
        <v>0</v>
      </c>
    </row>
    <row r="183">
      <c r="A183" s="4"/>
      <c r="C183" s="4" t="s">
        <v>329</v>
      </c>
      <c r="D183" s="4" t="str">
        <f t="shared" si="1"/>
        <v>{"valorA":"outro","valorB":1.0}</v>
      </c>
      <c r="E183" s="8" t="str">
        <f t="shared" si="2"/>
        <v>outro</v>
      </c>
      <c r="F183" s="8"/>
      <c r="G183" s="8" t="str">
        <f t="shared" si="3"/>
        <v>1.0</v>
      </c>
      <c r="H183" s="9">
        <f t="shared" si="4"/>
        <v>1</v>
      </c>
      <c r="I183" s="10">
        <f>IFERROR(__xludf.DUMMYFUNCTION("MAX(FILTER($H$2:$H1463,$E$2:$E1463=F183))"),0.0)</f>
        <v>0</v>
      </c>
    </row>
    <row r="184">
      <c r="A184" s="4"/>
      <c r="C184" s="4" t="s">
        <v>281</v>
      </c>
      <c r="D184" s="4" t="str">
        <f t="shared" si="1"/>
        <v>{"valorA":"de","valorB":4.0}</v>
      </c>
      <c r="E184" s="8" t="str">
        <f t="shared" si="2"/>
        <v>de</v>
      </c>
      <c r="F184" s="8"/>
      <c r="G184" s="8" t="str">
        <f t="shared" si="3"/>
        <v>4.0</v>
      </c>
      <c r="H184" s="9">
        <f t="shared" si="4"/>
        <v>4</v>
      </c>
      <c r="I184" s="10">
        <f>IFERROR(__xludf.DUMMYFUNCTION("MAX(FILTER($H$2:$H1463,$E$2:$E1463=F184))"),0.0)</f>
        <v>0</v>
      </c>
    </row>
    <row r="185">
      <c r="A185" s="4"/>
      <c r="C185" s="4" t="s">
        <v>674</v>
      </c>
      <c r="D185" s="4" t="str">
        <f t="shared" si="1"/>
        <v>{"valorA":"televisor","valorB":2.0}</v>
      </c>
      <c r="E185" s="8" t="str">
        <f t="shared" si="2"/>
        <v>televisor</v>
      </c>
      <c r="F185" s="8"/>
      <c r="G185" s="8" t="str">
        <f t="shared" si="3"/>
        <v>2.0</v>
      </c>
      <c r="H185" s="9">
        <f t="shared" si="4"/>
        <v>2</v>
      </c>
      <c r="I185" s="10">
        <f>IFERROR(__xludf.DUMMYFUNCTION("MAX(FILTER($H$2:$H1463,$E$2:$E1463=F185))"),0.0)</f>
        <v>0</v>
      </c>
    </row>
    <row r="186">
      <c r="A186" s="4"/>
      <c r="C186" s="4" t="s">
        <v>675</v>
      </c>
      <c r="D186" s="4" t="str">
        <f t="shared" si="1"/>
        <v>{"valorA":"marca","valorB":1.0}</v>
      </c>
      <c r="E186" s="8" t="str">
        <f t="shared" si="2"/>
        <v>marca</v>
      </c>
      <c r="F186" s="8"/>
      <c r="G186" s="8" t="str">
        <f t="shared" si="3"/>
        <v>1.0</v>
      </c>
      <c r="H186" s="9">
        <f t="shared" si="4"/>
        <v>1</v>
      </c>
      <c r="I186" s="10">
        <f>IFERROR(__xludf.DUMMYFUNCTION("MAX(FILTER($H$2:$H1463,$E$2:$E1463=F186))"),0.0)</f>
        <v>0</v>
      </c>
    </row>
    <row r="187">
      <c r="A187" s="4"/>
      <c r="C187" s="4" t="s">
        <v>676</v>
      </c>
      <c r="D187" s="4" t="str">
        <f t="shared" si="1"/>
        <v>{"valorA":"mesma","valorB":1.0}</v>
      </c>
      <c r="E187" s="8" t="str">
        <f t="shared" si="2"/>
        <v>mesma</v>
      </c>
      <c r="F187" s="8"/>
      <c r="G187" s="8" t="str">
        <f t="shared" si="3"/>
        <v>1.0</v>
      </c>
      <c r="H187" s="9">
        <f t="shared" si="4"/>
        <v>1</v>
      </c>
      <c r="I187" s="10">
        <f>IFERROR(__xludf.DUMMYFUNCTION("MAX(FILTER($H$2:$H1463,$E$2:$E1463=F187))"),0.0)</f>
        <v>0</v>
      </c>
    </row>
    <row r="188">
      <c r="A188" s="4"/>
      <c r="C188" s="4" t="s">
        <v>402</v>
      </c>
      <c r="D188" s="4" t="str">
        <f t="shared" si="1"/>
        <v>{"valorA":"da","valorB":2.0}</v>
      </c>
      <c r="E188" s="8" t="str">
        <f t="shared" si="2"/>
        <v>da</v>
      </c>
      <c r="F188" s="8"/>
      <c r="G188" s="8" t="str">
        <f t="shared" si="3"/>
        <v>2.0</v>
      </c>
      <c r="H188" s="9">
        <f t="shared" si="4"/>
        <v>2</v>
      </c>
      <c r="I188" s="10">
        <f>IFERROR(__xludf.DUMMYFUNCTION("MAX(FILTER($H$2:$H1463,$E$2:$E1463=F188))"),0.0)</f>
        <v>0</v>
      </c>
    </row>
    <row r="189">
      <c r="A189" s="4"/>
      <c r="C189" s="4" t="s">
        <v>677</v>
      </c>
      <c r="D189" s="4" t="str">
        <f t="shared" si="1"/>
        <v>{"valorA":"ótimo","valorB":21.0}</v>
      </c>
      <c r="E189" s="8" t="str">
        <f t="shared" si="2"/>
        <v>ótimo</v>
      </c>
      <c r="F189" s="8"/>
      <c r="G189" s="8" t="str">
        <f t="shared" si="3"/>
        <v>21.0</v>
      </c>
      <c r="H189" s="9">
        <f t="shared" si="4"/>
        <v>21</v>
      </c>
      <c r="I189" s="10">
        <f>IFERROR(__xludf.DUMMYFUNCTION("MAX(FILTER($H$2:$H1463,$E$2:$E1463=F189))"),0.0)</f>
        <v>0</v>
      </c>
    </row>
    <row r="190">
      <c r="A190" s="4"/>
      <c r="C190" s="4" t="s">
        <v>678</v>
      </c>
      <c r="D190" s="4" t="str">
        <f t="shared" si="1"/>
        <v>{"valorA":"para","valorB":8.0}</v>
      </c>
      <c r="E190" s="8" t="str">
        <f t="shared" si="2"/>
        <v>para</v>
      </c>
      <c r="F190" s="8"/>
      <c r="G190" s="8" t="str">
        <f t="shared" si="3"/>
        <v>8.0</v>
      </c>
      <c r="H190" s="9">
        <f t="shared" si="4"/>
        <v>8</v>
      </c>
      <c r="I190" s="10">
        <f>IFERROR(__xludf.DUMMYFUNCTION("MAX(FILTER($H$2:$H1463,$E$2:$E1463=F190))"),0.0)</f>
        <v>0</v>
      </c>
    </row>
    <row r="191">
      <c r="A191" s="4"/>
      <c r="C191" s="4" t="s">
        <v>345</v>
      </c>
      <c r="D191" s="4" t="str">
        <f t="shared" si="1"/>
        <v>{"valorA":"recomendo","valorB":4.0}</v>
      </c>
      <c r="E191" s="8" t="str">
        <f t="shared" si="2"/>
        <v>recomendo</v>
      </c>
      <c r="F191" s="8"/>
      <c r="G191" s="8" t="str">
        <f t="shared" si="3"/>
        <v>4.0</v>
      </c>
      <c r="H191" s="9">
        <f t="shared" si="4"/>
        <v>4</v>
      </c>
      <c r="I191" s="10">
        <f>IFERROR(__xludf.DUMMYFUNCTION("MAX(FILTER($H$2:$H1463,$E$2:$E1463=F191))"),0.0)</f>
        <v>0</v>
      </c>
    </row>
    <row r="192">
      <c r="A192" s="4"/>
      <c r="C192" s="4" t="s">
        <v>679</v>
      </c>
      <c r="D192" s="4" t="str">
        <f t="shared" si="1"/>
        <v>{"valorA":"qualidade","valorB":6.0}</v>
      </c>
      <c r="E192" s="8" t="str">
        <f t="shared" si="2"/>
        <v>qualidade</v>
      </c>
      <c r="F192" s="8"/>
      <c r="G192" s="8" t="str">
        <f t="shared" si="3"/>
        <v>6.0</v>
      </c>
      <c r="H192" s="9">
        <f t="shared" si="4"/>
        <v>6</v>
      </c>
      <c r="I192" s="10">
        <f>IFERROR(__xludf.DUMMYFUNCTION("MAX(FILTER($H$2:$H1463,$E$2:$E1463=F192))"),0.0)</f>
        <v>0</v>
      </c>
    </row>
    <row r="193">
      <c r="A193" s="4"/>
      <c r="C193" s="4" t="s">
        <v>680</v>
      </c>
      <c r="D193" s="4" t="str">
        <f t="shared" si="1"/>
        <v>{"valorA":"quem","valorB":3.0}</v>
      </c>
      <c r="E193" s="8" t="str">
        <f t="shared" si="2"/>
        <v>quem</v>
      </c>
      <c r="F193" s="8"/>
      <c r="G193" s="8" t="str">
        <f t="shared" si="3"/>
        <v>3.0</v>
      </c>
      <c r="H193" s="9">
        <f t="shared" si="4"/>
        <v>3</v>
      </c>
      <c r="I193" s="10">
        <f>IFERROR(__xludf.DUMMYFUNCTION("MAX(FILTER($H$2:$H1463,$E$2:$E1463=F193))"),0.0)</f>
        <v>0</v>
      </c>
    </row>
    <row r="194">
      <c r="A194" s="4"/>
      <c r="C194" s="4" t="s">
        <v>681</v>
      </c>
      <c r="D194" s="4" t="str">
        <f t="shared" si="1"/>
        <v>{"valorA":"de","valorB":5.0}</v>
      </c>
      <c r="E194" s="8" t="str">
        <f t="shared" si="2"/>
        <v>de</v>
      </c>
      <c r="F194" s="8"/>
      <c r="G194" s="8" t="str">
        <f t="shared" si="3"/>
        <v>5.0</v>
      </c>
      <c r="H194" s="9">
        <f t="shared" si="4"/>
        <v>5</v>
      </c>
      <c r="I194" s="10">
        <f>IFERROR(__xludf.DUMMYFUNCTION("MAX(FILTER($H$2:$H1463,$E$2:$E1463=F194))"),0.0)</f>
        <v>0</v>
      </c>
    </row>
    <row r="195">
      <c r="A195" s="4"/>
      <c r="C195" s="4" t="s">
        <v>682</v>
      </c>
      <c r="D195" s="4" t="str">
        <f t="shared" si="1"/>
        <v>{"valorA":"monitor","valorB":1.0}</v>
      </c>
      <c r="E195" s="8" t="str">
        <f t="shared" si="2"/>
        <v>monitor</v>
      </c>
      <c r="F195" s="8"/>
      <c r="G195" s="8" t="str">
        <f t="shared" si="3"/>
        <v>1.0</v>
      </c>
      <c r="H195" s="9">
        <f t="shared" si="4"/>
        <v>1</v>
      </c>
      <c r="I195" s="10">
        <f>IFERROR(__xludf.DUMMYFUNCTION("MAX(FILTER($H$2:$H1463,$E$2:$E1463=F195))"),0.0)</f>
        <v>0</v>
      </c>
    </row>
    <row r="196">
      <c r="A196" s="4"/>
      <c r="C196" s="4" t="s">
        <v>683</v>
      </c>
      <c r="D196" s="4" t="str">
        <f t="shared" si="1"/>
        <v>{"valorA":"alta","valorB":1.0}</v>
      </c>
      <c r="E196" s="8" t="str">
        <f t="shared" si="2"/>
        <v>alta</v>
      </c>
      <c r="F196" s="8"/>
      <c r="G196" s="8" t="str">
        <f t="shared" si="3"/>
        <v>1.0</v>
      </c>
      <c r="H196" s="9">
        <f t="shared" si="4"/>
        <v>1</v>
      </c>
      <c r="I196" s="10">
        <f>IFERROR(__xludf.DUMMYFUNCTION("MAX(FILTER($H$2:$H1463,$E$2:$E1463=F196))"),0.0)</f>
        <v>0</v>
      </c>
    </row>
    <row r="197">
      <c r="A197" s="4"/>
      <c r="C197" s="4" t="s">
        <v>684</v>
      </c>
      <c r="D197" s="4" t="str">
        <f t="shared" si="1"/>
        <v>{"valorA":"produto","valorB":15.0}</v>
      </c>
      <c r="E197" s="8" t="str">
        <f t="shared" si="2"/>
        <v>produto</v>
      </c>
      <c r="F197" s="8"/>
      <c r="G197" s="8" t="str">
        <f t="shared" si="3"/>
        <v>15.0</v>
      </c>
      <c r="H197" s="9">
        <f t="shared" si="4"/>
        <v>15</v>
      </c>
      <c r="I197" s="10">
        <f>IFERROR(__xludf.DUMMYFUNCTION("MAX(FILTER($H$2:$H1463,$E$2:$E1463=F197))"),0.0)</f>
        <v>0</v>
      </c>
    </row>
    <row r="198">
      <c r="A198" s="4"/>
      <c r="C198" s="4" t="s">
        <v>685</v>
      </c>
      <c r="D198" s="4" t="str">
        <f t="shared" si="1"/>
        <v>{"valorA":"busca","valorB":2.0}</v>
      </c>
      <c r="E198" s="8" t="str">
        <f t="shared" si="2"/>
        <v>busca</v>
      </c>
      <c r="F198" s="8"/>
      <c r="G198" s="8" t="str">
        <f t="shared" si="3"/>
        <v>2.0</v>
      </c>
      <c r="H198" s="9">
        <f t="shared" si="4"/>
        <v>2</v>
      </c>
      <c r="I198" s="10">
        <f>IFERROR(__xludf.DUMMYFUNCTION("MAX(FILTER($H$2:$H1463,$E$2:$E1463=F198))"),0.0)</f>
        <v>0</v>
      </c>
    </row>
    <row r="199">
      <c r="A199" s="4"/>
      <c r="C199" s="4" t="s">
        <v>686</v>
      </c>
      <c r="D199" s="4" t="str">
        <f t="shared" si="1"/>
        <v>{"valorA":"um","valorB":4.0}</v>
      </c>
      <c r="E199" s="8" t="str">
        <f t="shared" si="2"/>
        <v>um</v>
      </c>
      <c r="F199" s="8"/>
      <c r="G199" s="8" t="str">
        <f t="shared" si="3"/>
        <v>4.0</v>
      </c>
      <c r="H199" s="9">
        <f t="shared" si="4"/>
        <v>4</v>
      </c>
      <c r="I199" s="10">
        <f>IFERROR(__xludf.DUMMYFUNCTION("MAX(FILTER($H$2:$H1463,$E$2:$E1463=F199))"),0.0)</f>
        <v>0</v>
      </c>
    </row>
    <row r="200">
      <c r="A200" s="4"/>
      <c r="C200" s="4" t="s">
        <v>315</v>
      </c>
      <c r="D200" s="4" t="str">
        <f t="shared" si="1"/>
        <v>{"valorA":"ótimo","valorB":22.0}</v>
      </c>
      <c r="E200" s="8" t="str">
        <f t="shared" si="2"/>
        <v>ótimo</v>
      </c>
      <c r="F200" s="8"/>
      <c r="G200" s="8" t="str">
        <f t="shared" si="3"/>
        <v>22.0</v>
      </c>
      <c r="H200" s="9">
        <f t="shared" si="4"/>
        <v>22</v>
      </c>
      <c r="I200" s="10">
        <f>IFERROR(__xludf.DUMMYFUNCTION("MAX(FILTER($H$2:$H1463,$E$2:$E1463=F200))"),0.0)</f>
        <v>0</v>
      </c>
    </row>
    <row r="201">
      <c r="A201" s="4"/>
      <c r="C201" s="4" t="s">
        <v>687</v>
      </c>
      <c r="D201" s="4" t="str">
        <f t="shared" si="1"/>
        <v>{"valorA":"usuário","valorB":1.0}</v>
      </c>
      <c r="E201" s="8" t="str">
        <f t="shared" si="2"/>
        <v>usuário</v>
      </c>
      <c r="F201" s="8"/>
      <c r="G201" s="8" t="str">
        <f t="shared" si="3"/>
        <v>1.0</v>
      </c>
      <c r="H201" s="9">
        <f t="shared" si="4"/>
        <v>1</v>
      </c>
      <c r="I201" s="10">
        <f>IFERROR(__xludf.DUMMYFUNCTION("MAX(FILTER($H$2:$H1463,$E$2:$E1463=F201))"),0.0)</f>
        <v>0</v>
      </c>
    </row>
    <row r="202">
      <c r="A202" s="4"/>
      <c r="C202" s="4" t="s">
        <v>294</v>
      </c>
      <c r="D202" s="4" t="str">
        <f t="shared" si="1"/>
        <v>{"valorA":"de","valorB":6.0}</v>
      </c>
      <c r="E202" s="8" t="str">
        <f t="shared" si="2"/>
        <v>de</v>
      </c>
      <c r="F202" s="8"/>
      <c r="G202" s="8" t="str">
        <f t="shared" si="3"/>
        <v>6.0</v>
      </c>
      <c r="H202" s="9">
        <f t="shared" si="4"/>
        <v>6</v>
      </c>
      <c r="I202" s="10">
        <f>IFERROR(__xludf.DUMMYFUNCTION("MAX(FILTER($H$2:$H1463,$E$2:$E1463=F202))"),0.0)</f>
        <v>0</v>
      </c>
    </row>
    <row r="203">
      <c r="A203" s="4"/>
      <c r="C203" s="4" t="s">
        <v>387</v>
      </c>
      <c r="D203" s="4" t="str">
        <f t="shared" si="1"/>
        <v>{"valorA":"e","valorB":8.0}</v>
      </c>
      <c r="E203" s="8" t="str">
        <f t="shared" si="2"/>
        <v>e</v>
      </c>
      <c r="F203" s="8"/>
      <c r="G203" s="8" t="str">
        <f t="shared" si="3"/>
        <v>8.0</v>
      </c>
      <c r="H203" s="9">
        <f t="shared" si="4"/>
        <v>8</v>
      </c>
      <c r="I203" s="10">
        <f>IFERROR(__xludf.DUMMYFUNCTION("MAX(FILTER($H$2:$H1463,$E$2:$E1463=F203))"),0.0)</f>
        <v>0</v>
      </c>
    </row>
    <row r="204">
      <c r="A204" s="4"/>
      <c r="C204" s="4" t="s">
        <v>688</v>
      </c>
      <c r="D204" s="4" t="str">
        <f t="shared" si="1"/>
        <v>{"valorA":"produto","valorB":16.0}</v>
      </c>
      <c r="E204" s="8" t="str">
        <f t="shared" si="2"/>
        <v>produto</v>
      </c>
      <c r="F204" s="8"/>
      <c r="G204" s="8" t="str">
        <f t="shared" si="3"/>
        <v>16.0</v>
      </c>
      <c r="H204" s="9">
        <f t="shared" si="4"/>
        <v>16</v>
      </c>
      <c r="I204" s="10">
        <f>IFERROR(__xludf.DUMMYFUNCTION("MAX(FILTER($H$2:$H1463,$E$2:$E1463=F204))"),0.0)</f>
        <v>0</v>
      </c>
    </row>
    <row r="205">
      <c r="A205" s="4"/>
      <c r="C205" s="4" t="s">
        <v>431</v>
      </c>
      <c r="D205" s="4" t="str">
        <f t="shared" si="1"/>
        <v>{"valorA":"fácil","valorB":3.0}</v>
      </c>
      <c r="E205" s="8" t="str">
        <f t="shared" si="2"/>
        <v>fácil</v>
      </c>
      <c r="F205" s="8"/>
      <c r="G205" s="8" t="str">
        <f t="shared" si="3"/>
        <v>3.0</v>
      </c>
      <c r="H205" s="9">
        <f t="shared" si="4"/>
        <v>3</v>
      </c>
      <c r="I205" s="10">
        <f>IFERROR(__xludf.DUMMYFUNCTION("MAX(FILTER($H$2:$H1463,$E$2:$E1463=F205))"),0.0)</f>
        <v>0</v>
      </c>
    </row>
    <row r="206">
      <c r="A206" s="4"/>
      <c r="C206" s="4" t="s">
        <v>689</v>
      </c>
      <c r="D206" s="4" t="str">
        <f t="shared" si="1"/>
        <v>{"valorA":"perfeitamente","valorB":2.0}</v>
      </c>
      <c r="E206" s="8" t="str">
        <f t="shared" si="2"/>
        <v>perfeitamente</v>
      </c>
      <c r="F206" s="8"/>
      <c r="G206" s="8" t="str">
        <f t="shared" si="3"/>
        <v>2.0</v>
      </c>
      <c r="H206" s="9">
        <f t="shared" si="4"/>
        <v>2</v>
      </c>
      <c r="I206" s="10">
        <f>IFERROR(__xludf.DUMMYFUNCTION("MAX(FILTER($H$2:$H1463,$E$2:$E1463=F206))"),0.0)</f>
        <v>0</v>
      </c>
    </row>
    <row r="207">
      <c r="A207" s="4"/>
      <c r="C207" s="4" t="s">
        <v>303</v>
      </c>
      <c r="D207" s="4" t="str">
        <f t="shared" si="1"/>
        <v>{"valorA":"funciona","valorB":5.0}</v>
      </c>
      <c r="E207" s="8" t="str">
        <f t="shared" si="2"/>
        <v>funciona</v>
      </c>
      <c r="F207" s="8"/>
      <c r="G207" s="8" t="str">
        <f t="shared" si="3"/>
        <v>5.0</v>
      </c>
      <c r="H207" s="9">
        <f t="shared" si="4"/>
        <v>5</v>
      </c>
      <c r="I207" s="10">
        <f>IFERROR(__xludf.DUMMYFUNCTION("MAX(FILTER($H$2:$H1463,$E$2:$E1463=F207))"),0.0)</f>
        <v>0</v>
      </c>
    </row>
    <row r="208">
      <c r="A208" s="4"/>
      <c r="C208" s="4" t="s">
        <v>690</v>
      </c>
      <c r="D208" s="4" t="str">
        <f t="shared" si="1"/>
        <v>{"valorA":"ótimo","valorB":23.0}</v>
      </c>
      <c r="E208" s="8" t="str">
        <f t="shared" si="2"/>
        <v>ótimo</v>
      </c>
      <c r="F208" s="8"/>
      <c r="G208" s="8" t="str">
        <f t="shared" si="3"/>
        <v>23.0</v>
      </c>
      <c r="H208" s="9">
        <f t="shared" si="4"/>
        <v>23</v>
      </c>
      <c r="I208" s="10">
        <f>IFERROR(__xludf.DUMMYFUNCTION("MAX(FILTER($H$2:$H1463,$E$2:$E1463=F208))"),0.0)</f>
        <v>0</v>
      </c>
    </row>
    <row r="209">
      <c r="A209" s="4"/>
      <c r="C209" s="4" t="s">
        <v>198</v>
      </c>
      <c r="D209" s="4" t="str">
        <f t="shared" si="1"/>
        <v>{"valorA":"comentário","valorB":1.0}</v>
      </c>
      <c r="E209" s="8" t="str">
        <f t="shared" si="2"/>
        <v>comentário</v>
      </c>
      <c r="F209" s="8"/>
      <c r="G209" s="8" t="str">
        <f t="shared" si="3"/>
        <v>1.0</v>
      </c>
      <c r="H209" s="9">
        <f t="shared" si="4"/>
        <v>1</v>
      </c>
      <c r="I209" s="10">
        <f>IFERROR(__xludf.DUMMYFUNCTION("MAX(FILTER($H$2:$H1463,$E$2:$E1463=F209))"),0.0)</f>
        <v>0</v>
      </c>
    </row>
    <row r="210">
      <c r="A210" s="4"/>
      <c r="C210" s="4" t="s">
        <v>691</v>
      </c>
      <c r="D210" s="4" t="str">
        <f t="shared" si="1"/>
        <v>{"valorA":"para","valorB":9.0}</v>
      </c>
      <c r="E210" s="8" t="str">
        <f t="shared" si="2"/>
        <v>para</v>
      </c>
      <c r="F210" s="8"/>
      <c r="G210" s="8" t="str">
        <f t="shared" si="3"/>
        <v>9.0</v>
      </c>
      <c r="H210" s="9">
        <f t="shared" si="4"/>
        <v>9</v>
      </c>
      <c r="I210" s="10">
        <f>IFERROR(__xludf.DUMMYFUNCTION("MAX(FILTER($H$2:$H1463,$E$2:$E1463=F210))"),0.0)</f>
        <v>0</v>
      </c>
    </row>
    <row r="211">
      <c r="A211" s="4"/>
      <c r="C211" s="4" t="s">
        <v>692</v>
      </c>
      <c r="D211" s="4" t="str">
        <f t="shared" si="1"/>
        <v>{"valorA":"precisa","valorB":1.0}</v>
      </c>
      <c r="E211" s="8" t="str">
        <f t="shared" si="2"/>
        <v>precisa</v>
      </c>
      <c r="F211" s="8"/>
      <c r="G211" s="8" t="str">
        <f t="shared" si="3"/>
        <v>1.0</v>
      </c>
      <c r="H211" s="9">
        <f t="shared" si="4"/>
        <v>1</v>
      </c>
      <c r="I211" s="10">
        <f>IFERROR(__xludf.DUMMYFUNCTION("MAX(FILTER($H$2:$H1463,$E$2:$E1463=F211))"),0.0)</f>
        <v>0</v>
      </c>
    </row>
    <row r="212">
      <c r="A212" s="4"/>
      <c r="C212" s="4" t="s">
        <v>693</v>
      </c>
      <c r="D212" s="4" t="str">
        <f t="shared" si="1"/>
        <v>{"valorA":"portátil","valorB":1.0}</v>
      </c>
      <c r="E212" s="8" t="str">
        <f t="shared" si="2"/>
        <v>portátil</v>
      </c>
      <c r="F212" s="8"/>
      <c r="G212" s="8" t="str">
        <f t="shared" si="3"/>
        <v>1.0</v>
      </c>
      <c r="H212" s="9">
        <f t="shared" si="4"/>
        <v>1</v>
      </c>
      <c r="I212" s="10">
        <f>IFERROR(__xludf.DUMMYFUNCTION("MAX(FILTER($H$2:$H1463,$E$2:$E1463=F212))"),0.0)</f>
        <v>0</v>
      </c>
    </row>
    <row r="213">
      <c r="A213" s="4"/>
      <c r="C213" s="4" t="s">
        <v>694</v>
      </c>
      <c r="D213" s="4" t="str">
        <f t="shared" si="1"/>
        <v>{"valorA":"quem","valorB":4.0}</v>
      </c>
      <c r="E213" s="8" t="str">
        <f t="shared" si="2"/>
        <v>quem</v>
      </c>
      <c r="F213" s="8"/>
      <c r="G213" s="8" t="str">
        <f t="shared" si="3"/>
        <v>4.0</v>
      </c>
      <c r="H213" s="9">
        <f t="shared" si="4"/>
        <v>4</v>
      </c>
      <c r="I213" s="10">
        <f>IFERROR(__xludf.DUMMYFUNCTION("MAX(FILTER($H$2:$H1463,$E$2:$E1463=F213))"),0.0)</f>
        <v>0</v>
      </c>
    </row>
    <row r="214">
      <c r="A214" s="4"/>
      <c r="C214" s="4" t="s">
        <v>350</v>
      </c>
      <c r="D214" s="4" t="str">
        <f t="shared" si="1"/>
        <v>{"valorA":"de","valorB":7.0}</v>
      </c>
      <c r="E214" s="8" t="str">
        <f t="shared" si="2"/>
        <v>de</v>
      </c>
      <c r="F214" s="8"/>
      <c r="G214" s="8" t="str">
        <f t="shared" si="3"/>
        <v>7.0</v>
      </c>
      <c r="H214" s="9">
        <f t="shared" si="4"/>
        <v>7</v>
      </c>
      <c r="I214" s="10">
        <f>IFERROR(__xludf.DUMMYFUNCTION("MAX(FILTER($H$2:$H1463,$E$2:$E1463=F214))"),0.0)</f>
        <v>0</v>
      </c>
    </row>
    <row r="215">
      <c r="A215" s="4"/>
      <c r="C215" s="4" t="s">
        <v>334</v>
      </c>
      <c r="D215" s="4" t="str">
        <f t="shared" si="1"/>
        <v>{"valorA":"produto","valorB":17.0}</v>
      </c>
      <c r="E215" s="8" t="str">
        <f t="shared" si="2"/>
        <v>produto</v>
      </c>
      <c r="F215" s="8"/>
      <c r="G215" s="8" t="str">
        <f t="shared" si="3"/>
        <v>17.0</v>
      </c>
      <c r="H215" s="9">
        <f t="shared" si="4"/>
        <v>17</v>
      </c>
      <c r="I215" s="10">
        <f>IFERROR(__xludf.DUMMYFUNCTION("MAX(FILTER($H$2:$H1463,$E$2:$E1463=F215))"),0.0)</f>
        <v>0</v>
      </c>
    </row>
    <row r="216">
      <c r="A216" s="4"/>
      <c r="C216" s="4" t="s">
        <v>393</v>
      </c>
      <c r="D216" s="4" t="str">
        <f t="shared" si="1"/>
        <v>{"valorA":"gostei","valorB":4.0}</v>
      </c>
      <c r="E216" s="8" t="str">
        <f t="shared" si="2"/>
        <v>gostei</v>
      </c>
      <c r="F216" s="8"/>
      <c r="G216" s="8" t="str">
        <f t="shared" si="3"/>
        <v>4.0</v>
      </c>
      <c r="H216" s="9">
        <f t="shared" si="4"/>
        <v>4</v>
      </c>
      <c r="I216" s="10">
        <f>IFERROR(__xludf.DUMMYFUNCTION("MAX(FILTER($H$2:$H1463,$E$2:$E1463=F216))"),0.0)</f>
        <v>0</v>
      </c>
    </row>
    <row r="217">
      <c r="A217" s="4"/>
      <c r="C217" s="4" t="s">
        <v>297</v>
      </c>
      <c r="D217" s="4" t="str">
        <f t="shared" si="1"/>
        <v>{"valorA":"uma","valorB":1.0}</v>
      </c>
      <c r="E217" s="8" t="str">
        <f t="shared" si="2"/>
        <v>uma</v>
      </c>
      <c r="F217" s="8"/>
      <c r="G217" s="8" t="str">
        <f t="shared" si="3"/>
        <v>1.0</v>
      </c>
      <c r="H217" s="9">
        <f t="shared" si="4"/>
        <v>1</v>
      </c>
      <c r="I217" s="10">
        <f>IFERROR(__xludf.DUMMYFUNCTION("MAX(FILTER($H$2:$H1463,$E$2:$E1463=F217))"),0.0)</f>
        <v>0</v>
      </c>
    </row>
    <row r="218">
      <c r="A218" s="4"/>
      <c r="C218" s="4" t="s">
        <v>695</v>
      </c>
      <c r="D218" s="4" t="str">
        <f t="shared" si="1"/>
        <v>{"valorA":"câmera","valorB":2.0}</v>
      </c>
      <c r="E218" s="8" t="str">
        <f t="shared" si="2"/>
        <v>câmera</v>
      </c>
      <c r="F218" s="8"/>
      <c r="G218" s="8" t="str">
        <f t="shared" si="3"/>
        <v>2.0</v>
      </c>
      <c r="H218" s="9">
        <f t="shared" si="4"/>
        <v>2</v>
      </c>
      <c r="I218" s="10">
        <f>IFERROR(__xludf.DUMMYFUNCTION("MAX(FILTER($H$2:$H1463,$E$2:$E1463=F218))"),0.0)</f>
        <v>0</v>
      </c>
    </row>
    <row r="219">
      <c r="A219" s="4"/>
      <c r="C219" s="4" t="s">
        <v>274</v>
      </c>
      <c r="D219" s="4" t="str">
        <f t="shared" si="1"/>
        <v>{"valorA":"muito","valorB":7.0}</v>
      </c>
      <c r="E219" s="8" t="str">
        <f t="shared" si="2"/>
        <v>muito</v>
      </c>
      <c r="F219" s="8"/>
      <c r="G219" s="8" t="str">
        <f t="shared" si="3"/>
        <v>7.0</v>
      </c>
      <c r="H219" s="9">
        <f t="shared" si="4"/>
        <v>7</v>
      </c>
      <c r="I219" s="10">
        <f>IFERROR(__xludf.DUMMYFUNCTION("MAX(FILTER($H$2:$H1463,$E$2:$E1463=F219))"),0.0)</f>
        <v>0</v>
      </c>
    </row>
    <row r="220">
      <c r="A220" s="4"/>
      <c r="C220" s="4" t="s">
        <v>696</v>
      </c>
      <c r="D220" s="4" t="str">
        <f t="shared" si="1"/>
        <v>{"valorA":"ótimo","valorB":24.0}</v>
      </c>
      <c r="E220" s="8" t="str">
        <f t="shared" si="2"/>
        <v>ótimo</v>
      </c>
      <c r="F220" s="8"/>
      <c r="G220" s="8" t="str">
        <f t="shared" si="3"/>
        <v>24.0</v>
      </c>
      <c r="H220" s="9">
        <f t="shared" si="4"/>
        <v>24</v>
      </c>
      <c r="I220" s="10">
        <f>IFERROR(__xludf.DUMMYFUNCTION("MAX(FILTER($H$2:$H1463,$E$2:$E1463=F220))"),0.0)</f>
        <v>0</v>
      </c>
    </row>
    <row r="221">
      <c r="A221" s="4"/>
      <c r="C221" s="4" t="s">
        <v>697</v>
      </c>
      <c r="D221" s="4" t="str">
        <f t="shared" si="1"/>
        <v>{"valorA":"valeu","valorB":4.0}</v>
      </c>
      <c r="E221" s="8" t="str">
        <f t="shared" si="2"/>
        <v>valeu</v>
      </c>
      <c r="F221" s="8"/>
      <c r="G221" s="8" t="str">
        <f t="shared" si="3"/>
        <v>4.0</v>
      </c>
      <c r="H221" s="9">
        <f t="shared" si="4"/>
        <v>4</v>
      </c>
      <c r="I221" s="10">
        <f>IFERROR(__xludf.DUMMYFUNCTION("MAX(FILTER($H$2:$H1463,$E$2:$E1463=F221))"),0.0)</f>
        <v>0</v>
      </c>
    </row>
    <row r="222">
      <c r="A222" s="4"/>
      <c r="C222" s="4" t="s">
        <v>293</v>
      </c>
      <c r="D222" s="4" t="str">
        <f t="shared" si="1"/>
        <v>{"valorA":"bem","valorB":4.0}</v>
      </c>
      <c r="E222" s="8" t="str">
        <f t="shared" si="2"/>
        <v>bem</v>
      </c>
      <c r="F222" s="8"/>
      <c r="G222" s="8" t="str">
        <f t="shared" si="3"/>
        <v>4.0</v>
      </c>
      <c r="H222" s="9">
        <f t="shared" si="4"/>
        <v>4</v>
      </c>
      <c r="I222" s="10">
        <f>IFERROR(__xludf.DUMMYFUNCTION("MAX(FILTER($H$2:$H1463,$E$2:$E1463=F222))"),0.0)</f>
        <v>0</v>
      </c>
    </row>
    <row r="223">
      <c r="A223" s="4"/>
      <c r="C223" s="4" t="s">
        <v>698</v>
      </c>
      <c r="D223" s="4" t="str">
        <f t="shared" si="1"/>
        <v>{"valorA":"que","valorB":5.0}</v>
      </c>
      <c r="E223" s="8" t="str">
        <f t="shared" si="2"/>
        <v>que</v>
      </c>
      <c r="F223" s="8"/>
      <c r="G223" s="8" t="str">
        <f t="shared" si="3"/>
        <v>5.0</v>
      </c>
      <c r="H223" s="9">
        <f t="shared" si="4"/>
        <v>5</v>
      </c>
      <c r="I223" s="10">
        <f>IFERROR(__xludf.DUMMYFUNCTION("MAX(FILTER($H$2:$H1463,$E$2:$E1463=F223))"),0.0)</f>
        <v>0</v>
      </c>
    </row>
    <row r="224">
      <c r="A224" s="4"/>
      <c r="C224" s="4" t="s">
        <v>699</v>
      </c>
      <c r="D224" s="4" t="str">
        <f t="shared" si="1"/>
        <v>{"valorA":"televisor","valorB":3.0}</v>
      </c>
      <c r="E224" s="8" t="str">
        <f t="shared" si="2"/>
        <v>televisor</v>
      </c>
      <c r="F224" s="8"/>
      <c r="G224" s="8" t="str">
        <f t="shared" si="3"/>
        <v>3.0</v>
      </c>
      <c r="H224" s="9">
        <f t="shared" si="4"/>
        <v>3</v>
      </c>
      <c r="I224" s="10">
        <f>IFERROR(__xludf.DUMMYFUNCTION("MAX(FILTER($H$2:$H1463,$E$2:$E1463=F224))"),0.0)</f>
        <v>0</v>
      </c>
    </row>
    <row r="225">
      <c r="A225" s="4"/>
      <c r="C225" s="4" t="s">
        <v>700</v>
      </c>
      <c r="D225" s="4" t="str">
        <f t="shared" si="1"/>
        <v>{"valorA":"paguei","valorB":4.0}</v>
      </c>
      <c r="E225" s="8" t="str">
        <f t="shared" si="2"/>
        <v>paguei</v>
      </c>
      <c r="F225" s="8"/>
      <c r="G225" s="8" t="str">
        <f t="shared" si="3"/>
        <v>4.0</v>
      </c>
      <c r="H225" s="9">
        <f t="shared" si="4"/>
        <v>4</v>
      </c>
      <c r="I225" s="10">
        <f>IFERROR(__xludf.DUMMYFUNCTION("MAX(FILTER($H$2:$H1463,$E$2:$E1463=F225))"),0.0)</f>
        <v>0</v>
      </c>
    </row>
    <row r="226">
      <c r="A226" s="4"/>
      <c r="C226" s="4" t="s">
        <v>228</v>
      </c>
      <c r="D226" s="4" t="str">
        <f t="shared" si="1"/>
        <v>{"valorA":"esse","valorB":2.0}</v>
      </c>
      <c r="E226" s="8" t="str">
        <f t="shared" si="2"/>
        <v>esse</v>
      </c>
      <c r="F226" s="8"/>
      <c r="G226" s="8" t="str">
        <f t="shared" si="3"/>
        <v>2.0</v>
      </c>
      <c r="H226" s="9">
        <f t="shared" si="4"/>
        <v>2</v>
      </c>
      <c r="I226" s="10">
        <f>IFERROR(__xludf.DUMMYFUNCTION("MAX(FILTER($H$2:$H1463,$E$2:$E1463=F226))"),0.0)</f>
        <v>0</v>
      </c>
    </row>
    <row r="227">
      <c r="A227" s="4"/>
      <c r="C227" s="4" t="s">
        <v>701</v>
      </c>
      <c r="D227" s="4" t="str">
        <f t="shared" si="1"/>
        <v>{"valorA":"mas","valorB":5.0}</v>
      </c>
      <c r="E227" s="8" t="str">
        <f t="shared" si="2"/>
        <v>mas</v>
      </c>
      <c r="F227" s="8"/>
      <c r="G227" s="8" t="str">
        <f t="shared" si="3"/>
        <v>5.0</v>
      </c>
      <c r="H227" s="9">
        <f t="shared" si="4"/>
        <v>5</v>
      </c>
      <c r="I227" s="10">
        <f>IFERROR(__xludf.DUMMYFUNCTION("MAX(FILTER($H$2:$H1463,$E$2:$E1463=F227))"),0.0)</f>
        <v>0</v>
      </c>
    </row>
    <row r="228">
      <c r="A228" s="4"/>
      <c r="C228" s="4" t="s">
        <v>702</v>
      </c>
      <c r="D228" s="4" t="str">
        <f t="shared" si="1"/>
        <v>{"valorA":"a","valorB":9.0}</v>
      </c>
      <c r="E228" s="8" t="str">
        <f t="shared" si="2"/>
        <v>a</v>
      </c>
      <c r="F228" s="8"/>
      <c r="G228" s="8" t="str">
        <f t="shared" si="3"/>
        <v>9.0</v>
      </c>
      <c r="H228" s="9">
        <f t="shared" si="4"/>
        <v>9</v>
      </c>
      <c r="I228" s="10">
        <f>IFERROR(__xludf.DUMMYFUNCTION("MAX(FILTER($H$2:$H1463,$E$2:$E1463=F228))"),0.0)</f>
        <v>0</v>
      </c>
    </row>
    <row r="229">
      <c r="A229" s="4"/>
      <c r="C229" s="4" t="s">
        <v>703</v>
      </c>
      <c r="D229" s="4" t="str">
        <f t="shared" si="1"/>
        <v>{"valorA":"não","valorB":5.0}</v>
      </c>
      <c r="E229" s="8" t="str">
        <f t="shared" si="2"/>
        <v>não</v>
      </c>
      <c r="F229" s="8"/>
      <c r="G229" s="8" t="str">
        <f t="shared" si="3"/>
        <v>5.0</v>
      </c>
      <c r="H229" s="9">
        <f t="shared" si="4"/>
        <v>5</v>
      </c>
      <c r="I229" s="10">
        <f>IFERROR(__xludf.DUMMYFUNCTION("MAX(FILTER($H$2:$H1463,$E$2:$E1463=F229))"),0.0)</f>
        <v>0</v>
      </c>
    </row>
    <row r="230">
      <c r="A230" s="4"/>
      <c r="C230" s="4" t="s">
        <v>324</v>
      </c>
      <c r="D230" s="4" t="str">
        <f t="shared" si="1"/>
        <v>{"valorA":"funciona","valorB":6.0}</v>
      </c>
      <c r="E230" s="8" t="str">
        <f t="shared" si="2"/>
        <v>funciona</v>
      </c>
      <c r="F230" s="8"/>
      <c r="G230" s="8" t="str">
        <f t="shared" si="3"/>
        <v>6.0</v>
      </c>
      <c r="H230" s="9">
        <f t="shared" si="4"/>
        <v>6</v>
      </c>
      <c r="I230" s="10">
        <f>IFERROR(__xludf.DUMMYFUNCTION("MAX(FILTER($H$2:$H1463,$E$2:$E1463=F230))"),0.0)</f>
        <v>0</v>
      </c>
    </row>
    <row r="231">
      <c r="A231" s="4"/>
      <c r="C231" s="4" t="s">
        <v>704</v>
      </c>
      <c r="D231" s="4" t="str">
        <f t="shared" si="1"/>
        <v>{"valorA":"quantia","valorB":1.0}</v>
      </c>
      <c r="E231" s="8" t="str">
        <f t="shared" si="2"/>
        <v>quantia</v>
      </c>
      <c r="F231" s="8"/>
      <c r="G231" s="8" t="str">
        <f t="shared" si="3"/>
        <v>1.0</v>
      </c>
      <c r="H231" s="9">
        <f t="shared" si="4"/>
        <v>1</v>
      </c>
      <c r="I231" s="10">
        <f>IFERROR(__xludf.DUMMYFUNCTION("MAX(FILTER($H$2:$H1463,$E$2:$E1463=F231))"),0.0)</f>
        <v>0</v>
      </c>
    </row>
    <row r="232">
      <c r="A232" s="4"/>
      <c r="C232" s="4" t="s">
        <v>705</v>
      </c>
      <c r="D232" s="4" t="str">
        <f t="shared" si="1"/>
        <v>{"valorA":"preço","valorB":10.0}</v>
      </c>
      <c r="E232" s="8" t="str">
        <f t="shared" si="2"/>
        <v>preço</v>
      </c>
      <c r="F232" s="8"/>
      <c r="G232" s="8" t="str">
        <f t="shared" si="3"/>
        <v>10.0</v>
      </c>
      <c r="H232" s="9">
        <f t="shared" si="4"/>
        <v>10</v>
      </c>
      <c r="I232" s="10">
        <f>IFERROR(__xludf.DUMMYFUNCTION("MAX(FILTER($H$2:$H1463,$E$2:$E1463=F232))"),0.0)</f>
        <v>0</v>
      </c>
    </row>
    <row r="233">
      <c r="A233" s="4"/>
      <c r="C233" s="4" t="s">
        <v>336</v>
      </c>
      <c r="D233" s="4" t="str">
        <f t="shared" si="1"/>
        <v>{"valorA":"ótimo","valorB":25.0}</v>
      </c>
      <c r="E233" s="8" t="str">
        <f t="shared" si="2"/>
        <v>ótimo</v>
      </c>
      <c r="F233" s="8"/>
      <c r="G233" s="8" t="str">
        <f t="shared" si="3"/>
        <v>25.0</v>
      </c>
      <c r="H233" s="9">
        <f t="shared" si="4"/>
        <v>25</v>
      </c>
      <c r="I233" s="10">
        <f>IFERROR(__xludf.DUMMYFUNCTION("MAX(FILTER($H$2:$H1463,$E$2:$E1463=F233))"),0.0)</f>
        <v>0</v>
      </c>
    </row>
    <row r="234">
      <c r="A234" s="4"/>
      <c r="C234" s="4" t="s">
        <v>706</v>
      </c>
      <c r="D234" s="4" t="str">
        <f t="shared" si="1"/>
        <v>{"valorA":"qualidade","valorB":7.0}</v>
      </c>
      <c r="E234" s="8" t="str">
        <f t="shared" si="2"/>
        <v>qualidade</v>
      </c>
      <c r="F234" s="8"/>
      <c r="G234" s="8" t="str">
        <f t="shared" si="3"/>
        <v>7.0</v>
      </c>
      <c r="H234" s="9">
        <f t="shared" si="4"/>
        <v>7</v>
      </c>
      <c r="I234" s="10">
        <f>IFERROR(__xludf.DUMMYFUNCTION("MAX(FILTER($H$2:$H1463,$E$2:$E1463=F234))"),0.0)</f>
        <v>0</v>
      </c>
    </row>
    <row r="235">
      <c r="A235" s="4"/>
      <c r="C235" s="4" t="s">
        <v>707</v>
      </c>
      <c r="D235" s="4" t="str">
        <f t="shared" si="1"/>
        <v>{"valorA":"meu","valorB":3.0}</v>
      </c>
      <c r="E235" s="8" t="str">
        <f t="shared" si="2"/>
        <v>meu</v>
      </c>
      <c r="F235" s="8"/>
      <c r="G235" s="8" t="str">
        <f t="shared" si="3"/>
        <v>3.0</v>
      </c>
      <c r="H235" s="9">
        <f t="shared" si="4"/>
        <v>3</v>
      </c>
      <c r="I235" s="10">
        <f>IFERROR(__xludf.DUMMYFUNCTION("MAX(FILTER($H$2:$H1463,$E$2:$E1463=F235))"),0.0)</f>
        <v>0</v>
      </c>
    </row>
    <row r="236">
      <c r="A236" s="4"/>
      <c r="C236" s="4" t="s">
        <v>708</v>
      </c>
      <c r="D236" s="4" t="str">
        <f t="shared" si="1"/>
        <v>{"valorA":"valor","valorB":1.0}</v>
      </c>
      <c r="E236" s="8" t="str">
        <f t="shared" si="2"/>
        <v>valor</v>
      </c>
      <c r="F236" s="8"/>
      <c r="G236" s="8" t="str">
        <f t="shared" si="3"/>
        <v>1.0</v>
      </c>
      <c r="H236" s="9">
        <f t="shared" si="4"/>
        <v>1</v>
      </c>
      <c r="I236" s="10">
        <f>IFERROR(__xludf.DUMMYFUNCTION("MAX(FILTER($H$2:$H1463,$E$2:$E1463=F236))"),0.0)</f>
        <v>0</v>
      </c>
    </row>
    <row r="237">
      <c r="A237" s="4"/>
      <c r="C237" s="4" t="s">
        <v>409</v>
      </c>
      <c r="D237" s="4" t="str">
        <f t="shared" si="1"/>
        <v>{"valorA":"o","valorB":6.0}</v>
      </c>
      <c r="E237" s="8" t="str">
        <f t="shared" si="2"/>
        <v>o</v>
      </c>
      <c r="F237" s="8"/>
      <c r="G237" s="8" t="str">
        <f t="shared" si="3"/>
        <v>6.0</v>
      </c>
      <c r="H237" s="9">
        <f t="shared" si="4"/>
        <v>6</v>
      </c>
      <c r="I237" s="10">
        <f>IFERROR(__xludf.DUMMYFUNCTION("MAX(FILTER($H$2:$H1463,$E$2:$E1463=F237))"),0.0)</f>
        <v>0</v>
      </c>
    </row>
    <row r="238">
      <c r="A238" s="4"/>
      <c r="C238" s="4" t="s">
        <v>425</v>
      </c>
      <c r="D238" s="4" t="str">
        <f t="shared" si="1"/>
        <v>{"valorA":"e","valorB":9.0}</v>
      </c>
      <c r="E238" s="8" t="str">
        <f t="shared" si="2"/>
        <v>e</v>
      </c>
      <c r="F238" s="8"/>
      <c r="G238" s="8" t="str">
        <f t="shared" si="3"/>
        <v>9.0</v>
      </c>
      <c r="H238" s="9">
        <f t="shared" si="4"/>
        <v>9</v>
      </c>
      <c r="I238" s="10">
        <f>IFERROR(__xludf.DUMMYFUNCTION("MAX(FILTER($H$2:$H1463,$E$2:$E1463=F238))"),0.0)</f>
        <v>0</v>
      </c>
    </row>
    <row r="239">
      <c r="A239" s="4"/>
      <c r="C239" s="4" t="s">
        <v>709</v>
      </c>
      <c r="D239" s="4" t="str">
        <f t="shared" si="1"/>
        <v>{"valorA":"monitor","valorB":2.0}</v>
      </c>
      <c r="E239" s="8" t="str">
        <f t="shared" si="2"/>
        <v>monitor</v>
      </c>
      <c r="F239" s="8"/>
      <c r="G239" s="8" t="str">
        <f t="shared" si="3"/>
        <v>2.0</v>
      </c>
      <c r="H239" s="9">
        <f t="shared" si="4"/>
        <v>2</v>
      </c>
      <c r="I239" s="10">
        <f>IFERROR(__xludf.DUMMYFUNCTION("MAX(FILTER($H$2:$H1463,$E$2:$E1463=F239))"),0.0)</f>
        <v>0</v>
      </c>
    </row>
    <row r="240">
      <c r="A240" s="4"/>
      <c r="C240" s="4" t="s">
        <v>483</v>
      </c>
      <c r="D240" s="4" t="str">
        <f t="shared" si="1"/>
        <v>{"valorA":"do","valorB":4.0}</v>
      </c>
      <c r="E240" s="8" t="str">
        <f t="shared" si="2"/>
        <v>do</v>
      </c>
      <c r="F240" s="8"/>
      <c r="G240" s="8" t="str">
        <f t="shared" si="3"/>
        <v>4.0</v>
      </c>
      <c r="H240" s="9">
        <f t="shared" si="4"/>
        <v>4</v>
      </c>
      <c r="I240" s="10">
        <f>IFERROR(__xludf.DUMMYFUNCTION("MAX(FILTER($H$2:$H1463,$E$2:$E1463=F240))"),0.0)</f>
        <v>0</v>
      </c>
    </row>
    <row r="241">
      <c r="A241" s="4"/>
      <c r="C241" s="4" t="s">
        <v>429</v>
      </c>
      <c r="D241" s="4" t="str">
        <f t="shared" si="1"/>
        <v>{"valorA":"gostei","valorB":5.0}</v>
      </c>
      <c r="E241" s="8" t="str">
        <f t="shared" si="2"/>
        <v>gostei</v>
      </c>
      <c r="F241" s="8"/>
      <c r="G241" s="8" t="str">
        <f t="shared" si="3"/>
        <v>5.0</v>
      </c>
      <c r="H241" s="9">
        <f t="shared" si="4"/>
        <v>5</v>
      </c>
      <c r="I241" s="10">
        <f>IFERROR(__xludf.DUMMYFUNCTION("MAX(FILTER($H$2:$H1463,$E$2:$E1463=F241))"),0.0)</f>
        <v>0</v>
      </c>
    </row>
    <row r="242">
      <c r="A242" s="4"/>
      <c r="C242" s="4" t="s">
        <v>300</v>
      </c>
      <c r="D242" s="4" t="str">
        <f t="shared" si="1"/>
        <v>{"valorA":"muito","valorB":8.0}</v>
      </c>
      <c r="E242" s="8" t="str">
        <f t="shared" si="2"/>
        <v>muito</v>
      </c>
      <c r="F242" s="8"/>
      <c r="G242" s="8" t="str">
        <f t="shared" si="3"/>
        <v>8.0</v>
      </c>
      <c r="H242" s="9">
        <f t="shared" si="4"/>
        <v>8</v>
      </c>
      <c r="I242" s="10">
        <f>IFERROR(__xludf.DUMMYFUNCTION("MAX(FILTER($H$2:$H1463,$E$2:$E1463=F242))"),0.0)</f>
        <v>0</v>
      </c>
    </row>
    <row r="243">
      <c r="A243" s="4"/>
      <c r="C243" s="4" t="s">
        <v>710</v>
      </c>
      <c r="D243" s="4" t="str">
        <f t="shared" si="1"/>
        <v>{"valorA":"da","valorB":3.0}</v>
      </c>
      <c r="E243" s="8" t="str">
        <f t="shared" si="2"/>
        <v>da</v>
      </c>
      <c r="F243" s="8"/>
      <c r="G243" s="8" t="str">
        <f t="shared" si="3"/>
        <v>3.0</v>
      </c>
      <c r="H243" s="9">
        <f t="shared" si="4"/>
        <v>3</v>
      </c>
      <c r="I243" s="10">
        <f>IFERROR(__xludf.DUMMYFUNCTION("MAX(FILTER($H$2:$H1463,$E$2:$E1463=F243))"),0.0)</f>
        <v>0</v>
      </c>
    </row>
    <row r="244">
      <c r="A244" s="4"/>
      <c r="C244" s="4" t="s">
        <v>711</v>
      </c>
      <c r="D244" s="4" t="str">
        <f t="shared" si="1"/>
        <v>{"valorA":"preço","valorB":11.0}</v>
      </c>
      <c r="E244" s="8" t="str">
        <f t="shared" si="2"/>
        <v>preço</v>
      </c>
      <c r="F244" s="8"/>
      <c r="G244" s="8" t="str">
        <f t="shared" si="3"/>
        <v>11.0</v>
      </c>
      <c r="H244" s="9">
        <f t="shared" si="4"/>
        <v>11</v>
      </c>
      <c r="I244" s="10">
        <f>IFERROR(__xludf.DUMMYFUNCTION("MAX(FILTER($H$2:$H1463,$E$2:$E1463=F244))"),0.0)</f>
        <v>0</v>
      </c>
    </row>
    <row r="245">
      <c r="A245" s="4"/>
      <c r="C245" s="4" t="s">
        <v>712</v>
      </c>
      <c r="D245" s="4" t="str">
        <f t="shared" si="1"/>
        <v>{"valorA":"ótimo","valorB":26.0}</v>
      </c>
      <c r="E245" s="8" t="str">
        <f t="shared" si="2"/>
        <v>ótimo</v>
      </c>
      <c r="F245" s="8"/>
      <c r="G245" s="8" t="str">
        <f t="shared" si="3"/>
        <v>26.0</v>
      </c>
      <c r="H245" s="9">
        <f t="shared" si="4"/>
        <v>26</v>
      </c>
      <c r="I245" s="10">
        <f>IFERROR(__xludf.DUMMYFUNCTION("MAX(FILTER($H$2:$H1463,$E$2:$E1463=F245))"),0.0)</f>
        <v>0</v>
      </c>
    </row>
    <row r="246">
      <c r="A246" s="4"/>
      <c r="C246" s="4" t="s">
        <v>713</v>
      </c>
      <c r="D246" s="4" t="str">
        <f t="shared" si="1"/>
        <v>{"valorA":"econômico","valorB":2.0}</v>
      </c>
      <c r="E246" s="8" t="str">
        <f t="shared" si="2"/>
        <v>econômico</v>
      </c>
      <c r="F246" s="8"/>
      <c r="G246" s="8" t="str">
        <f t="shared" si="3"/>
        <v>2.0</v>
      </c>
      <c r="H246" s="9">
        <f t="shared" si="4"/>
        <v>2</v>
      </c>
      <c r="I246" s="10">
        <f>IFERROR(__xludf.DUMMYFUNCTION("MAX(FILTER($H$2:$H1463,$E$2:$E1463=F246))"),0.0)</f>
        <v>0</v>
      </c>
    </row>
    <row r="247">
      <c r="A247" s="4"/>
      <c r="C247" s="4" t="s">
        <v>279</v>
      </c>
      <c r="D247" s="4" t="str">
        <f t="shared" si="1"/>
        <v>{"valorA":"usar","valorB":3.0}</v>
      </c>
      <c r="E247" s="8" t="str">
        <f t="shared" si="2"/>
        <v>usar</v>
      </c>
      <c r="F247" s="8"/>
      <c r="G247" s="8" t="str">
        <f t="shared" si="3"/>
        <v>3.0</v>
      </c>
      <c r="H247" s="9">
        <f t="shared" si="4"/>
        <v>3</v>
      </c>
      <c r="I247" s="10">
        <f>IFERROR(__xludf.DUMMYFUNCTION("MAX(FILTER($H$2:$H1463,$E$2:$E1463=F247))"),0.0)</f>
        <v>0</v>
      </c>
    </row>
    <row r="248">
      <c r="A248" s="4"/>
      <c r="C248" s="4" t="s">
        <v>440</v>
      </c>
      <c r="D248" s="4" t="str">
        <f t="shared" si="1"/>
        <v>{"valorA":"e","valorB":10.0}</v>
      </c>
      <c r="E248" s="8" t="str">
        <f t="shared" si="2"/>
        <v>e</v>
      </c>
      <c r="F248" s="8"/>
      <c r="G248" s="8" t="str">
        <f t="shared" si="3"/>
        <v>10.0</v>
      </c>
      <c r="H248" s="9">
        <f t="shared" si="4"/>
        <v>10</v>
      </c>
      <c r="I248" s="10">
        <f>IFERROR(__xludf.DUMMYFUNCTION("MAX(FILTER($H$2:$H1463,$E$2:$E1463=F248))"),0.0)</f>
        <v>0</v>
      </c>
    </row>
    <row r="249">
      <c r="A249" s="4"/>
      <c r="C249" s="4" t="s">
        <v>389</v>
      </c>
      <c r="D249" s="4" t="str">
        <f t="shared" si="1"/>
        <v>{"valorA":"de","valorB":8.0}</v>
      </c>
      <c r="E249" s="8" t="str">
        <f t="shared" si="2"/>
        <v>de</v>
      </c>
      <c r="F249" s="8"/>
      <c r="G249" s="8" t="str">
        <f t="shared" si="3"/>
        <v>8.0</v>
      </c>
      <c r="H249" s="9">
        <f t="shared" si="4"/>
        <v>8</v>
      </c>
      <c r="I249" s="10">
        <f>IFERROR(__xludf.DUMMYFUNCTION("MAX(FILTER($H$2:$H1463,$E$2:$E1463=F249))"),0.0)</f>
        <v>0</v>
      </c>
    </row>
    <row r="250">
      <c r="A250" s="4"/>
      <c r="C250" s="4" t="s">
        <v>714</v>
      </c>
      <c r="D250" s="4" t="str">
        <f t="shared" si="1"/>
        <v>{"valorA":"produto","valorB":18.0}</v>
      </c>
      <c r="E250" s="8" t="str">
        <f t="shared" si="2"/>
        <v>produto</v>
      </c>
      <c r="F250" s="8"/>
      <c r="G250" s="8" t="str">
        <f t="shared" si="3"/>
        <v>18.0</v>
      </c>
      <c r="H250" s="9">
        <f t="shared" si="4"/>
        <v>18</v>
      </c>
      <c r="I250" s="10">
        <f>IFERROR(__xludf.DUMMYFUNCTION("MAX(FILTER($H$2:$H1463,$E$2:$E1463=F250))"),0.0)</f>
        <v>0</v>
      </c>
    </row>
    <row r="251">
      <c r="A251" s="4"/>
      <c r="C251" s="4" t="s">
        <v>715</v>
      </c>
      <c r="D251" s="4" t="str">
        <f t="shared" si="1"/>
        <v>{"valorA":"gostei","valorB":6.0}</v>
      </c>
      <c r="E251" s="8" t="str">
        <f t="shared" si="2"/>
        <v>gostei</v>
      </c>
      <c r="F251" s="8"/>
      <c r="G251" s="8" t="str">
        <f t="shared" si="3"/>
        <v>6.0</v>
      </c>
      <c r="H251" s="9">
        <f t="shared" si="4"/>
        <v>6</v>
      </c>
      <c r="I251" s="10">
        <f>IFERROR(__xludf.DUMMYFUNCTION("MAX(FILTER($H$2:$H1463,$E$2:$E1463=F251))"),0.0)</f>
        <v>0</v>
      </c>
    </row>
    <row r="252">
      <c r="A252" s="4"/>
      <c r="C252" s="4" t="s">
        <v>445</v>
      </c>
      <c r="D252" s="4" t="str">
        <f t="shared" si="1"/>
        <v>{"valorA":"fácil","valorB":4.0}</v>
      </c>
      <c r="E252" s="8" t="str">
        <f t="shared" si="2"/>
        <v>fácil</v>
      </c>
      <c r="F252" s="8"/>
      <c r="G252" s="8" t="str">
        <f t="shared" si="3"/>
        <v>4.0</v>
      </c>
      <c r="H252" s="9">
        <f t="shared" si="4"/>
        <v>4</v>
      </c>
      <c r="I252" s="10">
        <f>IFERROR(__xludf.DUMMYFUNCTION("MAX(FILTER($H$2:$H1463,$E$2:$E1463=F252))"),0.0)</f>
        <v>0</v>
      </c>
    </row>
    <row r="253">
      <c r="A253" s="4"/>
      <c r="C253" s="4" t="s">
        <v>319</v>
      </c>
      <c r="D253" s="4" t="str">
        <f t="shared" si="1"/>
        <v>{"valorA":"muito","valorB":9.0}</v>
      </c>
      <c r="E253" s="8" t="str">
        <f t="shared" si="2"/>
        <v>muito</v>
      </c>
      <c r="F253" s="8"/>
      <c r="G253" s="8" t="str">
        <f t="shared" si="3"/>
        <v>9.0</v>
      </c>
      <c r="H253" s="9">
        <f t="shared" si="4"/>
        <v>9</v>
      </c>
      <c r="I253" s="10">
        <f>IFERROR(__xludf.DUMMYFUNCTION("MAX(FILTER($H$2:$H1463,$E$2:$E1463=F253))"),0.0)</f>
        <v>0</v>
      </c>
    </row>
    <row r="254">
      <c r="A254" s="4"/>
      <c r="C254" s="4" t="s">
        <v>355</v>
      </c>
      <c r="D254" s="4" t="str">
        <f t="shared" si="1"/>
        <v>{"valorA":"ótimo","valorB":27.0}</v>
      </c>
      <c r="E254" s="8" t="str">
        <f t="shared" si="2"/>
        <v>ótimo</v>
      </c>
      <c r="F254" s="8"/>
      <c r="G254" s="8" t="str">
        <f t="shared" si="3"/>
        <v>27.0</v>
      </c>
      <c r="H254" s="9">
        <f t="shared" si="4"/>
        <v>27</v>
      </c>
      <c r="I254" s="10">
        <f>IFERROR(__xludf.DUMMYFUNCTION("MAX(FILTER($H$2:$H1463,$E$2:$E1463=F254))"),0.0)</f>
        <v>0</v>
      </c>
    </row>
    <row r="255">
      <c r="A255" s="4"/>
      <c r="C255" s="4" t="s">
        <v>716</v>
      </c>
      <c r="D255" s="4" t="str">
        <f t="shared" si="1"/>
        <v>{"valorA":"comprar","valorB":2.0}</v>
      </c>
      <c r="E255" s="8" t="str">
        <f t="shared" si="2"/>
        <v>comprar</v>
      </c>
      <c r="F255" s="8"/>
      <c r="G255" s="8" t="str">
        <f t="shared" si="3"/>
        <v>2.0</v>
      </c>
      <c r="H255" s="9">
        <f t="shared" si="4"/>
        <v>2</v>
      </c>
      <c r="I255" s="10">
        <f>IFERROR(__xludf.DUMMYFUNCTION("MAX(FILTER($H$2:$H1463,$E$2:$E1463=F255))"),0.0)</f>
        <v>0</v>
      </c>
    </row>
    <row r="256">
      <c r="A256" s="4"/>
      <c r="C256" s="4" t="s">
        <v>717</v>
      </c>
      <c r="D256" s="4" t="str">
        <f t="shared" si="1"/>
        <v>{"valorA":"gostaria","valorB":2.0}</v>
      </c>
      <c r="E256" s="8" t="str">
        <f t="shared" si="2"/>
        <v>gostaria</v>
      </c>
      <c r="F256" s="8"/>
      <c r="G256" s="8" t="str">
        <f t="shared" si="3"/>
        <v>2.0</v>
      </c>
      <c r="H256" s="9">
        <f t="shared" si="4"/>
        <v>2</v>
      </c>
      <c r="I256" s="10">
        <f>IFERROR(__xludf.DUMMYFUNCTION("MAX(FILTER($H$2:$H1463,$E$2:$E1463=F256))"),0.0)</f>
        <v>0</v>
      </c>
    </row>
    <row r="257">
      <c r="A257" s="4"/>
      <c r="C257" s="4" t="s">
        <v>410</v>
      </c>
      <c r="D257" s="4" t="str">
        <f t="shared" si="1"/>
        <v>{"valorA":"de","valorB":9.0}</v>
      </c>
      <c r="E257" s="8" t="str">
        <f t="shared" si="2"/>
        <v>de</v>
      </c>
      <c r="F257" s="8"/>
      <c r="G257" s="8" t="str">
        <f t="shared" si="3"/>
        <v>9.0</v>
      </c>
      <c r="H257" s="9">
        <f t="shared" si="4"/>
        <v>9</v>
      </c>
      <c r="I257" s="10">
        <f>IFERROR(__xludf.DUMMYFUNCTION("MAX(FILTER($H$2:$H1463,$E$2:$E1463=F257))"),0.0)</f>
        <v>0</v>
      </c>
    </row>
    <row r="258">
      <c r="A258" s="4"/>
      <c r="C258" s="4" t="s">
        <v>353</v>
      </c>
      <c r="D258" s="4" t="str">
        <f t="shared" si="1"/>
        <v>{"valorA":"produto","valorB":19.0}</v>
      </c>
      <c r="E258" s="8" t="str">
        <f t="shared" si="2"/>
        <v>produto</v>
      </c>
      <c r="F258" s="8"/>
      <c r="G258" s="8" t="str">
        <f t="shared" si="3"/>
        <v>19.0</v>
      </c>
      <c r="H258" s="9">
        <f t="shared" si="4"/>
        <v>19</v>
      </c>
      <c r="I258" s="10">
        <f>IFERROR(__xludf.DUMMYFUNCTION("MAX(FILTER($H$2:$H1463,$E$2:$E1463=F258))"),0.0)</f>
        <v>0</v>
      </c>
    </row>
    <row r="259">
      <c r="A259" s="4"/>
      <c r="C259" s="4" t="s">
        <v>337</v>
      </c>
      <c r="D259" s="4" t="str">
        <f t="shared" si="1"/>
        <v>{"valorA":"mais","valorB":1.0}</v>
      </c>
      <c r="E259" s="8" t="str">
        <f t="shared" si="2"/>
        <v>mais</v>
      </c>
      <c r="F259" s="8"/>
      <c r="G259" s="8" t="str">
        <f t="shared" si="3"/>
        <v>1.0</v>
      </c>
      <c r="H259" s="9">
        <f t="shared" si="4"/>
        <v>1</v>
      </c>
      <c r="I259" s="10">
        <f>IFERROR(__xludf.DUMMYFUNCTION("MAX(FILTER($H$2:$H1463,$E$2:$E1463=F259))"),0.0)</f>
        <v>0</v>
      </c>
    </row>
    <row r="260">
      <c r="A260" s="4"/>
      <c r="C260" s="4" t="s">
        <v>718</v>
      </c>
      <c r="D260" s="4" t="str">
        <f t="shared" si="1"/>
        <v>{"valorA":"um","valorB":5.0}</v>
      </c>
      <c r="E260" s="8" t="str">
        <f t="shared" si="2"/>
        <v>um</v>
      </c>
      <c r="F260" s="8"/>
      <c r="G260" s="8" t="str">
        <f t="shared" si="3"/>
        <v>5.0</v>
      </c>
      <c r="H260" s="9">
        <f t="shared" si="4"/>
        <v>5</v>
      </c>
      <c r="I260" s="10">
        <f>IFERROR(__xludf.DUMMYFUNCTION("MAX(FILTER($H$2:$H1463,$E$2:$E1463=F260))"),0.0)</f>
        <v>0</v>
      </c>
    </row>
    <row r="261">
      <c r="A261" s="4"/>
      <c r="C261" s="4" t="s">
        <v>719</v>
      </c>
      <c r="D261" s="4" t="str">
        <f t="shared" si="1"/>
        <v>{"valorA":"ótimo","valorB":28.0}</v>
      </c>
      <c r="E261" s="8" t="str">
        <f t="shared" si="2"/>
        <v>ótimo</v>
      </c>
      <c r="F261" s="8"/>
      <c r="G261" s="8" t="str">
        <f t="shared" si="3"/>
        <v>28.0</v>
      </c>
      <c r="H261" s="9">
        <f t="shared" si="4"/>
        <v>28</v>
      </c>
      <c r="I261" s="10">
        <f>IFERROR(__xludf.DUMMYFUNCTION("MAX(FILTER($H$2:$H1463,$E$2:$E1463=F261))"),0.0)</f>
        <v>0</v>
      </c>
    </row>
    <row r="262">
      <c r="A262" s="4"/>
      <c r="C262" s="4" t="s">
        <v>720</v>
      </c>
      <c r="D262" s="4" t="str">
        <f t="shared" si="1"/>
        <v>{"valorA":"para","valorB":10.0}</v>
      </c>
      <c r="E262" s="8" t="str">
        <f t="shared" si="2"/>
        <v>para</v>
      </c>
      <c r="F262" s="8"/>
      <c r="G262" s="8" t="str">
        <f t="shared" si="3"/>
        <v>10.0</v>
      </c>
      <c r="H262" s="9">
        <f t="shared" si="4"/>
        <v>10</v>
      </c>
      <c r="I262" s="10">
        <f>IFERROR(__xludf.DUMMYFUNCTION("MAX(FILTER($H$2:$H1463,$E$2:$E1463=F262))"),0.0)</f>
        <v>0</v>
      </c>
    </row>
    <row r="263">
      <c r="A263" s="4"/>
      <c r="C263" s="4" t="s">
        <v>276</v>
      </c>
      <c r="D263" s="4" t="str">
        <f t="shared" si="1"/>
        <v>{"valorA":"é","valorB":3.0}</v>
      </c>
      <c r="E263" s="8" t="str">
        <f t="shared" si="2"/>
        <v>é</v>
      </c>
      <c r="F263" s="8"/>
      <c r="G263" s="8" t="str">
        <f t="shared" si="3"/>
        <v>3.0</v>
      </c>
      <c r="H263" s="9">
        <f t="shared" si="4"/>
        <v>3</v>
      </c>
      <c r="I263" s="10">
        <f>IFERROR(__xludf.DUMMYFUNCTION("MAX(FILTER($H$2:$H1463,$E$2:$E1463=F263))"),0.0)</f>
        <v>0</v>
      </c>
    </row>
    <row r="264">
      <c r="A264" s="4"/>
      <c r="C264" s="4" t="s">
        <v>330</v>
      </c>
      <c r="D264" s="4" t="str">
        <f t="shared" si="1"/>
        <v>{"valorA":"bem","valorB":6.0}</v>
      </c>
      <c r="E264" s="8" t="str">
        <f t="shared" si="2"/>
        <v>bem</v>
      </c>
      <c r="F264" s="8"/>
      <c r="G264" s="8" t="str">
        <f t="shared" si="3"/>
        <v>6.0</v>
      </c>
      <c r="H264" s="9">
        <f t="shared" si="4"/>
        <v>6</v>
      </c>
      <c r="I264" s="10">
        <f>IFERROR(__xludf.DUMMYFUNCTION("MAX(FILTER($H$2:$H1463,$E$2:$E1463=F264))"),0.0)</f>
        <v>0</v>
      </c>
    </row>
    <row r="265">
      <c r="A265" s="4"/>
      <c r="C265" s="4" t="s">
        <v>386</v>
      </c>
      <c r="D265" s="4" t="str">
        <f t="shared" si="1"/>
        <v>{"valorA":"usar","valorB":4.0}</v>
      </c>
      <c r="E265" s="8" t="str">
        <f t="shared" si="2"/>
        <v>usar</v>
      </c>
      <c r="F265" s="8"/>
      <c r="G265" s="8" t="str">
        <f t="shared" si="3"/>
        <v>4.0</v>
      </c>
      <c r="H265" s="9">
        <f t="shared" si="4"/>
        <v>4</v>
      </c>
      <c r="I265" s="10">
        <f>IFERROR(__xludf.DUMMYFUNCTION("MAX(FILTER($H$2:$H1463,$E$2:$E1463=F265))"),0.0)</f>
        <v>0</v>
      </c>
    </row>
    <row r="266">
      <c r="A266" s="4"/>
      <c r="C266" s="4" t="s">
        <v>477</v>
      </c>
      <c r="D266" s="4" t="str">
        <f t="shared" si="1"/>
        <v>{"valorA":"e","valorB":11.0}</v>
      </c>
      <c r="E266" s="8" t="str">
        <f t="shared" si="2"/>
        <v>e</v>
      </c>
      <c r="F266" s="8"/>
      <c r="G266" s="8" t="str">
        <f t="shared" si="3"/>
        <v>11.0</v>
      </c>
      <c r="H266" s="9">
        <f t="shared" si="4"/>
        <v>11</v>
      </c>
      <c r="I266" s="10">
        <f>IFERROR(__xludf.DUMMYFUNCTION("MAX(FILTER($H$2:$H1463,$E$2:$E1463=F266))"),0.0)</f>
        <v>0</v>
      </c>
    </row>
    <row r="267">
      <c r="A267" s="4"/>
      <c r="C267" s="4" t="s">
        <v>427</v>
      </c>
      <c r="D267" s="4" t="str">
        <f t="shared" si="1"/>
        <v>{"valorA":"de","valorB":10.0}</v>
      </c>
      <c r="E267" s="8" t="str">
        <f t="shared" si="2"/>
        <v>de</v>
      </c>
      <c r="F267" s="8"/>
      <c r="G267" s="8" t="str">
        <f t="shared" si="3"/>
        <v>10.0</v>
      </c>
      <c r="H267" s="9">
        <f t="shared" si="4"/>
        <v>10</v>
      </c>
      <c r="I267" s="10">
        <f>IFERROR(__xludf.DUMMYFUNCTION("MAX(FILTER($H$2:$H1463,$E$2:$E1463=F267))"),0.0)</f>
        <v>0</v>
      </c>
    </row>
    <row r="268">
      <c r="A268" s="4"/>
      <c r="C268" s="4" t="s">
        <v>721</v>
      </c>
      <c r="D268" s="4" t="str">
        <f t="shared" si="1"/>
        <v>{"valorA":"resposta","valorB":1.0}</v>
      </c>
      <c r="E268" s="8" t="str">
        <f t="shared" si="2"/>
        <v>resposta</v>
      </c>
      <c r="F268" s="8"/>
      <c r="G268" s="8" t="str">
        <f t="shared" si="3"/>
        <v>1.0</v>
      </c>
      <c r="H268" s="9">
        <f t="shared" si="4"/>
        <v>1</v>
      </c>
      <c r="I268" s="10">
        <f>IFERROR(__xludf.DUMMYFUNCTION("MAX(FILTER($H$2:$H1463,$E$2:$E1463=F268))"),0.0)</f>
        <v>0</v>
      </c>
    </row>
    <row r="269">
      <c r="A269" s="4"/>
      <c r="C269" s="4" t="s">
        <v>722</v>
      </c>
      <c r="D269" s="4" t="str">
        <f t="shared" si="1"/>
        <v>{"valorA":"limpa","valorB":1.0}</v>
      </c>
      <c r="E269" s="8" t="str">
        <f t="shared" si="2"/>
        <v>limpa</v>
      </c>
      <c r="F269" s="8"/>
      <c r="G269" s="8" t="str">
        <f t="shared" si="3"/>
        <v>1.0</v>
      </c>
      <c r="H269" s="9">
        <f t="shared" si="4"/>
        <v>1</v>
      </c>
      <c r="I269" s="10">
        <f>IFERROR(__xludf.DUMMYFUNCTION("MAX(FILTER($H$2:$H1463,$E$2:$E1463=F269))"),0.0)</f>
        <v>0</v>
      </c>
    </row>
    <row r="270">
      <c r="A270" s="4"/>
      <c r="C270" s="4" t="s">
        <v>723</v>
      </c>
      <c r="D270" s="4" t="str">
        <f t="shared" si="1"/>
        <v>{"valorA":"produto","valorB":20.0}</v>
      </c>
      <c r="E270" s="8" t="str">
        <f t="shared" si="2"/>
        <v>produto</v>
      </c>
      <c r="F270" s="8"/>
      <c r="G270" s="8" t="str">
        <f t="shared" si="3"/>
        <v>20.0</v>
      </c>
      <c r="H270" s="9">
        <f t="shared" si="4"/>
        <v>20</v>
      </c>
      <c r="I270" s="10">
        <f>IFERROR(__xludf.DUMMYFUNCTION("MAX(FILTER($H$2:$H1463,$E$2:$E1463=F270))"),0.0)</f>
        <v>0</v>
      </c>
    </row>
    <row r="271">
      <c r="A271" s="4"/>
      <c r="C271" s="4" t="s">
        <v>724</v>
      </c>
      <c r="D271" s="4" t="str">
        <f t="shared" si="1"/>
        <v>{"valorA":"fácil","valorB":5.0}</v>
      </c>
      <c r="E271" s="8" t="str">
        <f t="shared" si="2"/>
        <v>fácil</v>
      </c>
      <c r="F271" s="8"/>
      <c r="G271" s="8" t="str">
        <f t="shared" si="3"/>
        <v>5.0</v>
      </c>
      <c r="H271" s="9">
        <f t="shared" si="4"/>
        <v>5</v>
      </c>
      <c r="I271" s="10">
        <f>IFERROR(__xludf.DUMMYFUNCTION("MAX(FILTER($H$2:$H1463,$E$2:$E1463=F271))"),0.0)</f>
        <v>0</v>
      </c>
    </row>
    <row r="272">
      <c r="A272" s="4"/>
      <c r="C272" s="4" t="s">
        <v>725</v>
      </c>
      <c r="D272" s="4" t="str">
        <f t="shared" si="1"/>
        <v>{"valorA":"casa","valorB":2.0}</v>
      </c>
      <c r="E272" s="8" t="str">
        <f t="shared" si="2"/>
        <v>casa</v>
      </c>
      <c r="F272" s="8"/>
      <c r="G272" s="8" t="str">
        <f t="shared" si="3"/>
        <v>2.0</v>
      </c>
      <c r="H272" s="9">
        <f t="shared" si="4"/>
        <v>2</v>
      </c>
      <c r="I272" s="10">
        <f>IFERROR(__xludf.DUMMYFUNCTION("MAX(FILTER($H$2:$H1463,$E$2:$E1463=F272))"),0.0)</f>
        <v>0</v>
      </c>
    </row>
    <row r="273">
      <c r="A273" s="4"/>
      <c r="C273" s="4" t="s">
        <v>726</v>
      </c>
      <c r="D273" s="4" t="str">
        <f t="shared" si="1"/>
        <v>{"valorA":"a","valorB":10.0}</v>
      </c>
      <c r="E273" s="8" t="str">
        <f t="shared" si="2"/>
        <v>a</v>
      </c>
      <c r="F273" s="8"/>
      <c r="G273" s="8" t="str">
        <f t="shared" si="3"/>
        <v>10.0</v>
      </c>
      <c r="H273" s="9">
        <f t="shared" si="4"/>
        <v>10</v>
      </c>
      <c r="I273" s="10">
        <f>IFERROR(__xludf.DUMMYFUNCTION("MAX(FILTER($H$2:$H1463,$E$2:$E1463=F273))"),0.0)</f>
        <v>0</v>
      </c>
    </row>
    <row r="274">
      <c r="A274" s="4"/>
      <c r="C274" s="4" t="s">
        <v>727</v>
      </c>
      <c r="D274" s="4" t="str">
        <f t="shared" si="1"/>
        <v>{"valorA":"ótimo","valorB":29.0}</v>
      </c>
      <c r="E274" s="8" t="str">
        <f t="shared" si="2"/>
        <v>ótimo</v>
      </c>
      <c r="F274" s="8"/>
      <c r="G274" s="8" t="str">
        <f t="shared" si="3"/>
        <v>29.0</v>
      </c>
      <c r="H274" s="9">
        <f t="shared" si="4"/>
        <v>29</v>
      </c>
      <c r="I274" s="10">
        <f>IFERROR(__xludf.DUMMYFUNCTION("MAX(FILTER($H$2:$H1463,$E$2:$E1463=F274))"),0.0)</f>
        <v>0</v>
      </c>
    </row>
    <row r="275">
      <c r="A275" s="4"/>
      <c r="C275" s="4" t="s">
        <v>728</v>
      </c>
      <c r="D275" s="4" t="str">
        <f t="shared" si="1"/>
        <v>{"valorA":"para","valorB":11.0}</v>
      </c>
      <c r="E275" s="8" t="str">
        <f t="shared" si="2"/>
        <v>para</v>
      </c>
      <c r="F275" s="8"/>
      <c r="G275" s="8" t="str">
        <f t="shared" si="3"/>
        <v>11.0</v>
      </c>
      <c r="H275" s="9">
        <f t="shared" si="4"/>
        <v>11</v>
      </c>
      <c r="I275" s="10">
        <f>IFERROR(__xludf.DUMMYFUNCTION("MAX(FILTER($H$2:$H1463,$E$2:$E1463=F275))"),0.0)</f>
        <v>0</v>
      </c>
    </row>
    <row r="276">
      <c r="A276" s="4"/>
      <c r="C276" s="4" t="s">
        <v>729</v>
      </c>
      <c r="D276" s="4" t="str">
        <f t="shared" si="1"/>
        <v>{"valorA":"adorooo","valorB":1.0}</v>
      </c>
      <c r="E276" s="8" t="str">
        <f t="shared" si="2"/>
        <v>adorooo</v>
      </c>
      <c r="F276" s="8"/>
      <c r="G276" s="8" t="str">
        <f t="shared" si="3"/>
        <v>1.0</v>
      </c>
      <c r="H276" s="9">
        <f t="shared" si="4"/>
        <v>1</v>
      </c>
      <c r="I276" s="10">
        <f>IFERROR(__xludf.DUMMYFUNCTION("MAX(FILTER($H$2:$H1463,$E$2:$E1463=F276))"),0.0)</f>
        <v>0</v>
      </c>
    </row>
    <row r="277">
      <c r="A277" s="4"/>
      <c r="C277" s="4" t="s">
        <v>730</v>
      </c>
      <c r="D277" s="4" t="str">
        <f t="shared" si="1"/>
        <v>{"valorA":"tão","valorB":3.0}</v>
      </c>
      <c r="E277" s="8" t="str">
        <f t="shared" si="2"/>
        <v>tão</v>
      </c>
      <c r="F277" s="8"/>
      <c r="G277" s="8" t="str">
        <f t="shared" si="3"/>
        <v>3.0</v>
      </c>
      <c r="H277" s="9">
        <f t="shared" si="4"/>
        <v>3</v>
      </c>
      <c r="I277" s="10">
        <f>IFERROR(__xludf.DUMMYFUNCTION("MAX(FILTER($H$2:$H1463,$E$2:$E1463=F277))"),0.0)</f>
        <v>0</v>
      </c>
    </row>
    <row r="278">
      <c r="A278" s="4"/>
      <c r="C278" s="4" t="s">
        <v>731</v>
      </c>
      <c r="D278" s="4" t="str">
        <f t="shared" si="1"/>
        <v>{"valorA":"bom","valorB":4.0}</v>
      </c>
      <c r="E278" s="8" t="str">
        <f t="shared" si="2"/>
        <v>bom</v>
      </c>
      <c r="F278" s="8"/>
      <c r="G278" s="8" t="str">
        <f t="shared" si="3"/>
        <v>4.0</v>
      </c>
      <c r="H278" s="9">
        <f t="shared" si="4"/>
        <v>4</v>
      </c>
      <c r="I278" s="10">
        <f>IFERROR(__xludf.DUMMYFUNCTION("MAX(FILTER($H$2:$H1463,$E$2:$E1463=F278))"),0.0)</f>
        <v>0</v>
      </c>
    </row>
    <row r="279">
      <c r="A279" s="4"/>
      <c r="C279" s="4" t="s">
        <v>732</v>
      </c>
      <c r="D279" s="4" t="str">
        <f t="shared" si="1"/>
        <v>{"valorA":"eu","valorB":1.0}</v>
      </c>
      <c r="E279" s="8" t="str">
        <f t="shared" si="2"/>
        <v>eu</v>
      </c>
      <c r="F279" s="8"/>
      <c r="G279" s="8" t="str">
        <f t="shared" si="3"/>
        <v>1.0</v>
      </c>
      <c r="H279" s="9">
        <f t="shared" si="4"/>
        <v>1</v>
      </c>
      <c r="I279" s="10">
        <f>IFERROR(__xludf.DUMMYFUNCTION("MAX(FILTER($H$2:$H1463,$E$2:$E1463=F279))"),0.0)</f>
        <v>0</v>
      </c>
    </row>
    <row r="280">
      <c r="A280" s="4"/>
      <c r="C280" s="4" t="s">
        <v>375</v>
      </c>
      <c r="D280" s="4" t="str">
        <f t="shared" si="1"/>
        <v>{"valorA":"produto","valorB":21.0}</v>
      </c>
      <c r="E280" s="8" t="str">
        <f t="shared" si="2"/>
        <v>produto</v>
      </c>
      <c r="F280" s="8"/>
      <c r="G280" s="8" t="str">
        <f t="shared" si="3"/>
        <v>21.0</v>
      </c>
      <c r="H280" s="9">
        <f t="shared" si="4"/>
        <v>21</v>
      </c>
      <c r="I280" s="10">
        <f>IFERROR(__xludf.DUMMYFUNCTION("MAX(FILTER($H$2:$H1463,$E$2:$E1463=F280))"),0.0)</f>
        <v>0</v>
      </c>
    </row>
    <row r="281">
      <c r="A281" s="4"/>
      <c r="C281" s="4" t="s">
        <v>733</v>
      </c>
      <c r="D281" s="4" t="str">
        <f t="shared" si="1"/>
        <v>{"valorA":"um","valorB":6.0}</v>
      </c>
      <c r="E281" s="8" t="str">
        <f t="shared" si="2"/>
        <v>um</v>
      </c>
      <c r="F281" s="8"/>
      <c r="G281" s="8" t="str">
        <f t="shared" si="3"/>
        <v>6.0</v>
      </c>
      <c r="H281" s="9">
        <f t="shared" si="4"/>
        <v>6</v>
      </c>
      <c r="I281" s="10">
        <f>IFERROR(__xludf.DUMMYFUNCTION("MAX(FILTER($H$2:$H1463,$E$2:$E1463=F281))"),0.0)</f>
        <v>0</v>
      </c>
    </row>
    <row r="282">
      <c r="A282" s="4"/>
      <c r="C282" s="4" t="s">
        <v>734</v>
      </c>
      <c r="D282" s="4" t="str">
        <f t="shared" si="1"/>
        <v>{"valorA":"preço","valorB":12.0}</v>
      </c>
      <c r="E282" s="8" t="str">
        <f t="shared" si="2"/>
        <v>preço</v>
      </c>
      <c r="F282" s="8"/>
      <c r="G282" s="8" t="str">
        <f t="shared" si="3"/>
        <v>12.0</v>
      </c>
      <c r="H282" s="9">
        <f t="shared" si="4"/>
        <v>12</v>
      </c>
      <c r="I282" s="10">
        <f>IFERROR(__xludf.DUMMYFUNCTION("MAX(FILTER($H$2:$H1463,$E$2:$E1463=F282))"),0.0)</f>
        <v>0</v>
      </c>
    </row>
    <row r="283">
      <c r="A283" s="4"/>
      <c r="C283" s="4" t="s">
        <v>328</v>
      </c>
      <c r="D283" s="4" t="str">
        <f t="shared" si="1"/>
        <v>{"valorA":"com","valorB":2.0}</v>
      </c>
      <c r="E283" s="8" t="str">
        <f t="shared" si="2"/>
        <v>com</v>
      </c>
      <c r="F283" s="8"/>
      <c r="G283" s="8" t="str">
        <f t="shared" si="3"/>
        <v>2.0</v>
      </c>
      <c r="H283" s="9">
        <f t="shared" si="4"/>
        <v>2</v>
      </c>
      <c r="I283" s="10">
        <f>IFERROR(__xludf.DUMMYFUNCTION("MAX(FILTER($H$2:$H1463,$E$2:$E1463=F283))"),0.0)</f>
        <v>0</v>
      </c>
    </row>
    <row r="284">
      <c r="A284" s="4"/>
      <c r="C284" s="4" t="s">
        <v>407</v>
      </c>
      <c r="D284" s="4" t="str">
        <f t="shared" si="1"/>
        <v>{"valorA":"meu","valorB":4.0}</v>
      </c>
      <c r="E284" s="8" t="str">
        <f t="shared" si="2"/>
        <v>meu</v>
      </c>
      <c r="F284" s="8"/>
      <c r="G284" s="8" t="str">
        <f t="shared" si="3"/>
        <v>4.0</v>
      </c>
      <c r="H284" s="9">
        <f t="shared" si="4"/>
        <v>4</v>
      </c>
      <c r="I284" s="10">
        <f>IFERROR(__xludf.DUMMYFUNCTION("MAX(FILTER($H$2:$H1463,$E$2:$E1463=F284))"),0.0)</f>
        <v>0</v>
      </c>
    </row>
    <row r="285">
      <c r="A285" s="4"/>
      <c r="C285" s="4" t="s">
        <v>735</v>
      </c>
      <c r="D285" s="4" t="str">
        <f t="shared" si="1"/>
        <v>{"valorA":"fico","valorB":1.0}</v>
      </c>
      <c r="E285" s="8" t="str">
        <f t="shared" si="2"/>
        <v>fico</v>
      </c>
      <c r="F285" s="8"/>
      <c r="G285" s="8" t="str">
        <f t="shared" si="3"/>
        <v>1.0</v>
      </c>
      <c r="H285" s="9">
        <f t="shared" si="4"/>
        <v>1</v>
      </c>
      <c r="I285" s="10">
        <f>IFERROR(__xludf.DUMMYFUNCTION("MAX(FILTER($H$2:$H1463,$E$2:$E1463=F285))"),0.0)</f>
        <v>0</v>
      </c>
    </row>
    <row r="286">
      <c r="A286" s="4"/>
      <c r="C286" s="4" t="s">
        <v>492</v>
      </c>
      <c r="D286" s="4" t="str">
        <f t="shared" si="1"/>
        <v>{"valorA":"super","valorB":1.0}</v>
      </c>
      <c r="E286" s="8" t="str">
        <f t="shared" si="2"/>
        <v>super</v>
      </c>
      <c r="F286" s="8"/>
      <c r="G286" s="8" t="str">
        <f t="shared" si="3"/>
        <v>1.0</v>
      </c>
      <c r="H286" s="9">
        <f t="shared" si="4"/>
        <v>1</v>
      </c>
      <c r="I286" s="10">
        <f>IFERROR(__xludf.DUMMYFUNCTION("MAX(FILTER($H$2:$H1463,$E$2:$E1463=F286))"),0.0)</f>
        <v>0</v>
      </c>
    </row>
    <row r="287">
      <c r="A287" s="4"/>
      <c r="C287" s="4" t="s">
        <v>736</v>
      </c>
      <c r="D287" s="4" t="str">
        <f t="shared" si="1"/>
        <v>{"valorA":"feliz","valorB":2.0}</v>
      </c>
      <c r="E287" s="8" t="str">
        <f t="shared" si="2"/>
        <v>feliz</v>
      </c>
      <c r="F287" s="8"/>
      <c r="G287" s="8" t="str">
        <f t="shared" si="3"/>
        <v>2.0</v>
      </c>
      <c r="H287" s="9">
        <f t="shared" si="4"/>
        <v>2</v>
      </c>
      <c r="I287" s="10">
        <f>IFERROR(__xludf.DUMMYFUNCTION("MAX(FILTER($H$2:$H1463,$E$2:$E1463=F287))"),0.0)</f>
        <v>0</v>
      </c>
    </row>
    <row r="288">
      <c r="A288" s="4"/>
      <c r="C288" s="4" t="s">
        <v>737</v>
      </c>
      <c r="D288" s="4" t="str">
        <f t="shared" si="1"/>
        <v>{"valorA":"televisor","valorB":4.0}</v>
      </c>
      <c r="E288" s="8" t="str">
        <f t="shared" si="2"/>
        <v>televisor</v>
      </c>
      <c r="F288" s="8"/>
      <c r="G288" s="8" t="str">
        <f t="shared" si="3"/>
        <v>4.0</v>
      </c>
      <c r="H288" s="9">
        <f t="shared" si="4"/>
        <v>4</v>
      </c>
      <c r="I288" s="10">
        <f>IFERROR(__xludf.DUMMYFUNCTION("MAX(FILTER($H$2:$H1463,$E$2:$E1463=F288))"),0.0)</f>
        <v>0</v>
      </c>
    </row>
    <row r="289">
      <c r="A289" s="4"/>
      <c r="C289" s="4" t="s">
        <v>376</v>
      </c>
      <c r="D289" s="4" t="str">
        <f t="shared" si="1"/>
        <v>{"valorA":"ótimo","valorB":30.0}</v>
      </c>
      <c r="E289" s="8" t="str">
        <f t="shared" si="2"/>
        <v>ótimo</v>
      </c>
      <c r="F289" s="8"/>
      <c r="G289" s="8" t="str">
        <f t="shared" si="3"/>
        <v>30.0</v>
      </c>
      <c r="H289" s="9">
        <f t="shared" si="4"/>
        <v>30</v>
      </c>
      <c r="I289" s="10">
        <f>IFERROR(__xludf.DUMMYFUNCTION("MAX(FILTER($H$2:$H1463,$E$2:$E1463=F289))"),0.0)</f>
        <v>0</v>
      </c>
    </row>
    <row r="290">
      <c r="A290" s="4"/>
      <c r="C290" s="4" t="s">
        <v>341</v>
      </c>
      <c r="D290" s="4" t="str">
        <f t="shared" si="1"/>
        <v>{"valorA":"compra","valorB":2.0}</v>
      </c>
      <c r="E290" s="8" t="str">
        <f t="shared" si="2"/>
        <v>compra</v>
      </c>
      <c r="F290" s="8"/>
      <c r="G290" s="8" t="str">
        <f t="shared" si="3"/>
        <v>2.0</v>
      </c>
      <c r="H290" s="9">
        <f t="shared" si="4"/>
        <v>2</v>
      </c>
      <c r="I290" s="10">
        <f>IFERROR(__xludf.DUMMYFUNCTION("MAX(FILTER($H$2:$H1463,$E$2:$E1463=F290))"),0.0)</f>
        <v>0</v>
      </c>
    </row>
    <row r="291">
      <c r="A291" s="4"/>
      <c r="C291" s="4" t="s">
        <v>738</v>
      </c>
      <c r="D291" s="4" t="str">
        <f t="shared" si="1"/>
        <v>{"valorA":"a","valorB":11.0}</v>
      </c>
      <c r="E291" s="8" t="str">
        <f t="shared" si="2"/>
        <v>a</v>
      </c>
      <c r="F291" s="8"/>
      <c r="G291" s="8" t="str">
        <f t="shared" si="3"/>
        <v>11.0</v>
      </c>
      <c r="H291" s="9">
        <f t="shared" si="4"/>
        <v>11</v>
      </c>
      <c r="I291" s="10">
        <f>IFERROR(__xludf.DUMMYFUNCTION("MAX(FILTER($H$2:$H1463,$E$2:$E1463=F291))"),0.0)</f>
        <v>0</v>
      </c>
    </row>
    <row r="292">
      <c r="A292" s="4"/>
      <c r="C292" s="4" t="s">
        <v>216</v>
      </c>
      <c r="D292" s="4" t="str">
        <f t="shared" si="1"/>
        <v>{"valorA":"novo","valorB":1.0}</v>
      </c>
      <c r="E292" s="8" t="str">
        <f t="shared" si="2"/>
        <v>novo</v>
      </c>
      <c r="F292" s="8"/>
      <c r="G292" s="8" t="str">
        <f t="shared" si="3"/>
        <v>1.0</v>
      </c>
      <c r="H292" s="9">
        <f t="shared" si="4"/>
        <v>1</v>
      </c>
      <c r="I292" s="10">
        <f>IFERROR(__xludf.DUMMYFUNCTION("MAX(FILTER($H$2:$H1463,$E$2:$E1463=F292))"),0.0)</f>
        <v>0</v>
      </c>
    </row>
    <row r="293">
      <c r="A293" s="4"/>
      <c r="C293" s="4" t="s">
        <v>739</v>
      </c>
      <c r="D293" s="4" t="str">
        <f t="shared" si="1"/>
        <v>{"valorA":"ótimo","valorB":31.0}</v>
      </c>
      <c r="E293" s="8" t="str">
        <f t="shared" si="2"/>
        <v>ótimo</v>
      </c>
      <c r="F293" s="8"/>
      <c r="G293" s="8" t="str">
        <f t="shared" si="3"/>
        <v>31.0</v>
      </c>
      <c r="H293" s="9">
        <f t="shared" si="4"/>
        <v>31</v>
      </c>
      <c r="I293" s="10">
        <f>IFERROR(__xludf.DUMMYFUNCTION("MAX(FILTER($H$2:$H1463,$E$2:$E1463=F293))"),0.0)</f>
        <v>0</v>
      </c>
    </row>
    <row r="294">
      <c r="A294" s="4"/>
      <c r="C294" s="4" t="s">
        <v>305</v>
      </c>
      <c r="D294" s="4" t="str">
        <f t="shared" si="1"/>
        <v>{"valorA":"é","valorB":4.0}</v>
      </c>
      <c r="E294" s="8" t="str">
        <f t="shared" si="2"/>
        <v>é</v>
      </c>
      <c r="F294" s="8"/>
      <c r="G294" s="8" t="str">
        <f t="shared" si="3"/>
        <v>4.0</v>
      </c>
      <c r="H294" s="9">
        <f t="shared" si="4"/>
        <v>4</v>
      </c>
      <c r="I294" s="10">
        <f>IFERROR(__xludf.DUMMYFUNCTION("MAX(FILTER($H$2:$H1463,$E$2:$E1463=F294))"),0.0)</f>
        <v>0</v>
      </c>
    </row>
    <row r="295">
      <c r="A295" s="4"/>
      <c r="C295" s="4" t="s">
        <v>740</v>
      </c>
      <c r="D295" s="4" t="str">
        <f t="shared" si="1"/>
        <v>{"valorA":"caro","valorB":1.0}</v>
      </c>
      <c r="E295" s="8" t="str">
        <f t="shared" si="2"/>
        <v>caro</v>
      </c>
      <c r="F295" s="8"/>
      <c r="G295" s="8" t="str">
        <f t="shared" si="3"/>
        <v>1.0</v>
      </c>
      <c r="H295" s="9">
        <f t="shared" si="4"/>
        <v>1</v>
      </c>
      <c r="I295" s="10">
        <f>IFERROR(__xludf.DUMMYFUNCTION("MAX(FILTER($H$2:$H1463,$E$2:$E1463=F295))"),0.0)</f>
        <v>0</v>
      </c>
    </row>
    <row r="296">
      <c r="A296" s="4"/>
      <c r="C296" s="4" t="s">
        <v>741</v>
      </c>
      <c r="D296" s="4" t="str">
        <f t="shared" si="1"/>
        <v>{"valorA":"produto","valorB":22.0}</v>
      </c>
      <c r="E296" s="8" t="str">
        <f t="shared" si="2"/>
        <v>produto</v>
      </c>
      <c r="F296" s="8"/>
      <c r="G296" s="8" t="str">
        <f t="shared" si="3"/>
        <v>22.0</v>
      </c>
      <c r="H296" s="9">
        <f t="shared" si="4"/>
        <v>22</v>
      </c>
      <c r="I296" s="10">
        <f>IFERROR(__xludf.DUMMYFUNCTION("MAX(FILTER($H$2:$H1463,$E$2:$E1463=F296))"),0.0)</f>
        <v>0</v>
      </c>
    </row>
    <row r="297">
      <c r="A297" s="4"/>
      <c r="C297" s="4" t="s">
        <v>742</v>
      </c>
      <c r="D297" s="4" t="str">
        <f t="shared" si="1"/>
        <v>{"valorA":"mas","valorB":6.0}</v>
      </c>
      <c r="E297" s="8" t="str">
        <f t="shared" si="2"/>
        <v>mas</v>
      </c>
      <c r="F297" s="8"/>
      <c r="G297" s="8" t="str">
        <f t="shared" si="3"/>
        <v>6.0</v>
      </c>
      <c r="H297" s="9">
        <f t="shared" si="4"/>
        <v>6</v>
      </c>
      <c r="I297" s="10">
        <f>IFERROR(__xludf.DUMMYFUNCTION("MAX(FILTER($H$2:$H1463,$E$2:$E1463=F297))"),0.0)</f>
        <v>0</v>
      </c>
    </row>
    <row r="298">
      <c r="A298" s="4"/>
      <c r="C298" s="4" t="s">
        <v>339</v>
      </c>
      <c r="D298" s="4" t="str">
        <f t="shared" si="1"/>
        <v>{"valorA":"muito","valorB":10.0}</v>
      </c>
      <c r="E298" s="8" t="str">
        <f t="shared" si="2"/>
        <v>muito</v>
      </c>
      <c r="F298" s="8"/>
      <c r="G298" s="8" t="str">
        <f t="shared" si="3"/>
        <v>10.0</v>
      </c>
      <c r="H298" s="9">
        <f t="shared" si="4"/>
        <v>10</v>
      </c>
      <c r="I298" s="10">
        <f>IFERROR(__xludf.DUMMYFUNCTION("MAX(FILTER($H$2:$H1463,$E$2:$E1463=F298))"),0.0)</f>
        <v>0</v>
      </c>
    </row>
    <row r="299">
      <c r="A299" s="4"/>
      <c r="C299" s="4" t="s">
        <v>743</v>
      </c>
      <c r="D299" s="4" t="str">
        <f t="shared" si="1"/>
        <v>{"valorA":"para","valorB":12.0}</v>
      </c>
      <c r="E299" s="8" t="str">
        <f t="shared" si="2"/>
        <v>para</v>
      </c>
      <c r="F299" s="8"/>
      <c r="G299" s="8" t="str">
        <f t="shared" si="3"/>
        <v>12.0</v>
      </c>
      <c r="H299" s="9">
        <f t="shared" si="4"/>
        <v>12</v>
      </c>
      <c r="I299" s="10">
        <f>IFERROR(__xludf.DUMMYFUNCTION("MAX(FILTER($H$2:$H1463,$E$2:$E1463=F299))"),0.0)</f>
        <v>0</v>
      </c>
    </row>
    <row r="300">
      <c r="A300" s="4"/>
      <c r="C300" s="4" t="s">
        <v>744</v>
      </c>
      <c r="D300" s="4" t="str">
        <f t="shared" si="1"/>
        <v>{"valorA":"bem","valorB":7.0}</v>
      </c>
      <c r="E300" s="8" t="str">
        <f t="shared" si="2"/>
        <v>bem</v>
      </c>
      <c r="F300" s="8"/>
      <c r="G300" s="8" t="str">
        <f t="shared" si="3"/>
        <v>7.0</v>
      </c>
      <c r="H300" s="9">
        <f t="shared" si="4"/>
        <v>7</v>
      </c>
      <c r="I300" s="10">
        <f>IFERROR(__xludf.DUMMYFUNCTION("MAX(FILTER($H$2:$H1463,$E$2:$E1463=F300))"),0.0)</f>
        <v>0</v>
      </c>
    </row>
    <row r="301">
      <c r="A301" s="4"/>
      <c r="C301" s="4" t="s">
        <v>745</v>
      </c>
      <c r="D301" s="4" t="str">
        <f t="shared" si="1"/>
        <v>{"valorA":"o","valorB":7.0}</v>
      </c>
      <c r="E301" s="8" t="str">
        <f t="shared" si="2"/>
        <v>o</v>
      </c>
      <c r="F301" s="8"/>
      <c r="G301" s="8" t="str">
        <f t="shared" si="3"/>
        <v>7.0</v>
      </c>
      <c r="H301" s="9">
        <f t="shared" si="4"/>
        <v>7</v>
      </c>
      <c r="I301" s="10">
        <f>IFERROR(__xludf.DUMMYFUNCTION("MAX(FILTER($H$2:$H1463,$E$2:$E1463=F301))"),0.0)</f>
        <v>0</v>
      </c>
    </row>
    <row r="302">
      <c r="A302" s="4"/>
      <c r="C302" s="4" t="s">
        <v>746</v>
      </c>
      <c r="D302" s="4" t="str">
        <f t="shared" si="1"/>
        <v>{"valorA":"que","valorB":6.0}</v>
      </c>
      <c r="E302" s="8" t="str">
        <f t="shared" si="2"/>
        <v>que</v>
      </c>
      <c r="F302" s="8"/>
      <c r="G302" s="8" t="str">
        <f t="shared" si="3"/>
        <v>6.0</v>
      </c>
      <c r="H302" s="9">
        <f t="shared" si="4"/>
        <v>6</v>
      </c>
      <c r="I302" s="10">
        <f>IFERROR(__xludf.DUMMYFUNCTION("MAX(FILTER($H$2:$H1463,$E$2:$E1463=F302))"),0.0)</f>
        <v>0</v>
      </c>
    </row>
    <row r="303">
      <c r="A303" s="4"/>
      <c r="C303" s="4" t="s">
        <v>391</v>
      </c>
      <c r="D303" s="4" t="str">
        <f t="shared" si="1"/>
        <v>{"valorA":"produto","valorB":23.0}</v>
      </c>
      <c r="E303" s="8" t="str">
        <f t="shared" si="2"/>
        <v>produto</v>
      </c>
      <c r="F303" s="8"/>
      <c r="G303" s="8" t="str">
        <f t="shared" si="3"/>
        <v>23.0</v>
      </c>
      <c r="H303" s="9">
        <f t="shared" si="4"/>
        <v>23</v>
      </c>
      <c r="I303" s="10">
        <f>IFERROR(__xludf.DUMMYFUNCTION("MAX(FILTER($H$2:$H1463,$E$2:$E1463=F303))"),0.0)</f>
        <v>0</v>
      </c>
    </row>
    <row r="304">
      <c r="A304" s="4"/>
      <c r="C304" s="4" t="s">
        <v>747</v>
      </c>
      <c r="D304" s="4" t="str">
        <f t="shared" si="1"/>
        <v>{"valorA":"ótimo","valorB":32.0}</v>
      </c>
      <c r="E304" s="8" t="str">
        <f t="shared" si="2"/>
        <v>ótimo</v>
      </c>
      <c r="F304" s="8"/>
      <c r="G304" s="8" t="str">
        <f t="shared" si="3"/>
        <v>32.0</v>
      </c>
      <c r="H304" s="9">
        <f t="shared" si="4"/>
        <v>32</v>
      </c>
      <c r="I304" s="10">
        <f>IFERROR(__xludf.DUMMYFUNCTION("MAX(FILTER($H$2:$H1463,$E$2:$E1463=F304))"),0.0)</f>
        <v>0</v>
      </c>
    </row>
    <row r="305">
      <c r="A305" s="4"/>
      <c r="C305" s="4" t="s">
        <v>748</v>
      </c>
      <c r="D305" s="4" t="str">
        <f t="shared" si="1"/>
        <v>{"valorA":"paguei","valorB":5.0}</v>
      </c>
      <c r="E305" s="8" t="str">
        <f t="shared" si="2"/>
        <v>paguei</v>
      </c>
      <c r="F305" s="8"/>
      <c r="G305" s="8" t="str">
        <f t="shared" si="3"/>
        <v>5.0</v>
      </c>
      <c r="H305" s="9">
        <f t="shared" si="4"/>
        <v>5</v>
      </c>
      <c r="I305" s="10">
        <f>IFERROR(__xludf.DUMMYFUNCTION("MAX(FILTER($H$2:$H1463,$E$2:$E1463=F305))"),0.0)</f>
        <v>0</v>
      </c>
    </row>
    <row r="306">
      <c r="A306" s="4"/>
      <c r="C306" s="4" t="s">
        <v>343</v>
      </c>
      <c r="D306" s="4" t="str">
        <f t="shared" si="1"/>
        <v>{"valorA":"funciona","valorB":7.0}</v>
      </c>
      <c r="E306" s="8" t="str">
        <f t="shared" si="2"/>
        <v>funciona</v>
      </c>
      <c r="F306" s="8"/>
      <c r="G306" s="8" t="str">
        <f t="shared" si="3"/>
        <v>7.0</v>
      </c>
      <c r="H306" s="9">
        <f t="shared" si="4"/>
        <v>7</v>
      </c>
      <c r="I306" s="10">
        <f>IFERROR(__xludf.DUMMYFUNCTION("MAX(FILTER($H$2:$H1463,$E$2:$E1463=F306))"),0.0)</f>
        <v>0</v>
      </c>
    </row>
    <row r="307">
      <c r="A307" s="4"/>
      <c r="C307" s="4" t="s">
        <v>749</v>
      </c>
      <c r="D307" s="4" t="str">
        <f t="shared" si="1"/>
        <v>{"valorA":"preço","valorB":13.0}</v>
      </c>
      <c r="E307" s="8" t="str">
        <f t="shared" si="2"/>
        <v>preço</v>
      </c>
      <c r="F307" s="8"/>
      <c r="G307" s="8" t="str">
        <f t="shared" si="3"/>
        <v>13.0</v>
      </c>
      <c r="H307" s="9">
        <f t="shared" si="4"/>
        <v>13</v>
      </c>
      <c r="I307" s="10">
        <f>IFERROR(__xludf.DUMMYFUNCTION("MAX(FILTER($H$2:$H1463,$E$2:$E1463=F307))"),0.0)</f>
        <v>0</v>
      </c>
    </row>
    <row r="308">
      <c r="A308" s="4"/>
      <c r="C308" s="4" t="s">
        <v>750</v>
      </c>
      <c r="D308" s="4" t="str">
        <f t="shared" si="1"/>
        <v>{"valorA":"ótima","valorB":1.0}</v>
      </c>
      <c r="E308" s="8" t="str">
        <f t="shared" si="2"/>
        <v>ótima</v>
      </c>
      <c r="F308" s="8"/>
      <c r="G308" s="8" t="str">
        <f t="shared" si="3"/>
        <v>1.0</v>
      </c>
      <c r="H308" s="9">
        <f t="shared" si="4"/>
        <v>1</v>
      </c>
      <c r="I308" s="10">
        <f>IFERROR(__xludf.DUMMYFUNCTION("MAX(FILTER($H$2:$H1463,$E$2:$E1463=F308))"),0.0)</f>
        <v>0</v>
      </c>
    </row>
    <row r="309">
      <c r="A309" s="4"/>
      <c r="C309" s="4" t="s">
        <v>751</v>
      </c>
      <c r="D309" s="4" t="str">
        <f t="shared" si="1"/>
        <v>{"valorA":"qualidade","valorB":8.0}</v>
      </c>
      <c r="E309" s="8" t="str">
        <f t="shared" si="2"/>
        <v>qualidade</v>
      </c>
      <c r="F309" s="8"/>
      <c r="G309" s="8" t="str">
        <f t="shared" si="3"/>
        <v>8.0</v>
      </c>
      <c r="H309" s="9">
        <f t="shared" si="4"/>
        <v>8</v>
      </c>
      <c r="I309" s="10">
        <f>IFERROR(__xludf.DUMMYFUNCTION("MAX(FILTER($H$2:$H1463,$E$2:$E1463=F309))"),0.0)</f>
        <v>0</v>
      </c>
    </row>
    <row r="310">
      <c r="A310" s="4"/>
      <c r="C310" s="4" t="s">
        <v>752</v>
      </c>
      <c r="D310" s="4" t="str">
        <f t="shared" si="1"/>
        <v>{"valorA":"produz","valorB":1.0}</v>
      </c>
      <c r="E310" s="8" t="str">
        <f t="shared" si="2"/>
        <v>produz</v>
      </c>
      <c r="F310" s="8"/>
      <c r="G310" s="8" t="str">
        <f t="shared" si="3"/>
        <v>1.0</v>
      </c>
      <c r="H310" s="9">
        <f t="shared" si="4"/>
        <v>1</v>
      </c>
      <c r="I310" s="10">
        <f>IFERROR(__xludf.DUMMYFUNCTION("MAX(FILTER($H$2:$H1463,$E$2:$E1463=F310))"),0.0)</f>
        <v>0</v>
      </c>
    </row>
    <row r="311">
      <c r="A311" s="4"/>
      <c r="C311" s="4" t="s">
        <v>439</v>
      </c>
      <c r="D311" s="4" t="str">
        <f t="shared" si="1"/>
        <v>{"valorA":"usar","valorB":5.0}</v>
      </c>
      <c r="E311" s="8" t="str">
        <f t="shared" si="2"/>
        <v>usar</v>
      </c>
      <c r="F311" s="8"/>
      <c r="G311" s="8" t="str">
        <f t="shared" si="3"/>
        <v>5.0</v>
      </c>
      <c r="H311" s="9">
        <f t="shared" si="4"/>
        <v>5</v>
      </c>
      <c r="I311" s="10">
        <f>IFERROR(__xludf.DUMMYFUNCTION("MAX(FILTER($H$2:$H1463,$E$2:$E1463=F311))"),0.0)</f>
        <v>0</v>
      </c>
    </row>
    <row r="312">
      <c r="A312" s="4"/>
      <c r="C312" s="4" t="s">
        <v>441</v>
      </c>
      <c r="D312" s="4" t="str">
        <f t="shared" si="1"/>
        <v>{"valorA":"de","valorB":11.0}</v>
      </c>
      <c r="E312" s="8" t="str">
        <f t="shared" si="2"/>
        <v>de</v>
      </c>
      <c r="F312" s="8"/>
      <c r="G312" s="8" t="str">
        <f t="shared" si="3"/>
        <v>11.0</v>
      </c>
      <c r="H312" s="9">
        <f t="shared" si="4"/>
        <v>11</v>
      </c>
      <c r="I312" s="10">
        <f>IFERROR(__xludf.DUMMYFUNCTION("MAX(FILTER($H$2:$H1463,$E$2:$E1463=F312))"),0.0)</f>
        <v>0</v>
      </c>
    </row>
    <row r="313">
      <c r="A313" s="4"/>
      <c r="C313" s="4" t="s">
        <v>753</v>
      </c>
      <c r="D313" s="4" t="str">
        <f t="shared" si="1"/>
        <v>{"valorA":"e","valorB":12.0}</v>
      </c>
      <c r="E313" s="8" t="str">
        <f t="shared" si="2"/>
        <v>e</v>
      </c>
      <c r="F313" s="8"/>
      <c r="G313" s="8" t="str">
        <f t="shared" si="3"/>
        <v>12.0</v>
      </c>
      <c r="H313" s="9">
        <f t="shared" si="4"/>
        <v>12</v>
      </c>
      <c r="I313" s="10">
        <f>IFERROR(__xludf.DUMMYFUNCTION("MAX(FILTER($H$2:$H1463,$E$2:$E1463=F313))"),0.0)</f>
        <v>0</v>
      </c>
    </row>
    <row r="314">
      <c r="A314" s="4"/>
      <c r="C314" s="4" t="s">
        <v>754</v>
      </c>
      <c r="D314" s="4" t="str">
        <f t="shared" si="1"/>
        <v>{"valorA":"alta","valorB":2.0}</v>
      </c>
      <c r="E314" s="8" t="str">
        <f t="shared" si="2"/>
        <v>alta</v>
      </c>
      <c r="F314" s="8"/>
      <c r="G314" s="8" t="str">
        <f t="shared" si="3"/>
        <v>2.0</v>
      </c>
      <c r="H314" s="9">
        <f t="shared" si="4"/>
        <v>2</v>
      </c>
      <c r="I314" s="10">
        <f>IFERROR(__xludf.DUMMYFUNCTION("MAX(FILTER($H$2:$H1463,$E$2:$E1463=F314))"),0.0)</f>
        <v>0</v>
      </c>
    </row>
    <row r="315">
      <c r="A315" s="4"/>
      <c r="C315" s="4" t="s">
        <v>755</v>
      </c>
      <c r="D315" s="4" t="str">
        <f t="shared" si="1"/>
        <v>{"valorA":"fácil","valorB":6.0}</v>
      </c>
      <c r="E315" s="8" t="str">
        <f t="shared" si="2"/>
        <v>fácil</v>
      </c>
      <c r="F315" s="8"/>
      <c r="G315" s="8" t="str">
        <f t="shared" si="3"/>
        <v>6.0</v>
      </c>
      <c r="H315" s="9">
        <f t="shared" si="4"/>
        <v>6</v>
      </c>
      <c r="I315" s="10">
        <f>IFERROR(__xludf.DUMMYFUNCTION("MAX(FILTER($H$2:$H1463,$E$2:$E1463=F315))"),0.0)</f>
        <v>0</v>
      </c>
    </row>
    <row r="316">
      <c r="A316" s="4"/>
      <c r="C316" s="4" t="s">
        <v>756</v>
      </c>
      <c r="D316" s="4" t="str">
        <f t="shared" si="1"/>
        <v>{"valorA":"câmera","valorB":3.0}</v>
      </c>
      <c r="E316" s="8" t="str">
        <f t="shared" si="2"/>
        <v>câmera</v>
      </c>
      <c r="F316" s="8"/>
      <c r="G316" s="8" t="str">
        <f t="shared" si="3"/>
        <v>3.0</v>
      </c>
      <c r="H316" s="9">
        <f t="shared" si="4"/>
        <v>3</v>
      </c>
      <c r="I316" s="10">
        <f>IFERROR(__xludf.DUMMYFUNCTION("MAX(FILTER($H$2:$H1463,$E$2:$E1463=F316))"),0.0)</f>
        <v>0</v>
      </c>
    </row>
    <row r="317">
      <c r="A317" s="4"/>
      <c r="C317" s="4" t="s">
        <v>757</v>
      </c>
      <c r="D317" s="4" t="str">
        <f t="shared" si="1"/>
        <v>{"valorA":"para","valorB":13.0}</v>
      </c>
      <c r="E317" s="8" t="str">
        <f t="shared" si="2"/>
        <v>para</v>
      </c>
      <c r="F317" s="8"/>
      <c r="G317" s="8" t="str">
        <f t="shared" si="3"/>
        <v>13.0</v>
      </c>
      <c r="H317" s="9">
        <f t="shared" si="4"/>
        <v>13</v>
      </c>
      <c r="I317" s="10">
        <f>IFERROR(__xludf.DUMMYFUNCTION("MAX(FILTER($H$2:$H1463,$E$2:$E1463=F317))"),0.0)</f>
        <v>0</v>
      </c>
    </row>
    <row r="318">
      <c r="A318" s="4"/>
      <c r="C318" s="4" t="s">
        <v>201</v>
      </c>
      <c r="D318" s="4" t="str">
        <f t="shared" si="1"/>
        <v>{"valorA":"comprado","valorB":1.0}</v>
      </c>
      <c r="E318" s="8" t="str">
        <f t="shared" si="2"/>
        <v>comprado</v>
      </c>
      <c r="F318" s="8"/>
      <c r="G318" s="8" t="str">
        <f t="shared" si="3"/>
        <v>1.0</v>
      </c>
      <c r="H318" s="9">
        <f t="shared" si="4"/>
        <v>1</v>
      </c>
      <c r="I318" s="10">
        <f>IFERROR(__xludf.DUMMYFUNCTION("MAX(FILTER($H$2:$H1463,$E$2:$E1463=F318))"),0.0)</f>
        <v>0</v>
      </c>
    </row>
    <row r="319">
      <c r="A319" s="4"/>
      <c r="C319" s="4" t="s">
        <v>758</v>
      </c>
      <c r="D319" s="4" t="str">
        <f t="shared" si="1"/>
        <v>{"valorA":"me","valorB":2.0}</v>
      </c>
      <c r="E319" s="8" t="str">
        <f t="shared" si="2"/>
        <v>me</v>
      </c>
      <c r="F319" s="8"/>
      <c r="G319" s="8" t="str">
        <f t="shared" si="3"/>
        <v>2.0</v>
      </c>
      <c r="H319" s="9">
        <f t="shared" si="4"/>
        <v>2</v>
      </c>
      <c r="I319" s="10">
        <f>IFERROR(__xludf.DUMMYFUNCTION("MAX(FILTER($H$2:$H1463,$E$2:$E1463=F319))"),0.0)</f>
        <v>0</v>
      </c>
    </row>
    <row r="320">
      <c r="A320" s="4"/>
      <c r="C320" s="4" t="s">
        <v>759</v>
      </c>
      <c r="D320" s="4" t="str">
        <f t="shared" si="1"/>
        <v>{"valorA":"alegra","valorB":1.0}</v>
      </c>
      <c r="E320" s="8" t="str">
        <f t="shared" si="2"/>
        <v>alegra</v>
      </c>
      <c r="F320" s="8"/>
      <c r="G320" s="8" t="str">
        <f t="shared" si="3"/>
        <v>1.0</v>
      </c>
      <c r="H320" s="9">
        <f t="shared" si="4"/>
        <v>1</v>
      </c>
      <c r="I320" s="10">
        <f>IFERROR(__xludf.DUMMYFUNCTION("MAX(FILTER($H$2:$H1463,$E$2:$E1463=F320))"),0.0)</f>
        <v>0</v>
      </c>
    </row>
    <row r="321">
      <c r="A321" s="4"/>
      <c r="C321" s="4" t="s">
        <v>476</v>
      </c>
      <c r="D321" s="4" t="str">
        <f t="shared" si="1"/>
        <v>{"valorA":"o","valorB":8.0}</v>
      </c>
      <c r="E321" s="8" t="str">
        <f t="shared" si="2"/>
        <v>o</v>
      </c>
      <c r="F321" s="8"/>
      <c r="G321" s="8" t="str">
        <f t="shared" si="3"/>
        <v>8.0</v>
      </c>
      <c r="H321" s="9">
        <f t="shared" si="4"/>
        <v>8</v>
      </c>
      <c r="I321" s="10">
        <f>IFERROR(__xludf.DUMMYFUNCTION("MAX(FILTER($H$2:$H1463,$E$2:$E1463=F321))"),0.0)</f>
        <v>0</v>
      </c>
    </row>
    <row r="322">
      <c r="A322" s="4"/>
      <c r="C322" s="4" t="s">
        <v>206</v>
      </c>
      <c r="D322" s="4" t="str">
        <f t="shared" si="1"/>
        <v>{"valorA":"ter","valorB":1.0}</v>
      </c>
      <c r="E322" s="8" t="str">
        <f t="shared" si="2"/>
        <v>ter</v>
      </c>
      <c r="F322" s="8"/>
      <c r="G322" s="8" t="str">
        <f t="shared" si="3"/>
        <v>1.0</v>
      </c>
      <c r="H322" s="9">
        <f t="shared" si="4"/>
        <v>1</v>
      </c>
      <c r="I322" s="10">
        <f>IFERROR(__xludf.DUMMYFUNCTION("MAX(FILTER($H$2:$H1463,$E$2:$E1463=F322))"),0.0)</f>
        <v>0</v>
      </c>
    </row>
    <row r="323">
      <c r="A323" s="4"/>
      <c r="C323" s="4" t="s">
        <v>760</v>
      </c>
      <c r="D323" s="4" t="str">
        <f t="shared" si="1"/>
        <v>{"valorA":"que","valorB":7.0}</v>
      </c>
      <c r="E323" s="8" t="str">
        <f t="shared" si="2"/>
        <v>que</v>
      </c>
      <c r="F323" s="8"/>
      <c r="G323" s="8" t="str">
        <f t="shared" si="3"/>
        <v>7.0</v>
      </c>
      <c r="H323" s="9">
        <f t="shared" si="4"/>
        <v>7</v>
      </c>
      <c r="I323" s="10">
        <f>IFERROR(__xludf.DUMMYFUNCTION("MAX(FILTER($H$2:$H1463,$E$2:$E1463=F323))"),0.0)</f>
        <v>0</v>
      </c>
    </row>
    <row r="324">
      <c r="A324" s="4"/>
      <c r="C324" s="4" t="s">
        <v>413</v>
      </c>
      <c r="D324" s="4" t="str">
        <f t="shared" si="1"/>
        <v>{"valorA":"produto","valorB":24.0}</v>
      </c>
      <c r="E324" s="8" t="str">
        <f t="shared" si="2"/>
        <v>produto</v>
      </c>
      <c r="F324" s="8"/>
      <c r="G324" s="8" t="str">
        <f t="shared" si="3"/>
        <v>24.0</v>
      </c>
      <c r="H324" s="9">
        <f t="shared" si="4"/>
        <v>24</v>
      </c>
      <c r="I324" s="10">
        <f>IFERROR(__xludf.DUMMYFUNCTION("MAX(FILTER($H$2:$H1463,$E$2:$E1463=F324))"),0.0)</f>
        <v>0</v>
      </c>
    </row>
    <row r="325">
      <c r="A325" s="4"/>
      <c r="C325" s="4" t="s">
        <v>761</v>
      </c>
      <c r="D325" s="4" t="str">
        <f t="shared" si="1"/>
        <v>{"valorA":"paguei","valorB":6.0}</v>
      </c>
      <c r="E325" s="8" t="str">
        <f t="shared" si="2"/>
        <v>paguei</v>
      </c>
      <c r="F325" s="8"/>
      <c r="G325" s="8" t="str">
        <f t="shared" si="3"/>
        <v>6.0</v>
      </c>
      <c r="H325" s="9">
        <f t="shared" si="4"/>
        <v>6</v>
      </c>
      <c r="I325" s="10">
        <f>IFERROR(__xludf.DUMMYFUNCTION("MAX(FILTER($H$2:$H1463,$E$2:$E1463=F325))"),0.0)</f>
        <v>0</v>
      </c>
    </row>
    <row r="326">
      <c r="A326" s="4"/>
      <c r="C326" s="4" t="s">
        <v>762</v>
      </c>
      <c r="D326" s="4" t="str">
        <f t="shared" si="1"/>
        <v>{"valorA":"ótimo","valorB":33.0}</v>
      </c>
      <c r="E326" s="8" t="str">
        <f t="shared" si="2"/>
        <v>ótimo</v>
      </c>
      <c r="F326" s="8"/>
      <c r="G326" s="8" t="str">
        <f t="shared" si="3"/>
        <v>33.0</v>
      </c>
      <c r="H326" s="9">
        <f t="shared" si="4"/>
        <v>33</v>
      </c>
      <c r="I326" s="10">
        <f>IFERROR(__xludf.DUMMYFUNCTION("MAX(FILTER($H$2:$H1463,$E$2:$E1463=F326))"),0.0)</f>
        <v>0</v>
      </c>
    </row>
    <row r="327">
      <c r="A327" s="4"/>
      <c r="C327" s="4" t="s">
        <v>763</v>
      </c>
      <c r="D327" s="4" t="str">
        <f t="shared" si="1"/>
        <v>{"valorA":"preço","valorB":14.0}</v>
      </c>
      <c r="E327" s="8" t="str">
        <f t="shared" si="2"/>
        <v>preço</v>
      </c>
      <c r="F327" s="8"/>
      <c r="G327" s="8" t="str">
        <f t="shared" si="3"/>
        <v>14.0</v>
      </c>
      <c r="H327" s="9">
        <f t="shared" si="4"/>
        <v>14</v>
      </c>
      <c r="I327" s="10">
        <f>IFERROR(__xludf.DUMMYFUNCTION("MAX(FILTER($H$2:$H1463,$E$2:$E1463=F327))"),0.0)</f>
        <v>0</v>
      </c>
    </row>
    <row r="328">
      <c r="A328" s="4"/>
      <c r="C328" s="4" t="s">
        <v>764</v>
      </c>
      <c r="D328" s="4" t="str">
        <f t="shared" si="1"/>
        <v>{"valorA":"valeu","valorB":5.0}</v>
      </c>
      <c r="E328" s="8" t="str">
        <f t="shared" si="2"/>
        <v>valeu</v>
      </c>
      <c r="F328" s="8"/>
      <c r="G328" s="8" t="str">
        <f t="shared" si="3"/>
        <v>5.0</v>
      </c>
      <c r="H328" s="9">
        <f t="shared" si="4"/>
        <v>5</v>
      </c>
      <c r="I328" s="10">
        <f>IFERROR(__xludf.DUMMYFUNCTION("MAX(FILTER($H$2:$H1463,$E$2:$E1463=F328))"),0.0)</f>
        <v>0</v>
      </c>
    </row>
    <row r="329">
      <c r="A329" s="4"/>
      <c r="C329" s="4" t="s">
        <v>765</v>
      </c>
      <c r="D329" s="4" t="str">
        <f t="shared" si="1"/>
        <v>{"valorA":"espera","valorB":4.0}</v>
      </c>
      <c r="E329" s="8" t="str">
        <f t="shared" si="2"/>
        <v>espera</v>
      </c>
      <c r="F329" s="8"/>
      <c r="G329" s="8" t="str">
        <f t="shared" si="3"/>
        <v>4.0</v>
      </c>
      <c r="H329" s="9">
        <f t="shared" si="4"/>
        <v>4</v>
      </c>
      <c r="I329" s="10">
        <f>IFERROR(__xludf.DUMMYFUNCTION("MAX(FILTER($H$2:$H1463,$E$2:$E1463=F329))"),0.0)</f>
        <v>0</v>
      </c>
    </row>
    <row r="330">
      <c r="A330" s="4"/>
      <c r="C330" s="4" t="s">
        <v>766</v>
      </c>
      <c r="D330" s="4" t="str">
        <f t="shared" si="1"/>
        <v>{"valorA":"produto","valorB":25.0}</v>
      </c>
      <c r="E330" s="8" t="str">
        <f t="shared" si="2"/>
        <v>produto</v>
      </c>
      <c r="F330" s="8"/>
      <c r="G330" s="8" t="str">
        <f t="shared" si="3"/>
        <v>25.0</v>
      </c>
      <c r="H330" s="9">
        <f t="shared" si="4"/>
        <v>25</v>
      </c>
      <c r="I330" s="10">
        <f>IFERROR(__xludf.DUMMYFUNCTION("MAX(FILTER($H$2:$H1463,$E$2:$E1463=F330))"),0.0)</f>
        <v>0</v>
      </c>
    </row>
    <row r="331">
      <c r="A331" s="4"/>
      <c r="C331" s="4" t="s">
        <v>394</v>
      </c>
      <c r="D331" s="4" t="str">
        <f t="shared" si="1"/>
        <v>{"valorA":"ótimo","valorB":34.0}</v>
      </c>
      <c r="E331" s="8" t="str">
        <f t="shared" si="2"/>
        <v>ótimo</v>
      </c>
      <c r="F331" s="8"/>
      <c r="G331" s="8" t="str">
        <f t="shared" si="3"/>
        <v>34.0</v>
      </c>
      <c r="H331" s="9">
        <f t="shared" si="4"/>
        <v>34</v>
      </c>
      <c r="I331" s="10">
        <f>IFERROR(__xludf.DUMMYFUNCTION("MAX(FILTER($H$2:$H1463,$E$2:$E1463=F331))"),0.0)</f>
        <v>0</v>
      </c>
    </row>
    <row r="332">
      <c r="A332" s="4"/>
      <c r="C332" s="4" t="s">
        <v>767</v>
      </c>
      <c r="D332" s="4" t="str">
        <f t="shared" si="1"/>
        <v>{"valorA":"a","valorB":12.0}</v>
      </c>
      <c r="E332" s="8" t="str">
        <f t="shared" si="2"/>
        <v>a</v>
      </c>
      <c r="F332" s="8"/>
      <c r="G332" s="8" t="str">
        <f t="shared" si="3"/>
        <v>12.0</v>
      </c>
      <c r="H332" s="9">
        <f t="shared" si="4"/>
        <v>12</v>
      </c>
      <c r="I332" s="10">
        <f>IFERROR(__xludf.DUMMYFUNCTION("MAX(FILTER($H$2:$H1463,$E$2:$E1463=F332))"),0.0)</f>
        <v>0</v>
      </c>
    </row>
    <row r="333">
      <c r="A333" s="4"/>
      <c r="C333" s="4" t="s">
        <v>768</v>
      </c>
      <c r="D333" s="4" t="str">
        <f t="shared" si="1"/>
        <v>{"valorA":"ótimo","valorB":35.0}</v>
      </c>
      <c r="E333" s="8" t="str">
        <f t="shared" si="2"/>
        <v>ótimo</v>
      </c>
      <c r="F333" s="8"/>
      <c r="G333" s="8" t="str">
        <f t="shared" si="3"/>
        <v>35.0</v>
      </c>
      <c r="H333" s="9">
        <f t="shared" si="4"/>
        <v>35</v>
      </c>
      <c r="I333" s="10">
        <f>IFERROR(__xludf.DUMMYFUNCTION("MAX(FILTER($H$2:$H1463,$E$2:$E1463=F333))"),0.0)</f>
        <v>0</v>
      </c>
    </row>
    <row r="334">
      <c r="A334" s="4"/>
      <c r="C334" s="4" t="s">
        <v>769</v>
      </c>
      <c r="D334" s="4" t="str">
        <f t="shared" si="1"/>
        <v>{"valorA":"para","valorB":14.0}</v>
      </c>
      <c r="E334" s="8" t="str">
        <f t="shared" si="2"/>
        <v>para</v>
      </c>
      <c r="F334" s="8"/>
      <c r="G334" s="8" t="str">
        <f t="shared" si="3"/>
        <v>14.0</v>
      </c>
      <c r="H334" s="9">
        <f t="shared" si="4"/>
        <v>14</v>
      </c>
      <c r="I334" s="10">
        <f>IFERROR(__xludf.DUMMYFUNCTION("MAX(FILTER($H$2:$H1463,$E$2:$E1463=F334))"),0.0)</f>
        <v>0</v>
      </c>
    </row>
    <row r="335">
      <c r="A335" s="4"/>
      <c r="C335" s="4" t="s">
        <v>770</v>
      </c>
      <c r="D335" s="4" t="str">
        <f t="shared" si="1"/>
        <v>{"valorA":"tão","valorB":4.0}</v>
      </c>
      <c r="E335" s="8" t="str">
        <f t="shared" si="2"/>
        <v>tão</v>
      </c>
      <c r="F335" s="8"/>
      <c r="G335" s="8" t="str">
        <f t="shared" si="3"/>
        <v>4.0</v>
      </c>
      <c r="H335" s="9">
        <f t="shared" si="4"/>
        <v>4</v>
      </c>
      <c r="I335" s="10">
        <f>IFERROR(__xludf.DUMMYFUNCTION("MAX(FILTER($H$2:$H1463,$E$2:$E1463=F335))"),0.0)</f>
        <v>0</v>
      </c>
    </row>
    <row r="336">
      <c r="A336" s="4"/>
      <c r="C336" s="4" t="s">
        <v>771</v>
      </c>
      <c r="D336" s="4" t="str">
        <f t="shared" si="1"/>
        <v>{"valorA":"mucho","valorB":1.0}</v>
      </c>
      <c r="E336" s="8" t="str">
        <f t="shared" si="2"/>
        <v>mucho</v>
      </c>
      <c r="F336" s="8"/>
      <c r="G336" s="8" t="str">
        <f t="shared" si="3"/>
        <v>1.0</v>
      </c>
      <c r="H336" s="9">
        <f t="shared" si="4"/>
        <v>1</v>
      </c>
      <c r="I336" s="10">
        <f>IFERROR(__xludf.DUMMYFUNCTION("MAX(FILTER($H$2:$H1463,$E$2:$E1463=F336))"),0.0)</f>
        <v>0</v>
      </c>
    </row>
    <row r="337">
      <c r="A337" s="4"/>
      <c r="C337" s="4" t="s">
        <v>772</v>
      </c>
      <c r="D337" s="4" t="str">
        <f t="shared" si="1"/>
        <v>{"valorA":"bom","valorB":5.0}</v>
      </c>
      <c r="E337" s="8" t="str">
        <f t="shared" si="2"/>
        <v>bom</v>
      </c>
      <c r="F337" s="8"/>
      <c r="G337" s="8" t="str">
        <f t="shared" si="3"/>
        <v>5.0</v>
      </c>
      <c r="H337" s="9">
        <f t="shared" si="4"/>
        <v>5</v>
      </c>
      <c r="I337" s="10">
        <f>IFERROR(__xludf.DUMMYFUNCTION("MAX(FILTER($H$2:$H1463,$E$2:$E1463=F337))"),0.0)</f>
        <v>0</v>
      </c>
    </row>
    <row r="338">
      <c r="A338" s="4"/>
      <c r="C338" s="4" t="s">
        <v>428</v>
      </c>
      <c r="D338" s="4" t="str">
        <f t="shared" si="1"/>
        <v>{"valorA":"produto","valorB":26.0}</v>
      </c>
      <c r="E338" s="8" t="str">
        <f t="shared" si="2"/>
        <v>produto</v>
      </c>
      <c r="F338" s="8"/>
      <c r="G338" s="8" t="str">
        <f t="shared" si="3"/>
        <v>26.0</v>
      </c>
      <c r="H338" s="9">
        <f t="shared" si="4"/>
        <v>26</v>
      </c>
      <c r="I338" s="10">
        <f>IFERROR(__xludf.DUMMYFUNCTION("MAX(FILTER($H$2:$H1463,$E$2:$E1463=F338))"),0.0)</f>
        <v>0</v>
      </c>
    </row>
    <row r="339">
      <c r="A339" s="4"/>
      <c r="C339" s="4" t="s">
        <v>773</v>
      </c>
      <c r="D339" s="4" t="str">
        <f t="shared" si="1"/>
        <v>{"valorA":"gostei","valorB":7.0}</v>
      </c>
      <c r="E339" s="8" t="str">
        <f t="shared" si="2"/>
        <v>gostei</v>
      </c>
      <c r="F339" s="8"/>
      <c r="G339" s="8" t="str">
        <f t="shared" si="3"/>
        <v>7.0</v>
      </c>
      <c r="H339" s="9">
        <f t="shared" si="4"/>
        <v>7</v>
      </c>
      <c r="I339" s="10">
        <f>IFERROR(__xludf.DUMMYFUNCTION("MAX(FILTER($H$2:$H1463,$E$2:$E1463=F339))"),0.0)</f>
        <v>0</v>
      </c>
    </row>
    <row r="340">
      <c r="A340" s="4"/>
      <c r="C340" s="4" t="s">
        <v>243</v>
      </c>
      <c r="D340" s="4" t="str">
        <f t="shared" si="1"/>
        <v>{"valorA":"esse","valorB":3.0}</v>
      </c>
      <c r="E340" s="8" t="str">
        <f t="shared" si="2"/>
        <v>esse</v>
      </c>
      <c r="F340" s="8"/>
      <c r="G340" s="8" t="str">
        <f t="shared" si="3"/>
        <v>3.0</v>
      </c>
      <c r="H340" s="9">
        <f t="shared" si="4"/>
        <v>3</v>
      </c>
      <c r="I340" s="10">
        <f>IFERROR(__xludf.DUMMYFUNCTION("MAX(FILTER($H$2:$H1463,$E$2:$E1463=F340))"),0.0)</f>
        <v>0</v>
      </c>
    </row>
    <row r="341">
      <c r="A341" s="4"/>
      <c r="C341" s="4" t="s">
        <v>774</v>
      </c>
      <c r="D341" s="4" t="str">
        <f t="shared" si="1"/>
        <v>{"valorA":"como","valorB":2.0}</v>
      </c>
      <c r="E341" s="8" t="str">
        <f t="shared" si="2"/>
        <v>como</v>
      </c>
      <c r="F341" s="8"/>
      <c r="G341" s="8" t="str">
        <f t="shared" si="3"/>
        <v>2.0</v>
      </c>
      <c r="H341" s="9">
        <f t="shared" si="4"/>
        <v>2</v>
      </c>
      <c r="I341" s="10">
        <f>IFERROR(__xludf.DUMMYFUNCTION("MAX(FILTER($H$2:$H1463,$E$2:$E1463=F341))"),0.0)</f>
        <v>0</v>
      </c>
    </row>
    <row r="342">
      <c r="A342" s="4"/>
      <c r="C342" s="4" t="s">
        <v>775</v>
      </c>
      <c r="D342" s="4" t="str">
        <f t="shared" si="1"/>
        <v>{"valorA":"um","valorB":7.0}</v>
      </c>
      <c r="E342" s="8" t="str">
        <f t="shared" si="2"/>
        <v>um</v>
      </c>
      <c r="F342" s="8"/>
      <c r="G342" s="8" t="str">
        <f t="shared" si="3"/>
        <v>7.0</v>
      </c>
      <c r="H342" s="9">
        <f t="shared" si="4"/>
        <v>7</v>
      </c>
      <c r="I342" s="10">
        <f>IFERROR(__xludf.DUMMYFUNCTION("MAX(FILTER($H$2:$H1463,$E$2:$E1463=F342))"),0.0)</f>
        <v>0</v>
      </c>
    </row>
    <row r="343">
      <c r="A343" s="4"/>
      <c r="C343" s="4" t="s">
        <v>776</v>
      </c>
      <c r="D343" s="4" t="str">
        <f t="shared" si="1"/>
        <v>{"valorA":"preço","valorB":15.0}</v>
      </c>
      <c r="E343" s="8" t="str">
        <f t="shared" si="2"/>
        <v>preço</v>
      </c>
      <c r="F343" s="8"/>
      <c r="G343" s="8" t="str">
        <f t="shared" si="3"/>
        <v>15.0</v>
      </c>
      <c r="H343" s="9">
        <f t="shared" si="4"/>
        <v>15</v>
      </c>
      <c r="I343" s="10">
        <f>IFERROR(__xludf.DUMMYFUNCTION("MAX(FILTER($H$2:$H1463,$E$2:$E1463=F343))"),0.0)</f>
        <v>0</v>
      </c>
    </row>
    <row r="344">
      <c r="A344" s="4"/>
      <c r="C344" s="4" t="s">
        <v>243</v>
      </c>
      <c r="D344" s="4" t="str">
        <f t="shared" si="1"/>
        <v>{"valorA":"esse","valorB":3.0}</v>
      </c>
      <c r="E344" s="8" t="str">
        <f t="shared" si="2"/>
        <v>esse</v>
      </c>
      <c r="F344" s="8"/>
      <c r="G344" s="8" t="str">
        <f t="shared" si="3"/>
        <v>3.0</v>
      </c>
      <c r="H344" s="9">
        <f t="shared" si="4"/>
        <v>3</v>
      </c>
      <c r="I344" s="10">
        <f>IFERROR(__xludf.DUMMYFUNCTION("MAX(FILTER($H$2:$H1463,$E$2:$E1463=F344))"),0.0)</f>
        <v>0</v>
      </c>
    </row>
    <row r="345">
      <c r="A345" s="4"/>
      <c r="C345" s="4" t="s">
        <v>774</v>
      </c>
      <c r="D345" s="4" t="str">
        <f t="shared" si="1"/>
        <v>{"valorA":"como","valorB":2.0}</v>
      </c>
      <c r="E345" s="8" t="str">
        <f t="shared" si="2"/>
        <v>como</v>
      </c>
      <c r="F345" s="8"/>
      <c r="G345" s="8" t="str">
        <f t="shared" si="3"/>
        <v>2.0</v>
      </c>
      <c r="H345" s="9">
        <f t="shared" si="4"/>
        <v>2</v>
      </c>
      <c r="I345" s="10">
        <f>IFERROR(__xludf.DUMMYFUNCTION("MAX(FILTER($H$2:$H1463,$E$2:$E1463=F345))"),0.0)</f>
        <v>0</v>
      </c>
    </row>
    <row r="346">
      <c r="A346" s="4"/>
      <c r="C346" s="4" t="s">
        <v>775</v>
      </c>
      <c r="D346" s="4" t="str">
        <f t="shared" si="1"/>
        <v>{"valorA":"um","valorB":7.0}</v>
      </c>
      <c r="E346" s="8" t="str">
        <f t="shared" si="2"/>
        <v>um</v>
      </c>
      <c r="F346" s="8"/>
      <c r="G346" s="8" t="str">
        <f t="shared" si="3"/>
        <v>7.0</v>
      </c>
      <c r="H346" s="9">
        <f t="shared" si="4"/>
        <v>7</v>
      </c>
      <c r="I346" s="10">
        <f>IFERROR(__xludf.DUMMYFUNCTION("MAX(FILTER($H$2:$H1463,$E$2:$E1463=F346))"),0.0)</f>
        <v>0</v>
      </c>
    </row>
    <row r="347">
      <c r="A347" s="4"/>
      <c r="C347" s="4" t="s">
        <v>776</v>
      </c>
      <c r="D347" s="4" t="str">
        <f t="shared" si="1"/>
        <v>{"valorA":"preço","valorB":15.0}</v>
      </c>
      <c r="E347" s="8" t="str">
        <f t="shared" si="2"/>
        <v>preço</v>
      </c>
      <c r="F347" s="8"/>
      <c r="G347" s="8" t="str">
        <f t="shared" si="3"/>
        <v>15.0</v>
      </c>
      <c r="H347" s="9">
        <f t="shared" si="4"/>
        <v>15</v>
      </c>
      <c r="I347" s="10">
        <f>IFERROR(__xludf.DUMMYFUNCTION("MAX(FILTER($H$2:$H1463,$E$2:$E1463=F347))"),0.0)</f>
        <v>0</v>
      </c>
    </row>
    <row r="348">
      <c r="A348" s="4"/>
      <c r="C348" s="4" t="s">
        <v>414</v>
      </c>
      <c r="D348" s="4" t="str">
        <f t="shared" si="1"/>
        <v>{"valorA":"ótimo","valorB":36.0}</v>
      </c>
      <c r="E348" s="8" t="str">
        <f t="shared" si="2"/>
        <v>ótimo</v>
      </c>
      <c r="F348" s="8"/>
      <c r="G348" s="8" t="str">
        <f t="shared" si="3"/>
        <v>36.0</v>
      </c>
      <c r="H348" s="9">
        <f t="shared" si="4"/>
        <v>36</v>
      </c>
      <c r="I348" s="10">
        <f>IFERROR(__xludf.DUMMYFUNCTION("MAX(FILTER($H$2:$H1463,$E$2:$E1463=F348))"),0.0)</f>
        <v>0</v>
      </c>
    </row>
    <row r="349">
      <c r="A349" s="4"/>
      <c r="C349" s="4" t="s">
        <v>777</v>
      </c>
      <c r="D349" s="4" t="str">
        <f t="shared" si="1"/>
        <v>{"valorA":"e","valorB":13.0}</v>
      </c>
      <c r="E349" s="8" t="str">
        <f t="shared" si="2"/>
        <v>e</v>
      </c>
      <c r="F349" s="8"/>
      <c r="G349" s="8" t="str">
        <f t="shared" si="3"/>
        <v>13.0</v>
      </c>
      <c r="H349" s="9">
        <f t="shared" si="4"/>
        <v>13</v>
      </c>
      <c r="I349" s="10">
        <f>IFERROR(__xludf.DUMMYFUNCTION("MAX(FILTER($H$2:$H1463,$E$2:$E1463=F349))"),0.0)</f>
        <v>0</v>
      </c>
    </row>
    <row r="350">
      <c r="A350" s="4"/>
      <c r="C350" s="4" t="s">
        <v>778</v>
      </c>
      <c r="D350" s="4" t="str">
        <f t="shared" si="1"/>
        <v>{"valorA":"tamanho","valorB":1.0}</v>
      </c>
      <c r="E350" s="8" t="str">
        <f t="shared" si="2"/>
        <v>tamanho</v>
      </c>
      <c r="F350" s="8"/>
      <c r="G350" s="8" t="str">
        <f t="shared" si="3"/>
        <v>1.0</v>
      </c>
      <c r="H350" s="9">
        <f t="shared" si="4"/>
        <v>1</v>
      </c>
      <c r="I350" s="10">
        <f>IFERROR(__xludf.DUMMYFUNCTION("MAX(FILTER($H$2:$H1463,$E$2:$E1463=F350))"),0.0)</f>
        <v>0</v>
      </c>
    </row>
    <row r="351">
      <c r="A351" s="4"/>
      <c r="C351" s="4" t="s">
        <v>779</v>
      </c>
      <c r="D351" s="4" t="str">
        <f t="shared" si="1"/>
        <v>{"valorA":"das","valorB":1.0}</v>
      </c>
      <c r="E351" s="8" t="str">
        <f t="shared" si="2"/>
        <v>das</v>
      </c>
      <c r="F351" s="8"/>
      <c r="G351" s="8" t="str">
        <f t="shared" si="3"/>
        <v>1.0</v>
      </c>
      <c r="H351" s="9">
        <f t="shared" si="4"/>
        <v>1</v>
      </c>
      <c r="I351" s="10">
        <f>IFERROR(__xludf.DUMMYFUNCTION("MAX(FILTER($H$2:$H1463,$E$2:$E1463=F351))"),0.0)</f>
        <v>0</v>
      </c>
    </row>
    <row r="352">
      <c r="A352" s="4"/>
      <c r="C352" s="4" t="s">
        <v>780</v>
      </c>
      <c r="D352" s="4" t="str">
        <f t="shared" si="1"/>
        <v>{"valorA":"produto","valorB":27.0}</v>
      </c>
      <c r="E352" s="8" t="str">
        <f t="shared" si="2"/>
        <v>produto</v>
      </c>
      <c r="F352" s="8"/>
      <c r="G352" s="8" t="str">
        <f t="shared" si="3"/>
        <v>27.0</v>
      </c>
      <c r="H352" s="9">
        <f t="shared" si="4"/>
        <v>27</v>
      </c>
      <c r="I352" s="10">
        <f>IFERROR(__xludf.DUMMYFUNCTION("MAX(FILTER($H$2:$H1463,$E$2:$E1463=F352))"),0.0)</f>
        <v>0</v>
      </c>
    </row>
    <row r="353">
      <c r="A353" s="4"/>
      <c r="C353" s="4" t="s">
        <v>781</v>
      </c>
      <c r="D353" s="4" t="str">
        <f t="shared" si="1"/>
        <v>{"valorA":"do","valorB":5.0}</v>
      </c>
      <c r="E353" s="8" t="str">
        <f t="shared" si="2"/>
        <v>do</v>
      </c>
      <c r="F353" s="8"/>
      <c r="G353" s="8" t="str">
        <f t="shared" si="3"/>
        <v>5.0</v>
      </c>
      <c r="H353" s="9">
        <f t="shared" si="4"/>
        <v>5</v>
      </c>
      <c r="I353" s="10">
        <f>IFERROR(__xludf.DUMMYFUNCTION("MAX(FILTER($H$2:$H1463,$E$2:$E1463=F353))"),0.0)</f>
        <v>0</v>
      </c>
    </row>
    <row r="354">
      <c r="A354" s="4"/>
      <c r="C354" s="4" t="s">
        <v>782</v>
      </c>
      <c r="D354" s="4" t="str">
        <f t="shared" si="1"/>
        <v>{"valorA":"gostei","valorB":8.0}</v>
      </c>
      <c r="E354" s="8" t="str">
        <f t="shared" si="2"/>
        <v>gostei</v>
      </c>
      <c r="F354" s="8"/>
      <c r="G354" s="8" t="str">
        <f t="shared" si="3"/>
        <v>8.0</v>
      </c>
      <c r="H354" s="9">
        <f t="shared" si="4"/>
        <v>8</v>
      </c>
      <c r="I354" s="10">
        <f>IFERROR(__xludf.DUMMYFUNCTION("MAX(FILTER($H$2:$H1463,$E$2:$E1463=F354))"),0.0)</f>
        <v>0</v>
      </c>
    </row>
    <row r="355">
      <c r="A355" s="4"/>
      <c r="C355" s="4" t="s">
        <v>358</v>
      </c>
      <c r="D355" s="4" t="str">
        <f t="shared" si="1"/>
        <v>{"valorA":"muito","valorB":11.0}</v>
      </c>
      <c r="E355" s="8" t="str">
        <f t="shared" si="2"/>
        <v>muito</v>
      </c>
      <c r="F355" s="8"/>
      <c r="G355" s="8" t="str">
        <f t="shared" si="3"/>
        <v>11.0</v>
      </c>
      <c r="H355" s="9">
        <f t="shared" si="4"/>
        <v>11</v>
      </c>
      <c r="I355" s="10">
        <f>IFERROR(__xludf.DUMMYFUNCTION("MAX(FILTER($H$2:$H1463,$E$2:$E1463=F355))"),0.0)</f>
        <v>0</v>
      </c>
    </row>
    <row r="356">
      <c r="A356" s="4"/>
      <c r="C356" s="4" t="s">
        <v>783</v>
      </c>
      <c r="D356" s="4" t="str">
        <f t="shared" si="1"/>
        <v>{"valorA":"funcionalidades","valorB":1.0}</v>
      </c>
      <c r="E356" s="8" t="str">
        <f t="shared" si="2"/>
        <v>funcionalidades</v>
      </c>
      <c r="F356" s="8"/>
      <c r="G356" s="8" t="str">
        <f t="shared" si="3"/>
        <v>1.0</v>
      </c>
      <c r="H356" s="9">
        <f t="shared" si="4"/>
        <v>1</v>
      </c>
      <c r="I356" s="10">
        <f>IFERROR(__xludf.DUMMYFUNCTION("MAX(FILTER($H$2:$H1463,$E$2:$E1463=F356))"),0.0)</f>
        <v>0</v>
      </c>
    </row>
    <row r="357">
      <c r="A357" s="4"/>
      <c r="C357" s="4" t="s">
        <v>784</v>
      </c>
      <c r="D357" s="4" t="str">
        <f t="shared" si="1"/>
        <v>{"valorA":"ótimo","valorB":37.0}</v>
      </c>
      <c r="E357" s="8" t="str">
        <f t="shared" si="2"/>
        <v>ótimo</v>
      </c>
      <c r="F357" s="8"/>
      <c r="G357" s="8" t="str">
        <f t="shared" si="3"/>
        <v>37.0</v>
      </c>
      <c r="H357" s="9">
        <f t="shared" si="4"/>
        <v>37</v>
      </c>
      <c r="I357" s="10">
        <f>IFERROR(__xludf.DUMMYFUNCTION("MAX(FILTER($H$2:$H1463,$E$2:$E1463=F357))"),0.0)</f>
        <v>0</v>
      </c>
    </row>
    <row r="358">
      <c r="A358" s="4"/>
      <c r="C358" s="4" t="s">
        <v>266</v>
      </c>
      <c r="D358" s="4" t="str">
        <f t="shared" si="1"/>
        <v>{"valorA":"barato","valorB":1.0}</v>
      </c>
      <c r="E358" s="8" t="str">
        <f t="shared" si="2"/>
        <v>barato</v>
      </c>
      <c r="F358" s="8"/>
      <c r="G358" s="8" t="str">
        <f t="shared" si="3"/>
        <v>1.0</v>
      </c>
      <c r="H358" s="9">
        <f t="shared" si="4"/>
        <v>1</v>
      </c>
      <c r="I358" s="10">
        <f>IFERROR(__xludf.DUMMYFUNCTION("MAX(FILTER($H$2:$H1463,$E$2:$E1463=F358))"),0.0)</f>
        <v>0</v>
      </c>
    </row>
    <row r="359">
      <c r="A359" s="4"/>
      <c r="C359" s="4" t="s">
        <v>785</v>
      </c>
      <c r="D359" s="4" t="str">
        <f t="shared" si="1"/>
        <v>{"valorA":"tablet","valorB":1.0}</v>
      </c>
      <c r="E359" s="8" t="str">
        <f t="shared" si="2"/>
        <v>tablet</v>
      </c>
      <c r="F359" s="8"/>
      <c r="G359" s="8" t="str">
        <f t="shared" si="3"/>
        <v>1.0</v>
      </c>
      <c r="H359" s="9">
        <f t="shared" si="4"/>
        <v>1</v>
      </c>
      <c r="I359" s="10">
        <f>IFERROR(__xludf.DUMMYFUNCTION("MAX(FILTER($H$2:$H1463,$E$2:$E1463=F359))"),0.0)</f>
        <v>0</v>
      </c>
    </row>
    <row r="360">
      <c r="A360" s="4"/>
      <c r="C360" s="4" t="s">
        <v>786</v>
      </c>
      <c r="D360" s="4" t="str">
        <f t="shared" si="1"/>
        <v>{"valorA":"usar","valorB":6.0}</v>
      </c>
      <c r="E360" s="8" t="str">
        <f t="shared" si="2"/>
        <v>usar</v>
      </c>
      <c r="F360" s="8"/>
      <c r="G360" s="8" t="str">
        <f t="shared" si="3"/>
        <v>6.0</v>
      </c>
      <c r="H360" s="9">
        <f t="shared" si="4"/>
        <v>6</v>
      </c>
      <c r="I360" s="10">
        <f>IFERROR(__xludf.DUMMYFUNCTION("MAX(FILTER($H$2:$H1463,$E$2:$E1463=F360))"),0.0)</f>
        <v>0</v>
      </c>
    </row>
    <row r="361">
      <c r="A361" s="4"/>
      <c r="C361" s="4" t="s">
        <v>787</v>
      </c>
      <c r="D361" s="4" t="str">
        <f t="shared" si="1"/>
        <v>{"valorA":"e","valorB":14.0}</v>
      </c>
      <c r="E361" s="8" t="str">
        <f t="shared" si="2"/>
        <v>e</v>
      </c>
      <c r="F361" s="8"/>
      <c r="G361" s="8" t="str">
        <f t="shared" si="3"/>
        <v>14.0</v>
      </c>
      <c r="H361" s="9">
        <f t="shared" si="4"/>
        <v>14</v>
      </c>
      <c r="I361" s="10">
        <f>IFERROR(__xludf.DUMMYFUNCTION("MAX(FILTER($H$2:$H1463,$E$2:$E1463=F361))"),0.0)</f>
        <v>0</v>
      </c>
    </row>
    <row r="362">
      <c r="A362" s="4"/>
      <c r="C362" s="4" t="s">
        <v>788</v>
      </c>
      <c r="D362" s="4" t="str">
        <f t="shared" si="1"/>
        <v>{"valorA":"de","valorB":12.0}</v>
      </c>
      <c r="E362" s="8" t="str">
        <f t="shared" si="2"/>
        <v>de</v>
      </c>
      <c r="F362" s="8"/>
      <c r="G362" s="8" t="str">
        <f t="shared" si="3"/>
        <v>12.0</v>
      </c>
      <c r="H362" s="9">
        <f t="shared" si="4"/>
        <v>12</v>
      </c>
      <c r="I362" s="10">
        <f>IFERROR(__xludf.DUMMYFUNCTION("MAX(FILTER($H$2:$H1463,$E$2:$E1463=F362))"),0.0)</f>
        <v>0</v>
      </c>
    </row>
    <row r="363">
      <c r="A363" s="4"/>
      <c r="C363" s="4" t="s">
        <v>789</v>
      </c>
      <c r="D363" s="4" t="str">
        <f t="shared" si="1"/>
        <v>{"valorA":"fácil","valorB":7.0}</v>
      </c>
      <c r="E363" s="8" t="str">
        <f t="shared" si="2"/>
        <v>fácil</v>
      </c>
      <c r="F363" s="8"/>
      <c r="G363" s="8" t="str">
        <f t="shared" si="3"/>
        <v>7.0</v>
      </c>
      <c r="H363" s="9">
        <f t="shared" si="4"/>
        <v>7</v>
      </c>
      <c r="I363" s="10">
        <f>IFERROR(__xludf.DUMMYFUNCTION("MAX(FILTER($H$2:$H1463,$E$2:$E1463=F363))"),0.0)</f>
        <v>0</v>
      </c>
    </row>
    <row r="364">
      <c r="A364" s="4"/>
      <c r="C364" s="4" t="s">
        <v>430</v>
      </c>
      <c r="D364" s="4" t="str">
        <f t="shared" si="1"/>
        <v>{"valorA":"ótimo","valorB":38.0}</v>
      </c>
      <c r="E364" s="8" t="str">
        <f t="shared" si="2"/>
        <v>ótimo</v>
      </c>
      <c r="F364" s="8"/>
      <c r="G364" s="8" t="str">
        <f t="shared" si="3"/>
        <v>38.0</v>
      </c>
      <c r="H364" s="9">
        <f t="shared" si="4"/>
        <v>38</v>
      </c>
      <c r="I364" s="10">
        <f>IFERROR(__xludf.DUMMYFUNCTION("MAX(FILTER($H$2:$H1463,$E$2:$E1463=F364))"),0.0)</f>
        <v>0</v>
      </c>
    </row>
    <row r="365">
      <c r="A365" s="4"/>
      <c r="C365" s="4" t="s">
        <v>790</v>
      </c>
      <c r="D365" s="4" t="str">
        <f t="shared" si="1"/>
        <v>{"valorA":"para","valorB":15.0}</v>
      </c>
      <c r="E365" s="8" t="str">
        <f t="shared" si="2"/>
        <v>para</v>
      </c>
      <c r="F365" s="8"/>
      <c r="G365" s="8" t="str">
        <f t="shared" si="3"/>
        <v>15.0</v>
      </c>
      <c r="H365" s="9">
        <f t="shared" si="4"/>
        <v>15</v>
      </c>
      <c r="I365" s="10">
        <f>IFERROR(__xludf.DUMMYFUNCTION("MAX(FILTER($H$2:$H1463,$E$2:$E1463=F365))"),0.0)</f>
        <v>0</v>
      </c>
    </row>
    <row r="366">
      <c r="A366" s="4"/>
      <c r="C366" s="4" t="s">
        <v>791</v>
      </c>
      <c r="D366" s="4" t="str">
        <f t="shared" si="1"/>
        <v>{"valorA":"o","valorB":9.0}</v>
      </c>
      <c r="E366" s="8" t="str">
        <f t="shared" si="2"/>
        <v>o</v>
      </c>
      <c r="F366" s="8"/>
      <c r="G366" s="8" t="str">
        <f t="shared" si="3"/>
        <v>9.0</v>
      </c>
      <c r="H366" s="9">
        <f t="shared" si="4"/>
        <v>9</v>
      </c>
      <c r="I366" s="10">
        <f>IFERROR(__xludf.DUMMYFUNCTION("MAX(FILTER($H$2:$H1463,$E$2:$E1463=F366))"),0.0)</f>
        <v>0</v>
      </c>
    </row>
    <row r="367">
      <c r="A367" s="4"/>
      <c r="C367" s="4" t="s">
        <v>792</v>
      </c>
      <c r="D367" s="4" t="str">
        <f t="shared" si="1"/>
        <v>{"valorA":"eu","valorB":2.0}</v>
      </c>
      <c r="E367" s="8" t="str">
        <f t="shared" si="2"/>
        <v>eu</v>
      </c>
      <c r="F367" s="8"/>
      <c r="G367" s="8" t="str">
        <f t="shared" si="3"/>
        <v>2.0</v>
      </c>
      <c r="H367" s="9">
        <f t="shared" si="4"/>
        <v>2</v>
      </c>
      <c r="I367" s="10">
        <f>IFERROR(__xludf.DUMMYFUNCTION("MAX(FILTER($H$2:$H1463,$E$2:$E1463=F367))"),0.0)</f>
        <v>0</v>
      </c>
    </row>
    <row r="368">
      <c r="A368" s="4"/>
      <c r="C368" s="4" t="s">
        <v>793</v>
      </c>
      <c r="D368" s="4" t="str">
        <f t="shared" si="1"/>
        <v>{"valorA":"que","valorB":8.0}</v>
      </c>
      <c r="E368" s="8" t="str">
        <f t="shared" si="2"/>
        <v>que</v>
      </c>
      <c r="F368" s="8"/>
      <c r="G368" s="8" t="str">
        <f t="shared" si="3"/>
        <v>8.0</v>
      </c>
      <c r="H368" s="9">
        <f t="shared" si="4"/>
        <v>8</v>
      </c>
      <c r="I368" s="10">
        <f>IFERROR(__xludf.DUMMYFUNCTION("MAX(FILTER($H$2:$H1463,$E$2:$E1463=F368))"),0.0)</f>
        <v>0</v>
      </c>
    </row>
    <row r="369">
      <c r="A369" s="4"/>
      <c r="C369" s="4" t="s">
        <v>794</v>
      </c>
      <c r="D369" s="4" t="str">
        <f t="shared" si="1"/>
        <v>{"valorA":"compriei","valorB":1.0}</v>
      </c>
      <c r="E369" s="8" t="str">
        <f t="shared" si="2"/>
        <v>compriei</v>
      </c>
      <c r="F369" s="8"/>
      <c r="G369" s="8" t="str">
        <f t="shared" si="3"/>
        <v>1.0</v>
      </c>
      <c r="H369" s="9">
        <f t="shared" si="4"/>
        <v>1</v>
      </c>
      <c r="I369" s="10">
        <f>IFERROR(__xludf.DUMMYFUNCTION("MAX(FILTER($H$2:$H1463,$E$2:$E1463=F369))"),0.0)</f>
        <v>0</v>
      </c>
    </row>
    <row r="370">
      <c r="A370" s="4"/>
      <c r="C370" s="4" t="s">
        <v>795</v>
      </c>
      <c r="D370" s="4" t="str">
        <f t="shared" si="1"/>
        <v>{"valorA":"aqui","valorB":1.0}</v>
      </c>
      <c r="E370" s="8" t="str">
        <f t="shared" si="2"/>
        <v>aqui</v>
      </c>
      <c r="F370" s="8"/>
      <c r="G370" s="8" t="str">
        <f t="shared" si="3"/>
        <v>1.0</v>
      </c>
      <c r="H370" s="9">
        <f t="shared" si="4"/>
        <v>1</v>
      </c>
      <c r="I370" s="10">
        <f>IFERROR(__xludf.DUMMYFUNCTION("MAX(FILTER($H$2:$H1463,$E$2:$E1463=F370))"),0.0)</f>
        <v>0</v>
      </c>
    </row>
    <row r="371">
      <c r="A371" s="4"/>
      <c r="C371" s="4" t="s">
        <v>796</v>
      </c>
      <c r="D371" s="4" t="str">
        <f t="shared" si="1"/>
        <v>{"valorA":"sempre","valorB":1.0}</v>
      </c>
      <c r="E371" s="8" t="str">
        <f t="shared" si="2"/>
        <v>sempre</v>
      </c>
      <c r="F371" s="8"/>
      <c r="G371" s="8" t="str">
        <f t="shared" si="3"/>
        <v>1.0</v>
      </c>
      <c r="H371" s="9">
        <f t="shared" si="4"/>
        <v>1</v>
      </c>
      <c r="I371" s="10">
        <f>IFERROR(__xludf.DUMMYFUNCTION("MAX(FILTER($H$2:$H1463,$E$2:$E1463=F371))"),0.0)</f>
        <v>0</v>
      </c>
    </row>
    <row r="372">
      <c r="A372" s="4"/>
      <c r="C372" s="4" t="s">
        <v>797</v>
      </c>
      <c r="D372" s="4" t="str">
        <f t="shared" si="1"/>
        <v>{"valorA":"compro","valorB":1.0}</v>
      </c>
      <c r="E372" s="8" t="str">
        <f t="shared" si="2"/>
        <v>compro</v>
      </c>
      <c r="F372" s="8"/>
      <c r="G372" s="8" t="str">
        <f t="shared" si="3"/>
        <v>1.0</v>
      </c>
      <c r="H372" s="9">
        <f t="shared" si="4"/>
        <v>1</v>
      </c>
      <c r="I372" s="10">
        <f>IFERROR(__xludf.DUMMYFUNCTION("MAX(FILTER($H$2:$H1463,$E$2:$E1463=F372))"),0.0)</f>
        <v>0</v>
      </c>
    </row>
    <row r="373">
      <c r="A373" s="4"/>
      <c r="C373" s="4" t="s">
        <v>798</v>
      </c>
      <c r="D373" s="4" t="str">
        <f t="shared" si="1"/>
        <v>{"valorA":"preço","valorB":16.0}</v>
      </c>
      <c r="E373" s="8" t="str">
        <f t="shared" si="2"/>
        <v>preço</v>
      </c>
      <c r="F373" s="8"/>
      <c r="G373" s="8" t="str">
        <f t="shared" si="3"/>
        <v>16.0</v>
      </c>
      <c r="H373" s="9">
        <f t="shared" si="4"/>
        <v>16</v>
      </c>
      <c r="I373" s="10">
        <f>IFERROR(__xludf.DUMMYFUNCTION("MAX(FILTER($H$2:$H1463,$E$2:$E1463=F373))"),0.0)</f>
        <v>0</v>
      </c>
    </row>
    <row r="374">
      <c r="A374" s="4"/>
      <c r="C374" s="4" t="s">
        <v>799</v>
      </c>
      <c r="D374" s="4" t="str">
        <f t="shared" si="1"/>
        <v>{"valorA":"ótimo","valorB":39.0}</v>
      </c>
      <c r="E374" s="8" t="str">
        <f t="shared" si="2"/>
        <v>ótimo</v>
      </c>
      <c r="F374" s="8"/>
      <c r="G374" s="8" t="str">
        <f t="shared" si="3"/>
        <v>39.0</v>
      </c>
      <c r="H374" s="9">
        <f t="shared" si="4"/>
        <v>39</v>
      </c>
      <c r="I374" s="10">
        <f>IFERROR(__xludf.DUMMYFUNCTION("MAX(FILTER($H$2:$H1463,$E$2:$E1463=F374))"),0.0)</f>
        <v>0</v>
      </c>
    </row>
    <row r="375">
      <c r="A375" s="4"/>
      <c r="C375" s="4" t="s">
        <v>800</v>
      </c>
      <c r="D375" s="4" t="str">
        <f t="shared" si="1"/>
        <v>{"valorA":"tão","valorB":5.0}</v>
      </c>
      <c r="E375" s="8" t="str">
        <f t="shared" si="2"/>
        <v>tão</v>
      </c>
      <c r="F375" s="8"/>
      <c r="G375" s="8" t="str">
        <f t="shared" si="3"/>
        <v>5.0</v>
      </c>
      <c r="H375" s="9">
        <f t="shared" si="4"/>
        <v>5</v>
      </c>
      <c r="I375" s="10">
        <f>IFERROR(__xludf.DUMMYFUNCTION("MAX(FILTER($H$2:$H1463,$E$2:$E1463=F375))"),0.0)</f>
        <v>0</v>
      </c>
    </row>
    <row r="376">
      <c r="A376" s="4"/>
      <c r="C376" s="4" t="s">
        <v>801</v>
      </c>
      <c r="D376" s="4" t="str">
        <f t="shared" si="1"/>
        <v>{"valorA":"por","valorB":2.0}</v>
      </c>
      <c r="E376" s="8" t="str">
        <f t="shared" si="2"/>
        <v>por</v>
      </c>
      <c r="F376" s="8"/>
      <c r="G376" s="8" t="str">
        <f t="shared" si="3"/>
        <v>2.0</v>
      </c>
      <c r="H376" s="9">
        <f t="shared" si="4"/>
        <v>2</v>
      </c>
      <c r="I376" s="10">
        <f>IFERROR(__xludf.DUMMYFUNCTION("MAX(FILTER($H$2:$H1463,$E$2:$E1463=F376))"),0.0)</f>
        <v>0</v>
      </c>
    </row>
    <row r="377">
      <c r="A377" s="4"/>
      <c r="C377" s="4" t="s">
        <v>802</v>
      </c>
      <c r="D377" s="4" t="str">
        <f t="shared" si="1"/>
        <v>{"valorA":"bom","valorB":6.0}</v>
      </c>
      <c r="E377" s="8" t="str">
        <f t="shared" si="2"/>
        <v>bom</v>
      </c>
      <c r="F377" s="8"/>
      <c r="G377" s="8" t="str">
        <f t="shared" si="3"/>
        <v>6.0</v>
      </c>
      <c r="H377" s="9">
        <f t="shared" si="4"/>
        <v>6</v>
      </c>
      <c r="I377" s="10">
        <f>IFERROR(__xludf.DUMMYFUNCTION("MAX(FILTER($H$2:$H1463,$E$2:$E1463=F377))"),0.0)</f>
        <v>0</v>
      </c>
    </row>
    <row r="378">
      <c r="A378" s="4"/>
      <c r="C378" s="4" t="s">
        <v>443</v>
      </c>
      <c r="D378" s="4" t="str">
        <f t="shared" si="1"/>
        <v>{"valorA":"produto","valorB":28.0}</v>
      </c>
      <c r="E378" s="8" t="str">
        <f t="shared" si="2"/>
        <v>produto</v>
      </c>
      <c r="F378" s="8"/>
      <c r="G378" s="8" t="str">
        <f t="shared" si="3"/>
        <v>28.0</v>
      </c>
      <c r="H378" s="9">
        <f t="shared" si="4"/>
        <v>28</v>
      </c>
      <c r="I378" s="10">
        <f>IFERROR(__xludf.DUMMYFUNCTION("MAX(FILTER($H$2:$H1463,$E$2:$E1463=F378))"),0.0)</f>
        <v>0</v>
      </c>
    </row>
    <row r="379">
      <c r="A379" s="4"/>
      <c r="C379" s="4" t="s">
        <v>803</v>
      </c>
      <c r="D379" s="4" t="str">
        <f t="shared" si="1"/>
        <v>{"valorA":"perfeitamente","valorB":3.0}</v>
      </c>
      <c r="E379" s="8" t="str">
        <f t="shared" si="2"/>
        <v>perfeitamente</v>
      </c>
      <c r="F379" s="8"/>
      <c r="G379" s="8" t="str">
        <f t="shared" si="3"/>
        <v>3.0</v>
      </c>
      <c r="H379" s="9">
        <f t="shared" si="4"/>
        <v>3</v>
      </c>
      <c r="I379" s="10">
        <f>IFERROR(__xludf.DUMMYFUNCTION("MAX(FILTER($H$2:$H1463,$E$2:$E1463=F379))"),0.0)</f>
        <v>0</v>
      </c>
    </row>
    <row r="380">
      <c r="A380" s="4"/>
      <c r="C380" s="4" t="s">
        <v>363</v>
      </c>
      <c r="D380" s="4" t="str">
        <f t="shared" si="1"/>
        <v>{"valorA":"funciona","valorB":8.0}</v>
      </c>
      <c r="E380" s="8" t="str">
        <f t="shared" si="2"/>
        <v>funciona</v>
      </c>
      <c r="F380" s="8"/>
      <c r="G380" s="8" t="str">
        <f t="shared" si="3"/>
        <v>8.0</v>
      </c>
      <c r="H380" s="9">
        <f t="shared" si="4"/>
        <v>8</v>
      </c>
      <c r="I380" s="10">
        <f>IFERROR(__xludf.DUMMYFUNCTION("MAX(FILTER($H$2:$H1463,$E$2:$E1463=F380))"),0.0)</f>
        <v>0</v>
      </c>
    </row>
    <row r="381">
      <c r="A381" s="4"/>
      <c r="C381" s="4" t="s">
        <v>804</v>
      </c>
      <c r="D381" s="4" t="str">
        <f t="shared" si="1"/>
        <v>{"valorA":"um","valorB":8.0}</v>
      </c>
      <c r="E381" s="8" t="str">
        <f t="shared" si="2"/>
        <v>um</v>
      </c>
      <c r="F381" s="8"/>
      <c r="G381" s="8" t="str">
        <f t="shared" si="3"/>
        <v>8.0</v>
      </c>
      <c r="H381" s="9">
        <f t="shared" si="4"/>
        <v>8</v>
      </c>
      <c r="I381" s="10">
        <f>IFERROR(__xludf.DUMMYFUNCTION("MAX(FILTER($H$2:$H1463,$E$2:$E1463=F381))"),0.0)</f>
        <v>0</v>
      </c>
    </row>
    <row r="382">
      <c r="A382" s="4"/>
      <c r="C382" s="4" t="s">
        <v>805</v>
      </c>
      <c r="D382" s="4" t="str">
        <f t="shared" si="1"/>
        <v>{"valorA":"preço","valorB":17.0}</v>
      </c>
      <c r="E382" s="8" t="str">
        <f t="shared" si="2"/>
        <v>preço</v>
      </c>
      <c r="F382" s="8"/>
      <c r="G382" s="8" t="str">
        <f t="shared" si="3"/>
        <v>17.0</v>
      </c>
      <c r="H382" s="9">
        <f t="shared" si="4"/>
        <v>17</v>
      </c>
      <c r="I382" s="10">
        <f>IFERROR(__xludf.DUMMYFUNCTION("MAX(FILTER($H$2:$H1463,$E$2:$E1463=F382))"),0.0)</f>
        <v>0</v>
      </c>
    </row>
    <row r="383">
      <c r="A383" s="4"/>
      <c r="C383" s="4" t="s">
        <v>806</v>
      </c>
      <c r="D383" s="4" t="str">
        <f t="shared" si="1"/>
        <v>{"valorA":"ótimo","valorB":40.0}</v>
      </c>
      <c r="E383" s="8" t="str">
        <f t="shared" si="2"/>
        <v>ótimo</v>
      </c>
      <c r="F383" s="8"/>
      <c r="G383" s="8" t="str">
        <f t="shared" si="3"/>
        <v>40.0</v>
      </c>
      <c r="H383" s="9">
        <f t="shared" si="4"/>
        <v>40</v>
      </c>
      <c r="I383" s="10">
        <f>IFERROR(__xludf.DUMMYFUNCTION("MAX(FILTER($H$2:$H1463,$E$2:$E1463=F383))"),0.0)</f>
        <v>0</v>
      </c>
    </row>
    <row r="384">
      <c r="A384" s="4"/>
      <c r="C384" s="4" t="s">
        <v>807</v>
      </c>
      <c r="D384" s="4" t="str">
        <f t="shared" si="1"/>
        <v>{"valorA":"valeu","valorB":6.0}</v>
      </c>
      <c r="E384" s="8" t="str">
        <f t="shared" si="2"/>
        <v>valeu</v>
      </c>
      <c r="F384" s="8"/>
      <c r="G384" s="8" t="str">
        <f t="shared" si="3"/>
        <v>6.0</v>
      </c>
      <c r="H384" s="9">
        <f t="shared" si="4"/>
        <v>6</v>
      </c>
      <c r="I384" s="10">
        <f>IFERROR(__xludf.DUMMYFUNCTION("MAX(FILTER($H$2:$H1463,$E$2:$E1463=F384))"),0.0)</f>
        <v>0</v>
      </c>
    </row>
    <row r="385">
      <c r="A385" s="4"/>
      <c r="C385" s="4" t="s">
        <v>808</v>
      </c>
      <c r="D385" s="4" t="str">
        <f t="shared" si="1"/>
        <v>{"valorA":"espera","valorB":5.0}</v>
      </c>
      <c r="E385" s="8" t="str">
        <f t="shared" si="2"/>
        <v>espera</v>
      </c>
      <c r="F385" s="8"/>
      <c r="G385" s="8" t="str">
        <f t="shared" si="3"/>
        <v>5.0</v>
      </c>
      <c r="H385" s="9">
        <f t="shared" si="4"/>
        <v>5</v>
      </c>
      <c r="I385" s="10">
        <f>IFERROR(__xludf.DUMMYFUNCTION("MAX(FILTER($H$2:$H1463,$E$2:$E1463=F385))"),0.0)</f>
        <v>0</v>
      </c>
    </row>
    <row r="386">
      <c r="A386" s="4"/>
      <c r="C386" s="4" t="s">
        <v>809</v>
      </c>
      <c r="D386" s="4" t="str">
        <f t="shared" si="1"/>
        <v>{"valorA":"produto","valorB":29.0}</v>
      </c>
      <c r="E386" s="8" t="str">
        <f t="shared" si="2"/>
        <v>produto</v>
      </c>
      <c r="F386" s="8"/>
      <c r="G386" s="8" t="str">
        <f t="shared" si="3"/>
        <v>29.0</v>
      </c>
      <c r="H386" s="9">
        <f t="shared" si="4"/>
        <v>29</v>
      </c>
      <c r="I386" s="10">
        <f>IFERROR(__xludf.DUMMYFUNCTION("MAX(FILTER($H$2:$H1463,$E$2:$E1463=F386))"),0.0)</f>
        <v>0</v>
      </c>
    </row>
    <row r="387">
      <c r="A387" s="4"/>
      <c r="C387" s="4" t="s">
        <v>287</v>
      </c>
      <c r="D387" s="4" t="str">
        <f t="shared" si="1"/>
        <v>{"valorA":"perfeitamente","valorB":4.0}</v>
      </c>
      <c r="E387" s="8" t="str">
        <f t="shared" si="2"/>
        <v>perfeitamente</v>
      </c>
      <c r="F387" s="8"/>
      <c r="G387" s="8" t="str">
        <f t="shared" si="3"/>
        <v>4.0</v>
      </c>
      <c r="H387" s="9">
        <f t="shared" si="4"/>
        <v>4</v>
      </c>
      <c r="I387" s="10">
        <f>IFERROR(__xludf.DUMMYFUNCTION("MAX(FILTER($H$2:$H1463,$E$2:$E1463=F387))"),0.0)</f>
        <v>0</v>
      </c>
    </row>
    <row r="388">
      <c r="A388" s="4"/>
      <c r="C388" s="4" t="s">
        <v>810</v>
      </c>
      <c r="D388" s="4" t="str">
        <f t="shared" si="1"/>
        <v>{"valorA":"a","valorB":13.0}</v>
      </c>
      <c r="E388" s="8" t="str">
        <f t="shared" si="2"/>
        <v>a</v>
      </c>
      <c r="F388" s="8"/>
      <c r="G388" s="8" t="str">
        <f t="shared" si="3"/>
        <v>13.0</v>
      </c>
      <c r="H388" s="9">
        <f t="shared" si="4"/>
        <v>13</v>
      </c>
      <c r="I388" s="10">
        <f>IFERROR(__xludf.DUMMYFUNCTION("MAX(FILTER($H$2:$H1463,$E$2:$E1463=F388))"),0.0)</f>
        <v>0</v>
      </c>
    </row>
    <row r="389">
      <c r="A389" s="4"/>
      <c r="C389" s="4" t="s">
        <v>382</v>
      </c>
      <c r="D389" s="4" t="str">
        <f t="shared" si="1"/>
        <v>{"valorA":"funciona","valorB":9.0}</v>
      </c>
      <c r="E389" s="8" t="str">
        <f t="shared" si="2"/>
        <v>funciona</v>
      </c>
      <c r="F389" s="8"/>
      <c r="G389" s="8" t="str">
        <f t="shared" si="3"/>
        <v>9.0</v>
      </c>
      <c r="H389" s="9">
        <f t="shared" si="4"/>
        <v>9</v>
      </c>
      <c r="I389" s="10">
        <f>IFERROR(__xludf.DUMMYFUNCTION("MAX(FILTER($H$2:$H1463,$E$2:$E1463=F389))"),0.0)</f>
        <v>0</v>
      </c>
    </row>
    <row r="390">
      <c r="A390" s="4"/>
      <c r="C390" s="4" t="s">
        <v>444</v>
      </c>
      <c r="D390" s="4" t="str">
        <f t="shared" si="1"/>
        <v>{"valorA":"ótimo","valorB":41.0}</v>
      </c>
      <c r="E390" s="8" t="str">
        <f t="shared" si="2"/>
        <v>ótimo</v>
      </c>
      <c r="F390" s="8"/>
      <c r="G390" s="8" t="str">
        <f t="shared" si="3"/>
        <v>41.0</v>
      </c>
      <c r="H390" s="9">
        <f t="shared" si="4"/>
        <v>41</v>
      </c>
      <c r="I390" s="10">
        <f>IFERROR(__xludf.DUMMYFUNCTION("MAX(FILTER($H$2:$H1463,$E$2:$E1463=F390))"),0.0)</f>
        <v>0</v>
      </c>
    </row>
    <row r="391">
      <c r="A391" s="4"/>
      <c r="C391" s="4" t="s">
        <v>811</v>
      </c>
      <c r="D391" s="4" t="str">
        <f t="shared" si="1"/>
        <v>{"valorA":"caro","valorB":2.0}</v>
      </c>
      <c r="E391" s="8" t="str">
        <f t="shared" si="2"/>
        <v>caro</v>
      </c>
      <c r="F391" s="8"/>
      <c r="G391" s="8" t="str">
        <f t="shared" si="3"/>
        <v>2.0</v>
      </c>
      <c r="H391" s="9">
        <f t="shared" si="4"/>
        <v>2</v>
      </c>
      <c r="I391" s="10">
        <f>IFERROR(__xludf.DUMMYFUNCTION("MAX(FILTER($H$2:$H1463,$E$2:$E1463=F391))"),0.0)</f>
        <v>0</v>
      </c>
    </row>
    <row r="392">
      <c r="A392" s="4"/>
      <c r="C392" s="4" t="s">
        <v>461</v>
      </c>
      <c r="D392" s="4" t="str">
        <f t="shared" si="1"/>
        <v>{"valorA":"produto","valorB":30.0}</v>
      </c>
      <c r="E392" s="8" t="str">
        <f t="shared" si="2"/>
        <v>produto</v>
      </c>
      <c r="F392" s="8"/>
      <c r="G392" s="8" t="str">
        <f t="shared" si="3"/>
        <v>30.0</v>
      </c>
      <c r="H392" s="9">
        <f t="shared" si="4"/>
        <v>30</v>
      </c>
      <c r="I392" s="10">
        <f>IFERROR(__xludf.DUMMYFUNCTION("MAX(FILTER($H$2:$H1463,$E$2:$E1463=F392))"),0.0)</f>
        <v>0</v>
      </c>
    </row>
    <row r="393">
      <c r="A393" s="4"/>
      <c r="C393" s="4" t="s">
        <v>812</v>
      </c>
      <c r="D393" s="4" t="str">
        <f t="shared" si="1"/>
        <v>{"valorA":"mas","valorB":7.0}</v>
      </c>
      <c r="E393" s="8" t="str">
        <f t="shared" si="2"/>
        <v>mas</v>
      </c>
      <c r="F393" s="8"/>
      <c r="G393" s="8" t="str">
        <f t="shared" si="3"/>
        <v>7.0</v>
      </c>
      <c r="H393" s="9">
        <f t="shared" si="4"/>
        <v>7</v>
      </c>
      <c r="I393" s="10">
        <f>IFERROR(__xludf.DUMMYFUNCTION("MAX(FILTER($H$2:$H1463,$E$2:$E1463=F393))"),0.0)</f>
        <v>0</v>
      </c>
    </row>
    <row r="394">
      <c r="A394" s="4"/>
      <c r="C394" s="4" t="s">
        <v>377</v>
      </c>
      <c r="D394" s="4" t="str">
        <f t="shared" si="1"/>
        <v>{"valorA":"muito","valorB":12.0}</v>
      </c>
      <c r="E394" s="8" t="str">
        <f t="shared" si="2"/>
        <v>muito</v>
      </c>
      <c r="F394" s="8"/>
      <c r="G394" s="8" t="str">
        <f t="shared" si="3"/>
        <v>12.0</v>
      </c>
      <c r="H394" s="9">
        <f t="shared" si="4"/>
        <v>12</v>
      </c>
      <c r="I394" s="10">
        <f>IFERROR(__xludf.DUMMYFUNCTION("MAX(FILTER($H$2:$H1463,$E$2:$E1463=F394))"),0.0)</f>
        <v>0</v>
      </c>
    </row>
    <row r="395">
      <c r="A395" s="4"/>
      <c r="C395" s="4" t="s">
        <v>813</v>
      </c>
      <c r="D395" s="4" t="str">
        <f t="shared" si="1"/>
        <v>{"valorA":"ótimo","valorB":42.0}</v>
      </c>
      <c r="E395" s="8" t="str">
        <f t="shared" si="2"/>
        <v>ótimo</v>
      </c>
      <c r="F395" s="8"/>
      <c r="G395" s="8" t="str">
        <f t="shared" si="3"/>
        <v>42.0</v>
      </c>
      <c r="H395" s="9">
        <f t="shared" si="4"/>
        <v>42</v>
      </c>
      <c r="I395" s="10">
        <f>IFERROR(__xludf.DUMMYFUNCTION("MAX(FILTER($H$2:$H1463,$E$2:$E1463=F395))"),0.0)</f>
        <v>0</v>
      </c>
    </row>
    <row r="396">
      <c r="A396" s="4"/>
      <c r="C396" s="4" t="s">
        <v>814</v>
      </c>
      <c r="D396" s="4" t="str">
        <f t="shared" si="1"/>
        <v>{"valorA":"valeu","valorB":7.0}</v>
      </c>
      <c r="E396" s="8" t="str">
        <f t="shared" si="2"/>
        <v>valeu</v>
      </c>
      <c r="F396" s="8"/>
      <c r="G396" s="8" t="str">
        <f t="shared" si="3"/>
        <v>7.0</v>
      </c>
      <c r="H396" s="9">
        <f t="shared" si="4"/>
        <v>7</v>
      </c>
      <c r="I396" s="10">
        <f>IFERROR(__xludf.DUMMYFUNCTION("MAX(FILTER($H$2:$H1463,$E$2:$E1463=F396))"),0.0)</f>
        <v>0</v>
      </c>
    </row>
    <row r="397">
      <c r="A397" s="4"/>
      <c r="C397" s="4" t="s">
        <v>348</v>
      </c>
      <c r="D397" s="4" t="str">
        <f t="shared" si="1"/>
        <v>{"valorA":"bem","valorB":8.0}</v>
      </c>
      <c r="E397" s="8" t="str">
        <f t="shared" si="2"/>
        <v>bem</v>
      </c>
      <c r="F397" s="8"/>
      <c r="G397" s="8" t="str">
        <f t="shared" si="3"/>
        <v>8.0</v>
      </c>
      <c r="H397" s="9">
        <f t="shared" si="4"/>
        <v>8</v>
      </c>
      <c r="I397" s="10">
        <f>IFERROR(__xludf.DUMMYFUNCTION("MAX(FILTER($H$2:$H1463,$E$2:$E1463=F397))"),0.0)</f>
        <v>0</v>
      </c>
    </row>
    <row r="398">
      <c r="A398" s="4"/>
      <c r="C398" s="4" t="s">
        <v>815</v>
      </c>
      <c r="D398" s="4" t="str">
        <f t="shared" si="1"/>
        <v>{"valorA":"o","valorB":10.0}</v>
      </c>
      <c r="E398" s="8" t="str">
        <f t="shared" si="2"/>
        <v>o</v>
      </c>
      <c r="F398" s="8"/>
      <c r="G398" s="8" t="str">
        <f t="shared" si="3"/>
        <v>10.0</v>
      </c>
      <c r="H398" s="9">
        <f t="shared" si="4"/>
        <v>10</v>
      </c>
      <c r="I398" s="10">
        <f>IFERROR(__xludf.DUMMYFUNCTION("MAX(FILTER($H$2:$H1463,$E$2:$E1463=F398))"),0.0)</f>
        <v>0</v>
      </c>
    </row>
    <row r="399">
      <c r="A399" s="4"/>
      <c r="C399" s="4" t="s">
        <v>816</v>
      </c>
      <c r="D399" s="4" t="str">
        <f t="shared" si="1"/>
        <v>{"valorA":"espera","valorB":6.0}</v>
      </c>
      <c r="E399" s="8" t="str">
        <f t="shared" si="2"/>
        <v>espera</v>
      </c>
      <c r="F399" s="8"/>
      <c r="G399" s="8" t="str">
        <f t="shared" si="3"/>
        <v>6.0</v>
      </c>
      <c r="H399" s="9">
        <f t="shared" si="4"/>
        <v>6</v>
      </c>
      <c r="I399" s="10">
        <f>IFERROR(__xludf.DUMMYFUNCTION("MAX(FILTER($H$2:$H1463,$E$2:$E1463=F399))"),0.0)</f>
        <v>0</v>
      </c>
    </row>
    <row r="400">
      <c r="A400" s="4"/>
      <c r="C400" s="4" t="s">
        <v>817</v>
      </c>
      <c r="D400" s="4" t="str">
        <f t="shared" si="1"/>
        <v>{"valorA":"que","valorB":9.0}</v>
      </c>
      <c r="E400" s="8" t="str">
        <f t="shared" si="2"/>
        <v>que</v>
      </c>
      <c r="F400" s="8"/>
      <c r="G400" s="8" t="str">
        <f t="shared" si="3"/>
        <v>9.0</v>
      </c>
      <c r="H400" s="9">
        <f t="shared" si="4"/>
        <v>9</v>
      </c>
      <c r="I400" s="10">
        <f>IFERROR(__xludf.DUMMYFUNCTION("MAX(FILTER($H$2:$H1463,$E$2:$E1463=F400))"),0.0)</f>
        <v>0</v>
      </c>
    </row>
    <row r="401">
      <c r="A401" s="4"/>
      <c r="C401" s="4" t="s">
        <v>818</v>
      </c>
      <c r="D401" s="4" t="str">
        <f t="shared" si="1"/>
        <v>{"valorA":"produto","valorB":31.0}</v>
      </c>
      <c r="E401" s="8" t="str">
        <f t="shared" si="2"/>
        <v>produto</v>
      </c>
      <c r="F401" s="8"/>
      <c r="G401" s="8" t="str">
        <f t="shared" si="3"/>
        <v>31.0</v>
      </c>
      <c r="H401" s="9">
        <f t="shared" si="4"/>
        <v>31</v>
      </c>
      <c r="I401" s="10">
        <f>IFERROR(__xludf.DUMMYFUNCTION("MAX(FILTER($H$2:$H1463,$E$2:$E1463=F401))"),0.0)</f>
        <v>0</v>
      </c>
    </row>
    <row r="402">
      <c r="A402" s="4"/>
      <c r="C402" s="4" t="s">
        <v>819</v>
      </c>
      <c r="D402" s="4" t="str">
        <f t="shared" si="1"/>
        <v>{"valorA":"ótimo","valorB":43.0}</v>
      </c>
      <c r="E402" s="8" t="str">
        <f t="shared" si="2"/>
        <v>ótimo</v>
      </c>
      <c r="F402" s="8"/>
      <c r="G402" s="8" t="str">
        <f t="shared" si="3"/>
        <v>43.0</v>
      </c>
      <c r="H402" s="9">
        <f t="shared" si="4"/>
        <v>43</v>
      </c>
      <c r="I402" s="10">
        <f>IFERROR(__xludf.DUMMYFUNCTION("MAX(FILTER($H$2:$H1463,$E$2:$E1463=F402))"),0.0)</f>
        <v>0</v>
      </c>
    </row>
    <row r="403">
      <c r="A403" s="4"/>
      <c r="C403" s="4" t="s">
        <v>820</v>
      </c>
      <c r="D403" s="4" t="str">
        <f t="shared" si="1"/>
        <v>{"valorA":"paguei","valorB":7.0}</v>
      </c>
      <c r="E403" s="8" t="str">
        <f t="shared" si="2"/>
        <v>paguei</v>
      </c>
      <c r="F403" s="8"/>
      <c r="G403" s="8" t="str">
        <f t="shared" si="3"/>
        <v>7.0</v>
      </c>
      <c r="H403" s="9">
        <f t="shared" si="4"/>
        <v>7</v>
      </c>
      <c r="I403" s="10">
        <f>IFERROR(__xludf.DUMMYFUNCTION("MAX(FILTER($H$2:$H1463,$E$2:$E1463=F403))"),0.0)</f>
        <v>0</v>
      </c>
    </row>
    <row r="404">
      <c r="A404" s="4"/>
      <c r="C404" s="4" t="s">
        <v>821</v>
      </c>
      <c r="D404" s="4" t="str">
        <f t="shared" si="1"/>
        <v>{"valorA":"câmera","valorB":4.0}</v>
      </c>
      <c r="E404" s="8" t="str">
        <f t="shared" si="2"/>
        <v>câmera</v>
      </c>
      <c r="F404" s="8"/>
      <c r="G404" s="8" t="str">
        <f t="shared" si="3"/>
        <v>4.0</v>
      </c>
      <c r="H404" s="9">
        <f t="shared" si="4"/>
        <v>4</v>
      </c>
      <c r="I404" s="10">
        <f>IFERROR(__xludf.DUMMYFUNCTION("MAX(FILTER($H$2:$H1463,$E$2:$E1463=F404))"),0.0)</f>
        <v>0</v>
      </c>
    </row>
    <row r="405">
      <c r="A405" s="4"/>
      <c r="C405" s="4" t="s">
        <v>822</v>
      </c>
      <c r="D405" s="4" t="str">
        <f t="shared" si="1"/>
        <v>{"valorA":"a","valorB":14.0}</v>
      </c>
      <c r="E405" s="8" t="str">
        <f t="shared" si="2"/>
        <v>a</v>
      </c>
      <c r="F405" s="8"/>
      <c r="G405" s="8" t="str">
        <f t="shared" si="3"/>
        <v>14.0</v>
      </c>
      <c r="H405" s="9">
        <f t="shared" si="4"/>
        <v>14</v>
      </c>
      <c r="I405" s="10">
        <f>IFERROR(__xludf.DUMMYFUNCTION("MAX(FILTER($H$2:$H1463,$E$2:$E1463=F405))"),0.0)</f>
        <v>0</v>
      </c>
    </row>
    <row r="406">
      <c r="A406" s="4"/>
      <c r="C406" s="4" t="s">
        <v>823</v>
      </c>
      <c r="D406" s="4" t="str">
        <f t="shared" si="1"/>
        <v>{"valorA":"valorizado","valorB":1.0}</v>
      </c>
      <c r="E406" s="8" t="str">
        <f t="shared" si="2"/>
        <v>valorizado</v>
      </c>
      <c r="F406" s="8"/>
      <c r="G406" s="8" t="str">
        <f t="shared" si="3"/>
        <v>1.0</v>
      </c>
      <c r="H406" s="9">
        <f t="shared" si="4"/>
        <v>1</v>
      </c>
      <c r="I406" s="10">
        <f>IFERROR(__xludf.DUMMYFUNCTION("MAX(FILTER($H$2:$H1463,$E$2:$E1463=F406))"),0.0)</f>
        <v>0</v>
      </c>
    </row>
    <row r="407">
      <c r="A407" s="4"/>
      <c r="C407" s="4" t="s">
        <v>824</v>
      </c>
      <c r="D407" s="4" t="str">
        <f t="shared" si="1"/>
        <v>{"valorA":"preço","valorB":18.0}</v>
      </c>
      <c r="E407" s="8" t="str">
        <f t="shared" si="2"/>
        <v>preço</v>
      </c>
      <c r="F407" s="8"/>
      <c r="G407" s="8" t="str">
        <f t="shared" si="3"/>
        <v>18.0</v>
      </c>
      <c r="H407" s="9">
        <f t="shared" si="4"/>
        <v>18</v>
      </c>
      <c r="I407" s="10">
        <f>IFERROR(__xludf.DUMMYFUNCTION("MAX(FILTER($H$2:$H1463,$E$2:$E1463=F407))"),0.0)</f>
        <v>0</v>
      </c>
    </row>
    <row r="408">
      <c r="A408" s="4"/>
      <c r="C408" s="4" t="s">
        <v>464</v>
      </c>
      <c r="D408" s="4" t="str">
        <f t="shared" si="1"/>
        <v>{"valorA":"ótimo","valorB":44.0}</v>
      </c>
      <c r="E408" s="8" t="str">
        <f t="shared" si="2"/>
        <v>ótimo</v>
      </c>
      <c r="F408" s="8"/>
      <c r="G408" s="8" t="str">
        <f t="shared" si="3"/>
        <v>44.0</v>
      </c>
      <c r="H408" s="9">
        <f t="shared" si="4"/>
        <v>44</v>
      </c>
      <c r="I408" s="10">
        <f>IFERROR(__xludf.DUMMYFUNCTION("MAX(FILTER($H$2:$H1463,$E$2:$E1463=F408))"),0.0)</f>
        <v>0</v>
      </c>
    </row>
    <row r="409">
      <c r="A409" s="4"/>
      <c r="C409" s="4" t="s">
        <v>825</v>
      </c>
      <c r="D409" s="4" t="str">
        <f t="shared" si="1"/>
        <v>{"valorA":"bem","valorB":9.0}</v>
      </c>
      <c r="E409" s="8" t="str">
        <f t="shared" si="2"/>
        <v>bem</v>
      </c>
      <c r="F409" s="8"/>
      <c r="G409" s="8" t="str">
        <f t="shared" si="3"/>
        <v>9.0</v>
      </c>
      <c r="H409" s="9">
        <f t="shared" si="4"/>
        <v>9</v>
      </c>
      <c r="I409" s="10">
        <f>IFERROR(__xludf.DUMMYFUNCTION("MAX(FILTER($H$2:$H1463,$E$2:$E1463=F409))"),0.0)</f>
        <v>0</v>
      </c>
    </row>
    <row r="410">
      <c r="A410" s="4"/>
      <c r="C410" s="4" t="s">
        <v>826</v>
      </c>
      <c r="D410" s="4" t="str">
        <f t="shared" si="1"/>
        <v>{"valorA":"o","valorB":11.0}</v>
      </c>
      <c r="E410" s="8" t="str">
        <f t="shared" si="2"/>
        <v>o</v>
      </c>
      <c r="F410" s="8"/>
      <c r="G410" s="8" t="str">
        <f t="shared" si="3"/>
        <v>11.0</v>
      </c>
      <c r="H410" s="9">
        <f t="shared" si="4"/>
        <v>11</v>
      </c>
      <c r="I410" s="10">
        <f>IFERROR(__xludf.DUMMYFUNCTION("MAX(FILTER($H$2:$H1463,$E$2:$E1463=F410))"),0.0)</f>
        <v>0</v>
      </c>
    </row>
    <row r="411">
      <c r="A411" s="4"/>
      <c r="C411" s="4" t="s">
        <v>478</v>
      </c>
      <c r="D411" s="4" t="str">
        <f t="shared" si="1"/>
        <v>{"valorA":"dinheiro","valorB":1.0}</v>
      </c>
      <c r="E411" s="8" t="str">
        <f t="shared" si="2"/>
        <v>dinheiro</v>
      </c>
      <c r="F411" s="8"/>
      <c r="G411" s="8" t="str">
        <f t="shared" si="3"/>
        <v>1.0</v>
      </c>
      <c r="H411" s="9">
        <f t="shared" si="4"/>
        <v>1</v>
      </c>
      <c r="I411" s="10">
        <f>IFERROR(__xludf.DUMMYFUNCTION("MAX(FILTER($H$2:$H1463,$E$2:$E1463=F411))"),0.0)</f>
        <v>0</v>
      </c>
    </row>
    <row r="412">
      <c r="A412" s="4"/>
      <c r="C412" s="4" t="s">
        <v>373</v>
      </c>
      <c r="D412" s="4" t="str">
        <f t="shared" si="1"/>
        <v>{"valorA":"gosto","valorB":2.0}</v>
      </c>
      <c r="E412" s="8" t="str">
        <f t="shared" si="2"/>
        <v>gosto</v>
      </c>
      <c r="F412" s="8"/>
      <c r="G412" s="8" t="str">
        <f t="shared" si="3"/>
        <v>2.0</v>
      </c>
      <c r="H412" s="9">
        <f t="shared" si="4"/>
        <v>2</v>
      </c>
      <c r="I412" s="10">
        <f>IFERROR(__xludf.DUMMYFUNCTION("MAX(FILTER($H$2:$H1463,$E$2:$E1463=F412))"),0.0)</f>
        <v>0</v>
      </c>
    </row>
    <row r="413">
      <c r="A413" s="4"/>
      <c r="C413" s="4" t="s">
        <v>827</v>
      </c>
      <c r="D413" s="4" t="str">
        <f t="shared" si="1"/>
        <v>{"valorA":"valido","valorB":1.0}</v>
      </c>
      <c r="E413" s="8" t="str">
        <f t="shared" si="2"/>
        <v>valido</v>
      </c>
      <c r="F413" s="8"/>
      <c r="G413" s="8" t="str">
        <f t="shared" si="3"/>
        <v>1.0</v>
      </c>
      <c r="H413" s="9">
        <f t="shared" si="4"/>
        <v>1</v>
      </c>
      <c r="I413" s="10">
        <f>IFERROR(__xludf.DUMMYFUNCTION("MAX(FILTER($H$2:$H1463,$E$2:$E1463=F413))"),0.0)</f>
        <v>0</v>
      </c>
    </row>
    <row r="414">
      <c r="A414" s="4"/>
      <c r="C414" s="4" t="s">
        <v>828</v>
      </c>
      <c r="D414" s="4" t="str">
        <f t="shared" si="1"/>
        <v>{"valorA":"produto","valorB":32.0}</v>
      </c>
      <c r="E414" s="8" t="str">
        <f t="shared" si="2"/>
        <v>produto</v>
      </c>
      <c r="F414" s="8"/>
      <c r="G414" s="8" t="str">
        <f t="shared" si="3"/>
        <v>32.0</v>
      </c>
      <c r="H414" s="9">
        <f t="shared" si="4"/>
        <v>32</v>
      </c>
      <c r="I414" s="10">
        <f>IFERROR(__xludf.DUMMYFUNCTION("MAX(FILTER($H$2:$H1463,$E$2:$E1463=F414))"),0.0)</f>
        <v>0</v>
      </c>
    </row>
    <row r="415">
      <c r="A415" s="4"/>
      <c r="C415" s="4" t="s">
        <v>829</v>
      </c>
      <c r="D415" s="4" t="str">
        <f t="shared" si="1"/>
        <v>{"valorA":"muito","valorB":13.0}</v>
      </c>
      <c r="E415" s="8" t="str">
        <f t="shared" si="2"/>
        <v>muito</v>
      </c>
      <c r="F415" s="8"/>
      <c r="G415" s="8" t="str">
        <f t="shared" si="3"/>
        <v>13.0</v>
      </c>
      <c r="H415" s="9">
        <f t="shared" si="4"/>
        <v>13</v>
      </c>
      <c r="I415" s="10">
        <f>IFERROR(__xludf.DUMMYFUNCTION("MAX(FILTER($H$2:$H1463,$E$2:$E1463=F415))"),0.0)</f>
        <v>0</v>
      </c>
    </row>
    <row r="416">
      <c r="A416" s="4"/>
      <c r="C416" s="4" t="s">
        <v>830</v>
      </c>
      <c r="D416" s="4" t="str">
        <f t="shared" si="1"/>
        <v>{"valorA":"ótimo","valorB":45.0}</v>
      </c>
      <c r="E416" s="8" t="str">
        <f t="shared" si="2"/>
        <v>ótimo</v>
      </c>
      <c r="F416" s="8"/>
      <c r="G416" s="8" t="str">
        <f t="shared" si="3"/>
        <v>45.0</v>
      </c>
      <c r="H416" s="9">
        <f t="shared" si="4"/>
        <v>45</v>
      </c>
      <c r="I416" s="10">
        <f>IFERROR(__xludf.DUMMYFUNCTION("MAX(FILTER($H$2:$H1463,$E$2:$E1463=F416))"),0.0)</f>
        <v>0</v>
      </c>
    </row>
    <row r="417">
      <c r="A417" s="4"/>
      <c r="C417" s="4" t="s">
        <v>831</v>
      </c>
      <c r="D417" s="4" t="str">
        <f t="shared" si="1"/>
        <v>{"valorA":"meu","valorB":5.0}</v>
      </c>
      <c r="E417" s="8" t="str">
        <f t="shared" si="2"/>
        <v>meu</v>
      </c>
      <c r="F417" s="8"/>
      <c r="G417" s="8" t="str">
        <f t="shared" si="3"/>
        <v>5.0</v>
      </c>
      <c r="H417" s="9">
        <f t="shared" si="4"/>
        <v>5</v>
      </c>
      <c r="I417" s="10">
        <f>IFERROR(__xludf.DUMMYFUNCTION("MAX(FILTER($H$2:$H1463,$E$2:$E1463=F417))"),0.0)</f>
        <v>0</v>
      </c>
    </row>
    <row r="418">
      <c r="A418" s="4"/>
      <c r="C418" s="4" t="s">
        <v>832</v>
      </c>
      <c r="D418" s="4" t="str">
        <f t="shared" si="1"/>
        <v>{"valorA":"de","valorB":13.0}</v>
      </c>
      <c r="E418" s="8" t="str">
        <f t="shared" si="2"/>
        <v>de</v>
      </c>
      <c r="F418" s="8"/>
      <c r="G418" s="8" t="str">
        <f t="shared" si="3"/>
        <v>13.0</v>
      </c>
      <c r="H418" s="9">
        <f t="shared" si="4"/>
        <v>13</v>
      </c>
      <c r="I418" s="10">
        <f>IFERROR(__xludf.DUMMYFUNCTION("MAX(FILTER($H$2:$H1463,$E$2:$E1463=F418))"),0.0)</f>
        <v>0</v>
      </c>
    </row>
    <row r="419">
      <c r="A419" s="4"/>
      <c r="C419" s="4" t="s">
        <v>833</v>
      </c>
      <c r="D419" s="4" t="str">
        <f t="shared" si="1"/>
        <v>{"valorA":"leitor","valorB":1.0}</v>
      </c>
      <c r="E419" s="8" t="str">
        <f t="shared" si="2"/>
        <v>leitor</v>
      </c>
      <c r="F419" s="8"/>
      <c r="G419" s="8" t="str">
        <f t="shared" si="3"/>
        <v>1.0</v>
      </c>
      <c r="H419" s="9">
        <f t="shared" si="4"/>
        <v>1</v>
      </c>
      <c r="I419" s="10">
        <f>IFERROR(__xludf.DUMMYFUNCTION("MAX(FILTER($H$2:$H1463,$E$2:$E1463=F419))"),0.0)</f>
        <v>0</v>
      </c>
    </row>
    <row r="420">
      <c r="A420" s="4"/>
      <c r="C420" s="4" t="s">
        <v>338</v>
      </c>
      <c r="D420" s="4" t="str">
        <f t="shared" si="1"/>
        <v>{"valorA":"perfeitamente","valorB":5.0}</v>
      </c>
      <c r="E420" s="8" t="str">
        <f t="shared" si="2"/>
        <v>perfeitamente</v>
      </c>
      <c r="F420" s="8"/>
      <c r="G420" s="8" t="str">
        <f t="shared" si="3"/>
        <v>5.0</v>
      </c>
      <c r="H420" s="9">
        <f t="shared" si="4"/>
        <v>5</v>
      </c>
      <c r="I420" s="10">
        <f>IFERROR(__xludf.DUMMYFUNCTION("MAX(FILTER($H$2:$H1463,$E$2:$E1463=F420))"),0.0)</f>
        <v>0</v>
      </c>
    </row>
    <row r="421">
      <c r="A421" s="4"/>
      <c r="C421" s="4" t="s">
        <v>834</v>
      </c>
      <c r="D421" s="4" t="str">
        <f t="shared" si="1"/>
        <v>{"valorA":"tatuadores","valorB":1.0}</v>
      </c>
      <c r="E421" s="8" t="str">
        <f t="shared" si="2"/>
        <v>tatuadores</v>
      </c>
      <c r="F421" s="8"/>
      <c r="G421" s="8" t="str">
        <f t="shared" si="3"/>
        <v>1.0</v>
      </c>
      <c r="H421" s="9">
        <f t="shared" si="4"/>
        <v>1</v>
      </c>
      <c r="I421" s="10">
        <f>IFERROR(__xludf.DUMMYFUNCTION("MAX(FILTER($H$2:$H1463,$E$2:$E1463=F421))"),0.0)</f>
        <v>0</v>
      </c>
    </row>
    <row r="422">
      <c r="A422" s="4"/>
      <c r="C422" s="4" t="s">
        <v>434</v>
      </c>
      <c r="D422" s="4" t="str">
        <f t="shared" si="1"/>
        <v>{"valorA":"funciona","valorB":10.0}</v>
      </c>
      <c r="E422" s="8" t="str">
        <f t="shared" si="2"/>
        <v>funciona</v>
      </c>
      <c r="F422" s="8"/>
      <c r="G422" s="8" t="str">
        <f t="shared" si="3"/>
        <v>10.0</v>
      </c>
      <c r="H422" s="9">
        <f t="shared" si="4"/>
        <v>10</v>
      </c>
      <c r="I422" s="10">
        <f>IFERROR(__xludf.DUMMYFUNCTION("MAX(FILTER($H$2:$H1463,$E$2:$E1463=F422))"),0.0)</f>
        <v>0</v>
      </c>
    </row>
    <row r="423">
      <c r="A423" s="4"/>
      <c r="C423" s="4" t="s">
        <v>835</v>
      </c>
      <c r="D423" s="4" t="str">
        <f t="shared" si="1"/>
        <v>{"valorA":"ótimo","valorB":46.0}</v>
      </c>
      <c r="E423" s="8" t="str">
        <f t="shared" si="2"/>
        <v>ótimo</v>
      </c>
      <c r="F423" s="8"/>
      <c r="G423" s="8" t="str">
        <f t="shared" si="3"/>
        <v>46.0</v>
      </c>
      <c r="H423" s="9">
        <f t="shared" si="4"/>
        <v>46</v>
      </c>
      <c r="I423" s="10">
        <f>IFERROR(__xludf.DUMMYFUNCTION("MAX(FILTER($H$2:$H1463,$E$2:$E1463=F423))"),0.0)</f>
        <v>0</v>
      </c>
    </row>
    <row r="424">
      <c r="A424" s="4"/>
      <c r="C424" s="4" t="s">
        <v>836</v>
      </c>
      <c r="D424" s="4" t="str">
        <f t="shared" si="1"/>
        <v>{"valorA":"exemplos","valorB":1.0}</v>
      </c>
      <c r="E424" s="8" t="str">
        <f t="shared" si="2"/>
        <v>exemplos</v>
      </c>
      <c r="F424" s="8"/>
      <c r="G424" s="8" t="str">
        <f t="shared" si="3"/>
        <v>1.0</v>
      </c>
      <c r="H424" s="9">
        <f t="shared" si="4"/>
        <v>1</v>
      </c>
      <c r="I424" s="10">
        <f>IFERROR(__xludf.DUMMYFUNCTION("MAX(FILTER($H$2:$H1463,$E$2:$E1463=F424))"),0.0)</f>
        <v>0</v>
      </c>
    </row>
    <row r="425">
      <c r="A425" s="4"/>
      <c r="C425" s="4" t="s">
        <v>837</v>
      </c>
      <c r="D425" s="4" t="str">
        <f t="shared" si="1"/>
        <v>{"valorA":"preçoqualidade","valorB":1.0}</v>
      </c>
      <c r="E425" s="8" t="str">
        <f t="shared" si="2"/>
        <v>preçoqualidade</v>
      </c>
      <c r="F425" s="8"/>
      <c r="G425" s="8" t="str">
        <f t="shared" si="3"/>
        <v>1.0</v>
      </c>
      <c r="H425" s="9">
        <f t="shared" si="4"/>
        <v>1</v>
      </c>
      <c r="I425" s="10">
        <f>IFERROR(__xludf.DUMMYFUNCTION("MAX(FILTER($H$2:$H1463,$E$2:$E1463=F425))"),0.0)</f>
        <v>0</v>
      </c>
    </row>
    <row r="426">
      <c r="A426" s="4"/>
      <c r="C426" s="4" t="s">
        <v>838</v>
      </c>
      <c r="D426" s="4" t="str">
        <f t="shared" si="1"/>
        <v>{"valorA":"positivos","valorB":1.0}</v>
      </c>
      <c r="E426" s="8" t="str">
        <f t="shared" si="2"/>
        <v>positivos</v>
      </c>
      <c r="F426" s="8"/>
      <c r="G426" s="8" t="str">
        <f t="shared" si="3"/>
        <v>1.0</v>
      </c>
      <c r="H426" s="9">
        <f t="shared" si="4"/>
        <v>1</v>
      </c>
      <c r="I426" s="10">
        <f>IFERROR(__xludf.DUMMYFUNCTION("MAX(FILTER($H$2:$H1463,$E$2:$E1463=F426))"),0.0)</f>
        <v>0</v>
      </c>
    </row>
    <row r="427">
      <c r="A427" s="4"/>
      <c r="C427" s="4" t="s">
        <v>839</v>
      </c>
      <c r="D427" s="4" t="str">
        <f t="shared" si="1"/>
        <v>{"valorA":"meu","valorB":6.0}</v>
      </c>
      <c r="E427" s="8" t="str">
        <f t="shared" si="2"/>
        <v>meu</v>
      </c>
      <c r="F427" s="8"/>
      <c r="G427" s="8" t="str">
        <f t="shared" si="3"/>
        <v>6.0</v>
      </c>
      <c r="H427" s="9">
        <f t="shared" si="4"/>
        <v>6</v>
      </c>
      <c r="I427" s="10">
        <f>IFERROR(__xludf.DUMMYFUNCTION("MAX(FILTER($H$2:$H1463,$E$2:$E1463=F427))"),0.0)</f>
        <v>0</v>
      </c>
    </row>
    <row r="428">
      <c r="A428" s="4"/>
      <c r="C428" s="4" t="s">
        <v>840</v>
      </c>
      <c r="D428" s="4" t="str">
        <f t="shared" si="1"/>
        <v>{"valorA":"comentários","valorB":1.0}</v>
      </c>
      <c r="E428" s="8" t="str">
        <f t="shared" si="2"/>
        <v>comentários</v>
      </c>
      <c r="F428" s="8"/>
      <c r="G428" s="8" t="str">
        <f t="shared" si="3"/>
        <v>1.0</v>
      </c>
      <c r="H428" s="9">
        <f t="shared" si="4"/>
        <v>1</v>
      </c>
      <c r="I428" s="10">
        <f>IFERROR(__xludf.DUMMYFUNCTION("MAX(FILTER($H$2:$H1463,$E$2:$E1463=F428))"),0.0)</f>
        <v>0</v>
      </c>
    </row>
    <row r="429">
      <c r="A429" s="4"/>
      <c r="C429" s="4" t="s">
        <v>368</v>
      </c>
      <c r="D429" s="4" t="str">
        <f t="shared" si="1"/>
        <v>{"valorA":"bem","valorB":10.0}</v>
      </c>
      <c r="E429" s="8" t="str">
        <f t="shared" si="2"/>
        <v>bem</v>
      </c>
      <c r="F429" s="8"/>
      <c r="G429" s="8" t="str">
        <f t="shared" si="3"/>
        <v>10.0</v>
      </c>
      <c r="H429" s="9">
        <f t="shared" si="4"/>
        <v>10</v>
      </c>
      <c r="I429" s="10">
        <f>IFERROR(__xludf.DUMMYFUNCTION("MAX(FILTER($H$2:$H1463,$E$2:$E1463=F429))"),0.0)</f>
        <v>0</v>
      </c>
    </row>
    <row r="430">
      <c r="A430" s="4"/>
      <c r="C430" s="4" t="s">
        <v>841</v>
      </c>
      <c r="D430" s="4" t="str">
        <f t="shared" si="1"/>
        <v>{"valorA":"de","valorB":14.0}</v>
      </c>
      <c r="E430" s="8" t="str">
        <f t="shared" si="2"/>
        <v>de</v>
      </c>
      <c r="F430" s="8"/>
      <c r="G430" s="8" t="str">
        <f t="shared" si="3"/>
        <v>14.0</v>
      </c>
      <c r="H430" s="9">
        <f t="shared" si="4"/>
        <v>14</v>
      </c>
      <c r="I430" s="10">
        <f>IFERROR(__xludf.DUMMYFUNCTION("MAX(FILTER($H$2:$H1463,$E$2:$E1463=F430))"),0.0)</f>
        <v>0</v>
      </c>
    </row>
    <row r="431">
      <c r="A431" s="4"/>
      <c r="C431" s="4" t="s">
        <v>842</v>
      </c>
      <c r="D431" s="4" t="str">
        <f t="shared" si="1"/>
        <v>{"valorA":"scanner","valorB":2.0}</v>
      </c>
      <c r="E431" s="8" t="str">
        <f t="shared" si="2"/>
        <v>scanner</v>
      </c>
      <c r="F431" s="8"/>
      <c r="G431" s="8" t="str">
        <f t="shared" si="3"/>
        <v>2.0</v>
      </c>
      <c r="H431" s="9">
        <f t="shared" si="4"/>
        <v>2</v>
      </c>
      <c r="I431" s="10">
        <f>IFERROR(__xludf.DUMMYFUNCTION("MAX(FILTER($H$2:$H1463,$E$2:$E1463=F431))"),0.0)</f>
        <v>0</v>
      </c>
    </row>
    <row r="432">
      <c r="A432" s="4"/>
      <c r="C432" s="4" t="s">
        <v>843</v>
      </c>
      <c r="D432" s="4" t="str">
        <f t="shared" si="1"/>
        <v>{"valorA":"do","valorB":6.0}</v>
      </c>
      <c r="E432" s="8" t="str">
        <f t="shared" si="2"/>
        <v>do</v>
      </c>
      <c r="F432" s="8"/>
      <c r="G432" s="8" t="str">
        <f t="shared" si="3"/>
        <v>6.0</v>
      </c>
      <c r="H432" s="9">
        <f t="shared" si="4"/>
        <v>6</v>
      </c>
      <c r="I432" s="10">
        <f>IFERROR(__xludf.DUMMYFUNCTION("MAX(FILTER($H$2:$H1463,$E$2:$E1463=F432))"),0.0)</f>
        <v>0</v>
      </c>
    </row>
    <row r="433">
      <c r="A433" s="4"/>
      <c r="C433" s="4" t="s">
        <v>453</v>
      </c>
      <c r="D433" s="4" t="str">
        <f t="shared" si="1"/>
        <v>{"valorA":"funciona","valorB":11.0}</v>
      </c>
      <c r="E433" s="8" t="str">
        <f t="shared" si="2"/>
        <v>funciona</v>
      </c>
      <c r="F433" s="8"/>
      <c r="G433" s="8" t="str">
        <f t="shared" si="3"/>
        <v>11.0</v>
      </c>
      <c r="H433" s="9">
        <f t="shared" si="4"/>
        <v>11</v>
      </c>
      <c r="I433" s="10">
        <f>IFERROR(__xludf.DUMMYFUNCTION("MAX(FILTER($H$2:$H1463,$E$2:$E1463=F433))"),0.0)</f>
        <v>0</v>
      </c>
    </row>
    <row r="434">
      <c r="A434" s="4"/>
      <c r="C434" s="4" t="s">
        <v>844</v>
      </c>
      <c r="D434" s="4" t="str">
        <f t="shared" si="1"/>
        <v>{"valorA":"ótima","valorB":2.0}</v>
      </c>
      <c r="E434" s="8" t="str">
        <f t="shared" si="2"/>
        <v>ótima</v>
      </c>
      <c r="F434" s="8"/>
      <c r="G434" s="8" t="str">
        <f t="shared" si="3"/>
        <v>2.0</v>
      </c>
      <c r="H434" s="9">
        <f t="shared" si="4"/>
        <v>2</v>
      </c>
      <c r="I434" s="10">
        <f>IFERROR(__xludf.DUMMYFUNCTION("MAX(FILTER($H$2:$H1463,$E$2:$E1463=F434))"),0.0)</f>
        <v>0</v>
      </c>
    </row>
    <row r="435">
      <c r="A435" s="4"/>
      <c r="C435" s="4" t="s">
        <v>845</v>
      </c>
      <c r="D435" s="4" t="str">
        <f t="shared" si="1"/>
        <v>{"valorA":"usar","valorB":7.0}</v>
      </c>
      <c r="E435" s="8" t="str">
        <f t="shared" si="2"/>
        <v>usar</v>
      </c>
      <c r="F435" s="8"/>
      <c r="G435" s="8" t="str">
        <f t="shared" si="3"/>
        <v>7.0</v>
      </c>
      <c r="H435" s="9">
        <f t="shared" si="4"/>
        <v>7</v>
      </c>
      <c r="I435" s="10">
        <f>IFERROR(__xludf.DUMMYFUNCTION("MAX(FILTER($H$2:$H1463,$E$2:$E1463=F435))"),0.0)</f>
        <v>0</v>
      </c>
    </row>
    <row r="436">
      <c r="A436" s="4"/>
      <c r="C436" s="4" t="s">
        <v>423</v>
      </c>
      <c r="D436" s="4" t="str">
        <f t="shared" si="1"/>
        <v>{"valorA":"bem","valorB":11.0}</v>
      </c>
      <c r="E436" s="8" t="str">
        <f t="shared" si="2"/>
        <v>bem</v>
      </c>
      <c r="F436" s="8"/>
      <c r="G436" s="8" t="str">
        <f t="shared" si="3"/>
        <v>11.0</v>
      </c>
      <c r="H436" s="9">
        <f t="shared" si="4"/>
        <v>11</v>
      </c>
      <c r="I436" s="10">
        <f>IFERROR(__xludf.DUMMYFUNCTION("MAX(FILTER($H$2:$H1463,$E$2:$E1463=F436))"),0.0)</f>
        <v>0</v>
      </c>
    </row>
    <row r="437">
      <c r="A437" s="4"/>
      <c r="C437" s="4" t="s">
        <v>846</v>
      </c>
      <c r="D437" s="4" t="str">
        <f t="shared" si="1"/>
        <v>{"valorA":"e","valorB":15.0}</v>
      </c>
      <c r="E437" s="8" t="str">
        <f t="shared" si="2"/>
        <v>e</v>
      </c>
      <c r="F437" s="8"/>
      <c r="G437" s="8" t="str">
        <f t="shared" si="3"/>
        <v>15.0</v>
      </c>
      <c r="H437" s="9">
        <f t="shared" si="4"/>
        <v>15</v>
      </c>
      <c r="I437" s="10">
        <f>IFERROR(__xludf.DUMMYFUNCTION("MAX(FILTER($H$2:$H1463,$E$2:$E1463=F437))"),0.0)</f>
        <v>0</v>
      </c>
    </row>
    <row r="438">
      <c r="A438" s="4"/>
      <c r="C438" s="4" t="s">
        <v>847</v>
      </c>
      <c r="D438" s="4" t="str">
        <f t="shared" si="1"/>
        <v>{"valorA":"de","valorB":15.0}</v>
      </c>
      <c r="E438" s="8" t="str">
        <f t="shared" si="2"/>
        <v>de</v>
      </c>
      <c r="F438" s="8"/>
      <c r="G438" s="8" t="str">
        <f t="shared" si="3"/>
        <v>15.0</v>
      </c>
      <c r="H438" s="9">
        <f t="shared" si="4"/>
        <v>15</v>
      </c>
      <c r="I438" s="10">
        <f>IFERROR(__xludf.DUMMYFUNCTION("MAX(FILTER($H$2:$H1463,$E$2:$E1463=F438))"),0.0)</f>
        <v>0</v>
      </c>
    </row>
    <row r="439">
      <c r="A439" s="4"/>
      <c r="C439" s="4" t="s">
        <v>388</v>
      </c>
      <c r="D439" s="4" t="str">
        <f t="shared" si="1"/>
        <v>{"valorA":"durável","valorB":1.0}</v>
      </c>
      <c r="E439" s="8" t="str">
        <f t="shared" si="2"/>
        <v>durável</v>
      </c>
      <c r="F439" s="8"/>
      <c r="G439" s="8" t="str">
        <f t="shared" si="3"/>
        <v>1.0</v>
      </c>
      <c r="H439" s="9">
        <f t="shared" si="4"/>
        <v>1</v>
      </c>
      <c r="I439" s="10">
        <f>IFERROR(__xludf.DUMMYFUNCTION("MAX(FILTER($H$2:$H1463,$E$2:$E1463=F439))"),0.0)</f>
        <v>0</v>
      </c>
    </row>
    <row r="440">
      <c r="A440" s="4"/>
      <c r="C440" s="4" t="s">
        <v>848</v>
      </c>
      <c r="D440" s="4" t="str">
        <f t="shared" si="1"/>
        <v>{"valorA":"fácil","valorB":8.0}</v>
      </c>
      <c r="E440" s="8" t="str">
        <f t="shared" si="2"/>
        <v>fácil</v>
      </c>
      <c r="F440" s="8"/>
      <c r="G440" s="8" t="str">
        <f t="shared" si="3"/>
        <v>8.0</v>
      </c>
      <c r="H440" s="9">
        <f t="shared" si="4"/>
        <v>8</v>
      </c>
      <c r="I440" s="10">
        <f>IFERROR(__xludf.DUMMYFUNCTION("MAX(FILTER($H$2:$H1463,$E$2:$E1463=F440))"),0.0)</f>
        <v>0</v>
      </c>
    </row>
    <row r="441">
      <c r="A441" s="4"/>
      <c r="C441" s="4" t="s">
        <v>849</v>
      </c>
      <c r="D441" s="4" t="str">
        <f t="shared" si="1"/>
        <v>{"valorA":"câmera","valorB":5.0}</v>
      </c>
      <c r="E441" s="8" t="str">
        <f t="shared" si="2"/>
        <v>câmera</v>
      </c>
      <c r="F441" s="8"/>
      <c r="G441" s="8" t="str">
        <f t="shared" si="3"/>
        <v>5.0</v>
      </c>
      <c r="H441" s="9">
        <f t="shared" si="4"/>
        <v>5</v>
      </c>
      <c r="I441" s="10">
        <f>IFERROR(__xludf.DUMMYFUNCTION("MAX(FILTER($H$2:$H1463,$E$2:$E1463=F441))"),0.0)</f>
        <v>0</v>
      </c>
    </row>
    <row r="442">
      <c r="A442" s="4"/>
      <c r="C442" s="4" t="s">
        <v>484</v>
      </c>
      <c r="D442" s="4" t="str">
        <f t="shared" si="1"/>
        <v>{"valorA":"ótimo","valorB":47.0}</v>
      </c>
      <c r="E442" s="8" t="str">
        <f t="shared" si="2"/>
        <v>ótimo</v>
      </c>
      <c r="F442" s="8"/>
      <c r="G442" s="8" t="str">
        <f t="shared" si="3"/>
        <v>47.0</v>
      </c>
      <c r="H442" s="9">
        <f t="shared" si="4"/>
        <v>47</v>
      </c>
      <c r="I442" s="10">
        <f>IFERROR(__xludf.DUMMYFUNCTION("MAX(FILTER($H$2:$H1463,$E$2:$E1463=F442))"),0.0)</f>
        <v>0</v>
      </c>
    </row>
    <row r="443">
      <c r="A443" s="4"/>
      <c r="C443" s="4" t="s">
        <v>850</v>
      </c>
      <c r="D443" s="4" t="str">
        <f t="shared" si="1"/>
        <v>{"valorA":"comentário","valorB":2.0}</v>
      </c>
      <c r="E443" s="8" t="str">
        <f t="shared" si="2"/>
        <v>comentário</v>
      </c>
      <c r="F443" s="8"/>
      <c r="G443" s="8" t="str">
        <f t="shared" si="3"/>
        <v>2.0</v>
      </c>
      <c r="H443" s="9">
        <f t="shared" si="4"/>
        <v>2</v>
      </c>
      <c r="I443" s="10">
        <f>IFERROR(__xludf.DUMMYFUNCTION("MAX(FILTER($H$2:$H1463,$E$2:$E1463=F443))"),0.0)</f>
        <v>0</v>
      </c>
    </row>
    <row r="444">
      <c r="A444" s="4"/>
      <c r="C444" s="4" t="s">
        <v>851</v>
      </c>
      <c r="D444" s="4" t="str">
        <f t="shared" si="1"/>
        <v>{"valorA":"tão","valorB":6.0}</v>
      </c>
      <c r="E444" s="8" t="str">
        <f t="shared" si="2"/>
        <v>tão</v>
      </c>
      <c r="F444" s="8"/>
      <c r="G444" s="8" t="str">
        <f t="shared" si="3"/>
        <v>6.0</v>
      </c>
      <c r="H444" s="9">
        <f t="shared" si="4"/>
        <v>6</v>
      </c>
      <c r="I444" s="10">
        <f>IFERROR(__xludf.DUMMYFUNCTION("MAX(FILTER($H$2:$H1463,$E$2:$E1463=F444))"),0.0)</f>
        <v>0</v>
      </c>
    </row>
    <row r="445">
      <c r="A445" s="4"/>
      <c r="C445" s="4" t="s">
        <v>852</v>
      </c>
      <c r="D445" s="4" t="str">
        <f t="shared" si="1"/>
        <v>{"valorA":"meu","valorB":7.0}</v>
      </c>
      <c r="E445" s="8" t="str">
        <f t="shared" si="2"/>
        <v>meu</v>
      </c>
      <c r="F445" s="8"/>
      <c r="G445" s="8" t="str">
        <f t="shared" si="3"/>
        <v>7.0</v>
      </c>
      <c r="H445" s="9">
        <f t="shared" si="4"/>
        <v>7</v>
      </c>
      <c r="I445" s="10">
        <f>IFERROR(__xludf.DUMMYFUNCTION("MAX(FILTER($H$2:$H1463,$E$2:$E1463=F445))"),0.0)</f>
        <v>0</v>
      </c>
    </row>
    <row r="446">
      <c r="A446" s="4"/>
      <c r="C446" s="4" t="s">
        <v>385</v>
      </c>
      <c r="D446" s="4" t="str">
        <f t="shared" si="1"/>
        <v>{"valorA":"chapéu","valorB":1.0}</v>
      </c>
      <c r="E446" s="8" t="str">
        <f t="shared" si="2"/>
        <v>chapéu</v>
      </c>
      <c r="F446" s="8"/>
      <c r="G446" s="8" t="str">
        <f t="shared" si="3"/>
        <v>1.0</v>
      </c>
      <c r="H446" s="9">
        <f t="shared" si="4"/>
        <v>1</v>
      </c>
      <c r="I446" s="10">
        <f>IFERROR(__xludf.DUMMYFUNCTION("MAX(FILTER($H$2:$H1463,$E$2:$E1463=F446))"),0.0)</f>
        <v>0</v>
      </c>
    </row>
    <row r="447">
      <c r="A447" s="4"/>
      <c r="C447" s="4" t="s">
        <v>853</v>
      </c>
      <c r="D447" s="4" t="str">
        <f t="shared" si="1"/>
        <v>{"valorA":"por","valorB":3.0}</v>
      </c>
      <c r="E447" s="8" t="str">
        <f t="shared" si="2"/>
        <v>por</v>
      </c>
      <c r="F447" s="8"/>
      <c r="G447" s="8" t="str">
        <f t="shared" si="3"/>
        <v>3.0</v>
      </c>
      <c r="H447" s="9">
        <f t="shared" si="4"/>
        <v>3</v>
      </c>
      <c r="I447" s="10">
        <f>IFERROR(__xludf.DUMMYFUNCTION("MAX(FILTER($H$2:$H1463,$E$2:$E1463=F447))"),0.0)</f>
        <v>0</v>
      </c>
    </row>
    <row r="448">
      <c r="A448" s="4"/>
      <c r="C448" s="4" t="s">
        <v>854</v>
      </c>
      <c r="D448" s="4" t="str">
        <f t="shared" si="1"/>
        <v>{"valorA":"bom","valorB":7.0}</v>
      </c>
      <c r="E448" s="8" t="str">
        <f t="shared" si="2"/>
        <v>bom</v>
      </c>
      <c r="F448" s="8"/>
      <c r="G448" s="8" t="str">
        <f t="shared" si="3"/>
        <v>7.0</v>
      </c>
      <c r="H448" s="9">
        <f t="shared" si="4"/>
        <v>7</v>
      </c>
      <c r="I448" s="10">
        <f>IFERROR(__xludf.DUMMYFUNCTION("MAX(FILTER($H$2:$H1463,$E$2:$E1463=F448))"),0.0)</f>
        <v>0</v>
      </c>
    </row>
    <row r="449">
      <c r="A449" s="4"/>
      <c r="C449" s="4" t="s">
        <v>855</v>
      </c>
      <c r="D449" s="4" t="str">
        <f t="shared" si="1"/>
        <v>{"valorA":"o","valorB":12.0}</v>
      </c>
      <c r="E449" s="8" t="str">
        <f t="shared" si="2"/>
        <v>o</v>
      </c>
      <c r="F449" s="8"/>
      <c r="G449" s="8" t="str">
        <f t="shared" si="3"/>
        <v>12.0</v>
      </c>
      <c r="H449" s="9">
        <f t="shared" si="4"/>
        <v>12</v>
      </c>
      <c r="I449" s="10">
        <f>IFERROR(__xludf.DUMMYFUNCTION("MAX(FILTER($H$2:$H1463,$E$2:$E1463=F449))"),0.0)</f>
        <v>0</v>
      </c>
    </row>
    <row r="450">
      <c r="A450" s="4"/>
      <c r="C450" s="4" t="s">
        <v>482</v>
      </c>
      <c r="D450" s="4" t="str">
        <f t="shared" si="1"/>
        <v>{"valorA":"produto","valorB":33.0}</v>
      </c>
      <c r="E450" s="8" t="str">
        <f t="shared" si="2"/>
        <v>produto</v>
      </c>
      <c r="F450" s="8"/>
      <c r="G450" s="8" t="str">
        <f t="shared" si="3"/>
        <v>33.0</v>
      </c>
      <c r="H450" s="9">
        <f t="shared" si="4"/>
        <v>33</v>
      </c>
      <c r="I450" s="10">
        <f>IFERROR(__xludf.DUMMYFUNCTION("MAX(FILTER($H$2:$H1463,$E$2:$E1463=F450))"),0.0)</f>
        <v>0</v>
      </c>
    </row>
    <row r="451">
      <c r="A451" s="4"/>
      <c r="C451" s="4" t="s">
        <v>379</v>
      </c>
      <c r="D451" s="4" t="str">
        <f t="shared" si="1"/>
        <v>{"valorA":"novo","valorB":2.0}</v>
      </c>
      <c r="E451" s="8" t="str">
        <f t="shared" si="2"/>
        <v>novo</v>
      </c>
      <c r="F451" s="8"/>
      <c r="G451" s="8" t="str">
        <f t="shared" si="3"/>
        <v>2.0</v>
      </c>
      <c r="H451" s="9">
        <f t="shared" si="4"/>
        <v>2</v>
      </c>
      <c r="I451" s="10">
        <f>IFERROR(__xludf.DUMMYFUNCTION("MAX(FILTER($H$2:$H1463,$E$2:$E1463=F451))"),0.0)</f>
        <v>0</v>
      </c>
    </row>
    <row r="452">
      <c r="A452" s="4"/>
      <c r="C452" s="4" t="s">
        <v>217</v>
      </c>
      <c r="D452" s="4" t="str">
        <f t="shared" si="1"/>
        <v>{"valorA":"adorei","valorB":1.0}</v>
      </c>
      <c r="E452" s="8" t="str">
        <f t="shared" si="2"/>
        <v>adorei</v>
      </c>
      <c r="F452" s="8"/>
      <c r="G452" s="8" t="str">
        <f t="shared" si="3"/>
        <v>1.0</v>
      </c>
      <c r="H452" s="9">
        <f t="shared" si="4"/>
        <v>1</v>
      </c>
      <c r="I452" s="10">
        <f>IFERROR(__xludf.DUMMYFUNCTION("MAX(FILTER($H$2:$H1463,$E$2:$E1463=F452))"),0.0)</f>
        <v>0</v>
      </c>
    </row>
    <row r="453">
      <c r="A453" s="4"/>
      <c r="C453" s="4" t="s">
        <v>856</v>
      </c>
      <c r="D453" s="4" t="str">
        <f t="shared" si="1"/>
        <v>{"valorA":"um","valorB":9.0}</v>
      </c>
      <c r="E453" s="8" t="str">
        <f t="shared" si="2"/>
        <v>um</v>
      </c>
      <c r="F453" s="8"/>
      <c r="G453" s="8" t="str">
        <f t="shared" si="3"/>
        <v>9.0</v>
      </c>
      <c r="H453" s="9">
        <f t="shared" si="4"/>
        <v>9</v>
      </c>
      <c r="I453" s="10">
        <f>IFERROR(__xludf.DUMMYFUNCTION("MAX(FILTER($H$2:$H1463,$E$2:$E1463=F453))"),0.0)</f>
        <v>0</v>
      </c>
    </row>
    <row r="454">
      <c r="A454" s="4"/>
      <c r="C454" s="4" t="s">
        <v>857</v>
      </c>
      <c r="D454" s="4" t="str">
        <f t="shared" si="1"/>
        <v>{"valorA":"preço","valorB":19.0}</v>
      </c>
      <c r="E454" s="8" t="str">
        <f t="shared" si="2"/>
        <v>preço</v>
      </c>
      <c r="F454" s="8"/>
      <c r="G454" s="8" t="str">
        <f t="shared" si="3"/>
        <v>19.0</v>
      </c>
      <c r="H454" s="9">
        <f t="shared" si="4"/>
        <v>19</v>
      </c>
      <c r="I454" s="10">
        <f>IFERROR(__xludf.DUMMYFUNCTION("MAX(FILTER($H$2:$H1463,$E$2:$E1463=F454))"),0.0)</f>
        <v>0</v>
      </c>
    </row>
    <row r="455">
      <c r="A455" s="4"/>
      <c r="C455" s="4" t="s">
        <v>858</v>
      </c>
      <c r="D455" s="4" t="str">
        <f t="shared" si="1"/>
        <v>{"valorA":"ótimo","valorB":48.0}</v>
      </c>
      <c r="E455" s="8" t="str">
        <f t="shared" si="2"/>
        <v>ótimo</v>
      </c>
      <c r="F455" s="8"/>
      <c r="G455" s="8" t="str">
        <f t="shared" si="3"/>
        <v>48.0</v>
      </c>
      <c r="H455" s="9">
        <f t="shared" si="4"/>
        <v>48</v>
      </c>
      <c r="I455" s="10">
        <f>IFERROR(__xludf.DUMMYFUNCTION("MAX(FILTER($H$2:$H1463,$E$2:$E1463=F455))"),0.0)</f>
        <v>0</v>
      </c>
    </row>
    <row r="456">
      <c r="A456" s="4"/>
      <c r="C456" s="4" t="s">
        <v>859</v>
      </c>
      <c r="D456" s="4" t="str">
        <f t="shared" si="1"/>
        <v>{"valorA":"econômico","valorB":3.0}</v>
      </c>
      <c r="E456" s="8" t="str">
        <f t="shared" si="2"/>
        <v>econômico</v>
      </c>
      <c r="F456" s="8"/>
      <c r="G456" s="8" t="str">
        <f t="shared" si="3"/>
        <v>3.0</v>
      </c>
      <c r="H456" s="9">
        <f t="shared" si="4"/>
        <v>3</v>
      </c>
      <c r="I456" s="10">
        <f>IFERROR(__xludf.DUMMYFUNCTION("MAX(FILTER($H$2:$H1463,$E$2:$E1463=F456))"),0.0)</f>
        <v>0</v>
      </c>
    </row>
    <row r="457">
      <c r="A457" s="4"/>
      <c r="C457" s="4" t="s">
        <v>860</v>
      </c>
      <c r="D457" s="4" t="str">
        <f t="shared" si="1"/>
        <v>{"valorA":"usar","valorB":8.0}</v>
      </c>
      <c r="E457" s="8" t="str">
        <f t="shared" si="2"/>
        <v>usar</v>
      </c>
      <c r="F457" s="8"/>
      <c r="G457" s="8" t="str">
        <f t="shared" si="3"/>
        <v>8.0</v>
      </c>
      <c r="H457" s="9">
        <f t="shared" si="4"/>
        <v>8</v>
      </c>
      <c r="I457" s="10">
        <f>IFERROR(__xludf.DUMMYFUNCTION("MAX(FILTER($H$2:$H1463,$E$2:$E1463=F457))"),0.0)</f>
        <v>0</v>
      </c>
    </row>
    <row r="458">
      <c r="A458" s="4"/>
      <c r="C458" s="4" t="s">
        <v>861</v>
      </c>
      <c r="D458" s="4" t="str">
        <f t="shared" si="1"/>
        <v>{"valorA":"e","valorB":16.0}</v>
      </c>
      <c r="E458" s="8" t="str">
        <f t="shared" si="2"/>
        <v>e</v>
      </c>
      <c r="F458" s="8"/>
      <c r="G458" s="8" t="str">
        <f t="shared" si="3"/>
        <v>16.0</v>
      </c>
      <c r="H458" s="9">
        <f t="shared" si="4"/>
        <v>16</v>
      </c>
      <c r="I458" s="10">
        <f>IFERROR(__xludf.DUMMYFUNCTION("MAX(FILTER($H$2:$H1463,$E$2:$E1463=F458))"),0.0)</f>
        <v>0</v>
      </c>
    </row>
    <row r="459">
      <c r="A459" s="4"/>
      <c r="C459" s="4" t="s">
        <v>862</v>
      </c>
      <c r="D459" s="4" t="str">
        <f t="shared" si="1"/>
        <v>{"valorA":"de","valorB":16.0}</v>
      </c>
      <c r="E459" s="8" t="str">
        <f t="shared" si="2"/>
        <v>de</v>
      </c>
      <c r="F459" s="8"/>
      <c r="G459" s="8" t="str">
        <f t="shared" si="3"/>
        <v>16.0</v>
      </c>
      <c r="H459" s="9">
        <f t="shared" si="4"/>
        <v>16</v>
      </c>
      <c r="I459" s="10">
        <f>IFERROR(__xludf.DUMMYFUNCTION("MAX(FILTER($H$2:$H1463,$E$2:$E1463=F459))"),0.0)</f>
        <v>0</v>
      </c>
    </row>
    <row r="460">
      <c r="A460" s="4"/>
      <c r="C460" s="4" t="s">
        <v>459</v>
      </c>
      <c r="D460" s="4" t="str">
        <f t="shared" si="1"/>
        <v>{"valorA":"gosto","valorB":3.0}</v>
      </c>
      <c r="E460" s="8" t="str">
        <f t="shared" si="2"/>
        <v>gosto</v>
      </c>
      <c r="F460" s="8"/>
      <c r="G460" s="8" t="str">
        <f t="shared" si="3"/>
        <v>3.0</v>
      </c>
      <c r="H460" s="9">
        <f t="shared" si="4"/>
        <v>3</v>
      </c>
      <c r="I460" s="10">
        <f>IFERROR(__xludf.DUMMYFUNCTION("MAX(FILTER($H$2:$H1463,$E$2:$E1463=F460))"),0.0)</f>
        <v>0</v>
      </c>
    </row>
    <row r="461">
      <c r="A461" s="4"/>
      <c r="C461" s="4" t="s">
        <v>863</v>
      </c>
      <c r="D461" s="4" t="str">
        <f t="shared" si="1"/>
        <v>{"valorA":"produto","valorB":34.0}</v>
      </c>
      <c r="E461" s="8" t="str">
        <f t="shared" si="2"/>
        <v>produto</v>
      </c>
      <c r="F461" s="8"/>
      <c r="G461" s="8" t="str">
        <f t="shared" si="3"/>
        <v>34.0</v>
      </c>
      <c r="H461" s="9">
        <f t="shared" si="4"/>
        <v>34</v>
      </c>
      <c r="I461" s="10">
        <f>IFERROR(__xludf.DUMMYFUNCTION("MAX(FILTER($H$2:$H1463,$E$2:$E1463=F461))"),0.0)</f>
        <v>0</v>
      </c>
    </row>
    <row r="462">
      <c r="A462" s="4"/>
      <c r="C462" s="4" t="s">
        <v>864</v>
      </c>
      <c r="D462" s="4" t="str">
        <f t="shared" si="1"/>
        <v>{"valorA":"fácil","valorB":9.0}</v>
      </c>
      <c r="E462" s="8" t="str">
        <f t="shared" si="2"/>
        <v>fácil</v>
      </c>
      <c r="F462" s="8"/>
      <c r="G462" s="8" t="str">
        <f t="shared" si="3"/>
        <v>9.0</v>
      </c>
      <c r="H462" s="9">
        <f t="shared" si="4"/>
        <v>9</v>
      </c>
      <c r="I462" s="10">
        <f>IFERROR(__xludf.DUMMYFUNCTION("MAX(FILTER($H$2:$H1463,$E$2:$E1463=F462))"),0.0)</f>
        <v>0</v>
      </c>
    </row>
    <row r="463">
      <c r="A463" s="4"/>
      <c r="C463" s="4" t="s">
        <v>397</v>
      </c>
      <c r="D463" s="4" t="str">
        <f t="shared" si="1"/>
        <v>{"valorA":"muito","valorB":14.0}</v>
      </c>
      <c r="E463" s="8" t="str">
        <f t="shared" si="2"/>
        <v>muito</v>
      </c>
      <c r="F463" s="8"/>
      <c r="G463" s="8" t="str">
        <f t="shared" si="3"/>
        <v>14.0</v>
      </c>
      <c r="H463" s="9">
        <f t="shared" si="4"/>
        <v>14</v>
      </c>
      <c r="I463" s="10">
        <f>IFERROR(__xludf.DUMMYFUNCTION("MAX(FILTER($H$2:$H1463,$E$2:$E1463=F463))"),0.0)</f>
        <v>0</v>
      </c>
    </row>
    <row r="464">
      <c r="A464" s="4"/>
      <c r="C464" s="4"/>
      <c r="D464" s="4"/>
      <c r="E464" s="8"/>
      <c r="F464" s="8"/>
      <c r="G464" s="8"/>
      <c r="H464" s="9"/>
    </row>
    <row r="465">
      <c r="A465" s="4"/>
      <c r="C465" s="4"/>
      <c r="D465" s="4"/>
      <c r="E465" s="8"/>
      <c r="F465" s="8"/>
      <c r="G465" s="8"/>
      <c r="H465" s="9"/>
    </row>
    <row r="466">
      <c r="A466" s="4"/>
      <c r="C466" s="4"/>
      <c r="D466" s="4"/>
      <c r="E466" s="8"/>
      <c r="F466" s="8"/>
      <c r="G466" s="8"/>
      <c r="H466" s="9"/>
    </row>
    <row r="467">
      <c r="A467" s="4"/>
      <c r="C467" s="4"/>
      <c r="D467" s="4"/>
      <c r="E467" s="8"/>
      <c r="F467" s="8"/>
      <c r="G467" s="8"/>
      <c r="H467" s="9"/>
    </row>
    <row r="468">
      <c r="A468" s="4"/>
      <c r="C468" s="4"/>
      <c r="D468" s="4"/>
      <c r="E468" s="8"/>
      <c r="F468" s="8"/>
      <c r="G468" s="8"/>
      <c r="H468" s="9"/>
    </row>
    <row r="469">
      <c r="A469" s="4"/>
      <c r="C469" s="4"/>
      <c r="D469" s="4"/>
      <c r="E469" s="8"/>
      <c r="F469" s="8"/>
      <c r="G469" s="8"/>
      <c r="H469" s="9"/>
    </row>
    <row r="470">
      <c r="A470" s="4"/>
      <c r="C470" s="4"/>
      <c r="D470" s="4"/>
      <c r="E470" s="8"/>
      <c r="F470" s="8"/>
      <c r="G470" s="8"/>
      <c r="H470" s="9"/>
    </row>
    <row r="471">
      <c r="A471" s="4"/>
      <c r="C471" s="4"/>
      <c r="D471" s="4"/>
      <c r="E471" s="8"/>
      <c r="F471" s="8"/>
      <c r="G471" s="8"/>
      <c r="H471" s="9"/>
    </row>
    <row r="472">
      <c r="A472" s="4"/>
      <c r="C472" s="4"/>
      <c r="D472" s="4"/>
      <c r="E472" s="8"/>
      <c r="F472" s="8"/>
      <c r="G472" s="8"/>
      <c r="H472" s="9"/>
    </row>
    <row r="473">
      <c r="A473" s="4"/>
      <c r="C473" s="4"/>
      <c r="D473" s="4"/>
      <c r="E473" s="8"/>
      <c r="F473" s="8"/>
      <c r="G473" s="8"/>
      <c r="H473" s="9"/>
    </row>
    <row r="474">
      <c r="A474" s="4"/>
      <c r="C474" s="4"/>
      <c r="D474" s="4"/>
      <c r="E474" s="8"/>
      <c r="F474" s="8"/>
      <c r="G474" s="8"/>
      <c r="H474" s="9"/>
    </row>
    <row r="475">
      <c r="A475" s="4"/>
      <c r="C475" s="4"/>
      <c r="D475" s="4"/>
      <c r="E475" s="8"/>
      <c r="F475" s="8"/>
      <c r="G475" s="8"/>
      <c r="H475" s="9"/>
    </row>
    <row r="476">
      <c r="A476" s="4"/>
      <c r="C476" s="4"/>
      <c r="D476" s="4"/>
      <c r="E476" s="8"/>
      <c r="F476" s="8"/>
      <c r="G476" s="8"/>
      <c r="H476" s="9"/>
    </row>
    <row r="477">
      <c r="A477" s="4"/>
      <c r="C477" s="4"/>
      <c r="D477" s="4"/>
      <c r="E477" s="8"/>
      <c r="F477" s="8"/>
      <c r="G477" s="8"/>
      <c r="H477" s="9"/>
    </row>
    <row r="478">
      <c r="A478" s="4"/>
      <c r="C478" s="4"/>
      <c r="D478" s="4"/>
      <c r="E478" s="8"/>
      <c r="F478" s="8"/>
      <c r="G478" s="8"/>
      <c r="H478" s="9"/>
    </row>
    <row r="479">
      <c r="A479" s="4"/>
      <c r="C479" s="4"/>
      <c r="D479" s="4"/>
      <c r="E479" s="8"/>
      <c r="F479" s="8"/>
      <c r="G479" s="8"/>
      <c r="H479" s="9"/>
    </row>
    <row r="480">
      <c r="A480" s="4"/>
      <c r="C480" s="4"/>
      <c r="D480" s="4"/>
      <c r="E480" s="8"/>
      <c r="F480" s="8"/>
      <c r="G480" s="8"/>
      <c r="H480" s="9"/>
    </row>
    <row r="481">
      <c r="A481" s="4"/>
      <c r="C481" s="4"/>
      <c r="D481" s="4"/>
      <c r="E481" s="8"/>
      <c r="F481" s="8"/>
      <c r="G481" s="8"/>
      <c r="H481" s="9"/>
    </row>
    <row r="482">
      <c r="A482" s="4"/>
      <c r="C482" s="4"/>
      <c r="D482" s="4"/>
      <c r="E482" s="8"/>
      <c r="F482" s="8"/>
      <c r="G482" s="8"/>
      <c r="H482" s="9"/>
    </row>
    <row r="483">
      <c r="A483" s="4"/>
      <c r="C483" s="4"/>
      <c r="D483" s="4"/>
      <c r="E483" s="8"/>
      <c r="F483" s="8"/>
      <c r="G483" s="8"/>
      <c r="H483" s="9"/>
    </row>
    <row r="484">
      <c r="A484" s="4"/>
      <c r="C484" s="4"/>
      <c r="D484" s="4"/>
      <c r="E484" s="8"/>
      <c r="F484" s="8"/>
      <c r="G484" s="8"/>
      <c r="H484" s="9"/>
    </row>
    <row r="485">
      <c r="A485" s="4"/>
      <c r="C485" s="4"/>
      <c r="D485" s="4"/>
      <c r="E485" s="8"/>
      <c r="F485" s="8"/>
      <c r="G485" s="8"/>
      <c r="H485" s="9"/>
    </row>
    <row r="486">
      <c r="A486" s="4"/>
      <c r="C486" s="4"/>
      <c r="D486" s="4"/>
      <c r="E486" s="8"/>
      <c r="F486" s="8"/>
      <c r="G486" s="8"/>
      <c r="H486" s="9"/>
    </row>
    <row r="487">
      <c r="A487" s="4"/>
      <c r="C487" s="4"/>
      <c r="D487" s="4"/>
      <c r="E487" s="8"/>
      <c r="F487" s="8"/>
      <c r="G487" s="8"/>
      <c r="H487" s="9"/>
    </row>
    <row r="488">
      <c r="A488" s="4"/>
      <c r="C488" s="4"/>
      <c r="D488" s="4"/>
      <c r="E488" s="8"/>
      <c r="F488" s="8"/>
      <c r="G488" s="8"/>
      <c r="H488" s="9"/>
    </row>
    <row r="489">
      <c r="A489" s="4"/>
      <c r="C489" s="4"/>
      <c r="D489" s="4"/>
      <c r="E489" s="8"/>
      <c r="F489" s="8"/>
      <c r="G489" s="8"/>
      <c r="H489" s="9"/>
    </row>
    <row r="490">
      <c r="A490" s="4"/>
      <c r="C490" s="4"/>
      <c r="D490" s="4"/>
      <c r="E490" s="8"/>
      <c r="F490" s="8"/>
      <c r="G490" s="8"/>
      <c r="H490" s="9"/>
    </row>
    <row r="491">
      <c r="A491" s="4"/>
      <c r="C491" s="4"/>
      <c r="D491" s="4"/>
      <c r="E491" s="8"/>
      <c r="F491" s="8"/>
      <c r="G491" s="8"/>
      <c r="H491" s="9"/>
    </row>
    <row r="492">
      <c r="A492" s="4"/>
      <c r="C492" s="4"/>
      <c r="D492" s="4"/>
      <c r="E492" s="8"/>
      <c r="F492" s="8"/>
      <c r="G492" s="8"/>
      <c r="H492" s="9"/>
    </row>
    <row r="493">
      <c r="A493" s="4"/>
      <c r="C493" s="4"/>
      <c r="D493" s="4"/>
      <c r="E493" s="8"/>
      <c r="F493" s="8"/>
      <c r="G493" s="8"/>
      <c r="H493" s="9"/>
    </row>
    <row r="494">
      <c r="A494" s="4"/>
      <c r="C494" s="4"/>
      <c r="D494" s="4"/>
      <c r="E494" s="8"/>
      <c r="F494" s="8"/>
      <c r="G494" s="8"/>
      <c r="H494" s="9"/>
    </row>
    <row r="495">
      <c r="A495" s="4"/>
      <c r="C495" s="4"/>
      <c r="D495" s="4"/>
      <c r="E495" s="8"/>
      <c r="F495" s="8"/>
      <c r="G495" s="8"/>
      <c r="H495" s="9"/>
    </row>
    <row r="496">
      <c r="A496" s="4"/>
      <c r="C496" s="4"/>
      <c r="D496" s="4"/>
      <c r="E496" s="8"/>
      <c r="F496" s="8"/>
      <c r="G496" s="8"/>
      <c r="H496" s="9"/>
    </row>
    <row r="497">
      <c r="A497" s="4"/>
      <c r="C497" s="4"/>
      <c r="D497" s="4"/>
      <c r="E497" s="8"/>
      <c r="F497" s="8"/>
      <c r="G497" s="8"/>
      <c r="H497" s="9"/>
    </row>
    <row r="498">
      <c r="A498" s="4"/>
      <c r="C498" s="4"/>
      <c r="D498" s="4"/>
      <c r="E498" s="8"/>
      <c r="F498" s="8"/>
      <c r="G498" s="8"/>
      <c r="H498" s="9"/>
    </row>
    <row r="499">
      <c r="A499" s="4"/>
      <c r="C499" s="4"/>
      <c r="D499" s="4"/>
      <c r="E499" s="8"/>
      <c r="F499" s="8"/>
      <c r="G499" s="8"/>
      <c r="H499" s="9"/>
    </row>
    <row r="500">
      <c r="A500" s="4"/>
      <c r="C500" s="4"/>
      <c r="D500" s="4"/>
      <c r="E500" s="8"/>
      <c r="F500" s="8"/>
      <c r="G500" s="8"/>
      <c r="H500" s="9"/>
    </row>
    <row r="501">
      <c r="A501" s="4"/>
      <c r="C501" s="4"/>
      <c r="D501" s="4"/>
      <c r="E501" s="8"/>
      <c r="F501" s="8"/>
      <c r="G501" s="8"/>
      <c r="H501" s="9"/>
    </row>
    <row r="502">
      <c r="A502" s="4"/>
      <c r="C502" s="4"/>
      <c r="D502" s="4"/>
      <c r="E502" s="8"/>
      <c r="F502" s="8"/>
      <c r="G502" s="8"/>
      <c r="H502" s="9"/>
    </row>
    <row r="503">
      <c r="A503" s="4"/>
      <c r="C503" s="4"/>
      <c r="D503" s="4"/>
      <c r="E503" s="8"/>
      <c r="F503" s="8"/>
      <c r="G503" s="8"/>
      <c r="H503" s="9"/>
    </row>
    <row r="504">
      <c r="A504" s="4"/>
      <c r="C504" s="4"/>
      <c r="D504" s="4"/>
      <c r="E504" s="8"/>
      <c r="F504" s="8"/>
      <c r="G504" s="8"/>
      <c r="H504" s="9"/>
    </row>
    <row r="505">
      <c r="A505" s="4"/>
      <c r="C505" s="4"/>
      <c r="D505" s="4"/>
      <c r="E505" s="8"/>
      <c r="F505" s="8"/>
      <c r="G505" s="8"/>
      <c r="H505" s="9"/>
    </row>
    <row r="506">
      <c r="A506" s="4"/>
      <c r="C506" s="4"/>
      <c r="D506" s="4"/>
      <c r="E506" s="8"/>
      <c r="F506" s="8"/>
      <c r="G506" s="8"/>
      <c r="H506" s="9"/>
    </row>
    <row r="507">
      <c r="A507" s="4"/>
      <c r="C507" s="4"/>
      <c r="D507" s="4"/>
      <c r="E507" s="8"/>
      <c r="F507" s="8"/>
      <c r="G507" s="8"/>
      <c r="H507" s="9"/>
    </row>
    <row r="508">
      <c r="A508" s="4"/>
      <c r="C508" s="4"/>
      <c r="D508" s="4"/>
      <c r="E508" s="8"/>
      <c r="F508" s="8"/>
      <c r="G508" s="8"/>
      <c r="H508" s="9"/>
    </row>
    <row r="509">
      <c r="A509" s="4"/>
      <c r="C509" s="4"/>
      <c r="D509" s="4"/>
      <c r="E509" s="8"/>
      <c r="F509" s="8"/>
      <c r="G509" s="8"/>
      <c r="H509" s="9"/>
    </row>
    <row r="510">
      <c r="A510" s="4"/>
      <c r="C510" s="4"/>
      <c r="D510" s="4"/>
      <c r="E510" s="8"/>
      <c r="F510" s="8"/>
      <c r="G510" s="8"/>
      <c r="H510" s="9"/>
    </row>
    <row r="511">
      <c r="A511" s="4"/>
      <c r="C511" s="4"/>
      <c r="D511" s="4"/>
      <c r="E511" s="8"/>
      <c r="F511" s="8"/>
      <c r="G511" s="8"/>
      <c r="H511" s="9"/>
    </row>
    <row r="512">
      <c r="A512" s="4"/>
      <c r="C512" s="4"/>
      <c r="D512" s="4"/>
      <c r="E512" s="8"/>
      <c r="F512" s="8"/>
      <c r="G512" s="8"/>
      <c r="H512" s="9"/>
    </row>
    <row r="513">
      <c r="A513" s="4"/>
      <c r="C513" s="4"/>
      <c r="D513" s="4"/>
      <c r="E513" s="8"/>
      <c r="F513" s="8"/>
      <c r="G513" s="8"/>
      <c r="H513" s="9"/>
    </row>
    <row r="514">
      <c r="A514" s="4"/>
      <c r="C514" s="4"/>
      <c r="D514" s="4"/>
      <c r="E514" s="8"/>
      <c r="F514" s="8"/>
      <c r="G514" s="8"/>
      <c r="H514" s="9"/>
    </row>
    <row r="515">
      <c r="A515" s="4"/>
      <c r="C515" s="4"/>
      <c r="D515" s="4"/>
      <c r="E515" s="8"/>
      <c r="F515" s="8"/>
      <c r="G515" s="8"/>
      <c r="H515" s="9"/>
    </row>
    <row r="516">
      <c r="A516" s="4"/>
      <c r="C516" s="4"/>
      <c r="D516" s="4"/>
      <c r="E516" s="8"/>
      <c r="F516" s="8"/>
      <c r="G516" s="8"/>
      <c r="H516" s="9"/>
    </row>
    <row r="517">
      <c r="A517" s="4"/>
      <c r="C517" s="4"/>
      <c r="D517" s="4"/>
      <c r="E517" s="8"/>
      <c r="F517" s="8"/>
      <c r="G517" s="8"/>
      <c r="H517" s="9"/>
    </row>
    <row r="518">
      <c r="A518" s="4"/>
      <c r="C518" s="4"/>
      <c r="D518" s="4"/>
      <c r="E518" s="8"/>
      <c r="F518" s="8"/>
      <c r="G518" s="8"/>
      <c r="H518" s="9"/>
    </row>
    <row r="519">
      <c r="A519" s="4"/>
      <c r="C519" s="4"/>
      <c r="D519" s="4"/>
      <c r="E519" s="8"/>
      <c r="F519" s="8"/>
      <c r="G519" s="8"/>
      <c r="H519" s="9"/>
    </row>
    <row r="520">
      <c r="A520" s="4"/>
      <c r="C520" s="4"/>
      <c r="D520" s="4"/>
      <c r="E520" s="8"/>
      <c r="F520" s="8"/>
      <c r="G520" s="8"/>
      <c r="H520" s="9"/>
    </row>
    <row r="521">
      <c r="A521" s="4"/>
      <c r="C521" s="4"/>
      <c r="D521" s="4"/>
      <c r="E521" s="8"/>
      <c r="F521" s="8"/>
      <c r="G521" s="8"/>
      <c r="H521" s="9"/>
    </row>
    <row r="522">
      <c r="A522" s="4"/>
      <c r="C522" s="4"/>
      <c r="D522" s="4"/>
      <c r="E522" s="8"/>
      <c r="F522" s="8"/>
      <c r="G522" s="8"/>
      <c r="H522" s="9"/>
    </row>
    <row r="523">
      <c r="A523" s="4"/>
      <c r="C523" s="4"/>
      <c r="D523" s="4"/>
      <c r="E523" s="8"/>
      <c r="F523" s="8"/>
      <c r="G523" s="8"/>
      <c r="H523" s="9"/>
    </row>
    <row r="524">
      <c r="A524" s="4"/>
      <c r="C524" s="4"/>
      <c r="D524" s="4"/>
      <c r="E524" s="8"/>
      <c r="F524" s="8"/>
      <c r="G524" s="8"/>
      <c r="H524" s="9"/>
    </row>
    <row r="525">
      <c r="A525" s="4"/>
      <c r="C525" s="4"/>
      <c r="D525" s="4"/>
      <c r="E525" s="8"/>
      <c r="F525" s="8"/>
      <c r="G525" s="8"/>
      <c r="H525" s="9"/>
    </row>
    <row r="526">
      <c r="A526" s="4"/>
      <c r="C526" s="4"/>
      <c r="D526" s="4"/>
      <c r="E526" s="8"/>
      <c r="F526" s="8"/>
      <c r="G526" s="8"/>
      <c r="H526" s="9"/>
    </row>
    <row r="527">
      <c r="A527" s="4"/>
      <c r="C527" s="4"/>
      <c r="D527" s="4"/>
      <c r="E527" s="8"/>
      <c r="F527" s="8"/>
      <c r="G527" s="8"/>
      <c r="H527" s="9"/>
    </row>
    <row r="528">
      <c r="A528" s="4"/>
      <c r="C528" s="4"/>
      <c r="D528" s="4"/>
      <c r="E528" s="8"/>
      <c r="F528" s="8"/>
      <c r="G528" s="8"/>
      <c r="H528" s="9"/>
    </row>
    <row r="529">
      <c r="A529" s="4"/>
      <c r="C529" s="4"/>
      <c r="D529" s="4"/>
      <c r="E529" s="8"/>
      <c r="F529" s="8"/>
      <c r="G529" s="8"/>
      <c r="H529" s="9"/>
    </row>
    <row r="530">
      <c r="A530" s="4"/>
      <c r="C530" s="4"/>
      <c r="D530" s="4"/>
      <c r="E530" s="8"/>
      <c r="F530" s="8"/>
      <c r="G530" s="8"/>
      <c r="H530" s="9"/>
    </row>
    <row r="531">
      <c r="A531" s="4"/>
      <c r="C531" s="4"/>
      <c r="D531" s="4"/>
      <c r="E531" s="8"/>
      <c r="F531" s="8"/>
      <c r="G531" s="8"/>
      <c r="H531" s="9"/>
    </row>
    <row r="532">
      <c r="A532" s="4"/>
      <c r="C532" s="4"/>
      <c r="D532" s="4"/>
      <c r="E532" s="8"/>
      <c r="F532" s="8"/>
      <c r="G532" s="8"/>
      <c r="H532" s="9"/>
    </row>
    <row r="533">
      <c r="A533" s="4"/>
      <c r="C533" s="4"/>
      <c r="D533" s="4"/>
      <c r="E533" s="8"/>
      <c r="F533" s="8"/>
      <c r="G533" s="8"/>
      <c r="H533" s="9"/>
    </row>
    <row r="534">
      <c r="A534" s="4"/>
      <c r="C534" s="4"/>
      <c r="D534" s="4"/>
      <c r="E534" s="8"/>
      <c r="F534" s="8"/>
      <c r="G534" s="8"/>
      <c r="H534" s="9"/>
    </row>
    <row r="535">
      <c r="A535" s="4"/>
      <c r="C535" s="4"/>
      <c r="D535" s="4"/>
      <c r="E535" s="8"/>
      <c r="F535" s="8"/>
      <c r="G535" s="8"/>
      <c r="H535" s="9"/>
    </row>
    <row r="536">
      <c r="A536" s="4"/>
      <c r="C536" s="4"/>
      <c r="D536" s="4"/>
      <c r="E536" s="8"/>
      <c r="F536" s="8"/>
      <c r="G536" s="8"/>
      <c r="H536" s="9"/>
    </row>
    <row r="537">
      <c r="A537" s="4"/>
      <c r="C537" s="4"/>
      <c r="D537" s="4"/>
      <c r="E537" s="8"/>
      <c r="F537" s="8"/>
      <c r="G537" s="8"/>
      <c r="H537" s="9"/>
    </row>
    <row r="538">
      <c r="A538" s="4"/>
      <c r="C538" s="4"/>
      <c r="D538" s="4"/>
      <c r="E538" s="8"/>
      <c r="F538" s="8"/>
      <c r="G538" s="8"/>
      <c r="H538" s="9"/>
    </row>
    <row r="539">
      <c r="A539" s="4"/>
      <c r="C539" s="4"/>
      <c r="D539" s="4"/>
      <c r="E539" s="8"/>
      <c r="F539" s="8"/>
      <c r="G539" s="8"/>
      <c r="H539" s="9"/>
    </row>
    <row r="540">
      <c r="A540" s="4"/>
      <c r="C540" s="4"/>
      <c r="D540" s="4"/>
      <c r="E540" s="8"/>
      <c r="F540" s="8"/>
      <c r="G540" s="8"/>
      <c r="H540" s="9"/>
    </row>
    <row r="541">
      <c r="A541" s="4"/>
      <c r="C541" s="4"/>
      <c r="D541" s="4"/>
      <c r="E541" s="8"/>
      <c r="F541" s="8"/>
      <c r="G541" s="8"/>
      <c r="H541" s="9"/>
    </row>
    <row r="542">
      <c r="A542" s="4"/>
      <c r="C542" s="4"/>
      <c r="D542" s="4"/>
      <c r="E542" s="8"/>
      <c r="F542" s="8"/>
      <c r="G542" s="8"/>
      <c r="H542" s="9"/>
    </row>
    <row r="543">
      <c r="A543" s="4"/>
      <c r="C543" s="4"/>
      <c r="D543" s="4"/>
      <c r="E543" s="8"/>
      <c r="F543" s="8"/>
      <c r="G543" s="8"/>
      <c r="H543" s="9"/>
    </row>
    <row r="544">
      <c r="A544" s="4"/>
      <c r="C544" s="4"/>
      <c r="D544" s="4"/>
      <c r="E544" s="8"/>
      <c r="F544" s="8"/>
      <c r="G544" s="8"/>
      <c r="H544" s="9"/>
    </row>
    <row r="545">
      <c r="A545" s="4"/>
      <c r="C545" s="4"/>
      <c r="D545" s="4"/>
      <c r="E545" s="8"/>
      <c r="F545" s="8"/>
      <c r="G545" s="8"/>
      <c r="H545" s="9"/>
    </row>
    <row r="546">
      <c r="A546" s="4"/>
      <c r="C546" s="4"/>
      <c r="D546" s="4"/>
      <c r="E546" s="8"/>
      <c r="F546" s="8"/>
      <c r="G546" s="8"/>
      <c r="H546" s="9"/>
    </row>
    <row r="547">
      <c r="A547" s="4"/>
      <c r="C547" s="4"/>
      <c r="D547" s="4"/>
      <c r="E547" s="8"/>
      <c r="F547" s="8"/>
      <c r="G547" s="8"/>
      <c r="H547" s="9"/>
    </row>
    <row r="548">
      <c r="A548" s="4"/>
      <c r="C548" s="4"/>
      <c r="D548" s="4"/>
      <c r="E548" s="8"/>
      <c r="F548" s="8"/>
      <c r="G548" s="8"/>
      <c r="H548" s="9"/>
    </row>
    <row r="549">
      <c r="A549" s="4"/>
      <c r="C549" s="4"/>
      <c r="D549" s="4"/>
      <c r="E549" s="8"/>
      <c r="F549" s="8"/>
      <c r="G549" s="8"/>
      <c r="H549" s="9"/>
    </row>
    <row r="550">
      <c r="A550" s="4"/>
      <c r="C550" s="4"/>
      <c r="D550" s="4"/>
      <c r="E550" s="8"/>
      <c r="F550" s="8"/>
      <c r="G550" s="8"/>
      <c r="H550" s="9"/>
    </row>
    <row r="551">
      <c r="A551" s="4"/>
      <c r="C551" s="4"/>
      <c r="D551" s="4"/>
      <c r="E551" s="8"/>
      <c r="F551" s="8"/>
      <c r="G551" s="8"/>
      <c r="H551" s="9"/>
    </row>
    <row r="552">
      <c r="A552" s="4"/>
      <c r="C552" s="4"/>
      <c r="D552" s="4"/>
      <c r="E552" s="8"/>
      <c r="F552" s="8"/>
      <c r="G552" s="8"/>
      <c r="H552" s="9"/>
    </row>
    <row r="553">
      <c r="A553" s="4"/>
      <c r="C553" s="4"/>
      <c r="D553" s="4"/>
      <c r="E553" s="8"/>
      <c r="F553" s="8"/>
      <c r="G553" s="8"/>
      <c r="H553" s="9"/>
    </row>
    <row r="554">
      <c r="A554" s="4"/>
      <c r="C554" s="4"/>
      <c r="D554" s="4"/>
      <c r="E554" s="8"/>
      <c r="F554" s="8"/>
      <c r="G554" s="8"/>
      <c r="H554" s="9"/>
    </row>
    <row r="555">
      <c r="A555" s="4"/>
      <c r="C555" s="4"/>
      <c r="D555" s="4"/>
      <c r="E555" s="8"/>
      <c r="F555" s="8"/>
      <c r="G555" s="8"/>
      <c r="H555" s="9"/>
    </row>
    <row r="556">
      <c r="A556" s="4"/>
      <c r="C556" s="4"/>
      <c r="D556" s="4"/>
      <c r="E556" s="8"/>
      <c r="F556" s="8"/>
      <c r="G556" s="8"/>
      <c r="H556" s="9"/>
    </row>
    <row r="557">
      <c r="A557" s="4"/>
      <c r="C557" s="4"/>
      <c r="D557" s="4"/>
      <c r="E557" s="8"/>
      <c r="F557" s="8"/>
      <c r="G557" s="8"/>
      <c r="H557" s="9"/>
    </row>
    <row r="558">
      <c r="A558" s="4"/>
      <c r="C558" s="4"/>
      <c r="D558" s="4"/>
      <c r="E558" s="8"/>
      <c r="F558" s="8"/>
      <c r="G558" s="8"/>
      <c r="H558" s="9"/>
    </row>
    <row r="559">
      <c r="A559" s="4"/>
      <c r="C559" s="4"/>
      <c r="D559" s="4"/>
      <c r="E559" s="8"/>
      <c r="F559" s="8"/>
      <c r="G559" s="8"/>
      <c r="H559" s="9"/>
    </row>
    <row r="560">
      <c r="A560" s="4"/>
      <c r="C560" s="4"/>
      <c r="D560" s="4"/>
      <c r="E560" s="8"/>
      <c r="F560" s="8"/>
      <c r="G560" s="8"/>
      <c r="H560" s="9"/>
    </row>
    <row r="561">
      <c r="A561" s="4"/>
      <c r="C561" s="4"/>
      <c r="D561" s="4"/>
      <c r="E561" s="8"/>
      <c r="F561" s="8"/>
      <c r="G561" s="8"/>
      <c r="H561" s="9"/>
    </row>
    <row r="562">
      <c r="A562" s="4"/>
      <c r="C562" s="4"/>
      <c r="D562" s="4"/>
      <c r="E562" s="8"/>
      <c r="F562" s="8"/>
      <c r="G562" s="8"/>
      <c r="H562" s="9"/>
    </row>
    <row r="563">
      <c r="A563" s="4"/>
      <c r="C563" s="4"/>
      <c r="D563" s="4"/>
      <c r="E563" s="8"/>
      <c r="F563" s="8"/>
      <c r="G563" s="8"/>
      <c r="H563" s="9"/>
    </row>
    <row r="564">
      <c r="A564" s="4"/>
      <c r="C564" s="4"/>
      <c r="D564" s="4"/>
      <c r="E564" s="8"/>
      <c r="F564" s="8"/>
      <c r="G564" s="8"/>
      <c r="H564" s="9"/>
    </row>
    <row r="565">
      <c r="A565" s="4"/>
      <c r="C565" s="4"/>
      <c r="D565" s="4"/>
      <c r="E565" s="8"/>
      <c r="F565" s="8"/>
      <c r="G565" s="8"/>
      <c r="H565" s="9"/>
    </row>
    <row r="566">
      <c r="A566" s="4"/>
      <c r="C566" s="4"/>
      <c r="D566" s="4"/>
      <c r="E566" s="8"/>
      <c r="F566" s="8"/>
      <c r="G566" s="8"/>
      <c r="H566" s="9"/>
    </row>
    <row r="567">
      <c r="A567" s="4"/>
      <c r="C567" s="4"/>
      <c r="D567" s="4"/>
      <c r="E567" s="8"/>
      <c r="F567" s="8"/>
      <c r="G567" s="8"/>
      <c r="H567" s="9"/>
    </row>
    <row r="568">
      <c r="A568" s="4"/>
      <c r="C568" s="4"/>
      <c r="D568" s="4"/>
      <c r="E568" s="8"/>
      <c r="F568" s="8"/>
      <c r="G568" s="8"/>
      <c r="H568" s="9"/>
    </row>
    <row r="569">
      <c r="A569" s="4"/>
      <c r="C569" s="4"/>
      <c r="D569" s="4"/>
      <c r="E569" s="8"/>
      <c r="F569" s="8"/>
      <c r="G569" s="8"/>
      <c r="H569" s="9"/>
    </row>
    <row r="570">
      <c r="A570" s="4"/>
      <c r="C570" s="4"/>
      <c r="D570" s="4"/>
      <c r="E570" s="8"/>
      <c r="F570" s="8"/>
      <c r="G570" s="8"/>
      <c r="H570" s="9"/>
    </row>
    <row r="571">
      <c r="A571" s="4"/>
      <c r="C571" s="4"/>
      <c r="D571" s="4"/>
      <c r="E571" s="8"/>
      <c r="F571" s="8"/>
      <c r="G571" s="8"/>
      <c r="H571" s="9"/>
    </row>
    <row r="572">
      <c r="A572" s="4"/>
      <c r="C572" s="4"/>
      <c r="D572" s="4"/>
      <c r="E572" s="8"/>
      <c r="F572" s="8"/>
      <c r="G572" s="8"/>
      <c r="H572" s="9"/>
    </row>
    <row r="573">
      <c r="A573" s="4"/>
      <c r="C573" s="4"/>
      <c r="D573" s="4"/>
      <c r="E573" s="8"/>
      <c r="F573" s="8"/>
      <c r="G573" s="8"/>
      <c r="H573" s="9"/>
    </row>
    <row r="574">
      <c r="A574" s="4"/>
      <c r="C574" s="4"/>
      <c r="D574" s="4"/>
      <c r="E574" s="8"/>
      <c r="F574" s="8"/>
      <c r="G574" s="8"/>
      <c r="H574" s="9"/>
    </row>
    <row r="575">
      <c r="A575" s="4"/>
      <c r="C575" s="4"/>
      <c r="D575" s="4"/>
      <c r="E575" s="8"/>
      <c r="F575" s="8"/>
      <c r="G575" s="8"/>
      <c r="H575" s="9"/>
    </row>
    <row r="576">
      <c r="A576" s="4"/>
      <c r="C576" s="4"/>
      <c r="D576" s="4"/>
      <c r="E576" s="8"/>
      <c r="F576" s="8"/>
      <c r="G576" s="8"/>
      <c r="H576" s="9"/>
    </row>
    <row r="577">
      <c r="A577" s="4"/>
      <c r="C577" s="4"/>
      <c r="D577" s="4"/>
      <c r="E577" s="8"/>
      <c r="F577" s="8"/>
      <c r="G577" s="8"/>
      <c r="H577" s="9"/>
    </row>
    <row r="578">
      <c r="A578" s="4"/>
      <c r="C578" s="4"/>
      <c r="D578" s="4"/>
      <c r="E578" s="8"/>
      <c r="F578" s="8"/>
      <c r="G578" s="8"/>
      <c r="H578" s="9"/>
    </row>
    <row r="579">
      <c r="A579" s="4"/>
      <c r="C579" s="4"/>
      <c r="D579" s="4"/>
      <c r="E579" s="8"/>
      <c r="F579" s="8"/>
      <c r="G579" s="8"/>
      <c r="H579" s="9"/>
    </row>
    <row r="580">
      <c r="A580" s="4"/>
      <c r="C580" s="4"/>
      <c r="D580" s="4"/>
      <c r="E580" s="8"/>
      <c r="F580" s="8"/>
      <c r="G580" s="8"/>
      <c r="H580" s="9"/>
    </row>
    <row r="581">
      <c r="A581" s="4"/>
      <c r="C581" s="4"/>
      <c r="D581" s="4"/>
      <c r="E581" s="8"/>
      <c r="F581" s="8"/>
      <c r="G581" s="8"/>
      <c r="H581" s="9"/>
    </row>
    <row r="582">
      <c r="A582" s="4"/>
      <c r="C582" s="4"/>
      <c r="D582" s="4"/>
      <c r="E582" s="8"/>
      <c r="F582" s="8"/>
      <c r="G582" s="8"/>
      <c r="H582" s="9"/>
    </row>
    <row r="583">
      <c r="A583" s="4"/>
      <c r="C583" s="4"/>
      <c r="D583" s="4"/>
      <c r="E583" s="8"/>
      <c r="F583" s="8"/>
      <c r="G583" s="8"/>
      <c r="H583" s="9"/>
    </row>
    <row r="584">
      <c r="A584" s="4"/>
      <c r="C584" s="4"/>
      <c r="D584" s="4"/>
      <c r="E584" s="8"/>
      <c r="F584" s="8"/>
      <c r="G584" s="8"/>
      <c r="H584" s="9"/>
    </row>
    <row r="585">
      <c r="A585" s="4"/>
      <c r="C585" s="4"/>
      <c r="D585" s="4"/>
      <c r="E585" s="8"/>
      <c r="F585" s="8"/>
      <c r="G585" s="8"/>
      <c r="H585" s="9"/>
    </row>
    <row r="586">
      <c r="A586" s="4"/>
      <c r="C586" s="4"/>
      <c r="D586" s="4"/>
      <c r="E586" s="8"/>
      <c r="F586" s="8"/>
      <c r="G586" s="8"/>
      <c r="H586" s="9"/>
    </row>
    <row r="587">
      <c r="A587" s="4"/>
      <c r="C587" s="4"/>
      <c r="D587" s="4"/>
      <c r="E587" s="8"/>
      <c r="F587" s="8"/>
      <c r="G587" s="8"/>
      <c r="H587" s="9"/>
    </row>
    <row r="588">
      <c r="A588" s="4"/>
      <c r="C588" s="4"/>
      <c r="D588" s="4"/>
      <c r="E588" s="8"/>
      <c r="F588" s="8"/>
      <c r="G588" s="8"/>
      <c r="H588" s="9"/>
    </row>
    <row r="589">
      <c r="A589" s="4"/>
      <c r="C589" s="4"/>
      <c r="D589" s="4"/>
      <c r="E589" s="8"/>
      <c r="F589" s="8"/>
      <c r="G589" s="8"/>
      <c r="H589" s="9"/>
    </row>
    <row r="590">
      <c r="A590" s="4"/>
      <c r="C590" s="4"/>
      <c r="D590" s="4"/>
      <c r="E590" s="8"/>
      <c r="F590" s="8"/>
      <c r="G590" s="8"/>
      <c r="H590" s="9"/>
    </row>
    <row r="591">
      <c r="A591" s="4"/>
      <c r="C591" s="4"/>
      <c r="D591" s="4"/>
      <c r="E591" s="8"/>
      <c r="F591" s="8"/>
      <c r="G591" s="8"/>
      <c r="H591" s="9"/>
    </row>
    <row r="592">
      <c r="A592" s="4"/>
      <c r="C592" s="4"/>
      <c r="D592" s="4"/>
      <c r="E592" s="8"/>
      <c r="F592" s="8"/>
      <c r="G592" s="8"/>
      <c r="H592" s="9"/>
    </row>
    <row r="593">
      <c r="A593" s="4"/>
      <c r="C593" s="4"/>
      <c r="D593" s="4"/>
      <c r="E593" s="8"/>
      <c r="F593" s="8"/>
      <c r="G593" s="8"/>
      <c r="H593" s="9"/>
    </row>
    <row r="594">
      <c r="A594" s="4"/>
      <c r="C594" s="4"/>
      <c r="D594" s="4"/>
      <c r="E594" s="8"/>
      <c r="F594" s="8"/>
      <c r="G594" s="8"/>
      <c r="H594" s="9"/>
    </row>
    <row r="595">
      <c r="A595" s="4"/>
      <c r="C595" s="4"/>
      <c r="D595" s="4"/>
      <c r="E595" s="8"/>
      <c r="F595" s="8"/>
      <c r="G595" s="8"/>
      <c r="H595" s="9"/>
    </row>
    <row r="596">
      <c r="A596" s="4"/>
      <c r="C596" s="4"/>
      <c r="D596" s="4"/>
      <c r="E596" s="8"/>
      <c r="F596" s="8"/>
      <c r="G596" s="8"/>
      <c r="H596" s="9"/>
    </row>
    <row r="597">
      <c r="A597" s="4"/>
      <c r="C597" s="4"/>
      <c r="D597" s="4"/>
      <c r="E597" s="8"/>
      <c r="F597" s="8"/>
      <c r="G597" s="8"/>
      <c r="H597" s="9"/>
    </row>
    <row r="598">
      <c r="A598" s="4"/>
      <c r="C598" s="4"/>
      <c r="D598" s="4"/>
      <c r="E598" s="8"/>
      <c r="F598" s="8"/>
      <c r="G598" s="8"/>
      <c r="H598" s="9"/>
    </row>
    <row r="599">
      <c r="A599" s="4"/>
      <c r="C599" s="4"/>
      <c r="D599" s="4"/>
      <c r="E599" s="8"/>
      <c r="F599" s="8"/>
      <c r="G599" s="8"/>
      <c r="H599" s="9"/>
    </row>
    <row r="600">
      <c r="A600" s="4"/>
      <c r="C600" s="4"/>
      <c r="D600" s="4"/>
      <c r="E600" s="8"/>
      <c r="F600" s="8"/>
      <c r="G600" s="8"/>
      <c r="H600" s="9"/>
    </row>
    <row r="601">
      <c r="A601" s="4"/>
      <c r="C601" s="4"/>
      <c r="D601" s="4"/>
      <c r="E601" s="8"/>
      <c r="F601" s="8"/>
      <c r="G601" s="8"/>
      <c r="H601" s="9"/>
    </row>
    <row r="602">
      <c r="A602" s="4"/>
      <c r="C602" s="4"/>
      <c r="D602" s="4"/>
      <c r="E602" s="8"/>
      <c r="F602" s="8"/>
      <c r="G602" s="8"/>
      <c r="H602" s="9"/>
    </row>
    <row r="603">
      <c r="A603" s="4"/>
      <c r="C603" s="4"/>
      <c r="D603" s="4"/>
      <c r="E603" s="8"/>
      <c r="F603" s="8"/>
      <c r="G603" s="8"/>
      <c r="H603" s="9"/>
    </row>
    <row r="604">
      <c r="A604" s="4"/>
      <c r="C604" s="4"/>
      <c r="D604" s="4"/>
      <c r="E604" s="8"/>
      <c r="F604" s="8"/>
      <c r="G604" s="8"/>
      <c r="H604" s="9"/>
    </row>
    <row r="605">
      <c r="A605" s="4"/>
      <c r="C605" s="4"/>
      <c r="D605" s="4"/>
      <c r="E605" s="8"/>
      <c r="F605" s="8"/>
      <c r="G605" s="8"/>
      <c r="H605" s="9"/>
    </row>
    <row r="606">
      <c r="A606" s="4"/>
      <c r="C606" s="4"/>
      <c r="D606" s="4"/>
      <c r="E606" s="8"/>
      <c r="F606" s="8"/>
      <c r="G606" s="8"/>
      <c r="H606" s="9"/>
    </row>
    <row r="607">
      <c r="A607" s="4"/>
      <c r="C607" s="4"/>
      <c r="D607" s="4"/>
      <c r="E607" s="8"/>
      <c r="F607" s="8"/>
      <c r="G607" s="8"/>
      <c r="H607" s="9"/>
    </row>
    <row r="608">
      <c r="A608" s="4"/>
      <c r="C608" s="4"/>
      <c r="D608" s="4"/>
      <c r="E608" s="8"/>
      <c r="F608" s="8"/>
      <c r="G608" s="8"/>
      <c r="H608" s="9"/>
    </row>
    <row r="609">
      <c r="A609" s="4"/>
      <c r="C609" s="4"/>
      <c r="D609" s="4"/>
      <c r="E609" s="8"/>
      <c r="F609" s="8"/>
      <c r="G609" s="8"/>
      <c r="H609" s="9"/>
    </row>
    <row r="610">
      <c r="A610" s="4"/>
      <c r="C610" s="4"/>
      <c r="D610" s="4"/>
      <c r="E610" s="8"/>
      <c r="F610" s="8"/>
      <c r="G610" s="8"/>
      <c r="H610" s="9"/>
    </row>
    <row r="611">
      <c r="A611" s="4"/>
      <c r="C611" s="4"/>
      <c r="D611" s="4"/>
      <c r="E611" s="8"/>
      <c r="F611" s="8"/>
      <c r="G611" s="8"/>
      <c r="H611" s="9"/>
    </row>
    <row r="612">
      <c r="A612" s="4"/>
      <c r="C612" s="4"/>
      <c r="D612" s="4"/>
      <c r="E612" s="8"/>
      <c r="F612" s="8"/>
      <c r="G612" s="8"/>
      <c r="H612" s="9"/>
    </row>
    <row r="613">
      <c r="A613" s="4"/>
      <c r="C613" s="4"/>
      <c r="D613" s="4"/>
      <c r="E613" s="8"/>
      <c r="F613" s="8"/>
      <c r="G613" s="8"/>
      <c r="H613" s="9"/>
    </row>
    <row r="614">
      <c r="A614" s="4"/>
      <c r="C614" s="4"/>
      <c r="D614" s="4"/>
      <c r="E614" s="8"/>
      <c r="F614" s="8"/>
      <c r="G614" s="8"/>
      <c r="H614" s="9"/>
    </row>
    <row r="615">
      <c r="A615" s="4"/>
      <c r="C615" s="4"/>
      <c r="D615" s="4"/>
      <c r="E615" s="8"/>
      <c r="F615" s="8"/>
      <c r="G615" s="8"/>
      <c r="H615" s="9"/>
    </row>
    <row r="616">
      <c r="A616" s="4"/>
      <c r="C616" s="4"/>
      <c r="D616" s="4"/>
      <c r="E616" s="8"/>
      <c r="F616" s="8"/>
      <c r="G616" s="8"/>
      <c r="H616" s="9"/>
    </row>
    <row r="617">
      <c r="A617" s="4"/>
      <c r="C617" s="4"/>
      <c r="D617" s="4"/>
      <c r="E617" s="8"/>
      <c r="F617" s="8"/>
      <c r="G617" s="8"/>
      <c r="H617" s="9"/>
    </row>
    <row r="618">
      <c r="A618" s="4"/>
      <c r="C618" s="4"/>
      <c r="D618" s="4"/>
      <c r="E618" s="8"/>
      <c r="F618" s="8"/>
      <c r="G618" s="8"/>
      <c r="H618" s="9"/>
    </row>
    <row r="619">
      <c r="A619" s="4"/>
      <c r="C619" s="4"/>
      <c r="D619" s="4"/>
      <c r="E619" s="8"/>
      <c r="F619" s="8"/>
      <c r="G619" s="8"/>
      <c r="H619" s="9"/>
    </row>
    <row r="620">
      <c r="A620" s="4"/>
      <c r="C620" s="4"/>
      <c r="D620" s="4"/>
      <c r="E620" s="8"/>
      <c r="F620" s="8"/>
      <c r="G620" s="8"/>
      <c r="H620" s="9"/>
    </row>
    <row r="621">
      <c r="A621" s="4"/>
      <c r="C621" s="4"/>
      <c r="D621" s="4"/>
      <c r="E621" s="8"/>
      <c r="F621" s="8"/>
      <c r="G621" s="8"/>
      <c r="H621" s="9"/>
    </row>
    <row r="622">
      <c r="A622" s="4"/>
      <c r="C622" s="4"/>
      <c r="D622" s="4"/>
      <c r="E622" s="8"/>
      <c r="F622" s="8"/>
      <c r="G622" s="8"/>
      <c r="H622" s="9"/>
    </row>
    <row r="623">
      <c r="A623" s="4"/>
      <c r="C623" s="4"/>
      <c r="D623" s="4"/>
      <c r="E623" s="8"/>
      <c r="F623" s="8"/>
      <c r="G623" s="8"/>
      <c r="H623" s="9"/>
    </row>
    <row r="624">
      <c r="A624" s="4"/>
      <c r="C624" s="4"/>
      <c r="D624" s="4"/>
      <c r="E624" s="8"/>
      <c r="F624" s="8"/>
      <c r="G624" s="8"/>
      <c r="H624" s="9"/>
    </row>
    <row r="625">
      <c r="A625" s="4"/>
      <c r="C625" s="4"/>
      <c r="D625" s="4"/>
      <c r="E625" s="8"/>
      <c r="F625" s="8"/>
      <c r="G625" s="8"/>
      <c r="H625" s="9"/>
    </row>
    <row r="626">
      <c r="A626" s="4"/>
      <c r="C626" s="4"/>
      <c r="D626" s="4"/>
      <c r="E626" s="8"/>
      <c r="F626" s="8"/>
      <c r="G626" s="8"/>
      <c r="H626" s="9"/>
    </row>
    <row r="627">
      <c r="A627" s="4"/>
      <c r="C627" s="4"/>
      <c r="D627" s="4"/>
      <c r="E627" s="8"/>
      <c r="F627" s="8"/>
      <c r="G627" s="8"/>
      <c r="H627" s="9"/>
    </row>
    <row r="628">
      <c r="A628" s="4"/>
      <c r="C628" s="4"/>
      <c r="D628" s="4"/>
      <c r="E628" s="8"/>
      <c r="F628" s="8"/>
      <c r="G628" s="8"/>
      <c r="H628" s="9"/>
    </row>
    <row r="629">
      <c r="A629" s="4"/>
      <c r="C629" s="4"/>
      <c r="D629" s="4"/>
      <c r="E629" s="8"/>
      <c r="F629" s="8"/>
      <c r="G629" s="8"/>
      <c r="H629" s="9"/>
    </row>
    <row r="630">
      <c r="A630" s="4"/>
      <c r="C630" s="4"/>
      <c r="D630" s="4"/>
      <c r="E630" s="8"/>
      <c r="F630" s="8"/>
      <c r="G630" s="8"/>
      <c r="H630" s="9"/>
    </row>
    <row r="631">
      <c r="A631" s="4"/>
      <c r="C631" s="4"/>
      <c r="D631" s="4"/>
      <c r="E631" s="8"/>
      <c r="F631" s="8"/>
      <c r="G631" s="8"/>
      <c r="H631" s="9"/>
    </row>
    <row r="632">
      <c r="A632" s="4"/>
      <c r="C632" s="4"/>
      <c r="D632" s="4"/>
      <c r="E632" s="8"/>
      <c r="F632" s="8"/>
      <c r="G632" s="8"/>
      <c r="H632" s="9"/>
    </row>
    <row r="633">
      <c r="A633" s="4"/>
      <c r="C633" s="4"/>
      <c r="D633" s="4"/>
      <c r="E633" s="8"/>
      <c r="F633" s="8"/>
      <c r="G633" s="8"/>
      <c r="H633" s="9"/>
    </row>
    <row r="634">
      <c r="A634" s="4"/>
      <c r="C634" s="4"/>
      <c r="D634" s="4"/>
      <c r="E634" s="8"/>
      <c r="F634" s="8"/>
      <c r="G634" s="8"/>
      <c r="H634" s="9"/>
    </row>
    <row r="635">
      <c r="A635" s="4"/>
      <c r="C635" s="4"/>
      <c r="D635" s="4"/>
      <c r="E635" s="8"/>
      <c r="F635" s="8"/>
      <c r="G635" s="8"/>
      <c r="H635" s="9"/>
    </row>
    <row r="636">
      <c r="A636" s="4"/>
      <c r="C636" s="4"/>
      <c r="D636" s="4"/>
      <c r="E636" s="8"/>
      <c r="F636" s="8"/>
      <c r="G636" s="8"/>
      <c r="H636" s="9"/>
    </row>
    <row r="637">
      <c r="A637" s="4"/>
      <c r="C637" s="4"/>
      <c r="D637" s="4"/>
      <c r="E637" s="8"/>
      <c r="F637" s="8"/>
      <c r="G637" s="8"/>
      <c r="H637" s="9"/>
    </row>
    <row r="638">
      <c r="A638" s="4"/>
      <c r="C638" s="4"/>
      <c r="D638" s="4"/>
      <c r="E638" s="8"/>
      <c r="F638" s="8"/>
      <c r="G638" s="8"/>
      <c r="H638" s="9"/>
    </row>
    <row r="639">
      <c r="A639" s="4"/>
      <c r="C639" s="4"/>
      <c r="D639" s="4"/>
      <c r="E639" s="8"/>
      <c r="F639" s="8"/>
      <c r="G639" s="8"/>
      <c r="H639" s="9"/>
    </row>
    <row r="640">
      <c r="A640" s="4"/>
      <c r="C640" s="4"/>
      <c r="D640" s="4"/>
      <c r="E640" s="8"/>
      <c r="F640" s="8"/>
      <c r="G640" s="8"/>
      <c r="H640" s="9"/>
    </row>
    <row r="641">
      <c r="A641" s="4"/>
      <c r="C641" s="4"/>
      <c r="D641" s="4"/>
      <c r="E641" s="8"/>
      <c r="F641" s="8"/>
      <c r="G641" s="8"/>
      <c r="H641" s="9"/>
    </row>
    <row r="642">
      <c r="A642" s="4"/>
      <c r="C642" s="4"/>
      <c r="D642" s="4"/>
      <c r="E642" s="8"/>
      <c r="F642" s="8"/>
      <c r="G642" s="8"/>
      <c r="H642" s="9"/>
    </row>
    <row r="643">
      <c r="A643" s="4"/>
      <c r="C643" s="4"/>
      <c r="D643" s="4"/>
      <c r="E643" s="8"/>
      <c r="F643" s="8"/>
      <c r="G643" s="8"/>
      <c r="H643" s="9"/>
    </row>
    <row r="644">
      <c r="A644" s="4"/>
      <c r="C644" s="4"/>
      <c r="D644" s="4"/>
      <c r="E644" s="8"/>
      <c r="F644" s="8"/>
      <c r="G644" s="8"/>
      <c r="H644" s="9"/>
    </row>
    <row r="645">
      <c r="A645" s="4"/>
      <c r="C645" s="4"/>
      <c r="D645" s="4"/>
      <c r="E645" s="8"/>
      <c r="F645" s="8"/>
      <c r="G645" s="8"/>
      <c r="H645" s="9"/>
    </row>
    <row r="646">
      <c r="A646" s="4"/>
      <c r="C646" s="4"/>
      <c r="D646" s="4"/>
      <c r="E646" s="8"/>
      <c r="F646" s="8"/>
      <c r="G646" s="8"/>
      <c r="H646" s="9"/>
    </row>
    <row r="647">
      <c r="A647" s="4"/>
      <c r="C647" s="4"/>
      <c r="D647" s="4"/>
      <c r="E647" s="8"/>
      <c r="F647" s="8"/>
      <c r="G647" s="8"/>
      <c r="H647" s="9"/>
    </row>
    <row r="648">
      <c r="A648" s="4"/>
      <c r="C648" s="4"/>
      <c r="D648" s="4"/>
      <c r="E648" s="8"/>
      <c r="F648" s="8"/>
      <c r="G648" s="8"/>
      <c r="H648" s="9"/>
    </row>
    <row r="649">
      <c r="A649" s="4"/>
      <c r="C649" s="4"/>
      <c r="D649" s="4"/>
      <c r="E649" s="8"/>
      <c r="F649" s="8"/>
      <c r="G649" s="8"/>
      <c r="H649" s="9"/>
    </row>
    <row r="650">
      <c r="A650" s="4"/>
      <c r="C650" s="4"/>
      <c r="D650" s="4"/>
      <c r="E650" s="8"/>
      <c r="F650" s="8"/>
      <c r="G650" s="8"/>
      <c r="H650" s="9"/>
    </row>
    <row r="651">
      <c r="A651" s="4"/>
      <c r="C651" s="4"/>
      <c r="D651" s="4"/>
      <c r="E651" s="8"/>
      <c r="F651" s="8"/>
      <c r="G651" s="8"/>
      <c r="H651" s="9"/>
    </row>
    <row r="652">
      <c r="A652" s="4"/>
      <c r="C652" s="4"/>
      <c r="D652" s="4"/>
      <c r="E652" s="8"/>
      <c r="F652" s="8"/>
      <c r="G652" s="8"/>
      <c r="H652" s="9"/>
    </row>
    <row r="653">
      <c r="A653" s="4"/>
      <c r="C653" s="4"/>
      <c r="D653" s="4"/>
      <c r="E653" s="8"/>
      <c r="F653" s="8"/>
      <c r="G653" s="8"/>
      <c r="H653" s="9"/>
    </row>
    <row r="654">
      <c r="A654" s="4"/>
      <c r="C654" s="4"/>
      <c r="D654" s="4"/>
      <c r="E654" s="8"/>
      <c r="F654" s="8"/>
      <c r="G654" s="8"/>
      <c r="H654" s="9"/>
    </row>
    <row r="655">
      <c r="A655" s="4"/>
      <c r="C655" s="4"/>
      <c r="D655" s="4"/>
      <c r="E655" s="8"/>
      <c r="F655" s="8"/>
      <c r="G655" s="8"/>
      <c r="H655" s="9"/>
    </row>
    <row r="656">
      <c r="A656" s="4"/>
      <c r="C656" s="4"/>
      <c r="D656" s="4"/>
      <c r="E656" s="8"/>
      <c r="F656" s="8"/>
      <c r="G656" s="8"/>
      <c r="H656" s="9"/>
    </row>
    <row r="657">
      <c r="A657" s="4"/>
      <c r="C657" s="4"/>
      <c r="D657" s="4"/>
      <c r="E657" s="8"/>
      <c r="F657" s="8"/>
      <c r="G657" s="8"/>
      <c r="H657" s="9"/>
    </row>
    <row r="658">
      <c r="A658" s="4"/>
      <c r="C658" s="4"/>
      <c r="D658" s="4"/>
      <c r="E658" s="8"/>
      <c r="F658" s="8"/>
      <c r="G658" s="8"/>
      <c r="H658" s="9"/>
    </row>
    <row r="659">
      <c r="A659" s="4"/>
      <c r="C659" s="4"/>
      <c r="D659" s="4"/>
      <c r="E659" s="8"/>
      <c r="F659" s="8"/>
      <c r="G659" s="8"/>
      <c r="H659" s="9"/>
    </row>
    <row r="660">
      <c r="A660" s="4"/>
      <c r="C660" s="4"/>
      <c r="D660" s="4"/>
      <c r="E660" s="8"/>
      <c r="F660" s="8"/>
      <c r="G660" s="8"/>
      <c r="H660" s="9"/>
    </row>
    <row r="661">
      <c r="A661" s="4"/>
      <c r="C661" s="4"/>
      <c r="D661" s="4"/>
      <c r="E661" s="8"/>
      <c r="F661" s="8"/>
      <c r="G661" s="8"/>
      <c r="H661" s="9"/>
    </row>
    <row r="662">
      <c r="A662" s="4"/>
      <c r="C662" s="4"/>
      <c r="D662" s="4"/>
      <c r="E662" s="8"/>
      <c r="F662" s="8"/>
      <c r="G662" s="8"/>
      <c r="H662" s="9"/>
    </row>
    <row r="663">
      <c r="A663" s="4"/>
      <c r="C663" s="4"/>
      <c r="D663" s="4"/>
      <c r="E663" s="8"/>
      <c r="F663" s="8"/>
      <c r="G663" s="8"/>
      <c r="H663" s="9"/>
    </row>
    <row r="664">
      <c r="A664" s="4"/>
      <c r="C664" s="4"/>
      <c r="D664" s="4"/>
      <c r="E664" s="8"/>
      <c r="F664" s="8"/>
      <c r="G664" s="8"/>
      <c r="H664" s="9"/>
    </row>
    <row r="665">
      <c r="A665" s="4"/>
      <c r="C665" s="4"/>
      <c r="D665" s="4"/>
      <c r="E665" s="8"/>
      <c r="F665" s="8"/>
      <c r="G665" s="8"/>
      <c r="H665" s="9"/>
    </row>
    <row r="666">
      <c r="A666" s="4"/>
      <c r="C666" s="4"/>
      <c r="D666" s="4"/>
      <c r="E666" s="8"/>
      <c r="F666" s="8"/>
      <c r="G666" s="8"/>
      <c r="H666" s="9"/>
    </row>
    <row r="667">
      <c r="A667" s="4"/>
      <c r="C667" s="4"/>
      <c r="D667" s="4"/>
      <c r="E667" s="8"/>
      <c r="F667" s="8"/>
      <c r="G667" s="8"/>
      <c r="H667" s="9"/>
    </row>
    <row r="668">
      <c r="A668" s="4"/>
      <c r="C668" s="4"/>
      <c r="D668" s="4"/>
      <c r="E668" s="8"/>
      <c r="F668" s="8"/>
      <c r="G668" s="8"/>
      <c r="H668" s="9"/>
    </row>
    <row r="669">
      <c r="A669" s="4"/>
      <c r="C669" s="4"/>
      <c r="D669" s="4"/>
      <c r="E669" s="8"/>
      <c r="F669" s="8"/>
      <c r="G669" s="8"/>
      <c r="H669" s="9"/>
    </row>
    <row r="670">
      <c r="A670" s="4"/>
      <c r="C670" s="4"/>
      <c r="D670" s="4"/>
      <c r="E670" s="8"/>
      <c r="F670" s="8"/>
      <c r="G670" s="8"/>
      <c r="H670" s="9"/>
    </row>
    <row r="671">
      <c r="A671" s="4"/>
      <c r="C671" s="4"/>
      <c r="D671" s="4"/>
      <c r="E671" s="8"/>
      <c r="F671" s="8"/>
      <c r="G671" s="8"/>
      <c r="H671" s="9"/>
    </row>
    <row r="672">
      <c r="A672" s="4"/>
      <c r="C672" s="4"/>
      <c r="D672" s="4"/>
      <c r="E672" s="8"/>
      <c r="F672" s="8"/>
      <c r="G672" s="8"/>
      <c r="H672" s="9"/>
    </row>
    <row r="673">
      <c r="A673" s="4"/>
      <c r="C673" s="4"/>
      <c r="D673" s="4"/>
      <c r="E673" s="8"/>
      <c r="F673" s="8"/>
      <c r="G673" s="8"/>
      <c r="H673" s="9"/>
    </row>
    <row r="674">
      <c r="A674" s="4"/>
      <c r="C674" s="4"/>
      <c r="D674" s="4"/>
      <c r="E674" s="8"/>
      <c r="F674" s="8"/>
      <c r="G674" s="8"/>
      <c r="H674" s="9"/>
    </row>
    <row r="675">
      <c r="A675" s="4"/>
      <c r="C675" s="4"/>
      <c r="D675" s="4"/>
      <c r="E675" s="8"/>
      <c r="F675" s="8"/>
      <c r="G675" s="8"/>
      <c r="H675" s="9"/>
    </row>
    <row r="676">
      <c r="A676" s="4"/>
      <c r="C676" s="4"/>
      <c r="D676" s="4"/>
      <c r="E676" s="8"/>
      <c r="F676" s="8"/>
      <c r="G676" s="8"/>
      <c r="H676" s="9"/>
    </row>
    <row r="677">
      <c r="A677" s="4"/>
      <c r="C677" s="4"/>
      <c r="D677" s="4"/>
      <c r="E677" s="8"/>
      <c r="F677" s="8"/>
      <c r="G677" s="8"/>
      <c r="H677" s="9"/>
    </row>
    <row r="678">
      <c r="A678" s="4"/>
      <c r="C678" s="4"/>
      <c r="D678" s="4"/>
      <c r="E678" s="8"/>
      <c r="F678" s="8"/>
      <c r="G678" s="8"/>
      <c r="H678" s="9"/>
    </row>
    <row r="679">
      <c r="A679" s="4"/>
      <c r="C679" s="4"/>
      <c r="D679" s="4"/>
      <c r="E679" s="8"/>
      <c r="F679" s="8"/>
      <c r="G679" s="8"/>
      <c r="H679" s="9"/>
    </row>
    <row r="680">
      <c r="A680" s="4"/>
      <c r="C680" s="4"/>
      <c r="D680" s="4"/>
      <c r="E680" s="8"/>
      <c r="F680" s="8"/>
      <c r="G680" s="8"/>
      <c r="H680" s="9"/>
    </row>
    <row r="681">
      <c r="A681" s="4"/>
      <c r="C681" s="4"/>
      <c r="D681" s="4"/>
      <c r="E681" s="8"/>
      <c r="F681" s="8"/>
      <c r="G681" s="8"/>
      <c r="H681" s="9"/>
    </row>
    <row r="682">
      <c r="A682" s="4"/>
      <c r="C682" s="4"/>
      <c r="D682" s="4"/>
      <c r="E682" s="8"/>
      <c r="F682" s="8"/>
      <c r="G682" s="8"/>
      <c r="H682" s="9"/>
    </row>
    <row r="683">
      <c r="A683" s="4"/>
      <c r="C683" s="4"/>
      <c r="D683" s="4"/>
      <c r="E683" s="8"/>
      <c r="F683" s="8"/>
      <c r="G683" s="8"/>
      <c r="H683" s="9"/>
    </row>
    <row r="684">
      <c r="A684" s="4"/>
      <c r="C684" s="4"/>
      <c r="D684" s="4"/>
      <c r="E684" s="8"/>
      <c r="F684" s="8"/>
      <c r="G684" s="8"/>
      <c r="H684" s="9"/>
    </row>
    <row r="685">
      <c r="A685" s="4"/>
      <c r="C685" s="4"/>
      <c r="D685" s="4"/>
      <c r="E685" s="8"/>
      <c r="F685" s="8"/>
      <c r="G685" s="8"/>
      <c r="H685" s="9"/>
    </row>
    <row r="686">
      <c r="A686" s="4"/>
      <c r="C686" s="4"/>
      <c r="D686" s="4"/>
      <c r="E686" s="8"/>
      <c r="F686" s="8"/>
      <c r="G686" s="8"/>
      <c r="H686" s="9"/>
    </row>
    <row r="687">
      <c r="A687" s="4"/>
      <c r="C687" s="4"/>
      <c r="D687" s="4"/>
      <c r="E687" s="8"/>
      <c r="F687" s="8"/>
      <c r="G687" s="8"/>
      <c r="H687" s="9"/>
    </row>
    <row r="688">
      <c r="A688" s="4"/>
      <c r="C688" s="4"/>
      <c r="D688" s="4"/>
      <c r="E688" s="8"/>
      <c r="F688" s="8"/>
      <c r="G688" s="8"/>
      <c r="H688" s="9"/>
    </row>
    <row r="689">
      <c r="A689" s="4"/>
      <c r="C689" s="4"/>
      <c r="D689" s="4"/>
      <c r="E689" s="8"/>
      <c r="F689" s="8"/>
      <c r="G689" s="8"/>
      <c r="H689" s="9"/>
    </row>
    <row r="690">
      <c r="A690" s="4"/>
      <c r="C690" s="4"/>
      <c r="D690" s="4"/>
      <c r="E690" s="8"/>
      <c r="F690" s="8"/>
      <c r="G690" s="8"/>
      <c r="H690" s="9"/>
    </row>
    <row r="691">
      <c r="A691" s="4"/>
      <c r="C691" s="4"/>
      <c r="D691" s="4"/>
      <c r="E691" s="8"/>
      <c r="F691" s="8"/>
      <c r="G691" s="8"/>
      <c r="H691" s="9"/>
    </row>
    <row r="692">
      <c r="A692" s="4"/>
      <c r="C692" s="4"/>
      <c r="D692" s="4"/>
      <c r="E692" s="8"/>
      <c r="F692" s="8"/>
      <c r="G692" s="8"/>
      <c r="H692" s="9"/>
    </row>
    <row r="693">
      <c r="A693" s="4"/>
      <c r="C693" s="4"/>
      <c r="D693" s="4"/>
      <c r="E693" s="8"/>
      <c r="F693" s="8"/>
      <c r="G693" s="8"/>
      <c r="H693" s="9"/>
    </row>
    <row r="694">
      <c r="A694" s="4"/>
      <c r="C694" s="4"/>
      <c r="D694" s="4"/>
      <c r="E694" s="8"/>
      <c r="F694" s="8"/>
      <c r="G694" s="8"/>
      <c r="H694" s="9"/>
    </row>
    <row r="695">
      <c r="A695" s="4"/>
      <c r="C695" s="4"/>
      <c r="D695" s="4"/>
      <c r="E695" s="8"/>
      <c r="F695" s="8"/>
      <c r="G695" s="8"/>
      <c r="H695" s="9"/>
    </row>
    <row r="696">
      <c r="A696" s="4"/>
      <c r="C696" s="4"/>
      <c r="D696" s="4"/>
      <c r="E696" s="8"/>
      <c r="F696" s="8"/>
      <c r="G696" s="8"/>
      <c r="H696" s="9"/>
    </row>
    <row r="697">
      <c r="A697" s="4"/>
      <c r="C697" s="4"/>
      <c r="D697" s="4"/>
      <c r="E697" s="8"/>
      <c r="F697" s="8"/>
      <c r="G697" s="8"/>
      <c r="H697" s="9"/>
    </row>
    <row r="698">
      <c r="A698" s="4"/>
      <c r="C698" s="4"/>
      <c r="D698" s="4"/>
      <c r="E698" s="8"/>
      <c r="F698" s="8"/>
      <c r="G698" s="8"/>
      <c r="H698" s="9"/>
    </row>
    <row r="699">
      <c r="A699" s="4"/>
      <c r="C699" s="4"/>
      <c r="D699" s="4"/>
      <c r="E699" s="8"/>
      <c r="F699" s="8"/>
      <c r="G699" s="8"/>
      <c r="H699" s="9"/>
    </row>
    <row r="700">
      <c r="A700" s="4"/>
      <c r="C700" s="4"/>
      <c r="D700" s="4"/>
      <c r="E700" s="8"/>
      <c r="F700" s="8"/>
      <c r="G700" s="8"/>
      <c r="H700" s="9"/>
    </row>
    <row r="701">
      <c r="A701" s="4"/>
      <c r="C701" s="4"/>
      <c r="D701" s="4"/>
      <c r="E701" s="8"/>
      <c r="F701" s="8"/>
      <c r="G701" s="8"/>
      <c r="H701" s="9"/>
    </row>
    <row r="702">
      <c r="A702" s="4"/>
      <c r="C702" s="4"/>
      <c r="D702" s="4"/>
      <c r="E702" s="8"/>
      <c r="F702" s="8"/>
      <c r="G702" s="8"/>
      <c r="H702" s="9"/>
    </row>
    <row r="703">
      <c r="A703" s="4"/>
      <c r="C703" s="4"/>
      <c r="D703" s="4"/>
      <c r="E703" s="8"/>
      <c r="F703" s="8"/>
      <c r="G703" s="8"/>
      <c r="H703" s="9"/>
    </row>
    <row r="704">
      <c r="A704" s="4"/>
      <c r="C704" s="4"/>
      <c r="D704" s="4"/>
      <c r="E704" s="8"/>
      <c r="F704" s="8"/>
      <c r="G704" s="8"/>
      <c r="H704" s="9"/>
    </row>
    <row r="705">
      <c r="A705" s="4"/>
      <c r="C705" s="4"/>
      <c r="D705" s="4"/>
      <c r="E705" s="8"/>
      <c r="F705" s="8"/>
      <c r="G705" s="8"/>
      <c r="H705" s="9"/>
    </row>
    <row r="706">
      <c r="A706" s="4"/>
      <c r="C706" s="4"/>
      <c r="D706" s="4"/>
      <c r="E706" s="8"/>
      <c r="F706" s="8"/>
      <c r="G706" s="8"/>
      <c r="H706" s="9"/>
    </row>
    <row r="707">
      <c r="A707" s="4"/>
      <c r="C707" s="4"/>
      <c r="D707" s="4"/>
      <c r="E707" s="8"/>
      <c r="F707" s="8"/>
      <c r="G707" s="8"/>
      <c r="H707" s="9"/>
    </row>
    <row r="708">
      <c r="A708" s="4"/>
      <c r="C708" s="4"/>
      <c r="D708" s="4"/>
      <c r="E708" s="8"/>
      <c r="F708" s="8"/>
      <c r="G708" s="8"/>
      <c r="H708" s="9"/>
    </row>
    <row r="709">
      <c r="A709" s="4"/>
      <c r="C709" s="4"/>
      <c r="D709" s="4"/>
      <c r="E709" s="8"/>
      <c r="F709" s="8"/>
      <c r="G709" s="8"/>
      <c r="H709" s="9"/>
    </row>
    <row r="710">
      <c r="A710" s="4"/>
      <c r="C710" s="4"/>
      <c r="D710" s="4"/>
      <c r="E710" s="8"/>
      <c r="F710" s="8"/>
      <c r="G710" s="8"/>
      <c r="H710" s="9"/>
    </row>
    <row r="711">
      <c r="A711" s="4"/>
      <c r="C711" s="4"/>
      <c r="D711" s="4"/>
      <c r="E711" s="8"/>
      <c r="F711" s="8"/>
      <c r="G711" s="8"/>
      <c r="H711" s="9"/>
    </row>
    <row r="712">
      <c r="A712" s="4"/>
      <c r="C712" s="4"/>
      <c r="D712" s="4"/>
      <c r="E712" s="8"/>
      <c r="F712" s="8"/>
      <c r="G712" s="8"/>
      <c r="H712" s="9"/>
    </row>
    <row r="713">
      <c r="A713" s="4"/>
      <c r="C713" s="4"/>
      <c r="D713" s="4"/>
      <c r="E713" s="8"/>
      <c r="F713" s="8"/>
      <c r="G713" s="8"/>
      <c r="H713" s="9"/>
    </row>
    <row r="714">
      <c r="A714" s="4"/>
      <c r="C714" s="4"/>
      <c r="D714" s="4"/>
      <c r="E714" s="8"/>
      <c r="F714" s="8"/>
      <c r="G714" s="8"/>
      <c r="H714" s="9"/>
    </row>
    <row r="715">
      <c r="A715" s="4"/>
      <c r="C715" s="4"/>
      <c r="D715" s="4"/>
      <c r="E715" s="8"/>
      <c r="F715" s="8"/>
      <c r="G715" s="8"/>
      <c r="H715" s="9"/>
    </row>
    <row r="716">
      <c r="A716" s="4"/>
      <c r="C716" s="4"/>
      <c r="D716" s="4"/>
      <c r="E716" s="8"/>
      <c r="F716" s="8"/>
      <c r="G716" s="8"/>
      <c r="H716" s="9"/>
    </row>
    <row r="717">
      <c r="A717" s="4"/>
      <c r="C717" s="4"/>
      <c r="D717" s="4"/>
      <c r="E717" s="8"/>
      <c r="F717" s="8"/>
      <c r="G717" s="8"/>
      <c r="H717" s="9"/>
    </row>
    <row r="718">
      <c r="A718" s="4"/>
      <c r="C718" s="4"/>
      <c r="D718" s="4"/>
      <c r="E718" s="8"/>
      <c r="F718" s="8"/>
      <c r="G718" s="8"/>
      <c r="H718" s="9"/>
    </row>
    <row r="719">
      <c r="A719" s="4"/>
      <c r="C719" s="4"/>
      <c r="D719" s="4"/>
      <c r="E719" s="8"/>
      <c r="F719" s="8"/>
      <c r="G719" s="8"/>
      <c r="H719" s="9"/>
    </row>
    <row r="720">
      <c r="A720" s="4"/>
      <c r="C720" s="4"/>
      <c r="D720" s="4"/>
      <c r="E720" s="8"/>
      <c r="F720" s="8"/>
      <c r="G720" s="8"/>
      <c r="H720" s="9"/>
    </row>
    <row r="721">
      <c r="A721" s="4"/>
      <c r="C721" s="4"/>
      <c r="D721" s="4"/>
      <c r="E721" s="8"/>
      <c r="F721" s="8"/>
      <c r="G721" s="8"/>
      <c r="H721" s="9"/>
    </row>
    <row r="722">
      <c r="A722" s="4"/>
      <c r="C722" s="4"/>
      <c r="D722" s="4"/>
      <c r="E722" s="8"/>
      <c r="F722" s="8"/>
      <c r="G722" s="8"/>
      <c r="H722" s="9"/>
    </row>
    <row r="723">
      <c r="A723" s="4"/>
      <c r="C723" s="4"/>
      <c r="D723" s="4"/>
      <c r="E723" s="8"/>
      <c r="F723" s="8"/>
      <c r="G723" s="8"/>
      <c r="H723" s="9"/>
    </row>
    <row r="724">
      <c r="A724" s="4"/>
      <c r="C724" s="4"/>
      <c r="D724" s="4"/>
      <c r="E724" s="8"/>
      <c r="F724" s="8"/>
      <c r="G724" s="8"/>
      <c r="H724" s="9"/>
    </row>
    <row r="725">
      <c r="A725" s="4"/>
      <c r="C725" s="4"/>
      <c r="D725" s="4"/>
      <c r="E725" s="8"/>
      <c r="F725" s="8"/>
      <c r="G725" s="8"/>
      <c r="H725" s="9"/>
    </row>
    <row r="726">
      <c r="A726" s="4"/>
      <c r="C726" s="4"/>
      <c r="D726" s="4"/>
      <c r="E726" s="8"/>
      <c r="F726" s="8"/>
      <c r="G726" s="8"/>
      <c r="H726" s="9"/>
    </row>
    <row r="727">
      <c r="A727" s="4"/>
      <c r="C727" s="4"/>
      <c r="D727" s="4"/>
      <c r="E727" s="8"/>
      <c r="F727" s="8"/>
      <c r="G727" s="8"/>
      <c r="H727" s="9"/>
    </row>
    <row r="728">
      <c r="A728" s="4"/>
      <c r="C728" s="4"/>
      <c r="D728" s="4"/>
      <c r="E728" s="8"/>
      <c r="F728" s="8"/>
      <c r="G728" s="8"/>
      <c r="H728" s="9"/>
    </row>
    <row r="729">
      <c r="A729" s="4"/>
      <c r="C729" s="4"/>
      <c r="D729" s="4"/>
      <c r="E729" s="8"/>
      <c r="F729" s="8"/>
      <c r="G729" s="8"/>
      <c r="H729" s="9"/>
    </row>
    <row r="730">
      <c r="A730" s="4"/>
      <c r="C730" s="4"/>
      <c r="D730" s="4"/>
      <c r="E730" s="8"/>
      <c r="F730" s="8"/>
      <c r="G730" s="8"/>
      <c r="H730" s="9"/>
    </row>
    <row r="731">
      <c r="A731" s="4"/>
      <c r="C731" s="4"/>
      <c r="D731" s="4"/>
      <c r="E731" s="8"/>
      <c r="F731" s="8"/>
      <c r="G731" s="8"/>
      <c r="H731" s="9"/>
    </row>
    <row r="732">
      <c r="A732" s="4"/>
      <c r="C732" s="4"/>
      <c r="D732" s="4"/>
      <c r="E732" s="8"/>
      <c r="F732" s="8"/>
      <c r="G732" s="8"/>
      <c r="H732" s="9"/>
    </row>
    <row r="733">
      <c r="A733" s="4"/>
      <c r="C733" s="4"/>
      <c r="D733" s="4"/>
      <c r="E733" s="8"/>
      <c r="F733" s="8"/>
      <c r="G733" s="8"/>
      <c r="H733" s="9"/>
    </row>
    <row r="734">
      <c r="A734" s="4"/>
      <c r="C734" s="4"/>
      <c r="D734" s="4"/>
      <c r="E734" s="8"/>
      <c r="F734" s="8"/>
      <c r="G734" s="8"/>
      <c r="H734" s="9"/>
    </row>
    <row r="735">
      <c r="A735" s="4"/>
      <c r="C735" s="4"/>
      <c r="D735" s="4"/>
      <c r="E735" s="8"/>
      <c r="F735" s="8"/>
      <c r="G735" s="8"/>
      <c r="H735" s="9"/>
    </row>
    <row r="736">
      <c r="A736" s="4"/>
      <c r="C736" s="4"/>
      <c r="D736" s="4"/>
      <c r="E736" s="8"/>
      <c r="F736" s="8"/>
      <c r="G736" s="8"/>
      <c r="H736" s="9"/>
    </row>
    <row r="737">
      <c r="A737" s="4"/>
      <c r="C737" s="4"/>
      <c r="D737" s="4"/>
      <c r="E737" s="8"/>
      <c r="F737" s="8"/>
      <c r="G737" s="8"/>
      <c r="H737" s="9"/>
    </row>
    <row r="738">
      <c r="A738" s="4"/>
      <c r="C738" s="4"/>
      <c r="D738" s="4"/>
      <c r="E738" s="8"/>
      <c r="F738" s="8"/>
      <c r="G738" s="8"/>
      <c r="H738" s="9"/>
    </row>
    <row r="739">
      <c r="A739" s="4"/>
      <c r="C739" s="4"/>
      <c r="D739" s="4"/>
      <c r="E739" s="8"/>
      <c r="F739" s="8"/>
      <c r="G739" s="8"/>
      <c r="H739" s="9"/>
    </row>
    <row r="740">
      <c r="A740" s="4"/>
      <c r="C740" s="4"/>
      <c r="D740" s="4"/>
      <c r="E740" s="8"/>
      <c r="F740" s="8"/>
      <c r="G740" s="8"/>
      <c r="H740" s="9"/>
    </row>
    <row r="741">
      <c r="A741" s="4"/>
      <c r="C741" s="4"/>
      <c r="D741" s="4"/>
      <c r="E741" s="8"/>
      <c r="F741" s="8"/>
      <c r="G741" s="8"/>
      <c r="H741" s="9"/>
    </row>
    <row r="742">
      <c r="A742" s="4"/>
      <c r="C742" s="4"/>
      <c r="D742" s="4"/>
      <c r="E742" s="8"/>
      <c r="F742" s="8"/>
      <c r="G742" s="8"/>
      <c r="H742" s="9"/>
    </row>
    <row r="743">
      <c r="A743" s="4"/>
      <c r="C743" s="4"/>
      <c r="D743" s="4"/>
      <c r="E743" s="8"/>
      <c r="F743" s="8"/>
      <c r="G743" s="8"/>
      <c r="H743" s="9"/>
    </row>
    <row r="744">
      <c r="A744" s="4"/>
      <c r="C744" s="4"/>
      <c r="D744" s="4"/>
      <c r="E744" s="8"/>
      <c r="F744" s="8"/>
      <c r="G744" s="8"/>
      <c r="H744" s="9"/>
    </row>
    <row r="745">
      <c r="A745" s="4"/>
      <c r="C745" s="4"/>
      <c r="D745" s="4"/>
      <c r="E745" s="8"/>
      <c r="F745" s="8"/>
      <c r="G745" s="8"/>
      <c r="H745" s="9"/>
    </row>
    <row r="746">
      <c r="A746" s="4"/>
      <c r="C746" s="4"/>
      <c r="D746" s="4"/>
      <c r="E746" s="8"/>
      <c r="F746" s="8"/>
      <c r="G746" s="8"/>
      <c r="H746" s="9"/>
    </row>
    <row r="747">
      <c r="A747" s="4"/>
      <c r="C747" s="4"/>
      <c r="D747" s="4"/>
      <c r="E747" s="8"/>
      <c r="F747" s="8"/>
      <c r="G747" s="8"/>
      <c r="H747" s="9"/>
    </row>
    <row r="748">
      <c r="A748" s="4"/>
      <c r="C748" s="4"/>
      <c r="D748" s="4"/>
      <c r="E748" s="8"/>
      <c r="F748" s="8"/>
      <c r="G748" s="8"/>
      <c r="H748" s="9"/>
    </row>
    <row r="749">
      <c r="A749" s="4"/>
      <c r="C749" s="4"/>
      <c r="D749" s="4"/>
      <c r="E749" s="8"/>
      <c r="F749" s="8"/>
      <c r="G749" s="8"/>
      <c r="H749" s="9"/>
    </row>
    <row r="750">
      <c r="A750" s="4"/>
      <c r="C750" s="4"/>
      <c r="D750" s="4"/>
      <c r="E750" s="8"/>
      <c r="F750" s="8"/>
      <c r="G750" s="8"/>
      <c r="H750" s="9"/>
    </row>
    <row r="751">
      <c r="A751" s="4"/>
      <c r="C751" s="4"/>
      <c r="D751" s="4"/>
      <c r="E751" s="8"/>
      <c r="F751" s="8"/>
      <c r="G751" s="8"/>
      <c r="H751" s="9"/>
    </row>
    <row r="752">
      <c r="A752" s="4"/>
      <c r="C752" s="4"/>
      <c r="D752" s="4"/>
      <c r="E752" s="8"/>
      <c r="F752" s="8"/>
      <c r="G752" s="8"/>
      <c r="H752" s="9"/>
    </row>
    <row r="753">
      <c r="A753" s="4"/>
      <c r="C753" s="4"/>
      <c r="D753" s="4"/>
      <c r="E753" s="8"/>
      <c r="F753" s="8"/>
      <c r="G753" s="8"/>
      <c r="H753" s="9"/>
    </row>
    <row r="754">
      <c r="A754" s="4"/>
      <c r="C754" s="4"/>
      <c r="D754" s="4"/>
      <c r="E754" s="8"/>
      <c r="F754" s="8"/>
      <c r="G754" s="8"/>
      <c r="H754" s="9"/>
    </row>
    <row r="755">
      <c r="A755" s="4"/>
      <c r="C755" s="4"/>
      <c r="D755" s="4"/>
      <c r="E755" s="8"/>
      <c r="F755" s="8"/>
      <c r="G755" s="8"/>
      <c r="H755" s="9"/>
    </row>
    <row r="756">
      <c r="A756" s="4"/>
      <c r="C756" s="4"/>
      <c r="D756" s="4"/>
      <c r="E756" s="8"/>
      <c r="F756" s="8"/>
      <c r="G756" s="8"/>
      <c r="H756" s="9"/>
    </row>
    <row r="757">
      <c r="A757" s="4"/>
      <c r="C757" s="4"/>
      <c r="D757" s="4"/>
      <c r="E757" s="8"/>
      <c r="F757" s="8"/>
      <c r="G757" s="8"/>
      <c r="H757" s="9"/>
    </row>
    <row r="758">
      <c r="A758" s="4"/>
      <c r="C758" s="4"/>
      <c r="D758" s="4"/>
      <c r="E758" s="8"/>
      <c r="F758" s="8"/>
      <c r="G758" s="8"/>
      <c r="H758" s="9"/>
    </row>
    <row r="759">
      <c r="A759" s="4"/>
      <c r="C759" s="4"/>
      <c r="D759" s="4"/>
      <c r="E759" s="8"/>
      <c r="F759" s="8"/>
      <c r="G759" s="8"/>
      <c r="H759" s="9"/>
    </row>
    <row r="760">
      <c r="A760" s="4"/>
      <c r="C760" s="4"/>
      <c r="D760" s="4"/>
      <c r="E760" s="8"/>
      <c r="F760" s="8"/>
      <c r="G760" s="8"/>
      <c r="H760" s="9"/>
    </row>
    <row r="761">
      <c r="A761" s="4"/>
      <c r="C761" s="4"/>
      <c r="D761" s="4"/>
      <c r="E761" s="8"/>
      <c r="F761" s="8"/>
      <c r="G761" s="8"/>
      <c r="H761" s="9"/>
    </row>
    <row r="762">
      <c r="A762" s="4"/>
      <c r="C762" s="4"/>
      <c r="D762" s="4"/>
      <c r="E762" s="8"/>
      <c r="F762" s="8"/>
      <c r="G762" s="8"/>
      <c r="H762" s="9"/>
    </row>
    <row r="763">
      <c r="A763" s="4"/>
      <c r="C763" s="4"/>
      <c r="D763" s="4"/>
      <c r="E763" s="8"/>
      <c r="F763" s="8"/>
      <c r="G763" s="8"/>
      <c r="H763" s="9"/>
    </row>
    <row r="764">
      <c r="A764" s="4"/>
      <c r="C764" s="4"/>
      <c r="D764" s="4"/>
      <c r="E764" s="8"/>
      <c r="F764" s="8"/>
      <c r="G764" s="8"/>
      <c r="H764" s="9"/>
    </row>
    <row r="765">
      <c r="A765" s="4"/>
      <c r="C765" s="4"/>
      <c r="D765" s="4"/>
      <c r="E765" s="8"/>
      <c r="F765" s="8"/>
      <c r="G765" s="8"/>
      <c r="H765" s="9"/>
    </row>
    <row r="766">
      <c r="A766" s="4"/>
      <c r="C766" s="4"/>
      <c r="D766" s="4"/>
      <c r="E766" s="8"/>
      <c r="F766" s="8"/>
      <c r="G766" s="8"/>
      <c r="H766" s="9"/>
    </row>
    <row r="767">
      <c r="A767" s="4"/>
      <c r="C767" s="4"/>
      <c r="D767" s="4"/>
      <c r="E767" s="8"/>
      <c r="F767" s="8"/>
      <c r="G767" s="8"/>
      <c r="H767" s="9"/>
    </row>
    <row r="768">
      <c r="A768" s="4"/>
      <c r="C768" s="4"/>
      <c r="D768" s="4"/>
      <c r="E768" s="8"/>
      <c r="F768" s="8"/>
      <c r="G768" s="8"/>
      <c r="H768" s="9"/>
    </row>
    <row r="769">
      <c r="A769" s="4"/>
      <c r="C769" s="4"/>
      <c r="D769" s="4"/>
      <c r="E769" s="8"/>
      <c r="F769" s="8"/>
      <c r="G769" s="8"/>
      <c r="H769" s="9"/>
    </row>
    <row r="770">
      <c r="A770" s="4"/>
      <c r="C770" s="4"/>
      <c r="D770" s="4"/>
      <c r="E770" s="8"/>
      <c r="F770" s="8"/>
      <c r="G770" s="8"/>
      <c r="H770" s="9"/>
    </row>
    <row r="771">
      <c r="A771" s="4"/>
      <c r="C771" s="4"/>
      <c r="D771" s="4"/>
      <c r="E771" s="8"/>
      <c r="F771" s="8"/>
      <c r="G771" s="8"/>
      <c r="H771" s="9"/>
    </row>
    <row r="772">
      <c r="A772" s="4"/>
      <c r="C772" s="4"/>
      <c r="D772" s="4"/>
      <c r="E772" s="8"/>
      <c r="F772" s="8"/>
      <c r="G772" s="8"/>
      <c r="H772" s="9"/>
    </row>
    <row r="773">
      <c r="A773" s="4"/>
      <c r="C773" s="4"/>
      <c r="D773" s="4"/>
      <c r="E773" s="8"/>
      <c r="F773" s="8"/>
      <c r="G773" s="8"/>
      <c r="H773" s="9"/>
    </row>
    <row r="774">
      <c r="A774" s="4"/>
      <c r="C774" s="4"/>
      <c r="D774" s="4"/>
      <c r="E774" s="8"/>
      <c r="F774" s="8"/>
      <c r="G774" s="8"/>
      <c r="H774" s="9"/>
    </row>
    <row r="775">
      <c r="A775" s="4"/>
      <c r="C775" s="4"/>
      <c r="D775" s="4"/>
      <c r="E775" s="8"/>
      <c r="F775" s="8"/>
      <c r="G775" s="8"/>
      <c r="H775" s="9"/>
    </row>
    <row r="776">
      <c r="A776" s="4"/>
      <c r="C776" s="4"/>
      <c r="D776" s="4"/>
      <c r="E776" s="8"/>
      <c r="F776" s="8"/>
      <c r="G776" s="8"/>
      <c r="H776" s="9"/>
    </row>
    <row r="777">
      <c r="A777" s="4"/>
      <c r="C777" s="4"/>
      <c r="D777" s="4"/>
      <c r="E777" s="8"/>
      <c r="F777" s="8"/>
      <c r="G777" s="8"/>
      <c r="H777" s="9"/>
    </row>
    <row r="778">
      <c r="A778" s="4"/>
      <c r="C778" s="4"/>
      <c r="D778" s="4"/>
      <c r="E778" s="8"/>
      <c r="F778" s="8"/>
      <c r="G778" s="8"/>
      <c r="H778" s="9"/>
    </row>
    <row r="779">
      <c r="A779" s="4"/>
      <c r="C779" s="4"/>
      <c r="D779" s="4"/>
      <c r="E779" s="8"/>
      <c r="F779" s="8"/>
      <c r="G779" s="8"/>
      <c r="H779" s="9"/>
    </row>
    <row r="780">
      <c r="A780" s="4"/>
      <c r="C780" s="4"/>
      <c r="D780" s="4"/>
      <c r="E780" s="8"/>
      <c r="F780" s="8"/>
      <c r="G780" s="8"/>
      <c r="H780" s="9"/>
    </row>
    <row r="781">
      <c r="A781" s="4"/>
      <c r="C781" s="4"/>
      <c r="D781" s="4"/>
      <c r="E781" s="8"/>
      <c r="F781" s="8"/>
      <c r="G781" s="8"/>
      <c r="H781" s="9"/>
    </row>
    <row r="782">
      <c r="A782" s="4"/>
      <c r="C782" s="4"/>
      <c r="D782" s="4"/>
      <c r="E782" s="8"/>
      <c r="F782" s="8"/>
      <c r="G782" s="8"/>
      <c r="H782" s="9"/>
    </row>
    <row r="783">
      <c r="A783" s="4"/>
      <c r="C783" s="4"/>
      <c r="D783" s="4"/>
      <c r="E783" s="8"/>
      <c r="F783" s="8"/>
      <c r="G783" s="8"/>
      <c r="H783" s="9"/>
    </row>
    <row r="784">
      <c r="A784" s="4"/>
      <c r="C784" s="4"/>
      <c r="D784" s="4"/>
      <c r="E784" s="8"/>
      <c r="F784" s="8"/>
      <c r="G784" s="8"/>
      <c r="H784" s="9"/>
    </row>
    <row r="785">
      <c r="A785" s="4"/>
      <c r="C785" s="4"/>
      <c r="D785" s="4"/>
      <c r="E785" s="8"/>
      <c r="F785" s="8"/>
      <c r="G785" s="8"/>
      <c r="H785" s="9"/>
    </row>
    <row r="786">
      <c r="A786" s="4"/>
      <c r="C786" s="4"/>
      <c r="D786" s="4"/>
      <c r="E786" s="8"/>
      <c r="F786" s="8"/>
      <c r="G786" s="8"/>
      <c r="H786" s="9"/>
    </row>
    <row r="787">
      <c r="A787" s="4"/>
      <c r="C787" s="4"/>
      <c r="D787" s="4"/>
      <c r="E787" s="8"/>
      <c r="F787" s="8"/>
      <c r="G787" s="8"/>
      <c r="H787" s="9"/>
    </row>
    <row r="788">
      <c r="A788" s="4"/>
      <c r="C788" s="4"/>
      <c r="D788" s="4"/>
      <c r="E788" s="8"/>
      <c r="F788" s="8"/>
      <c r="G788" s="8"/>
      <c r="H788" s="9"/>
    </row>
    <row r="789">
      <c r="A789" s="4"/>
      <c r="C789" s="4"/>
      <c r="D789" s="4"/>
      <c r="E789" s="8"/>
      <c r="F789" s="8"/>
      <c r="G789" s="8"/>
      <c r="H789" s="9"/>
    </row>
    <row r="790">
      <c r="A790" s="4"/>
      <c r="C790" s="4"/>
      <c r="D790" s="4"/>
      <c r="E790" s="8"/>
      <c r="F790" s="8"/>
      <c r="G790" s="8"/>
      <c r="H790" s="9"/>
    </row>
    <row r="791">
      <c r="A791" s="4"/>
      <c r="C791" s="4"/>
      <c r="D791" s="4"/>
      <c r="E791" s="8"/>
      <c r="F791" s="8"/>
      <c r="G791" s="8"/>
      <c r="H791" s="9"/>
    </row>
    <row r="792">
      <c r="A792" s="4"/>
      <c r="C792" s="4"/>
      <c r="D792" s="4"/>
      <c r="E792" s="8"/>
      <c r="F792" s="8"/>
      <c r="G792" s="8"/>
      <c r="H792" s="9"/>
    </row>
    <row r="793">
      <c r="A793" s="4"/>
      <c r="C793" s="4"/>
      <c r="D793" s="4"/>
      <c r="E793" s="8"/>
      <c r="F793" s="8"/>
      <c r="G793" s="8"/>
      <c r="H793" s="9"/>
    </row>
    <row r="794">
      <c r="A794" s="4"/>
      <c r="C794" s="4"/>
      <c r="D794" s="4"/>
      <c r="E794" s="8"/>
      <c r="F794" s="8"/>
      <c r="G794" s="8"/>
      <c r="H794" s="9"/>
    </row>
    <row r="795">
      <c r="A795" s="4"/>
      <c r="C795" s="4"/>
      <c r="D795" s="4"/>
      <c r="E795" s="8"/>
      <c r="F795" s="8"/>
      <c r="G795" s="8"/>
      <c r="H795" s="9"/>
    </row>
    <row r="796">
      <c r="A796" s="4"/>
      <c r="C796" s="4"/>
      <c r="D796" s="4"/>
      <c r="E796" s="8"/>
      <c r="F796" s="8"/>
      <c r="G796" s="8"/>
      <c r="H796" s="9"/>
    </row>
    <row r="797">
      <c r="A797" s="4"/>
      <c r="C797" s="4"/>
      <c r="D797" s="4"/>
      <c r="E797" s="8"/>
      <c r="F797" s="8"/>
      <c r="G797" s="8"/>
      <c r="H797" s="9"/>
    </row>
    <row r="798">
      <c r="A798" s="4"/>
      <c r="C798" s="4"/>
      <c r="D798" s="4"/>
      <c r="E798" s="8"/>
      <c r="F798" s="8"/>
      <c r="G798" s="8"/>
      <c r="H798" s="9"/>
    </row>
    <row r="799">
      <c r="A799" s="4"/>
      <c r="C799" s="4"/>
      <c r="D799" s="4"/>
      <c r="E799" s="8"/>
      <c r="F799" s="8"/>
      <c r="G799" s="8"/>
      <c r="H799" s="9"/>
    </row>
    <row r="800">
      <c r="A800" s="4"/>
      <c r="C800" s="4"/>
      <c r="D800" s="4"/>
      <c r="E800" s="8"/>
      <c r="F800" s="8"/>
      <c r="G800" s="8"/>
      <c r="H800" s="9"/>
    </row>
    <row r="801">
      <c r="A801" s="4"/>
      <c r="C801" s="4"/>
      <c r="D801" s="4"/>
      <c r="E801" s="8"/>
      <c r="F801" s="8"/>
      <c r="G801" s="8"/>
      <c r="H801" s="9"/>
    </row>
    <row r="802">
      <c r="A802" s="4"/>
      <c r="C802" s="4"/>
      <c r="D802" s="4"/>
      <c r="E802" s="8"/>
      <c r="F802" s="8"/>
      <c r="G802" s="8"/>
      <c r="H802" s="9"/>
    </row>
    <row r="803">
      <c r="A803" s="4"/>
      <c r="C803" s="4"/>
      <c r="D803" s="4"/>
      <c r="E803" s="8"/>
      <c r="F803" s="8"/>
      <c r="G803" s="8"/>
      <c r="H803" s="9"/>
    </row>
    <row r="804">
      <c r="A804" s="4"/>
      <c r="C804" s="4"/>
      <c r="D804" s="4"/>
      <c r="E804" s="8"/>
      <c r="F804" s="8"/>
      <c r="G804" s="8"/>
      <c r="H804" s="9"/>
    </row>
    <row r="805">
      <c r="A805" s="4"/>
      <c r="C805" s="4"/>
      <c r="D805" s="4"/>
      <c r="E805" s="8"/>
      <c r="F805" s="8"/>
      <c r="G805" s="8"/>
      <c r="H805" s="9"/>
    </row>
    <row r="806">
      <c r="A806" s="4"/>
      <c r="C806" s="4"/>
      <c r="D806" s="4"/>
      <c r="E806" s="8"/>
      <c r="F806" s="8"/>
      <c r="G806" s="8"/>
      <c r="H806" s="9"/>
    </row>
    <row r="807">
      <c r="A807" s="4"/>
      <c r="C807" s="4"/>
      <c r="D807" s="4"/>
      <c r="E807" s="8"/>
      <c r="F807" s="8"/>
      <c r="G807" s="8"/>
      <c r="H807" s="9"/>
    </row>
    <row r="808">
      <c r="A808" s="4"/>
      <c r="C808" s="4"/>
      <c r="D808" s="4"/>
      <c r="E808" s="8"/>
      <c r="F808" s="8"/>
      <c r="G808" s="8"/>
      <c r="H808" s="9"/>
    </row>
    <row r="809">
      <c r="A809" s="4"/>
      <c r="C809" s="4"/>
      <c r="D809" s="4"/>
      <c r="E809" s="8"/>
      <c r="F809" s="8"/>
      <c r="G809" s="8"/>
      <c r="H809" s="9"/>
    </row>
    <row r="810">
      <c r="A810" s="4"/>
      <c r="C810" s="4"/>
      <c r="D810" s="4"/>
      <c r="E810" s="8"/>
      <c r="F810" s="8"/>
      <c r="G810" s="8"/>
      <c r="H810" s="9"/>
    </row>
    <row r="811">
      <c r="A811" s="4"/>
      <c r="C811" s="4"/>
      <c r="D811" s="4"/>
      <c r="E811" s="8"/>
      <c r="F811" s="8"/>
      <c r="G811" s="8"/>
      <c r="H811" s="9"/>
    </row>
    <row r="812">
      <c r="A812" s="4"/>
      <c r="C812" s="4"/>
      <c r="D812" s="4"/>
      <c r="E812" s="8"/>
      <c r="F812" s="8"/>
      <c r="G812" s="8"/>
      <c r="H812" s="9"/>
    </row>
    <row r="813">
      <c r="A813" s="4"/>
      <c r="C813" s="4"/>
      <c r="D813" s="4"/>
      <c r="E813" s="8"/>
      <c r="F813" s="8"/>
      <c r="G813" s="8"/>
      <c r="H813" s="9"/>
    </row>
    <row r="814">
      <c r="A814" s="4"/>
      <c r="C814" s="4"/>
      <c r="D814" s="4"/>
      <c r="E814" s="8"/>
      <c r="F814" s="8"/>
      <c r="G814" s="8"/>
      <c r="H814" s="9"/>
    </row>
    <row r="815">
      <c r="A815" s="4"/>
      <c r="C815" s="4"/>
      <c r="D815" s="4"/>
      <c r="E815" s="8"/>
      <c r="F815" s="8"/>
      <c r="G815" s="8"/>
      <c r="H815" s="9"/>
    </row>
    <row r="816">
      <c r="A816" s="4"/>
      <c r="C816" s="4"/>
      <c r="D816" s="4"/>
      <c r="E816" s="8"/>
      <c r="F816" s="8"/>
      <c r="G816" s="8"/>
      <c r="H816" s="9"/>
    </row>
    <row r="817">
      <c r="A817" s="4"/>
      <c r="C817" s="4"/>
      <c r="D817" s="4"/>
      <c r="E817" s="8"/>
      <c r="F817" s="8"/>
      <c r="G817" s="8"/>
      <c r="H817" s="9"/>
    </row>
    <row r="818">
      <c r="A818" s="4"/>
      <c r="C818" s="4"/>
      <c r="D818" s="4"/>
      <c r="E818" s="8"/>
      <c r="F818" s="8"/>
      <c r="G818" s="8"/>
      <c r="H818" s="9"/>
    </row>
    <row r="819">
      <c r="A819" s="4"/>
      <c r="C819" s="4"/>
      <c r="D819" s="4"/>
      <c r="E819" s="8"/>
      <c r="F819" s="8"/>
      <c r="G819" s="8"/>
      <c r="H819" s="9"/>
    </row>
    <row r="820">
      <c r="A820" s="4"/>
      <c r="C820" s="4"/>
      <c r="D820" s="4"/>
      <c r="E820" s="8"/>
      <c r="F820" s="8"/>
      <c r="G820" s="8"/>
      <c r="H820" s="9"/>
    </row>
    <row r="821">
      <c r="A821" s="4"/>
      <c r="C821" s="4"/>
      <c r="D821" s="4"/>
      <c r="E821" s="8"/>
      <c r="F821" s="8"/>
      <c r="G821" s="8"/>
      <c r="H821" s="9"/>
    </row>
    <row r="822">
      <c r="A822" s="4"/>
      <c r="C822" s="4"/>
      <c r="D822" s="4"/>
      <c r="E822" s="8"/>
      <c r="F822" s="8"/>
      <c r="G822" s="8"/>
      <c r="H822" s="9"/>
    </row>
    <row r="823">
      <c r="A823" s="4"/>
      <c r="C823" s="4"/>
      <c r="D823" s="4"/>
      <c r="E823" s="8"/>
      <c r="F823" s="8"/>
      <c r="G823" s="8"/>
      <c r="H823" s="9"/>
    </row>
    <row r="824">
      <c r="A824" s="4"/>
      <c r="C824" s="4"/>
      <c r="D824" s="4"/>
      <c r="E824" s="8"/>
      <c r="F824" s="8"/>
      <c r="G824" s="8"/>
      <c r="H824" s="9"/>
    </row>
    <row r="825">
      <c r="A825" s="4"/>
      <c r="C825" s="4"/>
      <c r="D825" s="4"/>
      <c r="E825" s="8"/>
      <c r="F825" s="8"/>
      <c r="G825" s="8"/>
      <c r="H825" s="9"/>
    </row>
    <row r="826">
      <c r="A826" s="4"/>
      <c r="C826" s="4"/>
      <c r="D826" s="4"/>
      <c r="E826" s="8"/>
      <c r="F826" s="8"/>
      <c r="G826" s="8"/>
      <c r="H826" s="9"/>
    </row>
    <row r="827">
      <c r="A827" s="4"/>
      <c r="C827" s="4"/>
      <c r="D827" s="4"/>
      <c r="E827" s="8"/>
      <c r="F827" s="8"/>
      <c r="G827" s="8"/>
      <c r="H827" s="9"/>
    </row>
    <row r="828">
      <c r="A828" s="4"/>
      <c r="C828" s="4"/>
      <c r="D828" s="4"/>
      <c r="E828" s="8"/>
      <c r="F828" s="8"/>
      <c r="G828" s="8"/>
      <c r="H828" s="9"/>
    </row>
    <row r="829">
      <c r="A829" s="4"/>
      <c r="C829" s="4"/>
      <c r="D829" s="4"/>
      <c r="E829" s="8"/>
      <c r="F829" s="8"/>
      <c r="G829" s="8"/>
      <c r="H829" s="9"/>
    </row>
    <row r="830">
      <c r="A830" s="4"/>
      <c r="C830" s="4"/>
      <c r="D830" s="4"/>
      <c r="E830" s="8"/>
      <c r="F830" s="8"/>
      <c r="G830" s="8"/>
      <c r="H830" s="9"/>
    </row>
    <row r="831">
      <c r="A831" s="4"/>
      <c r="C831" s="4"/>
      <c r="D831" s="4"/>
      <c r="E831" s="8"/>
      <c r="F831" s="8"/>
      <c r="G831" s="8"/>
      <c r="H831" s="9"/>
    </row>
    <row r="832">
      <c r="A832" s="4"/>
      <c r="C832" s="4"/>
      <c r="D832" s="4"/>
      <c r="E832" s="8"/>
      <c r="F832" s="8"/>
      <c r="G832" s="8"/>
      <c r="H832" s="9"/>
    </row>
    <row r="833">
      <c r="A833" s="4"/>
      <c r="C833" s="4"/>
      <c r="D833" s="4"/>
      <c r="E833" s="8"/>
      <c r="F833" s="8"/>
      <c r="G833" s="8"/>
      <c r="H833" s="9"/>
    </row>
    <row r="834">
      <c r="A834" s="4"/>
      <c r="C834" s="4"/>
      <c r="D834" s="4"/>
      <c r="E834" s="8"/>
      <c r="F834" s="8"/>
      <c r="G834" s="8"/>
      <c r="H834" s="9"/>
    </row>
    <row r="835">
      <c r="A835" s="4"/>
      <c r="C835" s="4"/>
      <c r="D835" s="4"/>
      <c r="E835" s="8"/>
      <c r="F835" s="8"/>
      <c r="G835" s="8"/>
      <c r="H835" s="9"/>
    </row>
    <row r="836">
      <c r="A836" s="4"/>
      <c r="C836" s="4"/>
      <c r="D836" s="4"/>
      <c r="E836" s="8"/>
      <c r="F836" s="8"/>
      <c r="G836" s="8"/>
      <c r="H836" s="9"/>
    </row>
    <row r="837">
      <c r="A837" s="4"/>
      <c r="C837" s="4"/>
      <c r="D837" s="4"/>
      <c r="E837" s="8"/>
      <c r="F837" s="8"/>
      <c r="G837" s="8"/>
      <c r="H837" s="9"/>
    </row>
    <row r="838">
      <c r="A838" s="4"/>
      <c r="C838" s="4"/>
      <c r="D838" s="4"/>
      <c r="E838" s="8"/>
      <c r="F838" s="8"/>
      <c r="G838" s="8"/>
      <c r="H838" s="9"/>
    </row>
    <row r="839">
      <c r="A839" s="4"/>
      <c r="C839" s="4"/>
      <c r="D839" s="4"/>
      <c r="E839" s="8"/>
      <c r="F839" s="8"/>
      <c r="G839" s="8"/>
      <c r="H839" s="9"/>
    </row>
    <row r="840">
      <c r="A840" s="4"/>
      <c r="C840" s="4"/>
      <c r="D840" s="4"/>
      <c r="E840" s="8"/>
      <c r="F840" s="8"/>
      <c r="G840" s="8"/>
      <c r="H840" s="9"/>
    </row>
    <row r="841">
      <c r="A841" s="4"/>
      <c r="C841" s="4"/>
      <c r="D841" s="4"/>
      <c r="E841" s="8"/>
      <c r="F841" s="8"/>
      <c r="G841" s="8"/>
      <c r="H841" s="9"/>
    </row>
    <row r="842">
      <c r="A842" s="4"/>
      <c r="C842" s="4"/>
      <c r="D842" s="4"/>
      <c r="E842" s="8"/>
      <c r="F842" s="8"/>
      <c r="G842" s="8"/>
      <c r="H842" s="9"/>
    </row>
    <row r="843">
      <c r="A843" s="4"/>
      <c r="C843" s="4"/>
      <c r="D843" s="4"/>
      <c r="E843" s="8"/>
      <c r="F843" s="8"/>
      <c r="G843" s="8"/>
      <c r="H843" s="9"/>
    </row>
    <row r="844">
      <c r="A844" s="4"/>
      <c r="C844" s="4"/>
      <c r="D844" s="4"/>
      <c r="E844" s="8"/>
      <c r="F844" s="8"/>
      <c r="G844" s="8"/>
      <c r="H844" s="9"/>
    </row>
    <row r="845">
      <c r="A845" s="4"/>
      <c r="C845" s="4"/>
      <c r="D845" s="4"/>
      <c r="E845" s="8"/>
      <c r="F845" s="8"/>
      <c r="G845" s="8"/>
      <c r="H845" s="9"/>
    </row>
    <row r="846">
      <c r="A846" s="4"/>
      <c r="C846" s="4"/>
      <c r="D846" s="4"/>
      <c r="E846" s="8"/>
      <c r="F846" s="8"/>
      <c r="G846" s="8"/>
      <c r="H846" s="9"/>
    </row>
    <row r="847">
      <c r="A847" s="4"/>
      <c r="C847" s="4"/>
      <c r="D847" s="4"/>
      <c r="E847" s="8"/>
      <c r="F847" s="8"/>
      <c r="G847" s="8"/>
      <c r="H847" s="9"/>
    </row>
    <row r="848">
      <c r="A848" s="4"/>
      <c r="C848" s="4"/>
      <c r="D848" s="4"/>
      <c r="E848" s="8"/>
      <c r="F848" s="8"/>
      <c r="G848" s="8"/>
      <c r="H848" s="9"/>
    </row>
    <row r="849">
      <c r="A849" s="4"/>
      <c r="C849" s="4"/>
      <c r="D849" s="4"/>
      <c r="E849" s="8"/>
      <c r="F849" s="8"/>
      <c r="G849" s="8"/>
      <c r="H849" s="9"/>
    </row>
    <row r="850">
      <c r="A850" s="4"/>
      <c r="C850" s="4"/>
      <c r="D850" s="4"/>
      <c r="E850" s="8"/>
      <c r="F850" s="8"/>
      <c r="G850" s="8"/>
      <c r="H850" s="9"/>
    </row>
    <row r="851">
      <c r="A851" s="4"/>
      <c r="C851" s="4"/>
      <c r="D851" s="4"/>
      <c r="E851" s="8"/>
      <c r="F851" s="8"/>
      <c r="G851" s="8"/>
      <c r="H851" s="9"/>
    </row>
    <row r="852">
      <c r="A852" s="4"/>
      <c r="C852" s="4"/>
      <c r="D852" s="4"/>
      <c r="E852" s="8"/>
      <c r="F852" s="8"/>
      <c r="G852" s="8"/>
      <c r="H852" s="9"/>
    </row>
    <row r="853">
      <c r="A853" s="4"/>
      <c r="C853" s="4"/>
      <c r="D853" s="4"/>
      <c r="E853" s="8"/>
      <c r="F853" s="8"/>
      <c r="G853" s="8"/>
      <c r="H853" s="9"/>
    </row>
    <row r="854">
      <c r="A854" s="4"/>
      <c r="C854" s="4"/>
      <c r="D854" s="4"/>
      <c r="E854" s="8"/>
      <c r="F854" s="8"/>
      <c r="G854" s="8"/>
      <c r="H854" s="9"/>
    </row>
    <row r="855">
      <c r="A855" s="4"/>
      <c r="C855" s="4"/>
      <c r="D855" s="4"/>
      <c r="E855" s="8"/>
      <c r="F855" s="8"/>
      <c r="G855" s="8"/>
      <c r="H855" s="9"/>
    </row>
    <row r="856">
      <c r="A856" s="4"/>
      <c r="C856" s="4"/>
      <c r="D856" s="4"/>
      <c r="E856" s="8"/>
      <c r="F856" s="8"/>
      <c r="G856" s="8"/>
      <c r="H856" s="9"/>
    </row>
    <row r="857">
      <c r="A857" s="4"/>
      <c r="C857" s="4"/>
      <c r="D857" s="4"/>
      <c r="E857" s="8"/>
      <c r="F857" s="8"/>
      <c r="G857" s="8"/>
      <c r="H857" s="9"/>
    </row>
    <row r="858">
      <c r="A858" s="4"/>
      <c r="C858" s="4"/>
      <c r="D858" s="4"/>
      <c r="E858" s="8"/>
      <c r="F858" s="8"/>
      <c r="G858" s="8"/>
      <c r="H858" s="9"/>
    </row>
    <row r="859">
      <c r="A859" s="4"/>
      <c r="C859" s="4"/>
      <c r="D859" s="4"/>
      <c r="E859" s="8"/>
      <c r="F859" s="8"/>
      <c r="G859" s="8"/>
      <c r="H859" s="9"/>
    </row>
    <row r="860">
      <c r="A860" s="4"/>
      <c r="C860" s="4"/>
      <c r="D860" s="4"/>
      <c r="E860" s="8"/>
      <c r="F860" s="8"/>
      <c r="G860" s="8"/>
      <c r="H860" s="9"/>
    </row>
    <row r="861">
      <c r="A861" s="4"/>
      <c r="C861" s="4"/>
      <c r="D861" s="4"/>
      <c r="E861" s="8"/>
      <c r="F861" s="8"/>
      <c r="G861" s="8"/>
      <c r="H861" s="9"/>
    </row>
    <row r="862">
      <c r="A862" s="4"/>
      <c r="C862" s="4"/>
      <c r="D862" s="4"/>
      <c r="E862" s="8"/>
      <c r="F862" s="8"/>
      <c r="G862" s="8"/>
      <c r="H862" s="9"/>
    </row>
    <row r="863">
      <c r="A863" s="4"/>
      <c r="C863" s="4"/>
      <c r="D863" s="4"/>
      <c r="E863" s="8"/>
      <c r="F863" s="8"/>
      <c r="G863" s="8"/>
      <c r="H863" s="9"/>
    </row>
    <row r="864">
      <c r="A864" s="4"/>
      <c r="C864" s="4"/>
      <c r="D864" s="4"/>
      <c r="E864" s="8"/>
      <c r="F864" s="8"/>
      <c r="G864" s="8"/>
      <c r="H864" s="9"/>
    </row>
    <row r="865">
      <c r="A865" s="4"/>
      <c r="C865" s="4"/>
      <c r="D865" s="4"/>
      <c r="E865" s="8"/>
      <c r="F865" s="8"/>
      <c r="G865" s="8"/>
      <c r="H865" s="9"/>
    </row>
    <row r="866">
      <c r="A866" s="4"/>
      <c r="C866" s="4"/>
      <c r="D866" s="4"/>
      <c r="E866" s="8"/>
      <c r="F866" s="8"/>
      <c r="G866" s="8"/>
      <c r="H866" s="9"/>
    </row>
    <row r="867">
      <c r="A867" s="4"/>
      <c r="C867" s="4"/>
      <c r="D867" s="4"/>
      <c r="E867" s="8"/>
      <c r="F867" s="8"/>
      <c r="G867" s="8"/>
      <c r="H867" s="9"/>
    </row>
    <row r="868">
      <c r="A868" s="4"/>
      <c r="C868" s="4"/>
      <c r="D868" s="4"/>
      <c r="E868" s="8"/>
      <c r="F868" s="8"/>
      <c r="G868" s="8"/>
      <c r="H868" s="9"/>
    </row>
    <row r="869">
      <c r="A869" s="4"/>
      <c r="C869" s="4"/>
      <c r="D869" s="4"/>
      <c r="E869" s="8"/>
      <c r="F869" s="8"/>
      <c r="G869" s="8"/>
      <c r="H869" s="9"/>
    </row>
    <row r="870">
      <c r="A870" s="4"/>
      <c r="C870" s="4"/>
      <c r="D870" s="4"/>
      <c r="E870" s="8"/>
      <c r="F870" s="8"/>
      <c r="G870" s="8"/>
      <c r="H870" s="9"/>
    </row>
    <row r="871">
      <c r="A871" s="4"/>
      <c r="C871" s="4"/>
      <c r="D871" s="4"/>
      <c r="E871" s="8"/>
      <c r="F871" s="8"/>
      <c r="G871" s="8"/>
      <c r="H871" s="9"/>
    </row>
    <row r="872">
      <c r="A872" s="4"/>
      <c r="C872" s="4"/>
      <c r="D872" s="4"/>
      <c r="E872" s="8"/>
      <c r="F872" s="8"/>
      <c r="G872" s="8"/>
      <c r="H872" s="9"/>
    </row>
    <row r="873">
      <c r="A873" s="4"/>
      <c r="C873" s="4"/>
      <c r="D873" s="4"/>
      <c r="E873" s="8"/>
      <c r="F873" s="8"/>
      <c r="G873" s="8"/>
      <c r="H873" s="9"/>
    </row>
    <row r="874">
      <c r="A874" s="4"/>
      <c r="C874" s="4"/>
      <c r="D874" s="4"/>
      <c r="E874" s="8"/>
      <c r="F874" s="8"/>
      <c r="G874" s="8"/>
      <c r="H874" s="9"/>
    </row>
    <row r="875">
      <c r="A875" s="4"/>
      <c r="C875" s="4"/>
      <c r="D875" s="4"/>
      <c r="E875" s="8"/>
      <c r="F875" s="8"/>
      <c r="G875" s="8"/>
      <c r="H875" s="9"/>
    </row>
    <row r="876">
      <c r="A876" s="4"/>
      <c r="C876" s="4"/>
      <c r="D876" s="4"/>
      <c r="E876" s="8"/>
      <c r="F876" s="8"/>
      <c r="G876" s="8"/>
      <c r="H876" s="9"/>
    </row>
    <row r="877">
      <c r="A877" s="4"/>
      <c r="C877" s="4"/>
      <c r="D877" s="4"/>
      <c r="E877" s="8"/>
      <c r="F877" s="8"/>
      <c r="G877" s="8"/>
      <c r="H877" s="9"/>
    </row>
    <row r="878">
      <c r="A878" s="4"/>
      <c r="C878" s="4"/>
      <c r="D878" s="4"/>
      <c r="E878" s="8"/>
      <c r="F878" s="8"/>
      <c r="G878" s="8"/>
      <c r="H878" s="9"/>
    </row>
    <row r="879">
      <c r="A879" s="4"/>
      <c r="C879" s="4"/>
      <c r="D879" s="4"/>
      <c r="E879" s="8"/>
      <c r="F879" s="8"/>
      <c r="G879" s="8"/>
      <c r="H879" s="9"/>
    </row>
    <row r="880">
      <c r="A880" s="4"/>
      <c r="C880" s="4"/>
      <c r="D880" s="4"/>
      <c r="E880" s="8"/>
      <c r="F880" s="8"/>
      <c r="G880" s="8"/>
      <c r="H880" s="9"/>
    </row>
    <row r="881">
      <c r="A881" s="4"/>
      <c r="C881" s="4"/>
      <c r="D881" s="4"/>
      <c r="E881" s="8"/>
      <c r="F881" s="8"/>
      <c r="G881" s="8"/>
      <c r="H881" s="9"/>
    </row>
    <row r="882">
      <c r="A882" s="4"/>
      <c r="C882" s="4"/>
      <c r="D882" s="4"/>
      <c r="E882" s="8"/>
      <c r="F882" s="8"/>
      <c r="G882" s="8"/>
      <c r="H882" s="9"/>
    </row>
    <row r="883">
      <c r="A883" s="4"/>
      <c r="C883" s="4"/>
      <c r="D883" s="4"/>
      <c r="E883" s="8"/>
      <c r="F883" s="8"/>
      <c r="G883" s="8"/>
      <c r="H883" s="9"/>
    </row>
    <row r="884">
      <c r="A884" s="4"/>
      <c r="C884" s="4"/>
      <c r="D884" s="4"/>
      <c r="E884" s="8"/>
      <c r="F884" s="8"/>
      <c r="G884" s="8"/>
      <c r="H884" s="9"/>
    </row>
    <row r="885">
      <c r="A885" s="4"/>
      <c r="C885" s="4"/>
      <c r="D885" s="4"/>
      <c r="E885" s="8"/>
      <c r="F885" s="8"/>
      <c r="G885" s="8"/>
      <c r="H885" s="9"/>
    </row>
    <row r="886">
      <c r="A886" s="4"/>
      <c r="C886" s="4"/>
      <c r="D886" s="4"/>
      <c r="E886" s="8"/>
      <c r="F886" s="8"/>
      <c r="G886" s="8"/>
      <c r="H886" s="9"/>
    </row>
    <row r="887">
      <c r="A887" s="4"/>
      <c r="C887" s="4"/>
      <c r="D887" s="4"/>
      <c r="E887" s="8"/>
      <c r="F887" s="8"/>
      <c r="G887" s="8"/>
      <c r="H887" s="9"/>
    </row>
    <row r="888">
      <c r="A888" s="4"/>
      <c r="C888" s="4"/>
      <c r="D888" s="4"/>
      <c r="E888" s="8"/>
      <c r="F888" s="8"/>
      <c r="G888" s="8"/>
      <c r="H888" s="9"/>
    </row>
    <row r="889">
      <c r="A889" s="4"/>
      <c r="C889" s="4"/>
      <c r="D889" s="4"/>
      <c r="E889" s="8"/>
      <c r="F889" s="8"/>
      <c r="G889" s="8"/>
      <c r="H889" s="9"/>
    </row>
    <row r="890">
      <c r="A890" s="4"/>
      <c r="C890" s="4"/>
      <c r="D890" s="4"/>
      <c r="E890" s="8"/>
      <c r="F890" s="8"/>
      <c r="G890" s="8"/>
      <c r="H890" s="9"/>
    </row>
    <row r="891">
      <c r="A891" s="4"/>
      <c r="C891" s="4"/>
      <c r="D891" s="4"/>
      <c r="E891" s="8"/>
      <c r="F891" s="8"/>
      <c r="G891" s="8"/>
      <c r="H891" s="9"/>
    </row>
    <row r="892">
      <c r="A892" s="4"/>
      <c r="C892" s="4"/>
      <c r="D892" s="4"/>
      <c r="E892" s="8"/>
      <c r="F892" s="8"/>
      <c r="G892" s="8"/>
      <c r="H892" s="9"/>
    </row>
    <row r="893">
      <c r="A893" s="4"/>
      <c r="C893" s="4"/>
      <c r="D893" s="4"/>
      <c r="E893" s="8"/>
      <c r="F893" s="8"/>
      <c r="G893" s="8"/>
      <c r="H893" s="9"/>
    </row>
    <row r="894">
      <c r="A894" s="4"/>
      <c r="C894" s="4"/>
      <c r="D894" s="4"/>
      <c r="E894" s="8"/>
      <c r="F894" s="8"/>
      <c r="G894" s="8"/>
      <c r="H894" s="9"/>
    </row>
    <row r="895">
      <c r="A895" s="4"/>
      <c r="C895" s="4"/>
      <c r="D895" s="4"/>
      <c r="E895" s="8"/>
      <c r="F895" s="8"/>
      <c r="G895" s="8"/>
      <c r="H895" s="9"/>
    </row>
    <row r="896">
      <c r="A896" s="4"/>
      <c r="C896" s="4"/>
      <c r="D896" s="4"/>
      <c r="E896" s="8"/>
      <c r="F896" s="8"/>
      <c r="G896" s="8"/>
      <c r="H896" s="9"/>
    </row>
    <row r="897">
      <c r="A897" s="4"/>
      <c r="C897" s="4"/>
      <c r="D897" s="4"/>
      <c r="E897" s="8"/>
      <c r="F897" s="8"/>
      <c r="G897" s="8"/>
      <c r="H897" s="9"/>
    </row>
    <row r="898">
      <c r="A898" s="4"/>
      <c r="C898" s="4"/>
      <c r="D898" s="4"/>
      <c r="E898" s="8"/>
      <c r="F898" s="8"/>
      <c r="G898" s="8"/>
      <c r="H898" s="9"/>
    </row>
    <row r="899">
      <c r="A899" s="4"/>
      <c r="C899" s="4"/>
      <c r="D899" s="4"/>
      <c r="E899" s="8"/>
      <c r="F899" s="8"/>
      <c r="G899" s="8"/>
      <c r="H899" s="9"/>
    </row>
    <row r="900">
      <c r="A900" s="4"/>
      <c r="C900" s="4"/>
      <c r="D900" s="4"/>
      <c r="E900" s="8"/>
      <c r="F900" s="8"/>
      <c r="G900" s="8"/>
      <c r="H900" s="9"/>
    </row>
    <row r="901">
      <c r="A901" s="4"/>
      <c r="C901" s="4"/>
      <c r="D901" s="4"/>
      <c r="E901" s="8"/>
      <c r="F901" s="8"/>
      <c r="G901" s="8"/>
      <c r="H901" s="9"/>
    </row>
    <row r="902">
      <c r="A902" s="4"/>
      <c r="C902" s="4"/>
      <c r="D902" s="4"/>
      <c r="E902" s="8"/>
      <c r="F902" s="8"/>
      <c r="G902" s="8"/>
      <c r="H902" s="9"/>
    </row>
    <row r="903">
      <c r="A903" s="4"/>
      <c r="C903" s="4"/>
      <c r="D903" s="4"/>
      <c r="E903" s="8"/>
      <c r="F903" s="8"/>
      <c r="G903" s="8"/>
      <c r="H903" s="9"/>
    </row>
    <row r="904">
      <c r="A904" s="4"/>
      <c r="C904" s="4"/>
      <c r="D904" s="4"/>
      <c r="E904" s="8"/>
      <c r="F904" s="8"/>
      <c r="G904" s="8"/>
      <c r="H904" s="9"/>
    </row>
    <row r="905">
      <c r="A905" s="4"/>
      <c r="C905" s="4"/>
      <c r="D905" s="4"/>
      <c r="E905" s="8"/>
      <c r="F905" s="8"/>
      <c r="G905" s="8"/>
      <c r="H905" s="9"/>
    </row>
    <row r="906">
      <c r="A906" s="4"/>
      <c r="C906" s="4"/>
      <c r="D906" s="4"/>
      <c r="E906" s="8"/>
      <c r="F906" s="8"/>
      <c r="G906" s="8"/>
      <c r="H906" s="9"/>
    </row>
    <row r="907">
      <c r="A907" s="4"/>
      <c r="C907" s="4"/>
      <c r="D907" s="4"/>
      <c r="E907" s="8"/>
      <c r="F907" s="8"/>
      <c r="G907" s="8"/>
      <c r="H907" s="9"/>
    </row>
    <row r="908">
      <c r="A908" s="4"/>
      <c r="C908" s="4"/>
      <c r="D908" s="4"/>
      <c r="E908" s="8"/>
      <c r="F908" s="8"/>
      <c r="G908" s="8"/>
      <c r="H908" s="9"/>
    </row>
    <row r="909">
      <c r="A909" s="4"/>
      <c r="C909" s="4"/>
      <c r="D909" s="4"/>
      <c r="E909" s="8"/>
      <c r="F909" s="8"/>
      <c r="G909" s="8"/>
      <c r="H909" s="9"/>
    </row>
    <row r="910">
      <c r="A910" s="4"/>
      <c r="C910" s="4"/>
      <c r="D910" s="4"/>
      <c r="E910" s="8"/>
      <c r="F910" s="8"/>
      <c r="G910" s="8"/>
      <c r="H910" s="9"/>
    </row>
    <row r="911">
      <c r="A911" s="4"/>
      <c r="C911" s="4"/>
      <c r="D911" s="4"/>
      <c r="E911" s="8"/>
      <c r="F911" s="8"/>
      <c r="G911" s="8"/>
      <c r="H911" s="9"/>
    </row>
    <row r="912">
      <c r="A912" s="4"/>
      <c r="C912" s="4"/>
      <c r="D912" s="4"/>
      <c r="E912" s="8"/>
      <c r="F912" s="8"/>
      <c r="G912" s="8"/>
      <c r="H912" s="9"/>
    </row>
    <row r="913">
      <c r="A913" s="4"/>
      <c r="C913" s="4"/>
      <c r="D913" s="4"/>
      <c r="E913" s="8"/>
      <c r="F913" s="8"/>
      <c r="G913" s="8"/>
      <c r="H913" s="9"/>
    </row>
    <row r="914">
      <c r="A914" s="4"/>
      <c r="C914" s="4"/>
      <c r="D914" s="4"/>
      <c r="E914" s="8"/>
      <c r="F914" s="8"/>
      <c r="G914" s="8"/>
      <c r="H914" s="9"/>
    </row>
    <row r="915">
      <c r="A915" s="4"/>
      <c r="C915" s="4"/>
      <c r="D915" s="4"/>
      <c r="E915" s="8"/>
      <c r="F915" s="8"/>
      <c r="G915" s="8"/>
      <c r="H915" s="9"/>
    </row>
    <row r="916">
      <c r="A916" s="4"/>
      <c r="C916" s="4"/>
      <c r="D916" s="4"/>
      <c r="E916" s="8"/>
      <c r="F916" s="8"/>
      <c r="G916" s="8"/>
      <c r="H916" s="9"/>
    </row>
    <row r="917">
      <c r="A917" s="4"/>
      <c r="C917" s="4"/>
      <c r="D917" s="4"/>
      <c r="E917" s="8"/>
      <c r="F917" s="8"/>
      <c r="G917" s="8"/>
      <c r="H917" s="9"/>
    </row>
    <row r="918">
      <c r="A918" s="4"/>
      <c r="C918" s="4"/>
      <c r="D918" s="4"/>
      <c r="E918" s="8"/>
      <c r="F918" s="8"/>
      <c r="G918" s="8"/>
      <c r="H918" s="9"/>
    </row>
    <row r="919">
      <c r="A919" s="4"/>
      <c r="C919" s="4"/>
      <c r="D919" s="4"/>
      <c r="E919" s="8"/>
      <c r="F919" s="8"/>
      <c r="G919" s="8"/>
      <c r="H919" s="9"/>
    </row>
    <row r="920">
      <c r="A920" s="4"/>
      <c r="C920" s="4"/>
      <c r="D920" s="4"/>
      <c r="E920" s="8"/>
      <c r="F920" s="8"/>
      <c r="G920" s="8"/>
      <c r="H920" s="9"/>
    </row>
    <row r="921">
      <c r="A921" s="4"/>
      <c r="C921" s="4"/>
      <c r="D921" s="4"/>
      <c r="E921" s="8"/>
      <c r="F921" s="8"/>
      <c r="G921" s="8"/>
      <c r="H921" s="9"/>
    </row>
    <row r="922">
      <c r="A922" s="4"/>
      <c r="C922" s="4"/>
      <c r="D922" s="4"/>
      <c r="E922" s="8"/>
      <c r="F922" s="8"/>
      <c r="G922" s="8"/>
      <c r="H922" s="9"/>
    </row>
    <row r="923">
      <c r="A923" s="4"/>
      <c r="C923" s="4"/>
      <c r="D923" s="4"/>
      <c r="E923" s="8"/>
      <c r="F923" s="8"/>
      <c r="G923" s="8"/>
      <c r="H923" s="9"/>
    </row>
    <row r="924">
      <c r="A924" s="4"/>
      <c r="C924" s="4"/>
      <c r="D924" s="4"/>
      <c r="E924" s="8"/>
      <c r="F924" s="8"/>
      <c r="G924" s="8"/>
      <c r="H924" s="9"/>
    </row>
    <row r="925">
      <c r="A925" s="4"/>
      <c r="C925" s="4"/>
      <c r="D925" s="4"/>
      <c r="E925" s="8"/>
      <c r="F925" s="8"/>
      <c r="G925" s="8"/>
      <c r="H925" s="9"/>
    </row>
    <row r="926">
      <c r="A926" s="4"/>
      <c r="C926" s="4"/>
      <c r="D926" s="4"/>
      <c r="E926" s="8"/>
      <c r="F926" s="8"/>
      <c r="G926" s="8"/>
      <c r="H926" s="9"/>
    </row>
    <row r="927">
      <c r="A927" s="4"/>
      <c r="C927" s="4"/>
      <c r="D927" s="4"/>
      <c r="E927" s="8"/>
      <c r="F927" s="8"/>
      <c r="G927" s="8"/>
      <c r="H927" s="9"/>
    </row>
    <row r="928">
      <c r="A928" s="4"/>
      <c r="C928" s="4"/>
      <c r="D928" s="4"/>
      <c r="E928" s="8"/>
      <c r="F928" s="8"/>
      <c r="G928" s="8"/>
      <c r="H928" s="9"/>
    </row>
    <row r="929">
      <c r="A929" s="4"/>
      <c r="C929" s="4"/>
      <c r="D929" s="4"/>
      <c r="E929" s="8"/>
      <c r="F929" s="8"/>
      <c r="G929" s="8"/>
      <c r="H929" s="9"/>
    </row>
    <row r="930">
      <c r="A930" s="4"/>
      <c r="C930" s="4"/>
      <c r="D930" s="4"/>
      <c r="E930" s="8"/>
      <c r="F930" s="8"/>
      <c r="G930" s="8"/>
      <c r="H930" s="9"/>
    </row>
    <row r="931">
      <c r="A931" s="4"/>
      <c r="C931" s="4"/>
      <c r="D931" s="4"/>
      <c r="E931" s="8"/>
      <c r="F931" s="8"/>
      <c r="G931" s="8"/>
      <c r="H931" s="9"/>
    </row>
    <row r="932">
      <c r="A932" s="4"/>
      <c r="C932" s="4"/>
      <c r="D932" s="4"/>
      <c r="E932" s="8"/>
      <c r="F932" s="8"/>
      <c r="G932" s="8"/>
      <c r="H932" s="9"/>
    </row>
    <row r="933">
      <c r="A933" s="4"/>
      <c r="C933" s="4"/>
      <c r="D933" s="4"/>
      <c r="E933" s="8"/>
      <c r="F933" s="8"/>
      <c r="G933" s="8"/>
      <c r="H933" s="9"/>
    </row>
    <row r="934">
      <c r="A934" s="4"/>
      <c r="C934" s="4"/>
      <c r="D934" s="4"/>
      <c r="E934" s="8"/>
      <c r="F934" s="8"/>
      <c r="G934" s="8"/>
      <c r="H934" s="9"/>
    </row>
    <row r="935">
      <c r="A935" s="4"/>
      <c r="C935" s="4"/>
      <c r="D935" s="4"/>
      <c r="E935" s="8"/>
      <c r="F935" s="8"/>
      <c r="G935" s="8"/>
      <c r="H935" s="9"/>
    </row>
    <row r="936">
      <c r="A936" s="4"/>
      <c r="C936" s="4"/>
      <c r="D936" s="4"/>
      <c r="E936" s="8"/>
      <c r="F936" s="8"/>
      <c r="G936" s="8"/>
      <c r="H936" s="9"/>
    </row>
    <row r="937">
      <c r="A937" s="4"/>
      <c r="C937" s="4"/>
      <c r="D937" s="4"/>
      <c r="E937" s="8"/>
      <c r="F937" s="8"/>
      <c r="G937" s="8"/>
      <c r="H937" s="9"/>
    </row>
    <row r="938">
      <c r="A938" s="4"/>
      <c r="C938" s="4"/>
      <c r="D938" s="4"/>
      <c r="E938" s="8"/>
      <c r="F938" s="8"/>
      <c r="G938" s="8"/>
      <c r="H938" s="9"/>
    </row>
    <row r="939">
      <c r="A939" s="4"/>
      <c r="C939" s="4"/>
      <c r="D939" s="4"/>
      <c r="E939" s="8"/>
      <c r="F939" s="8"/>
      <c r="G939" s="8"/>
      <c r="H939" s="9"/>
    </row>
    <row r="940">
      <c r="A940" s="4"/>
      <c r="C940" s="4"/>
      <c r="D940" s="4"/>
      <c r="E940" s="8"/>
      <c r="F940" s="8"/>
      <c r="G940" s="8"/>
      <c r="H940" s="9"/>
    </row>
    <row r="941">
      <c r="A941" s="4"/>
      <c r="C941" s="4"/>
      <c r="D941" s="4"/>
      <c r="E941" s="8"/>
      <c r="F941" s="8"/>
      <c r="G941" s="8"/>
      <c r="H941" s="9"/>
    </row>
    <row r="942">
      <c r="A942" s="4"/>
      <c r="C942" s="4"/>
      <c r="D942" s="4"/>
      <c r="E942" s="8"/>
      <c r="F942" s="8"/>
      <c r="G942" s="8"/>
      <c r="H942" s="9"/>
    </row>
    <row r="943">
      <c r="A943" s="4"/>
      <c r="C943" s="4"/>
      <c r="D943" s="4"/>
      <c r="E943" s="8"/>
      <c r="F943" s="8"/>
      <c r="G943" s="8"/>
      <c r="H943" s="9"/>
    </row>
    <row r="944">
      <c r="A944" s="4"/>
      <c r="C944" s="4"/>
      <c r="D944" s="4"/>
      <c r="E944" s="8"/>
      <c r="F944" s="8"/>
      <c r="G944" s="8"/>
      <c r="H944" s="9"/>
    </row>
    <row r="945">
      <c r="A945" s="4"/>
      <c r="C945" s="4"/>
      <c r="D945" s="4"/>
      <c r="E945" s="8"/>
      <c r="F945" s="8"/>
      <c r="G945" s="8"/>
      <c r="H945" s="9"/>
    </row>
    <row r="946">
      <c r="A946" s="4"/>
      <c r="C946" s="4"/>
      <c r="D946" s="4"/>
      <c r="E946" s="8"/>
      <c r="F946" s="8"/>
      <c r="G946" s="8"/>
      <c r="H946" s="9"/>
    </row>
    <row r="947">
      <c r="A947" s="4"/>
      <c r="C947" s="4"/>
      <c r="D947" s="4"/>
      <c r="E947" s="8"/>
      <c r="F947" s="8"/>
      <c r="G947" s="8"/>
      <c r="H947" s="9"/>
    </row>
    <row r="948">
      <c r="A948" s="4"/>
      <c r="C948" s="4"/>
      <c r="D948" s="4"/>
      <c r="E948" s="8"/>
      <c r="F948" s="8"/>
      <c r="G948" s="8"/>
      <c r="H948" s="9"/>
    </row>
    <row r="949">
      <c r="A949" s="4"/>
      <c r="C949" s="4"/>
      <c r="D949" s="4"/>
      <c r="E949" s="8"/>
      <c r="F949" s="8"/>
      <c r="G949" s="8"/>
      <c r="H949" s="9"/>
    </row>
    <row r="950">
      <c r="A950" s="4"/>
      <c r="C950" s="4"/>
      <c r="D950" s="4"/>
      <c r="E950" s="8"/>
      <c r="F950" s="8"/>
      <c r="G950" s="8"/>
      <c r="H950" s="9"/>
    </row>
    <row r="951">
      <c r="A951" s="4"/>
      <c r="C951" s="4"/>
      <c r="D951" s="4"/>
      <c r="E951" s="8"/>
      <c r="F951" s="8"/>
      <c r="G951" s="8"/>
      <c r="H951" s="9"/>
    </row>
    <row r="952">
      <c r="A952" s="4"/>
      <c r="C952" s="4"/>
      <c r="D952" s="4"/>
      <c r="E952" s="8"/>
      <c r="F952" s="8"/>
      <c r="G952" s="8"/>
      <c r="H952" s="9"/>
    </row>
    <row r="953">
      <c r="A953" s="4"/>
      <c r="C953" s="4"/>
      <c r="D953" s="4"/>
      <c r="E953" s="8"/>
      <c r="F953" s="8"/>
      <c r="G953" s="8"/>
      <c r="H953" s="9"/>
    </row>
    <row r="954">
      <c r="A954" s="4"/>
      <c r="C954" s="4"/>
      <c r="D954" s="4"/>
      <c r="E954" s="8"/>
      <c r="F954" s="8"/>
      <c r="G954" s="8"/>
      <c r="H954" s="9"/>
    </row>
    <row r="955">
      <c r="A955" s="4"/>
      <c r="C955" s="4"/>
      <c r="D955" s="4"/>
      <c r="E955" s="8"/>
      <c r="F955" s="8"/>
      <c r="G955" s="8"/>
      <c r="H955" s="9"/>
    </row>
    <row r="956">
      <c r="A956" s="4"/>
      <c r="C956" s="4"/>
      <c r="D956" s="4"/>
      <c r="E956" s="8"/>
      <c r="F956" s="8"/>
      <c r="G956" s="8"/>
      <c r="H956" s="9"/>
    </row>
    <row r="957">
      <c r="A957" s="4"/>
      <c r="C957" s="4"/>
      <c r="D957" s="4"/>
      <c r="E957" s="8"/>
      <c r="F957" s="8"/>
      <c r="G957" s="8"/>
      <c r="H957" s="9"/>
    </row>
    <row r="958">
      <c r="A958" s="4"/>
      <c r="C958" s="4"/>
      <c r="D958" s="4"/>
      <c r="E958" s="8"/>
      <c r="F958" s="8"/>
      <c r="G958" s="8"/>
      <c r="H958" s="9"/>
    </row>
    <row r="959">
      <c r="A959" s="4"/>
      <c r="C959" s="4"/>
      <c r="D959" s="4"/>
      <c r="E959" s="8"/>
      <c r="F959" s="8"/>
      <c r="G959" s="8"/>
      <c r="H959" s="9"/>
    </row>
    <row r="960">
      <c r="A960" s="4"/>
      <c r="C960" s="4"/>
      <c r="D960" s="4"/>
      <c r="E960" s="8"/>
      <c r="F960" s="8"/>
      <c r="G960" s="8"/>
      <c r="H960" s="9"/>
    </row>
    <row r="961">
      <c r="A961" s="4"/>
      <c r="C961" s="4"/>
      <c r="D961" s="4"/>
      <c r="E961" s="8"/>
      <c r="F961" s="8"/>
      <c r="G961" s="8"/>
      <c r="H961" s="9"/>
    </row>
    <row r="962">
      <c r="A962" s="4"/>
      <c r="C962" s="4"/>
      <c r="D962" s="4"/>
      <c r="E962" s="8"/>
      <c r="F962" s="8"/>
      <c r="G962" s="8"/>
      <c r="H962" s="9"/>
    </row>
    <row r="963">
      <c r="A963" s="4"/>
      <c r="C963" s="4"/>
      <c r="D963" s="4"/>
      <c r="E963" s="8"/>
      <c r="F963" s="8"/>
      <c r="G963" s="8"/>
      <c r="H963" s="9"/>
    </row>
    <row r="964">
      <c r="A964" s="4"/>
      <c r="C964" s="4"/>
      <c r="D964" s="4"/>
      <c r="E964" s="8"/>
      <c r="F964" s="8"/>
      <c r="G964" s="8"/>
      <c r="H964" s="9"/>
    </row>
    <row r="965">
      <c r="A965" s="4"/>
      <c r="C965" s="4"/>
      <c r="D965" s="4"/>
      <c r="E965" s="8"/>
      <c r="F965" s="8"/>
      <c r="G965" s="8"/>
      <c r="H965" s="9"/>
    </row>
    <row r="966">
      <c r="A966" s="4"/>
      <c r="C966" s="4"/>
      <c r="D966" s="4"/>
      <c r="E966" s="8"/>
      <c r="F966" s="8"/>
      <c r="G966" s="8"/>
      <c r="H966" s="9"/>
    </row>
    <row r="967">
      <c r="A967" s="4"/>
      <c r="C967" s="4"/>
      <c r="D967" s="4"/>
      <c r="E967" s="8"/>
      <c r="F967" s="8"/>
      <c r="G967" s="8"/>
      <c r="H967" s="9"/>
    </row>
    <row r="968">
      <c r="A968" s="4"/>
      <c r="C968" s="4"/>
      <c r="D968" s="4"/>
      <c r="E968" s="8"/>
      <c r="F968" s="8"/>
      <c r="G968" s="8"/>
      <c r="H968" s="9"/>
    </row>
    <row r="969">
      <c r="A969" s="4"/>
      <c r="C969" s="4"/>
      <c r="D969" s="4"/>
      <c r="E969" s="8"/>
      <c r="F969" s="8"/>
      <c r="G969" s="8"/>
      <c r="H969" s="9"/>
    </row>
    <row r="970">
      <c r="A970" s="4"/>
      <c r="C970" s="4"/>
      <c r="D970" s="4"/>
      <c r="E970" s="8"/>
      <c r="F970" s="8"/>
      <c r="G970" s="8"/>
      <c r="H970" s="9"/>
    </row>
    <row r="971">
      <c r="A971" s="4"/>
      <c r="C971" s="4"/>
      <c r="D971" s="4"/>
      <c r="E971" s="8"/>
      <c r="F971" s="8"/>
      <c r="G971" s="8"/>
      <c r="H971" s="9"/>
    </row>
    <row r="972">
      <c r="A972" s="4"/>
      <c r="C972" s="4"/>
      <c r="D972" s="4"/>
      <c r="E972" s="8"/>
      <c r="F972" s="8"/>
      <c r="G972" s="8"/>
      <c r="H972" s="9"/>
    </row>
    <row r="973">
      <c r="A973" s="4"/>
      <c r="C973" s="4"/>
      <c r="D973" s="4"/>
      <c r="E973" s="8"/>
      <c r="F973" s="8"/>
      <c r="G973" s="8"/>
      <c r="H973" s="9"/>
    </row>
    <row r="974">
      <c r="A974" s="4"/>
      <c r="C974" s="4"/>
      <c r="D974" s="4"/>
      <c r="E974" s="8"/>
      <c r="F974" s="8"/>
      <c r="G974" s="8"/>
      <c r="H974" s="9"/>
    </row>
    <row r="975">
      <c r="A975" s="4"/>
      <c r="C975" s="4"/>
      <c r="D975" s="4"/>
      <c r="E975" s="8"/>
      <c r="F975" s="8"/>
      <c r="G975" s="8"/>
      <c r="H975" s="9"/>
    </row>
    <row r="976">
      <c r="A976" s="4"/>
      <c r="C976" s="4"/>
      <c r="D976" s="4"/>
      <c r="E976" s="8"/>
      <c r="F976" s="8"/>
      <c r="G976" s="8"/>
      <c r="H976" s="9"/>
    </row>
    <row r="977">
      <c r="A977" s="4"/>
      <c r="C977" s="4"/>
      <c r="D977" s="4"/>
      <c r="E977" s="8"/>
      <c r="F977" s="8"/>
      <c r="G977" s="8"/>
      <c r="H977" s="9"/>
    </row>
    <row r="978">
      <c r="A978" s="4"/>
      <c r="C978" s="4"/>
      <c r="D978" s="4"/>
      <c r="E978" s="8"/>
      <c r="F978" s="8"/>
      <c r="G978" s="8"/>
      <c r="H978" s="9"/>
    </row>
    <row r="979">
      <c r="A979" s="4"/>
      <c r="C979" s="4"/>
      <c r="D979" s="4"/>
      <c r="E979" s="8"/>
      <c r="F979" s="8"/>
      <c r="G979" s="8"/>
      <c r="H979" s="9"/>
    </row>
    <row r="980">
      <c r="A980" s="4"/>
      <c r="C980" s="4"/>
      <c r="D980" s="4"/>
      <c r="E980" s="8"/>
      <c r="F980" s="8"/>
      <c r="G980" s="8"/>
      <c r="H980" s="9"/>
    </row>
    <row r="981">
      <c r="A981" s="4"/>
      <c r="C981" s="4"/>
      <c r="D981" s="4"/>
      <c r="E981" s="8"/>
      <c r="F981" s="8"/>
      <c r="G981" s="8"/>
      <c r="H981" s="9"/>
    </row>
    <row r="982">
      <c r="A982" s="4"/>
      <c r="C982" s="4"/>
      <c r="D982" s="4"/>
      <c r="E982" s="8"/>
      <c r="F982" s="8"/>
      <c r="G982" s="8"/>
      <c r="H982" s="9"/>
    </row>
    <row r="983">
      <c r="A983" s="4"/>
      <c r="C983" s="4"/>
      <c r="D983" s="4"/>
      <c r="E983" s="8"/>
      <c r="F983" s="8"/>
      <c r="G983" s="8"/>
      <c r="H983" s="9"/>
    </row>
    <row r="984">
      <c r="A984" s="4"/>
      <c r="C984" s="4"/>
      <c r="D984" s="4"/>
      <c r="E984" s="8"/>
      <c r="F984" s="8"/>
      <c r="G984" s="8"/>
      <c r="H984" s="9"/>
    </row>
    <row r="985">
      <c r="A985" s="4"/>
      <c r="C985" s="4"/>
      <c r="D985" s="4"/>
      <c r="E985" s="8"/>
      <c r="F985" s="8"/>
      <c r="G985" s="8"/>
      <c r="H985" s="9"/>
    </row>
    <row r="986">
      <c r="A986" s="4"/>
      <c r="C986" s="4"/>
      <c r="D986" s="4"/>
      <c r="E986" s="8"/>
      <c r="F986" s="8"/>
      <c r="G986" s="8"/>
      <c r="H986" s="9"/>
    </row>
    <row r="987">
      <c r="A987" s="4"/>
      <c r="C987" s="4"/>
      <c r="D987" s="4"/>
      <c r="E987" s="8"/>
      <c r="F987" s="8"/>
      <c r="G987" s="8"/>
      <c r="H987" s="9"/>
    </row>
    <row r="988">
      <c r="A988" s="4"/>
      <c r="C988" s="4"/>
      <c r="D988" s="4"/>
      <c r="E988" s="8"/>
      <c r="F988" s="8"/>
      <c r="G988" s="8"/>
      <c r="H988" s="9"/>
    </row>
    <row r="989">
      <c r="A989" s="4"/>
      <c r="C989" s="4"/>
      <c r="D989" s="4"/>
      <c r="E989" s="8"/>
      <c r="F989" s="8"/>
      <c r="G989" s="8"/>
      <c r="H989" s="9"/>
    </row>
    <row r="990">
      <c r="A990" s="4"/>
      <c r="C990" s="4"/>
      <c r="D990" s="4"/>
      <c r="E990" s="8"/>
      <c r="F990" s="8"/>
      <c r="G990" s="8"/>
      <c r="H990" s="9"/>
    </row>
    <row r="991">
      <c r="A991" s="4"/>
      <c r="C991" s="4"/>
      <c r="D991" s="4"/>
      <c r="E991" s="8"/>
      <c r="F991" s="8"/>
      <c r="G991" s="8"/>
      <c r="H991" s="9"/>
    </row>
    <row r="992">
      <c r="A992" s="4"/>
      <c r="C992" s="4"/>
      <c r="D992" s="4"/>
      <c r="E992" s="8"/>
      <c r="F992" s="8"/>
      <c r="G992" s="8"/>
      <c r="H992" s="9"/>
    </row>
    <row r="993">
      <c r="A993" s="4"/>
      <c r="C993" s="4"/>
      <c r="D993" s="4"/>
      <c r="E993" s="8"/>
      <c r="F993" s="8"/>
      <c r="G993" s="8"/>
      <c r="H993" s="9"/>
    </row>
    <row r="994">
      <c r="A994" s="4"/>
      <c r="C994" s="4"/>
      <c r="D994" s="4"/>
      <c r="E994" s="8"/>
      <c r="F994" s="8"/>
      <c r="G994" s="8"/>
      <c r="H994" s="9"/>
    </row>
    <row r="995">
      <c r="A995" s="4"/>
      <c r="C995" s="4"/>
      <c r="D995" s="4"/>
      <c r="E995" s="8"/>
      <c r="F995" s="8"/>
      <c r="G995" s="8"/>
      <c r="H995" s="9"/>
    </row>
    <row r="996">
      <c r="A996" s="4"/>
      <c r="C996" s="4"/>
      <c r="D996" s="4"/>
      <c r="E996" s="8"/>
      <c r="F996" s="8"/>
      <c r="G996" s="8"/>
      <c r="H996" s="9"/>
    </row>
    <row r="997">
      <c r="A997" s="4"/>
      <c r="C997" s="4"/>
      <c r="D997" s="4"/>
      <c r="E997" s="8"/>
      <c r="F997" s="8"/>
      <c r="G997" s="8"/>
      <c r="H997" s="9"/>
    </row>
    <row r="998">
      <c r="A998" s="4"/>
      <c r="C998" s="4"/>
      <c r="D998" s="4"/>
      <c r="E998" s="8"/>
      <c r="F998" s="8"/>
      <c r="G998" s="8"/>
      <c r="H998" s="9"/>
    </row>
    <row r="999">
      <c r="A999" s="4"/>
      <c r="C999" s="4"/>
      <c r="D999" s="4"/>
      <c r="E999" s="8"/>
      <c r="F999" s="8"/>
      <c r="G999" s="8"/>
      <c r="H999" s="9"/>
    </row>
    <row r="1000">
      <c r="A1000" s="4"/>
      <c r="C1000" s="4"/>
      <c r="D1000" s="4"/>
      <c r="E1000" s="8"/>
      <c r="F1000" s="8"/>
      <c r="G1000" s="8"/>
      <c r="H1000" s="9"/>
    </row>
    <row r="1001">
      <c r="A1001" s="4"/>
      <c r="C1001" s="4"/>
      <c r="D1001" s="4"/>
      <c r="E1001" s="8"/>
      <c r="F1001" s="8"/>
      <c r="G1001" s="8"/>
      <c r="H1001" s="9"/>
    </row>
    <row r="1002">
      <c r="A1002" s="4"/>
      <c r="C1002" s="4"/>
      <c r="D1002" s="4"/>
      <c r="E1002" s="8"/>
      <c r="F1002" s="8"/>
      <c r="G1002" s="8"/>
      <c r="H1002" s="9"/>
    </row>
    <row r="1003">
      <c r="A1003" s="4"/>
      <c r="C1003" s="4"/>
      <c r="D1003" s="4"/>
      <c r="E1003" s="8"/>
      <c r="F1003" s="8"/>
      <c r="G1003" s="8"/>
      <c r="H1003" s="9"/>
    </row>
    <row r="1004">
      <c r="A1004" s="4"/>
      <c r="C1004" s="4"/>
      <c r="D1004" s="4"/>
      <c r="E1004" s="8"/>
      <c r="F1004" s="8"/>
      <c r="G1004" s="8"/>
      <c r="H1004" s="9"/>
    </row>
    <row r="1005">
      <c r="A1005" s="4"/>
      <c r="C1005" s="4"/>
      <c r="D1005" s="4"/>
      <c r="E1005" s="8"/>
      <c r="F1005" s="8"/>
      <c r="G1005" s="8"/>
      <c r="H1005" s="9"/>
    </row>
    <row r="1006">
      <c r="A1006" s="4"/>
      <c r="C1006" s="4"/>
      <c r="D1006" s="4"/>
      <c r="E1006" s="8"/>
      <c r="F1006" s="8"/>
      <c r="G1006" s="8"/>
      <c r="H1006" s="9"/>
    </row>
    <row r="1007">
      <c r="A1007" s="4"/>
      <c r="C1007" s="4"/>
      <c r="D1007" s="4"/>
      <c r="E1007" s="8"/>
      <c r="F1007" s="8"/>
      <c r="G1007" s="8"/>
      <c r="H1007" s="9"/>
    </row>
    <row r="1008">
      <c r="A1008" s="4"/>
      <c r="C1008" s="4"/>
      <c r="D1008" s="4"/>
      <c r="E1008" s="8"/>
      <c r="F1008" s="8"/>
      <c r="G1008" s="8"/>
      <c r="H1008" s="9"/>
    </row>
    <row r="1009">
      <c r="A1009" s="4"/>
      <c r="C1009" s="4"/>
      <c r="D1009" s="4"/>
      <c r="E1009" s="8"/>
      <c r="F1009" s="8"/>
      <c r="G1009" s="8"/>
      <c r="H1009" s="9"/>
    </row>
    <row r="1010">
      <c r="A1010" s="4"/>
      <c r="C1010" s="4"/>
      <c r="D1010" s="4"/>
      <c r="E1010" s="8"/>
      <c r="F1010" s="8"/>
      <c r="G1010" s="8"/>
      <c r="H1010" s="9"/>
    </row>
    <row r="1011">
      <c r="A1011" s="4"/>
      <c r="C1011" s="4"/>
      <c r="D1011" s="4"/>
      <c r="E1011" s="8"/>
      <c r="F1011" s="8"/>
      <c r="G1011" s="8"/>
      <c r="H1011" s="9"/>
    </row>
    <row r="1012">
      <c r="A1012" s="4"/>
      <c r="C1012" s="4"/>
      <c r="D1012" s="4"/>
      <c r="E1012" s="8"/>
      <c r="F1012" s="8"/>
      <c r="G1012" s="8"/>
      <c r="H1012" s="9"/>
    </row>
    <row r="1013">
      <c r="A1013" s="4"/>
      <c r="C1013" s="4"/>
      <c r="D1013" s="4"/>
      <c r="E1013" s="8"/>
      <c r="F1013" s="8"/>
      <c r="G1013" s="8"/>
      <c r="H1013" s="9"/>
    </row>
    <row r="1014">
      <c r="A1014" s="4"/>
      <c r="C1014" s="4"/>
      <c r="D1014" s="4"/>
      <c r="E1014" s="8"/>
      <c r="F1014" s="8"/>
      <c r="G1014" s="8"/>
      <c r="H1014" s="9"/>
    </row>
    <row r="1015">
      <c r="A1015" s="4"/>
      <c r="C1015" s="4"/>
      <c r="D1015" s="4"/>
      <c r="E1015" s="8"/>
      <c r="F1015" s="8"/>
      <c r="G1015" s="8"/>
      <c r="H1015" s="9"/>
    </row>
    <row r="1016">
      <c r="A1016" s="4"/>
      <c r="C1016" s="4"/>
      <c r="D1016" s="4"/>
      <c r="E1016" s="8"/>
      <c r="F1016" s="8"/>
      <c r="G1016" s="8"/>
      <c r="H1016" s="9"/>
    </row>
    <row r="1017">
      <c r="A1017" s="4"/>
      <c r="C1017" s="4"/>
      <c r="D1017" s="4"/>
      <c r="E1017" s="8"/>
      <c r="F1017" s="8"/>
      <c r="G1017" s="8"/>
      <c r="H1017" s="9"/>
    </row>
    <row r="1018">
      <c r="A1018" s="4"/>
      <c r="C1018" s="4"/>
      <c r="D1018" s="4"/>
      <c r="E1018" s="8"/>
      <c r="F1018" s="8"/>
      <c r="G1018" s="8"/>
      <c r="H1018" s="9"/>
    </row>
    <row r="1019">
      <c r="A1019" s="4"/>
      <c r="C1019" s="4"/>
      <c r="D1019" s="4"/>
      <c r="E1019" s="8"/>
      <c r="F1019" s="8"/>
      <c r="G1019" s="8"/>
      <c r="H1019" s="9"/>
    </row>
    <row r="1020">
      <c r="A1020" s="4"/>
      <c r="C1020" s="4"/>
      <c r="D1020" s="4"/>
      <c r="E1020" s="8"/>
      <c r="F1020" s="8"/>
      <c r="G1020" s="8"/>
      <c r="H1020" s="9"/>
    </row>
    <row r="1021">
      <c r="A1021" s="4"/>
      <c r="C1021" s="4"/>
      <c r="D1021" s="4"/>
      <c r="E1021" s="8"/>
      <c r="F1021" s="8"/>
      <c r="G1021" s="8"/>
      <c r="H1021" s="9"/>
    </row>
    <row r="1022">
      <c r="A1022" s="4"/>
      <c r="C1022" s="4"/>
      <c r="D1022" s="4"/>
      <c r="E1022" s="8"/>
      <c r="F1022" s="8"/>
      <c r="G1022" s="8"/>
      <c r="H1022" s="9"/>
    </row>
    <row r="1023">
      <c r="A1023" s="4"/>
      <c r="C1023" s="4"/>
      <c r="D1023" s="4"/>
      <c r="E1023" s="8"/>
      <c r="F1023" s="8"/>
      <c r="G1023" s="8"/>
      <c r="H1023" s="9"/>
    </row>
    <row r="1024">
      <c r="A1024" s="4"/>
      <c r="C1024" s="4"/>
      <c r="D1024" s="4"/>
      <c r="E1024" s="8"/>
      <c r="F1024" s="8"/>
      <c r="G1024" s="8"/>
      <c r="H1024" s="9"/>
    </row>
    <row r="1025">
      <c r="A1025" s="4"/>
      <c r="C1025" s="4"/>
      <c r="D1025" s="4"/>
      <c r="E1025" s="8"/>
      <c r="F1025" s="8"/>
      <c r="G1025" s="8"/>
      <c r="H1025" s="9"/>
    </row>
    <row r="1026">
      <c r="A1026" s="4"/>
      <c r="C1026" s="4"/>
      <c r="D1026" s="4"/>
      <c r="E1026" s="8"/>
      <c r="F1026" s="8"/>
      <c r="G1026" s="8"/>
      <c r="H1026" s="9"/>
    </row>
    <row r="1027">
      <c r="A1027" s="4"/>
      <c r="C1027" s="4"/>
      <c r="D1027" s="4"/>
      <c r="E1027" s="8"/>
      <c r="F1027" s="8"/>
      <c r="G1027" s="8"/>
      <c r="H1027" s="9"/>
    </row>
    <row r="1028">
      <c r="A1028" s="4"/>
      <c r="C1028" s="4"/>
      <c r="D1028" s="4"/>
      <c r="E1028" s="8"/>
      <c r="F1028" s="8"/>
      <c r="G1028" s="8"/>
      <c r="H1028" s="9"/>
    </row>
    <row r="1029">
      <c r="A1029" s="4"/>
      <c r="C1029" s="4"/>
      <c r="D1029" s="4"/>
      <c r="E1029" s="8"/>
      <c r="F1029" s="8"/>
      <c r="G1029" s="8"/>
      <c r="H1029" s="9"/>
    </row>
    <row r="1030">
      <c r="A1030" s="4"/>
      <c r="C1030" s="4"/>
      <c r="D1030" s="4"/>
      <c r="E1030" s="8"/>
      <c r="F1030" s="8"/>
      <c r="G1030" s="8"/>
      <c r="H1030" s="9"/>
    </row>
    <row r="1031">
      <c r="A1031" s="4"/>
      <c r="C1031" s="4"/>
      <c r="D1031" s="4"/>
      <c r="E1031" s="8"/>
      <c r="F1031" s="8"/>
      <c r="G1031" s="8"/>
      <c r="H1031" s="9"/>
    </row>
    <row r="1032">
      <c r="A1032" s="4"/>
      <c r="C1032" s="4"/>
      <c r="D1032" s="4"/>
      <c r="E1032" s="8"/>
      <c r="F1032" s="8"/>
      <c r="G1032" s="8"/>
      <c r="H1032" s="9"/>
    </row>
    <row r="1033">
      <c r="A1033" s="4"/>
      <c r="C1033" s="4"/>
      <c r="D1033" s="4"/>
      <c r="E1033" s="8"/>
      <c r="F1033" s="8"/>
      <c r="G1033" s="8"/>
      <c r="H1033" s="9"/>
    </row>
    <row r="1034">
      <c r="A1034" s="4"/>
      <c r="C1034" s="4"/>
      <c r="D1034" s="4"/>
      <c r="E1034" s="8"/>
      <c r="F1034" s="8"/>
      <c r="G1034" s="8"/>
      <c r="H1034" s="9"/>
    </row>
    <row r="1035">
      <c r="A1035" s="4"/>
      <c r="C1035" s="4"/>
      <c r="D1035" s="4"/>
      <c r="E1035" s="8"/>
      <c r="F1035" s="8"/>
      <c r="G1035" s="8"/>
      <c r="H1035" s="9"/>
    </row>
    <row r="1036">
      <c r="A1036" s="4"/>
      <c r="C1036" s="4"/>
      <c r="D1036" s="4"/>
      <c r="E1036" s="8"/>
      <c r="F1036" s="8"/>
      <c r="G1036" s="8"/>
      <c r="H1036" s="9"/>
    </row>
    <row r="1037">
      <c r="A1037" s="4"/>
      <c r="C1037" s="4"/>
      <c r="D1037" s="4"/>
      <c r="E1037" s="8"/>
      <c r="F1037" s="8"/>
      <c r="G1037" s="8"/>
      <c r="H1037" s="9"/>
    </row>
    <row r="1038">
      <c r="A1038" s="4"/>
      <c r="C1038" s="4"/>
      <c r="D1038" s="4"/>
      <c r="E1038" s="8"/>
      <c r="F1038" s="8"/>
      <c r="G1038" s="8"/>
      <c r="H1038" s="9"/>
    </row>
    <row r="1039">
      <c r="A1039" s="4"/>
      <c r="C1039" s="4"/>
      <c r="D1039" s="4"/>
      <c r="E1039" s="8"/>
      <c r="F1039" s="8"/>
      <c r="G1039" s="8"/>
      <c r="H1039" s="9"/>
    </row>
    <row r="1040">
      <c r="A1040" s="4"/>
      <c r="C1040" s="4"/>
      <c r="D1040" s="4"/>
      <c r="E1040" s="8"/>
      <c r="F1040" s="8"/>
      <c r="G1040" s="8"/>
      <c r="H1040" s="9"/>
    </row>
    <row r="1041">
      <c r="A1041" s="4"/>
      <c r="C1041" s="4"/>
      <c r="D1041" s="4"/>
      <c r="E1041" s="8"/>
      <c r="F1041" s="8"/>
      <c r="G1041" s="8"/>
      <c r="H1041" s="9"/>
    </row>
    <row r="1042">
      <c r="A1042" s="4"/>
      <c r="C1042" s="4"/>
      <c r="D1042" s="4"/>
      <c r="E1042" s="8"/>
      <c r="F1042" s="8"/>
      <c r="G1042" s="8"/>
      <c r="H1042" s="9"/>
    </row>
    <row r="1043">
      <c r="A1043" s="4"/>
      <c r="C1043" s="4"/>
      <c r="D1043" s="4"/>
      <c r="E1043" s="8"/>
      <c r="F1043" s="8"/>
      <c r="G1043" s="8"/>
      <c r="H1043" s="9"/>
    </row>
    <row r="1044">
      <c r="A1044" s="4"/>
      <c r="C1044" s="4"/>
      <c r="D1044" s="4"/>
      <c r="E1044" s="8"/>
      <c r="F1044" s="8"/>
      <c r="G1044" s="8"/>
      <c r="H1044" s="9"/>
    </row>
    <row r="1045">
      <c r="A1045" s="4"/>
      <c r="C1045" s="4"/>
      <c r="D1045" s="4"/>
      <c r="E1045" s="8"/>
      <c r="F1045" s="8"/>
      <c r="G1045" s="8"/>
      <c r="H1045" s="9"/>
    </row>
    <row r="1046">
      <c r="A1046" s="4"/>
      <c r="C1046" s="4"/>
      <c r="D1046" s="4"/>
      <c r="E1046" s="8"/>
      <c r="F1046" s="8"/>
      <c r="G1046" s="8"/>
      <c r="H1046" s="9"/>
    </row>
    <row r="1047">
      <c r="A1047" s="4"/>
      <c r="C1047" s="4"/>
      <c r="D1047" s="4"/>
      <c r="E1047" s="8"/>
      <c r="F1047" s="8"/>
      <c r="G1047" s="8"/>
      <c r="H1047" s="9"/>
    </row>
    <row r="1048">
      <c r="A1048" s="4"/>
      <c r="C1048" s="4"/>
      <c r="D1048" s="4"/>
      <c r="E1048" s="8"/>
      <c r="F1048" s="8"/>
      <c r="G1048" s="8"/>
      <c r="H1048" s="9"/>
    </row>
    <row r="1049">
      <c r="A1049" s="4"/>
      <c r="C1049" s="4"/>
      <c r="D1049" s="4"/>
      <c r="E1049" s="8"/>
      <c r="F1049" s="8"/>
      <c r="G1049" s="8"/>
      <c r="H1049" s="9"/>
    </row>
    <row r="1050">
      <c r="A1050" s="4"/>
      <c r="C1050" s="4"/>
      <c r="D1050" s="4"/>
      <c r="E1050" s="8"/>
      <c r="F1050" s="8"/>
      <c r="G1050" s="8"/>
      <c r="H1050" s="9"/>
    </row>
    <row r="1051">
      <c r="A1051" s="4"/>
      <c r="C1051" s="4"/>
      <c r="D1051" s="4"/>
      <c r="E1051" s="8"/>
      <c r="F1051" s="8"/>
      <c r="G1051" s="8"/>
      <c r="H1051" s="9"/>
    </row>
    <row r="1052">
      <c r="A1052" s="4"/>
      <c r="C1052" s="4"/>
      <c r="D1052" s="4"/>
      <c r="E1052" s="8"/>
      <c r="F1052" s="8"/>
      <c r="G1052" s="8"/>
      <c r="H1052" s="9"/>
    </row>
    <row r="1053">
      <c r="A1053" s="4"/>
      <c r="C1053" s="4"/>
      <c r="D1053" s="4"/>
      <c r="E1053" s="8"/>
      <c r="F1053" s="8"/>
      <c r="G1053" s="8"/>
      <c r="H1053" s="9"/>
    </row>
    <row r="1054">
      <c r="A1054" s="4"/>
      <c r="C1054" s="4"/>
      <c r="D1054" s="4"/>
      <c r="E1054" s="8"/>
      <c r="F1054" s="8"/>
      <c r="G1054" s="8"/>
      <c r="H1054" s="9"/>
    </row>
    <row r="1055">
      <c r="A1055" s="4"/>
      <c r="C1055" s="4"/>
      <c r="D1055" s="4"/>
      <c r="E1055" s="8"/>
      <c r="F1055" s="8"/>
      <c r="G1055" s="8"/>
      <c r="H1055" s="9"/>
    </row>
    <row r="1056">
      <c r="A1056" s="4"/>
      <c r="C1056" s="4"/>
      <c r="D1056" s="4"/>
      <c r="E1056" s="8"/>
      <c r="F1056" s="8"/>
      <c r="G1056" s="8"/>
      <c r="H1056" s="9"/>
    </row>
    <row r="1057">
      <c r="A1057" s="4"/>
      <c r="C1057" s="4"/>
      <c r="D1057" s="4"/>
      <c r="E1057" s="8"/>
      <c r="F1057" s="8"/>
      <c r="G1057" s="8"/>
      <c r="H1057" s="9"/>
    </row>
    <row r="1058">
      <c r="A1058" s="4"/>
      <c r="C1058" s="4"/>
      <c r="D1058" s="4"/>
      <c r="E1058" s="8"/>
      <c r="F1058" s="8"/>
      <c r="G1058" s="8"/>
      <c r="H1058" s="9"/>
    </row>
    <row r="1059">
      <c r="A1059" s="4"/>
      <c r="C1059" s="4"/>
      <c r="D1059" s="4"/>
      <c r="E1059" s="8"/>
      <c r="F1059" s="8"/>
      <c r="G1059" s="8"/>
      <c r="H1059" s="9"/>
    </row>
    <row r="1060">
      <c r="A1060" s="4"/>
      <c r="C1060" s="4"/>
      <c r="D1060" s="4"/>
      <c r="E1060" s="8"/>
      <c r="F1060" s="8"/>
      <c r="G1060" s="8"/>
      <c r="H1060" s="9"/>
    </row>
    <row r="1061">
      <c r="A1061" s="4"/>
      <c r="C1061" s="4"/>
      <c r="D1061" s="4"/>
      <c r="E1061" s="8"/>
      <c r="F1061" s="8"/>
      <c r="G1061" s="8"/>
      <c r="H1061" s="9"/>
    </row>
    <row r="1062">
      <c r="A1062" s="4"/>
      <c r="C1062" s="4"/>
      <c r="D1062" s="4"/>
      <c r="E1062" s="8"/>
      <c r="F1062" s="8"/>
      <c r="G1062" s="8"/>
      <c r="H1062" s="9"/>
    </row>
    <row r="1063">
      <c r="A1063" s="4"/>
      <c r="C1063" s="4"/>
      <c r="D1063" s="4"/>
      <c r="E1063" s="8"/>
      <c r="F1063" s="8"/>
      <c r="G1063" s="8"/>
      <c r="H1063" s="9"/>
    </row>
    <row r="1064">
      <c r="A1064" s="4"/>
      <c r="C1064" s="4"/>
      <c r="D1064" s="4"/>
      <c r="E1064" s="8"/>
      <c r="F1064" s="8"/>
      <c r="G1064" s="8"/>
      <c r="H1064" s="9"/>
    </row>
    <row r="1065">
      <c r="A1065" s="4"/>
      <c r="C1065" s="4"/>
      <c r="D1065" s="4"/>
      <c r="E1065" s="8"/>
      <c r="F1065" s="8"/>
      <c r="G1065" s="8"/>
      <c r="H1065" s="9"/>
    </row>
    <row r="1066">
      <c r="A1066" s="4"/>
      <c r="C1066" s="4"/>
      <c r="D1066" s="4"/>
      <c r="E1066" s="8"/>
      <c r="F1066" s="8"/>
      <c r="G1066" s="8"/>
      <c r="H1066" s="9"/>
    </row>
    <row r="1067">
      <c r="A1067" s="4"/>
      <c r="C1067" s="4"/>
      <c r="D1067" s="4"/>
      <c r="E1067" s="8"/>
      <c r="F1067" s="8"/>
      <c r="G1067" s="8"/>
      <c r="H1067" s="9"/>
    </row>
    <row r="1068">
      <c r="A1068" s="4"/>
      <c r="C1068" s="4"/>
      <c r="D1068" s="4"/>
      <c r="E1068" s="8"/>
      <c r="F1068" s="8"/>
      <c r="G1068" s="8"/>
      <c r="H1068" s="9"/>
    </row>
    <row r="1069">
      <c r="A1069" s="4"/>
      <c r="C1069" s="4"/>
      <c r="D1069" s="4"/>
      <c r="E1069" s="8"/>
      <c r="F1069" s="8"/>
      <c r="G1069" s="8"/>
      <c r="H1069" s="9"/>
    </row>
    <row r="1070">
      <c r="A1070" s="4"/>
      <c r="C1070" s="4"/>
      <c r="D1070" s="4"/>
      <c r="E1070" s="8"/>
      <c r="F1070" s="8"/>
      <c r="G1070" s="8"/>
      <c r="H1070" s="9"/>
    </row>
    <row r="1071">
      <c r="A1071" s="4"/>
      <c r="C1071" s="4"/>
      <c r="D1071" s="4"/>
      <c r="E1071" s="8"/>
      <c r="F1071" s="8"/>
      <c r="G1071" s="8"/>
      <c r="H1071" s="9"/>
    </row>
    <row r="1072">
      <c r="A1072" s="4"/>
      <c r="C1072" s="4"/>
      <c r="D1072" s="4"/>
      <c r="E1072" s="8"/>
      <c r="F1072" s="8"/>
      <c r="G1072" s="8"/>
      <c r="H1072" s="9"/>
    </row>
    <row r="1073">
      <c r="A1073" s="4"/>
      <c r="C1073" s="4"/>
      <c r="D1073" s="4"/>
      <c r="E1073" s="8"/>
      <c r="F1073" s="8"/>
      <c r="G1073" s="8"/>
      <c r="H1073" s="9"/>
    </row>
    <row r="1074">
      <c r="A1074" s="4"/>
      <c r="C1074" s="4"/>
      <c r="D1074" s="4"/>
      <c r="E1074" s="8"/>
      <c r="F1074" s="8"/>
      <c r="G1074" s="8"/>
      <c r="H1074" s="9"/>
    </row>
    <row r="1075">
      <c r="A1075" s="4"/>
      <c r="C1075" s="4"/>
      <c r="D1075" s="4"/>
      <c r="E1075" s="8"/>
      <c r="F1075" s="8"/>
      <c r="G1075" s="8"/>
      <c r="H1075" s="9"/>
    </row>
    <row r="1076">
      <c r="A1076" s="4"/>
      <c r="C1076" s="4"/>
      <c r="D1076" s="4"/>
      <c r="E1076" s="8"/>
      <c r="F1076" s="8"/>
      <c r="G1076" s="8"/>
      <c r="H1076" s="9"/>
    </row>
    <row r="1077">
      <c r="A1077" s="4"/>
      <c r="C1077" s="4"/>
      <c r="D1077" s="4"/>
      <c r="E1077" s="8"/>
      <c r="F1077" s="8"/>
      <c r="G1077" s="8"/>
      <c r="H1077" s="9"/>
    </row>
    <row r="1078">
      <c r="A1078" s="4"/>
      <c r="C1078" s="4"/>
      <c r="D1078" s="4"/>
      <c r="E1078" s="8"/>
      <c r="F1078" s="8"/>
      <c r="G1078" s="8"/>
      <c r="H1078" s="9"/>
    </row>
    <row r="1079">
      <c r="A1079" s="4"/>
      <c r="C1079" s="4"/>
      <c r="D1079" s="4"/>
      <c r="E1079" s="8"/>
      <c r="F1079" s="8"/>
      <c r="G1079" s="8"/>
      <c r="H1079" s="9"/>
    </row>
    <row r="1080">
      <c r="A1080" s="4"/>
      <c r="C1080" s="4"/>
      <c r="D1080" s="4"/>
      <c r="E1080" s="8"/>
      <c r="F1080" s="8"/>
      <c r="G1080" s="8"/>
      <c r="H1080" s="9"/>
    </row>
    <row r="1081">
      <c r="A1081" s="4"/>
      <c r="C1081" s="4"/>
      <c r="D1081" s="4"/>
      <c r="E1081" s="8"/>
      <c r="F1081" s="8"/>
      <c r="G1081" s="8"/>
      <c r="H1081" s="9"/>
    </row>
    <row r="1082">
      <c r="A1082" s="4"/>
      <c r="C1082" s="4"/>
      <c r="D1082" s="4"/>
      <c r="E1082" s="8"/>
      <c r="F1082" s="8"/>
      <c r="G1082" s="8"/>
      <c r="H1082" s="9"/>
    </row>
    <row r="1083">
      <c r="A1083" s="4"/>
      <c r="C1083" s="4"/>
      <c r="D1083" s="4"/>
      <c r="E1083" s="8"/>
      <c r="F1083" s="8"/>
      <c r="G1083" s="8"/>
      <c r="H1083" s="9"/>
    </row>
    <row r="1084">
      <c r="A1084" s="4"/>
      <c r="C1084" s="4"/>
      <c r="D1084" s="4"/>
      <c r="E1084" s="8"/>
      <c r="F1084" s="8"/>
      <c r="G1084" s="8"/>
      <c r="H1084" s="9"/>
    </row>
    <row r="1085">
      <c r="A1085" s="4"/>
      <c r="C1085" s="4"/>
      <c r="D1085" s="4"/>
      <c r="E1085" s="8"/>
      <c r="F1085" s="8"/>
      <c r="G1085" s="8"/>
      <c r="H1085" s="9"/>
    </row>
    <row r="1086">
      <c r="A1086" s="4"/>
      <c r="C1086" s="4"/>
      <c r="D1086" s="4"/>
      <c r="E1086" s="8"/>
      <c r="F1086" s="8"/>
      <c r="G1086" s="8"/>
      <c r="H1086" s="9"/>
    </row>
    <row r="1087">
      <c r="A1087" s="4"/>
      <c r="C1087" s="4"/>
      <c r="D1087" s="4"/>
      <c r="E1087" s="8"/>
      <c r="F1087" s="8"/>
      <c r="G1087" s="8"/>
      <c r="H1087" s="9"/>
    </row>
    <row r="1088">
      <c r="A1088" s="4"/>
      <c r="C1088" s="4"/>
      <c r="D1088" s="4"/>
      <c r="E1088" s="8"/>
      <c r="F1088" s="8"/>
      <c r="G1088" s="8"/>
      <c r="H1088" s="9"/>
    </row>
    <row r="1089">
      <c r="A1089" s="4"/>
      <c r="C1089" s="4"/>
      <c r="D1089" s="4"/>
      <c r="E1089" s="8"/>
      <c r="F1089" s="8"/>
      <c r="G1089" s="8"/>
      <c r="H1089" s="9"/>
    </row>
    <row r="1090">
      <c r="A1090" s="4"/>
      <c r="C1090" s="4"/>
      <c r="D1090" s="4"/>
      <c r="E1090" s="8"/>
      <c r="F1090" s="8"/>
      <c r="G1090" s="8"/>
      <c r="H1090" s="9"/>
    </row>
    <row r="1091">
      <c r="A1091" s="4"/>
      <c r="C1091" s="4"/>
      <c r="D1091" s="4"/>
      <c r="E1091" s="8"/>
      <c r="F1091" s="8"/>
      <c r="G1091" s="8"/>
      <c r="H1091" s="9"/>
    </row>
    <row r="1092">
      <c r="A1092" s="4"/>
      <c r="C1092" s="4"/>
      <c r="D1092" s="4"/>
      <c r="E1092" s="8"/>
      <c r="F1092" s="8"/>
      <c r="G1092" s="8"/>
      <c r="H1092" s="9"/>
    </row>
    <row r="1093">
      <c r="A1093" s="4"/>
      <c r="C1093" s="4"/>
      <c r="D1093" s="4"/>
      <c r="E1093" s="8"/>
      <c r="F1093" s="8"/>
      <c r="G1093" s="8"/>
      <c r="H1093" s="9"/>
    </row>
    <row r="1094">
      <c r="A1094" s="4"/>
      <c r="C1094" s="4"/>
      <c r="D1094" s="4"/>
      <c r="E1094" s="8"/>
      <c r="F1094" s="8"/>
      <c r="G1094" s="8"/>
      <c r="H1094" s="9"/>
    </row>
    <row r="1095">
      <c r="A1095" s="4"/>
      <c r="C1095" s="4"/>
      <c r="D1095" s="4"/>
      <c r="E1095" s="8"/>
      <c r="F1095" s="8"/>
      <c r="G1095" s="8"/>
      <c r="H1095" s="9"/>
    </row>
    <row r="1096">
      <c r="A1096" s="4"/>
      <c r="C1096" s="4"/>
      <c r="D1096" s="4"/>
      <c r="E1096" s="8"/>
      <c r="F1096" s="8"/>
      <c r="G1096" s="8"/>
      <c r="H1096" s="9"/>
    </row>
    <row r="1097">
      <c r="A1097" s="4"/>
      <c r="C1097" s="4"/>
      <c r="D1097" s="4"/>
      <c r="E1097" s="8"/>
      <c r="F1097" s="8"/>
      <c r="G1097" s="8"/>
      <c r="H1097" s="9"/>
    </row>
    <row r="1098">
      <c r="A1098" s="4"/>
      <c r="C1098" s="4"/>
      <c r="D1098" s="4"/>
      <c r="E1098" s="8"/>
      <c r="F1098" s="8"/>
      <c r="G1098" s="8"/>
      <c r="H1098" s="9"/>
    </row>
    <row r="1099">
      <c r="A1099" s="4"/>
      <c r="C1099" s="4"/>
      <c r="D1099" s="4"/>
      <c r="E1099" s="8"/>
      <c r="F1099" s="8"/>
      <c r="G1099" s="8"/>
      <c r="H1099" s="9"/>
    </row>
    <row r="1100">
      <c r="A1100" s="4"/>
      <c r="C1100" s="4"/>
      <c r="D1100" s="4"/>
      <c r="E1100" s="8"/>
      <c r="F1100" s="8"/>
      <c r="G1100" s="8"/>
      <c r="H1100" s="9"/>
    </row>
    <row r="1101">
      <c r="A1101" s="4"/>
      <c r="C1101" s="4"/>
      <c r="D1101" s="4"/>
      <c r="E1101" s="8"/>
      <c r="F1101" s="8"/>
      <c r="G1101" s="8"/>
      <c r="H1101" s="9"/>
    </row>
    <row r="1102">
      <c r="A1102" s="4"/>
      <c r="C1102" s="4"/>
      <c r="D1102" s="4"/>
      <c r="E1102" s="8"/>
      <c r="F1102" s="8"/>
      <c r="G1102" s="8"/>
      <c r="H1102" s="9"/>
    </row>
    <row r="1103">
      <c r="A1103" s="4"/>
      <c r="C1103" s="4"/>
      <c r="D1103" s="4"/>
      <c r="E1103" s="8"/>
      <c r="F1103" s="8"/>
      <c r="G1103" s="8"/>
      <c r="H1103" s="9"/>
    </row>
    <row r="1104">
      <c r="A1104" s="4"/>
      <c r="C1104" s="4"/>
      <c r="D1104" s="4"/>
      <c r="E1104" s="8"/>
      <c r="F1104" s="8"/>
      <c r="G1104" s="8"/>
      <c r="H1104" s="9"/>
    </row>
    <row r="1105">
      <c r="A1105" s="4"/>
      <c r="C1105" s="4"/>
      <c r="D1105" s="4"/>
      <c r="E1105" s="8"/>
      <c r="F1105" s="8"/>
      <c r="G1105" s="8"/>
      <c r="H1105" s="9"/>
    </row>
    <row r="1106">
      <c r="A1106" s="4"/>
      <c r="C1106" s="4"/>
      <c r="D1106" s="4"/>
      <c r="E1106" s="8"/>
      <c r="F1106" s="8"/>
      <c r="G1106" s="8"/>
      <c r="H1106" s="9"/>
    </row>
    <row r="1107">
      <c r="A1107" s="4"/>
      <c r="C1107" s="4"/>
      <c r="D1107" s="4"/>
      <c r="E1107" s="8"/>
      <c r="F1107" s="8"/>
      <c r="G1107" s="8"/>
      <c r="H1107" s="9"/>
    </row>
    <row r="1108">
      <c r="A1108" s="4"/>
      <c r="C1108" s="4"/>
      <c r="D1108" s="4"/>
      <c r="E1108" s="8"/>
      <c r="F1108" s="8"/>
      <c r="G1108" s="8"/>
      <c r="H1108" s="9"/>
    </row>
    <row r="1109">
      <c r="A1109" s="4"/>
      <c r="C1109" s="4"/>
      <c r="D1109" s="4"/>
      <c r="E1109" s="8"/>
      <c r="F1109" s="8"/>
      <c r="G1109" s="8"/>
      <c r="H1109" s="9"/>
    </row>
    <row r="1110">
      <c r="A1110" s="4"/>
      <c r="C1110" s="4"/>
      <c r="D1110" s="4"/>
      <c r="E1110" s="8"/>
      <c r="F1110" s="8"/>
      <c r="G1110" s="8"/>
      <c r="H1110" s="9"/>
    </row>
    <row r="1111">
      <c r="A1111" s="4"/>
      <c r="C1111" s="4"/>
      <c r="D1111" s="4"/>
      <c r="E1111" s="8"/>
      <c r="F1111" s="8"/>
      <c r="G1111" s="8"/>
      <c r="H1111" s="9"/>
    </row>
    <row r="1112">
      <c r="A1112" s="4"/>
      <c r="C1112" s="4"/>
      <c r="D1112" s="4"/>
      <c r="E1112" s="8"/>
      <c r="F1112" s="8"/>
      <c r="G1112" s="8"/>
      <c r="H1112" s="9"/>
    </row>
    <row r="1113">
      <c r="A1113" s="4"/>
      <c r="C1113" s="4"/>
      <c r="D1113" s="4"/>
      <c r="E1113" s="8"/>
      <c r="F1113" s="8"/>
      <c r="G1113" s="8"/>
      <c r="H1113" s="9"/>
    </row>
    <row r="1114">
      <c r="A1114" s="4"/>
      <c r="C1114" s="4"/>
      <c r="D1114" s="4"/>
      <c r="E1114" s="8"/>
      <c r="F1114" s="8"/>
      <c r="G1114" s="8"/>
      <c r="H1114" s="9"/>
    </row>
    <row r="1115">
      <c r="A1115" s="4"/>
      <c r="C1115" s="4"/>
      <c r="D1115" s="4"/>
      <c r="E1115" s="8"/>
      <c r="F1115" s="8"/>
      <c r="G1115" s="8"/>
      <c r="H1115" s="9"/>
    </row>
    <row r="1116">
      <c r="A1116" s="4"/>
      <c r="C1116" s="4"/>
      <c r="D1116" s="4"/>
      <c r="E1116" s="8"/>
      <c r="F1116" s="8"/>
      <c r="G1116" s="8"/>
      <c r="H1116" s="9"/>
    </row>
    <row r="1117">
      <c r="A1117" s="4"/>
      <c r="C1117" s="4"/>
      <c r="D1117" s="4"/>
      <c r="E1117" s="8"/>
      <c r="F1117" s="8"/>
      <c r="G1117" s="8"/>
      <c r="H1117" s="9"/>
    </row>
    <row r="1118">
      <c r="A1118" s="4"/>
      <c r="C1118" s="4"/>
      <c r="D1118" s="4"/>
      <c r="E1118" s="8"/>
      <c r="F1118" s="8"/>
      <c r="G1118" s="8"/>
      <c r="H1118" s="9"/>
    </row>
    <row r="1119">
      <c r="A1119" s="4"/>
      <c r="C1119" s="4"/>
      <c r="D1119" s="4"/>
      <c r="E1119" s="8"/>
      <c r="F1119" s="8"/>
      <c r="G1119" s="8"/>
      <c r="H1119" s="9"/>
    </row>
    <row r="1120">
      <c r="A1120" s="4"/>
      <c r="C1120" s="4"/>
      <c r="D1120" s="4"/>
      <c r="E1120" s="8"/>
      <c r="F1120" s="8"/>
      <c r="G1120" s="8"/>
      <c r="H1120" s="9"/>
    </row>
    <row r="1121">
      <c r="A1121" s="4"/>
      <c r="C1121" s="4"/>
      <c r="D1121" s="4"/>
      <c r="E1121" s="8"/>
      <c r="F1121" s="8"/>
      <c r="G1121" s="8"/>
      <c r="H1121" s="9"/>
    </row>
    <row r="1122">
      <c r="A1122" s="4"/>
      <c r="C1122" s="4"/>
      <c r="D1122" s="4"/>
      <c r="E1122" s="8"/>
      <c r="F1122" s="8"/>
      <c r="G1122" s="8"/>
      <c r="H1122" s="9"/>
    </row>
    <row r="1123">
      <c r="A1123" s="4"/>
      <c r="C1123" s="4"/>
      <c r="D1123" s="4"/>
      <c r="E1123" s="8"/>
      <c r="F1123" s="8"/>
      <c r="G1123" s="8"/>
      <c r="H1123" s="9"/>
    </row>
    <row r="1124">
      <c r="A1124" s="4"/>
      <c r="C1124" s="4"/>
      <c r="D1124" s="4"/>
      <c r="E1124" s="8"/>
      <c r="F1124" s="8"/>
      <c r="G1124" s="8"/>
      <c r="H1124" s="9"/>
    </row>
    <row r="1125">
      <c r="A1125" s="4"/>
      <c r="C1125" s="4"/>
      <c r="D1125" s="4"/>
      <c r="E1125" s="8"/>
      <c r="F1125" s="8"/>
      <c r="G1125" s="8"/>
      <c r="H1125" s="9"/>
    </row>
    <row r="1126">
      <c r="A1126" s="4"/>
      <c r="C1126" s="4"/>
      <c r="D1126" s="4"/>
      <c r="E1126" s="8"/>
      <c r="F1126" s="8"/>
      <c r="G1126" s="8"/>
      <c r="H1126" s="9"/>
    </row>
    <row r="1127">
      <c r="A1127" s="4"/>
      <c r="C1127" s="4"/>
      <c r="D1127" s="4"/>
      <c r="E1127" s="8"/>
      <c r="F1127" s="8"/>
      <c r="G1127" s="8"/>
      <c r="H1127" s="9"/>
    </row>
    <row r="1128">
      <c r="A1128" s="4"/>
      <c r="C1128" s="4"/>
      <c r="D1128" s="4"/>
      <c r="E1128" s="8"/>
      <c r="F1128" s="8"/>
      <c r="G1128" s="8"/>
      <c r="H1128" s="9"/>
    </row>
    <row r="1129">
      <c r="A1129" s="4"/>
      <c r="C1129" s="4"/>
      <c r="D1129" s="4"/>
      <c r="E1129" s="8"/>
      <c r="F1129" s="8"/>
      <c r="G1129" s="8"/>
      <c r="H1129" s="9"/>
    </row>
    <row r="1130">
      <c r="A1130" s="4"/>
      <c r="C1130" s="4"/>
      <c r="D1130" s="4"/>
      <c r="E1130" s="8"/>
      <c r="F1130" s="8"/>
      <c r="G1130" s="8"/>
      <c r="H1130" s="9"/>
    </row>
    <row r="1131">
      <c r="A1131" s="4"/>
      <c r="C1131" s="4"/>
      <c r="D1131" s="4"/>
      <c r="E1131" s="8"/>
      <c r="F1131" s="8"/>
      <c r="G1131" s="8"/>
      <c r="H1131" s="9"/>
    </row>
    <row r="1132">
      <c r="A1132" s="4"/>
      <c r="C1132" s="4"/>
      <c r="D1132" s="4"/>
      <c r="E1132" s="8"/>
      <c r="F1132" s="8"/>
      <c r="G1132" s="8"/>
      <c r="H1132" s="9"/>
    </row>
    <row r="1133">
      <c r="A1133" s="4"/>
      <c r="C1133" s="4"/>
      <c r="D1133" s="4"/>
      <c r="E1133" s="8"/>
      <c r="F1133" s="8"/>
      <c r="G1133" s="8"/>
      <c r="H1133" s="9"/>
    </row>
    <row r="1134">
      <c r="A1134" s="4"/>
      <c r="C1134" s="4"/>
      <c r="D1134" s="4"/>
      <c r="E1134" s="8"/>
      <c r="F1134" s="8"/>
      <c r="G1134" s="8"/>
      <c r="H1134" s="9"/>
    </row>
    <row r="1135">
      <c r="A1135" s="4"/>
      <c r="C1135" s="4"/>
      <c r="D1135" s="4"/>
      <c r="E1135" s="8"/>
      <c r="F1135" s="8"/>
      <c r="G1135" s="8"/>
      <c r="H1135" s="9"/>
    </row>
    <row r="1136">
      <c r="A1136" s="4"/>
      <c r="C1136" s="4"/>
      <c r="D1136" s="4"/>
      <c r="E1136" s="8"/>
      <c r="F1136" s="8"/>
      <c r="G1136" s="8"/>
      <c r="H1136" s="9"/>
    </row>
    <row r="1137">
      <c r="A1137" s="4"/>
      <c r="C1137" s="4"/>
      <c r="D1137" s="4"/>
      <c r="E1137" s="8"/>
      <c r="F1137" s="8"/>
      <c r="G1137" s="8"/>
      <c r="H1137" s="9"/>
    </row>
    <row r="1138">
      <c r="A1138" s="4"/>
      <c r="C1138" s="4"/>
      <c r="D1138" s="4"/>
      <c r="E1138" s="8"/>
      <c r="F1138" s="8"/>
      <c r="G1138" s="8"/>
      <c r="H1138" s="9"/>
    </row>
    <row r="1139">
      <c r="A1139" s="4"/>
      <c r="C1139" s="4"/>
      <c r="D1139" s="4"/>
      <c r="E1139" s="8"/>
      <c r="F1139" s="8"/>
      <c r="G1139" s="8"/>
      <c r="H1139" s="9"/>
    </row>
    <row r="1140">
      <c r="A1140" s="4"/>
      <c r="C1140" s="4"/>
      <c r="D1140" s="4"/>
      <c r="E1140" s="8"/>
      <c r="F1140" s="8"/>
      <c r="G1140" s="8"/>
      <c r="H1140" s="9"/>
    </row>
    <row r="1141">
      <c r="A1141" s="4"/>
      <c r="C1141" s="4"/>
      <c r="D1141" s="4"/>
      <c r="E1141" s="8"/>
      <c r="F1141" s="8"/>
      <c r="G1141" s="8"/>
      <c r="H1141" s="9"/>
    </row>
    <row r="1142">
      <c r="A1142" s="4"/>
      <c r="C1142" s="4"/>
      <c r="D1142" s="4"/>
      <c r="E1142" s="8"/>
      <c r="F1142" s="8"/>
      <c r="G1142" s="8"/>
      <c r="H1142" s="9"/>
    </row>
    <row r="1143">
      <c r="A1143" s="4"/>
      <c r="C1143" s="4"/>
      <c r="D1143" s="4"/>
      <c r="E1143" s="8"/>
      <c r="F1143" s="8"/>
      <c r="G1143" s="8"/>
      <c r="H1143" s="9"/>
    </row>
    <row r="1144">
      <c r="A1144" s="4"/>
      <c r="C1144" s="4"/>
      <c r="D1144" s="4"/>
      <c r="E1144" s="8"/>
      <c r="F1144" s="8"/>
      <c r="G1144" s="8"/>
      <c r="H1144" s="9"/>
    </row>
    <row r="1145">
      <c r="A1145" s="4"/>
      <c r="C1145" s="4"/>
      <c r="D1145" s="4"/>
      <c r="E1145" s="8"/>
      <c r="F1145" s="8"/>
      <c r="G1145" s="8"/>
      <c r="H1145" s="9"/>
    </row>
    <row r="1146">
      <c r="A1146" s="4"/>
      <c r="C1146" s="4"/>
      <c r="D1146" s="4"/>
      <c r="E1146" s="8"/>
      <c r="F1146" s="8"/>
      <c r="G1146" s="8"/>
      <c r="H1146" s="9"/>
    </row>
    <row r="1147">
      <c r="A1147" s="4"/>
      <c r="C1147" s="4"/>
      <c r="D1147" s="4"/>
      <c r="E1147" s="8"/>
      <c r="F1147" s="8"/>
      <c r="G1147" s="8"/>
      <c r="H1147" s="9"/>
    </row>
    <row r="1148">
      <c r="A1148" s="4"/>
      <c r="C1148" s="4"/>
      <c r="D1148" s="4"/>
      <c r="E1148" s="8"/>
      <c r="F1148" s="8"/>
      <c r="G1148" s="8"/>
      <c r="H1148" s="9"/>
    </row>
    <row r="1149">
      <c r="A1149" s="4"/>
      <c r="C1149" s="4"/>
      <c r="D1149" s="4"/>
      <c r="E1149" s="8"/>
      <c r="F1149" s="8"/>
      <c r="G1149" s="8"/>
      <c r="H1149" s="9"/>
    </row>
    <row r="1150">
      <c r="A1150" s="4"/>
      <c r="C1150" s="4"/>
      <c r="D1150" s="4"/>
      <c r="E1150" s="8"/>
      <c r="F1150" s="8"/>
      <c r="G1150" s="8"/>
      <c r="H1150" s="9"/>
    </row>
    <row r="1151">
      <c r="A1151" s="4"/>
      <c r="C1151" s="4"/>
      <c r="D1151" s="4"/>
      <c r="E1151" s="8"/>
      <c r="F1151" s="8"/>
      <c r="G1151" s="8"/>
      <c r="H1151" s="9"/>
    </row>
    <row r="1152">
      <c r="A1152" s="4"/>
      <c r="C1152" s="4"/>
      <c r="D1152" s="4"/>
      <c r="E1152" s="8"/>
      <c r="F1152" s="8"/>
      <c r="G1152" s="8"/>
      <c r="H1152" s="9"/>
    </row>
    <row r="1153">
      <c r="A1153" s="4"/>
      <c r="C1153" s="4"/>
      <c r="D1153" s="4"/>
      <c r="E1153" s="8"/>
      <c r="F1153" s="8"/>
      <c r="G1153" s="8"/>
      <c r="H1153" s="9"/>
    </row>
    <row r="1154">
      <c r="A1154" s="4"/>
      <c r="C1154" s="4"/>
      <c r="D1154" s="4"/>
      <c r="E1154" s="8"/>
      <c r="F1154" s="8"/>
      <c r="G1154" s="8"/>
      <c r="H1154" s="9"/>
    </row>
    <row r="1155">
      <c r="A1155" s="4"/>
      <c r="C1155" s="4"/>
      <c r="D1155" s="4"/>
      <c r="E1155" s="8"/>
      <c r="F1155" s="8"/>
      <c r="G1155" s="8"/>
      <c r="H1155" s="9"/>
    </row>
    <row r="1156">
      <c r="A1156" s="4"/>
      <c r="C1156" s="4"/>
      <c r="D1156" s="4"/>
      <c r="E1156" s="8"/>
      <c r="F1156" s="8"/>
      <c r="G1156" s="8"/>
      <c r="H1156" s="9"/>
    </row>
    <row r="1157">
      <c r="A1157" s="4"/>
      <c r="C1157" s="4"/>
      <c r="D1157" s="4"/>
      <c r="E1157" s="8"/>
      <c r="F1157" s="8"/>
      <c r="G1157" s="8"/>
      <c r="H1157" s="9"/>
    </row>
    <row r="1158">
      <c r="A1158" s="4"/>
      <c r="C1158" s="4"/>
      <c r="D1158" s="4"/>
      <c r="E1158" s="8"/>
      <c r="F1158" s="8"/>
      <c r="G1158" s="8"/>
      <c r="H1158" s="9"/>
    </row>
    <row r="1159">
      <c r="A1159" s="4"/>
      <c r="C1159" s="4"/>
      <c r="D1159" s="4"/>
      <c r="E1159" s="8"/>
      <c r="F1159" s="8"/>
      <c r="G1159" s="8"/>
      <c r="H1159" s="9"/>
    </row>
    <row r="1160">
      <c r="A1160" s="4"/>
      <c r="C1160" s="4"/>
      <c r="D1160" s="4"/>
      <c r="E1160" s="8"/>
      <c r="F1160" s="8"/>
      <c r="G1160" s="8"/>
      <c r="H1160" s="9"/>
    </row>
    <row r="1161">
      <c r="A1161" s="4"/>
      <c r="C1161" s="4"/>
      <c r="D1161" s="4"/>
      <c r="E1161" s="8"/>
      <c r="F1161" s="8"/>
      <c r="G1161" s="8"/>
      <c r="H1161" s="9"/>
    </row>
    <row r="1162">
      <c r="A1162" s="4"/>
      <c r="C1162" s="4"/>
      <c r="D1162" s="4"/>
      <c r="E1162" s="8"/>
      <c r="F1162" s="8"/>
      <c r="G1162" s="8"/>
      <c r="H1162" s="9"/>
    </row>
    <row r="1163">
      <c r="A1163" s="4"/>
      <c r="C1163" s="4"/>
      <c r="D1163" s="4"/>
      <c r="E1163" s="8"/>
      <c r="F1163" s="8"/>
      <c r="G1163" s="8"/>
      <c r="H1163" s="9"/>
    </row>
    <row r="1164">
      <c r="A1164" s="4"/>
      <c r="C1164" s="4"/>
      <c r="D1164" s="4"/>
      <c r="E1164" s="8"/>
      <c r="F1164" s="8"/>
      <c r="G1164" s="8"/>
      <c r="H1164" s="9"/>
    </row>
    <row r="1165">
      <c r="A1165" s="4"/>
      <c r="C1165" s="4"/>
      <c r="D1165" s="4"/>
      <c r="E1165" s="8"/>
      <c r="F1165" s="8"/>
      <c r="G1165" s="8"/>
      <c r="H1165" s="9"/>
    </row>
    <row r="1166">
      <c r="A1166" s="4"/>
      <c r="C1166" s="4"/>
      <c r="D1166" s="4"/>
      <c r="E1166" s="8"/>
      <c r="F1166" s="8"/>
      <c r="G1166" s="8"/>
      <c r="H1166" s="9"/>
    </row>
    <row r="1167">
      <c r="A1167" s="4"/>
      <c r="C1167" s="4"/>
      <c r="D1167" s="4"/>
      <c r="E1167" s="8"/>
      <c r="F1167" s="8"/>
      <c r="G1167" s="8"/>
      <c r="H1167" s="9"/>
    </row>
    <row r="1168">
      <c r="A1168" s="4"/>
      <c r="C1168" s="4"/>
      <c r="D1168" s="4"/>
      <c r="E1168" s="8"/>
      <c r="F1168" s="8"/>
      <c r="G1168" s="8"/>
      <c r="H1168" s="9"/>
    </row>
    <row r="1169">
      <c r="A1169" s="4"/>
      <c r="C1169" s="4"/>
      <c r="D1169" s="4"/>
      <c r="E1169" s="8"/>
      <c r="F1169" s="8"/>
      <c r="G1169" s="8"/>
      <c r="H1169" s="9"/>
    </row>
    <row r="1170">
      <c r="A1170" s="4"/>
      <c r="C1170" s="4"/>
      <c r="D1170" s="4"/>
      <c r="E1170" s="8"/>
      <c r="F1170" s="8"/>
      <c r="G1170" s="8"/>
      <c r="H1170" s="9"/>
    </row>
    <row r="1171">
      <c r="A1171" s="4"/>
      <c r="C1171" s="4"/>
      <c r="D1171" s="4"/>
      <c r="E1171" s="8"/>
      <c r="F1171" s="8"/>
      <c r="G1171" s="8"/>
      <c r="H1171" s="9"/>
    </row>
    <row r="1172">
      <c r="A1172" s="4"/>
      <c r="C1172" s="4"/>
      <c r="D1172" s="4"/>
      <c r="E1172" s="8"/>
      <c r="F1172" s="8"/>
      <c r="G1172" s="8"/>
      <c r="H1172" s="9"/>
    </row>
    <row r="1173">
      <c r="A1173" s="4"/>
      <c r="C1173" s="4"/>
      <c r="D1173" s="4"/>
      <c r="E1173" s="8"/>
      <c r="F1173" s="8"/>
      <c r="G1173" s="8"/>
      <c r="H1173" s="9"/>
    </row>
    <row r="1174">
      <c r="A1174" s="4"/>
      <c r="C1174" s="4"/>
      <c r="D1174" s="4"/>
      <c r="E1174" s="8"/>
      <c r="F1174" s="8"/>
      <c r="G1174" s="8"/>
      <c r="H1174" s="9"/>
    </row>
    <row r="1175">
      <c r="A1175" s="4"/>
      <c r="C1175" s="4"/>
      <c r="D1175" s="4"/>
      <c r="E1175" s="8"/>
      <c r="F1175" s="8"/>
      <c r="G1175" s="8"/>
      <c r="H1175" s="9"/>
    </row>
    <row r="1176">
      <c r="A1176" s="4"/>
      <c r="C1176" s="4"/>
      <c r="D1176" s="4"/>
      <c r="E1176" s="8"/>
      <c r="F1176" s="8"/>
      <c r="G1176" s="8"/>
      <c r="H1176" s="9"/>
    </row>
    <row r="1177">
      <c r="A1177" s="4"/>
      <c r="C1177" s="4"/>
      <c r="D1177" s="4"/>
      <c r="E1177" s="8"/>
      <c r="F1177" s="8"/>
      <c r="G1177" s="8"/>
      <c r="H1177" s="9"/>
    </row>
    <row r="1178">
      <c r="A1178" s="4"/>
      <c r="C1178" s="4"/>
      <c r="D1178" s="4"/>
      <c r="E1178" s="8"/>
      <c r="F1178" s="8"/>
      <c r="G1178" s="8"/>
      <c r="H1178" s="9"/>
    </row>
    <row r="1179">
      <c r="A1179" s="4"/>
      <c r="C1179" s="4"/>
      <c r="D1179" s="4"/>
      <c r="E1179" s="8"/>
      <c r="F1179" s="8"/>
      <c r="G1179" s="8"/>
      <c r="H1179" s="9"/>
    </row>
    <row r="1180">
      <c r="A1180" s="4"/>
      <c r="C1180" s="4"/>
      <c r="D1180" s="4"/>
      <c r="E1180" s="8"/>
      <c r="F1180" s="8"/>
      <c r="G1180" s="8"/>
      <c r="H1180" s="9"/>
    </row>
    <row r="1181">
      <c r="A1181" s="4"/>
      <c r="C1181" s="4"/>
      <c r="D1181" s="4"/>
      <c r="E1181" s="8"/>
      <c r="F1181" s="8"/>
      <c r="G1181" s="8"/>
      <c r="H1181" s="9"/>
    </row>
    <row r="1182">
      <c r="A1182" s="4"/>
      <c r="C1182" s="4"/>
      <c r="D1182" s="4"/>
      <c r="E1182" s="8"/>
      <c r="F1182" s="8"/>
      <c r="G1182" s="8"/>
      <c r="H1182" s="9"/>
    </row>
    <row r="1183">
      <c r="A1183" s="4"/>
      <c r="C1183" s="4"/>
      <c r="D1183" s="4"/>
      <c r="E1183" s="8"/>
      <c r="F1183" s="8"/>
      <c r="G1183" s="8"/>
      <c r="H1183" s="9"/>
    </row>
    <row r="1184">
      <c r="A1184" s="4"/>
      <c r="C1184" s="4"/>
      <c r="D1184" s="4"/>
      <c r="E1184" s="8"/>
      <c r="F1184" s="8"/>
      <c r="G1184" s="8"/>
      <c r="H1184" s="9"/>
    </row>
    <row r="1185">
      <c r="A1185" s="4"/>
      <c r="C1185" s="4"/>
      <c r="D1185" s="4"/>
      <c r="E1185" s="8"/>
      <c r="F1185" s="8"/>
      <c r="G1185" s="8"/>
      <c r="H1185" s="9"/>
    </row>
    <row r="1186">
      <c r="A1186" s="4"/>
      <c r="C1186" s="4"/>
      <c r="D1186" s="4"/>
      <c r="E1186" s="8"/>
      <c r="F1186" s="8"/>
      <c r="G1186" s="8"/>
      <c r="H1186" s="9"/>
    </row>
    <row r="1187">
      <c r="A1187" s="4"/>
      <c r="C1187" s="4"/>
      <c r="D1187" s="4"/>
      <c r="E1187" s="8"/>
      <c r="F1187" s="8"/>
      <c r="G1187" s="8"/>
      <c r="H1187" s="9"/>
    </row>
    <row r="1188">
      <c r="A1188" s="4"/>
      <c r="C1188" s="4"/>
      <c r="D1188" s="4"/>
      <c r="E1188" s="8"/>
      <c r="F1188" s="8"/>
      <c r="G1188" s="8"/>
      <c r="H1188" s="9"/>
    </row>
    <row r="1189">
      <c r="A1189" s="4"/>
      <c r="C1189" s="4"/>
      <c r="D1189" s="4"/>
      <c r="E1189" s="8"/>
      <c r="F1189" s="8"/>
      <c r="G1189" s="8"/>
      <c r="H1189" s="9"/>
    </row>
    <row r="1190">
      <c r="A1190" s="4"/>
      <c r="C1190" s="4"/>
      <c r="D1190" s="4"/>
      <c r="E1190" s="8"/>
      <c r="F1190" s="8"/>
      <c r="G1190" s="8"/>
      <c r="H1190" s="9"/>
    </row>
    <row r="1191">
      <c r="A1191" s="4"/>
      <c r="C1191" s="4"/>
      <c r="D1191" s="4"/>
      <c r="E1191" s="8"/>
      <c r="F1191" s="8"/>
      <c r="G1191" s="8"/>
      <c r="H1191" s="9"/>
    </row>
    <row r="1192">
      <c r="A1192" s="4"/>
      <c r="C1192" s="4"/>
      <c r="D1192" s="4"/>
      <c r="E1192" s="8"/>
      <c r="F1192" s="8"/>
      <c r="G1192" s="8"/>
      <c r="H1192" s="9"/>
    </row>
    <row r="1193">
      <c r="A1193" s="4"/>
      <c r="C1193" s="4"/>
      <c r="D1193" s="4"/>
      <c r="E1193" s="8"/>
      <c r="F1193" s="8"/>
      <c r="G1193" s="8"/>
      <c r="H1193" s="9"/>
    </row>
    <row r="1194">
      <c r="A1194" s="4"/>
      <c r="C1194" s="4"/>
      <c r="D1194" s="4"/>
      <c r="E1194" s="8"/>
      <c r="F1194" s="8"/>
      <c r="G1194" s="8"/>
      <c r="H1194" s="9"/>
    </row>
    <row r="1195">
      <c r="A1195" s="4"/>
      <c r="C1195" s="4"/>
      <c r="D1195" s="4"/>
      <c r="E1195" s="8"/>
      <c r="F1195" s="8"/>
      <c r="G1195" s="8"/>
      <c r="H1195" s="9"/>
    </row>
    <row r="1196">
      <c r="A1196" s="4"/>
      <c r="C1196" s="4"/>
      <c r="D1196" s="4"/>
      <c r="E1196" s="8"/>
      <c r="F1196" s="8"/>
      <c r="G1196" s="8"/>
      <c r="H1196" s="9"/>
    </row>
    <row r="1197">
      <c r="A1197" s="4"/>
      <c r="C1197" s="4"/>
      <c r="D1197" s="4"/>
      <c r="E1197" s="8"/>
      <c r="F1197" s="8"/>
      <c r="G1197" s="8"/>
      <c r="H1197" s="9"/>
    </row>
    <row r="1198">
      <c r="A1198" s="4"/>
      <c r="C1198" s="4"/>
      <c r="D1198" s="4"/>
      <c r="E1198" s="8"/>
      <c r="F1198" s="8"/>
      <c r="G1198" s="8"/>
      <c r="H1198" s="9"/>
    </row>
    <row r="1199">
      <c r="A1199" s="4"/>
      <c r="C1199" s="4"/>
      <c r="D1199" s="4"/>
      <c r="E1199" s="8"/>
      <c r="F1199" s="8"/>
      <c r="G1199" s="8"/>
      <c r="H1199" s="9"/>
    </row>
    <row r="1200">
      <c r="A1200" s="4"/>
      <c r="C1200" s="4"/>
      <c r="D1200" s="4"/>
      <c r="E1200" s="8"/>
      <c r="F1200" s="8"/>
      <c r="G1200" s="8"/>
      <c r="H1200" s="9"/>
    </row>
    <row r="1201">
      <c r="A1201" s="4"/>
      <c r="C1201" s="4"/>
      <c r="D1201" s="4"/>
      <c r="E1201" s="8"/>
      <c r="F1201" s="8"/>
      <c r="G1201" s="8"/>
      <c r="H1201" s="9"/>
    </row>
    <row r="1202">
      <c r="A1202" s="4"/>
      <c r="C1202" s="4"/>
      <c r="D1202" s="4"/>
      <c r="E1202" s="8"/>
      <c r="F1202" s="8"/>
      <c r="G1202" s="8"/>
      <c r="H1202" s="9"/>
    </row>
    <row r="1203">
      <c r="A1203" s="4"/>
      <c r="C1203" s="4"/>
      <c r="D1203" s="4"/>
      <c r="E1203" s="8"/>
      <c r="F1203" s="8"/>
      <c r="G1203" s="8"/>
      <c r="H1203" s="9"/>
    </row>
    <row r="1204">
      <c r="A1204" s="4"/>
      <c r="C1204" s="4"/>
      <c r="D1204" s="4"/>
      <c r="E1204" s="8"/>
      <c r="F1204" s="8"/>
      <c r="G1204" s="8"/>
      <c r="H1204" s="9"/>
    </row>
    <row r="1205">
      <c r="A1205" s="4"/>
      <c r="C1205" s="4"/>
      <c r="D1205" s="4"/>
      <c r="E1205" s="8"/>
      <c r="F1205" s="8"/>
      <c r="G1205" s="8"/>
      <c r="H1205" s="9"/>
    </row>
    <row r="1206">
      <c r="A1206" s="4"/>
      <c r="C1206" s="4"/>
      <c r="D1206" s="4"/>
      <c r="E1206" s="8"/>
      <c r="F1206" s="8"/>
      <c r="G1206" s="8"/>
      <c r="H1206" s="9"/>
    </row>
    <row r="1207">
      <c r="A1207" s="4"/>
      <c r="C1207" s="4"/>
      <c r="D1207" s="4"/>
      <c r="E1207" s="8"/>
      <c r="F1207" s="8"/>
      <c r="G1207" s="8"/>
      <c r="H1207" s="9"/>
    </row>
    <row r="1208">
      <c r="A1208" s="4"/>
      <c r="C1208" s="4"/>
      <c r="D1208" s="4"/>
      <c r="E1208" s="8"/>
      <c r="F1208" s="8"/>
      <c r="G1208" s="8"/>
      <c r="H1208" s="9"/>
    </row>
    <row r="1209">
      <c r="A1209" s="4"/>
      <c r="C1209" s="4"/>
      <c r="D1209" s="4"/>
      <c r="E1209" s="8"/>
      <c r="F1209" s="8"/>
      <c r="G1209" s="8"/>
      <c r="H1209" s="9"/>
    </row>
    <row r="1210">
      <c r="A1210" s="4"/>
      <c r="C1210" s="4"/>
      <c r="D1210" s="4"/>
      <c r="E1210" s="8"/>
      <c r="F1210" s="8"/>
      <c r="G1210" s="8"/>
      <c r="H1210" s="9"/>
    </row>
    <row r="1211">
      <c r="A1211" s="4"/>
      <c r="C1211" s="4"/>
      <c r="D1211" s="4"/>
      <c r="E1211" s="8"/>
      <c r="F1211" s="8"/>
      <c r="G1211" s="8"/>
      <c r="H1211" s="9"/>
    </row>
    <row r="1212">
      <c r="A1212" s="4"/>
      <c r="C1212" s="4"/>
      <c r="D1212" s="4"/>
      <c r="E1212" s="8"/>
      <c r="F1212" s="8"/>
      <c r="G1212" s="8"/>
      <c r="H1212" s="9"/>
    </row>
    <row r="1213">
      <c r="A1213" s="4"/>
      <c r="C1213" s="4"/>
      <c r="D1213" s="4"/>
      <c r="E1213" s="8"/>
      <c r="F1213" s="8"/>
      <c r="G1213" s="8"/>
      <c r="H1213" s="9"/>
    </row>
    <row r="1214">
      <c r="A1214" s="4"/>
      <c r="C1214" s="4"/>
      <c r="D1214" s="4"/>
      <c r="E1214" s="8"/>
      <c r="F1214" s="8"/>
      <c r="G1214" s="8"/>
      <c r="H1214" s="9"/>
    </row>
    <row r="1215">
      <c r="A1215" s="4"/>
      <c r="C1215" s="4"/>
      <c r="D1215" s="4"/>
      <c r="E1215" s="8"/>
      <c r="F1215" s="8"/>
      <c r="G1215" s="8"/>
      <c r="H1215" s="9"/>
    </row>
    <row r="1216">
      <c r="A1216" s="4"/>
      <c r="C1216" s="4"/>
      <c r="D1216" s="4"/>
      <c r="E1216" s="8"/>
      <c r="F1216" s="8"/>
      <c r="G1216" s="8"/>
      <c r="H1216" s="9"/>
    </row>
    <row r="1217">
      <c r="A1217" s="4"/>
      <c r="C1217" s="4"/>
      <c r="D1217" s="4"/>
      <c r="E1217" s="8"/>
      <c r="F1217" s="8"/>
      <c r="G1217" s="8"/>
      <c r="H1217" s="9"/>
    </row>
    <row r="1218">
      <c r="A1218" s="4"/>
      <c r="C1218" s="4"/>
      <c r="D1218" s="4"/>
      <c r="E1218" s="8"/>
      <c r="F1218" s="8"/>
      <c r="G1218" s="8"/>
      <c r="H1218" s="9"/>
    </row>
    <row r="1219">
      <c r="A1219" s="4"/>
      <c r="C1219" s="4"/>
      <c r="D1219" s="4"/>
      <c r="E1219" s="8"/>
      <c r="F1219" s="8"/>
      <c r="G1219" s="8"/>
      <c r="H1219" s="9"/>
    </row>
    <row r="1220">
      <c r="A1220" s="4"/>
      <c r="C1220" s="4"/>
      <c r="D1220" s="4"/>
      <c r="E1220" s="8"/>
      <c r="F1220" s="8"/>
      <c r="G1220" s="8"/>
      <c r="H1220" s="9"/>
    </row>
    <row r="1221">
      <c r="A1221" s="4"/>
      <c r="C1221" s="4"/>
      <c r="D1221" s="4"/>
      <c r="E1221" s="8"/>
      <c r="F1221" s="8"/>
      <c r="G1221" s="8"/>
      <c r="H1221" s="9"/>
    </row>
    <row r="1222">
      <c r="A1222" s="4"/>
      <c r="C1222" s="4"/>
      <c r="D1222" s="4"/>
      <c r="E1222" s="8"/>
      <c r="F1222" s="8"/>
      <c r="G1222" s="8"/>
      <c r="H1222" s="9"/>
    </row>
    <row r="1223">
      <c r="A1223" s="4"/>
      <c r="C1223" s="4"/>
      <c r="D1223" s="4"/>
      <c r="E1223" s="8"/>
      <c r="F1223" s="8"/>
      <c r="G1223" s="8"/>
      <c r="H1223" s="9"/>
    </row>
    <row r="1224">
      <c r="A1224" s="4"/>
      <c r="C1224" s="4"/>
      <c r="D1224" s="4"/>
      <c r="E1224" s="8"/>
      <c r="F1224" s="8"/>
      <c r="G1224" s="8"/>
      <c r="H1224" s="9"/>
    </row>
    <row r="1225">
      <c r="A1225" s="4"/>
      <c r="C1225" s="4"/>
      <c r="D1225" s="4"/>
      <c r="E1225" s="8"/>
      <c r="F1225" s="8"/>
      <c r="G1225" s="8"/>
      <c r="H1225" s="9"/>
    </row>
    <row r="1226">
      <c r="A1226" s="4"/>
      <c r="C1226" s="4"/>
      <c r="D1226" s="4"/>
      <c r="E1226" s="8"/>
      <c r="F1226" s="8"/>
      <c r="G1226" s="8"/>
      <c r="H1226" s="9"/>
    </row>
    <row r="1227">
      <c r="A1227" s="4"/>
      <c r="C1227" s="4"/>
      <c r="D1227" s="4"/>
      <c r="E1227" s="8"/>
      <c r="F1227" s="8"/>
      <c r="G1227" s="8"/>
      <c r="H1227" s="9"/>
    </row>
    <row r="1228">
      <c r="A1228" s="4"/>
      <c r="C1228" s="4"/>
      <c r="D1228" s="4"/>
      <c r="E1228" s="8"/>
      <c r="F1228" s="8"/>
      <c r="G1228" s="8"/>
      <c r="H1228" s="9"/>
    </row>
    <row r="1229">
      <c r="A1229" s="4"/>
      <c r="C1229" s="4"/>
      <c r="D1229" s="4"/>
      <c r="E1229" s="8"/>
      <c r="F1229" s="8"/>
      <c r="G1229" s="8"/>
      <c r="H1229" s="9"/>
    </row>
    <row r="1230">
      <c r="A1230" s="4"/>
      <c r="C1230" s="4"/>
      <c r="D1230" s="4"/>
      <c r="E1230" s="8"/>
      <c r="F1230" s="8"/>
      <c r="G1230" s="8"/>
      <c r="H1230" s="9"/>
    </row>
    <row r="1231">
      <c r="A1231" s="4"/>
      <c r="C1231" s="4"/>
      <c r="D1231" s="4"/>
      <c r="E1231" s="8"/>
      <c r="F1231" s="8"/>
      <c r="G1231" s="8"/>
      <c r="H1231" s="9"/>
    </row>
    <row r="1232">
      <c r="A1232" s="4"/>
      <c r="C1232" s="4"/>
      <c r="D1232" s="4"/>
      <c r="E1232" s="8"/>
      <c r="F1232" s="8"/>
      <c r="G1232" s="8"/>
      <c r="H1232" s="9"/>
    </row>
    <row r="1233">
      <c r="A1233" s="4"/>
      <c r="C1233" s="4"/>
      <c r="D1233" s="4"/>
      <c r="E1233" s="8"/>
      <c r="F1233" s="8"/>
      <c r="G1233" s="8"/>
      <c r="H1233" s="9"/>
    </row>
    <row r="1234">
      <c r="A1234" s="4"/>
      <c r="C1234" s="4"/>
      <c r="D1234" s="4"/>
      <c r="E1234" s="8"/>
      <c r="F1234" s="8"/>
      <c r="G1234" s="8"/>
      <c r="H1234" s="9"/>
    </row>
    <row r="1235">
      <c r="A1235" s="4"/>
      <c r="C1235" s="4"/>
      <c r="D1235" s="4"/>
      <c r="E1235" s="8"/>
      <c r="F1235" s="8"/>
      <c r="G1235" s="8"/>
      <c r="H1235" s="9"/>
    </row>
    <row r="1236">
      <c r="A1236" s="4"/>
      <c r="C1236" s="4"/>
      <c r="D1236" s="4"/>
      <c r="E1236" s="8"/>
      <c r="F1236" s="8"/>
      <c r="G1236" s="8"/>
      <c r="H1236" s="9"/>
    </row>
    <row r="1237">
      <c r="A1237" s="4"/>
      <c r="C1237" s="4"/>
      <c r="D1237" s="4"/>
      <c r="E1237" s="8"/>
      <c r="F1237" s="8"/>
      <c r="G1237" s="8"/>
      <c r="H1237" s="9"/>
    </row>
    <row r="1238">
      <c r="A1238" s="4"/>
      <c r="C1238" s="4"/>
      <c r="D1238" s="4"/>
      <c r="E1238" s="8"/>
      <c r="F1238" s="8"/>
      <c r="G1238" s="8"/>
      <c r="H1238" s="9"/>
    </row>
    <row r="1239">
      <c r="A1239" s="4"/>
      <c r="C1239" s="4"/>
      <c r="D1239" s="4"/>
      <c r="E1239" s="8"/>
      <c r="F1239" s="8"/>
      <c r="G1239" s="8"/>
      <c r="H1239" s="9"/>
    </row>
    <row r="1240">
      <c r="A1240" s="4"/>
      <c r="C1240" s="4"/>
      <c r="D1240" s="4"/>
      <c r="E1240" s="8"/>
      <c r="F1240" s="8"/>
      <c r="G1240" s="8"/>
      <c r="H1240" s="9"/>
    </row>
    <row r="1241">
      <c r="A1241" s="4"/>
      <c r="C1241" s="4"/>
      <c r="D1241" s="4"/>
      <c r="E1241" s="8"/>
      <c r="F1241" s="8"/>
      <c r="G1241" s="8"/>
      <c r="H1241" s="9"/>
    </row>
    <row r="1242">
      <c r="A1242" s="4"/>
      <c r="C1242" s="4"/>
      <c r="D1242" s="4"/>
      <c r="E1242" s="8"/>
      <c r="F1242" s="8"/>
      <c r="G1242" s="8"/>
      <c r="H1242" s="9"/>
    </row>
    <row r="1243">
      <c r="A1243" s="4"/>
      <c r="C1243" s="4"/>
      <c r="D1243" s="4"/>
      <c r="E1243" s="8"/>
      <c r="F1243" s="8"/>
      <c r="G1243" s="8"/>
      <c r="H1243" s="9"/>
    </row>
    <row r="1244">
      <c r="A1244" s="4"/>
      <c r="C1244" s="4"/>
      <c r="D1244" s="4"/>
      <c r="E1244" s="8"/>
      <c r="F1244" s="8"/>
      <c r="G1244" s="8"/>
      <c r="H1244" s="9"/>
    </row>
    <row r="1245">
      <c r="A1245" s="4"/>
      <c r="C1245" s="4"/>
      <c r="D1245" s="4"/>
      <c r="E1245" s="8"/>
      <c r="F1245" s="8"/>
      <c r="G1245" s="8"/>
      <c r="H1245" s="9"/>
    </row>
    <row r="1246">
      <c r="A1246" s="4"/>
      <c r="C1246" s="4"/>
      <c r="D1246" s="4"/>
      <c r="E1246" s="8"/>
      <c r="F1246" s="8"/>
      <c r="G1246" s="8"/>
      <c r="H1246" s="9"/>
    </row>
    <row r="1247">
      <c r="A1247" s="4"/>
      <c r="C1247" s="4"/>
      <c r="D1247" s="4"/>
      <c r="E1247" s="8"/>
      <c r="F1247" s="8"/>
      <c r="G1247" s="8"/>
      <c r="H1247" s="9"/>
    </row>
    <row r="1248">
      <c r="A1248" s="4"/>
      <c r="C1248" s="4"/>
      <c r="D1248" s="4"/>
      <c r="E1248" s="8"/>
      <c r="F1248" s="8"/>
      <c r="G1248" s="8"/>
      <c r="H1248" s="9"/>
    </row>
    <row r="1249">
      <c r="A1249" s="4"/>
      <c r="C1249" s="4"/>
      <c r="D1249" s="4"/>
      <c r="E1249" s="8"/>
      <c r="F1249" s="8"/>
      <c r="G1249" s="8"/>
      <c r="H1249" s="9"/>
    </row>
    <row r="1250">
      <c r="A1250" s="4"/>
      <c r="C1250" s="4"/>
      <c r="D1250" s="4"/>
      <c r="E1250" s="8"/>
      <c r="F1250" s="8"/>
      <c r="G1250" s="8"/>
      <c r="H1250" s="9"/>
    </row>
    <row r="1251">
      <c r="A1251" s="4"/>
      <c r="C1251" s="4"/>
      <c r="D1251" s="4"/>
      <c r="E1251" s="8"/>
      <c r="F1251" s="8"/>
      <c r="G1251" s="8"/>
      <c r="H1251" s="9"/>
    </row>
    <row r="1252">
      <c r="A1252" s="4"/>
      <c r="C1252" s="4"/>
      <c r="D1252" s="4"/>
      <c r="E1252" s="8"/>
      <c r="F1252" s="8"/>
      <c r="G1252" s="8"/>
      <c r="H1252" s="9"/>
    </row>
    <row r="1253">
      <c r="A1253" s="4"/>
      <c r="C1253" s="4"/>
      <c r="D1253" s="4"/>
      <c r="E1253" s="8"/>
      <c r="F1253" s="8"/>
      <c r="G1253" s="8"/>
      <c r="H1253" s="9"/>
    </row>
    <row r="1254">
      <c r="A1254" s="4"/>
      <c r="C1254" s="4"/>
      <c r="D1254" s="4"/>
      <c r="E1254" s="8"/>
      <c r="F1254" s="8"/>
      <c r="G1254" s="8"/>
      <c r="H1254" s="9"/>
    </row>
    <row r="1255">
      <c r="A1255" s="4"/>
      <c r="C1255" s="4"/>
      <c r="D1255" s="4"/>
      <c r="E1255" s="8"/>
      <c r="F1255" s="8"/>
      <c r="G1255" s="8"/>
      <c r="H1255" s="9"/>
    </row>
    <row r="1256">
      <c r="A1256" s="4"/>
      <c r="C1256" s="4"/>
      <c r="D1256" s="4"/>
      <c r="E1256" s="8"/>
      <c r="F1256" s="8"/>
      <c r="G1256" s="8"/>
      <c r="H1256" s="9"/>
    </row>
    <row r="1257">
      <c r="A1257" s="4"/>
      <c r="C1257" s="4"/>
      <c r="D1257" s="4"/>
      <c r="E1257" s="8"/>
      <c r="F1257" s="8"/>
      <c r="G1257" s="8"/>
      <c r="H1257" s="9"/>
    </row>
    <row r="1258">
      <c r="A1258" s="4"/>
      <c r="C1258" s="4"/>
      <c r="D1258" s="4"/>
      <c r="E1258" s="8"/>
      <c r="F1258" s="8"/>
      <c r="G1258" s="8"/>
      <c r="H1258" s="9"/>
    </row>
    <row r="1259">
      <c r="A1259" s="4"/>
      <c r="C1259" s="4"/>
      <c r="D1259" s="4"/>
      <c r="E1259" s="8"/>
      <c r="F1259" s="8"/>
      <c r="G1259" s="8"/>
      <c r="H1259" s="9"/>
    </row>
    <row r="1260">
      <c r="A1260" s="4"/>
      <c r="C1260" s="4"/>
      <c r="D1260" s="4"/>
      <c r="E1260" s="8"/>
      <c r="F1260" s="8"/>
      <c r="G1260" s="8"/>
      <c r="H1260" s="9"/>
    </row>
    <row r="1261">
      <c r="A1261" s="4"/>
      <c r="C1261" s="4"/>
      <c r="D1261" s="4"/>
      <c r="E1261" s="8"/>
      <c r="F1261" s="8"/>
      <c r="G1261" s="8"/>
      <c r="H1261" s="9"/>
    </row>
    <row r="1262">
      <c r="A1262" s="4"/>
      <c r="C1262" s="4"/>
      <c r="D1262" s="4"/>
      <c r="E1262" s="8"/>
      <c r="F1262" s="8"/>
      <c r="G1262" s="8"/>
      <c r="H1262" s="9"/>
    </row>
    <row r="1263">
      <c r="A1263" s="4"/>
      <c r="C1263" s="4"/>
      <c r="D1263" s="4"/>
      <c r="E1263" s="8"/>
      <c r="F1263" s="8"/>
      <c r="G1263" s="8"/>
      <c r="H1263" s="9"/>
    </row>
    <row r="1264">
      <c r="A1264" s="4"/>
      <c r="C1264" s="4"/>
      <c r="D1264" s="4"/>
      <c r="E1264" s="8"/>
      <c r="F1264" s="8"/>
      <c r="G1264" s="8"/>
      <c r="H1264" s="9"/>
    </row>
    <row r="1265">
      <c r="A1265" s="4"/>
      <c r="C1265" s="4"/>
      <c r="D1265" s="4"/>
      <c r="E1265" s="8"/>
      <c r="F1265" s="8"/>
      <c r="G1265" s="8"/>
      <c r="H1265" s="9"/>
    </row>
    <row r="1266">
      <c r="A1266" s="4"/>
      <c r="C1266" s="4"/>
      <c r="D1266" s="4"/>
      <c r="E1266" s="8"/>
      <c r="F1266" s="8"/>
      <c r="G1266" s="8"/>
      <c r="H1266" s="9"/>
    </row>
    <row r="1267">
      <c r="A1267" s="4"/>
      <c r="C1267" s="4"/>
      <c r="D1267" s="4"/>
      <c r="E1267" s="8"/>
      <c r="F1267" s="8"/>
      <c r="G1267" s="8"/>
      <c r="H1267" s="9"/>
    </row>
    <row r="1268">
      <c r="A1268" s="4"/>
      <c r="C1268" s="4"/>
      <c r="D1268" s="4"/>
      <c r="E1268" s="8"/>
      <c r="F1268" s="8"/>
      <c r="G1268" s="8"/>
      <c r="H1268" s="9"/>
    </row>
    <row r="1269">
      <c r="A1269" s="4"/>
      <c r="C1269" s="4"/>
      <c r="D1269" s="4"/>
      <c r="E1269" s="8"/>
      <c r="F1269" s="8"/>
      <c r="G1269" s="8"/>
      <c r="H1269" s="9"/>
    </row>
    <row r="1270">
      <c r="A1270" s="4"/>
      <c r="C1270" s="4"/>
      <c r="D1270" s="4"/>
      <c r="E1270" s="8"/>
      <c r="F1270" s="8"/>
      <c r="G1270" s="8"/>
      <c r="H1270" s="9"/>
    </row>
    <row r="1271">
      <c r="A1271" s="4"/>
      <c r="C1271" s="4"/>
      <c r="D1271" s="4"/>
      <c r="E1271" s="8"/>
      <c r="F1271" s="8"/>
      <c r="G1271" s="8"/>
      <c r="H1271" s="9"/>
    </row>
    <row r="1272">
      <c r="A1272" s="4"/>
      <c r="C1272" s="4"/>
      <c r="D1272" s="4"/>
      <c r="E1272" s="8"/>
      <c r="F1272" s="8"/>
      <c r="G1272" s="8"/>
      <c r="H1272" s="9"/>
    </row>
    <row r="1273">
      <c r="A1273" s="4"/>
      <c r="C1273" s="4"/>
      <c r="D1273" s="4"/>
      <c r="E1273" s="8"/>
      <c r="F1273" s="8"/>
      <c r="G1273" s="8"/>
      <c r="H1273" s="9"/>
    </row>
    <row r="1274">
      <c r="A1274" s="4"/>
      <c r="C1274" s="4"/>
      <c r="D1274" s="4"/>
      <c r="E1274" s="8"/>
      <c r="F1274" s="8"/>
      <c r="G1274" s="8"/>
      <c r="H1274" s="9"/>
    </row>
    <row r="1275">
      <c r="A1275" s="4"/>
      <c r="C1275" s="4"/>
      <c r="D1275" s="4"/>
      <c r="E1275" s="8"/>
      <c r="F1275" s="8"/>
      <c r="G1275" s="8"/>
      <c r="H1275" s="9"/>
    </row>
    <row r="1276">
      <c r="A1276" s="4"/>
      <c r="C1276" s="4"/>
      <c r="D1276" s="4"/>
      <c r="E1276" s="8"/>
      <c r="F1276" s="8"/>
      <c r="G1276" s="8"/>
      <c r="H1276" s="9"/>
    </row>
    <row r="1277">
      <c r="A1277" s="4"/>
      <c r="C1277" s="4"/>
      <c r="D1277" s="4"/>
      <c r="E1277" s="8"/>
      <c r="F1277" s="8"/>
      <c r="G1277" s="8"/>
      <c r="H1277" s="9"/>
    </row>
    <row r="1278">
      <c r="A1278" s="4"/>
      <c r="C1278" s="4"/>
      <c r="D1278" s="4"/>
      <c r="E1278" s="8"/>
      <c r="F1278" s="8"/>
      <c r="G1278" s="8"/>
      <c r="H1278" s="9"/>
    </row>
    <row r="1279">
      <c r="A1279" s="4"/>
      <c r="C1279" s="4"/>
      <c r="D1279" s="4"/>
      <c r="E1279" s="8"/>
      <c r="F1279" s="8"/>
      <c r="G1279" s="8"/>
      <c r="H1279" s="9"/>
    </row>
    <row r="1280">
      <c r="A1280" s="4"/>
      <c r="C1280" s="4"/>
      <c r="D1280" s="4"/>
      <c r="E1280" s="8"/>
      <c r="F1280" s="8"/>
      <c r="G1280" s="8"/>
      <c r="H1280" s="9"/>
    </row>
    <row r="1281">
      <c r="A1281" s="4"/>
      <c r="C1281" s="4"/>
      <c r="D1281" s="4"/>
      <c r="E1281" s="8"/>
      <c r="F1281" s="8"/>
      <c r="G1281" s="8"/>
      <c r="H1281" s="9"/>
    </row>
    <row r="1282">
      <c r="A1282" s="4"/>
      <c r="C1282" s="4"/>
      <c r="D1282" s="4"/>
      <c r="E1282" s="8"/>
      <c r="F1282" s="8"/>
      <c r="G1282" s="8"/>
      <c r="H1282" s="9"/>
    </row>
    <row r="1283">
      <c r="A1283" s="4"/>
      <c r="C1283" s="4"/>
      <c r="D1283" s="4"/>
      <c r="E1283" s="8"/>
      <c r="F1283" s="8"/>
      <c r="G1283" s="8"/>
      <c r="H1283" s="9"/>
    </row>
    <row r="1284">
      <c r="A1284" s="4"/>
      <c r="C1284" s="4"/>
      <c r="D1284" s="4"/>
      <c r="E1284" s="8"/>
      <c r="F1284" s="8"/>
      <c r="G1284" s="8"/>
      <c r="H1284" s="9"/>
    </row>
    <row r="1285">
      <c r="A1285" s="4"/>
      <c r="C1285" s="4"/>
      <c r="D1285" s="4"/>
      <c r="E1285" s="8"/>
      <c r="F1285" s="8"/>
      <c r="G1285" s="8"/>
      <c r="H1285" s="9"/>
    </row>
    <row r="1286">
      <c r="A1286" s="4"/>
      <c r="C1286" s="4"/>
      <c r="D1286" s="4"/>
      <c r="E1286" s="8"/>
      <c r="F1286" s="8"/>
      <c r="G1286" s="8"/>
      <c r="H1286" s="9"/>
    </row>
    <row r="1287">
      <c r="A1287" s="4"/>
      <c r="C1287" s="4"/>
      <c r="D1287" s="4"/>
      <c r="E1287" s="8"/>
      <c r="F1287" s="8"/>
      <c r="G1287" s="8"/>
      <c r="H1287" s="9"/>
    </row>
    <row r="1288">
      <c r="A1288" s="4"/>
      <c r="C1288" s="4"/>
      <c r="D1288" s="4"/>
      <c r="E1288" s="8"/>
      <c r="F1288" s="8"/>
      <c r="G1288" s="8"/>
      <c r="H1288" s="9"/>
    </row>
    <row r="1289">
      <c r="A1289" s="4"/>
      <c r="C1289" s="4"/>
      <c r="D1289" s="4"/>
      <c r="E1289" s="8"/>
      <c r="F1289" s="8"/>
      <c r="G1289" s="8"/>
      <c r="H1289" s="9"/>
    </row>
    <row r="1290">
      <c r="A1290" s="4"/>
      <c r="C1290" s="4"/>
      <c r="D1290" s="4"/>
      <c r="E1290" s="8"/>
      <c r="F1290" s="8"/>
      <c r="G1290" s="8"/>
      <c r="H1290" s="9"/>
    </row>
    <row r="1291">
      <c r="A1291" s="4"/>
      <c r="C1291" s="4"/>
      <c r="D1291" s="4"/>
      <c r="E1291" s="8"/>
      <c r="F1291" s="8"/>
      <c r="G1291" s="8"/>
      <c r="H1291" s="9"/>
    </row>
    <row r="1292">
      <c r="A1292" s="4"/>
      <c r="C1292" s="4"/>
      <c r="D1292" s="4"/>
      <c r="E1292" s="8"/>
      <c r="F1292" s="8"/>
      <c r="G1292" s="8"/>
      <c r="H1292" s="9"/>
    </row>
    <row r="1293">
      <c r="A1293" s="4"/>
      <c r="C1293" s="4"/>
      <c r="D1293" s="4"/>
      <c r="E1293" s="8"/>
      <c r="F1293" s="8"/>
      <c r="G1293" s="8"/>
      <c r="H1293" s="9"/>
    </row>
    <row r="1294">
      <c r="A1294" s="4"/>
      <c r="C1294" s="4"/>
      <c r="D1294" s="4"/>
      <c r="E1294" s="8"/>
      <c r="F1294" s="8"/>
      <c r="G1294" s="8"/>
      <c r="H1294" s="9"/>
    </row>
    <row r="1295">
      <c r="A1295" s="4"/>
      <c r="C1295" s="4"/>
      <c r="D1295" s="4"/>
      <c r="E1295" s="8"/>
      <c r="F1295" s="8"/>
      <c r="G1295" s="8"/>
      <c r="H1295" s="9"/>
    </row>
    <row r="1296">
      <c r="A1296" s="4"/>
      <c r="C1296" s="4"/>
      <c r="D1296" s="4"/>
      <c r="E1296" s="8"/>
      <c r="F1296" s="8"/>
      <c r="G1296" s="8"/>
      <c r="H1296" s="9"/>
    </row>
    <row r="1297">
      <c r="A1297" s="4"/>
      <c r="C1297" s="4"/>
      <c r="D1297" s="4"/>
      <c r="E1297" s="8"/>
      <c r="F1297" s="8"/>
      <c r="G1297" s="8"/>
      <c r="H1297" s="9"/>
    </row>
    <row r="1298">
      <c r="A1298" s="4"/>
      <c r="C1298" s="4"/>
      <c r="D1298" s="4"/>
      <c r="E1298" s="8"/>
      <c r="F1298" s="8"/>
      <c r="G1298" s="8"/>
      <c r="H1298" s="9"/>
    </row>
    <row r="1299">
      <c r="A1299" s="4"/>
      <c r="C1299" s="4"/>
      <c r="D1299" s="4"/>
      <c r="E1299" s="8"/>
      <c r="F1299" s="8"/>
      <c r="G1299" s="8"/>
      <c r="H1299" s="9"/>
    </row>
    <row r="1300">
      <c r="A1300" s="4"/>
      <c r="C1300" s="4"/>
      <c r="D1300" s="4"/>
      <c r="E1300" s="8"/>
      <c r="F1300" s="8"/>
      <c r="G1300" s="8"/>
      <c r="H1300" s="9"/>
    </row>
    <row r="1301">
      <c r="A1301" s="4"/>
      <c r="C1301" s="4"/>
      <c r="D1301" s="4"/>
      <c r="E1301" s="8"/>
      <c r="F1301" s="8"/>
      <c r="G1301" s="8"/>
      <c r="H1301" s="9"/>
    </row>
    <row r="1302">
      <c r="A1302" s="4"/>
      <c r="C1302" s="4"/>
      <c r="D1302" s="4"/>
      <c r="E1302" s="8"/>
      <c r="F1302" s="8"/>
      <c r="G1302" s="8"/>
      <c r="H1302" s="9"/>
    </row>
    <row r="1303">
      <c r="A1303" s="4"/>
      <c r="C1303" s="4"/>
      <c r="D1303" s="4"/>
      <c r="E1303" s="8"/>
      <c r="F1303" s="8"/>
      <c r="G1303" s="8"/>
      <c r="H1303" s="9"/>
    </row>
    <row r="1304">
      <c r="A1304" s="4"/>
      <c r="C1304" s="4"/>
      <c r="D1304" s="4"/>
      <c r="E1304" s="8"/>
      <c r="F1304" s="8"/>
      <c r="G1304" s="8"/>
      <c r="H1304" s="9"/>
    </row>
    <row r="1305">
      <c r="A1305" s="4"/>
      <c r="C1305" s="4"/>
      <c r="D1305" s="4"/>
      <c r="E1305" s="8"/>
      <c r="F1305" s="8"/>
      <c r="G1305" s="8"/>
      <c r="H1305" s="9"/>
    </row>
    <row r="1306">
      <c r="A1306" s="4"/>
      <c r="C1306" s="4"/>
      <c r="D1306" s="4"/>
      <c r="E1306" s="8"/>
      <c r="F1306" s="8"/>
      <c r="G1306" s="8"/>
      <c r="H1306" s="9"/>
    </row>
    <row r="1307">
      <c r="A1307" s="4"/>
      <c r="C1307" s="4"/>
      <c r="D1307" s="4"/>
      <c r="E1307" s="8"/>
      <c r="F1307" s="8"/>
      <c r="G1307" s="8"/>
      <c r="H1307" s="9"/>
    </row>
    <row r="1308">
      <c r="A1308" s="4"/>
      <c r="C1308" s="4"/>
      <c r="D1308" s="4"/>
      <c r="E1308" s="8"/>
      <c r="F1308" s="8"/>
      <c r="G1308" s="8"/>
      <c r="H1308" s="9"/>
    </row>
    <row r="1309">
      <c r="A1309" s="4"/>
      <c r="C1309" s="4"/>
      <c r="D1309" s="4"/>
      <c r="E1309" s="8"/>
      <c r="F1309" s="8"/>
      <c r="G1309" s="8"/>
      <c r="H1309" s="9"/>
    </row>
    <row r="1310">
      <c r="A1310" s="4"/>
      <c r="C1310" s="4"/>
      <c r="D1310" s="4"/>
      <c r="E1310" s="8"/>
      <c r="F1310" s="8"/>
      <c r="G1310" s="8"/>
      <c r="H1310" s="9"/>
    </row>
    <row r="1311">
      <c r="A1311" s="4"/>
      <c r="C1311" s="4"/>
      <c r="D1311" s="4"/>
      <c r="E1311" s="8"/>
      <c r="F1311" s="8"/>
      <c r="G1311" s="8"/>
      <c r="H1311" s="9"/>
    </row>
    <row r="1312">
      <c r="A1312" s="4"/>
      <c r="C1312" s="4"/>
      <c r="D1312" s="4"/>
      <c r="E1312" s="8"/>
      <c r="F1312" s="8"/>
      <c r="G1312" s="8"/>
      <c r="H1312" s="9"/>
    </row>
    <row r="1313">
      <c r="A1313" s="4"/>
      <c r="C1313" s="4"/>
      <c r="D1313" s="4"/>
      <c r="E1313" s="8"/>
      <c r="F1313" s="8"/>
      <c r="G1313" s="8"/>
      <c r="H1313" s="9"/>
    </row>
    <row r="1314">
      <c r="A1314" s="4"/>
      <c r="C1314" s="4"/>
      <c r="D1314" s="4"/>
      <c r="E1314" s="8"/>
      <c r="F1314" s="8"/>
      <c r="G1314" s="8"/>
      <c r="H1314" s="9"/>
    </row>
    <row r="1315">
      <c r="A1315" s="4"/>
      <c r="C1315" s="4"/>
      <c r="D1315" s="4"/>
      <c r="E1315" s="8"/>
      <c r="F1315" s="8"/>
      <c r="G1315" s="8"/>
      <c r="H1315" s="9"/>
    </row>
    <row r="1316">
      <c r="A1316" s="4"/>
      <c r="C1316" s="4"/>
      <c r="D1316" s="4"/>
      <c r="E1316" s="8"/>
      <c r="F1316" s="8"/>
      <c r="G1316" s="8"/>
      <c r="H1316" s="9"/>
    </row>
    <row r="1317">
      <c r="A1317" s="4"/>
      <c r="C1317" s="4"/>
      <c r="D1317" s="4"/>
      <c r="E1317" s="8"/>
      <c r="F1317" s="8"/>
      <c r="G1317" s="8"/>
      <c r="H1317" s="9"/>
    </row>
    <row r="1318">
      <c r="A1318" s="4"/>
      <c r="C1318" s="4"/>
      <c r="D1318" s="4"/>
      <c r="E1318" s="8"/>
      <c r="F1318" s="8"/>
      <c r="G1318" s="8"/>
      <c r="H1318" s="9"/>
    </row>
    <row r="1319">
      <c r="A1319" s="4"/>
      <c r="C1319" s="4"/>
      <c r="D1319" s="4"/>
      <c r="E1319" s="8"/>
      <c r="F1319" s="8"/>
      <c r="G1319" s="8"/>
      <c r="H1319" s="9"/>
    </row>
    <row r="1320">
      <c r="A1320" s="4"/>
      <c r="C1320" s="4"/>
      <c r="D1320" s="4"/>
      <c r="E1320" s="8"/>
      <c r="F1320" s="8"/>
      <c r="G1320" s="8"/>
      <c r="H1320" s="9"/>
    </row>
    <row r="1321">
      <c r="A1321" s="4"/>
      <c r="C1321" s="4"/>
      <c r="D1321" s="4"/>
      <c r="E1321" s="8"/>
      <c r="F1321" s="8"/>
      <c r="G1321" s="8"/>
      <c r="H1321" s="9"/>
    </row>
    <row r="1322">
      <c r="A1322" s="4"/>
      <c r="C1322" s="4"/>
      <c r="D1322" s="4"/>
      <c r="E1322" s="8"/>
      <c r="F1322" s="8"/>
      <c r="G1322" s="8"/>
      <c r="H1322" s="9"/>
    </row>
    <row r="1323">
      <c r="A1323" s="4"/>
      <c r="C1323" s="4"/>
      <c r="D1323" s="4"/>
      <c r="E1323" s="8"/>
      <c r="F1323" s="8"/>
      <c r="G1323" s="8"/>
      <c r="H1323" s="9"/>
    </row>
    <row r="1324">
      <c r="A1324" s="4"/>
      <c r="C1324" s="4"/>
      <c r="D1324" s="4"/>
      <c r="E1324" s="8"/>
      <c r="F1324" s="8"/>
      <c r="G1324" s="8"/>
      <c r="H1324" s="9"/>
    </row>
    <row r="1325">
      <c r="A1325" s="4"/>
      <c r="C1325" s="4"/>
      <c r="D1325" s="4"/>
      <c r="E1325" s="8"/>
      <c r="F1325" s="8"/>
      <c r="G1325" s="8"/>
      <c r="H1325" s="9"/>
    </row>
    <row r="1326">
      <c r="A1326" s="4"/>
      <c r="C1326" s="4"/>
      <c r="D1326" s="4"/>
      <c r="E1326" s="8"/>
      <c r="F1326" s="8"/>
      <c r="G1326" s="8"/>
      <c r="H1326" s="9"/>
    </row>
    <row r="1327">
      <c r="A1327" s="4"/>
      <c r="C1327" s="4"/>
      <c r="D1327" s="4"/>
      <c r="E1327" s="8"/>
      <c r="F1327" s="8"/>
      <c r="G1327" s="8"/>
      <c r="H1327" s="9"/>
    </row>
    <row r="1328">
      <c r="A1328" s="4"/>
      <c r="C1328" s="4"/>
      <c r="D1328" s="4"/>
      <c r="E1328" s="8"/>
      <c r="F1328" s="8"/>
      <c r="G1328" s="8"/>
      <c r="H1328" s="9"/>
    </row>
    <row r="1329">
      <c r="A1329" s="4"/>
      <c r="C1329" s="4"/>
      <c r="D1329" s="4"/>
      <c r="E1329" s="8"/>
      <c r="F1329" s="8"/>
      <c r="G1329" s="8"/>
      <c r="H1329" s="9"/>
    </row>
    <row r="1330">
      <c r="A1330" s="4"/>
      <c r="C1330" s="4"/>
      <c r="D1330" s="4"/>
      <c r="E1330" s="8"/>
      <c r="F1330" s="8"/>
      <c r="G1330" s="8"/>
      <c r="H1330" s="9"/>
    </row>
    <row r="1331">
      <c r="A1331" s="4"/>
      <c r="C1331" s="4"/>
      <c r="D1331" s="4"/>
      <c r="E1331" s="8"/>
      <c r="F1331" s="8"/>
      <c r="G1331" s="8"/>
      <c r="H1331" s="9"/>
    </row>
    <row r="1332">
      <c r="A1332" s="4"/>
      <c r="C1332" s="4"/>
      <c r="D1332" s="4"/>
      <c r="E1332" s="8"/>
      <c r="F1332" s="8"/>
      <c r="G1332" s="8"/>
      <c r="H1332" s="9"/>
    </row>
    <row r="1333">
      <c r="A1333" s="4"/>
      <c r="C1333" s="4"/>
      <c r="D1333" s="4"/>
      <c r="E1333" s="8"/>
      <c r="F1333" s="8"/>
      <c r="G1333" s="8"/>
      <c r="H1333" s="9"/>
    </row>
    <row r="1334">
      <c r="A1334" s="4"/>
      <c r="C1334" s="4"/>
      <c r="D1334" s="4"/>
      <c r="E1334" s="8"/>
      <c r="F1334" s="8"/>
      <c r="G1334" s="8"/>
      <c r="H1334" s="9"/>
    </row>
    <row r="1335">
      <c r="A1335" s="4"/>
      <c r="C1335" s="4"/>
      <c r="D1335" s="4"/>
      <c r="E1335" s="8"/>
      <c r="F1335" s="8"/>
      <c r="G1335" s="8"/>
      <c r="H1335" s="9"/>
    </row>
    <row r="1336">
      <c r="A1336" s="4"/>
      <c r="C1336" s="4"/>
      <c r="D1336" s="4"/>
      <c r="E1336" s="8"/>
      <c r="F1336" s="8"/>
      <c r="G1336" s="8"/>
      <c r="H1336" s="9"/>
    </row>
    <row r="1337">
      <c r="A1337" s="4"/>
      <c r="C1337" s="4"/>
      <c r="D1337" s="4"/>
      <c r="E1337" s="8"/>
      <c r="F1337" s="8"/>
      <c r="G1337" s="8"/>
      <c r="H1337" s="9"/>
    </row>
    <row r="1338">
      <c r="A1338" s="4"/>
      <c r="C1338" s="4"/>
      <c r="D1338" s="4"/>
      <c r="E1338" s="8"/>
      <c r="F1338" s="8"/>
      <c r="G1338" s="8"/>
      <c r="H1338" s="9"/>
    </row>
    <row r="1339">
      <c r="A1339" s="4"/>
      <c r="C1339" s="4"/>
      <c r="D1339" s="4"/>
      <c r="E1339" s="8"/>
      <c r="F1339" s="8"/>
      <c r="G1339" s="8"/>
      <c r="H1339" s="9"/>
    </row>
    <row r="1340">
      <c r="A1340" s="4"/>
      <c r="C1340" s="4"/>
      <c r="D1340" s="4"/>
      <c r="E1340" s="8"/>
      <c r="F1340" s="8"/>
      <c r="G1340" s="8"/>
      <c r="H1340" s="9"/>
    </row>
    <row r="1341">
      <c r="A1341" s="4"/>
      <c r="C1341" s="4"/>
      <c r="D1341" s="4"/>
      <c r="E1341" s="8"/>
      <c r="F1341" s="8"/>
      <c r="G1341" s="8"/>
      <c r="H1341" s="9"/>
    </row>
    <row r="1342">
      <c r="A1342" s="4"/>
      <c r="C1342" s="4"/>
      <c r="D1342" s="4"/>
      <c r="E1342" s="8"/>
      <c r="F1342" s="8"/>
      <c r="G1342" s="8"/>
      <c r="H1342" s="9"/>
    </row>
    <row r="1343">
      <c r="A1343" s="4"/>
      <c r="C1343" s="4"/>
      <c r="D1343" s="4"/>
      <c r="E1343" s="8"/>
      <c r="F1343" s="8"/>
      <c r="G1343" s="8"/>
      <c r="H1343" s="9"/>
    </row>
    <row r="1344">
      <c r="A1344" s="4"/>
      <c r="C1344" s="4"/>
      <c r="D1344" s="4"/>
      <c r="E1344" s="8"/>
      <c r="F1344" s="8"/>
      <c r="G1344" s="8"/>
      <c r="H1344" s="9"/>
    </row>
    <row r="1345">
      <c r="A1345" s="4"/>
      <c r="C1345" s="4"/>
      <c r="D1345" s="4"/>
      <c r="E1345" s="8"/>
      <c r="F1345" s="8"/>
      <c r="G1345" s="8"/>
      <c r="H1345" s="9"/>
    </row>
    <row r="1346">
      <c r="A1346" s="4"/>
      <c r="C1346" s="4"/>
      <c r="D1346" s="4"/>
      <c r="E1346" s="8"/>
      <c r="F1346" s="8"/>
      <c r="G1346" s="8"/>
      <c r="H1346" s="9"/>
    </row>
    <row r="1347">
      <c r="A1347" s="4"/>
      <c r="C1347" s="4"/>
      <c r="D1347" s="4"/>
      <c r="E1347" s="8"/>
      <c r="F1347" s="8"/>
      <c r="G1347" s="8"/>
      <c r="H1347" s="9"/>
    </row>
    <row r="1348">
      <c r="A1348" s="4"/>
      <c r="C1348" s="4"/>
      <c r="D1348" s="4"/>
      <c r="E1348" s="8"/>
      <c r="F1348" s="8"/>
      <c r="G1348" s="8"/>
      <c r="H1348" s="9"/>
    </row>
    <row r="1349">
      <c r="A1349" s="4"/>
      <c r="C1349" s="4"/>
      <c r="D1349" s="4"/>
      <c r="E1349" s="8"/>
      <c r="F1349" s="8"/>
      <c r="G1349" s="8"/>
      <c r="H1349" s="9"/>
    </row>
    <row r="1350">
      <c r="A1350" s="4"/>
      <c r="C1350" s="4"/>
      <c r="D1350" s="4"/>
      <c r="E1350" s="8"/>
      <c r="F1350" s="8"/>
      <c r="G1350" s="8"/>
      <c r="H1350" s="9"/>
    </row>
    <row r="1351">
      <c r="A1351" s="4"/>
      <c r="C1351" s="4"/>
      <c r="D1351" s="4"/>
      <c r="E1351" s="8"/>
      <c r="F1351" s="8"/>
      <c r="G1351" s="8"/>
      <c r="H1351" s="9"/>
    </row>
    <row r="1352">
      <c r="A1352" s="4"/>
      <c r="C1352" s="4"/>
      <c r="D1352" s="4"/>
      <c r="E1352" s="8"/>
      <c r="F1352" s="8"/>
      <c r="G1352" s="8"/>
      <c r="H1352" s="9"/>
    </row>
    <row r="1353">
      <c r="A1353" s="4"/>
      <c r="C1353" s="4"/>
      <c r="D1353" s="4"/>
      <c r="E1353" s="8"/>
      <c r="F1353" s="8"/>
      <c r="G1353" s="8"/>
      <c r="H1353" s="9"/>
    </row>
    <row r="1354">
      <c r="A1354" s="4"/>
      <c r="C1354" s="4"/>
      <c r="D1354" s="4"/>
      <c r="E1354" s="8"/>
      <c r="F1354" s="8"/>
      <c r="G1354" s="8"/>
      <c r="H1354" s="9"/>
    </row>
    <row r="1355">
      <c r="A1355" s="4"/>
      <c r="C1355" s="4"/>
      <c r="D1355" s="4"/>
      <c r="E1355" s="8"/>
      <c r="F1355" s="8"/>
      <c r="G1355" s="8"/>
      <c r="H1355" s="9"/>
    </row>
    <row r="1356">
      <c r="A1356" s="4"/>
      <c r="C1356" s="4"/>
      <c r="D1356" s="4"/>
      <c r="E1356" s="8"/>
      <c r="F1356" s="8"/>
      <c r="G1356" s="8"/>
      <c r="H1356" s="9"/>
    </row>
    <row r="1357">
      <c r="A1357" s="4"/>
      <c r="C1357" s="4"/>
      <c r="D1357" s="4"/>
      <c r="E1357" s="8"/>
      <c r="F1357" s="8"/>
      <c r="G1357" s="8"/>
      <c r="H1357" s="9"/>
    </row>
    <row r="1358">
      <c r="A1358" s="4"/>
      <c r="C1358" s="4"/>
      <c r="D1358" s="4"/>
      <c r="E1358" s="8"/>
      <c r="F1358" s="8"/>
      <c r="G1358" s="8"/>
      <c r="H1358" s="9"/>
    </row>
    <row r="1359">
      <c r="A1359" s="4"/>
      <c r="C1359" s="4"/>
      <c r="D1359" s="4"/>
      <c r="E1359" s="8"/>
      <c r="F1359" s="8"/>
      <c r="G1359" s="8"/>
      <c r="H1359" s="9"/>
    </row>
    <row r="1360">
      <c r="A1360" s="4"/>
      <c r="C1360" s="4"/>
      <c r="D1360" s="4"/>
      <c r="E1360" s="8"/>
      <c r="F1360" s="8"/>
      <c r="G1360" s="8"/>
      <c r="H1360" s="9"/>
    </row>
    <row r="1361">
      <c r="A1361" s="4"/>
      <c r="C1361" s="4"/>
      <c r="D1361" s="4"/>
      <c r="E1361" s="8"/>
      <c r="F1361" s="8"/>
      <c r="G1361" s="8"/>
      <c r="H1361" s="9"/>
    </row>
    <row r="1362">
      <c r="A1362" s="4"/>
      <c r="C1362" s="4"/>
      <c r="D1362" s="4"/>
      <c r="E1362" s="8"/>
      <c r="F1362" s="8"/>
      <c r="G1362" s="8"/>
      <c r="H1362" s="9"/>
    </row>
    <row r="1363">
      <c r="A1363" s="4"/>
      <c r="C1363" s="4"/>
      <c r="D1363" s="4"/>
      <c r="E1363" s="8"/>
      <c r="F1363" s="8"/>
      <c r="G1363" s="8"/>
      <c r="H1363" s="9"/>
    </row>
    <row r="1364">
      <c r="A1364" s="4"/>
      <c r="C1364" s="4"/>
      <c r="D1364" s="4"/>
      <c r="E1364" s="8"/>
      <c r="F1364" s="8"/>
      <c r="G1364" s="8"/>
      <c r="H1364" s="9"/>
    </row>
    <row r="1365">
      <c r="A1365" s="4"/>
      <c r="C1365" s="4"/>
      <c r="D1365" s="4"/>
      <c r="E1365" s="8"/>
      <c r="F1365" s="8"/>
      <c r="G1365" s="8"/>
      <c r="H1365" s="9"/>
    </row>
    <row r="1366">
      <c r="A1366" s="4"/>
      <c r="C1366" s="4"/>
      <c r="D1366" s="4"/>
      <c r="E1366" s="8"/>
      <c r="F1366" s="8"/>
      <c r="G1366" s="8"/>
      <c r="H1366" s="9"/>
    </row>
    <row r="1367">
      <c r="A1367" s="4"/>
      <c r="C1367" s="4"/>
      <c r="D1367" s="4"/>
      <c r="E1367" s="8"/>
      <c r="F1367" s="8"/>
      <c r="G1367" s="8"/>
      <c r="H1367" s="9"/>
    </row>
    <row r="1368">
      <c r="A1368" s="4"/>
      <c r="C1368" s="4"/>
      <c r="D1368" s="4"/>
      <c r="E1368" s="8"/>
      <c r="F1368" s="8"/>
      <c r="G1368" s="8"/>
      <c r="H1368" s="9"/>
    </row>
    <row r="1369">
      <c r="A1369" s="4"/>
      <c r="C1369" s="4"/>
      <c r="D1369" s="4"/>
      <c r="E1369" s="8"/>
      <c r="F1369" s="8"/>
      <c r="G1369" s="8"/>
      <c r="H1369" s="9"/>
    </row>
    <row r="1370">
      <c r="A1370" s="4"/>
      <c r="C1370" s="4"/>
      <c r="D1370" s="4"/>
      <c r="E1370" s="8"/>
      <c r="F1370" s="8"/>
      <c r="G1370" s="8"/>
      <c r="H1370" s="9"/>
    </row>
    <row r="1371">
      <c r="A1371" s="4"/>
      <c r="C1371" s="4"/>
      <c r="D1371" s="4"/>
      <c r="E1371" s="8"/>
      <c r="F1371" s="8"/>
      <c r="G1371" s="8"/>
      <c r="H1371" s="9"/>
    </row>
    <row r="1372">
      <c r="A1372" s="4"/>
      <c r="C1372" s="4"/>
      <c r="D1372" s="4"/>
      <c r="E1372" s="8"/>
      <c r="F1372" s="8"/>
      <c r="G1372" s="8"/>
      <c r="H1372" s="9"/>
    </row>
    <row r="1373">
      <c r="A1373" s="4"/>
      <c r="C1373" s="4"/>
      <c r="D1373" s="4"/>
      <c r="E1373" s="8"/>
      <c r="F1373" s="8"/>
      <c r="G1373" s="8"/>
      <c r="H1373" s="9"/>
    </row>
    <row r="1374">
      <c r="A1374" s="4"/>
      <c r="C1374" s="4"/>
      <c r="D1374" s="4"/>
      <c r="E1374" s="8"/>
      <c r="F1374" s="8"/>
      <c r="G1374" s="8"/>
      <c r="H1374" s="9"/>
    </row>
    <row r="1375">
      <c r="A1375" s="4"/>
      <c r="C1375" s="4"/>
      <c r="D1375" s="4"/>
      <c r="E1375" s="8"/>
      <c r="F1375" s="8"/>
      <c r="G1375" s="8"/>
      <c r="H1375" s="9"/>
    </row>
    <row r="1376">
      <c r="A1376" s="4"/>
      <c r="C1376" s="4"/>
      <c r="D1376" s="4"/>
      <c r="E1376" s="8"/>
      <c r="F1376" s="8"/>
      <c r="G1376" s="8"/>
      <c r="H1376" s="9"/>
    </row>
    <row r="1377">
      <c r="A1377" s="4"/>
      <c r="C1377" s="4"/>
      <c r="D1377" s="4"/>
      <c r="E1377" s="8"/>
      <c r="F1377" s="8"/>
      <c r="G1377" s="8"/>
      <c r="H1377" s="9"/>
    </row>
    <row r="1378">
      <c r="A1378" s="4"/>
      <c r="C1378" s="4"/>
      <c r="D1378" s="4"/>
      <c r="E1378" s="8"/>
      <c r="F1378" s="8"/>
      <c r="G1378" s="8"/>
      <c r="H1378" s="9"/>
    </row>
    <row r="1379">
      <c r="A1379" s="4"/>
      <c r="C1379" s="4"/>
      <c r="D1379" s="4"/>
      <c r="E1379" s="8"/>
      <c r="F1379" s="8"/>
      <c r="G1379" s="8"/>
      <c r="H1379" s="9"/>
    </row>
    <row r="1380">
      <c r="A1380" s="4"/>
      <c r="C1380" s="4"/>
      <c r="D1380" s="4"/>
      <c r="E1380" s="8"/>
      <c r="F1380" s="8"/>
      <c r="G1380" s="8"/>
      <c r="H1380" s="9"/>
    </row>
    <row r="1381">
      <c r="A1381" s="4"/>
      <c r="C1381" s="4"/>
      <c r="D1381" s="4"/>
      <c r="E1381" s="8"/>
      <c r="F1381" s="8"/>
      <c r="G1381" s="8"/>
      <c r="H1381" s="9"/>
    </row>
    <row r="1382">
      <c r="A1382" s="4"/>
      <c r="C1382" s="4"/>
      <c r="D1382" s="4"/>
      <c r="E1382" s="8"/>
      <c r="F1382" s="8"/>
      <c r="G1382" s="8"/>
      <c r="H1382" s="9"/>
    </row>
    <row r="1383">
      <c r="A1383" s="4"/>
      <c r="C1383" s="4"/>
      <c r="D1383" s="4"/>
      <c r="E1383" s="8"/>
      <c r="F1383" s="8"/>
      <c r="G1383" s="8"/>
      <c r="H1383" s="9"/>
    </row>
    <row r="1384">
      <c r="A1384" s="4"/>
      <c r="C1384" s="4"/>
      <c r="D1384" s="4"/>
      <c r="E1384" s="8"/>
      <c r="F1384" s="8"/>
      <c r="G1384" s="8"/>
      <c r="H1384" s="9"/>
    </row>
    <row r="1385">
      <c r="A1385" s="4"/>
      <c r="C1385" s="4"/>
      <c r="D1385" s="4"/>
      <c r="E1385" s="8"/>
      <c r="F1385" s="8"/>
      <c r="G1385" s="8"/>
      <c r="H1385" s="9"/>
    </row>
    <row r="1386">
      <c r="A1386" s="4"/>
      <c r="C1386" s="4"/>
      <c r="D1386" s="4"/>
      <c r="E1386" s="8"/>
      <c r="F1386" s="8"/>
      <c r="G1386" s="8"/>
      <c r="H1386" s="9"/>
    </row>
    <row r="1387">
      <c r="A1387" s="4"/>
      <c r="C1387" s="4"/>
      <c r="D1387" s="4"/>
      <c r="E1387" s="8"/>
      <c r="F1387" s="8"/>
      <c r="G1387" s="8"/>
      <c r="H1387" s="9"/>
    </row>
    <row r="1388">
      <c r="A1388" s="4"/>
      <c r="C1388" s="4"/>
      <c r="D1388" s="4"/>
      <c r="E1388" s="8"/>
      <c r="F1388" s="8"/>
      <c r="G1388" s="8"/>
      <c r="H1388" s="9"/>
    </row>
    <row r="1389">
      <c r="A1389" s="4"/>
      <c r="C1389" s="4"/>
      <c r="D1389" s="4"/>
      <c r="E1389" s="8"/>
      <c r="F1389" s="8"/>
      <c r="G1389" s="8"/>
      <c r="H1389" s="9"/>
    </row>
    <row r="1390">
      <c r="A1390" s="4"/>
      <c r="C1390" s="4"/>
      <c r="D1390" s="4"/>
      <c r="E1390" s="8"/>
      <c r="F1390" s="8"/>
      <c r="G1390" s="8"/>
      <c r="H1390" s="9"/>
    </row>
    <row r="1391">
      <c r="A1391" s="4"/>
      <c r="C1391" s="4"/>
      <c r="D1391" s="4"/>
      <c r="E1391" s="8"/>
      <c r="F1391" s="8"/>
      <c r="G1391" s="8"/>
      <c r="H1391" s="9"/>
    </row>
    <row r="1392">
      <c r="A1392" s="4"/>
      <c r="C1392" s="4"/>
      <c r="D1392" s="4"/>
      <c r="E1392" s="8"/>
      <c r="F1392" s="8"/>
      <c r="G1392" s="8"/>
      <c r="H1392" s="9"/>
    </row>
    <row r="1393">
      <c r="A1393" s="4"/>
      <c r="C1393" s="4"/>
      <c r="D1393" s="4"/>
      <c r="E1393" s="8"/>
      <c r="F1393" s="8"/>
      <c r="G1393" s="8"/>
      <c r="H1393" s="9"/>
    </row>
    <row r="1394">
      <c r="A1394" s="4"/>
      <c r="C1394" s="4"/>
      <c r="D1394" s="4"/>
      <c r="E1394" s="8"/>
      <c r="F1394" s="8"/>
      <c r="G1394" s="8"/>
      <c r="H1394" s="9"/>
    </row>
    <row r="1395">
      <c r="A1395" s="4"/>
      <c r="C1395" s="4"/>
      <c r="D1395" s="4"/>
      <c r="E1395" s="8"/>
      <c r="F1395" s="8"/>
      <c r="G1395" s="8"/>
      <c r="H1395" s="9"/>
    </row>
    <row r="1396">
      <c r="A1396" s="4"/>
      <c r="C1396" s="4"/>
      <c r="D1396" s="4"/>
      <c r="E1396" s="8"/>
      <c r="F1396" s="8"/>
      <c r="G1396" s="8"/>
      <c r="H1396" s="9"/>
    </row>
    <row r="1397">
      <c r="A1397" s="4"/>
      <c r="C1397" s="4"/>
      <c r="D1397" s="4"/>
      <c r="E1397" s="8"/>
      <c r="F1397" s="8"/>
      <c r="G1397" s="8"/>
      <c r="H1397" s="9"/>
    </row>
    <row r="1398">
      <c r="A1398" s="4"/>
      <c r="C1398" s="4"/>
      <c r="D1398" s="4"/>
      <c r="E1398" s="8"/>
      <c r="F1398" s="8"/>
      <c r="G1398" s="8"/>
      <c r="H1398" s="9"/>
    </row>
    <row r="1399">
      <c r="A1399" s="4"/>
      <c r="C1399" s="4"/>
      <c r="D1399" s="4"/>
      <c r="E1399" s="8"/>
      <c r="F1399" s="8"/>
      <c r="G1399" s="8"/>
      <c r="H1399" s="9"/>
    </row>
    <row r="1400">
      <c r="A1400" s="4"/>
      <c r="C1400" s="4"/>
      <c r="D1400" s="4"/>
      <c r="E1400" s="8"/>
      <c r="F1400" s="8"/>
      <c r="G1400" s="8"/>
      <c r="H1400" s="9"/>
    </row>
    <row r="1401">
      <c r="A1401" s="4"/>
      <c r="C1401" s="4"/>
      <c r="D1401" s="4"/>
      <c r="E1401" s="8"/>
      <c r="F1401" s="8"/>
      <c r="G1401" s="8"/>
      <c r="H1401" s="9"/>
    </row>
    <row r="1402">
      <c r="A1402" s="4"/>
      <c r="C1402" s="4"/>
      <c r="D1402" s="4"/>
      <c r="E1402" s="8"/>
      <c r="F1402" s="8"/>
      <c r="G1402" s="8"/>
      <c r="H1402" s="9"/>
    </row>
    <row r="1403">
      <c r="A1403" s="4"/>
      <c r="C1403" s="4"/>
      <c r="D1403" s="4"/>
      <c r="E1403" s="8"/>
      <c r="F1403" s="8"/>
      <c r="G1403" s="8"/>
      <c r="H1403" s="9"/>
    </row>
    <row r="1404">
      <c r="A1404" s="4"/>
      <c r="C1404" s="4"/>
      <c r="D1404" s="4"/>
      <c r="E1404" s="8"/>
      <c r="F1404" s="8"/>
      <c r="G1404" s="8"/>
      <c r="H1404" s="9"/>
    </row>
    <row r="1405">
      <c r="A1405" s="4"/>
      <c r="C1405" s="4"/>
      <c r="D1405" s="4"/>
      <c r="E1405" s="8"/>
      <c r="F1405" s="8"/>
      <c r="G1405" s="8"/>
      <c r="H1405" s="9"/>
    </row>
    <row r="1406">
      <c r="A1406" s="4"/>
      <c r="C1406" s="4"/>
      <c r="D1406" s="4"/>
      <c r="E1406" s="8"/>
      <c r="F1406" s="8"/>
      <c r="G1406" s="8"/>
      <c r="H1406" s="9"/>
    </row>
    <row r="1407">
      <c r="A1407" s="4"/>
      <c r="C1407" s="4"/>
      <c r="D1407" s="4"/>
      <c r="E1407" s="8"/>
      <c r="F1407" s="8"/>
      <c r="G1407" s="8"/>
      <c r="H1407" s="9"/>
    </row>
    <row r="1408">
      <c r="A1408" s="4"/>
      <c r="C1408" s="4"/>
      <c r="D1408" s="4"/>
      <c r="E1408" s="8"/>
      <c r="F1408" s="8"/>
      <c r="G1408" s="8"/>
      <c r="H1408" s="9"/>
    </row>
    <row r="1409">
      <c r="A1409" s="4"/>
      <c r="C1409" s="4"/>
      <c r="D1409" s="4"/>
      <c r="E1409" s="8"/>
      <c r="F1409" s="8"/>
      <c r="G1409" s="8"/>
      <c r="H1409" s="9"/>
    </row>
    <row r="1410">
      <c r="A1410" s="4"/>
      <c r="C1410" s="4"/>
      <c r="D1410" s="4"/>
      <c r="E1410" s="8"/>
      <c r="F1410" s="8"/>
      <c r="G1410" s="8"/>
      <c r="H1410" s="9"/>
    </row>
    <row r="1411">
      <c r="A1411" s="4"/>
      <c r="C1411" s="4"/>
      <c r="D1411" s="4"/>
      <c r="E1411" s="8"/>
      <c r="F1411" s="8"/>
      <c r="G1411" s="8"/>
      <c r="H1411" s="9"/>
    </row>
    <row r="1412">
      <c r="A1412" s="4"/>
      <c r="C1412" s="4"/>
      <c r="D1412" s="4"/>
      <c r="E1412" s="8"/>
      <c r="F1412" s="8"/>
      <c r="G1412" s="8"/>
      <c r="H1412" s="9"/>
    </row>
    <row r="1413">
      <c r="A1413" s="4"/>
      <c r="C1413" s="4"/>
      <c r="D1413" s="4"/>
      <c r="E1413" s="8"/>
      <c r="F1413" s="8"/>
      <c r="G1413" s="8"/>
      <c r="H1413" s="9"/>
    </row>
    <row r="1414">
      <c r="A1414" s="4"/>
      <c r="C1414" s="4"/>
      <c r="D1414" s="4"/>
      <c r="E1414" s="8"/>
      <c r="F1414" s="8"/>
      <c r="G1414" s="8"/>
      <c r="H1414" s="9"/>
    </row>
    <row r="1415">
      <c r="A1415" s="4"/>
      <c r="C1415" s="4"/>
      <c r="D1415" s="4"/>
      <c r="E1415" s="8"/>
      <c r="F1415" s="8"/>
      <c r="G1415" s="8"/>
      <c r="H1415" s="9"/>
    </row>
    <row r="1416">
      <c r="A1416" s="4"/>
      <c r="C1416" s="4"/>
      <c r="D1416" s="4"/>
      <c r="E1416" s="8"/>
      <c r="F1416" s="8"/>
      <c r="G1416" s="8"/>
      <c r="H1416" s="9"/>
    </row>
    <row r="1417">
      <c r="A1417" s="4"/>
      <c r="C1417" s="4"/>
      <c r="D1417" s="4"/>
      <c r="E1417" s="8"/>
      <c r="F1417" s="8"/>
      <c r="G1417" s="8"/>
      <c r="H1417" s="9"/>
    </row>
    <row r="1418">
      <c r="A1418" s="4"/>
      <c r="C1418" s="4"/>
      <c r="D1418" s="4"/>
      <c r="E1418" s="8"/>
      <c r="F1418" s="8"/>
      <c r="G1418" s="8"/>
      <c r="H1418" s="9"/>
    </row>
    <row r="1419">
      <c r="A1419" s="4"/>
      <c r="C1419" s="4"/>
      <c r="D1419" s="4"/>
      <c r="E1419" s="8"/>
      <c r="F1419" s="8"/>
      <c r="G1419" s="8"/>
      <c r="H1419" s="9"/>
    </row>
    <row r="1420">
      <c r="A1420" s="4"/>
      <c r="C1420" s="4"/>
      <c r="D1420" s="4"/>
      <c r="E1420" s="8"/>
      <c r="F1420" s="8"/>
      <c r="G1420" s="8"/>
      <c r="H1420" s="9"/>
    </row>
    <row r="1421">
      <c r="A1421" s="4"/>
      <c r="C1421" s="4"/>
      <c r="D1421" s="4"/>
      <c r="E1421" s="8"/>
      <c r="F1421" s="8"/>
      <c r="G1421" s="8"/>
      <c r="H1421" s="9"/>
    </row>
    <row r="1422">
      <c r="A1422" s="4"/>
      <c r="C1422" s="4"/>
      <c r="D1422" s="4"/>
      <c r="E1422" s="8"/>
      <c r="F1422" s="8"/>
      <c r="G1422" s="8"/>
      <c r="H1422" s="9"/>
    </row>
    <row r="1423">
      <c r="A1423" s="4"/>
      <c r="C1423" s="4"/>
      <c r="D1423" s="4"/>
      <c r="E1423" s="8"/>
      <c r="F1423" s="8"/>
      <c r="G1423" s="8"/>
      <c r="H1423" s="9"/>
    </row>
    <row r="1424">
      <c r="A1424" s="4"/>
      <c r="C1424" s="4"/>
      <c r="D1424" s="4"/>
      <c r="E1424" s="8"/>
      <c r="F1424" s="8"/>
      <c r="G1424" s="8"/>
      <c r="H1424" s="9"/>
    </row>
    <row r="1425">
      <c r="A1425" s="4"/>
      <c r="C1425" s="4"/>
      <c r="D1425" s="4"/>
      <c r="E1425" s="8"/>
      <c r="F1425" s="8"/>
      <c r="G1425" s="8"/>
      <c r="H1425" s="9"/>
    </row>
    <row r="1426">
      <c r="A1426" s="4"/>
      <c r="C1426" s="4"/>
      <c r="D1426" s="4"/>
      <c r="E1426" s="8"/>
      <c r="F1426" s="8"/>
      <c r="G1426" s="8"/>
      <c r="H1426" s="9"/>
    </row>
    <row r="1427">
      <c r="A1427" s="4"/>
      <c r="C1427" s="4"/>
      <c r="D1427" s="4"/>
      <c r="E1427" s="8"/>
      <c r="F1427" s="8"/>
      <c r="G1427" s="8"/>
      <c r="H1427" s="9"/>
    </row>
    <row r="1428">
      <c r="A1428" s="4"/>
      <c r="C1428" s="4"/>
      <c r="D1428" s="4"/>
      <c r="E1428" s="8"/>
      <c r="F1428" s="8"/>
      <c r="G1428" s="8"/>
      <c r="H1428" s="9"/>
    </row>
    <row r="1429">
      <c r="A1429" s="4"/>
      <c r="C1429" s="4"/>
      <c r="D1429" s="4"/>
      <c r="E1429" s="8"/>
      <c r="F1429" s="8"/>
      <c r="G1429" s="8"/>
      <c r="H1429" s="9"/>
    </row>
    <row r="1430">
      <c r="A1430" s="4"/>
      <c r="C1430" s="4"/>
      <c r="D1430" s="4"/>
      <c r="E1430" s="8"/>
      <c r="F1430" s="8"/>
      <c r="G1430" s="8"/>
      <c r="H1430" s="9"/>
    </row>
    <row r="1431">
      <c r="A1431" s="4"/>
      <c r="C1431" s="4"/>
      <c r="D1431" s="4"/>
      <c r="E1431" s="8"/>
      <c r="F1431" s="8"/>
      <c r="G1431" s="8"/>
      <c r="H1431" s="9"/>
    </row>
    <row r="1432">
      <c r="A1432" s="4"/>
      <c r="C1432" s="4"/>
      <c r="D1432" s="4"/>
      <c r="E1432" s="8"/>
      <c r="F1432" s="8"/>
      <c r="G1432" s="8"/>
      <c r="H1432" s="9"/>
    </row>
    <row r="1433">
      <c r="A1433" s="4"/>
      <c r="C1433" s="4"/>
      <c r="D1433" s="4"/>
      <c r="E1433" s="8"/>
      <c r="F1433" s="8"/>
      <c r="G1433" s="8"/>
      <c r="H1433" s="9"/>
    </row>
    <row r="1434">
      <c r="A1434" s="4"/>
      <c r="C1434" s="4"/>
      <c r="D1434" s="4"/>
      <c r="E1434" s="8"/>
      <c r="F1434" s="8"/>
      <c r="G1434" s="8"/>
      <c r="H1434" s="9"/>
    </row>
    <row r="1435">
      <c r="A1435" s="4"/>
      <c r="C1435" s="4"/>
      <c r="D1435" s="4"/>
      <c r="E1435" s="8"/>
      <c r="F1435" s="8"/>
      <c r="G1435" s="8"/>
      <c r="H1435" s="9"/>
    </row>
    <row r="1436">
      <c r="A1436" s="4"/>
      <c r="C1436" s="4"/>
      <c r="D1436" s="4"/>
      <c r="E1436" s="8"/>
      <c r="F1436" s="8"/>
      <c r="G1436" s="8"/>
      <c r="H1436" s="9"/>
    </row>
    <row r="1437">
      <c r="A1437" s="4"/>
      <c r="C1437" s="4"/>
      <c r="D1437" s="4"/>
      <c r="E1437" s="8"/>
      <c r="F1437" s="8"/>
      <c r="G1437" s="8"/>
      <c r="H1437" s="9"/>
    </row>
    <row r="1438">
      <c r="A1438" s="4"/>
      <c r="C1438" s="4"/>
      <c r="D1438" s="4"/>
      <c r="E1438" s="8"/>
      <c r="F1438" s="8"/>
      <c r="G1438" s="8"/>
      <c r="H1438" s="9"/>
    </row>
    <row r="1439">
      <c r="A1439" s="4"/>
      <c r="C1439" s="4"/>
      <c r="D1439" s="4"/>
      <c r="E1439" s="8"/>
      <c r="F1439" s="8"/>
      <c r="G1439" s="8"/>
      <c r="H1439" s="9"/>
    </row>
    <row r="1440">
      <c r="A1440" s="4"/>
      <c r="C1440" s="4"/>
      <c r="D1440" s="4"/>
      <c r="E1440" s="8"/>
      <c r="F1440" s="8"/>
      <c r="G1440" s="8"/>
      <c r="H1440" s="9"/>
    </row>
    <row r="1441">
      <c r="A1441" s="4"/>
      <c r="C1441" s="4"/>
      <c r="D1441" s="4"/>
      <c r="E1441" s="8"/>
      <c r="F1441" s="8"/>
      <c r="G1441" s="8"/>
      <c r="H1441" s="9"/>
    </row>
    <row r="1442">
      <c r="A1442" s="4"/>
      <c r="C1442" s="4"/>
      <c r="D1442" s="4"/>
      <c r="E1442" s="8"/>
      <c r="F1442" s="8"/>
      <c r="G1442" s="8"/>
      <c r="H1442" s="9"/>
    </row>
    <row r="1443">
      <c r="A1443" s="4"/>
      <c r="C1443" s="4"/>
      <c r="D1443" s="4"/>
      <c r="E1443" s="8"/>
      <c r="F1443" s="8"/>
      <c r="G1443" s="8"/>
      <c r="H1443" s="9"/>
    </row>
    <row r="1444">
      <c r="A1444" s="4"/>
      <c r="C1444" s="4"/>
      <c r="D1444" s="4"/>
      <c r="E1444" s="8"/>
      <c r="F1444" s="8"/>
      <c r="G1444" s="8"/>
      <c r="H1444" s="9"/>
    </row>
    <row r="1445">
      <c r="A1445" s="4"/>
      <c r="C1445" s="4"/>
      <c r="D1445" s="4"/>
      <c r="E1445" s="8"/>
      <c r="F1445" s="8"/>
      <c r="G1445" s="8"/>
      <c r="H1445" s="9"/>
    </row>
    <row r="1446">
      <c r="A1446" s="4"/>
      <c r="C1446" s="4"/>
      <c r="D1446" s="4"/>
      <c r="E1446" s="8"/>
      <c r="F1446" s="8"/>
      <c r="G1446" s="8"/>
      <c r="H1446" s="9"/>
    </row>
    <row r="1447">
      <c r="A1447" s="4"/>
      <c r="C1447" s="4"/>
      <c r="D1447" s="4"/>
      <c r="E1447" s="8"/>
      <c r="F1447" s="8"/>
      <c r="G1447" s="8"/>
      <c r="H1447" s="9"/>
    </row>
    <row r="1448">
      <c r="A1448" s="4"/>
      <c r="C1448" s="4"/>
      <c r="D1448" s="4"/>
      <c r="E1448" s="8"/>
      <c r="F1448" s="8"/>
      <c r="G1448" s="8"/>
      <c r="H1448" s="9"/>
    </row>
    <row r="1449">
      <c r="A1449" s="4"/>
      <c r="C1449" s="4"/>
      <c r="D1449" s="4"/>
      <c r="E1449" s="8"/>
      <c r="F1449" s="8"/>
      <c r="G1449" s="8"/>
      <c r="H1449" s="9"/>
    </row>
    <row r="1450">
      <c r="A1450" s="4"/>
      <c r="C1450" s="4"/>
      <c r="D1450" s="4"/>
      <c r="E1450" s="8"/>
      <c r="F1450" s="8"/>
      <c r="G1450" s="8"/>
      <c r="H1450" s="9"/>
    </row>
    <row r="1451">
      <c r="A1451" s="4"/>
      <c r="C1451" s="4"/>
      <c r="D1451" s="4"/>
      <c r="E1451" s="8"/>
      <c r="F1451" s="8"/>
      <c r="G1451" s="8"/>
      <c r="H1451" s="9"/>
    </row>
    <row r="1452">
      <c r="A1452" s="4"/>
      <c r="C1452" s="4"/>
      <c r="D1452" s="4"/>
      <c r="E1452" s="8"/>
      <c r="F1452" s="8"/>
      <c r="G1452" s="8"/>
      <c r="H1452" s="9"/>
    </row>
    <row r="1453">
      <c r="A1453" s="4"/>
      <c r="C1453" s="4"/>
      <c r="D1453" s="4"/>
      <c r="E1453" s="8"/>
      <c r="F1453" s="8"/>
      <c r="G1453" s="8"/>
      <c r="H1453" s="9"/>
    </row>
    <row r="1454">
      <c r="A1454" s="4"/>
      <c r="C1454" s="4"/>
      <c r="D1454" s="4"/>
      <c r="E1454" s="8"/>
      <c r="F1454" s="8"/>
      <c r="G1454" s="8"/>
      <c r="H1454" s="9"/>
    </row>
    <row r="1455">
      <c r="A1455" s="4"/>
      <c r="C1455" s="4"/>
      <c r="D1455" s="4"/>
      <c r="E1455" s="8"/>
      <c r="F1455" s="8"/>
      <c r="G1455" s="8"/>
      <c r="H1455" s="9"/>
    </row>
    <row r="1456">
      <c r="A1456" s="4"/>
      <c r="C1456" s="4"/>
      <c r="D1456" s="4"/>
      <c r="E1456" s="8"/>
      <c r="F1456" s="8"/>
      <c r="G1456" s="8"/>
      <c r="H1456" s="9"/>
    </row>
    <row r="1457">
      <c r="A1457" s="4"/>
      <c r="C1457" s="4"/>
      <c r="D1457" s="4"/>
      <c r="E1457" s="8"/>
      <c r="F1457" s="8"/>
      <c r="G1457" s="8"/>
      <c r="H1457" s="9"/>
    </row>
    <row r="1458">
      <c r="A1458" s="4"/>
      <c r="C1458" s="4"/>
      <c r="D1458" s="4"/>
      <c r="E1458" s="8"/>
      <c r="F1458" s="8"/>
      <c r="G1458" s="8"/>
      <c r="H1458" s="9"/>
    </row>
    <row r="1459">
      <c r="A1459" s="4"/>
      <c r="C1459" s="4"/>
      <c r="D1459" s="4"/>
      <c r="E1459" s="8"/>
      <c r="F1459" s="8"/>
      <c r="G1459" s="8"/>
      <c r="H1459" s="9"/>
    </row>
    <row r="1460">
      <c r="A1460" s="4"/>
      <c r="C1460" s="4"/>
      <c r="D1460" s="4"/>
      <c r="E1460" s="8"/>
      <c r="F1460" s="8"/>
      <c r="G1460" s="8"/>
      <c r="H1460" s="9"/>
    </row>
    <row r="1461">
      <c r="A1461" s="4"/>
      <c r="C1461" s="4"/>
      <c r="D1461" s="4"/>
      <c r="E1461" s="8"/>
      <c r="F1461" s="8"/>
      <c r="G1461" s="8"/>
      <c r="H1461" s="9"/>
    </row>
    <row r="1462">
      <c r="A1462" s="4"/>
      <c r="C1462" s="4"/>
      <c r="D1462" s="4"/>
      <c r="E1462" s="8"/>
      <c r="F1462" s="8"/>
      <c r="G1462" s="8"/>
      <c r="H1462" s="9"/>
    </row>
    <row r="1463">
      <c r="A1463" s="4"/>
      <c r="C1463" s="4"/>
      <c r="D1463" s="4"/>
      <c r="E1463" s="8"/>
      <c r="F1463" s="8"/>
      <c r="G1463" s="8"/>
      <c r="H1463" s="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c r="A2" s="4" t="s">
        <v>865</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553</v>
      </c>
    </row>
    <row r="3">
      <c r="A3" s="4" t="s">
        <v>866</v>
      </c>
    </row>
    <row r="4">
      <c r="A4" s="4" t="s">
        <v>41</v>
      </c>
    </row>
    <row r="5">
      <c r="A5" s="4" t="s">
        <v>867</v>
      </c>
    </row>
    <row r="6">
      <c r="A6" s="4" t="s">
        <v>868</v>
      </c>
    </row>
    <row r="7">
      <c r="A7" s="4" t="s">
        <v>147</v>
      </c>
    </row>
    <row r="8">
      <c r="A8" s="4" t="s">
        <v>90</v>
      </c>
    </row>
    <row r="9">
      <c r="A9" s="4" t="s">
        <v>33</v>
      </c>
    </row>
    <row r="10">
      <c r="A10" s="4" t="s">
        <v>131</v>
      </c>
    </row>
    <row r="11">
      <c r="A11" s="4" t="s">
        <v>869</v>
      </c>
    </row>
    <row r="12">
      <c r="A12" s="4" t="s">
        <v>88</v>
      </c>
    </row>
    <row r="13">
      <c r="A13" s="4" t="s">
        <v>40</v>
      </c>
    </row>
    <row r="14">
      <c r="A14" s="4" t="s">
        <v>75</v>
      </c>
    </row>
    <row r="15">
      <c r="A15" s="4" t="s">
        <v>48</v>
      </c>
    </row>
    <row r="16">
      <c r="A16" s="4" t="s">
        <v>870</v>
      </c>
    </row>
    <row r="17">
      <c r="A17" s="4" t="s">
        <v>871</v>
      </c>
    </row>
    <row r="18">
      <c r="A18" s="4" t="s">
        <v>119</v>
      </c>
    </row>
    <row r="19">
      <c r="A19" s="4" t="s">
        <v>109</v>
      </c>
    </row>
    <row r="20">
      <c r="A20" s="4" t="s">
        <v>549</v>
      </c>
    </row>
    <row r="21">
      <c r="A21" s="4" t="s">
        <v>872</v>
      </c>
    </row>
    <row r="22">
      <c r="A22" s="4" t="s">
        <v>115</v>
      </c>
    </row>
    <row r="23">
      <c r="A23" s="4" t="s">
        <v>873</v>
      </c>
    </row>
    <row r="24">
      <c r="A24" s="4" t="s">
        <v>119</v>
      </c>
    </row>
    <row r="25">
      <c r="A25" s="4" t="s">
        <v>534</v>
      </c>
    </row>
    <row r="26">
      <c r="A26" s="4" t="s">
        <v>874</v>
      </c>
    </row>
    <row r="27">
      <c r="A27" s="4" t="s">
        <v>875</v>
      </c>
    </row>
    <row r="28">
      <c r="A28" s="4">
        <v>10.0</v>
      </c>
    </row>
    <row r="29">
      <c r="A29" s="4" t="s">
        <v>33</v>
      </c>
    </row>
    <row r="30">
      <c r="A30" s="4" t="s">
        <v>876</v>
      </c>
    </row>
    <row r="31">
      <c r="A31" s="4" t="s">
        <v>88</v>
      </c>
    </row>
    <row r="32">
      <c r="A32" s="4" t="s">
        <v>89</v>
      </c>
    </row>
    <row r="33">
      <c r="A33" s="4" t="s">
        <v>877</v>
      </c>
    </row>
    <row r="34">
      <c r="A34" s="4" t="s">
        <v>119</v>
      </c>
    </row>
    <row r="35">
      <c r="A35" s="4" t="s">
        <v>878</v>
      </c>
    </row>
    <row r="36">
      <c r="A36" s="4" t="s">
        <v>879</v>
      </c>
    </row>
    <row r="37">
      <c r="A37" s="4" t="s">
        <v>33</v>
      </c>
    </row>
    <row r="38">
      <c r="A38" s="4" t="s">
        <v>880</v>
      </c>
    </row>
    <row r="39">
      <c r="A39" s="4" t="s">
        <v>881</v>
      </c>
    </row>
    <row r="40">
      <c r="A40" s="4" t="s">
        <v>882</v>
      </c>
    </row>
    <row r="41">
      <c r="A41" s="4" t="s">
        <v>883</v>
      </c>
    </row>
    <row r="42">
      <c r="A42" s="4" t="s">
        <v>40</v>
      </c>
    </row>
    <row r="43">
      <c r="A43" s="4" t="s">
        <v>884</v>
      </c>
    </row>
    <row r="44">
      <c r="A44" s="4" t="s">
        <v>115</v>
      </c>
    </row>
    <row r="45">
      <c r="A45" s="4" t="s">
        <v>119</v>
      </c>
    </row>
    <row r="46">
      <c r="A46" s="4" t="s">
        <v>885</v>
      </c>
    </row>
    <row r="47">
      <c r="A47" s="4" t="s">
        <v>48</v>
      </c>
    </row>
    <row r="48">
      <c r="A48" s="4" t="s">
        <v>119</v>
      </c>
    </row>
    <row r="49">
      <c r="A49" s="4" t="s">
        <v>34</v>
      </c>
    </row>
    <row r="50">
      <c r="A50" s="4" t="s">
        <v>35</v>
      </c>
    </row>
    <row r="51">
      <c r="A51" s="4" t="s">
        <v>41</v>
      </c>
    </row>
    <row r="52">
      <c r="A52" s="4" t="s">
        <v>886</v>
      </c>
    </row>
    <row r="53">
      <c r="A53" s="4" t="s">
        <v>33</v>
      </c>
    </row>
    <row r="54">
      <c r="A54" s="4" t="s">
        <v>887</v>
      </c>
    </row>
    <row r="55">
      <c r="A55" s="4" t="s">
        <v>44</v>
      </c>
    </row>
    <row r="56">
      <c r="A56" s="4" t="s">
        <v>888</v>
      </c>
    </row>
    <row r="57">
      <c r="A57" s="4" t="s">
        <v>889</v>
      </c>
    </row>
    <row r="58">
      <c r="A58" s="4" t="s">
        <v>890</v>
      </c>
    </row>
    <row r="59">
      <c r="A59" s="4" t="s">
        <v>115</v>
      </c>
    </row>
    <row r="60">
      <c r="A60" s="4" t="s">
        <v>119</v>
      </c>
    </row>
    <row r="61">
      <c r="A61" s="4" t="s">
        <v>120</v>
      </c>
    </row>
    <row r="62">
      <c r="A62" s="4" t="s">
        <v>553</v>
      </c>
    </row>
    <row r="63">
      <c r="A63" s="4" t="s">
        <v>891</v>
      </c>
    </row>
    <row r="64">
      <c r="A64" s="4" t="s">
        <v>107</v>
      </c>
    </row>
    <row r="65">
      <c r="A65" s="4" t="s">
        <v>41</v>
      </c>
    </row>
    <row r="66">
      <c r="A66" s="4" t="s">
        <v>892</v>
      </c>
    </row>
    <row r="67">
      <c r="A67" s="4" t="s">
        <v>48</v>
      </c>
    </row>
    <row r="68">
      <c r="A68" s="4" t="s">
        <v>88</v>
      </c>
    </row>
    <row r="69">
      <c r="A69" s="4" t="s">
        <v>89</v>
      </c>
    </row>
    <row r="70">
      <c r="A70" s="4" t="s">
        <v>33</v>
      </c>
    </row>
    <row r="71">
      <c r="A71" s="4" t="s">
        <v>893</v>
      </c>
    </row>
    <row r="72">
      <c r="A72" s="4" t="s">
        <v>894</v>
      </c>
    </row>
    <row r="73">
      <c r="A73" s="4" t="s">
        <v>895</v>
      </c>
    </row>
    <row r="74">
      <c r="A74" s="4" t="s">
        <v>109</v>
      </c>
    </row>
    <row r="75">
      <c r="A75" s="4" t="s">
        <v>121</v>
      </c>
    </row>
    <row r="76">
      <c r="A76" s="4" t="s">
        <v>92</v>
      </c>
    </row>
    <row r="77">
      <c r="A77" s="4" t="s">
        <v>122</v>
      </c>
    </row>
    <row r="78">
      <c r="A78" s="4" t="s">
        <v>537</v>
      </c>
    </row>
    <row r="79">
      <c r="A79" s="4" t="s">
        <v>33</v>
      </c>
    </row>
    <row r="80">
      <c r="A80" s="4" t="s">
        <v>891</v>
      </c>
    </row>
    <row r="81">
      <c r="A81" s="4" t="s">
        <v>36</v>
      </c>
    </row>
    <row r="82">
      <c r="A82" s="4" t="s">
        <v>35</v>
      </c>
    </row>
    <row r="83">
      <c r="A83" s="4" t="s">
        <v>40</v>
      </c>
    </row>
    <row r="84">
      <c r="A84" s="4" t="s">
        <v>49</v>
      </c>
    </row>
    <row r="85">
      <c r="A85" s="4" t="s">
        <v>44</v>
      </c>
    </row>
    <row r="86">
      <c r="A86" s="4" t="s">
        <v>892</v>
      </c>
    </row>
    <row r="87">
      <c r="A87" s="4" t="s">
        <v>81</v>
      </c>
    </row>
    <row r="88">
      <c r="A88" s="4" t="s">
        <v>896</v>
      </c>
    </row>
    <row r="89">
      <c r="A89" s="4" t="s">
        <v>33</v>
      </c>
    </row>
    <row r="90">
      <c r="A90" s="4" t="s">
        <v>897</v>
      </c>
    </row>
    <row r="91">
      <c r="A91" s="4" t="s">
        <v>41</v>
      </c>
    </row>
    <row r="92">
      <c r="A92" s="4" t="s">
        <v>898</v>
      </c>
    </row>
    <row r="93">
      <c r="A93" s="4" t="s">
        <v>562</v>
      </c>
    </row>
    <row r="94">
      <c r="A94" s="4" t="s">
        <v>899</v>
      </c>
    </row>
    <row r="95">
      <c r="A95" s="4" t="s">
        <v>115</v>
      </c>
    </row>
    <row r="96">
      <c r="A96" s="4" t="s">
        <v>900</v>
      </c>
    </row>
    <row r="97">
      <c r="A97" s="4" t="s">
        <v>901</v>
      </c>
    </row>
    <row r="98">
      <c r="A98" s="4" t="s">
        <v>33</v>
      </c>
    </row>
    <row r="99">
      <c r="A99" s="4" t="s">
        <v>108</v>
      </c>
    </row>
    <row r="100">
      <c r="A100" s="4" t="s">
        <v>48</v>
      </c>
    </row>
    <row r="101">
      <c r="A101" s="4" t="s">
        <v>101</v>
      </c>
    </row>
    <row r="102">
      <c r="A102" s="4" t="s">
        <v>90</v>
      </c>
    </row>
    <row r="103">
      <c r="A103" s="4" t="s">
        <v>159</v>
      </c>
    </row>
    <row r="104">
      <c r="A104" s="4" t="s">
        <v>873</v>
      </c>
    </row>
    <row r="105">
      <c r="A105" s="4" t="s">
        <v>119</v>
      </c>
    </row>
    <row r="106">
      <c r="A106" s="4" t="s">
        <v>876</v>
      </c>
    </row>
    <row r="107">
      <c r="A107" s="4" t="s">
        <v>44</v>
      </c>
    </row>
    <row r="108">
      <c r="A108" s="4" t="s">
        <v>513</v>
      </c>
    </row>
    <row r="109">
      <c r="A109" s="4" t="s">
        <v>902</v>
      </c>
    </row>
    <row r="110">
      <c r="A110" s="4" t="s">
        <v>903</v>
      </c>
    </row>
    <row r="111">
      <c r="A111" s="4" t="s">
        <v>115</v>
      </c>
    </row>
    <row r="112">
      <c r="A112" s="4" t="s">
        <v>92</v>
      </c>
    </row>
    <row r="113">
      <c r="A113" s="4" t="s">
        <v>904</v>
      </c>
    </row>
    <row r="114">
      <c r="A114" s="4" t="s">
        <v>33</v>
      </c>
    </row>
    <row r="115">
      <c r="A115" s="4" t="s">
        <v>905</v>
      </c>
    </row>
    <row r="116">
      <c r="A116" s="4" t="s">
        <v>41</v>
      </c>
    </row>
    <row r="117">
      <c r="A117" s="4" t="s">
        <v>906</v>
      </c>
    </row>
    <row r="118">
      <c r="A118" s="4" t="s">
        <v>509</v>
      </c>
    </row>
    <row r="119">
      <c r="A119" s="4" t="s">
        <v>92</v>
      </c>
    </row>
    <row r="120">
      <c r="A120" s="4" t="s">
        <v>122</v>
      </c>
    </row>
    <row r="121">
      <c r="A121" s="4" t="s">
        <v>33</v>
      </c>
    </row>
    <row r="122">
      <c r="A122" s="4" t="s">
        <v>897</v>
      </c>
    </row>
    <row r="123">
      <c r="A123" s="4" t="s">
        <v>41</v>
      </c>
    </row>
    <row r="124">
      <c r="A124" s="4" t="s">
        <v>907</v>
      </c>
    </row>
    <row r="125">
      <c r="A125" s="4" t="s">
        <v>562</v>
      </c>
    </row>
    <row r="126">
      <c r="A126" s="4" t="s">
        <v>88</v>
      </c>
    </row>
    <row r="127">
      <c r="A127" s="4" t="s">
        <v>89</v>
      </c>
    </row>
    <row r="128">
      <c r="A128" s="4" t="s">
        <v>33</v>
      </c>
    </row>
    <row r="129">
      <c r="A129" s="4" t="s">
        <v>908</v>
      </c>
    </row>
    <row r="130">
      <c r="A130" s="4" t="s">
        <v>909</v>
      </c>
    </row>
    <row r="131">
      <c r="A131" s="4" t="s">
        <v>90</v>
      </c>
    </row>
    <row r="132">
      <c r="A132" s="4" t="s">
        <v>910</v>
      </c>
    </row>
    <row r="133">
      <c r="A133" s="4" t="s">
        <v>553</v>
      </c>
    </row>
    <row r="134">
      <c r="A134" s="4" t="s">
        <v>891</v>
      </c>
    </row>
    <row r="135">
      <c r="A135" s="4" t="s">
        <v>167</v>
      </c>
    </row>
    <row r="136">
      <c r="A136" s="4" t="s">
        <v>547</v>
      </c>
    </row>
    <row r="137">
      <c r="A137" s="4" t="s">
        <v>33</v>
      </c>
    </row>
    <row r="138">
      <c r="A138" s="4" t="s">
        <v>164</v>
      </c>
    </row>
    <row r="139">
      <c r="A139" s="4" t="s">
        <v>88</v>
      </c>
    </row>
    <row r="140">
      <c r="A140" s="4" t="s">
        <v>89</v>
      </c>
    </row>
    <row r="141">
      <c r="A141" s="4" t="s">
        <v>877</v>
      </c>
    </row>
    <row r="142">
      <c r="A142" s="4" t="s">
        <v>119</v>
      </c>
    </row>
    <row r="143">
      <c r="A143" s="4" t="s">
        <v>878</v>
      </c>
    </row>
    <row r="144">
      <c r="A144" s="4" t="s">
        <v>879</v>
      </c>
    </row>
    <row r="145">
      <c r="A145" s="4" t="s">
        <v>553</v>
      </c>
    </row>
    <row r="146">
      <c r="A146" s="4" t="s">
        <v>911</v>
      </c>
    </row>
    <row r="147">
      <c r="A147" s="4" t="s">
        <v>44</v>
      </c>
    </row>
    <row r="148">
      <c r="A148" s="4" t="s">
        <v>912</v>
      </c>
    </row>
    <row r="149">
      <c r="A149" s="4" t="s">
        <v>913</v>
      </c>
    </row>
    <row r="150">
      <c r="A150" s="4" t="s">
        <v>90</v>
      </c>
    </row>
    <row r="151">
      <c r="A151" s="4" t="s">
        <v>33</v>
      </c>
    </row>
    <row r="152">
      <c r="A152" s="4" t="s">
        <v>44</v>
      </c>
    </row>
    <row r="153">
      <c r="A153" s="4" t="s">
        <v>914</v>
      </c>
    </row>
    <row r="154">
      <c r="A154" s="4" t="s">
        <v>915</v>
      </c>
    </row>
    <row r="155">
      <c r="A155" s="4" t="s">
        <v>916</v>
      </c>
    </row>
    <row r="156">
      <c r="A156" s="4" t="s">
        <v>48</v>
      </c>
    </row>
    <row r="157">
      <c r="A157" s="4" t="s">
        <v>917</v>
      </c>
    </row>
    <row r="158">
      <c r="A158" s="4" t="s">
        <v>49</v>
      </c>
    </row>
    <row r="159">
      <c r="A159" s="4" t="s">
        <v>33</v>
      </c>
    </row>
    <row r="160">
      <c r="A160" s="4" t="s">
        <v>918</v>
      </c>
    </row>
    <row r="161">
      <c r="A161" s="4" t="s">
        <v>115</v>
      </c>
    </row>
    <row r="162">
      <c r="A162" s="4" t="s">
        <v>919</v>
      </c>
    </row>
    <row r="163">
      <c r="A163" s="4" t="s">
        <v>920</v>
      </c>
    </row>
    <row r="164">
      <c r="A164" s="4" t="s">
        <v>33</v>
      </c>
    </row>
    <row r="165">
      <c r="A165" s="4" t="s">
        <v>34</v>
      </c>
    </row>
    <row r="166">
      <c r="A166" s="4" t="s">
        <v>40</v>
      </c>
    </row>
    <row r="167">
      <c r="A167" s="4" t="s">
        <v>921</v>
      </c>
    </row>
    <row r="168">
      <c r="A168" s="4" t="s">
        <v>115</v>
      </c>
    </row>
    <row r="169">
      <c r="A169" s="4" t="s">
        <v>92</v>
      </c>
    </row>
    <row r="170">
      <c r="A170" s="4" t="s">
        <v>93</v>
      </c>
    </row>
    <row r="171">
      <c r="A171" s="4" t="s">
        <v>553</v>
      </c>
    </row>
    <row r="172">
      <c r="A172" s="4" t="s">
        <v>891</v>
      </c>
    </row>
    <row r="173">
      <c r="A173" s="4" t="s">
        <v>41</v>
      </c>
    </row>
    <row r="174">
      <c r="A174" s="4" t="s">
        <v>922</v>
      </c>
    </row>
    <row r="175">
      <c r="A175" s="4" t="s">
        <v>88</v>
      </c>
    </row>
    <row r="176">
      <c r="A176" s="4" t="s">
        <v>89</v>
      </c>
    </row>
    <row r="177">
      <c r="A177" s="4" t="s">
        <v>877</v>
      </c>
    </row>
    <row r="178">
      <c r="A178" s="4" t="s">
        <v>119</v>
      </c>
    </row>
    <row r="179">
      <c r="A179" s="4" t="s">
        <v>878</v>
      </c>
    </row>
    <row r="180">
      <c r="A180" s="4" t="s">
        <v>923</v>
      </c>
    </row>
    <row r="181">
      <c r="A181" s="4" t="s">
        <v>33</v>
      </c>
    </row>
    <row r="182">
      <c r="A182" s="4" t="s">
        <v>34</v>
      </c>
    </row>
    <row r="183">
      <c r="A183" s="4" t="s">
        <v>40</v>
      </c>
    </row>
    <row r="184">
      <c r="A184" s="4" t="s">
        <v>924</v>
      </c>
    </row>
    <row r="185">
      <c r="A185" s="4" t="s">
        <v>873</v>
      </c>
    </row>
    <row r="186">
      <c r="A186" s="4" t="s">
        <v>534</v>
      </c>
    </row>
    <row r="187">
      <c r="A187" s="4" t="s">
        <v>41</v>
      </c>
    </row>
    <row r="188">
      <c r="A188" s="4" t="s">
        <v>908</v>
      </c>
    </row>
    <row r="189">
      <c r="A189" s="4" t="s">
        <v>909</v>
      </c>
    </row>
    <row r="190">
      <c r="A190" s="4" t="s">
        <v>90</v>
      </c>
    </row>
    <row r="191">
      <c r="A191" s="4" t="s">
        <v>92</v>
      </c>
    </row>
    <row r="192">
      <c r="A192" s="4" t="s">
        <v>522</v>
      </c>
    </row>
    <row r="193">
      <c r="A193" s="4" t="s">
        <v>553</v>
      </c>
    </row>
    <row r="194">
      <c r="A194" s="4" t="s">
        <v>925</v>
      </c>
    </row>
    <row r="195">
      <c r="A195" s="4" t="s">
        <v>44</v>
      </c>
    </row>
    <row r="196">
      <c r="A196" s="4" t="s">
        <v>888</v>
      </c>
    </row>
    <row r="197">
      <c r="A197" s="4" t="s">
        <v>115</v>
      </c>
    </row>
    <row r="198">
      <c r="A198" s="4" t="s">
        <v>92</v>
      </c>
    </row>
    <row r="199">
      <c r="A199" s="4" t="s">
        <v>926</v>
      </c>
    </row>
    <row r="200">
      <c r="A200" s="4" t="s">
        <v>126</v>
      </c>
    </row>
    <row r="201">
      <c r="A201" s="4" t="s">
        <v>927</v>
      </c>
    </row>
    <row r="202">
      <c r="A202" s="4" t="s">
        <v>33</v>
      </c>
    </row>
    <row r="203">
      <c r="A203" s="4" t="s">
        <v>113</v>
      </c>
    </row>
    <row r="204">
      <c r="A204" s="4" t="s">
        <v>41</v>
      </c>
    </row>
    <row r="205">
      <c r="A205" s="4" t="s">
        <v>928</v>
      </c>
    </row>
    <row r="206">
      <c r="A206" s="4" t="s">
        <v>929</v>
      </c>
    </row>
    <row r="207">
      <c r="A207" s="4" t="s">
        <v>75</v>
      </c>
    </row>
    <row r="208">
      <c r="A208" s="4" t="s">
        <v>930</v>
      </c>
    </row>
    <row r="209">
      <c r="A209" s="4" t="s">
        <v>48</v>
      </c>
    </row>
    <row r="210">
      <c r="A210" s="4" t="s">
        <v>498</v>
      </c>
    </row>
    <row r="211">
      <c r="A211" s="4" t="s">
        <v>931</v>
      </c>
    </row>
    <row r="212">
      <c r="A212" s="4" t="s">
        <v>92</v>
      </c>
    </row>
    <row r="213">
      <c r="A213" s="4" t="s">
        <v>153</v>
      </c>
    </row>
    <row r="214">
      <c r="A214" s="4" t="s">
        <v>57</v>
      </c>
    </row>
    <row r="215">
      <c r="A215" s="4" t="s">
        <v>873</v>
      </c>
    </row>
    <row r="216">
      <c r="A216" s="4" t="s">
        <v>48</v>
      </c>
    </row>
    <row r="217">
      <c r="A217" s="4" t="s">
        <v>147</v>
      </c>
    </row>
    <row r="218">
      <c r="A218" s="4" t="s">
        <v>119</v>
      </c>
    </row>
    <row r="219">
      <c r="A219" s="4" t="s">
        <v>932</v>
      </c>
    </row>
    <row r="220">
      <c r="A220" s="4" t="s">
        <v>933</v>
      </c>
    </row>
    <row r="221">
      <c r="A221" s="4" t="s">
        <v>934</v>
      </c>
    </row>
    <row r="222">
      <c r="A222" s="4" t="s">
        <v>90</v>
      </c>
    </row>
    <row r="223">
      <c r="A223" s="4" t="s">
        <v>33</v>
      </c>
    </row>
    <row r="224">
      <c r="A224" s="4" t="s">
        <v>876</v>
      </c>
    </row>
    <row r="225">
      <c r="A225" s="4" t="s">
        <v>44</v>
      </c>
    </row>
    <row r="226">
      <c r="A226" s="4" t="s">
        <v>513</v>
      </c>
    </row>
    <row r="227">
      <c r="A227" s="4" t="s">
        <v>543</v>
      </c>
    </row>
    <row r="228">
      <c r="A228" s="4" t="s">
        <v>41</v>
      </c>
    </row>
    <row r="229">
      <c r="A229" s="4" t="s">
        <v>116</v>
      </c>
    </row>
    <row r="230">
      <c r="A230" s="4" t="s">
        <v>891</v>
      </c>
    </row>
    <row r="231">
      <c r="A231" s="4" t="s">
        <v>935</v>
      </c>
    </row>
    <row r="232">
      <c r="A232" s="4" t="s">
        <v>936</v>
      </c>
    </row>
    <row r="233">
      <c r="A233" s="4" t="s">
        <v>48</v>
      </c>
    </row>
    <row r="234">
      <c r="A234" s="4" t="s">
        <v>937</v>
      </c>
    </row>
    <row r="235">
      <c r="A235" s="4" t="s">
        <v>57</v>
      </c>
    </row>
    <row r="236">
      <c r="A236" s="4" t="s">
        <v>33</v>
      </c>
    </row>
    <row r="237">
      <c r="A237" s="4" t="s">
        <v>938</v>
      </c>
    </row>
    <row r="238">
      <c r="A238" s="4" t="s">
        <v>44</v>
      </c>
    </row>
    <row r="239">
      <c r="A239" s="4" t="s">
        <v>119</v>
      </c>
    </row>
    <row r="240">
      <c r="A240" s="4" t="s">
        <v>62</v>
      </c>
    </row>
    <row r="241">
      <c r="A241" s="4" t="s">
        <v>939</v>
      </c>
    </row>
    <row r="242">
      <c r="A242" s="4" t="s">
        <v>940</v>
      </c>
    </row>
    <row r="243">
      <c r="A243" s="4" t="s">
        <v>941</v>
      </c>
    </row>
    <row r="244">
      <c r="A244" s="4" t="s">
        <v>942</v>
      </c>
    </row>
    <row r="245">
      <c r="A245" s="4" t="s">
        <v>33</v>
      </c>
    </row>
    <row r="246">
      <c r="A246" s="4" t="s">
        <v>943</v>
      </c>
    </row>
    <row r="247">
      <c r="A247" s="4" t="s">
        <v>41</v>
      </c>
    </row>
    <row r="248">
      <c r="A248" s="4" t="s">
        <v>944</v>
      </c>
    </row>
    <row r="249">
      <c r="A249" s="4" t="s">
        <v>44</v>
      </c>
    </row>
    <row r="250">
      <c r="A250" s="4" t="s">
        <v>888</v>
      </c>
    </row>
    <row r="251">
      <c r="A251" s="4" t="s">
        <v>40</v>
      </c>
    </row>
    <row r="252">
      <c r="A252" s="4" t="s">
        <v>147</v>
      </c>
    </row>
    <row r="253">
      <c r="A253" s="4" t="s">
        <v>48</v>
      </c>
    </row>
    <row r="254">
      <c r="A254" s="4" t="s">
        <v>101</v>
      </c>
    </row>
    <row r="255">
      <c r="A255" s="4" t="s">
        <v>33</v>
      </c>
    </row>
    <row r="256">
      <c r="A256" s="4" t="s">
        <v>34</v>
      </c>
    </row>
    <row r="257">
      <c r="A257" s="4" t="s">
        <v>90</v>
      </c>
    </row>
    <row r="258">
      <c r="A258" s="4" t="s">
        <v>92</v>
      </c>
    </row>
    <row r="259">
      <c r="A259" s="4" t="s">
        <v>522</v>
      </c>
    </row>
    <row r="260">
      <c r="A260" s="4" t="s">
        <v>945</v>
      </c>
    </row>
    <row r="261">
      <c r="A261" s="4" t="s">
        <v>36</v>
      </c>
    </row>
    <row r="262">
      <c r="A262" s="4" t="s">
        <v>946</v>
      </c>
    </row>
    <row r="263">
      <c r="A263" s="4" t="s">
        <v>33</v>
      </c>
    </row>
    <row r="264">
      <c r="A264" s="4" t="s">
        <v>880</v>
      </c>
    </row>
    <row r="265">
      <c r="A265" s="4" t="s">
        <v>92</v>
      </c>
    </row>
    <row r="266">
      <c r="A266" s="4" t="s">
        <v>883</v>
      </c>
    </row>
    <row r="267">
      <c r="A267" s="4" t="s">
        <v>947</v>
      </c>
    </row>
    <row r="268">
      <c r="A268" s="4" t="s">
        <v>40</v>
      </c>
    </row>
    <row r="269">
      <c r="A269" s="4" t="s">
        <v>948</v>
      </c>
    </row>
    <row r="270">
      <c r="A270" s="4" t="s">
        <v>949</v>
      </c>
    </row>
    <row r="271">
      <c r="A271" s="4" t="s">
        <v>950</v>
      </c>
    </row>
    <row r="272">
      <c r="A272" s="4" t="s">
        <v>549</v>
      </c>
    </row>
    <row r="273">
      <c r="A273" s="4" t="s">
        <v>951</v>
      </c>
    </row>
    <row r="274">
      <c r="A274" s="4" t="s">
        <v>901</v>
      </c>
    </row>
    <row r="275">
      <c r="A275" s="4" t="s">
        <v>115</v>
      </c>
    </row>
    <row r="276">
      <c r="A276" s="4" t="s">
        <v>119</v>
      </c>
    </row>
    <row r="277">
      <c r="A277" s="4" t="s">
        <v>34</v>
      </c>
    </row>
    <row r="278">
      <c r="A278" s="4" t="s">
        <v>873</v>
      </c>
    </row>
    <row r="279">
      <c r="A279" s="4" t="s">
        <v>48</v>
      </c>
    </row>
    <row r="280">
      <c r="A280" s="4" t="s">
        <v>88</v>
      </c>
    </row>
    <row r="281">
      <c r="A281" s="4" t="s">
        <v>40</v>
      </c>
    </row>
    <row r="282">
      <c r="A282" s="4" t="s">
        <v>75</v>
      </c>
    </row>
    <row r="283">
      <c r="A283" s="4" t="s">
        <v>549</v>
      </c>
    </row>
    <row r="284">
      <c r="A284" s="4" t="s">
        <v>90</v>
      </c>
    </row>
    <row r="285">
      <c r="A285" s="4" t="s">
        <v>521</v>
      </c>
    </row>
    <row r="286">
      <c r="A286" s="4" t="s">
        <v>946</v>
      </c>
    </row>
    <row r="287">
      <c r="A287" s="4" t="s">
        <v>44</v>
      </c>
    </row>
    <row r="288">
      <c r="A288" s="4" t="s">
        <v>513</v>
      </c>
    </row>
    <row r="289">
      <c r="A289" s="4" t="s">
        <v>543</v>
      </c>
    </row>
    <row r="290">
      <c r="A290" s="4" t="s">
        <v>518</v>
      </c>
    </row>
    <row r="291">
      <c r="A291" s="4" t="s">
        <v>520</v>
      </c>
    </row>
    <row r="292">
      <c r="A292" s="4" t="s">
        <v>952</v>
      </c>
    </row>
    <row r="293">
      <c r="A293" s="4" t="s">
        <v>953</v>
      </c>
    </row>
    <row r="294">
      <c r="A294" s="4" t="s">
        <v>33</v>
      </c>
    </row>
    <row r="295">
      <c r="A295" s="4" t="s">
        <v>62</v>
      </c>
    </row>
    <row r="296">
      <c r="A296" s="4" t="s">
        <v>887</v>
      </c>
    </row>
    <row r="297">
      <c r="A297" s="4" t="s">
        <v>88</v>
      </c>
    </row>
    <row r="298">
      <c r="A298" s="4" t="s">
        <v>89</v>
      </c>
    </row>
    <row r="299">
      <c r="A299" s="4" t="s">
        <v>877</v>
      </c>
    </row>
    <row r="300">
      <c r="A300" s="4" t="s">
        <v>119</v>
      </c>
    </row>
    <row r="301">
      <c r="A301" s="4" t="s">
        <v>923</v>
      </c>
    </row>
    <row r="302">
      <c r="A302" s="4">
        <v>1.0</v>
      </c>
    </row>
    <row r="303">
      <c r="A303" s="4" t="s">
        <v>33</v>
      </c>
    </row>
    <row r="304">
      <c r="A304" s="4" t="s">
        <v>954</v>
      </c>
    </row>
    <row r="305">
      <c r="A305" s="4" t="s">
        <v>44</v>
      </c>
    </row>
    <row r="306">
      <c r="A306" s="4" t="s">
        <v>92</v>
      </c>
    </row>
    <row r="307">
      <c r="A307" s="4" t="s">
        <v>98</v>
      </c>
    </row>
    <row r="308">
      <c r="A308" s="4" t="s">
        <v>955</v>
      </c>
    </row>
    <row r="309">
      <c r="A309" s="4" t="s">
        <v>90</v>
      </c>
    </row>
    <row r="310">
      <c r="A310" s="4" t="s">
        <v>33</v>
      </c>
    </row>
    <row r="311">
      <c r="A311" s="4" t="s">
        <v>897</v>
      </c>
    </row>
    <row r="312">
      <c r="A312" s="4" t="s">
        <v>41</v>
      </c>
    </row>
    <row r="313">
      <c r="A313" s="4" t="s">
        <v>956</v>
      </c>
    </row>
    <row r="314">
      <c r="A314" s="4" t="s">
        <v>50</v>
      </c>
    </row>
    <row r="315">
      <c r="A315" s="4" t="s">
        <v>40</v>
      </c>
    </row>
    <row r="316">
      <c r="A316" s="4" t="s">
        <v>126</v>
      </c>
    </row>
    <row r="317">
      <c r="A317" s="4" t="s">
        <v>957</v>
      </c>
    </row>
    <row r="318">
      <c r="A318" s="4" t="s">
        <v>958</v>
      </c>
    </row>
    <row r="319">
      <c r="A319" s="4" t="s">
        <v>33</v>
      </c>
    </row>
    <row r="320">
      <c r="A320" s="4" t="s">
        <v>897</v>
      </c>
    </row>
    <row r="321">
      <c r="A321" s="4" t="s">
        <v>41</v>
      </c>
    </row>
    <row r="322">
      <c r="A322" s="4" t="s">
        <v>913</v>
      </c>
    </row>
    <row r="323">
      <c r="A323" s="4" t="s">
        <v>88</v>
      </c>
    </row>
    <row r="324">
      <c r="A324" s="4" t="s">
        <v>89</v>
      </c>
    </row>
    <row r="325">
      <c r="A325" s="4" t="s">
        <v>48</v>
      </c>
    </row>
    <row r="326">
      <c r="A326" s="4" t="s">
        <v>547</v>
      </c>
    </row>
    <row r="327">
      <c r="A327" s="4" t="s">
        <v>40</v>
      </c>
    </row>
    <row r="328">
      <c r="A328" s="4" t="s">
        <v>75</v>
      </c>
    </row>
    <row r="329">
      <c r="A329" s="4" t="s">
        <v>33</v>
      </c>
    </row>
    <row r="330">
      <c r="A330" s="4" t="s">
        <v>959</v>
      </c>
    </row>
    <row r="331">
      <c r="A331" s="4" t="s">
        <v>953</v>
      </c>
    </row>
    <row r="332">
      <c r="A332" s="4" t="s">
        <v>44</v>
      </c>
    </row>
    <row r="333">
      <c r="A333" s="4" t="s">
        <v>92</v>
      </c>
    </row>
    <row r="334">
      <c r="A334" s="4" t="s">
        <v>527</v>
      </c>
    </row>
    <row r="335">
      <c r="A335" s="4" t="s">
        <v>960</v>
      </c>
    </row>
    <row r="336">
      <c r="A336" s="4" t="s">
        <v>40</v>
      </c>
    </row>
    <row r="337">
      <c r="A337" s="4" t="s">
        <v>101</v>
      </c>
    </row>
    <row r="338">
      <c r="A338" s="4" t="s">
        <v>119</v>
      </c>
    </row>
    <row r="339">
      <c r="A339" s="4" t="s">
        <v>500</v>
      </c>
    </row>
    <row r="340">
      <c r="A340" s="4" t="s">
        <v>961</v>
      </c>
    </row>
    <row r="341">
      <c r="A341" s="4" t="s">
        <v>33</v>
      </c>
    </row>
    <row r="342">
      <c r="A342" s="4" t="s">
        <v>34</v>
      </c>
    </row>
    <row r="343">
      <c r="A343" s="4" t="s">
        <v>509</v>
      </c>
    </row>
    <row r="344">
      <c r="A344" s="4" t="s">
        <v>119</v>
      </c>
    </row>
    <row r="345">
      <c r="A345" s="4" t="s">
        <v>166</v>
      </c>
    </row>
    <row r="346">
      <c r="A346" s="4" t="s">
        <v>553</v>
      </c>
    </row>
    <row r="347">
      <c r="A347" s="4" t="s">
        <v>866</v>
      </c>
    </row>
    <row r="348">
      <c r="A348" s="4" t="s">
        <v>44</v>
      </c>
    </row>
    <row r="349">
      <c r="A349" s="4" t="s">
        <v>867</v>
      </c>
    </row>
    <row r="350">
      <c r="A350" s="4" t="s">
        <v>929</v>
      </c>
    </row>
    <row r="351">
      <c r="A351" s="4" t="s">
        <v>40</v>
      </c>
    </row>
    <row r="352">
      <c r="A352" s="4" t="s">
        <v>147</v>
      </c>
    </row>
    <row r="353">
      <c r="A353" s="4" t="s">
        <v>48</v>
      </c>
    </row>
    <row r="354">
      <c r="A354" s="4" t="s">
        <v>962</v>
      </c>
    </row>
    <row r="355">
      <c r="A355" s="4" t="s">
        <v>963</v>
      </c>
    </row>
    <row r="356">
      <c r="A356" s="4" t="s">
        <v>33</v>
      </c>
    </row>
    <row r="357">
      <c r="A357" s="4" t="s">
        <v>876</v>
      </c>
    </row>
    <row r="358">
      <c r="A358" s="4" t="s">
        <v>964</v>
      </c>
    </row>
    <row r="359">
      <c r="A359" s="4" t="s">
        <v>96</v>
      </c>
    </row>
    <row r="360">
      <c r="A360" s="4" t="s">
        <v>121</v>
      </c>
    </row>
    <row r="361">
      <c r="A361" s="4" t="s">
        <v>92</v>
      </c>
    </row>
    <row r="362">
      <c r="A362" s="4" t="s">
        <v>122</v>
      </c>
    </row>
    <row r="363">
      <c r="A363" s="4" t="s">
        <v>33</v>
      </c>
    </row>
    <row r="364">
      <c r="A364" s="4" t="s">
        <v>117</v>
      </c>
    </row>
    <row r="365">
      <c r="A365" s="4" t="s">
        <v>41</v>
      </c>
    </row>
    <row r="366">
      <c r="A366" s="4" t="s">
        <v>965</v>
      </c>
    </row>
    <row r="367">
      <c r="A367" s="4" t="s">
        <v>960</v>
      </c>
    </row>
    <row r="368">
      <c r="A368" s="4" t="s">
        <v>40</v>
      </c>
    </row>
    <row r="369">
      <c r="A369" s="4" t="s">
        <v>520</v>
      </c>
    </row>
    <row r="370">
      <c r="A370" s="4" t="s">
        <v>92</v>
      </c>
    </row>
    <row r="371">
      <c r="A371" s="4" t="s">
        <v>139</v>
      </c>
    </row>
    <row r="372">
      <c r="A372" s="4" t="s">
        <v>129</v>
      </c>
    </row>
    <row r="373">
      <c r="A373" s="4" t="s">
        <v>965</v>
      </c>
    </row>
    <row r="374">
      <c r="A374" s="4" t="s">
        <v>33</v>
      </c>
    </row>
    <row r="375">
      <c r="A375" s="4" t="s">
        <v>897</v>
      </c>
    </row>
    <row r="376">
      <c r="A376" s="4" t="s">
        <v>41</v>
      </c>
    </row>
    <row r="377">
      <c r="A377" s="4" t="s">
        <v>913</v>
      </c>
    </row>
    <row r="378">
      <c r="A378" s="4" t="s">
        <v>88</v>
      </c>
    </row>
    <row r="379">
      <c r="A379" s="4" t="s">
        <v>40</v>
      </c>
    </row>
    <row r="380">
      <c r="A380" s="4" t="s">
        <v>75</v>
      </c>
    </row>
    <row r="381">
      <c r="A381" s="4" t="s">
        <v>48</v>
      </c>
    </row>
    <row r="382">
      <c r="A382" s="4" t="s">
        <v>35</v>
      </c>
    </row>
    <row r="383">
      <c r="A383" s="4" t="s">
        <v>40</v>
      </c>
    </row>
    <row r="384">
      <c r="A384" s="4" t="s">
        <v>107</v>
      </c>
    </row>
    <row r="385">
      <c r="A385" s="4" t="s">
        <v>41</v>
      </c>
    </row>
    <row r="386">
      <c r="A386" s="4" t="s">
        <v>892</v>
      </c>
    </row>
    <row r="387">
      <c r="A387" s="4" t="s">
        <v>115</v>
      </c>
    </row>
    <row r="388">
      <c r="A388" s="4" t="s">
        <v>33</v>
      </c>
    </row>
    <row r="389">
      <c r="A389" s="4" t="s">
        <v>891</v>
      </c>
    </row>
    <row r="390">
      <c r="A390" s="4" t="s">
        <v>88</v>
      </c>
    </row>
    <row r="391">
      <c r="A391" s="4" t="s">
        <v>40</v>
      </c>
    </row>
    <row r="392">
      <c r="A392" s="4" t="s">
        <v>75</v>
      </c>
    </row>
    <row r="393">
      <c r="A393" s="4" t="s">
        <v>873</v>
      </c>
    </row>
    <row r="394">
      <c r="A394" s="4" t="s">
        <v>110</v>
      </c>
    </row>
    <row r="395">
      <c r="A395" s="4" t="s">
        <v>966</v>
      </c>
    </row>
    <row r="396">
      <c r="A396" s="4" t="s">
        <v>524</v>
      </c>
    </row>
    <row r="397">
      <c r="A397" s="4" t="s">
        <v>126</v>
      </c>
    </row>
    <row r="398">
      <c r="A398" s="4" t="s">
        <v>967</v>
      </c>
    </row>
    <row r="399">
      <c r="A399" s="4" t="s">
        <v>48</v>
      </c>
    </row>
    <row r="400">
      <c r="A400" s="4" t="s">
        <v>968</v>
      </c>
    </row>
    <row r="401">
      <c r="A401" s="4" t="s">
        <v>969</v>
      </c>
    </row>
    <row r="402">
      <c r="A402" s="4" t="s">
        <v>512</v>
      </c>
    </row>
    <row r="403">
      <c r="A403" s="4" t="s">
        <v>115</v>
      </c>
    </row>
    <row r="404">
      <c r="A404" s="4" t="s">
        <v>970</v>
      </c>
    </row>
    <row r="405">
      <c r="A405" s="4" t="s">
        <v>33</v>
      </c>
    </row>
    <row r="406">
      <c r="A406" s="4" t="s">
        <v>897</v>
      </c>
    </row>
    <row r="407">
      <c r="A407" s="4" t="s">
        <v>41</v>
      </c>
    </row>
    <row r="408">
      <c r="A408" s="4" t="s">
        <v>971</v>
      </c>
    </row>
    <row r="409">
      <c r="A409" s="4" t="s">
        <v>88</v>
      </c>
    </row>
    <row r="410">
      <c r="A410" s="4" t="s">
        <v>89</v>
      </c>
    </row>
    <row r="411">
      <c r="A411" s="4" t="s">
        <v>877</v>
      </c>
    </row>
    <row r="412">
      <c r="A412" s="4" t="s">
        <v>119</v>
      </c>
    </row>
    <row r="413">
      <c r="A413" s="4" t="s">
        <v>878</v>
      </c>
    </row>
    <row r="414">
      <c r="A414" s="4" t="s">
        <v>923</v>
      </c>
    </row>
    <row r="415">
      <c r="A415" s="4" t="s">
        <v>553</v>
      </c>
    </row>
    <row r="416">
      <c r="A416" s="4" t="s">
        <v>891</v>
      </c>
    </row>
    <row r="417">
      <c r="A417" s="4" t="s">
        <v>972</v>
      </c>
    </row>
    <row r="418">
      <c r="A418" s="4" t="s">
        <v>973</v>
      </c>
    </row>
    <row r="419">
      <c r="A419" s="4" t="s">
        <v>974</v>
      </c>
    </row>
    <row r="420">
      <c r="A420" s="4" t="s">
        <v>975</v>
      </c>
    </row>
    <row r="421">
      <c r="A421" s="4" t="s">
        <v>976</v>
      </c>
    </row>
    <row r="422">
      <c r="A422" s="4" t="s">
        <v>115</v>
      </c>
    </row>
    <row r="423">
      <c r="A423" s="4" t="s">
        <v>940</v>
      </c>
    </row>
    <row r="424">
      <c r="A424" s="4" t="s">
        <v>977</v>
      </c>
    </row>
    <row r="425">
      <c r="A425" s="4" t="s">
        <v>961</v>
      </c>
    </row>
    <row r="426">
      <c r="A426" s="4" t="s">
        <v>33</v>
      </c>
    </row>
    <row r="427">
      <c r="A427" s="4" t="s">
        <v>897</v>
      </c>
    </row>
    <row r="428">
      <c r="A428" s="4" t="s">
        <v>41</v>
      </c>
    </row>
    <row r="429">
      <c r="A429" s="4" t="s">
        <v>971</v>
      </c>
    </row>
    <row r="430">
      <c r="A430" s="4" t="s">
        <v>107</v>
      </c>
    </row>
    <row r="431">
      <c r="A431" s="4" t="s">
        <v>41</v>
      </c>
    </row>
    <row r="432">
      <c r="A432" s="4" t="s">
        <v>42</v>
      </c>
    </row>
    <row r="433">
      <c r="A433" s="4" t="s">
        <v>48</v>
      </c>
    </row>
    <row r="434">
      <c r="A434" s="4" t="s">
        <v>88</v>
      </c>
    </row>
    <row r="435">
      <c r="A435" s="4" t="s">
        <v>89</v>
      </c>
    </row>
    <row r="436">
      <c r="A436" s="4" t="s">
        <v>57</v>
      </c>
    </row>
    <row r="437">
      <c r="A437" s="4" t="s">
        <v>33</v>
      </c>
    </row>
    <row r="438">
      <c r="A438" s="4" t="s">
        <v>108</v>
      </c>
    </row>
    <row r="439">
      <c r="A439" s="4" t="s">
        <v>902</v>
      </c>
    </row>
    <row r="440">
      <c r="A440" s="4" t="s">
        <v>919</v>
      </c>
    </row>
    <row r="441">
      <c r="A441" s="4" t="s">
        <v>978</v>
      </c>
    </row>
    <row r="442">
      <c r="A442" s="4" t="s">
        <v>48</v>
      </c>
    </row>
    <row r="443">
      <c r="A443" s="4" t="s">
        <v>979</v>
      </c>
    </row>
    <row r="444">
      <c r="A444" s="4" t="s">
        <v>90</v>
      </c>
    </row>
    <row r="445">
      <c r="A445" s="4" t="s">
        <v>910</v>
      </c>
    </row>
    <row r="446">
      <c r="A446" s="4" t="s">
        <v>33</v>
      </c>
    </row>
    <row r="447">
      <c r="A447" s="4" t="s">
        <v>980</v>
      </c>
    </row>
    <row r="448">
      <c r="A448" s="4" t="s">
        <v>88</v>
      </c>
    </row>
    <row r="449">
      <c r="A449" s="4" t="s">
        <v>89</v>
      </c>
    </row>
    <row r="450">
      <c r="A450" s="4" t="s">
        <v>877</v>
      </c>
    </row>
    <row r="451">
      <c r="A451" s="4" t="s">
        <v>109</v>
      </c>
    </row>
    <row r="452">
      <c r="A452" s="4" t="s">
        <v>110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750</v>
      </c>
      <c r="D2" s="4" t="str">
        <f t="shared" ref="D2:D418" si="1">C2</f>
        <v>{"valorA":"ótima","valorB":1.0}</v>
      </c>
      <c r="E2" s="8" t="str">
        <f t="shared" ref="E2:E418" si="2">SUBSTITUTE(MID(C2,FIND(":",C2)+1,FIND(",",C2)-FIND(":",C2)-1),"""","")</f>
        <v>ótima</v>
      </c>
      <c r="F2" s="8" t="str">
        <f>IFERROR(__xludf.DUMMYFUNCTION("UNIQUE(E2:E418)"),"ótima")</f>
        <v>ótima</v>
      </c>
      <c r="G2" s="8" t="str">
        <f t="shared" ref="G2:G418" si="3">MID(C2,FIND("valorB",C2)+8,FIND("}",C2)-FIND("valorB",C2)-8)</f>
        <v>1.0</v>
      </c>
      <c r="H2" s="9">
        <f t="shared" ref="H2:H418" si="4">VALUE(SUBSTITUTE(G2,".",","))</f>
        <v>1</v>
      </c>
      <c r="I2" s="10">
        <f>IFERROR(__xludf.DUMMYFUNCTION("MAX(FILTER($H$2:$H418,$E$2:$E418=F2))"),8.0)</f>
        <v>8</v>
      </c>
    </row>
    <row r="3">
      <c r="A3" s="4"/>
      <c r="C3" s="4" t="s">
        <v>235</v>
      </c>
      <c r="D3" s="4" t="str">
        <f t="shared" si="1"/>
        <v>{"valorA":"recomendo","valorB":1.0}</v>
      </c>
      <c r="E3" s="8" t="str">
        <f t="shared" si="2"/>
        <v>recomendo</v>
      </c>
      <c r="F3" s="8" t="str">
        <f>IFERROR(__xludf.DUMMYFUNCTION("""COMPUTED_VALUE"""),"recomendo")</f>
        <v>recomendo</v>
      </c>
      <c r="G3" s="8" t="str">
        <f t="shared" si="3"/>
        <v>1.0</v>
      </c>
      <c r="H3" s="9">
        <f t="shared" si="4"/>
        <v>1</v>
      </c>
      <c r="I3" s="10">
        <f>IFERROR(__xludf.DUMMYFUNCTION("MAX(FILTER($H$2:$H418,$E$2:$E418=F3))"),10.0)</f>
        <v>10</v>
      </c>
    </row>
    <row r="4">
      <c r="A4" s="4"/>
      <c r="C4" s="4" t="s">
        <v>981</v>
      </c>
      <c r="D4" s="4" t="str">
        <f t="shared" si="1"/>
        <v>{"valorA":"tenho","valorB":1.0}</v>
      </c>
      <c r="E4" s="8" t="str">
        <f t="shared" si="2"/>
        <v>tenho</v>
      </c>
      <c r="F4" s="8" t="str">
        <f>IFERROR(__xludf.DUMMYFUNCTION("""COMPUTED_VALUE"""),"tenho")</f>
        <v>tenho</v>
      </c>
      <c r="G4" s="8" t="str">
        <f t="shared" si="3"/>
        <v>1.0</v>
      </c>
      <c r="H4" s="9">
        <f t="shared" si="4"/>
        <v>1</v>
      </c>
      <c r="I4" s="10">
        <f>IFERROR(__xludf.DUMMYFUNCTION("MAX(FILTER($H$2:$H418,$E$2:$E418=F4))"),1.0)</f>
        <v>1</v>
      </c>
    </row>
    <row r="5">
      <c r="A5" s="4"/>
      <c r="C5" s="4" t="s">
        <v>290</v>
      </c>
      <c r="D5" s="4" t="str">
        <f t="shared" si="1"/>
        <v>{"valorA":"com","valorB":1.0}</v>
      </c>
      <c r="E5" s="8" t="str">
        <f t="shared" si="2"/>
        <v>com</v>
      </c>
      <c r="F5" s="8" t="str">
        <f>IFERROR(__xludf.DUMMYFUNCTION("""COMPUTED_VALUE"""),"com")</f>
        <v>com</v>
      </c>
      <c r="G5" s="8" t="str">
        <f t="shared" si="3"/>
        <v>1.0</v>
      </c>
      <c r="H5" s="9">
        <f t="shared" si="4"/>
        <v>1</v>
      </c>
      <c r="I5" s="10">
        <f>IFERROR(__xludf.DUMMYFUNCTION("MAX(FILTER($H$2:$H418,$E$2:$E418=F5))"),12.0)</f>
        <v>12</v>
      </c>
    </row>
    <row r="6">
      <c r="A6" s="4"/>
      <c r="C6" s="4" t="s">
        <v>982</v>
      </c>
      <c r="D6" s="4" t="str">
        <f t="shared" si="1"/>
        <v>{"valorA":"muy","valorB":1.0}</v>
      </c>
      <c r="E6" s="8" t="str">
        <f t="shared" si="2"/>
        <v>muy</v>
      </c>
      <c r="F6" s="8" t="str">
        <f>IFERROR(__xludf.DUMMYFUNCTION("""COMPUTED_VALUE"""),"muy")</f>
        <v>muy</v>
      </c>
      <c r="G6" s="8" t="str">
        <f t="shared" si="3"/>
        <v>1.0</v>
      </c>
      <c r="H6" s="9">
        <f t="shared" si="4"/>
        <v>1</v>
      </c>
      <c r="I6" s="10">
        <f>IFERROR(__xludf.DUMMYFUNCTION("MAX(FILTER($H$2:$H418,$E$2:$E418=F6))"),1.0)</f>
        <v>1</v>
      </c>
    </row>
    <row r="7">
      <c r="A7" s="4"/>
      <c r="C7" s="4" t="s">
        <v>983</v>
      </c>
      <c r="D7" s="4" t="str">
        <f t="shared" si="1"/>
        <v>{"valorA":"operacional","valorB":1.0}</v>
      </c>
      <c r="E7" s="8" t="str">
        <f t="shared" si="2"/>
        <v>operacional</v>
      </c>
      <c r="F7" s="8" t="str">
        <f>IFERROR(__xludf.DUMMYFUNCTION("""COMPUTED_VALUE"""),"operacional")</f>
        <v>operacional</v>
      </c>
      <c r="G7" s="8" t="str">
        <f t="shared" si="3"/>
        <v>1.0</v>
      </c>
      <c r="H7" s="9">
        <f t="shared" si="4"/>
        <v>1</v>
      </c>
      <c r="I7" s="10">
        <f>IFERROR(__xludf.DUMMYFUNCTION("MAX(FILTER($H$2:$H418,$E$2:$E418=F7))"),1.0)</f>
        <v>1</v>
      </c>
    </row>
    <row r="8">
      <c r="A8" s="4"/>
      <c r="C8" s="4" t="s">
        <v>984</v>
      </c>
      <c r="D8" s="4" t="str">
        <f t="shared" si="1"/>
        <v>{"valorA":"preciso","valorB":1.0}</v>
      </c>
      <c r="E8" s="8" t="str">
        <f t="shared" si="2"/>
        <v>preciso</v>
      </c>
      <c r="F8" s="8" t="str">
        <f>IFERROR(__xludf.DUMMYFUNCTION("""COMPUTED_VALUE"""),"preciso")</f>
        <v>preciso</v>
      </c>
      <c r="G8" s="8" t="str">
        <f t="shared" si="3"/>
        <v>1.0</v>
      </c>
      <c r="H8" s="9">
        <f t="shared" si="4"/>
        <v>1</v>
      </c>
      <c r="I8" s="10">
        <f>IFERROR(__xludf.DUMMYFUNCTION("MAX(FILTER($H$2:$H418,$E$2:$E418=F8))"),1.0)</f>
        <v>1</v>
      </c>
    </row>
    <row r="9">
      <c r="A9" s="4"/>
      <c r="C9" s="4" t="s">
        <v>220</v>
      </c>
      <c r="D9" s="4" t="str">
        <f t="shared" si="1"/>
        <v>{"valorA":"bem","valorB":1.0}</v>
      </c>
      <c r="E9" s="8" t="str">
        <f t="shared" si="2"/>
        <v>bem</v>
      </c>
      <c r="F9" s="8" t="str">
        <f>IFERROR(__xludf.DUMMYFUNCTION("""COMPUTED_VALUE"""),"bem")</f>
        <v>bem</v>
      </c>
      <c r="G9" s="8" t="str">
        <f t="shared" si="3"/>
        <v>1.0</v>
      </c>
      <c r="H9" s="9">
        <f t="shared" si="4"/>
        <v>1</v>
      </c>
      <c r="I9" s="10">
        <f>IFERROR(__xludf.DUMMYFUNCTION("MAX(FILTER($H$2:$H418,$E$2:$E418=F9))"),6.0)</f>
        <v>6</v>
      </c>
    </row>
    <row r="10">
      <c r="A10" s="4"/>
      <c r="C10" s="4" t="s">
        <v>984</v>
      </c>
      <c r="D10" s="4" t="str">
        <f t="shared" si="1"/>
        <v>{"valorA":"preciso","valorB":1.0}</v>
      </c>
      <c r="E10" s="8" t="str">
        <f t="shared" si="2"/>
        <v>preciso</v>
      </c>
      <c r="F10" s="8" t="str">
        <f>IFERROR(__xludf.DUMMYFUNCTION("""COMPUTED_VALUE"""),"celular")</f>
        <v>celular</v>
      </c>
      <c r="G10" s="8" t="str">
        <f t="shared" si="3"/>
        <v>1.0</v>
      </c>
      <c r="H10" s="9">
        <f t="shared" si="4"/>
        <v>1</v>
      </c>
      <c r="I10" s="10">
        <f>IFERROR(__xludf.DUMMYFUNCTION("MAX(FILTER($H$2:$H418,$E$2:$E418=F10))"),1.0)</f>
        <v>1</v>
      </c>
    </row>
    <row r="11">
      <c r="A11" s="4"/>
      <c r="C11" s="4" t="s">
        <v>220</v>
      </c>
      <c r="D11" s="4" t="str">
        <f t="shared" si="1"/>
        <v>{"valorA":"bem","valorB":1.0}</v>
      </c>
      <c r="E11" s="8" t="str">
        <f t="shared" si="2"/>
        <v>bem</v>
      </c>
      <c r="F11" s="8" t="str">
        <f>IFERROR(__xludf.DUMMYFUNCTION("""COMPUTED_VALUE"""),"escritório")</f>
        <v>escritório</v>
      </c>
      <c r="G11" s="8" t="str">
        <f t="shared" si="3"/>
        <v>1.0</v>
      </c>
      <c r="H11" s="9">
        <f t="shared" si="4"/>
        <v>1</v>
      </c>
      <c r="I11" s="10">
        <f>IFERROR(__xludf.DUMMYFUNCTION("MAX(FILTER($H$2:$H418,$E$2:$E418=F11))"),2.0)</f>
        <v>2</v>
      </c>
    </row>
    <row r="12">
      <c r="A12" s="4"/>
      <c r="C12" s="4" t="s">
        <v>985</v>
      </c>
      <c r="D12" s="4" t="str">
        <f t="shared" si="1"/>
        <v>{"valorA":"celular","valorB":1.0}</v>
      </c>
      <c r="E12" s="8" t="str">
        <f t="shared" si="2"/>
        <v>celular</v>
      </c>
      <c r="F12" s="8" t="str">
        <f>IFERROR(__xludf.DUMMYFUNCTION("""COMPUTED_VALUE"""),"e")</f>
        <v>e</v>
      </c>
      <c r="G12" s="8" t="str">
        <f t="shared" si="3"/>
        <v>1.0</v>
      </c>
      <c r="H12" s="9">
        <f t="shared" si="4"/>
        <v>1</v>
      </c>
      <c r="I12" s="10">
        <f>IFERROR(__xludf.DUMMYFUNCTION("MAX(FILTER($H$2:$H418,$E$2:$E418=F12))"),16.0)</f>
        <v>16</v>
      </c>
    </row>
    <row r="13">
      <c r="A13" s="4"/>
      <c r="C13" s="4" t="s">
        <v>986</v>
      </c>
      <c r="D13" s="4" t="str">
        <f t="shared" si="1"/>
        <v>{"valorA":"escritório","valorB":1.0}</v>
      </c>
      <c r="E13" s="8" t="str">
        <f t="shared" si="2"/>
        <v>escritório</v>
      </c>
      <c r="F13" s="8" t="str">
        <f>IFERROR(__xludf.DUMMYFUNCTION("""COMPUTED_VALUE"""),"o")</f>
        <v>o</v>
      </c>
      <c r="G13" s="8" t="str">
        <f t="shared" si="3"/>
        <v>1.0</v>
      </c>
      <c r="H13" s="9">
        <f t="shared" si="4"/>
        <v>1</v>
      </c>
      <c r="I13" s="10">
        <f>IFERROR(__xludf.DUMMYFUNCTION("MAX(FILTER($H$2:$H418,$E$2:$E418=F13))"),16.0)</f>
        <v>16</v>
      </c>
    </row>
    <row r="14">
      <c r="A14" s="4"/>
      <c r="C14" s="4" t="s">
        <v>184</v>
      </c>
      <c r="D14" s="4" t="str">
        <f t="shared" si="1"/>
        <v>{"valorA":"e","valorB":1.0}</v>
      </c>
      <c r="E14" s="8" t="str">
        <f t="shared" si="2"/>
        <v>e</v>
      </c>
      <c r="F14" s="8" t="str">
        <f>IFERROR(__xludf.DUMMYFUNCTION("""COMPUTED_VALUE"""),"de")</f>
        <v>de</v>
      </c>
      <c r="G14" s="8" t="str">
        <f t="shared" si="3"/>
        <v>1.0</v>
      </c>
      <c r="H14" s="9">
        <f t="shared" si="4"/>
        <v>1</v>
      </c>
      <c r="I14" s="10">
        <f>IFERROR(__xludf.DUMMYFUNCTION("MAX(FILTER($H$2:$H418,$E$2:$E418=F14))"),19.0)</f>
        <v>19</v>
      </c>
    </row>
    <row r="15">
      <c r="A15" s="4"/>
      <c r="C15" s="4" t="s">
        <v>332</v>
      </c>
      <c r="D15" s="4" t="str">
        <f t="shared" si="1"/>
        <v>{"valorA":"o","valorB":2.0}</v>
      </c>
      <c r="E15" s="8" t="str">
        <f t="shared" si="2"/>
        <v>o</v>
      </c>
      <c r="F15" s="8" t="str">
        <f>IFERROR(__xludf.DUMMYFUNCTION("""COMPUTED_VALUE"""),"eu")</f>
        <v>eu</v>
      </c>
      <c r="G15" s="8" t="str">
        <f t="shared" si="3"/>
        <v>2.0</v>
      </c>
      <c r="H15" s="9">
        <f t="shared" si="4"/>
        <v>2</v>
      </c>
      <c r="I15" s="10">
        <f>IFERROR(__xludf.DUMMYFUNCTION("MAX(FILTER($H$2:$H418,$E$2:$E418=F15))"),3.0)</f>
        <v>3</v>
      </c>
    </row>
    <row r="16">
      <c r="A16" s="4"/>
      <c r="C16" s="4" t="s">
        <v>642</v>
      </c>
      <c r="D16" s="4" t="str">
        <f t="shared" si="1"/>
        <v>{"valorA":"de","valorB":1.0}</v>
      </c>
      <c r="E16" s="8" t="str">
        <f t="shared" si="2"/>
        <v>de</v>
      </c>
      <c r="F16" s="8" t="str">
        <f>IFERROR(__xludf.DUMMYFUNCTION("""COMPUTED_VALUE"""),"óptimo")</f>
        <v>óptimo</v>
      </c>
      <c r="G16" s="8" t="str">
        <f t="shared" si="3"/>
        <v>1.0</v>
      </c>
      <c r="H16" s="9">
        <f t="shared" si="4"/>
        <v>1</v>
      </c>
      <c r="I16" s="10">
        <f>IFERROR(__xludf.DUMMYFUNCTION("MAX(FILTER($H$2:$H418,$E$2:$E418=F16))"),6.0)</f>
        <v>6</v>
      </c>
    </row>
    <row r="17">
      <c r="A17" s="4"/>
      <c r="C17" s="4" t="s">
        <v>732</v>
      </c>
      <c r="D17" s="4" t="str">
        <f t="shared" si="1"/>
        <v>{"valorA":"eu","valorB":1.0}</v>
      </c>
      <c r="E17" s="8" t="str">
        <f t="shared" si="2"/>
        <v>eu</v>
      </c>
      <c r="F17" s="8" t="str">
        <f>IFERROR(__xludf.DUMMYFUNCTION("""COMPUTED_VALUE"""),"que")</f>
        <v>que</v>
      </c>
      <c r="G17" s="8" t="str">
        <f t="shared" si="3"/>
        <v>1.0</v>
      </c>
      <c r="H17" s="9">
        <f t="shared" si="4"/>
        <v>1</v>
      </c>
      <c r="I17" s="10">
        <f>IFERROR(__xludf.DUMMYFUNCTION("MAX(FILTER($H$2:$H418,$E$2:$E418=F17))"),3.0)</f>
        <v>3</v>
      </c>
    </row>
    <row r="18">
      <c r="A18" s="4"/>
      <c r="C18" s="4" t="s">
        <v>987</v>
      </c>
      <c r="D18" s="4" t="str">
        <f t="shared" si="1"/>
        <v>{"valorA":"óptimo","valorB":1.0}</v>
      </c>
      <c r="E18" s="8" t="str">
        <f t="shared" si="2"/>
        <v>óptimo</v>
      </c>
      <c r="F18" s="8" t="str">
        <f>IFERROR(__xludf.DUMMYFUNCTION("""COMPUTED_VALUE"""),"ótimo")</f>
        <v>ótimo</v>
      </c>
      <c r="G18" s="8" t="str">
        <f t="shared" si="3"/>
        <v>1.0</v>
      </c>
      <c r="H18" s="9">
        <f t="shared" si="4"/>
        <v>1</v>
      </c>
      <c r="I18" s="10">
        <f>IFERROR(__xludf.DUMMYFUNCTION("MAX(FILTER($H$2:$H418,$E$2:$E418=F18))"),36.0)</f>
        <v>36</v>
      </c>
    </row>
    <row r="19">
      <c r="A19" s="4"/>
      <c r="C19" s="4" t="s">
        <v>295</v>
      </c>
      <c r="D19" s="4" t="str">
        <f t="shared" si="1"/>
        <v>{"valorA":"que","valorB":1.0}</v>
      </c>
      <c r="E19" s="8" t="str">
        <f t="shared" si="2"/>
        <v>que</v>
      </c>
      <c r="F19" s="8" t="str">
        <f>IFERROR(__xludf.DUMMYFUNCTION("""COMPUTED_VALUE"""),"telefone")</f>
        <v>telefone</v>
      </c>
      <c r="G19" s="8" t="str">
        <f t="shared" si="3"/>
        <v>1.0</v>
      </c>
      <c r="H19" s="9">
        <f t="shared" si="4"/>
        <v>1</v>
      </c>
      <c r="I19" s="10">
        <f>IFERROR(__xludf.DUMMYFUNCTION("MAX(FILTER($H$2:$H418,$E$2:$E418=F19))"),1.0)</f>
        <v>1</v>
      </c>
    </row>
    <row r="20">
      <c r="A20" s="4"/>
      <c r="C20" s="4" t="s">
        <v>175</v>
      </c>
      <c r="D20" s="4" t="str">
        <f t="shared" si="1"/>
        <v>{"valorA":"ótimo","valorB":1.0}</v>
      </c>
      <c r="E20" s="8" t="str">
        <f t="shared" si="2"/>
        <v>ótimo</v>
      </c>
      <c r="F20" s="8" t="str">
        <f>IFERROR(__xludf.DUMMYFUNCTION("""COMPUTED_VALUE"""),"10")</f>
        <v>10</v>
      </c>
      <c r="G20" s="8" t="str">
        <f t="shared" si="3"/>
        <v>1.0</v>
      </c>
      <c r="H20" s="9">
        <f t="shared" si="4"/>
        <v>1</v>
      </c>
      <c r="I20" s="10">
        <f>IFERROR(__xludf.DUMMYFUNCTION("MAX(FILTER($H$2:$H418,$E$2:$E418=F20))"),1.0)</f>
        <v>1</v>
      </c>
    </row>
    <row r="21">
      <c r="A21" s="4"/>
      <c r="C21" s="4" t="s">
        <v>354</v>
      </c>
      <c r="D21" s="4" t="str">
        <f t="shared" si="1"/>
        <v>{"valorA":"telefone","valorB":1.0}</v>
      </c>
      <c r="E21" s="8" t="str">
        <f t="shared" si="2"/>
        <v>telefone</v>
      </c>
      <c r="F21" s="8" t="str">
        <f>IFERROR(__xludf.DUMMYFUNCTION("""COMPUTED_VALUE"""),"muito")</f>
        <v>muito</v>
      </c>
      <c r="G21" s="8" t="str">
        <f t="shared" si="3"/>
        <v>1.0</v>
      </c>
      <c r="H21" s="9">
        <f t="shared" si="4"/>
        <v>1</v>
      </c>
      <c r="I21" s="10">
        <f>IFERROR(__xludf.DUMMYFUNCTION("MAX(FILTER($H$2:$H418,$E$2:$E418=F21))"),16.0)</f>
        <v>16</v>
      </c>
    </row>
    <row r="22">
      <c r="A22" s="4"/>
      <c r="C22" s="4" t="s">
        <v>988</v>
      </c>
      <c r="D22" s="4" t="str">
        <f t="shared" si="1"/>
        <v>{"valorA":"10","valorB":1.0}</v>
      </c>
      <c r="E22" s="8" t="str">
        <f t="shared" si="2"/>
        <v>10</v>
      </c>
      <c r="F22" s="8" t="str">
        <f>IFERROR(__xludf.DUMMYFUNCTION("""COMPUTED_VALUE"""),"sistema")</f>
        <v>sistema</v>
      </c>
      <c r="G22" s="8" t="str">
        <f t="shared" si="3"/>
        <v>1.0</v>
      </c>
      <c r="H22" s="9">
        <f t="shared" si="4"/>
        <v>1</v>
      </c>
      <c r="I22" s="10">
        <f>IFERROR(__xludf.DUMMYFUNCTION("MAX(FILTER($H$2:$H418,$E$2:$E418=F22))"),2.0)</f>
        <v>2</v>
      </c>
    </row>
    <row r="23">
      <c r="A23" s="4"/>
      <c r="C23" s="4" t="s">
        <v>579</v>
      </c>
      <c r="D23" s="4" t="str">
        <f t="shared" si="1"/>
        <v>{"valorA":"muito","valorB":1.0}</v>
      </c>
      <c r="E23" s="8" t="str">
        <f t="shared" si="2"/>
        <v>muito</v>
      </c>
      <c r="F23" s="8" t="str">
        <f>IFERROR(__xludf.DUMMYFUNCTION("""COMPUTED_VALUE"""),"confortável")</f>
        <v>confortável</v>
      </c>
      <c r="G23" s="8" t="str">
        <f t="shared" si="3"/>
        <v>1.0</v>
      </c>
      <c r="H23" s="9">
        <f t="shared" si="4"/>
        <v>1</v>
      </c>
      <c r="I23" s="10">
        <f>IFERROR(__xludf.DUMMYFUNCTION("MAX(FILTER($H$2:$H418,$E$2:$E418=F23))"),4.0)</f>
        <v>4</v>
      </c>
    </row>
    <row r="24">
      <c r="A24" s="4"/>
      <c r="C24" s="4" t="s">
        <v>668</v>
      </c>
      <c r="D24" s="4" t="str">
        <f t="shared" si="1"/>
        <v>{"valorA":"sistema","valorB":1.0}</v>
      </c>
      <c r="E24" s="8" t="str">
        <f t="shared" si="2"/>
        <v>sistema</v>
      </c>
      <c r="F24" s="8" t="str">
        <f>IFERROR(__xludf.DUMMYFUNCTION("""COMPUTED_VALUE"""),"tudo")</f>
        <v>tudo</v>
      </c>
      <c r="G24" s="8" t="str">
        <f t="shared" si="3"/>
        <v>1.0</v>
      </c>
      <c r="H24" s="9">
        <f t="shared" si="4"/>
        <v>1</v>
      </c>
      <c r="I24" s="10">
        <f>IFERROR(__xludf.DUMMYFUNCTION("MAX(FILTER($H$2:$H418,$E$2:$E418=F24))"),1.0)</f>
        <v>1</v>
      </c>
    </row>
    <row r="25">
      <c r="A25" s="4"/>
      <c r="C25" s="4" t="s">
        <v>398</v>
      </c>
      <c r="D25" s="4" t="str">
        <f t="shared" si="1"/>
        <v>{"valorA":"confortável","valorB":1.0}</v>
      </c>
      <c r="E25" s="8" t="str">
        <f t="shared" si="2"/>
        <v>confortável</v>
      </c>
      <c r="F25" s="8" t="str">
        <f>IFERROR(__xludf.DUMMYFUNCTION("""COMPUTED_VALUE"""),"funciona")</f>
        <v>funciona</v>
      </c>
      <c r="G25" s="8" t="str">
        <f t="shared" si="3"/>
        <v>1.0</v>
      </c>
      <c r="H25" s="9">
        <f t="shared" si="4"/>
        <v>1</v>
      </c>
      <c r="I25" s="10">
        <f>IFERROR(__xludf.DUMMYFUNCTION("MAX(FILTER($H$2:$H418,$E$2:$E418=F25))"),14.0)</f>
        <v>14</v>
      </c>
    </row>
    <row r="26">
      <c r="A26" s="4"/>
      <c r="C26" s="4" t="s">
        <v>989</v>
      </c>
      <c r="D26" s="4" t="str">
        <f t="shared" si="1"/>
        <v>{"valorA":"tudo","valorB":1.0}</v>
      </c>
      <c r="E26" s="8" t="str">
        <f t="shared" si="2"/>
        <v>tudo</v>
      </c>
      <c r="F26" s="8" t="str">
        <f>IFERROR(__xludf.DUMMYFUNCTION("""COMPUTED_VALUE"""),"cadeira")</f>
        <v>cadeira</v>
      </c>
      <c r="G26" s="8" t="str">
        <f t="shared" si="3"/>
        <v>1.0</v>
      </c>
      <c r="H26" s="9">
        <f t="shared" si="4"/>
        <v>1</v>
      </c>
      <c r="I26" s="10">
        <f>IFERROR(__xludf.DUMMYFUNCTION("MAX(FILTER($H$2:$H418,$E$2:$E418=F26))"),2.0)</f>
        <v>2</v>
      </c>
    </row>
    <row r="27">
      <c r="A27" s="4"/>
      <c r="C27" s="4" t="s">
        <v>248</v>
      </c>
      <c r="D27" s="4" t="str">
        <f t="shared" si="1"/>
        <v>{"valorA":"funciona","valorB":1.0}</v>
      </c>
      <c r="E27" s="8" t="str">
        <f t="shared" si="2"/>
        <v>funciona</v>
      </c>
      <c r="F27" s="8" t="str">
        <f>IFERROR(__xludf.DUMMYFUNCTION("""COMPUTED_VALUE"""),"windows")</f>
        <v>windows</v>
      </c>
      <c r="G27" s="8" t="str">
        <f t="shared" si="3"/>
        <v>1.0</v>
      </c>
      <c r="H27" s="9">
        <f t="shared" si="4"/>
        <v>1</v>
      </c>
      <c r="I27" s="10">
        <f>IFERROR(__xludf.DUMMYFUNCTION("MAX(FILTER($H$2:$H418,$E$2:$E418=F27))"),1.0)</f>
        <v>1</v>
      </c>
    </row>
    <row r="28">
      <c r="A28" s="4"/>
      <c r="C28" s="4" t="s">
        <v>990</v>
      </c>
      <c r="D28" s="4" t="str">
        <f t="shared" si="1"/>
        <v>{"valorA":"cadeira","valorB":1.0}</v>
      </c>
      <c r="E28" s="8" t="str">
        <f t="shared" si="2"/>
        <v>cadeira</v>
      </c>
      <c r="F28" s="8" t="str">
        <f>IFERROR(__xludf.DUMMYFUNCTION("""COMPUTED_VALUE"""),"é")</f>
        <v>é</v>
      </c>
      <c r="G28" s="8" t="str">
        <f t="shared" si="3"/>
        <v>1.0</v>
      </c>
      <c r="H28" s="9">
        <f t="shared" si="4"/>
        <v>1</v>
      </c>
      <c r="I28" s="10">
        <f>IFERROR(__xludf.DUMMYFUNCTION("MAX(FILTER($H$2:$H418,$E$2:$E418=F28))"),3.0)</f>
        <v>3</v>
      </c>
    </row>
    <row r="29">
      <c r="A29" s="4"/>
      <c r="C29" s="4" t="s">
        <v>991</v>
      </c>
      <c r="D29" s="4" t="str">
        <f t="shared" si="1"/>
        <v>{"valorA":"windows","valorB":1.0}</v>
      </c>
      <c r="E29" s="8" t="str">
        <f t="shared" si="2"/>
        <v>windows</v>
      </c>
      <c r="F29" s="8" t="str">
        <f>IFERROR(__xludf.DUMMYFUNCTION("""COMPUTED_VALUE"""),"serviço")</f>
        <v>serviço</v>
      </c>
      <c r="G29" s="8" t="str">
        <f t="shared" si="3"/>
        <v>1.0</v>
      </c>
      <c r="H29" s="9">
        <f t="shared" si="4"/>
        <v>1</v>
      </c>
      <c r="I29" s="10">
        <f>IFERROR(__xludf.DUMMYFUNCTION("MAX(FILTER($H$2:$H418,$E$2:$E418=F29))"),2.0)</f>
        <v>2</v>
      </c>
    </row>
    <row r="30">
      <c r="A30" s="4"/>
      <c r="C30" s="4" t="s">
        <v>177</v>
      </c>
      <c r="D30" s="4" t="str">
        <f t="shared" si="1"/>
        <v>{"valorA":"é","valorB":1.0}</v>
      </c>
      <c r="E30" s="8" t="str">
        <f t="shared" si="2"/>
        <v>é</v>
      </c>
      <c r="F30" s="8" t="str">
        <f>IFERROR(__xludf.DUMMYFUNCTION("""COMPUTED_VALUE"""),"prestado")</f>
        <v>prestado</v>
      </c>
      <c r="G30" s="8" t="str">
        <f t="shared" si="3"/>
        <v>1.0</v>
      </c>
      <c r="H30" s="9">
        <f t="shared" si="4"/>
        <v>1</v>
      </c>
      <c r="I30" s="10">
        <f>IFERROR(__xludf.DUMMYFUNCTION("MAX(FILTER($H$2:$H418,$E$2:$E418=F30))"),1.0)</f>
        <v>1</v>
      </c>
    </row>
    <row r="31">
      <c r="A31" s="4"/>
      <c r="C31" s="4" t="s">
        <v>992</v>
      </c>
      <c r="D31" s="4" t="str">
        <f t="shared" si="1"/>
        <v>{"valorA":"serviço","valorB":1.0}</v>
      </c>
      <c r="E31" s="8" t="str">
        <f t="shared" si="2"/>
        <v>serviço</v>
      </c>
      <c r="F31" s="8" t="str">
        <f>IFERROR(__xludf.DUMMYFUNCTION("""COMPUTED_VALUE"""),"agradável")</f>
        <v>agradável</v>
      </c>
      <c r="G31" s="8" t="str">
        <f t="shared" si="3"/>
        <v>1.0</v>
      </c>
      <c r="H31" s="9">
        <f t="shared" si="4"/>
        <v>1</v>
      </c>
      <c r="I31" s="10">
        <f>IFERROR(__xludf.DUMMYFUNCTION("MAX(FILTER($H$2:$H418,$E$2:$E418=F31))"),1.0)</f>
        <v>1</v>
      </c>
    </row>
    <row r="32">
      <c r="A32" s="4"/>
      <c r="C32" s="4" t="s">
        <v>328</v>
      </c>
      <c r="D32" s="4" t="str">
        <f t="shared" si="1"/>
        <v>{"valorA":"com","valorB":2.0}</v>
      </c>
      <c r="E32" s="8" t="str">
        <f t="shared" si="2"/>
        <v>com</v>
      </c>
      <c r="F32" s="8" t="str">
        <f>IFERROR(__xludf.DUMMYFUNCTION("""COMPUTED_VALUE"""),"exc")</f>
        <v>exc</v>
      </c>
      <c r="G32" s="8" t="str">
        <f t="shared" si="3"/>
        <v>2.0</v>
      </c>
      <c r="H32" s="9">
        <f t="shared" si="4"/>
        <v>2</v>
      </c>
      <c r="I32" s="10">
        <f>IFERROR(__xludf.DUMMYFUNCTION("MAX(FILTER($H$2:$H418,$E$2:$E418=F32))"),1.0)</f>
        <v>1</v>
      </c>
    </row>
    <row r="33">
      <c r="A33" s="4"/>
      <c r="C33" s="4" t="s">
        <v>993</v>
      </c>
      <c r="D33" s="4" t="str">
        <f t="shared" si="1"/>
        <v>{"valorA":"prestado","valorB":1.0}</v>
      </c>
      <c r="E33" s="8" t="str">
        <f t="shared" si="2"/>
        <v>prestado</v>
      </c>
      <c r="F33" s="8" t="str">
        <f>IFERROR(__xludf.DUMMYFUNCTION("""COMPUTED_VALUE"""),"primeiro")</f>
        <v>primeiro</v>
      </c>
      <c r="G33" s="8" t="str">
        <f t="shared" si="3"/>
        <v>1.0</v>
      </c>
      <c r="H33" s="9">
        <f t="shared" si="4"/>
        <v>1</v>
      </c>
      <c r="I33" s="10">
        <f>IFERROR(__xludf.DUMMYFUNCTION("MAX(FILTER($H$2:$H418,$E$2:$E418=F33))"),4.0)</f>
        <v>4</v>
      </c>
    </row>
    <row r="34">
      <c r="A34" s="4"/>
      <c r="C34" s="4" t="s">
        <v>994</v>
      </c>
      <c r="D34" s="4" t="str">
        <f t="shared" si="1"/>
        <v>{"valorA":"agradável","valorB":1.0}</v>
      </c>
      <c r="E34" s="8" t="str">
        <f t="shared" si="2"/>
        <v>agradável</v>
      </c>
      <c r="F34" s="8" t="str">
        <f>IFERROR(__xludf.DUMMYFUNCTION("""COMPUTED_VALUE"""),"desde")</f>
        <v>desde</v>
      </c>
      <c r="G34" s="8" t="str">
        <f t="shared" si="3"/>
        <v>1.0</v>
      </c>
      <c r="H34" s="9">
        <f t="shared" si="4"/>
        <v>1</v>
      </c>
      <c r="I34" s="10">
        <f>IFERROR(__xludf.DUMMYFUNCTION("MAX(FILTER($H$2:$H418,$E$2:$E418=F34))"),6.0)</f>
        <v>6</v>
      </c>
    </row>
    <row r="35">
      <c r="A35" s="4"/>
      <c r="C35" s="4" t="s">
        <v>223</v>
      </c>
      <c r="D35" s="4" t="str">
        <f t="shared" si="1"/>
        <v>{"valorA":"e","valorB":2.0}</v>
      </c>
      <c r="E35" s="8" t="str">
        <f t="shared" si="2"/>
        <v>e</v>
      </c>
      <c r="F35" s="8" t="str">
        <f>IFERROR(__xludf.DUMMYFUNCTION("""COMPUTED_VALUE"""),"aparelho")</f>
        <v>aparelho</v>
      </c>
      <c r="G35" s="8" t="str">
        <f t="shared" si="3"/>
        <v>2.0</v>
      </c>
      <c r="H35" s="9">
        <f t="shared" si="4"/>
        <v>2</v>
      </c>
      <c r="I35" s="10">
        <f>IFERROR(__xludf.DUMMYFUNCTION("MAX(FILTER($H$2:$H418,$E$2:$E418=F35))"),4.0)</f>
        <v>4</v>
      </c>
    </row>
    <row r="36">
      <c r="A36" s="4"/>
      <c r="C36" s="4" t="s">
        <v>995</v>
      </c>
      <c r="D36" s="4" t="str">
        <f t="shared" si="1"/>
        <v>{"valorA":"exc","valorB":1.0}</v>
      </c>
      <c r="E36" s="8" t="str">
        <f t="shared" si="2"/>
        <v>exc</v>
      </c>
      <c r="F36" s="8" t="str">
        <f>IFERROR(__xludf.DUMMYFUNCTION("""COMPUTED_VALUE"""),"momento")</f>
        <v>momento</v>
      </c>
      <c r="G36" s="8" t="str">
        <f t="shared" si="3"/>
        <v>1.0</v>
      </c>
      <c r="H36" s="9">
        <f t="shared" si="4"/>
        <v>1</v>
      </c>
      <c r="I36" s="10">
        <f>IFERROR(__xludf.DUMMYFUNCTION("MAX(FILTER($H$2:$H418,$E$2:$E418=F36))"),2.0)</f>
        <v>2</v>
      </c>
    </row>
    <row r="37">
      <c r="A37" s="4"/>
      <c r="C37" s="4" t="s">
        <v>996</v>
      </c>
      <c r="D37" s="4" t="str">
        <f t="shared" si="1"/>
        <v>{"valorA":"primeiro","valorB":1.0}</v>
      </c>
      <c r="E37" s="8" t="str">
        <f t="shared" si="2"/>
        <v>primeiro</v>
      </c>
      <c r="F37" s="8" t="str">
        <f>IFERROR(__xludf.DUMMYFUNCTION("""COMPUTED_VALUE"""),"empresa")</f>
        <v>empresa</v>
      </c>
      <c r="G37" s="8" t="str">
        <f t="shared" si="3"/>
        <v>1.0</v>
      </c>
      <c r="H37" s="9">
        <f t="shared" si="4"/>
        <v>1</v>
      </c>
      <c r="I37" s="10">
        <f>IFERROR(__xludf.DUMMYFUNCTION("MAX(FILTER($H$2:$H418,$E$2:$E418=F37))"),2.0)</f>
        <v>2</v>
      </c>
    </row>
    <row r="38">
      <c r="A38" s="4"/>
      <c r="C38" s="4" t="s">
        <v>655</v>
      </c>
      <c r="D38" s="4" t="str">
        <f t="shared" si="1"/>
        <v>{"valorA":"o","valorB":5.0}</v>
      </c>
      <c r="E38" s="8" t="str">
        <f t="shared" si="2"/>
        <v>o</v>
      </c>
      <c r="F38" s="8" t="str">
        <f>IFERROR(__xludf.DUMMYFUNCTION("""COMPUTED_VALUE"""),"produto")</f>
        <v>produto</v>
      </c>
      <c r="G38" s="8" t="str">
        <f t="shared" si="3"/>
        <v>5.0</v>
      </c>
      <c r="H38" s="9">
        <f t="shared" si="4"/>
        <v>5</v>
      </c>
      <c r="I38" s="10">
        <f>IFERROR(__xludf.DUMMYFUNCTION("MAX(FILTER($H$2:$H418,$E$2:$E418=F38))"),6.0)</f>
        <v>6</v>
      </c>
    </row>
    <row r="39">
      <c r="A39" s="4"/>
      <c r="C39" s="4" t="s">
        <v>186</v>
      </c>
      <c r="D39" s="4" t="str">
        <f t="shared" si="1"/>
        <v>{"valorA":"de","valorB":2.0}</v>
      </c>
      <c r="E39" s="8" t="str">
        <f t="shared" si="2"/>
        <v>de</v>
      </c>
      <c r="F39" s="8" t="str">
        <f>IFERROR(__xludf.DUMMYFUNCTION("""COMPUTED_VALUE"""),"atendimento")</f>
        <v>atendimento</v>
      </c>
      <c r="G39" s="8" t="str">
        <f t="shared" si="3"/>
        <v>2.0</v>
      </c>
      <c r="H39" s="9">
        <f t="shared" si="4"/>
        <v>2</v>
      </c>
      <c r="I39" s="10">
        <f>IFERROR(__xludf.DUMMYFUNCTION("MAX(FILTER($H$2:$H418,$E$2:$E418=F39))"),1.0)</f>
        <v>1</v>
      </c>
    </row>
    <row r="40">
      <c r="A40" s="4"/>
      <c r="C40" s="4" t="s">
        <v>997</v>
      </c>
      <c r="D40" s="4" t="str">
        <f t="shared" si="1"/>
        <v>{"valorA":"desde","valorB":1.0}</v>
      </c>
      <c r="E40" s="8" t="str">
        <f t="shared" si="2"/>
        <v>desde</v>
      </c>
      <c r="F40" s="8" t="str">
        <f>IFERROR(__xludf.DUMMYFUNCTION("""COMPUTED_VALUE"""),"perfeitamente")</f>
        <v>perfeitamente</v>
      </c>
      <c r="G40" s="8" t="str">
        <f t="shared" si="3"/>
        <v>1.0</v>
      </c>
      <c r="H40" s="9">
        <f t="shared" si="4"/>
        <v>1</v>
      </c>
      <c r="I40" s="10">
        <f>IFERROR(__xludf.DUMMYFUNCTION("MAX(FILTER($H$2:$H418,$E$2:$E418=F40))"),10.0)</f>
        <v>10</v>
      </c>
    </row>
    <row r="41">
      <c r="A41" s="4"/>
      <c r="C41" s="4" t="s">
        <v>998</v>
      </c>
      <c r="D41" s="4" t="str">
        <f t="shared" si="1"/>
        <v>{"valorA":"aparelho","valorB":1.0}</v>
      </c>
      <c r="E41" s="8" t="str">
        <f t="shared" si="2"/>
        <v>aparelho</v>
      </c>
      <c r="F41" s="8" t="str">
        <f>IFERROR(__xludf.DUMMYFUNCTION("""COMPUTED_VALUE"""),"pela")</f>
        <v>pela</v>
      </c>
      <c r="G41" s="8" t="str">
        <f t="shared" si="3"/>
        <v>1.0</v>
      </c>
      <c r="H41" s="9">
        <f t="shared" si="4"/>
        <v>1</v>
      </c>
      <c r="I41" s="10">
        <f>IFERROR(__xludf.DUMMYFUNCTION("MAX(FILTER($H$2:$H418,$E$2:$E418=F41))"),1.0)</f>
        <v>1</v>
      </c>
    </row>
    <row r="42">
      <c r="A42" s="4"/>
      <c r="C42" s="4" t="s">
        <v>999</v>
      </c>
      <c r="D42" s="4" t="str">
        <f t="shared" si="1"/>
        <v>{"valorA":"momento","valorB":1.0}</v>
      </c>
      <c r="E42" s="8" t="str">
        <f t="shared" si="2"/>
        <v>momento</v>
      </c>
      <c r="F42" s="8" t="str">
        <f>IFERROR(__xludf.DUMMYFUNCTION("""COMPUTED_VALUE"""),"para")</f>
        <v>para</v>
      </c>
      <c r="G42" s="8" t="str">
        <f t="shared" si="3"/>
        <v>1.0</v>
      </c>
      <c r="H42" s="9">
        <f t="shared" si="4"/>
        <v>1</v>
      </c>
      <c r="I42" s="10">
        <f>IFERROR(__xludf.DUMMYFUNCTION("MAX(FILTER($H$2:$H418,$E$2:$E418=F42))"),13.0)</f>
        <v>13</v>
      </c>
    </row>
    <row r="43">
      <c r="A43" s="4"/>
      <c r="C43" s="4" t="s">
        <v>1000</v>
      </c>
      <c r="D43" s="4" t="str">
        <f t="shared" si="1"/>
        <v>{"valorA":"empresa","valorB":1.0}</v>
      </c>
      <c r="E43" s="8" t="str">
        <f t="shared" si="2"/>
        <v>empresa</v>
      </c>
      <c r="F43" s="8" t="str">
        <f>IFERROR(__xludf.DUMMYFUNCTION("""COMPUTED_VALUE"""),"dormir")</f>
        <v>dormir</v>
      </c>
      <c r="G43" s="8" t="str">
        <f t="shared" si="3"/>
        <v>1.0</v>
      </c>
      <c r="H43" s="9">
        <f t="shared" si="4"/>
        <v>1</v>
      </c>
      <c r="I43" s="10">
        <f>IFERROR(__xludf.DUMMYFUNCTION("MAX(FILTER($H$2:$H418,$E$2:$E418=F43))"),3.0)</f>
        <v>3</v>
      </c>
    </row>
    <row r="44">
      <c r="A44" s="4"/>
      <c r="C44" s="4" t="s">
        <v>1001</v>
      </c>
      <c r="D44" s="4" t="str">
        <f t="shared" si="1"/>
        <v>{"valorA":"produto","valorB":1.0}</v>
      </c>
      <c r="E44" s="8" t="str">
        <f t="shared" si="2"/>
        <v>produto</v>
      </c>
      <c r="F44" s="8" t="str">
        <f>IFERROR(__xludf.DUMMYFUNCTION("""COMPUTED_VALUE"""),"rádio")</f>
        <v>rádio</v>
      </c>
      <c r="G44" s="8" t="str">
        <f t="shared" si="3"/>
        <v>1.0</v>
      </c>
      <c r="H44" s="9">
        <f t="shared" si="4"/>
        <v>1</v>
      </c>
      <c r="I44" s="10">
        <f>IFERROR(__xludf.DUMMYFUNCTION("MAX(FILTER($H$2:$H418,$E$2:$E418=F44))"),2.0)</f>
        <v>2</v>
      </c>
    </row>
    <row r="45">
      <c r="A45" s="4"/>
      <c r="C45" s="4" t="s">
        <v>191</v>
      </c>
      <c r="D45" s="4" t="str">
        <f t="shared" si="1"/>
        <v>{"valorA":"ótimo","valorB":3.0}</v>
      </c>
      <c r="E45" s="8" t="str">
        <f t="shared" si="2"/>
        <v>ótimo</v>
      </c>
      <c r="F45" s="8" t="str">
        <f>IFERROR(__xludf.DUMMYFUNCTION("""COMPUTED_VALUE"""),"fui")</f>
        <v>fui</v>
      </c>
      <c r="G45" s="8" t="str">
        <f t="shared" si="3"/>
        <v>3.0</v>
      </c>
      <c r="H45" s="9">
        <f t="shared" si="4"/>
        <v>3</v>
      </c>
      <c r="I45" s="10">
        <f>IFERROR(__xludf.DUMMYFUNCTION("MAX(FILTER($H$2:$H418,$E$2:$E418=F45))"),1.0)</f>
        <v>1</v>
      </c>
    </row>
    <row r="46">
      <c r="A46" s="4"/>
      <c r="C46" s="4" t="s">
        <v>1002</v>
      </c>
      <c r="D46" s="4" t="str">
        <f t="shared" si="1"/>
        <v>{"valorA":"atendimento","valorB":1.0}</v>
      </c>
      <c r="E46" s="8" t="str">
        <f t="shared" si="2"/>
        <v>atendimento</v>
      </c>
      <c r="F46" s="8" t="str">
        <f>IFERROR(__xludf.DUMMYFUNCTION("""COMPUTED_VALUE"""),"limpar")</f>
        <v>limpar</v>
      </c>
      <c r="G46" s="8" t="str">
        <f t="shared" si="3"/>
        <v>1.0</v>
      </c>
      <c r="H46" s="9">
        <f t="shared" si="4"/>
        <v>1</v>
      </c>
      <c r="I46" s="10">
        <f>IFERROR(__xludf.DUMMYFUNCTION("MAX(FILTER($H$2:$H418,$E$2:$E418=F46))"),3.0)</f>
        <v>3</v>
      </c>
    </row>
    <row r="47">
      <c r="A47" s="4"/>
      <c r="C47" s="4" t="s">
        <v>245</v>
      </c>
      <c r="D47" s="4" t="str">
        <f t="shared" si="1"/>
        <v>{"valorA":"perfeitamente","valorB":1.0}</v>
      </c>
      <c r="E47" s="8" t="str">
        <f t="shared" si="2"/>
        <v>perfeitamente</v>
      </c>
      <c r="F47" s="8" t="str">
        <f>IFERROR(__xludf.DUMMYFUNCTION("""COMPUTED_VALUE"""),"lavadora")</f>
        <v>lavadora</v>
      </c>
      <c r="G47" s="8" t="str">
        <f t="shared" si="3"/>
        <v>1.0</v>
      </c>
      <c r="H47" s="9">
        <f t="shared" si="4"/>
        <v>1</v>
      </c>
      <c r="I47" s="10">
        <f>IFERROR(__xludf.DUMMYFUNCTION("MAX(FILTER($H$2:$H418,$E$2:$E418=F47))"),7.0)</f>
        <v>7</v>
      </c>
    </row>
    <row r="48">
      <c r="A48" s="4"/>
      <c r="C48" s="4" t="s">
        <v>193</v>
      </c>
      <c r="D48" s="4" t="str">
        <f t="shared" si="1"/>
        <v>{"valorA":"muito","valorB":2.0}</v>
      </c>
      <c r="E48" s="8" t="str">
        <f t="shared" si="2"/>
        <v>muito</v>
      </c>
      <c r="F48" s="8" t="str">
        <f>IFERROR(__xludf.DUMMYFUNCTION("""COMPUTED_VALUE"""),"surpreso")</f>
        <v>surpreso</v>
      </c>
      <c r="G48" s="8" t="str">
        <f t="shared" si="3"/>
        <v>2.0</v>
      </c>
      <c r="H48" s="9">
        <f t="shared" si="4"/>
        <v>2</v>
      </c>
      <c r="I48" s="10">
        <f>IFERROR(__xludf.DUMMYFUNCTION("MAX(FILTER($H$2:$H418,$E$2:$E418=F48))"),1.0)</f>
        <v>1</v>
      </c>
    </row>
    <row r="49">
      <c r="A49" s="4"/>
      <c r="C49" s="4" t="s">
        <v>1003</v>
      </c>
      <c r="D49" s="4" t="str">
        <f t="shared" si="1"/>
        <v>{"valorA":"pela","valorB":1.0}</v>
      </c>
      <c r="E49" s="8" t="str">
        <f t="shared" si="2"/>
        <v>pela</v>
      </c>
      <c r="F49" s="8" t="str">
        <f>IFERROR(__xludf.DUMMYFUNCTION("""COMPUTED_VALUE"""),"resultado")</f>
        <v>resultado</v>
      </c>
      <c r="G49" s="8" t="str">
        <f t="shared" si="3"/>
        <v>1.0</v>
      </c>
      <c r="H49" s="9">
        <f t="shared" si="4"/>
        <v>1</v>
      </c>
      <c r="I49" s="10">
        <f>IFERROR(__xludf.DUMMYFUNCTION("MAX(FILTER($H$2:$H418,$E$2:$E418=F49))"),1.0)</f>
        <v>1</v>
      </c>
    </row>
    <row r="50">
      <c r="A50" s="4"/>
      <c r="C50" s="4" t="s">
        <v>631</v>
      </c>
      <c r="D50" s="4" t="str">
        <f t="shared" si="1"/>
        <v>{"valorA":"funciona","valorB":2.0}</v>
      </c>
      <c r="E50" s="8" t="str">
        <f t="shared" si="2"/>
        <v>funciona</v>
      </c>
      <c r="F50" s="8" t="str">
        <f>IFERROR(__xludf.DUMMYFUNCTION("""COMPUTED_VALUE"""),"fácil")</f>
        <v>fácil</v>
      </c>
      <c r="G50" s="8" t="str">
        <f t="shared" si="3"/>
        <v>2.0</v>
      </c>
      <c r="H50" s="9">
        <f t="shared" si="4"/>
        <v>2</v>
      </c>
      <c r="I50" s="10">
        <f>IFERROR(__xludf.DUMMYFUNCTION("MAX(FILTER($H$2:$H418,$E$2:$E418=F50))"),3.0)</f>
        <v>3</v>
      </c>
    </row>
    <row r="51">
      <c r="A51" s="4"/>
      <c r="C51" s="4" t="s">
        <v>178</v>
      </c>
      <c r="D51" s="4" t="str">
        <f t="shared" si="1"/>
        <v>{"valorA":"para","valorB":1.0}</v>
      </c>
      <c r="E51" s="8" t="str">
        <f t="shared" si="2"/>
        <v>para</v>
      </c>
      <c r="F51" s="8" t="str">
        <f>IFERROR(__xludf.DUMMYFUNCTION("""COMPUTED_VALUE"""),"comprar")</f>
        <v>comprar</v>
      </c>
      <c r="G51" s="8" t="str">
        <f t="shared" si="3"/>
        <v>1.0</v>
      </c>
      <c r="H51" s="9">
        <f t="shared" si="4"/>
        <v>1</v>
      </c>
      <c r="I51" s="10">
        <f>IFERROR(__xludf.DUMMYFUNCTION("MAX(FILTER($H$2:$H418,$E$2:$E418=F51))"),1.0)</f>
        <v>1</v>
      </c>
    </row>
    <row r="52">
      <c r="A52" s="4"/>
      <c r="C52" s="4" t="s">
        <v>404</v>
      </c>
      <c r="D52" s="4" t="str">
        <f t="shared" si="1"/>
        <v>{"valorA":"com","valorB":3.0}</v>
      </c>
      <c r="E52" s="8" t="str">
        <f t="shared" si="2"/>
        <v>com</v>
      </c>
      <c r="F52" s="8" t="str">
        <f>IFERROR(__xludf.DUMMYFUNCTION("""COMPUTED_VALUE"""),"bluray")</f>
        <v>bluray</v>
      </c>
      <c r="G52" s="8" t="str">
        <f t="shared" si="3"/>
        <v>3.0</v>
      </c>
      <c r="H52" s="9">
        <f t="shared" si="4"/>
        <v>3</v>
      </c>
      <c r="I52" s="10">
        <f>IFERROR(__xludf.DUMMYFUNCTION("MAX(FILTER($H$2:$H418,$E$2:$E418=F52))"),1.0)</f>
        <v>1</v>
      </c>
    </row>
    <row r="53">
      <c r="A53" s="4"/>
      <c r="C53" s="4" t="s">
        <v>844</v>
      </c>
      <c r="D53" s="4" t="str">
        <f t="shared" si="1"/>
        <v>{"valorA":"ótima","valorB":2.0}</v>
      </c>
      <c r="E53" s="8" t="str">
        <f t="shared" si="2"/>
        <v>ótima</v>
      </c>
      <c r="F53" s="8" t="str">
        <f>IFERROR(__xludf.DUMMYFUNCTION("""COMPUTED_VALUE"""),"roupa")</f>
        <v>roupa</v>
      </c>
      <c r="G53" s="8" t="str">
        <f t="shared" si="3"/>
        <v>2.0</v>
      </c>
      <c r="H53" s="9">
        <f t="shared" si="4"/>
        <v>2</v>
      </c>
      <c r="I53" s="10">
        <f>IFERROR(__xludf.DUMMYFUNCTION("MAX(FILTER($H$2:$H418,$E$2:$E418=F53))"),1.0)</f>
        <v>1</v>
      </c>
    </row>
    <row r="54">
      <c r="A54" s="4"/>
      <c r="C54" s="4" t="s">
        <v>1004</v>
      </c>
      <c r="D54" s="4" t="str">
        <f t="shared" si="1"/>
        <v>{"valorA":"dormir","valorB":1.0}</v>
      </c>
      <c r="E54" s="8" t="str">
        <f t="shared" si="2"/>
        <v>dormir</v>
      </c>
      <c r="F54" s="8" t="str">
        <f>IFERROR(__xludf.DUMMYFUNCTION("""COMPUTED_VALUE"""),"pena")</f>
        <v>pena</v>
      </c>
      <c r="G54" s="8" t="str">
        <f t="shared" si="3"/>
        <v>1.0</v>
      </c>
      <c r="H54" s="9">
        <f t="shared" si="4"/>
        <v>1</v>
      </c>
      <c r="I54" s="10">
        <f>IFERROR(__xludf.DUMMYFUNCTION("MAX(FILTER($H$2:$H418,$E$2:$E418=F54))"),3.0)</f>
        <v>3</v>
      </c>
    </row>
    <row r="55">
      <c r="A55" s="4"/>
      <c r="C55" s="4" t="s">
        <v>1005</v>
      </c>
      <c r="D55" s="4" t="str">
        <f t="shared" si="1"/>
        <v>{"valorA":"rádio","valorB":1.0}</v>
      </c>
      <c r="E55" s="8" t="str">
        <f t="shared" si="2"/>
        <v>rádio</v>
      </c>
      <c r="F55" s="8" t="str">
        <f>IFERROR(__xludf.DUMMYFUNCTION("""COMPUTED_VALUE"""),"player")</f>
        <v>player</v>
      </c>
      <c r="G55" s="8" t="str">
        <f t="shared" si="3"/>
        <v>1.0</v>
      </c>
      <c r="H55" s="9">
        <f t="shared" si="4"/>
        <v>1</v>
      </c>
      <c r="I55" s="10">
        <f>IFERROR(__xludf.DUMMYFUNCTION("MAX(FILTER($H$2:$H418,$E$2:$E418=F55))"),1.0)</f>
        <v>1</v>
      </c>
    </row>
    <row r="56">
      <c r="A56" s="4"/>
      <c r="C56" s="4" t="s">
        <v>1006</v>
      </c>
      <c r="D56" s="4" t="str">
        <f t="shared" si="1"/>
        <v>{"valorA":"fui","valorB":1.0}</v>
      </c>
      <c r="E56" s="8" t="str">
        <f t="shared" si="2"/>
        <v>fui</v>
      </c>
      <c r="F56" s="8" t="str">
        <f>IFERROR(__xludf.DUMMYFUNCTION("""COMPUTED_VALUE"""),"rápido")</f>
        <v>rápido</v>
      </c>
      <c r="G56" s="8" t="str">
        <f t="shared" si="3"/>
        <v>1.0</v>
      </c>
      <c r="H56" s="9">
        <f t="shared" si="4"/>
        <v>1</v>
      </c>
      <c r="I56" s="10">
        <f>IFERROR(__xludf.DUMMYFUNCTION("MAX(FILTER($H$2:$H418,$E$2:$E418=F56))"),2.0)</f>
        <v>2</v>
      </c>
    </row>
    <row r="57">
      <c r="A57" s="4"/>
      <c r="C57" s="4" t="s">
        <v>255</v>
      </c>
      <c r="D57" s="4" t="str">
        <f t="shared" si="1"/>
        <v>{"valorA":"de","valorB":3.0}</v>
      </c>
      <c r="E57" s="8" t="str">
        <f t="shared" si="2"/>
        <v>de</v>
      </c>
      <c r="F57" s="8" t="str">
        <f>IFERROR(__xludf.DUMMYFUNCTION("""COMPUTED_VALUE"""),"vale")</f>
        <v>vale</v>
      </c>
      <c r="G57" s="8" t="str">
        <f t="shared" si="3"/>
        <v>3.0</v>
      </c>
      <c r="H57" s="9">
        <f t="shared" si="4"/>
        <v>3</v>
      </c>
      <c r="I57" s="10">
        <f>IFERROR(__xludf.DUMMYFUNCTION("MAX(FILTER($H$2:$H418,$E$2:$E418=F57))"),2.0)</f>
        <v>2</v>
      </c>
    </row>
    <row r="58">
      <c r="A58" s="4"/>
      <c r="C58" s="4" t="s">
        <v>409</v>
      </c>
      <c r="D58" s="4" t="str">
        <f t="shared" si="1"/>
        <v>{"valorA":"o","valorB":6.0}</v>
      </c>
      <c r="E58" s="8" t="str">
        <f t="shared" si="2"/>
        <v>o</v>
      </c>
      <c r="F58" s="8" t="str">
        <f>IFERROR(__xludf.DUMMYFUNCTION("""COMPUTED_VALUE"""),"esse")</f>
        <v>esse</v>
      </c>
      <c r="G58" s="8" t="str">
        <f t="shared" si="3"/>
        <v>6.0</v>
      </c>
      <c r="H58" s="9">
        <f t="shared" si="4"/>
        <v>6</v>
      </c>
      <c r="I58" s="10">
        <f>IFERROR(__xludf.DUMMYFUNCTION("MAX(FILTER($H$2:$H418,$E$2:$E418=F58))"),2.0)</f>
        <v>2</v>
      </c>
    </row>
    <row r="59">
      <c r="A59" s="4"/>
      <c r="C59" s="4" t="s">
        <v>270</v>
      </c>
      <c r="D59" s="4" t="str">
        <f t="shared" si="1"/>
        <v>{"valorA":"e","valorB":3.0}</v>
      </c>
      <c r="E59" s="8" t="str">
        <f t="shared" si="2"/>
        <v>e</v>
      </c>
      <c r="F59" s="8" t="str">
        <f>IFERROR(__xludf.DUMMYFUNCTION("""COMPUTED_VALUE"""),"a")</f>
        <v>a</v>
      </c>
      <c r="G59" s="8" t="str">
        <f t="shared" si="3"/>
        <v>3.0</v>
      </c>
      <c r="H59" s="9">
        <f t="shared" si="4"/>
        <v>3</v>
      </c>
      <c r="I59" s="10">
        <f>IFERROR(__xludf.DUMMYFUNCTION("MAX(FILTER($H$2:$H418,$E$2:$E418=F59))"),13.0)</f>
        <v>13</v>
      </c>
    </row>
    <row r="60">
      <c r="A60" s="4"/>
      <c r="C60" s="4" t="s">
        <v>1007</v>
      </c>
      <c r="D60" s="4" t="str">
        <f t="shared" si="1"/>
        <v>{"valorA":"limpar","valorB":1.0}</v>
      </c>
      <c r="E60" s="8" t="str">
        <f t="shared" si="2"/>
        <v>limpar</v>
      </c>
      <c r="F60" s="8" t="str">
        <f>IFERROR(__xludf.DUMMYFUNCTION("""COMPUTED_VALUE"""),"as")</f>
        <v>as</v>
      </c>
      <c r="G60" s="8" t="str">
        <f t="shared" si="3"/>
        <v>1.0</v>
      </c>
      <c r="H60" s="9">
        <f t="shared" si="4"/>
        <v>1</v>
      </c>
      <c r="I60" s="10">
        <f>IFERROR(__xludf.DUMMYFUNCTION("MAX(FILTER($H$2:$H418,$E$2:$E418=F60))"),1.0)</f>
        <v>1</v>
      </c>
    </row>
    <row r="61">
      <c r="A61" s="4"/>
      <c r="C61" s="4" t="s">
        <v>1008</v>
      </c>
      <c r="D61" s="4" t="str">
        <f t="shared" si="1"/>
        <v>{"valorA":"lavadora","valorB":1.0}</v>
      </c>
      <c r="E61" s="8" t="str">
        <f t="shared" si="2"/>
        <v>lavadora</v>
      </c>
      <c r="F61" s="8" t="str">
        <f>IFERROR(__xludf.DUMMYFUNCTION("""COMPUTED_VALUE"""),"acho")</f>
        <v>acho</v>
      </c>
      <c r="G61" s="8" t="str">
        <f t="shared" si="3"/>
        <v>1.0</v>
      </c>
      <c r="H61" s="9">
        <f t="shared" si="4"/>
        <v>1</v>
      </c>
      <c r="I61" s="10">
        <f>IFERROR(__xludf.DUMMYFUNCTION("MAX(FILTER($H$2:$H418,$E$2:$E418=F61))"),1.0)</f>
        <v>1</v>
      </c>
    </row>
    <row r="62">
      <c r="A62" s="4"/>
      <c r="C62" s="4" t="s">
        <v>1009</v>
      </c>
      <c r="D62" s="4" t="str">
        <f t="shared" si="1"/>
        <v>{"valorA":"surpreso","valorB":1.0}</v>
      </c>
      <c r="E62" s="8" t="str">
        <f t="shared" si="2"/>
        <v>surpreso</v>
      </c>
      <c r="F62" s="8" t="str">
        <f>IFERROR(__xludf.DUMMYFUNCTION("""COMPUTED_VALUE"""),"barato")</f>
        <v>barato</v>
      </c>
      <c r="G62" s="8" t="str">
        <f t="shared" si="3"/>
        <v>1.0</v>
      </c>
      <c r="H62" s="9">
        <f t="shared" si="4"/>
        <v>1</v>
      </c>
      <c r="I62" s="10">
        <f>IFERROR(__xludf.DUMMYFUNCTION("MAX(FILTER($H$2:$H418,$E$2:$E418=F62))"),3.0)</f>
        <v>3</v>
      </c>
    </row>
    <row r="63">
      <c r="A63" s="4"/>
      <c r="C63" s="4" t="s">
        <v>314</v>
      </c>
      <c r="D63" s="4" t="str">
        <f t="shared" si="1"/>
        <v>{"valorA":"resultado","valorB":1.0}</v>
      </c>
      <c r="E63" s="8" t="str">
        <f t="shared" si="2"/>
        <v>resultado</v>
      </c>
      <c r="F63" s="8" t="str">
        <f>IFERROR(__xludf.DUMMYFUNCTION("""COMPUTED_VALUE"""),"bastante")</f>
        <v>bastante</v>
      </c>
      <c r="G63" s="8" t="str">
        <f t="shared" si="3"/>
        <v>1.0</v>
      </c>
      <c r="H63" s="9">
        <f t="shared" si="4"/>
        <v>1</v>
      </c>
      <c r="I63" s="10">
        <f>IFERROR(__xludf.DUMMYFUNCTION("MAX(FILTER($H$2:$H418,$E$2:$E418=F63))"),1.0)</f>
        <v>1</v>
      </c>
    </row>
    <row r="64">
      <c r="A64" s="4"/>
      <c r="C64" s="4" t="s">
        <v>587</v>
      </c>
      <c r="D64" s="4" t="str">
        <f t="shared" si="1"/>
        <v>{"valorA":"ótimo","valorB":4.0}</v>
      </c>
      <c r="E64" s="8" t="str">
        <f t="shared" si="2"/>
        <v>ótimo</v>
      </c>
      <c r="F64" s="8" t="str">
        <f>IFERROR(__xludf.DUMMYFUNCTION("""COMPUTED_VALUE"""),"refrigerador")</f>
        <v>refrigerador</v>
      </c>
      <c r="G64" s="8" t="str">
        <f t="shared" si="3"/>
        <v>4.0</v>
      </c>
      <c r="H64" s="9">
        <f t="shared" si="4"/>
        <v>4</v>
      </c>
      <c r="I64" s="10">
        <f>IFERROR(__xludf.DUMMYFUNCTION("MAX(FILTER($H$2:$H418,$E$2:$E418=F64))"),2.0)</f>
        <v>2</v>
      </c>
    </row>
    <row r="65">
      <c r="A65" s="4"/>
      <c r="C65" s="4" t="s">
        <v>285</v>
      </c>
      <c r="D65" s="4" t="str">
        <f t="shared" si="1"/>
        <v>{"valorA":"fácil","valorB":1.0}</v>
      </c>
      <c r="E65" s="8" t="str">
        <f t="shared" si="2"/>
        <v>fácil</v>
      </c>
      <c r="F65" s="8" t="str">
        <f>IFERROR(__xludf.DUMMYFUNCTION("""COMPUTED_VALUE"""),"louça")</f>
        <v>louça</v>
      </c>
      <c r="G65" s="8" t="str">
        <f t="shared" si="3"/>
        <v>1.0</v>
      </c>
      <c r="H65" s="9">
        <f t="shared" si="4"/>
        <v>1</v>
      </c>
      <c r="I65" s="10">
        <f>IFERROR(__xludf.DUMMYFUNCTION("MAX(FILTER($H$2:$H418,$E$2:$E418=F65))"),1.0)</f>
        <v>1</v>
      </c>
    </row>
    <row r="66">
      <c r="A66" s="4"/>
      <c r="C66" s="4" t="s">
        <v>689</v>
      </c>
      <c r="D66" s="4" t="str">
        <f t="shared" si="1"/>
        <v>{"valorA":"perfeitamente","valorB":2.0}</v>
      </c>
      <c r="E66" s="8" t="str">
        <f t="shared" si="2"/>
        <v>perfeitamente</v>
      </c>
      <c r="F66" s="8" t="str">
        <f>IFERROR(__xludf.DUMMYFUNCTION("""COMPUTED_VALUE"""),"limpo")</f>
        <v>limpo</v>
      </c>
      <c r="G66" s="8" t="str">
        <f t="shared" si="3"/>
        <v>2.0</v>
      </c>
      <c r="H66" s="9">
        <f t="shared" si="4"/>
        <v>2</v>
      </c>
      <c r="I66" s="10">
        <f>IFERROR(__xludf.DUMMYFUNCTION("MAX(FILTER($H$2:$H418,$E$2:$E418=F66))"),1.0)</f>
        <v>1</v>
      </c>
    </row>
    <row r="67">
      <c r="A67" s="4"/>
      <c r="C67" s="4" t="s">
        <v>636</v>
      </c>
      <c r="D67" s="4" t="str">
        <f t="shared" si="1"/>
        <v>{"valorA":"funciona","valorB":3.0}</v>
      </c>
      <c r="E67" s="8" t="str">
        <f t="shared" si="2"/>
        <v>funciona</v>
      </c>
      <c r="F67" s="8" t="str">
        <f>IFERROR(__xludf.DUMMYFUNCTION("""COMPUTED_VALUE"""),"lavador")</f>
        <v>lavador</v>
      </c>
      <c r="G67" s="8" t="str">
        <f t="shared" si="3"/>
        <v>3.0</v>
      </c>
      <c r="H67" s="9">
        <f t="shared" si="4"/>
        <v>3</v>
      </c>
      <c r="I67" s="10">
        <f>IFERROR(__xludf.DUMMYFUNCTION("MAX(FILTER($H$2:$H418,$E$2:$E418=F67))"),7.0)</f>
        <v>7</v>
      </c>
    </row>
    <row r="68">
      <c r="A68" s="4"/>
      <c r="C68" s="4" t="s">
        <v>672</v>
      </c>
      <c r="D68" s="4" t="str">
        <f t="shared" si="1"/>
        <v>{"valorA":"comprar","valorB":1.0}</v>
      </c>
      <c r="E68" s="8" t="str">
        <f t="shared" si="2"/>
        <v>comprar</v>
      </c>
      <c r="F68" s="8" t="str">
        <f>IFERROR(__xludf.DUMMYFUNCTION("""COMPUTED_VALUE"""),"sempre")</f>
        <v>sempre</v>
      </c>
      <c r="G68" s="8" t="str">
        <f t="shared" si="3"/>
        <v>1.0</v>
      </c>
      <c r="H68" s="9">
        <f t="shared" si="4"/>
        <v>1</v>
      </c>
      <c r="I68" s="10">
        <f>IFERROR(__xludf.DUMMYFUNCTION("MAX(FILTER($H$2:$H418,$E$2:$E418=F68))"),2.0)</f>
        <v>2</v>
      </c>
    </row>
    <row r="69">
      <c r="A69" s="4"/>
      <c r="C69" s="4" t="s">
        <v>197</v>
      </c>
      <c r="D69" s="4" t="str">
        <f t="shared" si="1"/>
        <v>{"valorA":"é","valorB":2.0}</v>
      </c>
      <c r="E69" s="8" t="str">
        <f t="shared" si="2"/>
        <v>é</v>
      </c>
      <c r="F69" s="8" t="str">
        <f>IFERROR(__xludf.DUMMYFUNCTION("""COMPUTED_VALUE"""),"poucos")</f>
        <v>poucos</v>
      </c>
      <c r="G69" s="8" t="str">
        <f t="shared" si="3"/>
        <v>2.0</v>
      </c>
      <c r="H69" s="9">
        <f t="shared" si="4"/>
        <v>2</v>
      </c>
      <c r="I69" s="10">
        <f>IFERROR(__xludf.DUMMYFUNCTION("MAX(FILTER($H$2:$H418,$E$2:$E418=F69))"),1.0)</f>
        <v>1</v>
      </c>
    </row>
    <row r="70">
      <c r="A70" s="4"/>
      <c r="C70" s="4" t="s">
        <v>613</v>
      </c>
      <c r="D70" s="4" t="str">
        <f t="shared" si="1"/>
        <v>{"valorA":"para","valorB":2.0}</v>
      </c>
      <c r="E70" s="8" t="str">
        <f t="shared" si="2"/>
        <v>para</v>
      </c>
      <c r="F70" s="8" t="str">
        <f>IFERROR(__xludf.DUMMYFUNCTION("""COMPUTED_VALUE"""),"problemas")</f>
        <v>problemas</v>
      </c>
      <c r="G70" s="8" t="str">
        <f t="shared" si="3"/>
        <v>2.0</v>
      </c>
      <c r="H70" s="9">
        <f t="shared" si="4"/>
        <v>2</v>
      </c>
      <c r="I70" s="10">
        <f>IFERROR(__xludf.DUMMYFUNCTION("MAX(FILTER($H$2:$H418,$E$2:$E418=F70))"),2.0)</f>
        <v>2</v>
      </c>
    </row>
    <row r="71">
      <c r="A71" s="4"/>
      <c r="C71" s="4" t="s">
        <v>1010</v>
      </c>
      <c r="D71" s="4" t="str">
        <f t="shared" si="1"/>
        <v>{"valorA":"bluray","valorB":1.0}</v>
      </c>
      <c r="E71" s="8" t="str">
        <f t="shared" si="2"/>
        <v>bluray</v>
      </c>
      <c r="F71" s="8" t="str">
        <f>IFERROR(__xludf.DUMMYFUNCTION("""COMPUTED_VALUE"""),"cabeleireiro")</f>
        <v>cabeleireiro</v>
      </c>
      <c r="G71" s="8" t="str">
        <f t="shared" si="3"/>
        <v>1.0</v>
      </c>
      <c r="H71" s="9">
        <f t="shared" si="4"/>
        <v>1</v>
      </c>
      <c r="I71" s="10">
        <f>IFERROR(__xludf.DUMMYFUNCTION("MAX(FILTER($H$2:$H418,$E$2:$E418=F71))"),1.0)</f>
        <v>1</v>
      </c>
    </row>
    <row r="72">
      <c r="A72" s="4"/>
      <c r="C72" s="4" t="s">
        <v>1011</v>
      </c>
      <c r="D72" s="4" t="str">
        <f t="shared" si="1"/>
        <v>{"valorA":"roupa","valorB":1.0}</v>
      </c>
      <c r="E72" s="8" t="str">
        <f t="shared" si="2"/>
        <v>roupa</v>
      </c>
      <c r="F72" s="8" t="str">
        <f>IFERROR(__xludf.DUMMYFUNCTION("""COMPUTED_VALUE"""),"audição")</f>
        <v>audição</v>
      </c>
      <c r="G72" s="8" t="str">
        <f t="shared" si="3"/>
        <v>1.0</v>
      </c>
      <c r="H72" s="9">
        <f t="shared" si="4"/>
        <v>1</v>
      </c>
      <c r="I72" s="10">
        <f>IFERROR(__xludf.DUMMYFUNCTION("MAX(FILTER($H$2:$H418,$E$2:$E418=F72))"),1.0)</f>
        <v>1</v>
      </c>
    </row>
    <row r="73">
      <c r="A73" s="4"/>
      <c r="C73" s="4" t="s">
        <v>307</v>
      </c>
      <c r="D73" s="4" t="str">
        <f t="shared" si="1"/>
        <v>{"valorA":"pena","valorB":1.0}</v>
      </c>
      <c r="E73" s="8" t="str">
        <f t="shared" si="2"/>
        <v>pena</v>
      </c>
      <c r="F73" s="8" t="str">
        <f>IFERROR(__xludf.DUMMYFUNCTION("""COMPUTED_VALUE"""),"valeu")</f>
        <v>valeu</v>
      </c>
      <c r="G73" s="8" t="str">
        <f t="shared" si="3"/>
        <v>1.0</v>
      </c>
      <c r="H73" s="9">
        <f t="shared" si="4"/>
        <v>1</v>
      </c>
      <c r="I73" s="10">
        <f>IFERROR(__xludf.DUMMYFUNCTION("MAX(FILTER($H$2:$H418,$E$2:$E418=F73))"),2.0)</f>
        <v>2</v>
      </c>
    </row>
    <row r="74">
      <c r="A74" s="4"/>
      <c r="C74" s="4" t="s">
        <v>1012</v>
      </c>
      <c r="D74" s="4" t="str">
        <f t="shared" si="1"/>
        <v>{"valorA":"limpar","valorB":2.0}</v>
      </c>
      <c r="E74" s="8" t="str">
        <f t="shared" si="2"/>
        <v>limpar</v>
      </c>
      <c r="F74" s="8" t="str">
        <f>IFERROR(__xludf.DUMMYFUNCTION("""COMPUTED_VALUE"""),"tricotador")</f>
        <v>tricotador</v>
      </c>
      <c r="G74" s="8" t="str">
        <f t="shared" si="3"/>
        <v>2.0</v>
      </c>
      <c r="H74" s="9">
        <f t="shared" si="4"/>
        <v>2</v>
      </c>
      <c r="I74" s="10">
        <f>IFERROR(__xludf.DUMMYFUNCTION("MAX(FILTER($H$2:$H418,$E$2:$E418=F74))"),1.0)</f>
        <v>1</v>
      </c>
    </row>
    <row r="75">
      <c r="A75" s="4"/>
      <c r="C75" s="4" t="s">
        <v>1013</v>
      </c>
      <c r="D75" s="4" t="str">
        <f t="shared" si="1"/>
        <v>{"valorA":"player","valorB":1.0}</v>
      </c>
      <c r="E75" s="8" t="str">
        <f t="shared" si="2"/>
        <v>player</v>
      </c>
      <c r="F75" s="8" t="str">
        <f>IFERROR(__xludf.DUMMYFUNCTION("""COMPUTED_VALUE"""),"quem")</f>
        <v>quem</v>
      </c>
      <c r="G75" s="8" t="str">
        <f t="shared" si="3"/>
        <v>1.0</v>
      </c>
      <c r="H75" s="9">
        <f t="shared" si="4"/>
        <v>1</v>
      </c>
      <c r="I75" s="10">
        <f>IFERROR(__xludf.DUMMYFUNCTION("MAX(FILTER($H$2:$H418,$E$2:$E418=F75))"),3.0)</f>
        <v>3</v>
      </c>
    </row>
    <row r="76">
      <c r="A76" s="4"/>
      <c r="C76" s="4" t="s">
        <v>188</v>
      </c>
      <c r="D76" s="4" t="str">
        <f t="shared" si="1"/>
        <v>{"valorA":"rápido","valorB":1.0}</v>
      </c>
      <c r="E76" s="8" t="str">
        <f t="shared" si="2"/>
        <v>rápido</v>
      </c>
      <c r="F76" s="8" t="str">
        <f>IFERROR(__xludf.DUMMYFUNCTION("""COMPUTED_VALUE"""),"tem")</f>
        <v>tem</v>
      </c>
      <c r="G76" s="8" t="str">
        <f t="shared" si="3"/>
        <v>1.0</v>
      </c>
      <c r="H76" s="9">
        <f t="shared" si="4"/>
        <v>1</v>
      </c>
      <c r="I76" s="10">
        <f>IFERROR(__xludf.DUMMYFUNCTION("MAX(FILTER($H$2:$H418,$E$2:$E418=F76))"),2.0)</f>
        <v>2</v>
      </c>
    </row>
    <row r="77">
      <c r="A77" s="4"/>
      <c r="C77" s="4" t="s">
        <v>312</v>
      </c>
      <c r="D77" s="4" t="str">
        <f t="shared" si="1"/>
        <v>{"valorA":"vale","valorB":1.0}</v>
      </c>
      <c r="E77" s="8" t="str">
        <f t="shared" si="2"/>
        <v>vale</v>
      </c>
      <c r="F77" s="8" t="str">
        <f>IFERROR(__xludf.DUMMYFUNCTION("""COMPUTED_VALUE"""),"dificuldades")</f>
        <v>dificuldades</v>
      </c>
      <c r="G77" s="8" t="str">
        <f t="shared" si="3"/>
        <v>1.0</v>
      </c>
      <c r="H77" s="9">
        <f t="shared" si="4"/>
        <v>1</v>
      </c>
      <c r="I77" s="10">
        <f>IFERROR(__xludf.DUMMYFUNCTION("MAX(FILTER($H$2:$H418,$E$2:$E418=F77))"),1.0)</f>
        <v>1</v>
      </c>
    </row>
    <row r="78">
      <c r="A78" s="4"/>
      <c r="C78" s="4" t="s">
        <v>1014</v>
      </c>
      <c r="D78" s="4" t="str">
        <f t="shared" si="1"/>
        <v>{"valorA":"lavadora","valorB":2.0}</v>
      </c>
      <c r="E78" s="8" t="str">
        <f t="shared" si="2"/>
        <v>lavadora</v>
      </c>
      <c r="F78" s="8" t="str">
        <f>IFERROR(__xludf.DUMMYFUNCTION("""COMPUTED_VALUE"""),"totalmente")</f>
        <v>totalmente</v>
      </c>
      <c r="G78" s="8" t="str">
        <f t="shared" si="3"/>
        <v>2.0</v>
      </c>
      <c r="H78" s="9">
        <f t="shared" si="4"/>
        <v>2</v>
      </c>
      <c r="I78" s="10">
        <f>IFERROR(__xludf.DUMMYFUNCTION("MAX(FILTER($H$2:$H418,$E$2:$E418=F78))"),2.0)</f>
        <v>2</v>
      </c>
    </row>
    <row r="79">
      <c r="A79" s="4"/>
      <c r="C79" s="4" t="s">
        <v>333</v>
      </c>
      <c r="D79" s="4" t="str">
        <f t="shared" si="1"/>
        <v>{"valorA":"que","valorB":2.0}</v>
      </c>
      <c r="E79" s="8" t="str">
        <f t="shared" si="2"/>
        <v>que</v>
      </c>
      <c r="F79" s="8" t="str">
        <f>IFERROR(__xludf.DUMMYFUNCTION("""COMPUTED_VALUE"""),"condicionado")</f>
        <v>condicionado</v>
      </c>
      <c r="G79" s="8" t="str">
        <f t="shared" si="3"/>
        <v>2.0</v>
      </c>
      <c r="H79" s="9">
        <f t="shared" si="4"/>
        <v>2</v>
      </c>
      <c r="I79" s="10">
        <f>IFERROR(__xludf.DUMMYFUNCTION("MAX(FILTER($H$2:$H418,$E$2:$E418=F79))"),2.0)</f>
        <v>2</v>
      </c>
    </row>
    <row r="80">
      <c r="A80" s="4"/>
      <c r="C80" s="4" t="s">
        <v>594</v>
      </c>
      <c r="D80" s="4" t="str">
        <f t="shared" si="1"/>
        <v>{"valorA":"ótimo","valorB":6.0}</v>
      </c>
      <c r="E80" s="8" t="str">
        <f t="shared" si="2"/>
        <v>ótimo</v>
      </c>
      <c r="F80" s="8" t="str">
        <f>IFERROR(__xludf.DUMMYFUNCTION("""COMPUTED_VALUE"""),"super")</f>
        <v>super</v>
      </c>
      <c r="G80" s="8" t="str">
        <f t="shared" si="3"/>
        <v>6.0</v>
      </c>
      <c r="H80" s="9">
        <f t="shared" si="4"/>
        <v>6</v>
      </c>
      <c r="I80" s="10">
        <f>IFERROR(__xludf.DUMMYFUNCTION("MAX(FILTER($H$2:$H418,$E$2:$E418=F80))"),1.0)</f>
        <v>1</v>
      </c>
    </row>
    <row r="81">
      <c r="A81" s="4"/>
      <c r="C81" s="4" t="s">
        <v>192</v>
      </c>
      <c r="D81" s="4" t="str">
        <f t="shared" si="1"/>
        <v>{"valorA":"esse","valorB":1.0}</v>
      </c>
      <c r="E81" s="8" t="str">
        <f t="shared" si="2"/>
        <v>esse</v>
      </c>
      <c r="F81" s="8" t="str">
        <f>IFERROR(__xludf.DUMMYFUNCTION("""COMPUTED_VALUE"""),"louças")</f>
        <v>louças</v>
      </c>
      <c r="G81" s="8" t="str">
        <f t="shared" si="3"/>
        <v>1.0</v>
      </c>
      <c r="H81" s="9">
        <f t="shared" si="4"/>
        <v>1</v>
      </c>
      <c r="I81" s="10">
        <f>IFERROR(__xludf.DUMMYFUNCTION("MAX(FILTER($H$2:$H418,$E$2:$E418=F81))"),1.0)</f>
        <v>1</v>
      </c>
    </row>
    <row r="82">
      <c r="A82" s="4"/>
      <c r="C82" s="4" t="s">
        <v>212</v>
      </c>
      <c r="D82" s="4" t="str">
        <f t="shared" si="1"/>
        <v>{"valorA":"muito","valorB":3.0}</v>
      </c>
      <c r="E82" s="8" t="str">
        <f t="shared" si="2"/>
        <v>muito</v>
      </c>
      <c r="F82" s="8" t="str">
        <f>IFERROR(__xludf.DUMMYFUNCTION("""COMPUTED_VALUE"""),"ar")</f>
        <v>ar</v>
      </c>
      <c r="G82" s="8" t="str">
        <f t="shared" si="3"/>
        <v>3.0</v>
      </c>
      <c r="H82" s="9">
        <f t="shared" si="4"/>
        <v>3</v>
      </c>
      <c r="I82" s="10">
        <f>IFERROR(__xludf.DUMMYFUNCTION("MAX(FILTER($H$2:$H418,$E$2:$E418=F82))"),2.0)</f>
        <v>2</v>
      </c>
    </row>
    <row r="83">
      <c r="A83" s="4"/>
      <c r="C83" s="4" t="s">
        <v>580</v>
      </c>
      <c r="D83" s="4" t="str">
        <f t="shared" si="1"/>
        <v>{"valorA":"a","valorB":1.0}</v>
      </c>
      <c r="E83" s="8" t="str">
        <f t="shared" si="2"/>
        <v>a</v>
      </c>
      <c r="F83" s="8" t="str">
        <f>IFERROR(__xludf.DUMMYFUNCTION("""COMPUTED_VALUE"""),"limpa")</f>
        <v>limpa</v>
      </c>
      <c r="G83" s="8" t="str">
        <f t="shared" si="3"/>
        <v>1.0</v>
      </c>
      <c r="H83" s="9">
        <f t="shared" si="4"/>
        <v>1</v>
      </c>
      <c r="I83" s="10">
        <f>IFERROR(__xludf.DUMMYFUNCTION("MAX(FILTER($H$2:$H418,$E$2:$E418=F83))"),2.0)</f>
        <v>2</v>
      </c>
    </row>
    <row r="84">
      <c r="A84" s="4"/>
      <c r="C84" s="4" t="s">
        <v>247</v>
      </c>
      <c r="D84" s="4" t="str">
        <f t="shared" si="1"/>
        <v>{"valorA":"as","valorB":1.0}</v>
      </c>
      <c r="E84" s="8" t="str">
        <f t="shared" si="2"/>
        <v>as</v>
      </c>
      <c r="F84" s="8" t="str">
        <f>IFERROR(__xludf.DUMMYFUNCTION("""COMPUTED_VALUE"""),"pratos")</f>
        <v>pratos</v>
      </c>
      <c r="G84" s="8" t="str">
        <f t="shared" si="3"/>
        <v>1.0</v>
      </c>
      <c r="H84" s="9">
        <f t="shared" si="4"/>
        <v>1</v>
      </c>
      <c r="I84" s="10">
        <f>IFERROR(__xludf.DUMMYFUNCTION("MAX(FILTER($H$2:$H418,$E$2:$E418=F84))"),3.0)</f>
        <v>3</v>
      </c>
    </row>
    <row r="85">
      <c r="A85" s="4"/>
      <c r="C85" s="4" t="s">
        <v>1015</v>
      </c>
      <c r="D85" s="4" t="str">
        <f t="shared" si="1"/>
        <v>{"valorA":"acho","valorB":1.0}</v>
      </c>
      <c r="E85" s="8" t="str">
        <f t="shared" si="2"/>
        <v>acho</v>
      </c>
      <c r="F85" s="8" t="str">
        <f>IFERROR(__xludf.DUMMYFUNCTION("""COMPUTED_VALUE"""),"luvas")</f>
        <v>luvas</v>
      </c>
      <c r="G85" s="8" t="str">
        <f t="shared" si="3"/>
        <v>1.0</v>
      </c>
      <c r="H85" s="9">
        <f t="shared" si="4"/>
        <v>1</v>
      </c>
      <c r="I85" s="10">
        <f>IFERROR(__xludf.DUMMYFUNCTION("MAX(FILTER($H$2:$H418,$E$2:$E418=F85))"),1.0)</f>
        <v>1</v>
      </c>
    </row>
    <row r="86">
      <c r="A86" s="4"/>
      <c r="C86" s="4" t="s">
        <v>277</v>
      </c>
      <c r="D86" s="4" t="str">
        <f t="shared" si="1"/>
        <v>{"valorA":"recomendo","valorB":2.0}</v>
      </c>
      <c r="E86" s="8" t="str">
        <f t="shared" si="2"/>
        <v>recomendo</v>
      </c>
      <c r="F86" s="8" t="str">
        <f>IFERROR(__xludf.DUMMYFUNCTION("""COMPUTED_VALUE"""),"refrigerante")</f>
        <v>refrigerante</v>
      </c>
      <c r="G86" s="8" t="str">
        <f t="shared" si="3"/>
        <v>2.0</v>
      </c>
      <c r="H86" s="9">
        <f t="shared" si="4"/>
        <v>2</v>
      </c>
      <c r="I86" s="10">
        <f>IFERROR(__xludf.DUMMYFUNCTION("MAX(FILTER($H$2:$H418,$E$2:$E418=F86))"),1.0)</f>
        <v>1</v>
      </c>
    </row>
    <row r="87">
      <c r="A87" s="4"/>
      <c r="C87" s="4" t="s">
        <v>266</v>
      </c>
      <c r="D87" s="4" t="str">
        <f t="shared" si="1"/>
        <v>{"valorA":"barato","valorB":1.0}</v>
      </c>
      <c r="E87" s="8" t="str">
        <f t="shared" si="2"/>
        <v>barato</v>
      </c>
      <c r="F87" s="8" t="str">
        <f>IFERROR(__xludf.DUMMYFUNCTION("""COMPUTED_VALUE"""),"lavar")</f>
        <v>lavar</v>
      </c>
      <c r="G87" s="8" t="str">
        <f t="shared" si="3"/>
        <v>1.0</v>
      </c>
      <c r="H87" s="9">
        <f t="shared" si="4"/>
        <v>1</v>
      </c>
      <c r="I87" s="10">
        <f>IFERROR(__xludf.DUMMYFUNCTION("MAX(FILTER($H$2:$H418,$E$2:$E418=F87))"),1.0)</f>
        <v>1</v>
      </c>
    </row>
    <row r="88">
      <c r="A88" s="4"/>
      <c r="C88" s="4" t="s">
        <v>436</v>
      </c>
      <c r="D88" s="4" t="str">
        <f t="shared" si="1"/>
        <v>{"valorA":"com","valorB":4.0}</v>
      </c>
      <c r="E88" s="8" t="str">
        <f t="shared" si="2"/>
        <v>com</v>
      </c>
      <c r="F88" s="8" t="str">
        <f>IFERROR(__xludf.DUMMYFUNCTION("""COMPUTED_VALUE"""),"muita")</f>
        <v>muita</v>
      </c>
      <c r="G88" s="8" t="str">
        <f t="shared" si="3"/>
        <v>4.0</v>
      </c>
      <c r="H88" s="9">
        <f t="shared" si="4"/>
        <v>4</v>
      </c>
      <c r="I88" s="10">
        <f>IFERROR(__xludf.DUMMYFUNCTION("MAX(FILTER($H$2:$H418,$E$2:$E418=F88))"),2.0)</f>
        <v>2</v>
      </c>
    </row>
    <row r="89">
      <c r="A89" s="4"/>
      <c r="C89" s="4" t="s">
        <v>456</v>
      </c>
      <c r="D89" s="4" t="str">
        <f t="shared" si="1"/>
        <v>{"valorA":"bastante","valorB":1.0}</v>
      </c>
      <c r="E89" s="8" t="str">
        <f t="shared" si="2"/>
        <v>bastante</v>
      </c>
      <c r="F89" s="8" t="str">
        <f>IFERROR(__xludf.DUMMYFUNCTION("""COMPUTED_VALUE"""),"cozinhar")</f>
        <v>cozinhar</v>
      </c>
      <c r="G89" s="8" t="str">
        <f t="shared" si="3"/>
        <v>1.0</v>
      </c>
      <c r="H89" s="9">
        <f t="shared" si="4"/>
        <v>1</v>
      </c>
      <c r="I89" s="10">
        <f>IFERROR(__xludf.DUMMYFUNCTION("MAX(FILTER($H$2:$H418,$E$2:$E418=F89))"),1.0)</f>
        <v>1</v>
      </c>
    </row>
    <row r="90">
      <c r="A90" s="4"/>
      <c r="C90" s="4" t="s">
        <v>292</v>
      </c>
      <c r="D90" s="4" t="str">
        <f t="shared" si="1"/>
        <v>{"valorA":"refrigerador","valorB":1.0}</v>
      </c>
      <c r="E90" s="8" t="str">
        <f t="shared" si="2"/>
        <v>refrigerador</v>
      </c>
      <c r="F90" s="8" t="str">
        <f>IFERROR(__xludf.DUMMYFUNCTION("""COMPUTED_VALUE"""),"lavabo")</f>
        <v>lavabo</v>
      </c>
      <c r="G90" s="8" t="str">
        <f t="shared" si="3"/>
        <v>1.0</v>
      </c>
      <c r="H90" s="9">
        <f t="shared" si="4"/>
        <v>1</v>
      </c>
      <c r="I90" s="10">
        <f>IFERROR(__xludf.DUMMYFUNCTION("MAX(FILTER($H$2:$H418,$E$2:$E418=F90))"),1.0)</f>
        <v>1</v>
      </c>
    </row>
    <row r="91">
      <c r="A91" s="4"/>
      <c r="C91" s="4" t="s">
        <v>280</v>
      </c>
      <c r="D91" s="4" t="str">
        <f t="shared" si="1"/>
        <v>{"valorA":"e","valorB":4.0}</v>
      </c>
      <c r="E91" s="8" t="str">
        <f t="shared" si="2"/>
        <v>e</v>
      </c>
      <c r="F91" s="8" t="str">
        <f>IFERROR(__xludf.DUMMYFUNCTION("""COMPUTED_VALUE"""),"fogo")</f>
        <v>fogo</v>
      </c>
      <c r="G91" s="8" t="str">
        <f t="shared" si="3"/>
        <v>4.0</v>
      </c>
      <c r="H91" s="9">
        <f t="shared" si="4"/>
        <v>4</v>
      </c>
      <c r="I91" s="10">
        <f>IFERROR(__xludf.DUMMYFUNCTION("MAX(FILTER($H$2:$H418,$E$2:$E418=F91))"),1.0)</f>
        <v>1</v>
      </c>
    </row>
    <row r="92">
      <c r="A92" s="4"/>
      <c r="C92" s="4" t="s">
        <v>281</v>
      </c>
      <c r="D92" s="4" t="str">
        <f t="shared" si="1"/>
        <v>{"valorA":"de","valorB":4.0}</v>
      </c>
      <c r="E92" s="8" t="str">
        <f t="shared" si="2"/>
        <v>de</v>
      </c>
      <c r="F92" s="8" t="str">
        <f>IFERROR(__xludf.DUMMYFUNCTION("""COMPUTED_VALUE"""),"aquecimento")</f>
        <v>aquecimento</v>
      </c>
      <c r="G92" s="8" t="str">
        <f t="shared" si="3"/>
        <v>4.0</v>
      </c>
      <c r="H92" s="9">
        <f t="shared" si="4"/>
        <v>4</v>
      </c>
      <c r="I92" s="10">
        <f>IFERROR(__xludf.DUMMYFUNCTION("MAX(FILTER($H$2:$H418,$E$2:$E418=F92))"),1.0)</f>
        <v>1</v>
      </c>
    </row>
    <row r="93">
      <c r="A93" s="4"/>
      <c r="C93" s="4" t="s">
        <v>1016</v>
      </c>
      <c r="D93" s="4" t="str">
        <f t="shared" si="1"/>
        <v>{"valorA":"louça","valorB":1.0}</v>
      </c>
      <c r="E93" s="8" t="str">
        <f t="shared" si="2"/>
        <v>louça</v>
      </c>
      <c r="F93" s="8" t="str">
        <f>IFERROR(__xludf.DUMMYFUNCTION("""COMPUTED_VALUE"""),"potência")</f>
        <v>potência</v>
      </c>
      <c r="G93" s="8" t="str">
        <f t="shared" si="3"/>
        <v>1.0</v>
      </c>
      <c r="H93" s="9">
        <f t="shared" si="4"/>
        <v>1</v>
      </c>
      <c r="I93" s="10">
        <f>IFERROR(__xludf.DUMMYFUNCTION("MAX(FILTER($H$2:$H418,$E$2:$E418=F93))"),1.0)</f>
        <v>1</v>
      </c>
    </row>
    <row r="94">
      <c r="A94" s="4"/>
      <c r="C94" s="4" t="s">
        <v>1017</v>
      </c>
      <c r="D94" s="4" t="str">
        <f t="shared" si="1"/>
        <v>{"valorA":"limpo","valorB":1.0}</v>
      </c>
      <c r="E94" s="8" t="str">
        <f t="shared" si="2"/>
        <v>limpo</v>
      </c>
      <c r="F94" s="8" t="str">
        <f>IFERROR(__xludf.DUMMYFUNCTION("""COMPUTED_VALUE"""),"controlável")</f>
        <v>controlável</v>
      </c>
      <c r="G94" s="8" t="str">
        <f t="shared" si="3"/>
        <v>1.0</v>
      </c>
      <c r="H94" s="9">
        <f t="shared" si="4"/>
        <v>1</v>
      </c>
      <c r="I94" s="10">
        <f>IFERROR(__xludf.DUMMYFUNCTION("MAX(FILTER($H$2:$H418,$E$2:$E418=F94))"),1.0)</f>
        <v>1</v>
      </c>
    </row>
    <row r="95">
      <c r="A95" s="4"/>
      <c r="C95" s="4" t="s">
        <v>1018</v>
      </c>
      <c r="D95" s="4" t="str">
        <f t="shared" si="1"/>
        <v>{"valorA":"lavador","valorB":1.0}</v>
      </c>
      <c r="E95" s="8" t="str">
        <f t="shared" si="2"/>
        <v>lavador</v>
      </c>
      <c r="F95" s="8" t="str">
        <f>IFERROR(__xludf.DUMMYFUNCTION("""COMPUTED_VALUE"""),"satisfeita")</f>
        <v>satisfeita</v>
      </c>
      <c r="G95" s="8" t="str">
        <f t="shared" si="3"/>
        <v>1.0</v>
      </c>
      <c r="H95" s="9">
        <f t="shared" si="4"/>
        <v>1</v>
      </c>
      <c r="I95" s="10">
        <f>IFERROR(__xludf.DUMMYFUNCTION("MAX(FILTER($H$2:$H418,$E$2:$E418=F95))"),1.0)</f>
        <v>1</v>
      </c>
    </row>
    <row r="96">
      <c r="A96" s="4"/>
      <c r="C96" s="4" t="s">
        <v>796</v>
      </c>
      <c r="D96" s="4" t="str">
        <f t="shared" si="1"/>
        <v>{"valorA":"sempre","valorB":1.0}</v>
      </c>
      <c r="E96" s="8" t="str">
        <f t="shared" si="2"/>
        <v>sempre</v>
      </c>
      <c r="F96" s="8" t="str">
        <f>IFERROR(__xludf.DUMMYFUNCTION("""COMPUTED_VALUE"""),"dia")</f>
        <v>dia</v>
      </c>
      <c r="G96" s="8" t="str">
        <f t="shared" si="3"/>
        <v>1.0</v>
      </c>
      <c r="H96" s="9">
        <f t="shared" si="4"/>
        <v>1</v>
      </c>
      <c r="I96" s="10">
        <f>IFERROR(__xludf.DUMMYFUNCTION("MAX(FILTER($H$2:$H418,$E$2:$E418=F96))"),3.0)</f>
        <v>3</v>
      </c>
    </row>
    <row r="97">
      <c r="A97" s="4"/>
      <c r="C97" s="4" t="s">
        <v>605</v>
      </c>
      <c r="D97" s="4" t="str">
        <f t="shared" si="1"/>
        <v>{"valorA":"ótimo","valorB":8.0}</v>
      </c>
      <c r="E97" s="8" t="str">
        <f t="shared" si="2"/>
        <v>ótimo</v>
      </c>
      <c r="F97" s="8" t="str">
        <f>IFERROR(__xludf.DUMMYFUNCTION("""COMPUTED_VALUE"""),"roupas")</f>
        <v>roupas</v>
      </c>
      <c r="G97" s="8" t="str">
        <f t="shared" si="3"/>
        <v>8.0</v>
      </c>
      <c r="H97" s="9">
        <f t="shared" si="4"/>
        <v>8</v>
      </c>
      <c r="I97" s="10">
        <f>IFERROR(__xludf.DUMMYFUNCTION("MAX(FILTER($H$2:$H418,$E$2:$E418=F97))"),1.0)</f>
        <v>1</v>
      </c>
    </row>
    <row r="98">
      <c r="A98" s="4"/>
      <c r="C98" s="4" t="s">
        <v>1019</v>
      </c>
      <c r="D98" s="4" t="str">
        <f t="shared" si="1"/>
        <v>{"valorA":"poucos","valorB":1.0}</v>
      </c>
      <c r="E98" s="8" t="str">
        <f t="shared" si="2"/>
        <v>poucos</v>
      </c>
      <c r="F98" s="8" t="str">
        <f>IFERROR(__xludf.DUMMYFUNCTION("""COMPUTED_VALUE"""),"compra")</f>
        <v>compra</v>
      </c>
      <c r="G98" s="8" t="str">
        <f t="shared" si="3"/>
        <v>1.0</v>
      </c>
      <c r="H98" s="9">
        <f t="shared" si="4"/>
        <v>1</v>
      </c>
      <c r="I98" s="10">
        <f>IFERROR(__xludf.DUMMYFUNCTION("MAX(FILTER($H$2:$H418,$E$2:$E418=F98))"),1.0)</f>
        <v>1</v>
      </c>
    </row>
    <row r="99">
      <c r="A99" s="4"/>
      <c r="C99" s="4" t="s">
        <v>1020</v>
      </c>
      <c r="D99" s="4" t="str">
        <f t="shared" si="1"/>
        <v>{"valorA":"problemas","valorB":1.0}</v>
      </c>
      <c r="E99" s="8" t="str">
        <f t="shared" si="2"/>
        <v>problemas</v>
      </c>
      <c r="F99" s="8" t="str">
        <f>IFERROR(__xludf.DUMMYFUNCTION("""COMPUTED_VALUE"""),"sonoluz")</f>
        <v>sonoluz</v>
      </c>
      <c r="G99" s="8" t="str">
        <f t="shared" si="3"/>
        <v>1.0</v>
      </c>
      <c r="H99" s="9">
        <f t="shared" si="4"/>
        <v>1</v>
      </c>
      <c r="I99" s="10">
        <f>IFERROR(__xludf.DUMMYFUNCTION("MAX(FILTER($H$2:$H418,$E$2:$E418=F99))"),1.0)</f>
        <v>1</v>
      </c>
    </row>
    <row r="100">
      <c r="A100" s="4"/>
      <c r="C100" s="4" t="s">
        <v>218</v>
      </c>
      <c r="D100" s="4" t="str">
        <f t="shared" si="1"/>
        <v>{"valorA":"para","valorB":3.0}</v>
      </c>
      <c r="E100" s="8" t="str">
        <f t="shared" si="2"/>
        <v>para</v>
      </c>
      <c r="F100" s="8" t="str">
        <f>IFERROR(__xludf.DUMMYFUNCTION("""COMPUTED_VALUE"""),"lâmpada")</f>
        <v>lâmpada</v>
      </c>
      <c r="G100" s="8" t="str">
        <f t="shared" si="3"/>
        <v>3.0</v>
      </c>
      <c r="H100" s="9">
        <f t="shared" si="4"/>
        <v>3</v>
      </c>
      <c r="I100" s="10">
        <f>IFERROR(__xludf.DUMMYFUNCTION("MAX(FILTER($H$2:$H418,$E$2:$E418=F100))"),1.0)</f>
        <v>1</v>
      </c>
    </row>
    <row r="101">
      <c r="A101" s="4"/>
      <c r="C101" s="4" t="s">
        <v>1021</v>
      </c>
      <c r="D101" s="4" t="str">
        <f t="shared" si="1"/>
        <v>{"valorA":"cabeleireiro","valorB":1.0}</v>
      </c>
      <c r="E101" s="8" t="str">
        <f t="shared" si="2"/>
        <v>cabeleireiro</v>
      </c>
      <c r="F101" s="8" t="str">
        <f>IFERROR(__xludf.DUMMYFUNCTION("""COMPUTED_VALUE"""),"tecnologia")</f>
        <v>tecnologia</v>
      </c>
      <c r="G101" s="8" t="str">
        <f t="shared" si="3"/>
        <v>1.0</v>
      </c>
      <c r="H101" s="9">
        <f t="shared" si="4"/>
        <v>1</v>
      </c>
      <c r="I101" s="10">
        <f>IFERROR(__xludf.DUMMYFUNCTION("MAX(FILTER($H$2:$H418,$E$2:$E418=F101))"),1.0)</f>
        <v>1</v>
      </c>
    </row>
    <row r="102">
      <c r="A102" s="4"/>
      <c r="C102" s="4" t="s">
        <v>1022</v>
      </c>
      <c r="D102" s="4" t="str">
        <f t="shared" si="1"/>
        <v>{"valorA":"com","valorB":5.0}</v>
      </c>
      <c r="E102" s="8" t="str">
        <f t="shared" si="2"/>
        <v>com</v>
      </c>
      <c r="F102" s="8" t="str">
        <f>IFERROR(__xludf.DUMMYFUNCTION("""COMPUTED_VALUE"""),"funcional")</f>
        <v>funcional</v>
      </c>
      <c r="G102" s="8" t="str">
        <f t="shared" si="3"/>
        <v>5.0</v>
      </c>
      <c r="H102" s="9">
        <f t="shared" si="4"/>
        <v>5</v>
      </c>
      <c r="I102" s="10">
        <f>IFERROR(__xludf.DUMMYFUNCTION("MAX(FILTER($H$2:$H418,$E$2:$E418=F102))"),1.0)</f>
        <v>1</v>
      </c>
    </row>
    <row r="103">
      <c r="A103" s="4"/>
      <c r="C103" s="4" t="s">
        <v>1023</v>
      </c>
      <c r="D103" s="4" t="str">
        <f t="shared" si="1"/>
        <v>{"valorA":"audição","valorB":1.0}</v>
      </c>
      <c r="E103" s="8" t="str">
        <f t="shared" si="2"/>
        <v>audição</v>
      </c>
      <c r="F103" s="8" t="str">
        <f>IFERROR(__xludf.DUMMYFUNCTION("""COMPUTED_VALUE"""),"todos")</f>
        <v>todos</v>
      </c>
      <c r="G103" s="8" t="str">
        <f t="shared" si="3"/>
        <v>1.0</v>
      </c>
      <c r="H103" s="9">
        <f t="shared" si="4"/>
        <v>1</v>
      </c>
      <c r="I103" s="10">
        <f>IFERROR(__xludf.DUMMYFUNCTION("MAX(FILTER($H$2:$H418,$E$2:$E418=F103))"),2.0)</f>
        <v>2</v>
      </c>
    </row>
    <row r="104">
      <c r="A104" s="4"/>
      <c r="C104" s="4" t="s">
        <v>600</v>
      </c>
      <c r="D104" s="4" t="str">
        <f t="shared" si="1"/>
        <v>{"valorA":"valeu","valorB":1.0}</v>
      </c>
      <c r="E104" s="8" t="str">
        <f t="shared" si="2"/>
        <v>valeu</v>
      </c>
      <c r="F104" s="8" t="str">
        <f>IFERROR(__xludf.DUMMYFUNCTION("""COMPUTED_VALUE"""),"da")</f>
        <v>da</v>
      </c>
      <c r="G104" s="8" t="str">
        <f t="shared" si="3"/>
        <v>1.0</v>
      </c>
      <c r="H104" s="9">
        <f t="shared" si="4"/>
        <v>1</v>
      </c>
      <c r="I104" s="10">
        <f>IFERROR(__xludf.DUMMYFUNCTION("MAX(FILTER($H$2:$H418,$E$2:$E418=F104))"),3.0)</f>
        <v>3</v>
      </c>
    </row>
    <row r="105">
      <c r="A105" s="4"/>
      <c r="C105" s="4" t="s">
        <v>1024</v>
      </c>
      <c r="D105" s="4" t="str">
        <f t="shared" si="1"/>
        <v>{"valorA":"tricotador","valorB":1.0}</v>
      </c>
      <c r="E105" s="8" t="str">
        <f t="shared" si="2"/>
        <v>tricotador</v>
      </c>
      <c r="F105" s="8" t="str">
        <f>IFERROR(__xludf.DUMMYFUNCTION("""COMPUTED_VALUE"""),"comentário")</f>
        <v>comentário</v>
      </c>
      <c r="G105" s="8" t="str">
        <f t="shared" si="3"/>
        <v>1.0</v>
      </c>
      <c r="H105" s="9">
        <f t="shared" si="4"/>
        <v>1</v>
      </c>
      <c r="I105" s="10">
        <f>IFERROR(__xludf.DUMMYFUNCTION("MAX(FILTER($H$2:$H418,$E$2:$E418=F105))"),3.0)</f>
        <v>3</v>
      </c>
    </row>
    <row r="106">
      <c r="A106" s="4"/>
      <c r="C106" s="4" t="s">
        <v>473</v>
      </c>
      <c r="D106" s="4" t="str">
        <f t="shared" si="1"/>
        <v>{"valorA":"pena","valorB":2.0}</v>
      </c>
      <c r="E106" s="8" t="str">
        <f t="shared" si="2"/>
        <v>pena</v>
      </c>
      <c r="F106" s="8" t="str">
        <f>IFERROR(__xludf.DUMMYFUNCTION("""COMPUTED_VALUE"""),"hotel")</f>
        <v>hotel</v>
      </c>
      <c r="G106" s="8" t="str">
        <f t="shared" si="3"/>
        <v>2.0</v>
      </c>
      <c r="H106" s="9">
        <f t="shared" si="4"/>
        <v>2</v>
      </c>
      <c r="I106" s="10">
        <f>IFERROR(__xludf.DUMMYFUNCTION("MAX(FILTER($H$2:$H418,$E$2:$E418=F106))"),1.0)</f>
        <v>1</v>
      </c>
    </row>
    <row r="107">
      <c r="A107" s="4"/>
      <c r="C107" s="4" t="s">
        <v>610</v>
      </c>
      <c r="D107" s="4" t="str">
        <f t="shared" si="1"/>
        <v>{"valorA":"quem","valorB":1.0}</v>
      </c>
      <c r="E107" s="8" t="str">
        <f t="shared" si="2"/>
        <v>quem</v>
      </c>
      <c r="F107" s="8" t="str">
        <f>IFERROR(__xludf.DUMMYFUNCTION("""COMPUTED_VALUE"""),"pele")</f>
        <v>pele</v>
      </c>
      <c r="G107" s="8" t="str">
        <f t="shared" si="3"/>
        <v>1.0</v>
      </c>
      <c r="H107" s="9">
        <f t="shared" si="4"/>
        <v>1</v>
      </c>
      <c r="I107" s="10">
        <f>IFERROR(__xludf.DUMMYFUNCTION("MAX(FILTER($H$2:$H418,$E$2:$E418=F107))"),1.0)</f>
        <v>1</v>
      </c>
    </row>
    <row r="108">
      <c r="A108" s="4"/>
      <c r="C108" s="4" t="s">
        <v>681</v>
      </c>
      <c r="D108" s="4" t="str">
        <f t="shared" si="1"/>
        <v>{"valorA":"de","valorB":5.0}</v>
      </c>
      <c r="E108" s="8" t="str">
        <f t="shared" si="2"/>
        <v>de</v>
      </c>
      <c r="F108" s="8" t="str">
        <f>IFERROR(__xludf.DUMMYFUNCTION("""COMPUTED_VALUE"""),"aplicado")</f>
        <v>aplicado</v>
      </c>
      <c r="G108" s="8" t="str">
        <f t="shared" si="3"/>
        <v>5.0</v>
      </c>
      <c r="H108" s="9">
        <f t="shared" si="4"/>
        <v>5</v>
      </c>
      <c r="I108" s="10">
        <f>IFERROR(__xludf.DUMMYFUNCTION("MAX(FILTER($H$2:$H418,$E$2:$E418=F108))"),1.0)</f>
        <v>1</v>
      </c>
    </row>
    <row r="109">
      <c r="A109" s="4"/>
      <c r="C109" s="4" t="s">
        <v>745</v>
      </c>
      <c r="D109" s="4" t="str">
        <f t="shared" si="1"/>
        <v>{"valorA":"o","valorB":7.0}</v>
      </c>
      <c r="E109" s="8" t="str">
        <f t="shared" si="2"/>
        <v>o</v>
      </c>
      <c r="F109" s="8" t="str">
        <f>IFERROR(__xludf.DUMMYFUNCTION("""COMPUTED_VALUE"""),"irrita")</f>
        <v>irrita</v>
      </c>
      <c r="G109" s="8" t="str">
        <f t="shared" si="3"/>
        <v>7.0</v>
      </c>
      <c r="H109" s="9">
        <f t="shared" si="4"/>
        <v>7</v>
      </c>
      <c r="I109" s="10">
        <f>IFERROR(__xludf.DUMMYFUNCTION("MAX(FILTER($H$2:$H418,$E$2:$E418=F109))"),1.0)</f>
        <v>1</v>
      </c>
    </row>
    <row r="110">
      <c r="A110" s="4"/>
      <c r="C110" s="4" t="s">
        <v>1025</v>
      </c>
      <c r="D110" s="4" t="str">
        <f t="shared" si="1"/>
        <v>{"valorA":"aparelho","valorB":2.0}</v>
      </c>
      <c r="E110" s="8" t="str">
        <f t="shared" si="2"/>
        <v>aparelho</v>
      </c>
      <c r="F110" s="8" t="str">
        <f>IFERROR(__xludf.DUMMYFUNCTION("""COMPUTED_VALUE"""),"fica")</f>
        <v>fica</v>
      </c>
      <c r="G110" s="8" t="str">
        <f t="shared" si="3"/>
        <v>2.0</v>
      </c>
      <c r="H110" s="9">
        <f t="shared" si="4"/>
        <v>2</v>
      </c>
      <c r="I110" s="10">
        <f>IFERROR(__xludf.DUMMYFUNCTION("MAX(FILTER($H$2:$H418,$E$2:$E418=F110))"),2.0)</f>
        <v>2</v>
      </c>
    </row>
    <row r="111">
      <c r="A111" s="4"/>
      <c r="C111" s="4" t="s">
        <v>1026</v>
      </c>
      <c r="D111" s="4" t="str">
        <f t="shared" si="1"/>
        <v>{"valorA":"óptimo","valorB":2.0}</v>
      </c>
      <c r="E111" s="8" t="str">
        <f t="shared" si="2"/>
        <v>óptimo</v>
      </c>
      <c r="F111" s="8" t="str">
        <f>IFERROR(__xludf.DUMMYFUNCTION("""COMPUTED_VALUE"""),"barba")</f>
        <v>barba</v>
      </c>
      <c r="G111" s="8" t="str">
        <f t="shared" si="3"/>
        <v>2.0</v>
      </c>
      <c r="H111" s="9">
        <f t="shared" si="4"/>
        <v>2</v>
      </c>
      <c r="I111" s="10">
        <f>IFERROR(__xludf.DUMMYFUNCTION("MAX(FILTER($H$2:$H418,$E$2:$E418=F111))"),1.0)</f>
        <v>1</v>
      </c>
    </row>
    <row r="112">
      <c r="A112" s="4"/>
      <c r="C112" s="4" t="s">
        <v>242</v>
      </c>
      <c r="D112" s="4" t="str">
        <f t="shared" si="1"/>
        <v>{"valorA":"ótimo","valorB":9.0}</v>
      </c>
      <c r="E112" s="8" t="str">
        <f t="shared" si="2"/>
        <v>ótimo</v>
      </c>
      <c r="F112" s="8" t="str">
        <f>IFERROR(__xludf.DUMMYFUNCTION("""COMPUTED_VALUE"""),"cabelo")</f>
        <v>cabelo</v>
      </c>
      <c r="G112" s="8" t="str">
        <f t="shared" si="3"/>
        <v>9.0</v>
      </c>
      <c r="H112" s="9">
        <f t="shared" si="4"/>
        <v>9</v>
      </c>
      <c r="I112" s="10">
        <f>IFERROR(__xludf.DUMMYFUNCTION("MAX(FILTER($H$2:$H418,$E$2:$E418=F112))"),1.0)</f>
        <v>1</v>
      </c>
    </row>
    <row r="113">
      <c r="A113" s="4"/>
      <c r="C113" s="4" t="s">
        <v>1027</v>
      </c>
      <c r="D113" s="4" t="str">
        <f t="shared" si="1"/>
        <v>{"valorA":"tem","valorB":1.0}</v>
      </c>
      <c r="E113" s="8" t="str">
        <f t="shared" si="2"/>
        <v>tem</v>
      </c>
      <c r="F113" s="8" t="str">
        <f>IFERROR(__xludf.DUMMYFUNCTION("""COMPUTED_VALUE"""),"leito")</f>
        <v>leito</v>
      </c>
      <c r="G113" s="8" t="str">
        <f t="shared" si="3"/>
        <v>1.0</v>
      </c>
      <c r="H113" s="9">
        <f t="shared" si="4"/>
        <v>1</v>
      </c>
      <c r="I113" s="10">
        <f>IFERROR(__xludf.DUMMYFUNCTION("MAX(FILTER($H$2:$H418,$E$2:$E418=F113))"),1.0)</f>
        <v>1</v>
      </c>
    </row>
    <row r="114">
      <c r="A114" s="4"/>
      <c r="C114" s="4" t="s">
        <v>320</v>
      </c>
      <c r="D114" s="4" t="str">
        <f t="shared" si="1"/>
        <v>{"valorA":"a","valorB":3.0}</v>
      </c>
      <c r="E114" s="8" t="str">
        <f t="shared" si="2"/>
        <v>a</v>
      </c>
      <c r="F114" s="8" t="str">
        <f>IFERROR(__xludf.DUMMYFUNCTION("""COMPUTED_VALUE"""),"deste")</f>
        <v>deste</v>
      </c>
      <c r="G114" s="8" t="str">
        <f t="shared" si="3"/>
        <v>3.0</v>
      </c>
      <c r="H114" s="9">
        <f t="shared" si="4"/>
        <v>3</v>
      </c>
      <c r="I114" s="10">
        <f>IFERROR(__xludf.DUMMYFUNCTION("MAX(FILTER($H$2:$H418,$E$2:$E418=F114))"),1.0)</f>
        <v>1</v>
      </c>
    </row>
    <row r="115">
      <c r="A115" s="4"/>
      <c r="C115" s="4" t="s">
        <v>1028</v>
      </c>
      <c r="D115" s="4" t="str">
        <f t="shared" si="1"/>
        <v>{"valorA":"dificuldades","valorB":1.0}</v>
      </c>
      <c r="E115" s="8" t="str">
        <f t="shared" si="2"/>
        <v>dificuldades</v>
      </c>
      <c r="F115" s="8" t="str">
        <f>IFERROR(__xludf.DUMMYFUNCTION("""COMPUTED_VALUE"""),"não")</f>
        <v>não</v>
      </c>
      <c r="G115" s="8" t="str">
        <f t="shared" si="3"/>
        <v>1.0</v>
      </c>
      <c r="H115" s="9">
        <f t="shared" si="4"/>
        <v>1</v>
      </c>
      <c r="I115" s="10">
        <f>IFERROR(__xludf.DUMMYFUNCTION("MAX(FILTER($H$2:$H418,$E$2:$E418=F115))"),1.0)</f>
        <v>1</v>
      </c>
    </row>
    <row r="116">
      <c r="A116" s="4"/>
      <c r="C116" s="4" t="s">
        <v>325</v>
      </c>
      <c r="D116" s="4" t="str">
        <f t="shared" si="1"/>
        <v>{"valorA":"recomendo","valorB":3.0}</v>
      </c>
      <c r="E116" s="8" t="str">
        <f t="shared" si="2"/>
        <v>recomendo</v>
      </c>
      <c r="F116" s="8" t="str">
        <f>IFERROR(__xludf.DUMMYFUNCTION("""COMPUTED_VALUE"""),"computador")</f>
        <v>computador</v>
      </c>
      <c r="G116" s="8" t="str">
        <f t="shared" si="3"/>
        <v>3.0</v>
      </c>
      <c r="H116" s="9">
        <f t="shared" si="4"/>
        <v>3</v>
      </c>
      <c r="I116" s="10">
        <f>IFERROR(__xludf.DUMMYFUNCTION("MAX(FILTER($H$2:$H418,$E$2:$E418=F116))"),1.0)</f>
        <v>1</v>
      </c>
    </row>
    <row r="117">
      <c r="A117" s="4"/>
      <c r="C117" s="4" t="s">
        <v>1029</v>
      </c>
      <c r="D117" s="4" t="str">
        <f t="shared" si="1"/>
        <v>{"valorA":"totalmente","valorB":1.0}</v>
      </c>
      <c r="E117" s="8" t="str">
        <f t="shared" si="2"/>
        <v>totalmente</v>
      </c>
      <c r="F117" s="8" t="str">
        <f>IFERROR(__xludf.DUMMYFUNCTION("""COMPUTED_VALUE"""),"precisa")</f>
        <v>precisa</v>
      </c>
      <c r="G117" s="8" t="str">
        <f t="shared" si="3"/>
        <v>1.0</v>
      </c>
      <c r="H117" s="9">
        <f t="shared" si="4"/>
        <v>1</v>
      </c>
      <c r="I117" s="10">
        <f>IFERROR(__xludf.DUMMYFUNCTION("MAX(FILTER($H$2:$H418,$E$2:$E418=F117))"),2.0)</f>
        <v>2</v>
      </c>
    </row>
    <row r="118">
      <c r="A118" s="4"/>
      <c r="C118" s="4" t="s">
        <v>1030</v>
      </c>
      <c r="D118" s="4" t="str">
        <f t="shared" si="1"/>
        <v>{"valorA":"condicionado","valorB":1.0}</v>
      </c>
      <c r="E118" s="8" t="str">
        <f t="shared" si="2"/>
        <v>condicionado</v>
      </c>
      <c r="F118" s="8" t="str">
        <f>IFERROR(__xludf.DUMMYFUNCTION("""COMPUTED_VALUE"""),"coisas")</f>
        <v>coisas</v>
      </c>
      <c r="G118" s="8" t="str">
        <f t="shared" si="3"/>
        <v>1.0</v>
      </c>
      <c r="H118" s="9">
        <f t="shared" si="4"/>
        <v>1</v>
      </c>
      <c r="I118" s="10">
        <f>IFERROR(__xludf.DUMMYFUNCTION("MAX(FILTER($H$2:$H418,$E$2:$E418=F118))"),1.0)</f>
        <v>1</v>
      </c>
    </row>
    <row r="119">
      <c r="A119" s="4"/>
      <c r="C119" s="4" t="s">
        <v>1031</v>
      </c>
      <c r="D119" s="4" t="str">
        <f t="shared" si="1"/>
        <v>{"valorA":"ótima","valorB":3.0}</v>
      </c>
      <c r="E119" s="8" t="str">
        <f t="shared" si="2"/>
        <v>ótima</v>
      </c>
      <c r="F119" s="8" t="str">
        <f>IFERROR(__xludf.DUMMYFUNCTION("""COMPUTED_VALUE"""),"meu")</f>
        <v>meu</v>
      </c>
      <c r="G119" s="8" t="str">
        <f t="shared" si="3"/>
        <v>3.0</v>
      </c>
      <c r="H119" s="9">
        <f t="shared" si="4"/>
        <v>3</v>
      </c>
      <c r="I119" s="10">
        <f>IFERROR(__xludf.DUMMYFUNCTION("MAX(FILTER($H$2:$H418,$E$2:$E418=F119))"),2.0)</f>
        <v>2</v>
      </c>
    </row>
    <row r="120">
      <c r="A120" s="4"/>
      <c r="C120" s="4" t="s">
        <v>492</v>
      </c>
      <c r="D120" s="4" t="str">
        <f t="shared" si="1"/>
        <v>{"valorA":"super","valorB":1.0}</v>
      </c>
      <c r="E120" s="8" t="str">
        <f t="shared" si="2"/>
        <v>super</v>
      </c>
      <c r="F120" s="8" t="str">
        <f>IFERROR(__xludf.DUMMYFUNCTION("""COMPUTED_VALUE"""),"processador")</f>
        <v>processador</v>
      </c>
      <c r="G120" s="8" t="str">
        <f t="shared" si="3"/>
        <v>1.0</v>
      </c>
      <c r="H120" s="9">
        <f t="shared" si="4"/>
        <v>1</v>
      </c>
      <c r="I120" s="10">
        <f>IFERROR(__xludf.DUMMYFUNCTION("MAX(FILTER($H$2:$H418,$E$2:$E418=F120))"),1.0)</f>
        <v>1</v>
      </c>
    </row>
    <row r="121">
      <c r="A121" s="4"/>
      <c r="C121" s="4" t="s">
        <v>1032</v>
      </c>
      <c r="D121" s="4" t="str">
        <f t="shared" si="1"/>
        <v>{"valorA":"louças","valorB":1.0}</v>
      </c>
      <c r="E121" s="8" t="str">
        <f t="shared" si="2"/>
        <v>louças</v>
      </c>
      <c r="F121" s="8" t="str">
        <f>IFERROR(__xludf.DUMMYFUNCTION("""COMPUTED_VALUE"""),"leve")</f>
        <v>leve</v>
      </c>
      <c r="G121" s="8" t="str">
        <f t="shared" si="3"/>
        <v>1.0</v>
      </c>
      <c r="H121" s="9">
        <f t="shared" si="4"/>
        <v>1</v>
      </c>
      <c r="I121" s="10">
        <f>IFERROR(__xludf.DUMMYFUNCTION("MAX(FILTER($H$2:$H418,$E$2:$E418=F121))"),1.0)</f>
        <v>1</v>
      </c>
    </row>
    <row r="122">
      <c r="A122" s="4"/>
      <c r="C122" s="4" t="s">
        <v>294</v>
      </c>
      <c r="D122" s="4" t="str">
        <f t="shared" si="1"/>
        <v>{"valorA":"de","valorB":6.0}</v>
      </c>
      <c r="E122" s="8" t="str">
        <f t="shared" si="2"/>
        <v>de</v>
      </c>
      <c r="F122" s="8" t="str">
        <f>IFERROR(__xludf.DUMMYFUNCTION("""COMPUTED_VALUE"""),"compacta")</f>
        <v>compacta</v>
      </c>
      <c r="G122" s="8" t="str">
        <f t="shared" si="3"/>
        <v>6.0</v>
      </c>
      <c r="H122" s="9">
        <f t="shared" si="4"/>
        <v>6</v>
      </c>
      <c r="I122" s="10">
        <f>IFERROR(__xludf.DUMMYFUNCTION("MAX(FILTER($H$2:$H418,$E$2:$E418=F122))"),1.0)</f>
        <v>1</v>
      </c>
    </row>
    <row r="123">
      <c r="A123" s="4"/>
      <c r="C123" s="4" t="s">
        <v>1033</v>
      </c>
      <c r="D123" s="4" t="str">
        <f t="shared" si="1"/>
        <v>{"valorA":"lavador","valorB":2.0}</v>
      </c>
      <c r="E123" s="8" t="str">
        <f t="shared" si="2"/>
        <v>lavador</v>
      </c>
      <c r="F123" s="8" t="str">
        <f>IFERROR(__xludf.DUMMYFUNCTION("""COMPUTED_VALUE"""),"uma")</f>
        <v>uma</v>
      </c>
      <c r="G123" s="8" t="str">
        <f t="shared" si="3"/>
        <v>2.0</v>
      </c>
      <c r="H123" s="9">
        <f t="shared" si="4"/>
        <v>2</v>
      </c>
      <c r="I123" s="10">
        <f>IFERROR(__xludf.DUMMYFUNCTION("MAX(FILTER($H$2:$H418,$E$2:$E418=F123))"),1.0)</f>
        <v>1</v>
      </c>
    </row>
    <row r="124">
      <c r="A124" s="4"/>
      <c r="C124" s="4" t="s">
        <v>1034</v>
      </c>
      <c r="D124" s="4" t="str">
        <f t="shared" si="1"/>
        <v>{"valorA":"ar","valorB":1.0}</v>
      </c>
      <c r="E124" s="8" t="str">
        <f t="shared" si="2"/>
        <v>ar</v>
      </c>
      <c r="F124" s="8" t="str">
        <f>IFERROR(__xludf.DUMMYFUNCTION("""COMPUTED_VALUE"""),"barata")</f>
        <v>barata</v>
      </c>
      <c r="G124" s="8" t="str">
        <f t="shared" si="3"/>
        <v>1.0</v>
      </c>
      <c r="H124" s="9">
        <f t="shared" si="4"/>
        <v>1</v>
      </c>
      <c r="I124" s="10">
        <f>IFERROR(__xludf.DUMMYFUNCTION("MAX(FILTER($H$2:$H418,$E$2:$E418=F124))"),1.0)</f>
        <v>1</v>
      </c>
    </row>
    <row r="125">
      <c r="A125" s="4"/>
      <c r="C125" s="4" t="s">
        <v>1035</v>
      </c>
      <c r="D125" s="4" t="str">
        <f t="shared" si="1"/>
        <v>{"valorA":"lavadora","valorB":3.0}</v>
      </c>
      <c r="E125" s="8" t="str">
        <f t="shared" si="2"/>
        <v>lavadora</v>
      </c>
      <c r="F125" s="8" t="str">
        <f>IFERROR(__xludf.DUMMYFUNCTION("""COMPUTED_VALUE"""),"possíveis")</f>
        <v>possíveis</v>
      </c>
      <c r="G125" s="8" t="str">
        <f t="shared" si="3"/>
        <v>3.0</v>
      </c>
      <c r="H125" s="9">
        <f t="shared" si="4"/>
        <v>3</v>
      </c>
      <c r="I125" s="10">
        <f>IFERROR(__xludf.DUMMYFUNCTION("MAX(FILTER($H$2:$H418,$E$2:$E418=F125))"),1.0)</f>
        <v>1</v>
      </c>
    </row>
    <row r="126">
      <c r="A126" s="4"/>
      <c r="C126" s="4" t="s">
        <v>722</v>
      </c>
      <c r="D126" s="4" t="str">
        <f t="shared" si="1"/>
        <v>{"valorA":"limpa","valorB":1.0}</v>
      </c>
      <c r="E126" s="8" t="str">
        <f t="shared" si="2"/>
        <v>limpa</v>
      </c>
      <c r="F126" s="8" t="str">
        <f>IFERROR(__xludf.DUMMYFUNCTION("""COMPUTED_VALUE"""),"muitas")</f>
        <v>muitas</v>
      </c>
      <c r="G126" s="8" t="str">
        <f t="shared" si="3"/>
        <v>1.0</v>
      </c>
      <c r="H126" s="9">
        <f t="shared" si="4"/>
        <v>1</v>
      </c>
      <c r="I126" s="10">
        <f>IFERROR(__xludf.DUMMYFUNCTION("MAX(FILTER($H$2:$H418,$E$2:$E418=F126))"),2.0)</f>
        <v>2</v>
      </c>
    </row>
    <row r="127">
      <c r="A127" s="4"/>
      <c r="C127" s="4" t="s">
        <v>1036</v>
      </c>
      <c r="D127" s="4" t="str">
        <f t="shared" si="1"/>
        <v>{"valorA":"sempre","valorB":2.0}</v>
      </c>
      <c r="E127" s="8" t="str">
        <f t="shared" si="2"/>
        <v>sempre</v>
      </c>
      <c r="F127" s="8" t="str">
        <f>IFERROR(__xludf.DUMMYFUNCTION("""COMPUTED_VALUE"""),"modelo")</f>
        <v>modelo</v>
      </c>
      <c r="G127" s="8" t="str">
        <f t="shared" si="3"/>
        <v>2.0</v>
      </c>
      <c r="H127" s="9">
        <f t="shared" si="4"/>
        <v>2</v>
      </c>
      <c r="I127" s="10">
        <f>IFERROR(__xludf.DUMMYFUNCTION("MAX(FILTER($H$2:$H418,$E$2:$E418=F127))"),2.0)</f>
        <v>2</v>
      </c>
    </row>
    <row r="128">
      <c r="A128" s="4"/>
      <c r="C128" s="4" t="s">
        <v>621</v>
      </c>
      <c r="D128" s="4" t="str">
        <f t="shared" si="1"/>
        <v>{"valorA":"ótimo","valorB":11.0}</v>
      </c>
      <c r="E128" s="8" t="str">
        <f t="shared" si="2"/>
        <v>ótimo</v>
      </c>
      <c r="F128" s="8" t="str">
        <f>IFERROR(__xludf.DUMMYFUNCTION("""COMPUTED_VALUE"""),"ouvido")</f>
        <v>ouvido</v>
      </c>
      <c r="G128" s="8" t="str">
        <f t="shared" si="3"/>
        <v>11.0</v>
      </c>
      <c r="H128" s="9">
        <f t="shared" si="4"/>
        <v>11</v>
      </c>
      <c r="I128" s="10">
        <f>IFERROR(__xludf.DUMMYFUNCTION("MAX(FILTER($H$2:$H418,$E$2:$E418=F128))"),1.0)</f>
        <v>1</v>
      </c>
    </row>
    <row r="129">
      <c r="A129" s="4"/>
      <c r="C129" s="4" t="s">
        <v>803</v>
      </c>
      <c r="D129" s="4" t="str">
        <f t="shared" si="1"/>
        <v>{"valorA":"perfeitamente","valorB":3.0}</v>
      </c>
      <c r="E129" s="8" t="str">
        <f t="shared" si="2"/>
        <v>perfeitamente</v>
      </c>
      <c r="F129" s="8" t="str">
        <f>IFERROR(__xludf.DUMMYFUNCTION("""COMPUTED_VALUE"""),"fone")</f>
        <v>fone</v>
      </c>
      <c r="G129" s="8" t="str">
        <f t="shared" si="3"/>
        <v>3.0</v>
      </c>
      <c r="H129" s="9">
        <f t="shared" si="4"/>
        <v>3</v>
      </c>
      <c r="I129" s="10">
        <f>IFERROR(__xludf.DUMMYFUNCTION("MAX(FILTER($H$2:$H418,$E$2:$E418=F129))"),1.0)</f>
        <v>1</v>
      </c>
    </row>
    <row r="130">
      <c r="A130" s="4"/>
      <c r="C130" s="4" t="s">
        <v>288</v>
      </c>
      <c r="D130" s="4" t="str">
        <f t="shared" si="1"/>
        <v>{"valorA":"funciona","valorB":4.0}</v>
      </c>
      <c r="E130" s="8" t="str">
        <f t="shared" si="2"/>
        <v>funciona</v>
      </c>
      <c r="F130" s="8" t="str">
        <f>IFERROR(__xludf.DUMMYFUNCTION("""COMPUTED_VALUE"""),"comprarem")</f>
        <v>comprarem</v>
      </c>
      <c r="G130" s="8" t="str">
        <f t="shared" si="3"/>
        <v>4.0</v>
      </c>
      <c r="H130" s="9">
        <f t="shared" si="4"/>
        <v>4</v>
      </c>
      <c r="I130" s="10">
        <f>IFERROR(__xludf.DUMMYFUNCTION("MAX(FILTER($H$2:$H418,$E$2:$E418=F130))"),1.0)</f>
        <v>1</v>
      </c>
    </row>
    <row r="131">
      <c r="A131" s="4"/>
      <c r="C131" s="4" t="s">
        <v>234</v>
      </c>
      <c r="D131" s="4" t="str">
        <f t="shared" si="1"/>
        <v>{"valorA":"para","valorB":4.0}</v>
      </c>
      <c r="E131" s="8" t="str">
        <f t="shared" si="2"/>
        <v>para</v>
      </c>
      <c r="F131" s="8" t="str">
        <f>IFERROR(__xludf.DUMMYFUNCTION("""COMPUTED_VALUE"""),"tive")</f>
        <v>tive</v>
      </c>
      <c r="G131" s="8" t="str">
        <f t="shared" si="3"/>
        <v>4.0</v>
      </c>
      <c r="H131" s="9">
        <f t="shared" si="4"/>
        <v>4</v>
      </c>
      <c r="I131" s="10">
        <f>IFERROR(__xludf.DUMMYFUNCTION("MAX(FILTER($H$2:$H418,$E$2:$E418=F131))"),1.0)</f>
        <v>1</v>
      </c>
    </row>
    <row r="132">
      <c r="A132" s="4"/>
      <c r="C132" s="4" t="s">
        <v>345</v>
      </c>
      <c r="D132" s="4" t="str">
        <f t="shared" si="1"/>
        <v>{"valorA":"recomendo","valorB":4.0}</v>
      </c>
      <c r="E132" s="8" t="str">
        <f t="shared" si="2"/>
        <v>recomendo</v>
      </c>
      <c r="F132" s="8" t="str">
        <f>IFERROR(__xludf.DUMMYFUNCTION("""COMPUTED_VALUE"""),"quando")</f>
        <v>quando</v>
      </c>
      <c r="G132" s="8" t="str">
        <f t="shared" si="3"/>
        <v>4.0</v>
      </c>
      <c r="H132" s="9">
        <f t="shared" si="4"/>
        <v>4</v>
      </c>
      <c r="I132" s="10">
        <f>IFERROR(__xludf.DUMMYFUNCTION("MAX(FILTER($H$2:$H418,$E$2:$E418=F132))"),1.0)</f>
        <v>1</v>
      </c>
    </row>
    <row r="133">
      <c r="A133" s="4"/>
      <c r="C133" s="4" t="s">
        <v>1037</v>
      </c>
      <c r="D133" s="4" t="str">
        <f t="shared" si="1"/>
        <v>{"valorA":"ótima","valorB":4.0}</v>
      </c>
      <c r="E133" s="8" t="str">
        <f t="shared" si="2"/>
        <v>ótima</v>
      </c>
      <c r="F133" s="8" t="str">
        <f>IFERROR(__xludf.DUMMYFUNCTION("""COMPUTED_VALUE"""),"fogão")</f>
        <v>fogão</v>
      </c>
      <c r="G133" s="8" t="str">
        <f t="shared" si="3"/>
        <v>4.0</v>
      </c>
      <c r="H133" s="9">
        <f t="shared" si="4"/>
        <v>4</v>
      </c>
      <c r="I133" s="10">
        <f>IFERROR(__xludf.DUMMYFUNCTION("MAX(FILTER($H$2:$H418,$E$2:$E418=F133))"),1.0)</f>
        <v>1</v>
      </c>
    </row>
    <row r="134">
      <c r="A134" s="4"/>
      <c r="C134" s="4" t="s">
        <v>1038</v>
      </c>
      <c r="D134" s="4" t="str">
        <f t="shared" si="1"/>
        <v>{"valorA":"primeiro","valorB":2.0}</v>
      </c>
      <c r="E134" s="8" t="str">
        <f t="shared" si="2"/>
        <v>primeiro</v>
      </c>
      <c r="F134" s="8" t="str">
        <f>IFERROR(__xludf.DUMMYFUNCTION("""COMPUTED_VALUE"""),"foi")</f>
        <v>foi</v>
      </c>
      <c r="G134" s="8" t="str">
        <f t="shared" si="3"/>
        <v>2.0</v>
      </c>
      <c r="H134" s="9">
        <f t="shared" si="4"/>
        <v>2</v>
      </c>
      <c r="I134" s="10">
        <f>IFERROR(__xludf.DUMMYFUNCTION("MAX(FILTER($H$2:$H418,$E$2:$E418=F134))"),1.0)</f>
        <v>1</v>
      </c>
    </row>
    <row r="135">
      <c r="A135" s="4"/>
      <c r="C135" s="4" t="s">
        <v>476</v>
      </c>
      <c r="D135" s="4" t="str">
        <f t="shared" si="1"/>
        <v>{"valorA":"o","valorB":8.0}</v>
      </c>
      <c r="E135" s="8" t="str">
        <f t="shared" si="2"/>
        <v>o</v>
      </c>
      <c r="F135" s="8" t="str">
        <f>IFERROR(__xludf.DUMMYFUNCTION("""COMPUTED_VALUE"""),"bom")</f>
        <v>bom</v>
      </c>
      <c r="G135" s="8" t="str">
        <f t="shared" si="3"/>
        <v>8.0</v>
      </c>
      <c r="H135" s="9">
        <f t="shared" si="4"/>
        <v>8</v>
      </c>
      <c r="I135" s="10">
        <f>IFERROR(__xludf.DUMMYFUNCTION("MAX(FILTER($H$2:$H418,$E$2:$E418=F135))"),2.0)</f>
        <v>2</v>
      </c>
    </row>
    <row r="136">
      <c r="A136" s="4"/>
      <c r="C136" s="4" t="s">
        <v>1039</v>
      </c>
      <c r="D136" s="4" t="str">
        <f t="shared" si="1"/>
        <v>{"valorA":"pratos","valorB":1.0}</v>
      </c>
      <c r="E136" s="8" t="str">
        <f t="shared" si="2"/>
        <v>pratos</v>
      </c>
      <c r="F136" s="8" t="str">
        <f>IFERROR(__xludf.DUMMYFUNCTION("""COMPUTED_VALUE"""),"elétrico")</f>
        <v>elétrico</v>
      </c>
      <c r="G136" s="8" t="str">
        <f t="shared" si="3"/>
        <v>1.0</v>
      </c>
      <c r="H136" s="9">
        <f t="shared" si="4"/>
        <v>1</v>
      </c>
      <c r="I136" s="10">
        <f>IFERROR(__xludf.DUMMYFUNCTION("MAX(FILTER($H$2:$H418,$E$2:$E418=F136))"),2.0)</f>
        <v>2</v>
      </c>
    </row>
    <row r="137">
      <c r="A137" s="4"/>
      <c r="C137" s="4" t="s">
        <v>1040</v>
      </c>
      <c r="D137" s="4" t="str">
        <f t="shared" si="1"/>
        <v>{"valorA":"luvas","valorB":1.0}</v>
      </c>
      <c r="E137" s="8" t="str">
        <f t="shared" si="2"/>
        <v>luvas</v>
      </c>
      <c r="F137" s="8" t="str">
        <f>IFERROR(__xludf.DUMMYFUNCTION("""COMPUTED_VALUE"""),"comigo")</f>
        <v>comigo</v>
      </c>
      <c r="G137" s="8" t="str">
        <f t="shared" si="3"/>
        <v>1.0</v>
      </c>
      <c r="H137" s="9">
        <f t="shared" si="4"/>
        <v>1</v>
      </c>
      <c r="I137" s="10">
        <f>IFERROR(__xludf.DUMMYFUNCTION("MAX(FILTER($H$2:$H418,$E$2:$E418=F137))"),1.0)</f>
        <v>1</v>
      </c>
    </row>
    <row r="138">
      <c r="A138" s="4"/>
      <c r="C138" s="4" t="s">
        <v>1041</v>
      </c>
      <c r="D138" s="4" t="str">
        <f t="shared" si="1"/>
        <v>{"valorA":"desde","valorB":2.0}</v>
      </c>
      <c r="E138" s="8" t="str">
        <f t="shared" si="2"/>
        <v>desde</v>
      </c>
      <c r="F138" s="8" t="str">
        <f>IFERROR(__xludf.DUMMYFUNCTION("""COMPUTED_VALUE"""),"este")</f>
        <v>este</v>
      </c>
      <c r="G138" s="8" t="str">
        <f t="shared" si="3"/>
        <v>2.0</v>
      </c>
      <c r="H138" s="9">
        <f t="shared" si="4"/>
        <v>2</v>
      </c>
      <c r="I138" s="10">
        <f>IFERROR(__xludf.DUMMYFUNCTION("MAX(FILTER($H$2:$H418,$E$2:$E418=F138))"),1.0)</f>
        <v>1</v>
      </c>
    </row>
    <row r="139">
      <c r="A139" s="4"/>
      <c r="C139" s="4" t="s">
        <v>1042</v>
      </c>
      <c r="D139" s="4" t="str">
        <f t="shared" si="1"/>
        <v>{"valorA":"momento","valorB":2.0}</v>
      </c>
      <c r="E139" s="8" t="str">
        <f t="shared" si="2"/>
        <v>momento</v>
      </c>
      <c r="F139" s="8" t="str">
        <f>IFERROR(__xludf.DUMMYFUNCTION("""COMPUTED_VALUE"""),"um")</f>
        <v>um</v>
      </c>
      <c r="G139" s="8" t="str">
        <f t="shared" si="3"/>
        <v>2.0</v>
      </c>
      <c r="H139" s="9">
        <f t="shared" si="4"/>
        <v>2</v>
      </c>
      <c r="I139" s="10">
        <f>IFERROR(__xludf.DUMMYFUNCTION("MAX(FILTER($H$2:$H418,$E$2:$E418=F139))"),1.0)</f>
        <v>1</v>
      </c>
    </row>
    <row r="140">
      <c r="A140" s="4"/>
      <c r="C140" s="4" t="s">
        <v>259</v>
      </c>
      <c r="D140" s="4" t="str">
        <f t="shared" si="1"/>
        <v>{"valorA":"ótimo","valorB":12.0}</v>
      </c>
      <c r="E140" s="8" t="str">
        <f t="shared" si="2"/>
        <v>ótimo</v>
      </c>
      <c r="F140" s="8" t="str">
        <f>IFERROR(__xludf.DUMMYFUNCTION("""COMPUTED_VALUE"""),"atenciosa")</f>
        <v>atenciosa</v>
      </c>
      <c r="G140" s="8" t="str">
        <f t="shared" si="3"/>
        <v>12.0</v>
      </c>
      <c r="H140" s="9">
        <f t="shared" si="4"/>
        <v>12</v>
      </c>
      <c r="I140" s="10">
        <f>IFERROR(__xludf.DUMMYFUNCTION("MAX(FILTER($H$2:$H418,$E$2:$E418=F140))"),1.0)</f>
        <v>1</v>
      </c>
    </row>
    <row r="141">
      <c r="A141" s="4"/>
      <c r="C141" s="4" t="s">
        <v>486</v>
      </c>
      <c r="D141" s="4" t="str">
        <f t="shared" si="1"/>
        <v>{"valorA":"refrigerante","valorB":1.0}</v>
      </c>
      <c r="E141" s="8" t="str">
        <f t="shared" si="2"/>
        <v>refrigerante</v>
      </c>
      <c r="F141" s="8" t="str">
        <f>IFERROR(__xludf.DUMMYFUNCTION("""COMPUTED_VALUE"""),"tricotado")</f>
        <v>tricotado</v>
      </c>
      <c r="G141" s="8" t="str">
        <f t="shared" si="3"/>
        <v>1.0</v>
      </c>
      <c r="H141" s="9">
        <f t="shared" si="4"/>
        <v>1</v>
      </c>
      <c r="I141" s="10">
        <f>IFERROR(__xludf.DUMMYFUNCTION("MAX(FILTER($H$2:$H418,$E$2:$E418=F141))"),1.0)</f>
        <v>1</v>
      </c>
    </row>
    <row r="142">
      <c r="A142" s="4"/>
      <c r="C142" s="4" t="s">
        <v>287</v>
      </c>
      <c r="D142" s="4" t="str">
        <f t="shared" si="1"/>
        <v>{"valorA":"perfeitamente","valorB":4.0}</v>
      </c>
      <c r="E142" s="8" t="str">
        <f t="shared" si="2"/>
        <v>perfeitamente</v>
      </c>
      <c r="F142" s="8" t="str">
        <f>IFERROR(__xludf.DUMMYFUNCTION("""COMPUTED_VALUE"""),"cama")</f>
        <v>cama</v>
      </c>
      <c r="G142" s="8" t="str">
        <f t="shared" si="3"/>
        <v>4.0</v>
      </c>
      <c r="H142" s="9">
        <f t="shared" si="4"/>
        <v>4</v>
      </c>
      <c r="I142" s="10">
        <f>IFERROR(__xludf.DUMMYFUNCTION("MAX(FILTER($H$2:$H418,$E$2:$E418=F142))"),1.0)</f>
        <v>1</v>
      </c>
    </row>
    <row r="143">
      <c r="A143" s="4"/>
      <c r="C143" s="4" t="s">
        <v>1043</v>
      </c>
      <c r="D143" s="4" t="str">
        <f t="shared" si="1"/>
        <v>{"valorA":"lavar","valorB":1.0}</v>
      </c>
      <c r="E143" s="8" t="str">
        <f t="shared" si="2"/>
        <v>lavar</v>
      </c>
      <c r="F143" s="8" t="str">
        <f>IFERROR(__xludf.DUMMYFUNCTION("""COMPUTED_VALUE"""),"1")</f>
        <v>1</v>
      </c>
      <c r="G143" s="8" t="str">
        <f t="shared" si="3"/>
        <v>1.0</v>
      </c>
      <c r="H143" s="9">
        <f t="shared" si="4"/>
        <v>1</v>
      </c>
      <c r="I143" s="10">
        <f>IFERROR(__xludf.DUMMYFUNCTION("MAX(FILTER($H$2:$H418,$E$2:$E418=F143))"),1.0)</f>
        <v>1</v>
      </c>
    </row>
    <row r="144">
      <c r="A144" s="4"/>
      <c r="C144" s="4" t="s">
        <v>303</v>
      </c>
      <c r="D144" s="4" t="str">
        <f t="shared" si="1"/>
        <v>{"valorA":"funciona","valorB":5.0}</v>
      </c>
      <c r="E144" s="8" t="str">
        <f t="shared" si="2"/>
        <v>funciona</v>
      </c>
      <c r="F144" s="8" t="str">
        <f>IFERROR(__xludf.DUMMYFUNCTION("""COMPUTED_VALUE"""),"minha")</f>
        <v>minha</v>
      </c>
      <c r="G144" s="8" t="str">
        <f t="shared" si="3"/>
        <v>5.0</v>
      </c>
      <c r="H144" s="9">
        <f t="shared" si="4"/>
        <v>5</v>
      </c>
      <c r="I144" s="10">
        <f>IFERROR(__xludf.DUMMYFUNCTION("MAX(FILTER($H$2:$H418,$E$2:$E418=F144))"),1.0)</f>
        <v>1</v>
      </c>
    </row>
    <row r="145">
      <c r="A145" s="4"/>
      <c r="C145" s="4" t="s">
        <v>403</v>
      </c>
      <c r="D145" s="4" t="str">
        <f t="shared" si="1"/>
        <v>{"valorA":"para","valorB":5.0}</v>
      </c>
      <c r="E145" s="8" t="str">
        <f t="shared" si="2"/>
        <v>para</v>
      </c>
      <c r="F145" s="8" t="str">
        <f>IFERROR(__xludf.DUMMYFUNCTION("""COMPUTED_VALUE"""),"deles")</f>
        <v>deles</v>
      </c>
      <c r="G145" s="8" t="str">
        <f t="shared" si="3"/>
        <v>5.0</v>
      </c>
      <c r="H145" s="9">
        <f t="shared" si="4"/>
        <v>5</v>
      </c>
      <c r="I145" s="10">
        <f>IFERROR(__xludf.DUMMYFUNCTION("MAX(FILTER($H$2:$H418,$E$2:$E418=F145))"),1.0)</f>
        <v>1</v>
      </c>
    </row>
    <row r="146">
      <c r="A146" s="4"/>
      <c r="C146" s="4" t="s">
        <v>1044</v>
      </c>
      <c r="D146" s="4" t="str">
        <f t="shared" si="1"/>
        <v>{"valorA":"muita","valorB":1.0}</v>
      </c>
      <c r="E146" s="8" t="str">
        <f t="shared" si="2"/>
        <v>muita</v>
      </c>
      <c r="F146" s="8" t="str">
        <f>IFERROR(__xludf.DUMMYFUNCTION("""COMPUTED_VALUE"""),"gostei")</f>
        <v>gostei</v>
      </c>
      <c r="G146" s="8" t="str">
        <f t="shared" si="3"/>
        <v>1.0</v>
      </c>
      <c r="H146" s="9">
        <f t="shared" si="4"/>
        <v>1</v>
      </c>
      <c r="I146" s="10">
        <f>IFERROR(__xludf.DUMMYFUNCTION("MAX(FILTER($H$2:$H418,$E$2:$E418=F146))"),1.0)</f>
        <v>1</v>
      </c>
    </row>
    <row r="147">
      <c r="A147" s="4"/>
      <c r="C147" s="4" t="s">
        <v>1045</v>
      </c>
      <c r="D147" s="4" t="str">
        <f t="shared" si="1"/>
        <v>{"valorA":"com","valorB":6.0}</v>
      </c>
      <c r="E147" s="8" t="str">
        <f t="shared" si="2"/>
        <v>com</v>
      </c>
      <c r="F147" s="8" t="str">
        <f>IFERROR(__xludf.DUMMYFUNCTION("""COMPUTED_VALUE"""),"funcionalidade")</f>
        <v>funcionalidade</v>
      </c>
      <c r="G147" s="8" t="str">
        <f t="shared" si="3"/>
        <v>6.0</v>
      </c>
      <c r="H147" s="9">
        <f t="shared" si="4"/>
        <v>6</v>
      </c>
      <c r="I147" s="10">
        <f>IFERROR(__xludf.DUMMYFUNCTION("MAX(FILTER($H$2:$H418,$E$2:$E418=F147))"),1.0)</f>
        <v>1</v>
      </c>
    </row>
    <row r="148">
      <c r="A148" s="4"/>
      <c r="C148" s="4" t="s">
        <v>1046</v>
      </c>
      <c r="D148" s="4" t="str">
        <f t="shared" si="1"/>
        <v>{"valorA":"cozinhar","valorB":1.0}</v>
      </c>
      <c r="E148" s="8" t="str">
        <f t="shared" si="2"/>
        <v>cozinhar</v>
      </c>
      <c r="F148" s="8" t="str">
        <f>IFERROR(__xludf.DUMMYFUNCTION("""COMPUTED_VALUE"""),"prata")</f>
        <v>prata</v>
      </c>
      <c r="G148" s="8" t="str">
        <f t="shared" si="3"/>
        <v>1.0</v>
      </c>
      <c r="H148" s="9">
        <f t="shared" si="4"/>
        <v>1</v>
      </c>
      <c r="I148" s="10">
        <f>IFERROR(__xludf.DUMMYFUNCTION("MAX(FILTER($H$2:$H418,$E$2:$E418=F148))"),1.0)</f>
        <v>1</v>
      </c>
    </row>
    <row r="149">
      <c r="A149" s="4"/>
      <c r="C149" s="4" t="s">
        <v>1047</v>
      </c>
      <c r="D149" s="4" t="str">
        <f t="shared" si="1"/>
        <v>{"valorA":"lavabo","valorB":1.0}</v>
      </c>
      <c r="E149" s="8" t="str">
        <f t="shared" si="2"/>
        <v>lavabo</v>
      </c>
      <c r="F149" s="8" t="str">
        <f>IFERROR(__xludf.DUMMYFUNCTION("""COMPUTED_VALUE"""),"coment")</f>
        <v>coment</v>
      </c>
      <c r="G149" s="8" t="str">
        <f t="shared" si="3"/>
        <v>1.0</v>
      </c>
      <c r="H149" s="9">
        <f t="shared" si="4"/>
        <v>1</v>
      </c>
      <c r="I149" s="10">
        <f>IFERROR(__xludf.DUMMYFUNCTION("MAX(FILTER($H$2:$H418,$E$2:$E418=F149))"),2.0)</f>
        <v>2</v>
      </c>
    </row>
    <row r="150">
      <c r="A150" s="4"/>
      <c r="C150" s="4" t="s">
        <v>331</v>
      </c>
      <c r="D150" s="4" t="str">
        <f t="shared" si="1"/>
        <v>{"valorA":"e","valorB":5.0}</v>
      </c>
      <c r="E150" s="8" t="str">
        <f t="shared" si="2"/>
        <v>e</v>
      </c>
      <c r="F150" s="8" t="str">
        <f>IFERROR(__xludf.DUMMYFUNCTION("""COMPUTED_VALUE"""),"dinheiro")</f>
        <v>dinheiro</v>
      </c>
      <c r="G150" s="8" t="str">
        <f t="shared" si="3"/>
        <v>5.0</v>
      </c>
      <c r="H150" s="9">
        <f t="shared" si="4"/>
        <v>5</v>
      </c>
      <c r="I150" s="10">
        <f>IFERROR(__xludf.DUMMYFUNCTION("MAX(FILTER($H$2:$H418,$E$2:$E418=F150))"),1.0)</f>
        <v>1</v>
      </c>
    </row>
    <row r="151">
      <c r="A151" s="4"/>
      <c r="C151" s="4" t="s">
        <v>1048</v>
      </c>
      <c r="D151" s="4" t="str">
        <f t="shared" si="1"/>
        <v>{"valorA":"fogo","valorB":1.0}</v>
      </c>
      <c r="E151" s="8" t="str">
        <f t="shared" si="2"/>
        <v>fogo</v>
      </c>
      <c r="F151" s="8" t="str">
        <f>IFERROR(__xludf.DUMMYFUNCTION("""COMPUTED_VALUE"""),"ergonomicamente")</f>
        <v>ergonomicamente</v>
      </c>
      <c r="G151" s="8" t="str">
        <f t="shared" si="3"/>
        <v>1.0</v>
      </c>
      <c r="H151" s="9">
        <f t="shared" si="4"/>
        <v>1</v>
      </c>
      <c r="I151" s="10">
        <f>IFERROR(__xludf.DUMMYFUNCTION("MAX(FILTER($H$2:$H418,$E$2:$E418=F151))"),1.0)</f>
        <v>1</v>
      </c>
    </row>
    <row r="152">
      <c r="A152" s="4"/>
      <c r="C152" s="4" t="s">
        <v>1049</v>
      </c>
      <c r="D152" s="4" t="str">
        <f t="shared" si="1"/>
        <v>{"valorA":"rápido","valorB":2.0}</v>
      </c>
      <c r="E152" s="8" t="str">
        <f t="shared" si="2"/>
        <v>rápido</v>
      </c>
      <c r="F152" s="8" t="str">
        <f>IFERROR(__xludf.DUMMYFUNCTION("""COMPUTED_VALUE"""),"balanço")</f>
        <v>balanço</v>
      </c>
      <c r="G152" s="8" t="str">
        <f t="shared" si="3"/>
        <v>2.0</v>
      </c>
      <c r="H152" s="9">
        <f t="shared" si="4"/>
        <v>2</v>
      </c>
      <c r="I152" s="10">
        <f>IFERROR(__xludf.DUMMYFUNCTION("MAX(FILTER($H$2:$H418,$E$2:$E418=F152))"),1.0)</f>
        <v>1</v>
      </c>
    </row>
    <row r="153">
      <c r="A153" s="4"/>
      <c r="C153" s="4" t="s">
        <v>273</v>
      </c>
      <c r="D153" s="4" t="str">
        <f t="shared" si="1"/>
        <v>{"valorA":"ótimo","valorB":14.0}</v>
      </c>
      <c r="E153" s="8" t="str">
        <f t="shared" si="2"/>
        <v>ótimo</v>
      </c>
      <c r="F153" s="8" t="str">
        <f>IFERROR(__xludf.DUMMYFUNCTION("""COMPUTED_VALUE"""),"correta")</f>
        <v>correta</v>
      </c>
      <c r="G153" s="8" t="str">
        <f t="shared" si="3"/>
        <v>14.0</v>
      </c>
      <c r="H153" s="9">
        <f t="shared" si="4"/>
        <v>14</v>
      </c>
      <c r="I153" s="10">
        <f>IFERROR(__xludf.DUMMYFUNCTION("MAX(FILTER($H$2:$H418,$E$2:$E418=F153))"),1.0)</f>
        <v>1</v>
      </c>
    </row>
    <row r="154">
      <c r="A154" s="4"/>
      <c r="C154" s="4" t="s">
        <v>1050</v>
      </c>
      <c r="D154" s="4" t="str">
        <f t="shared" si="1"/>
        <v>{"valorA":"aquecimento","valorB":1.0}</v>
      </c>
      <c r="E154" s="8" t="str">
        <f t="shared" si="2"/>
        <v>aquecimento</v>
      </c>
      <c r="F154" s="8" t="str">
        <f>IFERROR(__xludf.DUMMYFUNCTION("""COMPUTED_VALUE"""),"casa")</f>
        <v>casa</v>
      </c>
      <c r="G154" s="8" t="str">
        <f t="shared" si="3"/>
        <v>1.0</v>
      </c>
      <c r="H154" s="9">
        <f t="shared" si="4"/>
        <v>1</v>
      </c>
      <c r="I154" s="10">
        <f>IFERROR(__xludf.DUMMYFUNCTION("MAX(FILTER($H$2:$H418,$E$2:$E418=F154))"),1.0)</f>
        <v>1</v>
      </c>
    </row>
    <row r="155">
      <c r="A155" s="4"/>
      <c r="C155" s="4" t="s">
        <v>1051</v>
      </c>
      <c r="D155" s="4" t="str">
        <f t="shared" si="1"/>
        <v>{"valorA":"potência","valorB":1.0}</v>
      </c>
      <c r="E155" s="8" t="str">
        <f t="shared" si="2"/>
        <v>potência</v>
      </c>
      <c r="F155" s="8" t="str">
        <f>IFERROR(__xludf.DUMMYFUNCTION("""COMPUTED_VALUE"""),"achei")</f>
        <v>achei</v>
      </c>
      <c r="G155" s="8" t="str">
        <f t="shared" si="3"/>
        <v>1.0</v>
      </c>
      <c r="H155" s="9">
        <f t="shared" si="4"/>
        <v>1</v>
      </c>
      <c r="I155" s="10">
        <f>IFERROR(__xludf.DUMMYFUNCTION("MAX(FILTER($H$2:$H418,$E$2:$E418=F155))"),2.0)</f>
        <v>2</v>
      </c>
    </row>
    <row r="156">
      <c r="A156" s="4"/>
      <c r="C156" s="4" t="s">
        <v>1052</v>
      </c>
      <c r="D156" s="4" t="str">
        <f t="shared" si="1"/>
        <v>{"valorA":"controlável","valorB":1.0}</v>
      </c>
      <c r="E156" s="8" t="str">
        <f t="shared" si="2"/>
        <v>controlável</v>
      </c>
      <c r="F156" s="8" t="str">
        <f>IFERROR(__xludf.DUMMYFUNCTION("""COMPUTED_VALUE"""),"preço")</f>
        <v>preço</v>
      </c>
      <c r="G156" s="8" t="str">
        <f t="shared" si="3"/>
        <v>1.0</v>
      </c>
      <c r="H156" s="9">
        <f t="shared" si="4"/>
        <v>1</v>
      </c>
      <c r="I156" s="10">
        <f>IFERROR(__xludf.DUMMYFUNCTION("MAX(FILTER($H$2:$H418,$E$2:$E418=F156))"),1.0)</f>
        <v>1</v>
      </c>
    </row>
    <row r="157">
      <c r="A157" s="4"/>
      <c r="C157" s="4" t="s">
        <v>1053</v>
      </c>
      <c r="D157" s="4" t="str">
        <f t="shared" si="1"/>
        <v>{"valorA":"satisfeita","valorB":1.0}</v>
      </c>
      <c r="E157" s="8" t="str">
        <f t="shared" si="2"/>
        <v>satisfeita</v>
      </c>
      <c r="F157" s="8" t="str">
        <f>IFERROR(__xludf.DUMMYFUNCTION("""COMPUTED_VALUE"""),"qualidade")</f>
        <v>qualidade</v>
      </c>
      <c r="G157" s="8" t="str">
        <f t="shared" si="3"/>
        <v>1.0</v>
      </c>
      <c r="H157" s="9">
        <f t="shared" si="4"/>
        <v>1</v>
      </c>
      <c r="I157" s="10">
        <f>IFERROR(__xludf.DUMMYFUNCTION("MAX(FILTER($H$2:$H418,$E$2:$E418=F157))"),1.0)</f>
        <v>1</v>
      </c>
    </row>
    <row r="158">
      <c r="A158" s="4"/>
      <c r="C158" s="4" t="s">
        <v>1054</v>
      </c>
      <c r="D158" s="4" t="str">
        <f t="shared" si="1"/>
        <v>{"valorA":"com","valorB":7.0}</v>
      </c>
      <c r="E158" s="8" t="str">
        <f t="shared" si="2"/>
        <v>com</v>
      </c>
      <c r="F158" s="8" t="str">
        <f>IFERROR(__xludf.DUMMYFUNCTION("""COMPUTED_VALUE"""),"leite")</f>
        <v>leite</v>
      </c>
      <c r="G158" s="8" t="str">
        <f t="shared" si="3"/>
        <v>7.0</v>
      </c>
      <c r="H158" s="9">
        <f t="shared" si="4"/>
        <v>7</v>
      </c>
      <c r="I158" s="10">
        <f>IFERROR(__xludf.DUMMYFUNCTION("MAX(FILTER($H$2:$H418,$E$2:$E418=F158))"),2.0)</f>
        <v>2</v>
      </c>
    </row>
    <row r="159">
      <c r="A159" s="4"/>
      <c r="C159" s="4" t="s">
        <v>1055</v>
      </c>
      <c r="D159" s="4" t="str">
        <f t="shared" si="1"/>
        <v>{"valorA":"dia","valorB":1.0}</v>
      </c>
      <c r="E159" s="8" t="str">
        <f t="shared" si="2"/>
        <v>dia</v>
      </c>
      <c r="F159" s="8" t="str">
        <f>IFERROR(__xludf.DUMMYFUNCTION("""COMPUTED_VALUE"""),"do")</f>
        <v>do</v>
      </c>
      <c r="G159" s="8" t="str">
        <f t="shared" si="3"/>
        <v>1.0</v>
      </c>
      <c r="H159" s="9">
        <f t="shared" si="4"/>
        <v>1</v>
      </c>
      <c r="I159" s="10">
        <f>IFERROR(__xludf.DUMMYFUNCTION("MAX(FILTER($H$2:$H418,$E$2:$E418=F159))"),1.0)</f>
        <v>1</v>
      </c>
    </row>
    <row r="160">
      <c r="A160" s="4"/>
      <c r="C160" s="4" t="s">
        <v>1056</v>
      </c>
      <c r="D160" s="4" t="str">
        <f t="shared" si="1"/>
        <v>{"valorA":"ótima","valorB":5.0}</v>
      </c>
      <c r="E160" s="8" t="str">
        <f t="shared" si="2"/>
        <v>ótima</v>
      </c>
      <c r="F160" s="8" t="str">
        <f>IFERROR(__xludf.DUMMYFUNCTION("""COMPUTED_VALUE"""),"realmente")</f>
        <v>realmente</v>
      </c>
      <c r="G160" s="8" t="str">
        <f t="shared" si="3"/>
        <v>5.0</v>
      </c>
      <c r="H160" s="9">
        <f t="shared" si="4"/>
        <v>5</v>
      </c>
      <c r="I160" s="10">
        <f>IFERROR(__xludf.DUMMYFUNCTION("MAX(FILTER($H$2:$H418,$E$2:$E418=F160))"),1.0)</f>
        <v>1</v>
      </c>
    </row>
    <row r="161">
      <c r="A161" s="4"/>
      <c r="C161" s="4" t="s">
        <v>1057</v>
      </c>
      <c r="D161" s="4" t="str">
        <f t="shared" si="1"/>
        <v>{"valorA":"primeiro","valorB":3.0}</v>
      </c>
      <c r="E161" s="8" t="str">
        <f t="shared" si="2"/>
        <v>primeiro</v>
      </c>
      <c r="F161" s="8" t="str">
        <f>IFERROR(__xludf.DUMMYFUNCTION("""COMPUTED_VALUE"""),"eletrônico")</f>
        <v>eletrônico</v>
      </c>
      <c r="G161" s="8" t="str">
        <f t="shared" si="3"/>
        <v>3.0</v>
      </c>
      <c r="H161" s="9">
        <f t="shared" si="4"/>
        <v>3</v>
      </c>
      <c r="I161" s="10">
        <f>IFERROR(__xludf.DUMMYFUNCTION("MAX(FILTER($H$2:$H418,$E$2:$E418=F161))"),1.0)</f>
        <v>1</v>
      </c>
    </row>
    <row r="162">
      <c r="A162" s="4"/>
      <c r="C162" s="4" t="s">
        <v>791</v>
      </c>
      <c r="D162" s="4" t="str">
        <f t="shared" si="1"/>
        <v>{"valorA":"o","valorB":9.0}</v>
      </c>
      <c r="E162" s="8" t="str">
        <f t="shared" si="2"/>
        <v>o</v>
      </c>
      <c r="F162" s="8" t="str">
        <f>IFERROR(__xludf.DUMMYFUNCTION("""COMPUTED_VALUE"""),"caixa")</f>
        <v>caixa</v>
      </c>
      <c r="G162" s="8" t="str">
        <f t="shared" si="3"/>
        <v>9.0</v>
      </c>
      <c r="H162" s="9">
        <f t="shared" si="4"/>
        <v>9</v>
      </c>
      <c r="I162" s="10">
        <f>IFERROR(__xludf.DUMMYFUNCTION("MAX(FILTER($H$2:$H418,$E$2:$E418=F162))"),1.0)</f>
        <v>1</v>
      </c>
    </row>
    <row r="163">
      <c r="A163" s="4"/>
      <c r="C163" s="4" t="s">
        <v>350</v>
      </c>
      <c r="D163" s="4" t="str">
        <f t="shared" si="1"/>
        <v>{"valorA":"de","valorB":7.0}</v>
      </c>
      <c r="E163" s="8" t="str">
        <f t="shared" si="2"/>
        <v>de</v>
      </c>
      <c r="F163" s="8" t="str">
        <f>IFERROR(__xludf.DUMMYFUNCTION("""COMPUTED_VALUE"""),"ele")</f>
        <v>ele</v>
      </c>
      <c r="G163" s="8" t="str">
        <f t="shared" si="3"/>
        <v>7.0</v>
      </c>
      <c r="H163" s="9">
        <f t="shared" si="4"/>
        <v>7</v>
      </c>
      <c r="I163" s="10">
        <f>IFERROR(__xludf.DUMMYFUNCTION("MAX(FILTER($H$2:$H418,$E$2:$E418=F163))"),1.0)</f>
        <v>1</v>
      </c>
    </row>
    <row r="164">
      <c r="A164" s="4"/>
      <c r="C164" s="4" t="s">
        <v>1058</v>
      </c>
      <c r="D164" s="4" t="str">
        <f t="shared" si="1"/>
        <v>{"valorA":"roupas","valorB":1.0}</v>
      </c>
      <c r="E164" s="8" t="str">
        <f t="shared" si="2"/>
        <v>roupas</v>
      </c>
      <c r="F164" s="8" t="str">
        <f>IFERROR(__xludf.DUMMYFUNCTION("""COMPUTED_VALUE"""),"comprei")</f>
        <v>comprei</v>
      </c>
      <c r="G164" s="8" t="str">
        <f t="shared" si="3"/>
        <v>1.0</v>
      </c>
      <c r="H164" s="9">
        <f t="shared" si="4"/>
        <v>1</v>
      </c>
      <c r="I164" s="10">
        <f>IFERROR(__xludf.DUMMYFUNCTION("MAX(FILTER($H$2:$H418,$E$2:$E418=F164))"),2.0)</f>
        <v>2</v>
      </c>
    </row>
    <row r="165">
      <c r="A165" s="4"/>
      <c r="C165" s="4" t="s">
        <v>1059</v>
      </c>
      <c r="D165" s="4" t="str">
        <f t="shared" si="1"/>
        <v>{"valorA":"desde","valorB":3.0}</v>
      </c>
      <c r="E165" s="8" t="str">
        <f t="shared" si="2"/>
        <v>desde</v>
      </c>
      <c r="F165" s="8" t="str">
        <f>IFERROR(__xludf.DUMMYFUNCTION("""COMPUTED_VALUE"""),"feliz")</f>
        <v>feliz</v>
      </c>
      <c r="G165" s="8" t="str">
        <f t="shared" si="3"/>
        <v>3.0</v>
      </c>
      <c r="H165" s="9">
        <f t="shared" si="4"/>
        <v>3</v>
      </c>
      <c r="I165" s="10">
        <f>IFERROR(__xludf.DUMMYFUNCTION("MAX(FILTER($H$2:$H418,$E$2:$E418=F165))"),1.0)</f>
        <v>1</v>
      </c>
    </row>
    <row r="166">
      <c r="A166" s="4"/>
      <c r="C166" s="4" t="s">
        <v>1060</v>
      </c>
      <c r="D166" s="4" t="str">
        <f t="shared" si="1"/>
        <v>{"valorA":"lavadora","valorB":4.0}</v>
      </c>
      <c r="E166" s="8" t="str">
        <f t="shared" si="2"/>
        <v>lavadora</v>
      </c>
      <c r="F166" s="8" t="str">
        <f>IFERROR(__xludf.DUMMYFUNCTION("""COMPUTED_VALUE"""),"estou")</f>
        <v>estou</v>
      </c>
      <c r="G166" s="8" t="str">
        <f t="shared" si="3"/>
        <v>4.0</v>
      </c>
      <c r="H166" s="9">
        <f t="shared" si="4"/>
        <v>4</v>
      </c>
      <c r="I166" s="10">
        <f>IFERROR(__xludf.DUMMYFUNCTION("MAX(FILTER($H$2:$H418,$E$2:$E418=F166))"),1.0)</f>
        <v>1</v>
      </c>
    </row>
    <row r="167">
      <c r="A167" s="4"/>
      <c r="C167" s="4" t="s">
        <v>189</v>
      </c>
      <c r="D167" s="4" t="str">
        <f t="shared" si="1"/>
        <v>{"valorA":"produto","valorB":2.0}</v>
      </c>
      <c r="E167" s="8" t="str">
        <f t="shared" si="2"/>
        <v>produto</v>
      </c>
      <c r="F167" s="8" t="str">
        <f>IFERROR(__xludf.DUMMYFUNCTION("""COMPUTED_VALUE"""),"já")</f>
        <v>já</v>
      </c>
      <c r="G167" s="8" t="str">
        <f t="shared" si="3"/>
        <v>2.0</v>
      </c>
      <c r="H167" s="9">
        <f t="shared" si="4"/>
        <v>2</v>
      </c>
      <c r="I167" s="10">
        <f>IFERROR(__xludf.DUMMYFUNCTION("MAX(FILTER($H$2:$H418,$E$2:$E418=F167))"),1.0)</f>
        <v>1</v>
      </c>
    </row>
    <row r="168">
      <c r="A168" s="4"/>
      <c r="C168" s="4" t="s">
        <v>638</v>
      </c>
      <c r="D168" s="4" t="str">
        <f t="shared" si="1"/>
        <v>{"valorA":"ótimo","valorB":15.0}</v>
      </c>
      <c r="E168" s="8" t="str">
        <f t="shared" si="2"/>
        <v>ótimo</v>
      </c>
      <c r="F168" s="8" t="str">
        <f>IFERROR(__xludf.DUMMYFUNCTION("""COMPUTED_VALUE"""),"final")</f>
        <v>final</v>
      </c>
      <c r="G168" s="8" t="str">
        <f t="shared" si="3"/>
        <v>15.0</v>
      </c>
      <c r="H168" s="9">
        <f t="shared" si="4"/>
        <v>15</v>
      </c>
      <c r="I168" s="10">
        <f>IFERROR(__xludf.DUMMYFUNCTION("MAX(FILTER($H$2:$H418,$E$2:$E418=F168))"),1.0)</f>
        <v>1</v>
      </c>
    </row>
    <row r="169">
      <c r="A169" s="4"/>
      <c r="C169" s="4" t="s">
        <v>338</v>
      </c>
      <c r="D169" s="4" t="str">
        <f t="shared" si="1"/>
        <v>{"valorA":"perfeitamente","valorB":5.0}</v>
      </c>
      <c r="E169" s="8" t="str">
        <f t="shared" si="2"/>
        <v>perfeitamente</v>
      </c>
      <c r="F169" s="8" t="str">
        <f>IFERROR(__xludf.DUMMYFUNCTION("""COMPUTED_VALUE"""),"no")</f>
        <v>no</v>
      </c>
      <c r="G169" s="8" t="str">
        <f t="shared" si="3"/>
        <v>5.0</v>
      </c>
      <c r="H169" s="9">
        <f t="shared" si="4"/>
        <v>5</v>
      </c>
      <c r="I169" s="10">
        <f>IFERROR(__xludf.DUMMYFUNCTION("MAX(FILTER($H$2:$H418,$E$2:$E418=F169))"),1.0)</f>
        <v>1</v>
      </c>
    </row>
    <row r="170">
      <c r="A170" s="4"/>
      <c r="C170" s="4" t="s">
        <v>246</v>
      </c>
      <c r="D170" s="4" t="str">
        <f t="shared" si="1"/>
        <v>{"valorA":"muito","valorB":4.0}</v>
      </c>
      <c r="E170" s="8" t="str">
        <f t="shared" si="2"/>
        <v>muito</v>
      </c>
      <c r="F170" s="8" t="str">
        <f>IFERROR(__xludf.DUMMYFUNCTION("""COMPUTED_VALUE"""),"prataria")</f>
        <v>prataria</v>
      </c>
      <c r="G170" s="8" t="str">
        <f t="shared" si="3"/>
        <v>4.0</v>
      </c>
      <c r="H170" s="9">
        <f t="shared" si="4"/>
        <v>4</v>
      </c>
      <c r="I170" s="10">
        <f>IFERROR(__xludf.DUMMYFUNCTION("MAX(FILTER($H$2:$H418,$E$2:$E418=F170))"),2.0)</f>
        <v>2</v>
      </c>
    </row>
    <row r="171">
      <c r="A171" s="4"/>
      <c r="C171" s="4" t="s">
        <v>263</v>
      </c>
      <c r="D171" s="4" t="str">
        <f t="shared" si="1"/>
        <v>{"valorA":"compra","valorB":1.0}</v>
      </c>
      <c r="E171" s="8" t="str">
        <f t="shared" si="2"/>
        <v>compra</v>
      </c>
      <c r="F171" s="8" t="str">
        <f>IFERROR(__xludf.DUMMYFUNCTION("""COMPUTED_VALUE"""),"semana")</f>
        <v>semana</v>
      </c>
      <c r="G171" s="8" t="str">
        <f t="shared" si="3"/>
        <v>1.0</v>
      </c>
      <c r="H171" s="9">
        <f t="shared" si="4"/>
        <v>1</v>
      </c>
      <c r="I171" s="10">
        <f>IFERROR(__xludf.DUMMYFUNCTION("MAX(FILTER($H$2:$H418,$E$2:$E418=F171))"),1.0)</f>
        <v>1</v>
      </c>
    </row>
    <row r="172">
      <c r="A172" s="4"/>
      <c r="C172" s="4" t="s">
        <v>342</v>
      </c>
      <c r="D172" s="4" t="str">
        <f t="shared" si="1"/>
        <v>{"valorA":"a","valorB":4.0}</v>
      </c>
      <c r="E172" s="8" t="str">
        <f t="shared" si="2"/>
        <v>a</v>
      </c>
      <c r="F172" s="8" t="str">
        <f>IFERROR(__xludf.DUMMYFUNCTION("""COMPUTED_VALUE"""),"novos")</f>
        <v>novos</v>
      </c>
      <c r="G172" s="8" t="str">
        <f t="shared" si="3"/>
        <v>4.0</v>
      </c>
      <c r="H172" s="9">
        <f t="shared" si="4"/>
        <v>4</v>
      </c>
      <c r="I172" s="10">
        <f>IFERROR(__xludf.DUMMYFUNCTION("MAX(FILTER($H$2:$H418,$E$2:$E418=F172))"),1.0)</f>
        <v>1</v>
      </c>
    </row>
    <row r="173">
      <c r="A173" s="4"/>
      <c r="C173" s="4" t="s">
        <v>324</v>
      </c>
      <c r="D173" s="4" t="str">
        <f t="shared" si="1"/>
        <v>{"valorA":"funciona","valorB":6.0}</v>
      </c>
      <c r="E173" s="8" t="str">
        <f t="shared" si="2"/>
        <v>funciona</v>
      </c>
      <c r="F173" s="8" t="str">
        <f>IFERROR(__xludf.DUMMYFUNCTION("""COMPUTED_VALUE"""),"usar")</f>
        <v>usar</v>
      </c>
      <c r="G173" s="8" t="str">
        <f t="shared" si="3"/>
        <v>6.0</v>
      </c>
      <c r="H173" s="9">
        <f t="shared" si="4"/>
        <v>6</v>
      </c>
      <c r="I173" s="10">
        <f>IFERROR(__xludf.DUMMYFUNCTION("MAX(FILTER($H$2:$H418,$E$2:$E418=F173))"),1.0)</f>
        <v>1</v>
      </c>
    </row>
    <row r="174">
      <c r="A174" s="4"/>
      <c r="C174" s="4" t="s">
        <v>1061</v>
      </c>
      <c r="D174" s="4" t="str">
        <f t="shared" si="1"/>
        <v>{"valorA":"sonoluz","valorB":1.0}</v>
      </c>
      <c r="E174" s="8" t="str">
        <f t="shared" si="2"/>
        <v>sonoluz</v>
      </c>
      <c r="F174" s="8" t="str">
        <f>IFERROR(__xludf.DUMMYFUNCTION("""COMPUTED_VALUE"""),"os")</f>
        <v>os</v>
      </c>
      <c r="G174" s="8" t="str">
        <f t="shared" si="3"/>
        <v>1.0</v>
      </c>
      <c r="H174" s="9">
        <f t="shared" si="4"/>
        <v>1</v>
      </c>
      <c r="I174" s="10">
        <f>IFERROR(__xludf.DUMMYFUNCTION("MAX(FILTER($H$2:$H418,$E$2:$E418=F174))"),1.0)</f>
        <v>1</v>
      </c>
    </row>
    <row r="175">
      <c r="A175" s="4"/>
      <c r="C175" s="4" t="s">
        <v>419</v>
      </c>
      <c r="D175" s="4" t="str">
        <f t="shared" si="1"/>
        <v>{"valorA":"para","valorB":6.0}</v>
      </c>
      <c r="E175" s="8" t="str">
        <f t="shared" si="2"/>
        <v>para</v>
      </c>
      <c r="F175" s="8" t="str">
        <f>IFERROR(__xludf.DUMMYFUNCTION("""COMPUTED_VALUE"""),"roupões")</f>
        <v>roupões</v>
      </c>
      <c r="G175" s="8" t="str">
        <f t="shared" si="3"/>
        <v>6.0</v>
      </c>
      <c r="H175" s="9">
        <f t="shared" si="4"/>
        <v>6</v>
      </c>
      <c r="I175" s="10">
        <f>IFERROR(__xludf.DUMMYFUNCTION("MAX(FILTER($H$2:$H418,$E$2:$E418=F175))"),1.0)</f>
        <v>1</v>
      </c>
    </row>
    <row r="176">
      <c r="A176" s="4"/>
      <c r="C176" s="4" t="s">
        <v>383</v>
      </c>
      <c r="D176" s="4" t="str">
        <f t="shared" si="1"/>
        <v>{"valorA":"recomendo","valorB":5.0}</v>
      </c>
      <c r="E176" s="8" t="str">
        <f t="shared" si="2"/>
        <v>recomendo</v>
      </c>
      <c r="F176" s="8" t="str">
        <f>IFERROR(__xludf.DUMMYFUNCTION("""COMPUTED_VALUE"""),"mesmo")</f>
        <v>mesmo</v>
      </c>
      <c r="G176" s="8" t="str">
        <f t="shared" si="3"/>
        <v>5.0</v>
      </c>
      <c r="H176" s="9">
        <f t="shared" si="4"/>
        <v>5</v>
      </c>
      <c r="I176" s="10">
        <f>IFERROR(__xludf.DUMMYFUNCTION("MAX(FILTER($H$2:$H418,$E$2:$E418=F176))"),1.0)</f>
        <v>1</v>
      </c>
    </row>
    <row r="177">
      <c r="A177" s="4"/>
      <c r="C177" s="4" t="s">
        <v>1062</v>
      </c>
      <c r="D177" s="4" t="str">
        <f t="shared" si="1"/>
        <v>{"valorA":"com","valorB":8.0}</v>
      </c>
      <c r="E177" s="8" t="str">
        <f t="shared" si="2"/>
        <v>com</v>
      </c>
      <c r="F177" s="8" t="str">
        <f>IFERROR(__xludf.DUMMYFUNCTION("""COMPUTED_VALUE"""),"vazadas")</f>
        <v>vazadas</v>
      </c>
      <c r="G177" s="8" t="str">
        <f t="shared" si="3"/>
        <v>8.0</v>
      </c>
      <c r="H177" s="9">
        <f t="shared" si="4"/>
        <v>8</v>
      </c>
      <c r="I177" s="10">
        <f>IFERROR(__xludf.DUMMYFUNCTION("MAX(FILTER($H$2:$H418,$E$2:$E418=F177))"),1.0)</f>
        <v>1</v>
      </c>
    </row>
    <row r="178">
      <c r="A178" s="4"/>
      <c r="C178" s="4" t="s">
        <v>1063</v>
      </c>
      <c r="D178" s="4" t="str">
        <f t="shared" si="1"/>
        <v>{"valorA":"lâmpada","valorB":1.0}</v>
      </c>
      <c r="E178" s="8" t="str">
        <f t="shared" si="2"/>
        <v>lâmpada</v>
      </c>
      <c r="F178" s="8" t="str">
        <f>IFERROR(__xludf.DUMMYFUNCTION("""COMPUTED_VALUE"""),"mantém")</f>
        <v>mantém</v>
      </c>
      <c r="G178" s="8" t="str">
        <f t="shared" si="3"/>
        <v>1.0</v>
      </c>
      <c r="H178" s="9">
        <f t="shared" si="4"/>
        <v>1</v>
      </c>
      <c r="I178" s="10">
        <f>IFERROR(__xludf.DUMMYFUNCTION("MAX(FILTER($H$2:$H418,$E$2:$E418=F178))"),1.0)</f>
        <v>1</v>
      </c>
    </row>
    <row r="179">
      <c r="A179" s="4"/>
      <c r="C179" s="4" t="s">
        <v>1064</v>
      </c>
      <c r="D179" s="4" t="str">
        <f t="shared" si="1"/>
        <v>{"valorA":"tecnologia","valorB":1.0}</v>
      </c>
      <c r="E179" s="8" t="str">
        <f t="shared" si="2"/>
        <v>tecnologia</v>
      </c>
      <c r="F179" s="8" t="str">
        <f>IFERROR(__xludf.DUMMYFUNCTION("""COMPUTED_VALUE"""),"equipamento")</f>
        <v>equipamento</v>
      </c>
      <c r="G179" s="8" t="str">
        <f t="shared" si="3"/>
        <v>1.0</v>
      </c>
      <c r="H179" s="9">
        <f t="shared" si="4"/>
        <v>1</v>
      </c>
      <c r="I179" s="10">
        <f>IFERROR(__xludf.DUMMYFUNCTION("MAX(FILTER($H$2:$H418,$E$2:$E418=F179))"),1.0)</f>
        <v>1</v>
      </c>
    </row>
    <row r="180">
      <c r="A180" s="4"/>
      <c r="C180" s="4" t="s">
        <v>1065</v>
      </c>
      <c r="D180" s="4" t="str">
        <f t="shared" si="1"/>
        <v>{"valorA":"condicionado","valorB":2.0}</v>
      </c>
      <c r="E180" s="8" t="str">
        <f t="shared" si="2"/>
        <v>condicionado</v>
      </c>
      <c r="F180" s="8" t="str">
        <f>IFERROR(__xludf.DUMMYFUNCTION("""COMPUTED_VALUE"""),"congelador")</f>
        <v>congelador</v>
      </c>
      <c r="G180" s="8" t="str">
        <f t="shared" si="3"/>
        <v>2.0</v>
      </c>
      <c r="H180" s="9">
        <f t="shared" si="4"/>
        <v>2</v>
      </c>
      <c r="I180" s="10">
        <f>IFERROR(__xludf.DUMMYFUNCTION("MAX(FILTER($H$2:$H418,$E$2:$E418=F180))"),1.0)</f>
        <v>1</v>
      </c>
    </row>
    <row r="181">
      <c r="A181" s="4"/>
      <c r="C181" s="4" t="s">
        <v>1066</v>
      </c>
      <c r="D181" s="4" t="str">
        <f t="shared" si="1"/>
        <v>{"valorA":"dormir","valorB":2.0}</v>
      </c>
      <c r="E181" s="8" t="str">
        <f t="shared" si="2"/>
        <v>dormir</v>
      </c>
      <c r="F181" s="8" t="str">
        <f>IFERROR(__xludf.DUMMYFUNCTION("""COMPUTED_VALUE"""),"geladeira")</f>
        <v>geladeira</v>
      </c>
      <c r="G181" s="8" t="str">
        <f t="shared" si="3"/>
        <v>2.0</v>
      </c>
      <c r="H181" s="9">
        <f t="shared" si="4"/>
        <v>2</v>
      </c>
      <c r="I181" s="10">
        <f>IFERROR(__xludf.DUMMYFUNCTION("MAX(FILTER($H$2:$H418,$E$2:$E418=F181))"),1.0)</f>
        <v>1</v>
      </c>
    </row>
    <row r="182">
      <c r="A182" s="4"/>
      <c r="C182" s="4" t="s">
        <v>1067</v>
      </c>
      <c r="D182" s="4" t="str">
        <f t="shared" si="1"/>
        <v>{"valorA":"ótima","valorB":6.0}</v>
      </c>
      <c r="E182" s="8" t="str">
        <f t="shared" si="2"/>
        <v>ótima</v>
      </c>
      <c r="F182" s="8"/>
      <c r="G182" s="8" t="str">
        <f t="shared" si="3"/>
        <v>6.0</v>
      </c>
      <c r="H182" s="9">
        <f t="shared" si="4"/>
        <v>6</v>
      </c>
      <c r="I182" s="6" t="str">
        <f>IFERROR(__xludf.DUMMYFUNCTION("MAX(FILTER($H$2:$H418,$E$2:$E418=F182))"),"#N/A")</f>
        <v>#N/A</v>
      </c>
    </row>
    <row r="183">
      <c r="A183" s="4"/>
      <c r="C183" s="4" t="s">
        <v>389</v>
      </c>
      <c r="D183" s="4" t="str">
        <f t="shared" si="1"/>
        <v>{"valorA":"de","valorB":8.0}</v>
      </c>
      <c r="E183" s="8" t="str">
        <f t="shared" si="2"/>
        <v>de</v>
      </c>
      <c r="F183" s="8"/>
      <c r="G183" s="8" t="str">
        <f t="shared" si="3"/>
        <v>8.0</v>
      </c>
      <c r="H183" s="9">
        <f t="shared" si="4"/>
        <v>8</v>
      </c>
      <c r="I183" s="6" t="str">
        <f>IFERROR(__xludf.DUMMYFUNCTION("MAX(FILTER($H$2:$H418,$E$2:$E418=F183))"),"#N/A")</f>
        <v>#N/A</v>
      </c>
    </row>
    <row r="184">
      <c r="A184" s="4"/>
      <c r="C184" s="4" t="s">
        <v>1068</v>
      </c>
      <c r="D184" s="4" t="str">
        <f t="shared" si="1"/>
        <v>{"valorA":"ar","valorB":2.0}</v>
      </c>
      <c r="E184" s="8" t="str">
        <f t="shared" si="2"/>
        <v>ar</v>
      </c>
      <c r="F184" s="8"/>
      <c r="G184" s="8" t="str">
        <f t="shared" si="3"/>
        <v>2.0</v>
      </c>
      <c r="H184" s="9">
        <f t="shared" si="4"/>
        <v>2</v>
      </c>
      <c r="I184" s="6" t="str">
        <f>IFERROR(__xludf.DUMMYFUNCTION("MAX(FILTER($H$2:$H418,$E$2:$E418=F184))"),"#N/A")</f>
        <v>#N/A</v>
      </c>
    </row>
    <row r="185">
      <c r="A185" s="4"/>
      <c r="C185" s="4" t="s">
        <v>1069</v>
      </c>
      <c r="D185" s="4" t="str">
        <f t="shared" si="1"/>
        <v>{"valorA":"funcional","valorB":1.0}</v>
      </c>
      <c r="E185" s="8" t="str">
        <f t="shared" si="2"/>
        <v>funcional</v>
      </c>
      <c r="F185" s="8"/>
      <c r="G185" s="8" t="str">
        <f t="shared" si="3"/>
        <v>1.0</v>
      </c>
      <c r="H185" s="9">
        <f t="shared" si="4"/>
        <v>1</v>
      </c>
      <c r="I185" s="6" t="str">
        <f>IFERROR(__xludf.DUMMYFUNCTION("MAX(FILTER($H$2:$H418,$E$2:$E418=F185))"),"#N/A")</f>
        <v>#N/A</v>
      </c>
    </row>
    <row r="186">
      <c r="A186" s="4"/>
      <c r="C186" s="4" t="s">
        <v>1070</v>
      </c>
      <c r="D186" s="4" t="str">
        <f t="shared" si="1"/>
        <v>{"valorA":"óptimo","valorB":3.0}</v>
      </c>
      <c r="E186" s="8" t="str">
        <f t="shared" si="2"/>
        <v>óptimo</v>
      </c>
      <c r="F186" s="8"/>
      <c r="G186" s="8" t="str">
        <f t="shared" si="3"/>
        <v>3.0</v>
      </c>
      <c r="H186" s="9">
        <f t="shared" si="4"/>
        <v>3</v>
      </c>
      <c r="I186" s="6" t="str">
        <f>IFERROR(__xludf.DUMMYFUNCTION("MAX(FILTER($H$2:$H418,$E$2:$E418=F186))"),"#N/A")</f>
        <v>#N/A</v>
      </c>
    </row>
    <row r="187">
      <c r="A187" s="4"/>
      <c r="C187" s="4" t="s">
        <v>585</v>
      </c>
      <c r="D187" s="4" t="str">
        <f t="shared" si="1"/>
        <v>{"valorA":"produto","valorB":3.0}</v>
      </c>
      <c r="E187" s="8" t="str">
        <f t="shared" si="2"/>
        <v>produto</v>
      </c>
      <c r="F187" s="8"/>
      <c r="G187" s="8" t="str">
        <f t="shared" si="3"/>
        <v>3.0</v>
      </c>
      <c r="H187" s="9">
        <f t="shared" si="4"/>
        <v>3</v>
      </c>
      <c r="I187" s="6" t="str">
        <f>IFERROR(__xludf.DUMMYFUNCTION("MAX(FILTER($H$2:$H418,$E$2:$E418=F187))"),"#N/A")</f>
        <v>#N/A</v>
      </c>
    </row>
    <row r="188">
      <c r="A188" s="4"/>
      <c r="C188" s="4" t="s">
        <v>645</v>
      </c>
      <c r="D188" s="4" t="str">
        <f t="shared" si="1"/>
        <v>{"valorA":"ótimo","valorB":16.0}</v>
      </c>
      <c r="E188" s="8" t="str">
        <f t="shared" si="2"/>
        <v>ótimo</v>
      </c>
      <c r="F188" s="8"/>
      <c r="G188" s="8" t="str">
        <f t="shared" si="3"/>
        <v>16.0</v>
      </c>
      <c r="H188" s="9">
        <f t="shared" si="4"/>
        <v>16</v>
      </c>
      <c r="I188" s="6" t="str">
        <f>IFERROR(__xludf.DUMMYFUNCTION("MAX(FILTER($H$2:$H418,$E$2:$E418=F188))"),"#N/A")</f>
        <v>#N/A</v>
      </c>
    </row>
    <row r="189">
      <c r="A189" s="4"/>
      <c r="C189" s="4" t="s">
        <v>262</v>
      </c>
      <c r="D189" s="4" t="str">
        <f t="shared" si="1"/>
        <v>{"valorA":"muito","valorB":5.0}</v>
      </c>
      <c r="E189" s="8" t="str">
        <f t="shared" si="2"/>
        <v>muito</v>
      </c>
      <c r="F189" s="8"/>
      <c r="G189" s="8" t="str">
        <f t="shared" si="3"/>
        <v>5.0</v>
      </c>
      <c r="H189" s="9">
        <f t="shared" si="4"/>
        <v>5</v>
      </c>
      <c r="I189" s="6" t="str">
        <f>IFERROR(__xludf.DUMMYFUNCTION("MAX(FILTER($H$2:$H418,$E$2:$E418=F189))"),"#N/A")</f>
        <v>#N/A</v>
      </c>
    </row>
    <row r="190">
      <c r="A190" s="4"/>
      <c r="C190" s="4" t="s">
        <v>617</v>
      </c>
      <c r="D190" s="4" t="str">
        <f t="shared" si="1"/>
        <v>{"valorA":"todos","valorB":1.0}</v>
      </c>
      <c r="E190" s="8" t="str">
        <f t="shared" si="2"/>
        <v>todos</v>
      </c>
      <c r="F190" s="8"/>
      <c r="G190" s="8" t="str">
        <f t="shared" si="3"/>
        <v>1.0</v>
      </c>
      <c r="H190" s="9">
        <f t="shared" si="4"/>
        <v>1</v>
      </c>
      <c r="I190" s="6" t="str">
        <f>IFERROR(__xludf.DUMMYFUNCTION("MAX(FILTER($H$2:$H418,$E$2:$E418=F190))"),"#N/A")</f>
        <v>#N/A</v>
      </c>
    </row>
    <row r="191">
      <c r="A191" s="4"/>
      <c r="C191" s="4" t="s">
        <v>1071</v>
      </c>
      <c r="D191" s="4" t="str">
        <f t="shared" si="1"/>
        <v>{"valorA":"sistema","valorB":2.0}</v>
      </c>
      <c r="E191" s="8" t="str">
        <f t="shared" si="2"/>
        <v>sistema</v>
      </c>
      <c r="F191" s="8"/>
      <c r="G191" s="8" t="str">
        <f t="shared" si="3"/>
        <v>2.0</v>
      </c>
      <c r="H191" s="9">
        <f t="shared" si="4"/>
        <v>2</v>
      </c>
      <c r="I191" s="6" t="str">
        <f>IFERROR(__xludf.DUMMYFUNCTION("MAX(FILTER($H$2:$H418,$E$2:$E418=F191))"),"#N/A")</f>
        <v>#N/A</v>
      </c>
    </row>
    <row r="192">
      <c r="A192" s="4"/>
      <c r="C192" s="4" t="s">
        <v>489</v>
      </c>
      <c r="D192" s="4" t="str">
        <f t="shared" si="1"/>
        <v>{"valorA":"a","valorB":6.0}</v>
      </c>
      <c r="E192" s="8" t="str">
        <f t="shared" si="2"/>
        <v>a</v>
      </c>
      <c r="F192" s="8"/>
      <c r="G192" s="8" t="str">
        <f t="shared" si="3"/>
        <v>6.0</v>
      </c>
      <c r="H192" s="9">
        <f t="shared" si="4"/>
        <v>6</v>
      </c>
      <c r="I192" s="6" t="str">
        <f>IFERROR(__xludf.DUMMYFUNCTION("MAX(FILTER($H$2:$H418,$E$2:$E418=F192))"),"#N/A")</f>
        <v>#N/A</v>
      </c>
    </row>
    <row r="193">
      <c r="A193" s="4"/>
      <c r="C193" s="4" t="s">
        <v>323</v>
      </c>
      <c r="D193" s="4" t="str">
        <f t="shared" si="1"/>
        <v>{"valorA":"da","valorB":1.0}</v>
      </c>
      <c r="E193" s="8" t="str">
        <f t="shared" si="2"/>
        <v>da</v>
      </c>
      <c r="F193" s="8"/>
      <c r="G193" s="8" t="str">
        <f t="shared" si="3"/>
        <v>1.0</v>
      </c>
      <c r="H193" s="9">
        <f t="shared" si="4"/>
        <v>1</v>
      </c>
      <c r="I193" s="6" t="str">
        <f>IFERROR(__xludf.DUMMYFUNCTION("MAX(FILTER($H$2:$H418,$E$2:$E418=F193))"),"#N/A")</f>
        <v>#N/A</v>
      </c>
    </row>
    <row r="194">
      <c r="A194" s="4"/>
      <c r="C194" s="4" t="s">
        <v>198</v>
      </c>
      <c r="D194" s="4" t="str">
        <f t="shared" si="1"/>
        <v>{"valorA":"comentário","valorB":1.0}</v>
      </c>
      <c r="E194" s="8" t="str">
        <f t="shared" si="2"/>
        <v>comentário</v>
      </c>
      <c r="F194" s="8"/>
      <c r="G194" s="8" t="str">
        <f t="shared" si="3"/>
        <v>1.0</v>
      </c>
      <c r="H194" s="9">
        <f t="shared" si="4"/>
        <v>1</v>
      </c>
      <c r="I194" s="6" t="str">
        <f>IFERROR(__xludf.DUMMYFUNCTION("MAX(FILTER($H$2:$H418,$E$2:$E418=F194))"),"#N/A")</f>
        <v>#N/A</v>
      </c>
    </row>
    <row r="195">
      <c r="A195" s="4"/>
      <c r="C195" s="4" t="s">
        <v>422</v>
      </c>
      <c r="D195" s="4" t="str">
        <f t="shared" si="1"/>
        <v>{"valorA":"recomendo","valorB":6.0}</v>
      </c>
      <c r="E195" s="8" t="str">
        <f t="shared" si="2"/>
        <v>recomendo</v>
      </c>
      <c r="F195" s="8"/>
      <c r="G195" s="8" t="str">
        <f t="shared" si="3"/>
        <v>6.0</v>
      </c>
      <c r="H195" s="9">
        <f t="shared" si="4"/>
        <v>6</v>
      </c>
      <c r="I195" s="6" t="str">
        <f>IFERROR(__xludf.DUMMYFUNCTION("MAX(FILTER($H$2:$H418,$E$2:$E418=F195))"),"#N/A")</f>
        <v>#N/A</v>
      </c>
    </row>
    <row r="196">
      <c r="A196" s="4"/>
      <c r="C196" s="4" t="s">
        <v>1072</v>
      </c>
      <c r="D196" s="4" t="str">
        <f t="shared" si="1"/>
        <v>{"valorA":"hotel","valorB":1.0}</v>
      </c>
      <c r="E196" s="8" t="str">
        <f t="shared" si="2"/>
        <v>hotel</v>
      </c>
      <c r="F196" s="8"/>
      <c r="G196" s="8" t="str">
        <f t="shared" si="3"/>
        <v>1.0</v>
      </c>
      <c r="H196" s="9">
        <f t="shared" si="4"/>
        <v>1</v>
      </c>
      <c r="I196" s="6" t="str">
        <f>IFERROR(__xludf.DUMMYFUNCTION("MAX(FILTER($H$2:$H418,$E$2:$E418=F196))"),"#N/A")</f>
        <v>#N/A</v>
      </c>
    </row>
    <row r="197">
      <c r="A197" s="4"/>
      <c r="C197" s="4" t="s">
        <v>634</v>
      </c>
      <c r="D197" s="4" t="str">
        <f t="shared" si="1"/>
        <v>{"valorA":"bem","valorB":2.0}</v>
      </c>
      <c r="E197" s="8" t="str">
        <f t="shared" si="2"/>
        <v>bem</v>
      </c>
      <c r="F197" s="8"/>
      <c r="G197" s="8" t="str">
        <f t="shared" si="3"/>
        <v>2.0</v>
      </c>
      <c r="H197" s="9">
        <f t="shared" si="4"/>
        <v>2</v>
      </c>
      <c r="I197" s="6" t="str">
        <f>IFERROR(__xludf.DUMMYFUNCTION("MAX(FILTER($H$2:$H418,$E$2:$E418=F197))"),"#N/A")</f>
        <v>#N/A</v>
      </c>
    </row>
    <row r="198">
      <c r="A198" s="4"/>
      <c r="C198" s="4" t="s">
        <v>424</v>
      </c>
      <c r="D198" s="4" t="str">
        <f t="shared" si="1"/>
        <v>{"valorA":"pele","valorB":1.0}</v>
      </c>
      <c r="E198" s="8" t="str">
        <f t="shared" si="2"/>
        <v>pele</v>
      </c>
      <c r="F198" s="8"/>
      <c r="G198" s="8" t="str">
        <f t="shared" si="3"/>
        <v>1.0</v>
      </c>
      <c r="H198" s="9">
        <f t="shared" si="4"/>
        <v>1</v>
      </c>
      <c r="I198" s="6" t="str">
        <f>IFERROR(__xludf.DUMMYFUNCTION("MAX(FILTER($H$2:$H418,$E$2:$E418=F198))"),"#N/A")</f>
        <v>#N/A</v>
      </c>
    </row>
    <row r="199">
      <c r="A199" s="4"/>
      <c r="C199" s="4" t="s">
        <v>1073</v>
      </c>
      <c r="D199" s="4" t="str">
        <f t="shared" si="1"/>
        <v>{"valorA":"aplicado","valorB":1.0}</v>
      </c>
      <c r="E199" s="8" t="str">
        <f t="shared" si="2"/>
        <v>aplicado</v>
      </c>
      <c r="F199" s="8"/>
      <c r="G199" s="8" t="str">
        <f t="shared" si="3"/>
        <v>1.0</v>
      </c>
      <c r="H199" s="9">
        <f t="shared" si="4"/>
        <v>1</v>
      </c>
      <c r="I199" s="6" t="str">
        <f>IFERROR(__xludf.DUMMYFUNCTION("MAX(FILTER($H$2:$H418,$E$2:$E418=F199))"),"#N/A")</f>
        <v>#N/A</v>
      </c>
    </row>
    <row r="200">
      <c r="A200" s="4"/>
      <c r="C200" s="4" t="s">
        <v>666</v>
      </c>
      <c r="D200" s="4" t="str">
        <f t="shared" si="1"/>
        <v>{"valorA":"e","valorB":7.0}</v>
      </c>
      <c r="E200" s="8" t="str">
        <f t="shared" si="2"/>
        <v>e</v>
      </c>
      <c r="F200" s="8"/>
      <c r="G200" s="8" t="str">
        <f t="shared" si="3"/>
        <v>7.0</v>
      </c>
      <c r="H200" s="9">
        <f t="shared" si="4"/>
        <v>7</v>
      </c>
      <c r="I200" s="6" t="str">
        <f>IFERROR(__xludf.DUMMYFUNCTION("MAX(FILTER($H$2:$H418,$E$2:$E418=F200))"),"#N/A")</f>
        <v>#N/A</v>
      </c>
    </row>
    <row r="201">
      <c r="A201" s="4"/>
      <c r="C201" s="4" t="s">
        <v>815</v>
      </c>
      <c r="D201" s="4" t="str">
        <f t="shared" si="1"/>
        <v>{"valorA":"o","valorB":10.0}</v>
      </c>
      <c r="E201" s="8" t="str">
        <f t="shared" si="2"/>
        <v>o</v>
      </c>
      <c r="F201" s="8"/>
      <c r="G201" s="8" t="str">
        <f t="shared" si="3"/>
        <v>10.0</v>
      </c>
      <c r="H201" s="9">
        <f t="shared" si="4"/>
        <v>10</v>
      </c>
      <c r="I201" s="6" t="str">
        <f>IFERROR(__xludf.DUMMYFUNCTION("MAX(FILTER($H$2:$H418,$E$2:$E418=F201))"),"#N/A")</f>
        <v>#N/A</v>
      </c>
    </row>
    <row r="202">
      <c r="A202" s="4"/>
      <c r="C202" s="4" t="s">
        <v>410</v>
      </c>
      <c r="D202" s="4" t="str">
        <f t="shared" si="1"/>
        <v>{"valorA":"de","valorB":9.0}</v>
      </c>
      <c r="E202" s="8" t="str">
        <f t="shared" si="2"/>
        <v>de</v>
      </c>
      <c r="F202" s="8"/>
      <c r="G202" s="8" t="str">
        <f t="shared" si="3"/>
        <v>9.0</v>
      </c>
      <c r="H202" s="9">
        <f t="shared" si="4"/>
        <v>9</v>
      </c>
      <c r="I202" s="6" t="str">
        <f>IFERROR(__xludf.DUMMYFUNCTION("MAX(FILTER($H$2:$H418,$E$2:$E418=F202))"),"#N/A")</f>
        <v>#N/A</v>
      </c>
    </row>
    <row r="203">
      <c r="A203" s="4"/>
      <c r="C203" s="4" t="s">
        <v>1074</v>
      </c>
      <c r="D203" s="4" t="str">
        <f t="shared" si="1"/>
        <v>{"valorA":"irrita","valorB":1.0}</v>
      </c>
      <c r="E203" s="8" t="str">
        <f t="shared" si="2"/>
        <v>irrita</v>
      </c>
      <c r="F203" s="8"/>
      <c r="G203" s="8" t="str">
        <f t="shared" si="3"/>
        <v>1.0</v>
      </c>
      <c r="H203" s="9">
        <f t="shared" si="4"/>
        <v>1</v>
      </c>
      <c r="I203" s="6" t="str">
        <f>IFERROR(__xludf.DUMMYFUNCTION("MAX(FILTER($H$2:$H418,$E$2:$E418=F203))"),"#N/A")</f>
        <v>#N/A</v>
      </c>
    </row>
    <row r="204">
      <c r="A204" s="4"/>
      <c r="C204" s="4" t="s">
        <v>1075</v>
      </c>
      <c r="D204" s="4" t="str">
        <f t="shared" si="1"/>
        <v>{"valorA":"fica","valorB":1.0}</v>
      </c>
      <c r="E204" s="8" t="str">
        <f t="shared" si="2"/>
        <v>fica</v>
      </c>
      <c r="F204" s="8"/>
      <c r="G204" s="8" t="str">
        <f t="shared" si="3"/>
        <v>1.0</v>
      </c>
      <c r="H204" s="9">
        <f t="shared" si="4"/>
        <v>1</v>
      </c>
      <c r="I204" s="6" t="str">
        <f>IFERROR(__xludf.DUMMYFUNCTION("MAX(FILTER($H$2:$H418,$E$2:$E418=F204))"),"#N/A")</f>
        <v>#N/A</v>
      </c>
    </row>
    <row r="205">
      <c r="A205" s="4"/>
      <c r="C205" s="4" t="s">
        <v>1076</v>
      </c>
      <c r="D205" s="4" t="str">
        <f t="shared" si="1"/>
        <v>{"valorA":"óptimo","valorB":4.0}</v>
      </c>
      <c r="E205" s="8" t="str">
        <f t="shared" si="2"/>
        <v>óptimo</v>
      </c>
      <c r="F205" s="8"/>
      <c r="G205" s="8" t="str">
        <f t="shared" si="3"/>
        <v>4.0</v>
      </c>
      <c r="H205" s="9">
        <f t="shared" si="4"/>
        <v>4</v>
      </c>
      <c r="I205" s="6" t="str">
        <f>IFERROR(__xludf.DUMMYFUNCTION("MAX(FILTER($H$2:$H418,$E$2:$E418=F205))"),"#N/A")</f>
        <v>#N/A</v>
      </c>
    </row>
    <row r="206">
      <c r="A206" s="4"/>
      <c r="C206" s="4" t="s">
        <v>1077</v>
      </c>
      <c r="D206" s="4" t="str">
        <f t="shared" si="1"/>
        <v>{"valorA":"barba","valorB":1.0}</v>
      </c>
      <c r="E206" s="8" t="str">
        <f t="shared" si="2"/>
        <v>barba</v>
      </c>
      <c r="F206" s="8"/>
      <c r="G206" s="8" t="str">
        <f t="shared" si="3"/>
        <v>1.0</v>
      </c>
      <c r="H206" s="9">
        <f t="shared" si="4"/>
        <v>1</v>
      </c>
      <c r="I206" s="6" t="str">
        <f>IFERROR(__xludf.DUMMYFUNCTION("MAX(FILTER($H$2:$H418,$E$2:$E418=F206))"),"#N/A")</f>
        <v>#N/A</v>
      </c>
    </row>
    <row r="207">
      <c r="A207" s="4"/>
      <c r="C207" s="4" t="s">
        <v>284</v>
      </c>
      <c r="D207" s="4" t="str">
        <f t="shared" si="1"/>
        <v>{"valorA":"ótimo","valorB":17.0}</v>
      </c>
      <c r="E207" s="8" t="str">
        <f t="shared" si="2"/>
        <v>ótimo</v>
      </c>
      <c r="F207" s="8"/>
      <c r="G207" s="8" t="str">
        <f t="shared" si="3"/>
        <v>17.0</v>
      </c>
      <c r="H207" s="9">
        <f t="shared" si="4"/>
        <v>17</v>
      </c>
      <c r="I207" s="6" t="str">
        <f>IFERROR(__xludf.DUMMYFUNCTION("MAX(FILTER($H$2:$H418,$E$2:$E418=F207))"),"#N/A")</f>
        <v>#N/A</v>
      </c>
    </row>
    <row r="208">
      <c r="A208" s="4"/>
      <c r="C208" s="4" t="s">
        <v>299</v>
      </c>
      <c r="D208" s="4" t="str">
        <f t="shared" si="1"/>
        <v>{"valorA":"cabelo","valorB":1.0}</v>
      </c>
      <c r="E208" s="8" t="str">
        <f t="shared" si="2"/>
        <v>cabelo</v>
      </c>
      <c r="F208" s="8"/>
      <c r="G208" s="8" t="str">
        <f t="shared" si="3"/>
        <v>1.0</v>
      </c>
      <c r="H208" s="9">
        <f t="shared" si="4"/>
        <v>1</v>
      </c>
      <c r="I208" s="6" t="str">
        <f>IFERROR(__xludf.DUMMYFUNCTION("MAX(FILTER($H$2:$H418,$E$2:$E418=F208))"),"#N/A")</f>
        <v>#N/A</v>
      </c>
    </row>
    <row r="209">
      <c r="A209" s="4"/>
      <c r="C209" s="4" t="s">
        <v>1078</v>
      </c>
      <c r="D209" s="4" t="str">
        <f t="shared" si="1"/>
        <v>{"valorA":"leito","valorB":1.0}</v>
      </c>
      <c r="E209" s="8" t="str">
        <f t="shared" si="2"/>
        <v>leito</v>
      </c>
      <c r="F209" s="8"/>
      <c r="G209" s="8" t="str">
        <f t="shared" si="3"/>
        <v>1.0</v>
      </c>
      <c r="H209" s="9">
        <f t="shared" si="4"/>
        <v>1</v>
      </c>
      <c r="I209" s="6" t="str">
        <f>IFERROR(__xludf.DUMMYFUNCTION("MAX(FILTER($H$2:$H418,$E$2:$E418=F209))"),"#N/A")</f>
        <v>#N/A</v>
      </c>
    </row>
    <row r="210">
      <c r="A210" s="4"/>
      <c r="C210" s="4" t="s">
        <v>1079</v>
      </c>
      <c r="D210" s="4" t="str">
        <f t="shared" si="1"/>
        <v>{"valorA":"deste","valorB":1.0}</v>
      </c>
      <c r="E210" s="8" t="str">
        <f t="shared" si="2"/>
        <v>deste</v>
      </c>
      <c r="F210" s="8"/>
      <c r="G210" s="8" t="str">
        <f t="shared" si="3"/>
        <v>1.0</v>
      </c>
      <c r="H210" s="9">
        <f t="shared" si="4"/>
        <v>1</v>
      </c>
      <c r="I210" s="6" t="str">
        <f>IFERROR(__xludf.DUMMYFUNCTION("MAX(FILTER($H$2:$H418,$E$2:$E418=F210))"),"#N/A")</f>
        <v>#N/A</v>
      </c>
    </row>
    <row r="211">
      <c r="A211" s="4"/>
      <c r="C211" s="4" t="s">
        <v>630</v>
      </c>
      <c r="D211" s="4" t="str">
        <f t="shared" si="1"/>
        <v>{"valorA":"a","valorB":7.0}</v>
      </c>
      <c r="E211" s="8" t="str">
        <f t="shared" si="2"/>
        <v>a</v>
      </c>
      <c r="F211" s="8"/>
      <c r="G211" s="8" t="str">
        <f t="shared" si="3"/>
        <v>7.0</v>
      </c>
      <c r="H211" s="9">
        <f t="shared" si="4"/>
        <v>7</v>
      </c>
      <c r="I211" s="6" t="str">
        <f>IFERROR(__xludf.DUMMYFUNCTION("MAX(FILTER($H$2:$H418,$E$2:$E418=F211))"),"#N/A")</f>
        <v>#N/A</v>
      </c>
    </row>
    <row r="212">
      <c r="A212" s="4"/>
      <c r="C212" s="4" t="s">
        <v>1080</v>
      </c>
      <c r="D212" s="4" t="str">
        <f t="shared" si="1"/>
        <v>{"valorA":"confortável","valorB":2.0}</v>
      </c>
      <c r="E212" s="8" t="str">
        <f t="shared" si="2"/>
        <v>confortável</v>
      </c>
      <c r="F212" s="8"/>
      <c r="G212" s="8" t="str">
        <f t="shared" si="3"/>
        <v>2.0</v>
      </c>
      <c r="H212" s="9">
        <f t="shared" si="4"/>
        <v>2</v>
      </c>
      <c r="I212" s="6" t="str">
        <f>IFERROR(__xludf.DUMMYFUNCTION("MAX(FILTER($H$2:$H418,$E$2:$E418=F212))"),"#N/A")</f>
        <v>#N/A</v>
      </c>
    </row>
    <row r="213">
      <c r="A213" s="4"/>
      <c r="C213" s="4" t="s">
        <v>582</v>
      </c>
      <c r="D213" s="4" t="str">
        <f t="shared" si="1"/>
        <v>{"valorA":"não","valorB":1.0}</v>
      </c>
      <c r="E213" s="8" t="str">
        <f t="shared" si="2"/>
        <v>não</v>
      </c>
      <c r="F213" s="8"/>
      <c r="G213" s="8" t="str">
        <f t="shared" si="3"/>
        <v>1.0</v>
      </c>
      <c r="H213" s="9">
        <f t="shared" si="4"/>
        <v>1</v>
      </c>
      <c r="I213" s="6" t="str">
        <f>IFERROR(__xludf.DUMMYFUNCTION("MAX(FILTER($H$2:$H418,$E$2:$E418=F213))"),"#N/A")</f>
        <v>#N/A</v>
      </c>
    </row>
    <row r="214">
      <c r="A214" s="4"/>
      <c r="C214" s="4" t="s">
        <v>678</v>
      </c>
      <c r="D214" s="4" t="str">
        <f t="shared" si="1"/>
        <v>{"valorA":"para","valorB":8.0}</v>
      </c>
      <c r="E214" s="8" t="str">
        <f t="shared" si="2"/>
        <v>para</v>
      </c>
      <c r="F214" s="8"/>
      <c r="G214" s="8" t="str">
        <f t="shared" si="3"/>
        <v>8.0</v>
      </c>
      <c r="H214" s="9">
        <f t="shared" si="4"/>
        <v>8</v>
      </c>
      <c r="I214" s="6" t="str">
        <f>IFERROR(__xludf.DUMMYFUNCTION("MAX(FILTER($H$2:$H418,$E$2:$E418=F214))"),"#N/A")</f>
        <v>#N/A</v>
      </c>
    </row>
    <row r="215">
      <c r="A215" s="4"/>
      <c r="C215" s="4" t="s">
        <v>850</v>
      </c>
      <c r="D215" s="4" t="str">
        <f t="shared" si="1"/>
        <v>{"valorA":"comentário","valorB":2.0}</v>
      </c>
      <c r="E215" s="8" t="str">
        <f t="shared" si="2"/>
        <v>comentário</v>
      </c>
      <c r="F215" s="8"/>
      <c r="G215" s="8" t="str">
        <f t="shared" si="3"/>
        <v>2.0</v>
      </c>
      <c r="H215" s="9">
        <f t="shared" si="4"/>
        <v>2</v>
      </c>
      <c r="I215" s="6" t="str">
        <f>IFERROR(__xludf.DUMMYFUNCTION("MAX(FILTER($H$2:$H418,$E$2:$E418=F215))"),"#N/A")</f>
        <v>#N/A</v>
      </c>
    </row>
    <row r="216">
      <c r="A216" s="4"/>
      <c r="C216" s="4" t="s">
        <v>1081</v>
      </c>
      <c r="D216" s="4" t="str">
        <f t="shared" si="1"/>
        <v>{"valorA":"computador","valorB":1.0}</v>
      </c>
      <c r="E216" s="8" t="str">
        <f t="shared" si="2"/>
        <v>computador</v>
      </c>
      <c r="F216" s="8"/>
      <c r="G216" s="8" t="str">
        <f t="shared" si="3"/>
        <v>1.0</v>
      </c>
      <c r="H216" s="9">
        <f t="shared" si="4"/>
        <v>1</v>
      </c>
      <c r="I216" s="6" t="str">
        <f>IFERROR(__xludf.DUMMYFUNCTION("MAX(FILTER($H$2:$H418,$E$2:$E418=F216))"),"#N/A")</f>
        <v>#N/A</v>
      </c>
    </row>
    <row r="217">
      <c r="A217" s="4"/>
      <c r="C217" s="4" t="s">
        <v>692</v>
      </c>
      <c r="D217" s="4" t="str">
        <f t="shared" si="1"/>
        <v>{"valorA":"precisa","valorB":1.0}</v>
      </c>
      <c r="E217" s="8" t="str">
        <f t="shared" si="2"/>
        <v>precisa</v>
      </c>
      <c r="F217" s="8"/>
      <c r="G217" s="8" t="str">
        <f t="shared" si="3"/>
        <v>1.0</v>
      </c>
      <c r="H217" s="9">
        <f t="shared" si="4"/>
        <v>1</v>
      </c>
      <c r="I217" s="6" t="str">
        <f>IFERROR(__xludf.DUMMYFUNCTION("MAX(FILTER($H$2:$H418,$E$2:$E418=F217))"),"#N/A")</f>
        <v>#N/A</v>
      </c>
    </row>
    <row r="218">
      <c r="A218" s="4"/>
      <c r="C218" s="4" t="s">
        <v>1082</v>
      </c>
      <c r="D218" s="4" t="str">
        <f t="shared" si="1"/>
        <v>{"valorA":"coisas","valorB":1.0}</v>
      </c>
      <c r="E218" s="8" t="str">
        <f t="shared" si="2"/>
        <v>coisas</v>
      </c>
      <c r="F218" s="8"/>
      <c r="G218" s="8" t="str">
        <f t="shared" si="3"/>
        <v>1.0</v>
      </c>
      <c r="H218" s="9">
        <f t="shared" si="4"/>
        <v>1</v>
      </c>
      <c r="I218" s="6" t="str">
        <f>IFERROR(__xludf.DUMMYFUNCTION("MAX(FILTER($H$2:$H418,$E$2:$E418=F218))"),"#N/A")</f>
        <v>#N/A</v>
      </c>
    </row>
    <row r="219">
      <c r="A219" s="4"/>
      <c r="C219" s="4" t="s">
        <v>200</v>
      </c>
      <c r="D219" s="4" t="str">
        <f t="shared" si="1"/>
        <v>{"valorA":"meu","valorB":1.0}</v>
      </c>
      <c r="E219" s="8" t="str">
        <f t="shared" si="2"/>
        <v>meu</v>
      </c>
      <c r="F219" s="8"/>
      <c r="G219" s="8" t="str">
        <f t="shared" si="3"/>
        <v>1.0</v>
      </c>
      <c r="H219" s="9">
        <f t="shared" si="4"/>
        <v>1</v>
      </c>
      <c r="I219" s="6" t="str">
        <f>IFERROR(__xludf.DUMMYFUNCTION("MAX(FILTER($H$2:$H418,$E$2:$E418=F219))"),"#N/A")</f>
        <v>#N/A</v>
      </c>
    </row>
    <row r="220">
      <c r="A220" s="4"/>
      <c r="C220" s="4" t="s">
        <v>665</v>
      </c>
      <c r="D220" s="4" t="str">
        <f t="shared" si="1"/>
        <v>{"valorA":"quem","valorB":2.0}</v>
      </c>
      <c r="E220" s="8" t="str">
        <f t="shared" si="2"/>
        <v>quem</v>
      </c>
      <c r="F220" s="8"/>
      <c r="G220" s="8" t="str">
        <f t="shared" si="3"/>
        <v>2.0</v>
      </c>
      <c r="H220" s="9">
        <f t="shared" si="4"/>
        <v>2</v>
      </c>
      <c r="I220" s="6" t="str">
        <f>IFERROR(__xludf.DUMMYFUNCTION("MAX(FILTER($H$2:$H418,$E$2:$E418=F220))"),"#N/A")</f>
        <v>#N/A</v>
      </c>
    </row>
    <row r="221">
      <c r="A221" s="4"/>
      <c r="C221" s="4" t="s">
        <v>427</v>
      </c>
      <c r="D221" s="4" t="str">
        <f t="shared" si="1"/>
        <v>{"valorA":"de","valorB":10.0}</v>
      </c>
      <c r="E221" s="8" t="str">
        <f t="shared" si="2"/>
        <v>de</v>
      </c>
      <c r="F221" s="8"/>
      <c r="G221" s="8" t="str">
        <f t="shared" si="3"/>
        <v>10.0</v>
      </c>
      <c r="H221" s="9">
        <f t="shared" si="4"/>
        <v>10</v>
      </c>
      <c r="I221" s="6" t="str">
        <f>IFERROR(__xludf.DUMMYFUNCTION("MAX(FILTER($H$2:$H418,$E$2:$E418=F221))"),"#N/A")</f>
        <v>#N/A</v>
      </c>
    </row>
    <row r="222">
      <c r="A222" s="4"/>
      <c r="C222" s="4" t="s">
        <v>387</v>
      </c>
      <c r="D222" s="4" t="str">
        <f t="shared" si="1"/>
        <v>{"valorA":"e","valorB":8.0}</v>
      </c>
      <c r="E222" s="8" t="str">
        <f t="shared" si="2"/>
        <v>e</v>
      </c>
      <c r="F222" s="8"/>
      <c r="G222" s="8" t="str">
        <f t="shared" si="3"/>
        <v>8.0</v>
      </c>
      <c r="H222" s="9">
        <f t="shared" si="4"/>
        <v>8</v>
      </c>
      <c r="I222" s="6" t="str">
        <f>IFERROR(__xludf.DUMMYFUNCTION("MAX(FILTER($H$2:$H418,$E$2:$E418=F222))"),"#N/A")</f>
        <v>#N/A</v>
      </c>
    </row>
    <row r="223">
      <c r="A223" s="4"/>
      <c r="C223" s="4" t="s">
        <v>826</v>
      </c>
      <c r="D223" s="4" t="str">
        <f t="shared" si="1"/>
        <v>{"valorA":"o","valorB":11.0}</v>
      </c>
      <c r="E223" s="8" t="str">
        <f t="shared" si="2"/>
        <v>o</v>
      </c>
      <c r="F223" s="8"/>
      <c r="G223" s="8" t="str">
        <f t="shared" si="3"/>
        <v>11.0</v>
      </c>
      <c r="H223" s="9">
        <f t="shared" si="4"/>
        <v>11</v>
      </c>
      <c r="I223" s="6" t="str">
        <f>IFERROR(__xludf.DUMMYFUNCTION("MAX(FILTER($H$2:$H418,$E$2:$E418=F223))"),"#N/A")</f>
        <v>#N/A</v>
      </c>
    </row>
    <row r="224">
      <c r="A224" s="4"/>
      <c r="C224" s="4" t="s">
        <v>1083</v>
      </c>
      <c r="D224" s="4" t="str">
        <f t="shared" si="1"/>
        <v>{"valorA":"processador","valorB":1.0}</v>
      </c>
      <c r="E224" s="8" t="str">
        <f t="shared" si="2"/>
        <v>processador</v>
      </c>
      <c r="F224" s="8"/>
      <c r="G224" s="8" t="str">
        <f t="shared" si="3"/>
        <v>1.0</v>
      </c>
      <c r="H224" s="9">
        <f t="shared" si="4"/>
        <v>1</v>
      </c>
      <c r="I224" s="6" t="str">
        <f>IFERROR(__xludf.DUMMYFUNCTION("MAX(FILTER($H$2:$H418,$E$2:$E418=F224))"),"#N/A")</f>
        <v>#N/A</v>
      </c>
    </row>
    <row r="225">
      <c r="A225" s="4"/>
      <c r="C225" s="4" t="s">
        <v>1084</v>
      </c>
      <c r="D225" s="4" t="str">
        <f t="shared" si="1"/>
        <v>{"valorA":"aparelho","valorB":3.0}</v>
      </c>
      <c r="E225" s="8" t="str">
        <f t="shared" si="2"/>
        <v>aparelho</v>
      </c>
      <c r="F225" s="8"/>
      <c r="G225" s="8" t="str">
        <f t="shared" si="3"/>
        <v>3.0</v>
      </c>
      <c r="H225" s="9">
        <f t="shared" si="4"/>
        <v>3</v>
      </c>
      <c r="I225" s="6" t="str">
        <f>IFERROR(__xludf.DUMMYFUNCTION("MAX(FILTER($H$2:$H418,$E$2:$E418=F225))"),"#N/A")</f>
        <v>#N/A</v>
      </c>
    </row>
    <row r="226">
      <c r="A226" s="4"/>
      <c r="C226" s="4" t="s">
        <v>1085</v>
      </c>
      <c r="D226" s="4" t="str">
        <f t="shared" si="1"/>
        <v>{"valorA":"lavadora","valorB":5.0}</v>
      </c>
      <c r="E226" s="8" t="str">
        <f t="shared" si="2"/>
        <v>lavadora</v>
      </c>
      <c r="F226" s="8"/>
      <c r="G226" s="8" t="str">
        <f t="shared" si="3"/>
        <v>5.0</v>
      </c>
      <c r="H226" s="9">
        <f t="shared" si="4"/>
        <v>5</v>
      </c>
      <c r="I226" s="6" t="str">
        <f>IFERROR(__xludf.DUMMYFUNCTION("MAX(FILTER($H$2:$H418,$E$2:$E418=F226))"),"#N/A")</f>
        <v>#N/A</v>
      </c>
    </row>
    <row r="227">
      <c r="A227" s="4"/>
      <c r="C227" s="4" t="s">
        <v>1086</v>
      </c>
      <c r="D227" s="4" t="str">
        <f t="shared" si="1"/>
        <v>{"valorA":"leve","valorB":1.0}</v>
      </c>
      <c r="E227" s="8" t="str">
        <f t="shared" si="2"/>
        <v>leve</v>
      </c>
      <c r="F227" s="8"/>
      <c r="G227" s="8" t="str">
        <f t="shared" si="3"/>
        <v>1.0</v>
      </c>
      <c r="H227" s="9">
        <f t="shared" si="4"/>
        <v>1</v>
      </c>
      <c r="I227" s="6" t="str">
        <f>IFERROR(__xludf.DUMMYFUNCTION("MAX(FILTER($H$2:$H418,$E$2:$E418=F227))"),"#N/A")</f>
        <v>#N/A</v>
      </c>
    </row>
    <row r="228">
      <c r="A228" s="4"/>
      <c r="C228" s="4" t="s">
        <v>1087</v>
      </c>
      <c r="D228" s="4" t="str">
        <f t="shared" si="1"/>
        <v>{"valorA":"compacta","valorB":1.0}</v>
      </c>
      <c r="E228" s="8" t="str">
        <f t="shared" si="2"/>
        <v>compacta</v>
      </c>
      <c r="F228" s="8"/>
      <c r="G228" s="8" t="str">
        <f t="shared" si="3"/>
        <v>1.0</v>
      </c>
      <c r="H228" s="9">
        <f t="shared" si="4"/>
        <v>1</v>
      </c>
      <c r="I228" s="6" t="str">
        <f>IFERROR(__xludf.DUMMYFUNCTION("MAX(FILTER($H$2:$H418,$E$2:$E418=F228))"),"#N/A")</f>
        <v>#N/A</v>
      </c>
    </row>
    <row r="229">
      <c r="A229" s="4"/>
      <c r="C229" s="4" t="s">
        <v>297</v>
      </c>
      <c r="D229" s="4" t="str">
        <f t="shared" si="1"/>
        <v>{"valorA":"uma","valorB":1.0}</v>
      </c>
      <c r="E229" s="8" t="str">
        <f t="shared" si="2"/>
        <v>uma</v>
      </c>
      <c r="F229" s="8"/>
      <c r="G229" s="8" t="str">
        <f t="shared" si="3"/>
        <v>1.0</v>
      </c>
      <c r="H229" s="9">
        <f t="shared" si="4"/>
        <v>1</v>
      </c>
      <c r="I229" s="6" t="str">
        <f>IFERROR(__xludf.DUMMYFUNCTION("MAX(FILTER($H$2:$H418,$E$2:$E418=F229))"),"#N/A")</f>
        <v>#N/A</v>
      </c>
    </row>
    <row r="230">
      <c r="A230" s="4"/>
      <c r="C230" s="4" t="s">
        <v>298</v>
      </c>
      <c r="D230" s="4" t="str">
        <f t="shared" si="1"/>
        <v>{"valorA":"ótimo","valorB":19.0}</v>
      </c>
      <c r="E230" s="8" t="str">
        <f t="shared" si="2"/>
        <v>ótimo</v>
      </c>
      <c r="F230" s="8"/>
      <c r="G230" s="8" t="str">
        <f t="shared" si="3"/>
        <v>19.0</v>
      </c>
      <c r="H230" s="9">
        <f t="shared" si="4"/>
        <v>19</v>
      </c>
      <c r="I230" s="6" t="str">
        <f>IFERROR(__xludf.DUMMYFUNCTION("MAX(FILTER($H$2:$H418,$E$2:$E418=F230))"),"#N/A")</f>
        <v>#N/A</v>
      </c>
    </row>
    <row r="231">
      <c r="A231" s="4"/>
      <c r="C231" s="4" t="s">
        <v>1088</v>
      </c>
      <c r="D231" s="4" t="str">
        <f t="shared" si="1"/>
        <v>{"valorA":"barata","valorB":1.0}</v>
      </c>
      <c r="E231" s="8" t="str">
        <f t="shared" si="2"/>
        <v>barata</v>
      </c>
      <c r="F231" s="8"/>
      <c r="G231" s="8" t="str">
        <f t="shared" si="3"/>
        <v>1.0</v>
      </c>
      <c r="H231" s="9">
        <f t="shared" si="4"/>
        <v>1</v>
      </c>
      <c r="I231" s="6" t="str">
        <f>IFERROR(__xludf.DUMMYFUNCTION("MAX(FILTER($H$2:$H418,$E$2:$E418=F231))"),"#N/A")</f>
        <v>#N/A</v>
      </c>
    </row>
    <row r="232">
      <c r="A232" s="4"/>
      <c r="C232" s="4" t="s">
        <v>1089</v>
      </c>
      <c r="D232" s="4" t="str">
        <f t="shared" si="1"/>
        <v>{"valorA":"possíveis","valorB":1.0}</v>
      </c>
      <c r="E232" s="8" t="str">
        <f t="shared" si="2"/>
        <v>possíveis</v>
      </c>
      <c r="F232" s="8"/>
      <c r="G232" s="8" t="str">
        <f t="shared" si="3"/>
        <v>1.0</v>
      </c>
      <c r="H232" s="9">
        <f t="shared" si="4"/>
        <v>1</v>
      </c>
      <c r="I232" s="6" t="str">
        <f>IFERROR(__xludf.DUMMYFUNCTION("MAX(FILTER($H$2:$H418,$E$2:$E418=F232))"),"#N/A")</f>
        <v>#N/A</v>
      </c>
    </row>
    <row r="233">
      <c r="A233" s="4"/>
      <c r="C233" s="4" t="s">
        <v>1090</v>
      </c>
      <c r="D233" s="4" t="str">
        <f t="shared" si="1"/>
        <v>{"valorA":"muitas","valorB":1.0}</v>
      </c>
      <c r="E233" s="8" t="str">
        <f t="shared" si="2"/>
        <v>muitas</v>
      </c>
      <c r="F233" s="8"/>
      <c r="G233" s="8" t="str">
        <f t="shared" si="3"/>
        <v>1.0</v>
      </c>
      <c r="H233" s="9">
        <f t="shared" si="4"/>
        <v>1</v>
      </c>
      <c r="I233" s="6" t="str">
        <f>IFERROR(__xludf.DUMMYFUNCTION("MAX(FILTER($H$2:$H418,$E$2:$E418=F233))"),"#N/A")</f>
        <v>#N/A</v>
      </c>
    </row>
    <row r="234">
      <c r="A234" s="4"/>
      <c r="C234" s="4" t="s">
        <v>691</v>
      </c>
      <c r="D234" s="4" t="str">
        <f t="shared" si="1"/>
        <v>{"valorA":"para","valorB":9.0}</v>
      </c>
      <c r="E234" s="8" t="str">
        <f t="shared" si="2"/>
        <v>para</v>
      </c>
      <c r="F234" s="8"/>
      <c r="G234" s="8" t="str">
        <f t="shared" si="3"/>
        <v>9.0</v>
      </c>
      <c r="H234" s="9">
        <f t="shared" si="4"/>
        <v>9</v>
      </c>
      <c r="I234" s="6" t="str">
        <f>IFERROR(__xludf.DUMMYFUNCTION("MAX(FILTER($H$2:$H418,$E$2:$E418=F234))"),"#N/A")</f>
        <v>#N/A</v>
      </c>
    </row>
    <row r="235">
      <c r="A235" s="4"/>
      <c r="C235" s="4" t="s">
        <v>491</v>
      </c>
      <c r="D235" s="4" t="str">
        <f t="shared" si="1"/>
        <v>{"valorA":"recomendo","valorB":7.0}</v>
      </c>
      <c r="E235" s="8" t="str">
        <f t="shared" si="2"/>
        <v>recomendo</v>
      </c>
      <c r="F235" s="8"/>
      <c r="G235" s="8" t="str">
        <f t="shared" si="3"/>
        <v>7.0</v>
      </c>
      <c r="H235" s="9">
        <f t="shared" si="4"/>
        <v>7</v>
      </c>
      <c r="I235" s="6" t="str">
        <f>IFERROR(__xludf.DUMMYFUNCTION("MAX(FILTER($H$2:$H418,$E$2:$E418=F235))"),"#N/A")</f>
        <v>#N/A</v>
      </c>
    </row>
    <row r="236">
      <c r="A236" s="4"/>
      <c r="C236" s="4" t="s">
        <v>327</v>
      </c>
      <c r="D236" s="4" t="str">
        <f t="shared" si="1"/>
        <v>{"valorA":"barato","valorB":2.0}</v>
      </c>
      <c r="E236" s="8" t="str">
        <f t="shared" si="2"/>
        <v>barato</v>
      </c>
      <c r="F236" s="8"/>
      <c r="G236" s="8" t="str">
        <f t="shared" si="3"/>
        <v>2.0</v>
      </c>
      <c r="H236" s="9">
        <f t="shared" si="4"/>
        <v>2</v>
      </c>
      <c r="I236" s="6" t="str">
        <f>IFERROR(__xludf.DUMMYFUNCTION("MAX(FILTER($H$2:$H418,$E$2:$E418=F236))"),"#N/A")</f>
        <v>#N/A</v>
      </c>
    </row>
    <row r="237">
      <c r="A237" s="4"/>
      <c r="C237" s="4" t="s">
        <v>1091</v>
      </c>
      <c r="D237" s="4" t="str">
        <f t="shared" si="1"/>
        <v>{"valorA":"modelo","valorB":1.0}</v>
      </c>
      <c r="E237" s="8" t="str">
        <f t="shared" si="2"/>
        <v>modelo</v>
      </c>
      <c r="F237" s="8"/>
      <c r="G237" s="8" t="str">
        <f t="shared" si="3"/>
        <v>1.0</v>
      </c>
      <c r="H237" s="9">
        <f t="shared" si="4"/>
        <v>1</v>
      </c>
      <c r="I237" s="6" t="str">
        <f>IFERROR(__xludf.DUMMYFUNCTION("MAX(FILTER($H$2:$H418,$E$2:$E418=F237))"),"#N/A")</f>
        <v>#N/A</v>
      </c>
    </row>
    <row r="238">
      <c r="A238" s="4"/>
      <c r="C238" s="4" t="s">
        <v>1092</v>
      </c>
      <c r="D238" s="4" t="str">
        <f t="shared" si="1"/>
        <v>{"valorA":"dormir","valorB":3.0}</v>
      </c>
      <c r="E238" s="8" t="str">
        <f t="shared" si="2"/>
        <v>dormir</v>
      </c>
      <c r="F238" s="8"/>
      <c r="G238" s="8" t="str">
        <f t="shared" si="3"/>
        <v>3.0</v>
      </c>
      <c r="H238" s="9">
        <f t="shared" si="4"/>
        <v>3</v>
      </c>
      <c r="I238" s="6" t="str">
        <f>IFERROR(__xludf.DUMMYFUNCTION("MAX(FILTER($H$2:$H418,$E$2:$E418=F238))"),"#N/A")</f>
        <v>#N/A</v>
      </c>
    </row>
    <row r="239">
      <c r="A239" s="4"/>
      <c r="C239" s="4" t="s">
        <v>425</v>
      </c>
      <c r="D239" s="4" t="str">
        <f t="shared" si="1"/>
        <v>{"valorA":"e","valorB":9.0}</v>
      </c>
      <c r="E239" s="8" t="str">
        <f t="shared" si="2"/>
        <v>e</v>
      </c>
      <c r="F239" s="8"/>
      <c r="G239" s="8" t="str">
        <f t="shared" si="3"/>
        <v>9.0</v>
      </c>
      <c r="H239" s="9">
        <f t="shared" si="4"/>
        <v>9</v>
      </c>
      <c r="I239" s="6" t="str">
        <f>IFERROR(__xludf.DUMMYFUNCTION("MAX(FILTER($H$2:$H418,$E$2:$E418=F239))"),"#N/A")</f>
        <v>#N/A</v>
      </c>
    </row>
    <row r="240">
      <c r="A240" s="4"/>
      <c r="C240" s="4" t="s">
        <v>441</v>
      </c>
      <c r="D240" s="4" t="str">
        <f t="shared" si="1"/>
        <v>{"valorA":"de","valorB":11.0}</v>
      </c>
      <c r="E240" s="8" t="str">
        <f t="shared" si="2"/>
        <v>de</v>
      </c>
      <c r="F240" s="8"/>
      <c r="G240" s="8" t="str">
        <f t="shared" si="3"/>
        <v>11.0</v>
      </c>
      <c r="H240" s="9">
        <f t="shared" si="4"/>
        <v>11</v>
      </c>
      <c r="I240" s="6" t="str">
        <f>IFERROR(__xludf.DUMMYFUNCTION("MAX(FILTER($H$2:$H418,$E$2:$E418=F240))"),"#N/A")</f>
        <v>#N/A</v>
      </c>
    </row>
    <row r="241">
      <c r="A241" s="4"/>
      <c r="C241" s="4" t="s">
        <v>1093</v>
      </c>
      <c r="D241" s="4" t="str">
        <f t="shared" si="1"/>
        <v>{"valorA":"ouvido","valorB":1.0}</v>
      </c>
      <c r="E241" s="8" t="str">
        <f t="shared" si="2"/>
        <v>ouvido</v>
      </c>
      <c r="F241" s="8"/>
      <c r="G241" s="8" t="str">
        <f t="shared" si="3"/>
        <v>1.0</v>
      </c>
      <c r="H241" s="9">
        <f t="shared" si="4"/>
        <v>1</v>
      </c>
      <c r="I241" s="6" t="str">
        <f>IFERROR(__xludf.DUMMYFUNCTION("MAX(FILTER($H$2:$H418,$E$2:$E418=F241))"),"#N/A")</f>
        <v>#N/A</v>
      </c>
    </row>
    <row r="242">
      <c r="A242" s="4"/>
      <c r="C242" s="4" t="s">
        <v>1094</v>
      </c>
      <c r="D242" s="4" t="str">
        <f t="shared" si="1"/>
        <v>{"valorA":"fone","valorB":1.0}</v>
      </c>
      <c r="E242" s="8" t="str">
        <f t="shared" si="2"/>
        <v>fone</v>
      </c>
      <c r="F242" s="8"/>
      <c r="G242" s="8" t="str">
        <f t="shared" si="3"/>
        <v>1.0</v>
      </c>
      <c r="H242" s="9">
        <f t="shared" si="4"/>
        <v>1</v>
      </c>
      <c r="I242" s="6" t="str">
        <f>IFERROR(__xludf.DUMMYFUNCTION("MAX(FILTER($H$2:$H418,$E$2:$E418=F242))"),"#N/A")</f>
        <v>#N/A</v>
      </c>
    </row>
    <row r="243">
      <c r="A243" s="4"/>
      <c r="C243" s="4" t="s">
        <v>209</v>
      </c>
      <c r="D243" s="4" t="str">
        <f t="shared" si="1"/>
        <v>{"valorA":"produto","valorB":4.0}</v>
      </c>
      <c r="E243" s="8" t="str">
        <f t="shared" si="2"/>
        <v>produto</v>
      </c>
      <c r="F243" s="8"/>
      <c r="G243" s="8" t="str">
        <f t="shared" si="3"/>
        <v>4.0</v>
      </c>
      <c r="H243" s="9">
        <f t="shared" si="4"/>
        <v>4</v>
      </c>
      <c r="I243" s="6" t="str">
        <f>IFERROR(__xludf.DUMMYFUNCTION("MAX(FILTER($H$2:$H418,$E$2:$E418=F243))"),"#N/A")</f>
        <v>#N/A</v>
      </c>
    </row>
    <row r="244">
      <c r="A244" s="4"/>
      <c r="C244" s="4" t="s">
        <v>677</v>
      </c>
      <c r="D244" s="4" t="str">
        <f t="shared" si="1"/>
        <v>{"valorA":"ótimo","valorB":21.0}</v>
      </c>
      <c r="E244" s="8" t="str">
        <f t="shared" si="2"/>
        <v>ótimo</v>
      </c>
      <c r="F244" s="8"/>
      <c r="G244" s="8" t="str">
        <f t="shared" si="3"/>
        <v>21.0</v>
      </c>
      <c r="H244" s="9">
        <f t="shared" si="4"/>
        <v>21</v>
      </c>
      <c r="I244" s="6" t="str">
        <f>IFERROR(__xludf.DUMMYFUNCTION("MAX(FILTER($H$2:$H418,$E$2:$E418=F244))"),"#N/A")</f>
        <v>#N/A</v>
      </c>
    </row>
    <row r="245">
      <c r="A245" s="4"/>
      <c r="C245" s="4" t="s">
        <v>228</v>
      </c>
      <c r="D245" s="4" t="str">
        <f t="shared" si="1"/>
        <v>{"valorA":"esse","valorB":2.0}</v>
      </c>
      <c r="E245" s="8" t="str">
        <f t="shared" si="2"/>
        <v>esse</v>
      </c>
      <c r="F245" s="8"/>
      <c r="G245" s="8" t="str">
        <f t="shared" si="3"/>
        <v>2.0</v>
      </c>
      <c r="H245" s="9">
        <f t="shared" si="4"/>
        <v>2</v>
      </c>
      <c r="I245" s="6" t="str">
        <f>IFERROR(__xludf.DUMMYFUNCTION("MAX(FILTER($H$2:$H418,$E$2:$E418=F245))"),"#N/A")</f>
        <v>#N/A</v>
      </c>
    </row>
    <row r="246">
      <c r="A246" s="4"/>
      <c r="C246" s="4" t="s">
        <v>662</v>
      </c>
      <c r="D246" s="4" t="str">
        <f t="shared" si="1"/>
        <v>{"valorA":"muito","valorB":6.0}</v>
      </c>
      <c r="E246" s="8" t="str">
        <f t="shared" si="2"/>
        <v>muito</v>
      </c>
      <c r="F246" s="8"/>
      <c r="G246" s="8" t="str">
        <f t="shared" si="3"/>
        <v>6.0</v>
      </c>
      <c r="H246" s="9">
        <f t="shared" si="4"/>
        <v>6</v>
      </c>
      <c r="I246" s="6" t="str">
        <f>IFERROR(__xludf.DUMMYFUNCTION("MAX(FILTER($H$2:$H418,$E$2:$E418=F246))"),"#N/A")</f>
        <v>#N/A</v>
      </c>
    </row>
    <row r="247">
      <c r="A247" s="4"/>
      <c r="C247" s="4" t="s">
        <v>629</v>
      </c>
      <c r="D247" s="4" t="str">
        <f t="shared" si="1"/>
        <v>{"valorA":"todos","valorB":2.0}</v>
      </c>
      <c r="E247" s="8" t="str">
        <f t="shared" si="2"/>
        <v>todos</v>
      </c>
      <c r="F247" s="8"/>
      <c r="G247" s="8" t="str">
        <f t="shared" si="3"/>
        <v>2.0</v>
      </c>
      <c r="H247" s="9">
        <f t="shared" si="4"/>
        <v>2</v>
      </c>
      <c r="I247" s="6" t="str">
        <f>IFERROR(__xludf.DUMMYFUNCTION("MAX(FILTER($H$2:$H418,$E$2:$E418=F247))"),"#N/A")</f>
        <v>#N/A</v>
      </c>
    </row>
    <row r="248">
      <c r="A248" s="4"/>
      <c r="C248" s="4" t="s">
        <v>1095</v>
      </c>
      <c r="D248" s="4" t="str">
        <f t="shared" si="1"/>
        <v>{"valorA":"confortável","valorB":3.0}</v>
      </c>
      <c r="E248" s="8" t="str">
        <f t="shared" si="2"/>
        <v>confortável</v>
      </c>
      <c r="F248" s="8"/>
      <c r="G248" s="8" t="str">
        <f t="shared" si="3"/>
        <v>3.0</v>
      </c>
      <c r="H248" s="9">
        <f t="shared" si="4"/>
        <v>3</v>
      </c>
      <c r="I248" s="6" t="str">
        <f>IFERROR(__xludf.DUMMYFUNCTION("MAX(FILTER($H$2:$H418,$E$2:$E418=F248))"),"#N/A")</f>
        <v>#N/A</v>
      </c>
    </row>
    <row r="249">
      <c r="A249" s="4"/>
      <c r="C249" s="4" t="s">
        <v>1096</v>
      </c>
      <c r="D249" s="4" t="str">
        <f t="shared" si="1"/>
        <v>{"valorA":"comprarem","valorB":1.0}</v>
      </c>
      <c r="E249" s="8" t="str">
        <f t="shared" si="2"/>
        <v>comprarem</v>
      </c>
      <c r="F249" s="8"/>
      <c r="G249" s="8" t="str">
        <f t="shared" si="3"/>
        <v>1.0</v>
      </c>
      <c r="H249" s="9">
        <f t="shared" si="4"/>
        <v>1</v>
      </c>
      <c r="I249" s="6" t="str">
        <f>IFERROR(__xludf.DUMMYFUNCTION("MAX(FILTER($H$2:$H418,$E$2:$E418=F249))"),"#N/A")</f>
        <v>#N/A</v>
      </c>
    </row>
    <row r="250">
      <c r="A250" s="4"/>
      <c r="C250" s="4" t="s">
        <v>663</v>
      </c>
      <c r="D250" s="4" t="str">
        <f t="shared" si="1"/>
        <v>{"valorA":"a","valorB":8.0}</v>
      </c>
      <c r="E250" s="8" t="str">
        <f t="shared" si="2"/>
        <v>a</v>
      </c>
      <c r="F250" s="8"/>
      <c r="G250" s="8" t="str">
        <f t="shared" si="3"/>
        <v>8.0</v>
      </c>
      <c r="H250" s="9">
        <f t="shared" si="4"/>
        <v>8</v>
      </c>
      <c r="I250" s="6" t="str">
        <f>IFERROR(__xludf.DUMMYFUNCTION("MAX(FILTER($H$2:$H418,$E$2:$E418=F250))"),"#N/A")</f>
        <v>#N/A</v>
      </c>
    </row>
    <row r="251">
      <c r="A251" s="4"/>
      <c r="C251" s="4" t="s">
        <v>720</v>
      </c>
      <c r="D251" s="4" t="str">
        <f t="shared" si="1"/>
        <v>{"valorA":"para","valorB":10.0}</v>
      </c>
      <c r="E251" s="8" t="str">
        <f t="shared" si="2"/>
        <v>para</v>
      </c>
      <c r="F251" s="8"/>
      <c r="G251" s="8" t="str">
        <f t="shared" si="3"/>
        <v>10.0</v>
      </c>
      <c r="H251" s="9">
        <f t="shared" si="4"/>
        <v>10</v>
      </c>
      <c r="I251" s="6" t="str">
        <f>IFERROR(__xludf.DUMMYFUNCTION("MAX(FILTER($H$2:$H418,$E$2:$E418=F251))"),"#N/A")</f>
        <v>#N/A</v>
      </c>
    </row>
    <row r="252">
      <c r="A252" s="4"/>
      <c r="C252" s="4" t="s">
        <v>1097</v>
      </c>
      <c r="D252" s="4" t="str">
        <f t="shared" si="1"/>
        <v>{"valorA":"recomendo","valorB":8.0}</v>
      </c>
      <c r="E252" s="8" t="str">
        <f t="shared" si="2"/>
        <v>recomendo</v>
      </c>
      <c r="F252" s="8"/>
      <c r="G252" s="8" t="str">
        <f t="shared" si="3"/>
        <v>8.0</v>
      </c>
      <c r="H252" s="9">
        <f t="shared" si="4"/>
        <v>8</v>
      </c>
      <c r="I252" s="6" t="str">
        <f>IFERROR(__xludf.DUMMYFUNCTION("MAX(FILTER($H$2:$H418,$E$2:$E418=F252))"),"#N/A")</f>
        <v>#N/A</v>
      </c>
    </row>
    <row r="253">
      <c r="A253" s="4"/>
      <c r="C253" s="4" t="s">
        <v>1098</v>
      </c>
      <c r="D253" s="4" t="str">
        <f t="shared" si="1"/>
        <v>{"valorA":"precisa","valorB":2.0}</v>
      </c>
      <c r="E253" s="8" t="str">
        <f t="shared" si="2"/>
        <v>precisa</v>
      </c>
      <c r="F253" s="8"/>
      <c r="G253" s="8" t="str">
        <f t="shared" si="3"/>
        <v>2.0</v>
      </c>
      <c r="H253" s="9">
        <f t="shared" si="4"/>
        <v>2</v>
      </c>
      <c r="I253" s="6" t="str">
        <f>IFERROR(__xludf.DUMMYFUNCTION("MAX(FILTER($H$2:$H418,$E$2:$E418=F253))"),"#N/A")</f>
        <v>#N/A</v>
      </c>
    </row>
    <row r="254">
      <c r="A254" s="4"/>
      <c r="C254" s="4" t="s">
        <v>1099</v>
      </c>
      <c r="D254" s="4" t="str">
        <f t="shared" si="1"/>
        <v>{"valorA":"serviço","valorB":2.0}</v>
      </c>
      <c r="E254" s="8" t="str">
        <f t="shared" si="2"/>
        <v>serviço</v>
      </c>
      <c r="F254" s="8"/>
      <c r="G254" s="8" t="str">
        <f t="shared" si="3"/>
        <v>2.0</v>
      </c>
      <c r="H254" s="9">
        <f t="shared" si="4"/>
        <v>2</v>
      </c>
      <c r="I254" s="6" t="str">
        <f>IFERROR(__xludf.DUMMYFUNCTION("MAX(FILTER($H$2:$H418,$E$2:$E418=F254))"),"#N/A")</f>
        <v>#N/A</v>
      </c>
    </row>
    <row r="255">
      <c r="A255" s="4"/>
      <c r="C255" s="4" t="s">
        <v>1100</v>
      </c>
      <c r="D255" s="4" t="str">
        <f t="shared" si="1"/>
        <v>{"valorA":"com","valorB":9.0}</v>
      </c>
      <c r="E255" s="8" t="str">
        <f t="shared" si="2"/>
        <v>com</v>
      </c>
      <c r="F255" s="8"/>
      <c r="G255" s="8" t="str">
        <f t="shared" si="3"/>
        <v>9.0</v>
      </c>
      <c r="H255" s="9">
        <f t="shared" si="4"/>
        <v>9</v>
      </c>
      <c r="I255" s="6" t="str">
        <f>IFERROR(__xludf.DUMMYFUNCTION("MAX(FILTER($H$2:$H418,$E$2:$E418=F255))"),"#N/A")</f>
        <v>#N/A</v>
      </c>
    </row>
    <row r="256">
      <c r="A256" s="4"/>
      <c r="C256" s="4" t="s">
        <v>1101</v>
      </c>
      <c r="D256" s="4" t="str">
        <f t="shared" si="1"/>
        <v>{"valorA":"tive","valorB":1.0}</v>
      </c>
      <c r="E256" s="8" t="str">
        <f t="shared" si="2"/>
        <v>tive</v>
      </c>
      <c r="F256" s="8"/>
      <c r="G256" s="8" t="str">
        <f t="shared" si="3"/>
        <v>1.0</v>
      </c>
      <c r="H256" s="9">
        <f t="shared" si="4"/>
        <v>1</v>
      </c>
      <c r="I256" s="6" t="str">
        <f>IFERROR(__xludf.DUMMYFUNCTION("MAX(FILTER($H$2:$H418,$E$2:$E418=F256))"),"#N/A")</f>
        <v>#N/A</v>
      </c>
    </row>
    <row r="257">
      <c r="A257" s="4"/>
      <c r="C257" s="4" t="s">
        <v>1102</v>
      </c>
      <c r="D257" s="4" t="str">
        <f t="shared" si="1"/>
        <v>{"valorA":"modelo","valorB":2.0}</v>
      </c>
      <c r="E257" s="8" t="str">
        <f t="shared" si="2"/>
        <v>modelo</v>
      </c>
      <c r="F257" s="8"/>
      <c r="G257" s="8" t="str">
        <f t="shared" si="3"/>
        <v>2.0</v>
      </c>
      <c r="H257" s="9">
        <f t="shared" si="4"/>
        <v>2</v>
      </c>
      <c r="I257" s="6" t="str">
        <f>IFERROR(__xludf.DUMMYFUNCTION("MAX(FILTER($H$2:$H418,$E$2:$E418=F257))"),"#N/A")</f>
        <v>#N/A</v>
      </c>
    </row>
    <row r="258">
      <c r="A258" s="4"/>
      <c r="C258" s="4" t="s">
        <v>1103</v>
      </c>
      <c r="D258" s="4" t="str">
        <f t="shared" si="1"/>
        <v>{"valorA":"quando","valorB":1.0}</v>
      </c>
      <c r="E258" s="8" t="str">
        <f t="shared" si="2"/>
        <v>quando</v>
      </c>
      <c r="F258" s="8"/>
      <c r="G258" s="8" t="str">
        <f t="shared" si="3"/>
        <v>1.0</v>
      </c>
      <c r="H258" s="9">
        <f t="shared" si="4"/>
        <v>1</v>
      </c>
      <c r="I258" s="6" t="str">
        <f>IFERROR(__xludf.DUMMYFUNCTION("MAX(FILTER($H$2:$H418,$E$2:$E418=F258))"),"#N/A")</f>
        <v>#N/A</v>
      </c>
    </row>
    <row r="259">
      <c r="A259" s="4"/>
      <c r="C259" s="4" t="s">
        <v>268</v>
      </c>
      <c r="D259" s="4" t="str">
        <f t="shared" si="1"/>
        <v>{"valorA":"bem","valorB":3.0}</v>
      </c>
      <c r="E259" s="8" t="str">
        <f t="shared" si="2"/>
        <v>bem</v>
      </c>
      <c r="F259" s="8"/>
      <c r="G259" s="8" t="str">
        <f t="shared" si="3"/>
        <v>3.0</v>
      </c>
      <c r="H259" s="9">
        <f t="shared" si="4"/>
        <v>3</v>
      </c>
      <c r="I259" s="6" t="str">
        <f>IFERROR(__xludf.DUMMYFUNCTION("MAX(FILTER($H$2:$H418,$E$2:$E418=F259))"),"#N/A")</f>
        <v>#N/A</v>
      </c>
    </row>
    <row r="260">
      <c r="A260" s="4"/>
      <c r="C260" s="4" t="s">
        <v>1104</v>
      </c>
      <c r="D260" s="4" t="str">
        <f t="shared" si="1"/>
        <v>{"valorA":"fogão","valorB":1.0}</v>
      </c>
      <c r="E260" s="8" t="str">
        <f t="shared" si="2"/>
        <v>fogão</v>
      </c>
      <c r="F260" s="8"/>
      <c r="G260" s="8" t="str">
        <f t="shared" si="3"/>
        <v>1.0</v>
      </c>
      <c r="H260" s="9">
        <f t="shared" si="4"/>
        <v>1</v>
      </c>
      <c r="I260" s="6" t="str">
        <f>IFERROR(__xludf.DUMMYFUNCTION("MAX(FILTER($H$2:$H418,$E$2:$E418=F260))"),"#N/A")</f>
        <v>#N/A</v>
      </c>
    </row>
    <row r="261">
      <c r="A261" s="4"/>
      <c r="C261" s="4" t="s">
        <v>1105</v>
      </c>
      <c r="D261" s="4" t="str">
        <f t="shared" si="1"/>
        <v>{"valorA":"foi","valorB":1.0}</v>
      </c>
      <c r="E261" s="8" t="str">
        <f t="shared" si="2"/>
        <v>foi</v>
      </c>
      <c r="F261" s="8"/>
      <c r="G261" s="8" t="str">
        <f t="shared" si="3"/>
        <v>1.0</v>
      </c>
      <c r="H261" s="9">
        <f t="shared" si="4"/>
        <v>1</v>
      </c>
      <c r="I261" s="6" t="str">
        <f>IFERROR(__xludf.DUMMYFUNCTION("MAX(FILTER($H$2:$H418,$E$2:$E418=F261))"),"#N/A")</f>
        <v>#N/A</v>
      </c>
    </row>
    <row r="262">
      <c r="A262" s="4"/>
      <c r="C262" s="4" t="s">
        <v>680</v>
      </c>
      <c r="D262" s="4" t="str">
        <f t="shared" si="1"/>
        <v>{"valorA":"quem","valorB":3.0}</v>
      </c>
      <c r="E262" s="8" t="str">
        <f t="shared" si="2"/>
        <v>quem</v>
      </c>
      <c r="F262" s="8"/>
      <c r="G262" s="8" t="str">
        <f t="shared" si="3"/>
        <v>3.0</v>
      </c>
      <c r="H262" s="9">
        <f t="shared" si="4"/>
        <v>3</v>
      </c>
      <c r="I262" s="6" t="str">
        <f>IFERROR(__xludf.DUMMYFUNCTION("MAX(FILTER($H$2:$H418,$E$2:$E418=F262))"),"#N/A")</f>
        <v>#N/A</v>
      </c>
    </row>
    <row r="263">
      <c r="A263" s="4"/>
      <c r="C263" s="4" t="s">
        <v>615</v>
      </c>
      <c r="D263" s="4" t="str">
        <f t="shared" si="1"/>
        <v>{"valorA":"bom","valorB":1.0}</v>
      </c>
      <c r="E263" s="8" t="str">
        <f t="shared" si="2"/>
        <v>bom</v>
      </c>
      <c r="F263" s="8"/>
      <c r="G263" s="8" t="str">
        <f t="shared" si="3"/>
        <v>1.0</v>
      </c>
      <c r="H263" s="9">
        <f t="shared" si="4"/>
        <v>1</v>
      </c>
      <c r="I263" s="6" t="str">
        <f>IFERROR(__xludf.DUMMYFUNCTION("MAX(FILTER($H$2:$H418,$E$2:$E418=F263))"),"#N/A")</f>
        <v>#N/A</v>
      </c>
    </row>
    <row r="264">
      <c r="A264" s="4"/>
      <c r="C264" s="4" t="s">
        <v>855</v>
      </c>
      <c r="D264" s="4" t="str">
        <f t="shared" si="1"/>
        <v>{"valorA":"o","valorB":12.0}</v>
      </c>
      <c r="E264" s="8" t="str">
        <f t="shared" si="2"/>
        <v>o</v>
      </c>
      <c r="F264" s="8"/>
      <c r="G264" s="8" t="str">
        <f t="shared" si="3"/>
        <v>12.0</v>
      </c>
      <c r="H264" s="9">
        <f t="shared" si="4"/>
        <v>12</v>
      </c>
      <c r="I264" s="6" t="str">
        <f>IFERROR(__xludf.DUMMYFUNCTION("MAX(FILTER($H$2:$H418,$E$2:$E418=F264))"),"#N/A")</f>
        <v>#N/A</v>
      </c>
    </row>
    <row r="265">
      <c r="A265" s="4"/>
      <c r="C265" s="4" t="s">
        <v>440</v>
      </c>
      <c r="D265" s="4" t="str">
        <f t="shared" si="1"/>
        <v>{"valorA":"e","valorB":10.0}</v>
      </c>
      <c r="E265" s="8" t="str">
        <f t="shared" si="2"/>
        <v>e</v>
      </c>
      <c r="F265" s="8"/>
      <c r="G265" s="8" t="str">
        <f t="shared" si="3"/>
        <v>10.0</v>
      </c>
      <c r="H265" s="9">
        <f t="shared" si="4"/>
        <v>10</v>
      </c>
      <c r="I265" s="6" t="str">
        <f>IFERROR(__xludf.DUMMYFUNCTION("MAX(FILTER($H$2:$H418,$E$2:$E418=F265))"),"#N/A")</f>
        <v>#N/A</v>
      </c>
    </row>
    <row r="266">
      <c r="A266" s="4"/>
      <c r="C266" s="4" t="s">
        <v>1106</v>
      </c>
      <c r="D266" s="4" t="str">
        <f t="shared" si="1"/>
        <v>{"valorA":"eu","valorB":3.0}</v>
      </c>
      <c r="E266" s="8" t="str">
        <f t="shared" si="2"/>
        <v>eu</v>
      </c>
      <c r="F266" s="8"/>
      <c r="G266" s="8" t="str">
        <f t="shared" si="3"/>
        <v>3.0</v>
      </c>
      <c r="H266" s="9">
        <f t="shared" si="4"/>
        <v>3</v>
      </c>
      <c r="I266" s="6" t="str">
        <f>IFERROR(__xludf.DUMMYFUNCTION("MAX(FILTER($H$2:$H418,$E$2:$E418=F266))"),"#N/A")</f>
        <v>#N/A</v>
      </c>
    </row>
    <row r="267">
      <c r="A267" s="4"/>
      <c r="C267" s="4" t="s">
        <v>1107</v>
      </c>
      <c r="D267" s="4" t="str">
        <f t="shared" si="1"/>
        <v>{"valorA":"elétrico","valorB":1.0}</v>
      </c>
      <c r="E267" s="8" t="str">
        <f t="shared" si="2"/>
        <v>elétrico</v>
      </c>
      <c r="F267" s="8"/>
      <c r="G267" s="8" t="str">
        <f t="shared" si="3"/>
        <v>1.0</v>
      </c>
      <c r="H267" s="9">
        <f t="shared" si="4"/>
        <v>1</v>
      </c>
      <c r="I267" s="6" t="str">
        <f>IFERROR(__xludf.DUMMYFUNCTION("MAX(FILTER($H$2:$H418,$E$2:$E418=F267))"),"#N/A")</f>
        <v>#N/A</v>
      </c>
    </row>
    <row r="268">
      <c r="A268" s="4"/>
      <c r="C268" s="4" t="s">
        <v>1108</v>
      </c>
      <c r="D268" s="4" t="str">
        <f t="shared" si="1"/>
        <v>{"valorA":"óptimo","valorB":5.0}</v>
      </c>
      <c r="E268" s="8" t="str">
        <f t="shared" si="2"/>
        <v>óptimo</v>
      </c>
      <c r="F268" s="8"/>
      <c r="G268" s="8" t="str">
        <f t="shared" si="3"/>
        <v>5.0</v>
      </c>
      <c r="H268" s="9">
        <f t="shared" si="4"/>
        <v>5</v>
      </c>
      <c r="I268" s="6" t="str">
        <f>IFERROR(__xludf.DUMMYFUNCTION("MAX(FILTER($H$2:$H418,$E$2:$E418=F268))"),"#N/A")</f>
        <v>#N/A</v>
      </c>
    </row>
    <row r="269">
      <c r="A269" s="4"/>
      <c r="C269" s="4" t="s">
        <v>1109</v>
      </c>
      <c r="D269" s="4" t="str">
        <f t="shared" si="1"/>
        <v>{"valorA":"empresa","valorB":2.0}</v>
      </c>
      <c r="E269" s="8" t="str">
        <f t="shared" si="2"/>
        <v>empresa</v>
      </c>
      <c r="F269" s="8"/>
      <c r="G269" s="8" t="str">
        <f t="shared" si="3"/>
        <v>2.0</v>
      </c>
      <c r="H269" s="9">
        <f t="shared" si="4"/>
        <v>2</v>
      </c>
      <c r="I269" s="6" t="str">
        <f>IFERROR(__xludf.DUMMYFUNCTION("MAX(FILTER($H$2:$H418,$E$2:$E418=F269))"),"#N/A")</f>
        <v>#N/A</v>
      </c>
    </row>
    <row r="270">
      <c r="A270" s="4"/>
      <c r="C270" s="4" t="s">
        <v>604</v>
      </c>
      <c r="D270" s="4" t="str">
        <f t="shared" si="1"/>
        <v>{"valorA":"produto","valorB":5.0}</v>
      </c>
      <c r="E270" s="8" t="str">
        <f t="shared" si="2"/>
        <v>produto</v>
      </c>
      <c r="F270" s="8"/>
      <c r="G270" s="8" t="str">
        <f t="shared" si="3"/>
        <v>5.0</v>
      </c>
      <c r="H270" s="9">
        <f t="shared" si="4"/>
        <v>5</v>
      </c>
      <c r="I270" s="6" t="str">
        <f>IFERROR(__xludf.DUMMYFUNCTION("MAX(FILTER($H$2:$H418,$E$2:$E418=F270))"),"#N/A")</f>
        <v>#N/A</v>
      </c>
    </row>
    <row r="271">
      <c r="A271" s="4"/>
      <c r="C271" s="4" t="s">
        <v>315</v>
      </c>
      <c r="D271" s="4" t="str">
        <f t="shared" si="1"/>
        <v>{"valorA":"ótimo","valorB":22.0}</v>
      </c>
      <c r="E271" s="8" t="str">
        <f t="shared" si="2"/>
        <v>ótimo</v>
      </c>
      <c r="F271" s="8"/>
      <c r="G271" s="8" t="str">
        <f t="shared" si="3"/>
        <v>22.0</v>
      </c>
      <c r="H271" s="9">
        <f t="shared" si="4"/>
        <v>22</v>
      </c>
      <c r="I271" s="6" t="str">
        <f>IFERROR(__xludf.DUMMYFUNCTION("MAX(FILTER($H$2:$H418,$E$2:$E418=F271))"),"#N/A")</f>
        <v>#N/A</v>
      </c>
    </row>
    <row r="272">
      <c r="A272" s="4"/>
      <c r="C272" s="4" t="s">
        <v>300</v>
      </c>
      <c r="D272" s="4" t="str">
        <f t="shared" si="1"/>
        <v>{"valorA":"muito","valorB":8.0}</v>
      </c>
      <c r="E272" s="8" t="str">
        <f t="shared" si="2"/>
        <v>muito</v>
      </c>
      <c r="F272" s="8"/>
      <c r="G272" s="8" t="str">
        <f t="shared" si="3"/>
        <v>8.0</v>
      </c>
      <c r="H272" s="9">
        <f t="shared" si="4"/>
        <v>8</v>
      </c>
      <c r="I272" s="6" t="str">
        <f>IFERROR(__xludf.DUMMYFUNCTION("MAX(FILTER($H$2:$H418,$E$2:$E418=F272))"),"#N/A")</f>
        <v>#N/A</v>
      </c>
    </row>
    <row r="273">
      <c r="A273" s="4"/>
      <c r="C273" s="4" t="s">
        <v>1110</v>
      </c>
      <c r="D273" s="4" t="str">
        <f t="shared" si="1"/>
        <v>{"valorA":"comigo","valorB":1.0}</v>
      </c>
      <c r="E273" s="8" t="str">
        <f t="shared" si="2"/>
        <v>comigo</v>
      </c>
      <c r="F273" s="8"/>
      <c r="G273" s="8" t="str">
        <f t="shared" si="3"/>
        <v>1.0</v>
      </c>
      <c r="H273" s="9">
        <f t="shared" si="4"/>
        <v>1</v>
      </c>
      <c r="I273" s="6" t="str">
        <f>IFERROR(__xludf.DUMMYFUNCTION("MAX(FILTER($H$2:$H418,$E$2:$E418=F273))"),"#N/A")</f>
        <v>#N/A</v>
      </c>
    </row>
    <row r="274">
      <c r="A274" s="4"/>
      <c r="C274" s="4" t="s">
        <v>702</v>
      </c>
      <c r="D274" s="4" t="str">
        <f t="shared" si="1"/>
        <v>{"valorA":"a","valorB":9.0}</v>
      </c>
      <c r="E274" s="8" t="str">
        <f t="shared" si="2"/>
        <v>a</v>
      </c>
      <c r="F274" s="8"/>
      <c r="G274" s="8" t="str">
        <f t="shared" si="3"/>
        <v>9.0</v>
      </c>
      <c r="H274" s="9">
        <f t="shared" si="4"/>
        <v>9</v>
      </c>
      <c r="I274" s="6" t="str">
        <f>IFERROR(__xludf.DUMMYFUNCTION("MAX(FILTER($H$2:$H418,$E$2:$E418=F274))"),"#N/A")</f>
        <v>#N/A</v>
      </c>
    </row>
    <row r="275">
      <c r="A275" s="4"/>
      <c r="C275" s="4" t="s">
        <v>618</v>
      </c>
      <c r="D275" s="4" t="str">
        <f t="shared" si="1"/>
        <v>{"valorA":"este","valorB":1.0}</v>
      </c>
      <c r="E275" s="8" t="str">
        <f t="shared" si="2"/>
        <v>este</v>
      </c>
      <c r="F275" s="8"/>
      <c r="G275" s="8" t="str">
        <f t="shared" si="3"/>
        <v>1.0</v>
      </c>
      <c r="H275" s="9">
        <f t="shared" si="4"/>
        <v>1</v>
      </c>
      <c r="I275" s="6" t="str">
        <f>IFERROR(__xludf.DUMMYFUNCTION("MAX(FILTER($H$2:$H418,$E$2:$E418=F275))"),"#N/A")</f>
        <v>#N/A</v>
      </c>
    </row>
    <row r="276">
      <c r="A276" s="4"/>
      <c r="C276" s="4" t="s">
        <v>343</v>
      </c>
      <c r="D276" s="4" t="str">
        <f t="shared" si="1"/>
        <v>{"valorA":"funciona","valorB":7.0}</v>
      </c>
      <c r="E276" s="8" t="str">
        <f t="shared" si="2"/>
        <v>funciona</v>
      </c>
      <c r="F276" s="8"/>
      <c r="G276" s="8" t="str">
        <f t="shared" si="3"/>
        <v>7.0</v>
      </c>
      <c r="H276" s="9">
        <f t="shared" si="4"/>
        <v>7</v>
      </c>
      <c r="I276" s="6" t="str">
        <f>IFERROR(__xludf.DUMMYFUNCTION("MAX(FILTER($H$2:$H418,$E$2:$E418=F276))"),"#N/A")</f>
        <v>#N/A</v>
      </c>
    </row>
    <row r="277">
      <c r="A277" s="4"/>
      <c r="C277" s="4" t="s">
        <v>619</v>
      </c>
      <c r="D277" s="4" t="str">
        <f t="shared" si="1"/>
        <v>{"valorA":"um","valorB":1.0}</v>
      </c>
      <c r="E277" s="8" t="str">
        <f t="shared" si="2"/>
        <v>um</v>
      </c>
      <c r="F277" s="8"/>
      <c r="G277" s="8" t="str">
        <f t="shared" si="3"/>
        <v>1.0</v>
      </c>
      <c r="H277" s="9">
        <f t="shared" si="4"/>
        <v>1</v>
      </c>
      <c r="I277" s="6" t="str">
        <f>IFERROR(__xludf.DUMMYFUNCTION("MAX(FILTER($H$2:$H418,$E$2:$E418=F277))"),"#N/A")</f>
        <v>#N/A</v>
      </c>
    </row>
    <row r="278">
      <c r="A278" s="4"/>
      <c r="C278" s="4" t="s">
        <v>1111</v>
      </c>
      <c r="D278" s="4" t="str">
        <f t="shared" si="1"/>
        <v>{"valorA":"atenciosa","valorB":1.0}</v>
      </c>
      <c r="E278" s="8" t="str">
        <f t="shared" si="2"/>
        <v>atenciosa</v>
      </c>
      <c r="F278" s="8"/>
      <c r="G278" s="8" t="str">
        <f t="shared" si="3"/>
        <v>1.0</v>
      </c>
      <c r="H278" s="9">
        <f t="shared" si="4"/>
        <v>1</v>
      </c>
      <c r="I278" s="6" t="str">
        <f>IFERROR(__xludf.DUMMYFUNCTION("MAX(FILTER($H$2:$H418,$E$2:$E418=F278))"),"#N/A")</f>
        <v>#N/A</v>
      </c>
    </row>
    <row r="279">
      <c r="A279" s="4"/>
      <c r="C279" s="4" t="s">
        <v>1112</v>
      </c>
      <c r="D279" s="4" t="str">
        <f t="shared" si="1"/>
        <v>{"valorA":"problemas","valorB":2.0}</v>
      </c>
      <c r="E279" s="8" t="str">
        <f t="shared" si="2"/>
        <v>problemas</v>
      </c>
      <c r="F279" s="8"/>
      <c r="G279" s="8" t="str">
        <f t="shared" si="3"/>
        <v>2.0</v>
      </c>
      <c r="H279" s="9">
        <f t="shared" si="4"/>
        <v>2</v>
      </c>
      <c r="I279" s="6" t="str">
        <f>IFERROR(__xludf.DUMMYFUNCTION("MAX(FILTER($H$2:$H418,$E$2:$E418=F279))"),"#N/A")</f>
        <v>#N/A</v>
      </c>
    </row>
    <row r="280">
      <c r="A280" s="4"/>
      <c r="C280" s="4" t="s">
        <v>728</v>
      </c>
      <c r="D280" s="4" t="str">
        <f t="shared" si="1"/>
        <v>{"valorA":"para","valorB":11.0}</v>
      </c>
      <c r="E280" s="8" t="str">
        <f t="shared" si="2"/>
        <v>para</v>
      </c>
      <c r="F280" s="8"/>
      <c r="G280" s="8" t="str">
        <f t="shared" si="3"/>
        <v>11.0</v>
      </c>
      <c r="H280" s="9">
        <f t="shared" si="4"/>
        <v>11</v>
      </c>
      <c r="I280" s="6" t="str">
        <f>IFERROR(__xludf.DUMMYFUNCTION("MAX(FILTER($H$2:$H418,$E$2:$E418=F280))"),"#N/A")</f>
        <v>#N/A</v>
      </c>
    </row>
    <row r="281">
      <c r="A281" s="4"/>
      <c r="C281" s="4" t="s">
        <v>1113</v>
      </c>
      <c r="D281" s="4" t="str">
        <f t="shared" si="1"/>
        <v>{"valorA":"recomendo","valorB":9.0}</v>
      </c>
      <c r="E281" s="8" t="str">
        <f t="shared" si="2"/>
        <v>recomendo</v>
      </c>
      <c r="F281" s="8"/>
      <c r="G281" s="8" t="str">
        <f t="shared" si="3"/>
        <v>9.0</v>
      </c>
      <c r="H281" s="9">
        <f t="shared" si="4"/>
        <v>9</v>
      </c>
      <c r="I281" s="6" t="str">
        <f>IFERROR(__xludf.DUMMYFUNCTION("MAX(FILTER($H$2:$H418,$E$2:$E418=F281))"),"#N/A")</f>
        <v>#N/A</v>
      </c>
    </row>
    <row r="282">
      <c r="A282" s="4"/>
      <c r="C282" s="4" t="s">
        <v>1114</v>
      </c>
      <c r="D282" s="4" t="str">
        <f t="shared" si="1"/>
        <v>{"valorA":"tricotado","valorB":1.0}</v>
      </c>
      <c r="E282" s="8" t="str">
        <f t="shared" si="2"/>
        <v>tricotado</v>
      </c>
      <c r="F282" s="8"/>
      <c r="G282" s="8" t="str">
        <f t="shared" si="3"/>
        <v>1.0</v>
      </c>
      <c r="H282" s="9">
        <f t="shared" si="4"/>
        <v>1</v>
      </c>
      <c r="I282" s="6" t="str">
        <f>IFERROR(__xludf.DUMMYFUNCTION("MAX(FILTER($H$2:$H418,$E$2:$E418=F282))"),"#N/A")</f>
        <v>#N/A</v>
      </c>
    </row>
    <row r="283">
      <c r="A283" s="4"/>
      <c r="C283" s="4" t="s">
        <v>367</v>
      </c>
      <c r="D283" s="4" t="str">
        <f t="shared" si="1"/>
        <v>{"valorA":"meu","valorB":2.0}</v>
      </c>
      <c r="E283" s="8" t="str">
        <f t="shared" si="2"/>
        <v>meu</v>
      </c>
      <c r="F283" s="8"/>
      <c r="G283" s="8" t="str">
        <f t="shared" si="3"/>
        <v>2.0</v>
      </c>
      <c r="H283" s="9">
        <f t="shared" si="4"/>
        <v>2</v>
      </c>
      <c r="I283" s="6" t="str">
        <f>IFERROR(__xludf.DUMMYFUNCTION("MAX(FILTER($H$2:$H418,$E$2:$E418=F283))"),"#N/A")</f>
        <v>#N/A</v>
      </c>
    </row>
    <row r="284">
      <c r="A284" s="4"/>
      <c r="C284" s="4" t="s">
        <v>1115</v>
      </c>
      <c r="D284" s="4" t="str">
        <f t="shared" si="1"/>
        <v>{"valorA":"dia","valorB":2.0}</v>
      </c>
      <c r="E284" s="8" t="str">
        <f t="shared" si="2"/>
        <v>dia</v>
      </c>
      <c r="F284" s="8"/>
      <c r="G284" s="8" t="str">
        <f t="shared" si="3"/>
        <v>2.0</v>
      </c>
      <c r="H284" s="9">
        <f t="shared" si="4"/>
        <v>2</v>
      </c>
      <c r="I284" s="6" t="str">
        <f>IFERROR(__xludf.DUMMYFUNCTION("MAX(FILTER($H$2:$H418,$E$2:$E418=F284))"),"#N/A")</f>
        <v>#N/A</v>
      </c>
    </row>
    <row r="285">
      <c r="A285" s="4"/>
      <c r="C285" s="4" t="s">
        <v>1116</v>
      </c>
      <c r="D285" s="4" t="str">
        <f t="shared" si="1"/>
        <v>{"valorA":"cama","valorB":1.0}</v>
      </c>
      <c r="E285" s="8" t="str">
        <f t="shared" si="2"/>
        <v>cama</v>
      </c>
      <c r="F285" s="8"/>
      <c r="G285" s="8" t="str">
        <f t="shared" si="3"/>
        <v>1.0</v>
      </c>
      <c r="H285" s="9">
        <f t="shared" si="4"/>
        <v>1</v>
      </c>
      <c r="I285" s="6" t="str">
        <f>IFERROR(__xludf.DUMMYFUNCTION("MAX(FILTER($H$2:$H418,$E$2:$E418=F285))"),"#N/A")</f>
        <v>#N/A</v>
      </c>
    </row>
    <row r="286">
      <c r="A286" s="4"/>
      <c r="C286" s="4" t="s">
        <v>1117</v>
      </c>
      <c r="D286" s="4" t="str">
        <f t="shared" si="1"/>
        <v>{"valorA":"rádio","valorB":2.0}</v>
      </c>
      <c r="E286" s="8" t="str">
        <f t="shared" si="2"/>
        <v>rádio</v>
      </c>
      <c r="F286" s="8"/>
      <c r="G286" s="8" t="str">
        <f t="shared" si="3"/>
        <v>2.0</v>
      </c>
      <c r="H286" s="9">
        <f t="shared" si="4"/>
        <v>2</v>
      </c>
      <c r="I286" s="6" t="str">
        <f>IFERROR(__xludf.DUMMYFUNCTION("MAX(FILTER($H$2:$H418,$E$2:$E418=F286))"),"#N/A")</f>
        <v>#N/A</v>
      </c>
    </row>
    <row r="287">
      <c r="A287" s="4"/>
      <c r="C287" s="4" t="s">
        <v>1118</v>
      </c>
      <c r="D287" s="4" t="str">
        <f t="shared" si="1"/>
        <v>{"valorA":"o","valorB":13.0}</v>
      </c>
      <c r="E287" s="8" t="str">
        <f t="shared" si="2"/>
        <v>o</v>
      </c>
      <c r="F287" s="8"/>
      <c r="G287" s="8" t="str">
        <f t="shared" si="3"/>
        <v>13.0</v>
      </c>
      <c r="H287" s="9">
        <f t="shared" si="4"/>
        <v>13</v>
      </c>
      <c r="I287" s="6" t="str">
        <f>IFERROR(__xludf.DUMMYFUNCTION("MAX(FILTER($H$2:$H418,$E$2:$E418=F287))"),"#N/A")</f>
        <v>#N/A</v>
      </c>
    </row>
    <row r="288">
      <c r="A288" s="4"/>
      <c r="C288" s="4" t="s">
        <v>1119</v>
      </c>
      <c r="D288" s="4" t="str">
        <f t="shared" si="1"/>
        <v>{"valorA":"desde","valorB":4.0}</v>
      </c>
      <c r="E288" s="8" t="str">
        <f t="shared" si="2"/>
        <v>desde</v>
      </c>
      <c r="F288" s="8"/>
      <c r="G288" s="8" t="str">
        <f t="shared" si="3"/>
        <v>4.0</v>
      </c>
      <c r="H288" s="9">
        <f t="shared" si="4"/>
        <v>4</v>
      </c>
      <c r="I288" s="6" t="str">
        <f>IFERROR(__xludf.DUMMYFUNCTION("MAX(FILTER($H$2:$H418,$E$2:$E418=F288))"),"#N/A")</f>
        <v>#N/A</v>
      </c>
    </row>
    <row r="289">
      <c r="A289" s="4"/>
      <c r="C289" s="4" t="s">
        <v>696</v>
      </c>
      <c r="D289" s="4" t="str">
        <f t="shared" si="1"/>
        <v>{"valorA":"ótimo","valorB":24.0}</v>
      </c>
      <c r="E289" s="8" t="str">
        <f t="shared" si="2"/>
        <v>ótimo</v>
      </c>
      <c r="F289" s="8"/>
      <c r="G289" s="8" t="str">
        <f t="shared" si="3"/>
        <v>24.0</v>
      </c>
      <c r="H289" s="9">
        <f t="shared" si="4"/>
        <v>24</v>
      </c>
      <c r="I289" s="6" t="str">
        <f>IFERROR(__xludf.DUMMYFUNCTION("MAX(FILTER($H$2:$H418,$E$2:$E418=F289))"),"#N/A")</f>
        <v>#N/A</v>
      </c>
    </row>
    <row r="290">
      <c r="A290" s="4"/>
      <c r="C290" s="4" t="s">
        <v>1120</v>
      </c>
      <c r="D290" s="4" t="str">
        <f t="shared" si="1"/>
        <v>{"valorA":"1","valorB":1.0}</v>
      </c>
      <c r="E290" s="8" t="str">
        <f t="shared" si="2"/>
        <v>1</v>
      </c>
      <c r="F290" s="8"/>
      <c r="G290" s="8" t="str">
        <f t="shared" si="3"/>
        <v>1.0</v>
      </c>
      <c r="H290" s="9">
        <f t="shared" si="4"/>
        <v>1</v>
      </c>
      <c r="I290" s="6" t="str">
        <f>IFERROR(__xludf.DUMMYFUNCTION("MAX(FILTER($H$2:$H418,$E$2:$E418=F290))"),"#N/A")</f>
        <v>#N/A</v>
      </c>
    </row>
    <row r="291">
      <c r="A291" s="4"/>
      <c r="C291" s="4" t="s">
        <v>448</v>
      </c>
      <c r="D291" s="4" t="str">
        <f t="shared" si="1"/>
        <v>{"valorA":"perfeitamente","valorB":6.0}</v>
      </c>
      <c r="E291" s="8" t="str">
        <f t="shared" si="2"/>
        <v>perfeitamente</v>
      </c>
      <c r="F291" s="8"/>
      <c r="G291" s="8" t="str">
        <f t="shared" si="3"/>
        <v>6.0</v>
      </c>
      <c r="H291" s="9">
        <f t="shared" si="4"/>
        <v>6</v>
      </c>
      <c r="I291" s="6" t="str">
        <f>IFERROR(__xludf.DUMMYFUNCTION("MAX(FILTER($H$2:$H418,$E$2:$E418=F291))"),"#N/A")</f>
        <v>#N/A</v>
      </c>
    </row>
    <row r="292">
      <c r="A292" s="4"/>
      <c r="C292" s="4" t="s">
        <v>726</v>
      </c>
      <c r="D292" s="4" t="str">
        <f t="shared" si="1"/>
        <v>{"valorA":"a","valorB":10.0}</v>
      </c>
      <c r="E292" s="8" t="str">
        <f t="shared" si="2"/>
        <v>a</v>
      </c>
      <c r="F292" s="8"/>
      <c r="G292" s="8" t="str">
        <f t="shared" si="3"/>
        <v>10.0</v>
      </c>
      <c r="H292" s="9">
        <f t="shared" si="4"/>
        <v>10</v>
      </c>
      <c r="I292" s="6" t="str">
        <f>IFERROR(__xludf.DUMMYFUNCTION("MAX(FILTER($H$2:$H418,$E$2:$E418=F292))"),"#N/A")</f>
        <v>#N/A</v>
      </c>
    </row>
    <row r="293">
      <c r="A293" s="4"/>
      <c r="C293" s="4" t="s">
        <v>363</v>
      </c>
      <c r="D293" s="4" t="str">
        <f t="shared" si="1"/>
        <v>{"valorA":"funciona","valorB":8.0}</v>
      </c>
      <c r="E293" s="8" t="str">
        <f t="shared" si="2"/>
        <v>funciona</v>
      </c>
      <c r="F293" s="8"/>
      <c r="G293" s="8" t="str">
        <f t="shared" si="3"/>
        <v>8.0</v>
      </c>
      <c r="H293" s="9">
        <f t="shared" si="4"/>
        <v>8</v>
      </c>
      <c r="I293" s="6" t="str">
        <f>IFERROR(__xludf.DUMMYFUNCTION("MAX(FILTER($H$2:$H418,$E$2:$E418=F293))"),"#N/A")</f>
        <v>#N/A</v>
      </c>
    </row>
    <row r="294">
      <c r="A294" s="4"/>
      <c r="C294" s="4" t="s">
        <v>265</v>
      </c>
      <c r="D294" s="4" t="str">
        <f t="shared" si="1"/>
        <v>{"valorA":"minha","valorB":1.0}</v>
      </c>
      <c r="E294" s="8" t="str">
        <f t="shared" si="2"/>
        <v>minha</v>
      </c>
      <c r="F294" s="8"/>
      <c r="G294" s="8" t="str">
        <f t="shared" si="3"/>
        <v>1.0</v>
      </c>
      <c r="H294" s="9">
        <f t="shared" si="4"/>
        <v>1</v>
      </c>
      <c r="I294" s="6" t="str">
        <f>IFERROR(__xludf.DUMMYFUNCTION("MAX(FILTER($H$2:$H418,$E$2:$E418=F294))"),"#N/A")</f>
        <v>#N/A</v>
      </c>
    </row>
    <row r="295">
      <c r="A295" s="4"/>
      <c r="C295" s="4" t="s">
        <v>293</v>
      </c>
      <c r="D295" s="4" t="str">
        <f t="shared" si="1"/>
        <v>{"valorA":"bem","valorB":4.0}</v>
      </c>
      <c r="E295" s="8" t="str">
        <f t="shared" si="2"/>
        <v>bem</v>
      </c>
      <c r="F295" s="8"/>
      <c r="G295" s="8" t="str">
        <f t="shared" si="3"/>
        <v>4.0</v>
      </c>
      <c r="H295" s="9">
        <f t="shared" si="4"/>
        <v>4</v>
      </c>
      <c r="I295" s="6" t="str">
        <f>IFERROR(__xludf.DUMMYFUNCTION("MAX(FILTER($H$2:$H418,$E$2:$E418=F295))"),"#N/A")</f>
        <v>#N/A</v>
      </c>
    </row>
    <row r="296">
      <c r="A296" s="4"/>
      <c r="C296" s="4" t="s">
        <v>1121</v>
      </c>
      <c r="D296" s="4" t="str">
        <f t="shared" si="1"/>
        <v>{"valorA":"deles","valorB":1.0}</v>
      </c>
      <c r="E296" s="8" t="str">
        <f t="shared" si="2"/>
        <v>deles</v>
      </c>
      <c r="F296" s="8"/>
      <c r="G296" s="8" t="str">
        <f t="shared" si="3"/>
        <v>1.0</v>
      </c>
      <c r="H296" s="9">
        <f t="shared" si="4"/>
        <v>1</v>
      </c>
      <c r="I296" s="6" t="str">
        <f>IFERROR(__xludf.DUMMYFUNCTION("MAX(FILTER($H$2:$H418,$E$2:$E418=F296))"),"#N/A")</f>
        <v>#N/A</v>
      </c>
    </row>
    <row r="297">
      <c r="A297" s="4"/>
      <c r="C297" s="4" t="s">
        <v>477</v>
      </c>
      <c r="D297" s="4" t="str">
        <f t="shared" si="1"/>
        <v>{"valorA":"e","valorB":11.0}</v>
      </c>
      <c r="E297" s="8" t="str">
        <f t="shared" si="2"/>
        <v>e</v>
      </c>
      <c r="F297" s="8"/>
      <c r="G297" s="8" t="str">
        <f t="shared" si="3"/>
        <v>11.0</v>
      </c>
      <c r="H297" s="9">
        <f t="shared" si="4"/>
        <v>11</v>
      </c>
      <c r="I297" s="6" t="str">
        <f>IFERROR(__xludf.DUMMYFUNCTION("MAX(FILTER($H$2:$H418,$E$2:$E418=F297))"),"#N/A")</f>
        <v>#N/A</v>
      </c>
    </row>
    <row r="298">
      <c r="A298" s="4"/>
      <c r="C298" s="4" t="s">
        <v>832</v>
      </c>
      <c r="D298" s="4" t="str">
        <f t="shared" si="1"/>
        <v>{"valorA":"de","valorB":13.0}</v>
      </c>
      <c r="E298" s="8" t="str">
        <f t="shared" si="2"/>
        <v>de</v>
      </c>
      <c r="F298" s="8"/>
      <c r="G298" s="8" t="str">
        <f t="shared" si="3"/>
        <v>13.0</v>
      </c>
      <c r="H298" s="9">
        <f t="shared" si="4"/>
        <v>13</v>
      </c>
      <c r="I298" s="6" t="str">
        <f>IFERROR(__xludf.DUMMYFUNCTION("MAX(FILTER($H$2:$H418,$E$2:$E418=F298))"),"#N/A")</f>
        <v>#N/A</v>
      </c>
    </row>
    <row r="299">
      <c r="A299" s="4"/>
      <c r="C299" s="4" t="s">
        <v>1122</v>
      </c>
      <c r="D299" s="4" t="str">
        <f t="shared" si="1"/>
        <v>{"valorA":"pratos","valorB":2.0}</v>
      </c>
      <c r="E299" s="8" t="str">
        <f t="shared" si="2"/>
        <v>pratos</v>
      </c>
      <c r="F299" s="8"/>
      <c r="G299" s="8" t="str">
        <f t="shared" si="3"/>
        <v>2.0</v>
      </c>
      <c r="H299" s="9">
        <f t="shared" si="4"/>
        <v>2</v>
      </c>
      <c r="I299" s="6" t="str">
        <f>IFERROR(__xludf.DUMMYFUNCTION("MAX(FILTER($H$2:$H418,$E$2:$E418=F299))"),"#N/A")</f>
        <v>#N/A</v>
      </c>
    </row>
    <row r="300">
      <c r="A300" s="4"/>
      <c r="C300" s="4" t="s">
        <v>1123</v>
      </c>
      <c r="D300" s="4" t="str">
        <f t="shared" si="1"/>
        <v>{"valorA":"lavador","valorB":4.0}</v>
      </c>
      <c r="E300" s="8" t="str">
        <f t="shared" si="2"/>
        <v>lavador</v>
      </c>
      <c r="F300" s="8"/>
      <c r="G300" s="8" t="str">
        <f t="shared" si="3"/>
        <v>4.0</v>
      </c>
      <c r="H300" s="9">
        <f t="shared" si="4"/>
        <v>4</v>
      </c>
      <c r="I300" s="6" t="str">
        <f>IFERROR(__xludf.DUMMYFUNCTION("MAX(FILTER($H$2:$H418,$E$2:$E418=F300))"),"#N/A")</f>
        <v>#N/A</v>
      </c>
    </row>
    <row r="301">
      <c r="A301" s="4"/>
      <c r="C301" s="4" t="s">
        <v>1124</v>
      </c>
      <c r="D301" s="4" t="str">
        <f t="shared" si="1"/>
        <v>{"valorA":"limpa","valorB":2.0}</v>
      </c>
      <c r="E301" s="8" t="str">
        <f t="shared" si="2"/>
        <v>limpa</v>
      </c>
      <c r="F301" s="8"/>
      <c r="G301" s="8" t="str">
        <f t="shared" si="3"/>
        <v>2.0</v>
      </c>
      <c r="H301" s="9">
        <f t="shared" si="4"/>
        <v>2</v>
      </c>
      <c r="I301" s="6" t="str">
        <f>IFERROR(__xludf.DUMMYFUNCTION("MAX(FILTER($H$2:$H418,$E$2:$E418=F301))"),"#N/A")</f>
        <v>#N/A</v>
      </c>
    </row>
    <row r="302">
      <c r="A302" s="4"/>
      <c r="C302" s="4" t="s">
        <v>190</v>
      </c>
      <c r="D302" s="4" t="str">
        <f t="shared" si="1"/>
        <v>{"valorA":"gostei","valorB":1.0}</v>
      </c>
      <c r="E302" s="8" t="str">
        <f t="shared" si="2"/>
        <v>gostei</v>
      </c>
      <c r="F302" s="8"/>
      <c r="G302" s="8" t="str">
        <f t="shared" si="3"/>
        <v>1.0</v>
      </c>
      <c r="H302" s="9">
        <f t="shared" si="4"/>
        <v>1</v>
      </c>
      <c r="I302" s="6" t="str">
        <f>IFERROR(__xludf.DUMMYFUNCTION("MAX(FILTER($H$2:$H418,$E$2:$E418=F302))"),"#N/A")</f>
        <v>#N/A</v>
      </c>
    </row>
    <row r="303">
      <c r="A303" s="4"/>
      <c r="C303" s="4" t="s">
        <v>712</v>
      </c>
      <c r="D303" s="4" t="str">
        <f t="shared" si="1"/>
        <v>{"valorA":"ótimo","valorB":26.0}</v>
      </c>
      <c r="E303" s="8" t="str">
        <f t="shared" si="2"/>
        <v>ótimo</v>
      </c>
      <c r="F303" s="8"/>
      <c r="G303" s="8" t="str">
        <f t="shared" si="3"/>
        <v>26.0</v>
      </c>
      <c r="H303" s="9">
        <f t="shared" si="4"/>
        <v>26</v>
      </c>
      <c r="I303" s="6" t="str">
        <f>IFERROR(__xludf.DUMMYFUNCTION("MAX(FILTER($H$2:$H418,$E$2:$E418=F303))"),"#N/A")</f>
        <v>#N/A</v>
      </c>
    </row>
    <row r="304">
      <c r="A304" s="4"/>
      <c r="C304" s="4" t="s">
        <v>488</v>
      </c>
      <c r="D304" s="4" t="str">
        <f t="shared" si="1"/>
        <v>{"valorA":"perfeitamente","valorB":7.0}</v>
      </c>
      <c r="E304" s="8" t="str">
        <f t="shared" si="2"/>
        <v>perfeitamente</v>
      </c>
      <c r="F304" s="8"/>
      <c r="G304" s="8" t="str">
        <f t="shared" si="3"/>
        <v>7.0</v>
      </c>
      <c r="H304" s="9">
        <f t="shared" si="4"/>
        <v>7</v>
      </c>
      <c r="I304" s="6" t="str">
        <f>IFERROR(__xludf.DUMMYFUNCTION("MAX(FILTER($H$2:$H418,$E$2:$E418=F304))"),"#N/A")</f>
        <v>#N/A</v>
      </c>
    </row>
    <row r="305">
      <c r="A305" s="4"/>
      <c r="C305" s="4" t="s">
        <v>339</v>
      </c>
      <c r="D305" s="4" t="str">
        <f t="shared" si="1"/>
        <v>{"valorA":"muito","valorB":10.0}</v>
      </c>
      <c r="E305" s="8" t="str">
        <f t="shared" si="2"/>
        <v>muito</v>
      </c>
      <c r="F305" s="8"/>
      <c r="G305" s="8" t="str">
        <f t="shared" si="3"/>
        <v>10.0</v>
      </c>
      <c r="H305" s="9">
        <f t="shared" si="4"/>
        <v>10</v>
      </c>
      <c r="I305" s="6" t="str">
        <f>IFERROR(__xludf.DUMMYFUNCTION("MAX(FILTER($H$2:$H418,$E$2:$E418=F305))"),"#N/A")</f>
        <v>#N/A</v>
      </c>
    </row>
    <row r="306">
      <c r="A306" s="4"/>
      <c r="C306" s="4" t="s">
        <v>1125</v>
      </c>
      <c r="D306" s="4" t="str">
        <f t="shared" si="1"/>
        <v>{"valorA":"funcionalidade","valorB":1.0}</v>
      </c>
      <c r="E306" s="8" t="str">
        <f t="shared" si="2"/>
        <v>funcionalidade</v>
      </c>
      <c r="F306" s="8"/>
      <c r="G306" s="8" t="str">
        <f t="shared" si="3"/>
        <v>1.0</v>
      </c>
      <c r="H306" s="9">
        <f t="shared" si="4"/>
        <v>1</v>
      </c>
      <c r="I306" s="6" t="str">
        <f>IFERROR(__xludf.DUMMYFUNCTION("MAX(FILTER($H$2:$H418,$E$2:$E418=F306))"),"#N/A")</f>
        <v>#N/A</v>
      </c>
    </row>
    <row r="307">
      <c r="A307" s="4"/>
      <c r="C307" s="4" t="s">
        <v>382</v>
      </c>
      <c r="D307" s="4" t="str">
        <f t="shared" si="1"/>
        <v>{"valorA":"funciona","valorB":9.0}</v>
      </c>
      <c r="E307" s="8" t="str">
        <f t="shared" si="2"/>
        <v>funciona</v>
      </c>
      <c r="F307" s="8"/>
      <c r="G307" s="8" t="str">
        <f t="shared" si="3"/>
        <v>9.0</v>
      </c>
      <c r="H307" s="9">
        <f t="shared" si="4"/>
        <v>9</v>
      </c>
      <c r="I307" s="6" t="str">
        <f>IFERROR(__xludf.DUMMYFUNCTION("MAX(FILTER($H$2:$H418,$E$2:$E418=F307))"),"#N/A")</f>
        <v>#N/A</v>
      </c>
    </row>
    <row r="308">
      <c r="A308" s="4"/>
      <c r="C308" s="4" t="s">
        <v>402</v>
      </c>
      <c r="D308" s="4" t="str">
        <f t="shared" si="1"/>
        <v>{"valorA":"da","valorB":2.0}</v>
      </c>
      <c r="E308" s="8" t="str">
        <f t="shared" si="2"/>
        <v>da</v>
      </c>
      <c r="F308" s="8"/>
      <c r="G308" s="8" t="str">
        <f t="shared" si="3"/>
        <v>2.0</v>
      </c>
      <c r="H308" s="9">
        <f t="shared" si="4"/>
        <v>2</v>
      </c>
      <c r="I308" s="6" t="str">
        <f>IFERROR(__xludf.DUMMYFUNCTION("MAX(FILTER($H$2:$H418,$E$2:$E418=F308))"),"#N/A")</f>
        <v>#N/A</v>
      </c>
    </row>
    <row r="309">
      <c r="A309" s="4"/>
      <c r="C309" s="4" t="s">
        <v>1126</v>
      </c>
      <c r="D309" s="4" t="str">
        <f t="shared" si="1"/>
        <v>{"valorA":"prata","valorB":1.0}</v>
      </c>
      <c r="E309" s="8" t="str">
        <f t="shared" si="2"/>
        <v>prata</v>
      </c>
      <c r="F309" s="8"/>
      <c r="G309" s="8" t="str">
        <f t="shared" si="3"/>
        <v>1.0</v>
      </c>
      <c r="H309" s="9">
        <f t="shared" si="4"/>
        <v>1</v>
      </c>
      <c r="I309" s="6" t="str">
        <f>IFERROR(__xludf.DUMMYFUNCTION("MAX(FILTER($H$2:$H418,$E$2:$E418=F309))"),"#N/A")</f>
        <v>#N/A</v>
      </c>
    </row>
    <row r="310">
      <c r="A310" s="4"/>
      <c r="C310" s="4" t="s">
        <v>1127</v>
      </c>
      <c r="D310" s="4" t="str">
        <f t="shared" si="1"/>
        <v>{"valorA":"coment","valorB":1.0}</v>
      </c>
      <c r="E310" s="8" t="str">
        <f t="shared" si="2"/>
        <v>coment</v>
      </c>
      <c r="F310" s="8"/>
      <c r="G310" s="8" t="str">
        <f t="shared" si="3"/>
        <v>1.0</v>
      </c>
      <c r="H310" s="9">
        <f t="shared" si="4"/>
        <v>1</v>
      </c>
      <c r="I310" s="6" t="str">
        <f>IFERROR(__xludf.DUMMYFUNCTION("MAX(FILTER($H$2:$H418,$E$2:$E418=F310))"),"#N/A")</f>
        <v>#N/A</v>
      </c>
    </row>
    <row r="311">
      <c r="A311" s="4"/>
      <c r="C311" s="4" t="s">
        <v>757</v>
      </c>
      <c r="D311" s="4" t="str">
        <f t="shared" si="1"/>
        <v>{"valorA":"para","valorB":13.0}</v>
      </c>
      <c r="E311" s="8" t="str">
        <f t="shared" si="2"/>
        <v>para</v>
      </c>
      <c r="F311" s="8"/>
      <c r="G311" s="8" t="str">
        <f t="shared" si="3"/>
        <v>13.0</v>
      </c>
      <c r="H311" s="9">
        <f t="shared" si="4"/>
        <v>13</v>
      </c>
      <c r="I311" s="6" t="str">
        <f>IFERROR(__xludf.DUMMYFUNCTION("MAX(FILTER($H$2:$H418,$E$2:$E418=F311))"),"#N/A")</f>
        <v>#N/A</v>
      </c>
    </row>
    <row r="312">
      <c r="A312" s="4"/>
      <c r="C312" s="4" t="s">
        <v>471</v>
      </c>
      <c r="D312" s="4" t="str">
        <f t="shared" si="1"/>
        <v>{"valorA":"barato","valorB":3.0}</v>
      </c>
      <c r="E312" s="8" t="str">
        <f t="shared" si="2"/>
        <v>barato</v>
      </c>
      <c r="F312" s="8"/>
      <c r="G312" s="8" t="str">
        <f t="shared" si="3"/>
        <v>3.0</v>
      </c>
      <c r="H312" s="9">
        <f t="shared" si="4"/>
        <v>3</v>
      </c>
      <c r="I312" s="6" t="str">
        <f>IFERROR(__xludf.DUMMYFUNCTION("MAX(FILTER($H$2:$H418,$E$2:$E418=F312))"),"#N/A")</f>
        <v>#N/A</v>
      </c>
    </row>
    <row r="313">
      <c r="A313" s="4"/>
      <c r="C313" s="4" t="s">
        <v>625</v>
      </c>
      <c r="D313" s="4" t="str">
        <f t="shared" si="1"/>
        <v>{"valorA":"valeu","valorB":2.0}</v>
      </c>
      <c r="E313" s="8" t="str">
        <f t="shared" si="2"/>
        <v>valeu</v>
      </c>
      <c r="F313" s="8"/>
      <c r="G313" s="8" t="str">
        <f t="shared" si="3"/>
        <v>2.0</v>
      </c>
      <c r="H313" s="9">
        <f t="shared" si="4"/>
        <v>2</v>
      </c>
      <c r="I313" s="6" t="str">
        <f>IFERROR(__xludf.DUMMYFUNCTION("MAX(FILTER($H$2:$H418,$E$2:$E418=F313))"),"#N/A")</f>
        <v>#N/A</v>
      </c>
    </row>
    <row r="314">
      <c r="A314" s="4"/>
      <c r="C314" s="4" t="s">
        <v>1128</v>
      </c>
      <c r="D314" s="4" t="str">
        <f t="shared" si="1"/>
        <v>{"valorA":"ótima","valorB":7.0}</v>
      </c>
      <c r="E314" s="8" t="str">
        <f t="shared" si="2"/>
        <v>ótima</v>
      </c>
      <c r="F314" s="8"/>
      <c r="G314" s="8" t="str">
        <f t="shared" si="3"/>
        <v>7.0</v>
      </c>
      <c r="H314" s="9">
        <f t="shared" si="4"/>
        <v>7</v>
      </c>
      <c r="I314" s="6" t="str">
        <f>IFERROR(__xludf.DUMMYFUNCTION("MAX(FILTER($H$2:$H418,$E$2:$E418=F314))"),"#N/A")</f>
        <v>#N/A</v>
      </c>
    </row>
    <row r="315">
      <c r="A315" s="4"/>
      <c r="C315" s="4" t="s">
        <v>1129</v>
      </c>
      <c r="D315" s="4" t="str">
        <f t="shared" si="1"/>
        <v>{"valorA":"escritório","valorB":2.0}</v>
      </c>
      <c r="E315" s="8" t="str">
        <f t="shared" si="2"/>
        <v>escritório</v>
      </c>
      <c r="F315" s="8"/>
      <c r="G315" s="8" t="str">
        <f t="shared" si="3"/>
        <v>2.0</v>
      </c>
      <c r="H315" s="9">
        <f t="shared" si="4"/>
        <v>2</v>
      </c>
      <c r="I315" s="6" t="str">
        <f>IFERROR(__xludf.DUMMYFUNCTION("MAX(FILTER($H$2:$H418,$E$2:$E418=F315))"),"#N/A")</f>
        <v>#N/A</v>
      </c>
    </row>
    <row r="316">
      <c r="A316" s="4"/>
      <c r="C316" s="4" t="s">
        <v>1130</v>
      </c>
      <c r="D316" s="4" t="str">
        <f t="shared" si="1"/>
        <v>{"valorA":"o","valorB":15.0}</v>
      </c>
      <c r="E316" s="8" t="str">
        <f t="shared" si="2"/>
        <v>o</v>
      </c>
      <c r="F316" s="8"/>
      <c r="G316" s="8" t="str">
        <f t="shared" si="3"/>
        <v>15.0</v>
      </c>
      <c r="H316" s="9">
        <f t="shared" si="4"/>
        <v>15</v>
      </c>
      <c r="I316" s="6" t="str">
        <f>IFERROR(__xludf.DUMMYFUNCTION("MAX(FILTER($H$2:$H418,$E$2:$E418=F316))"),"#N/A")</f>
        <v>#N/A</v>
      </c>
    </row>
    <row r="317">
      <c r="A317" s="4"/>
      <c r="C317" s="4" t="s">
        <v>753</v>
      </c>
      <c r="D317" s="4" t="str">
        <f t="shared" si="1"/>
        <v>{"valorA":"e","valorB":12.0}</v>
      </c>
      <c r="E317" s="8" t="str">
        <f t="shared" si="2"/>
        <v>e</v>
      </c>
      <c r="F317" s="8"/>
      <c r="G317" s="8" t="str">
        <f t="shared" si="3"/>
        <v>12.0</v>
      </c>
      <c r="H317" s="9">
        <f t="shared" si="4"/>
        <v>12</v>
      </c>
      <c r="I317" s="6" t="str">
        <f>IFERROR(__xludf.DUMMYFUNCTION("MAX(FILTER($H$2:$H418,$E$2:$E418=F317))"),"#N/A")</f>
        <v>#N/A</v>
      </c>
    </row>
    <row r="318">
      <c r="A318" s="4"/>
      <c r="C318" s="4" t="s">
        <v>478</v>
      </c>
      <c r="D318" s="4" t="str">
        <f t="shared" si="1"/>
        <v>{"valorA":"dinheiro","valorB":1.0}</v>
      </c>
      <c r="E318" s="8" t="str">
        <f t="shared" si="2"/>
        <v>dinheiro</v>
      </c>
      <c r="F318" s="8"/>
      <c r="G318" s="8" t="str">
        <f t="shared" si="3"/>
        <v>1.0</v>
      </c>
      <c r="H318" s="9">
        <f t="shared" si="4"/>
        <v>1</v>
      </c>
      <c r="I318" s="6" t="str">
        <f>IFERROR(__xludf.DUMMYFUNCTION("MAX(FILTER($H$2:$H418,$E$2:$E418=F318))"),"#N/A")</f>
        <v>#N/A</v>
      </c>
    </row>
    <row r="319">
      <c r="A319" s="4"/>
      <c r="C319" s="4" t="s">
        <v>1131</v>
      </c>
      <c r="D319" s="4" t="str">
        <f t="shared" si="1"/>
        <v>{"valorA":"fica","valorB":2.0}</v>
      </c>
      <c r="E319" s="8" t="str">
        <f t="shared" si="2"/>
        <v>fica</v>
      </c>
      <c r="F319" s="8"/>
      <c r="G319" s="8" t="str">
        <f t="shared" si="3"/>
        <v>2.0</v>
      </c>
      <c r="H319" s="9">
        <f t="shared" si="4"/>
        <v>2</v>
      </c>
      <c r="I319" s="6" t="str">
        <f>IFERROR(__xludf.DUMMYFUNCTION("MAX(FILTER($H$2:$H418,$E$2:$E418=F319))"),"#N/A")</f>
        <v>#N/A</v>
      </c>
    </row>
    <row r="320">
      <c r="A320" s="4"/>
      <c r="C320" s="4" t="s">
        <v>1132</v>
      </c>
      <c r="D320" s="4" t="str">
        <f t="shared" si="1"/>
        <v>{"valorA":"elétrico","valorB":2.0}</v>
      </c>
      <c r="E320" s="8" t="str">
        <f t="shared" si="2"/>
        <v>elétrico</v>
      </c>
      <c r="F320" s="8"/>
      <c r="G320" s="8" t="str">
        <f t="shared" si="3"/>
        <v>2.0</v>
      </c>
      <c r="H320" s="9">
        <f t="shared" si="4"/>
        <v>2</v>
      </c>
      <c r="I320" s="6" t="str">
        <f>IFERROR(__xludf.DUMMYFUNCTION("MAX(FILTER($H$2:$H418,$E$2:$E418=F320))"),"#N/A")</f>
        <v>#N/A</v>
      </c>
    </row>
    <row r="321">
      <c r="A321" s="4"/>
      <c r="C321" s="4" t="s">
        <v>1133</v>
      </c>
      <c r="D321" s="4" t="str">
        <f t="shared" si="1"/>
        <v>{"valorA":"ergonomicamente","valorB":1.0}</v>
      </c>
      <c r="E321" s="8" t="str">
        <f t="shared" si="2"/>
        <v>ergonomicamente</v>
      </c>
      <c r="F321" s="8"/>
      <c r="G321" s="8" t="str">
        <f t="shared" si="3"/>
        <v>1.0</v>
      </c>
      <c r="H321" s="9">
        <f t="shared" si="4"/>
        <v>1</v>
      </c>
      <c r="I321" s="6" t="str">
        <f>IFERROR(__xludf.DUMMYFUNCTION("MAX(FILTER($H$2:$H418,$E$2:$E418=F321))"),"#N/A")</f>
        <v>#N/A</v>
      </c>
    </row>
    <row r="322">
      <c r="A322" s="4"/>
      <c r="C322" s="4" t="s">
        <v>241</v>
      </c>
      <c r="D322" s="4" t="str">
        <f t="shared" si="1"/>
        <v>{"valorA":"produto","valorB":6.0}</v>
      </c>
      <c r="E322" s="8" t="str">
        <f t="shared" si="2"/>
        <v>produto</v>
      </c>
      <c r="F322" s="8"/>
      <c r="G322" s="8" t="str">
        <f t="shared" si="3"/>
        <v>6.0</v>
      </c>
      <c r="H322" s="9">
        <f t="shared" si="4"/>
        <v>6</v>
      </c>
      <c r="I322" s="6" t="str">
        <f>IFERROR(__xludf.DUMMYFUNCTION("MAX(FILTER($H$2:$H418,$E$2:$E418=F322))"),"#N/A")</f>
        <v>#N/A</v>
      </c>
    </row>
    <row r="323">
      <c r="A323" s="4"/>
      <c r="C323" s="4" t="s">
        <v>719</v>
      </c>
      <c r="D323" s="4" t="str">
        <f t="shared" si="1"/>
        <v>{"valorA":"ótimo","valorB":28.0}</v>
      </c>
      <c r="E323" s="8" t="str">
        <f t="shared" si="2"/>
        <v>ótimo</v>
      </c>
      <c r="F323" s="8"/>
      <c r="G323" s="8" t="str">
        <f t="shared" si="3"/>
        <v>28.0</v>
      </c>
      <c r="H323" s="9">
        <f t="shared" si="4"/>
        <v>28</v>
      </c>
      <c r="I323" s="6" t="str">
        <f>IFERROR(__xludf.DUMMYFUNCTION("MAX(FILTER($H$2:$H418,$E$2:$E418=F323))"),"#N/A")</f>
        <v>#N/A</v>
      </c>
    </row>
    <row r="324">
      <c r="A324" s="4"/>
      <c r="C324" s="4" t="s">
        <v>1134</v>
      </c>
      <c r="D324" s="4" t="str">
        <f t="shared" si="1"/>
        <v>{"valorA":"balanço","valorB":1.0}</v>
      </c>
      <c r="E324" s="8" t="str">
        <f t="shared" si="2"/>
        <v>balanço</v>
      </c>
      <c r="F324" s="8"/>
      <c r="G324" s="8" t="str">
        <f t="shared" si="3"/>
        <v>1.0</v>
      </c>
      <c r="H324" s="9">
        <f t="shared" si="4"/>
        <v>1</v>
      </c>
      <c r="I324" s="6" t="str">
        <f>IFERROR(__xludf.DUMMYFUNCTION("MAX(FILTER($H$2:$H418,$E$2:$E418=F324))"),"#N/A")</f>
        <v>#N/A</v>
      </c>
    </row>
    <row r="325">
      <c r="A325" s="4"/>
      <c r="C325" s="4" t="s">
        <v>1135</v>
      </c>
      <c r="D325" s="4" t="str">
        <f t="shared" si="1"/>
        <v>{"valorA":"correta","valorB":1.0}</v>
      </c>
      <c r="E325" s="8" t="str">
        <f t="shared" si="2"/>
        <v>correta</v>
      </c>
      <c r="F325" s="8"/>
      <c r="G325" s="8" t="str">
        <f t="shared" si="3"/>
        <v>1.0</v>
      </c>
      <c r="H325" s="9">
        <f t="shared" si="4"/>
        <v>1</v>
      </c>
      <c r="I325" s="6" t="str">
        <f>IFERROR(__xludf.DUMMYFUNCTION("MAX(FILTER($H$2:$H418,$E$2:$E418=F325))"),"#N/A")</f>
        <v>#N/A</v>
      </c>
    </row>
    <row r="326">
      <c r="A326" s="4"/>
      <c r="C326" s="4" t="s">
        <v>377</v>
      </c>
      <c r="D326" s="4" t="str">
        <f t="shared" si="1"/>
        <v>{"valorA":"muito","valorB":12.0}</v>
      </c>
      <c r="E326" s="8" t="str">
        <f t="shared" si="2"/>
        <v>muito</v>
      </c>
      <c r="F326" s="8"/>
      <c r="G326" s="8" t="str">
        <f t="shared" si="3"/>
        <v>12.0</v>
      </c>
      <c r="H326" s="9">
        <f t="shared" si="4"/>
        <v>12</v>
      </c>
      <c r="I326" s="6" t="str">
        <f>IFERROR(__xludf.DUMMYFUNCTION("MAX(FILTER($H$2:$H418,$E$2:$E418=F326))"),"#N/A")</f>
        <v>#N/A</v>
      </c>
    </row>
    <row r="327">
      <c r="A327" s="4"/>
      <c r="C327" s="4" t="s">
        <v>644</v>
      </c>
      <c r="D327" s="4" t="str">
        <f t="shared" si="1"/>
        <v>{"valorA":"casa","valorB":1.0}</v>
      </c>
      <c r="E327" s="8" t="str">
        <f t="shared" si="2"/>
        <v>casa</v>
      </c>
      <c r="F327" s="8"/>
      <c r="G327" s="8" t="str">
        <f t="shared" si="3"/>
        <v>1.0</v>
      </c>
      <c r="H327" s="9">
        <f t="shared" si="4"/>
        <v>1</v>
      </c>
      <c r="I327" s="6" t="str">
        <f>IFERROR(__xludf.DUMMYFUNCTION("MAX(FILTER($H$2:$H418,$E$2:$E418=F327))"),"#N/A")</f>
        <v>#N/A</v>
      </c>
    </row>
    <row r="328">
      <c r="A328" s="4"/>
      <c r="C328" s="4" t="s">
        <v>1136</v>
      </c>
      <c r="D328" s="4" t="str">
        <f t="shared" si="1"/>
        <v>{"valorA":"confortável","valorB":4.0}</v>
      </c>
      <c r="E328" s="8" t="str">
        <f t="shared" si="2"/>
        <v>confortável</v>
      </c>
      <c r="F328" s="8"/>
      <c r="G328" s="8" t="str">
        <f t="shared" si="3"/>
        <v>4.0</v>
      </c>
      <c r="H328" s="9">
        <f t="shared" si="4"/>
        <v>4</v>
      </c>
      <c r="I328" s="6" t="str">
        <f>IFERROR(__xludf.DUMMYFUNCTION("MAX(FILTER($H$2:$H418,$E$2:$E418=F328))"),"#N/A")</f>
        <v>#N/A</v>
      </c>
    </row>
    <row r="329">
      <c r="A329" s="4"/>
      <c r="C329" s="4" t="s">
        <v>738</v>
      </c>
      <c r="D329" s="4" t="str">
        <f t="shared" si="1"/>
        <v>{"valorA":"a","valorB":11.0}</v>
      </c>
      <c r="E329" s="8" t="str">
        <f t="shared" si="2"/>
        <v>a</v>
      </c>
      <c r="F329" s="8"/>
      <c r="G329" s="8" t="str">
        <f t="shared" si="3"/>
        <v>11.0</v>
      </c>
      <c r="H329" s="9">
        <f t="shared" si="4"/>
        <v>11</v>
      </c>
      <c r="I329" s="6" t="str">
        <f>IFERROR(__xludf.DUMMYFUNCTION("MAX(FILTER($H$2:$H418,$E$2:$E418=F329))"),"#N/A")</f>
        <v>#N/A</v>
      </c>
    </row>
    <row r="330">
      <c r="A330" s="4"/>
      <c r="C330" s="4" t="s">
        <v>1137</v>
      </c>
      <c r="D330" s="4" t="str">
        <f t="shared" si="1"/>
        <v>{"valorA":"achei","valorB":1.0}</v>
      </c>
      <c r="E330" s="8" t="str">
        <f t="shared" si="2"/>
        <v>achei</v>
      </c>
      <c r="F330" s="8"/>
      <c r="G330" s="8" t="str">
        <f t="shared" si="3"/>
        <v>1.0</v>
      </c>
      <c r="H330" s="9">
        <f t="shared" si="4"/>
        <v>1</v>
      </c>
      <c r="I330" s="6" t="str">
        <f>IFERROR(__xludf.DUMMYFUNCTION("MAX(FILTER($H$2:$H418,$E$2:$E418=F330))"),"#N/A")</f>
        <v>#N/A</v>
      </c>
    </row>
    <row r="331">
      <c r="A331" s="4"/>
      <c r="C331" s="4" t="s">
        <v>1138</v>
      </c>
      <c r="D331" s="4" t="str">
        <f t="shared" si="1"/>
        <v>{"valorA":"cadeira","valorB":2.0}</v>
      </c>
      <c r="E331" s="8" t="str">
        <f t="shared" si="2"/>
        <v>cadeira</v>
      </c>
      <c r="F331" s="8"/>
      <c r="G331" s="8" t="str">
        <f t="shared" si="3"/>
        <v>2.0</v>
      </c>
      <c r="H331" s="9">
        <f t="shared" si="4"/>
        <v>2</v>
      </c>
      <c r="I331" s="6" t="str">
        <f>IFERROR(__xludf.DUMMYFUNCTION("MAX(FILTER($H$2:$H418,$E$2:$E418=F331))"),"#N/A")</f>
        <v>#N/A</v>
      </c>
    </row>
    <row r="332">
      <c r="A332" s="4"/>
      <c r="C332" s="4" t="s">
        <v>583</v>
      </c>
      <c r="D332" s="4" t="str">
        <f t="shared" si="1"/>
        <v>{"valorA":"preço","valorB":1.0}</v>
      </c>
      <c r="E332" s="8" t="str">
        <f t="shared" si="2"/>
        <v>preço</v>
      </c>
      <c r="F332" s="8"/>
      <c r="G332" s="8" t="str">
        <f t="shared" si="3"/>
        <v>1.0</v>
      </c>
      <c r="H332" s="9">
        <f t="shared" si="4"/>
        <v>1</v>
      </c>
      <c r="I332" s="6" t="str">
        <f>IFERROR(__xludf.DUMMYFUNCTION("MAX(FILTER($H$2:$H418,$E$2:$E418=F332))"),"#N/A")</f>
        <v>#N/A</v>
      </c>
    </row>
    <row r="333">
      <c r="A333" s="4"/>
      <c r="C333" s="4" t="s">
        <v>346</v>
      </c>
      <c r="D333" s="4" t="str">
        <f t="shared" si="1"/>
        <v>{"valorA":"qualidade","valorB":1.0}</v>
      </c>
      <c r="E333" s="8" t="str">
        <f t="shared" si="2"/>
        <v>qualidade</v>
      </c>
      <c r="F333" s="8"/>
      <c r="G333" s="8" t="str">
        <f t="shared" si="3"/>
        <v>1.0</v>
      </c>
      <c r="H333" s="9">
        <f t="shared" si="4"/>
        <v>1</v>
      </c>
      <c r="I333" s="6" t="str">
        <f>IFERROR(__xludf.DUMMYFUNCTION("MAX(FILTER($H$2:$H418,$E$2:$E418=F333))"),"#N/A")</f>
        <v>#N/A</v>
      </c>
    </row>
    <row r="334">
      <c r="A334" s="4"/>
      <c r="C334" s="4" t="s">
        <v>1139</v>
      </c>
      <c r="D334" s="4" t="str">
        <f t="shared" si="1"/>
        <v>{"valorA":"leite","valorB":2.0}</v>
      </c>
      <c r="E334" s="8" t="str">
        <f t="shared" si="2"/>
        <v>leite</v>
      </c>
      <c r="F334" s="8"/>
      <c r="G334" s="8" t="str">
        <f t="shared" si="3"/>
        <v>2.0</v>
      </c>
      <c r="H334" s="9">
        <f t="shared" si="4"/>
        <v>2</v>
      </c>
      <c r="I334" s="6" t="str">
        <f>IFERROR(__xludf.DUMMYFUNCTION("MAX(FILTER($H$2:$H418,$E$2:$E418=F334))"),"#N/A")</f>
        <v>#N/A</v>
      </c>
    </row>
    <row r="335">
      <c r="A335" s="4"/>
      <c r="C335" s="4" t="s">
        <v>1140</v>
      </c>
      <c r="D335" s="4" t="str">
        <f t="shared" si="1"/>
        <v>{"valorA":"pena","valorB":3.0}</v>
      </c>
      <c r="E335" s="8" t="str">
        <f t="shared" si="2"/>
        <v>pena</v>
      </c>
      <c r="F335" s="8"/>
      <c r="G335" s="8" t="str">
        <f t="shared" si="3"/>
        <v>3.0</v>
      </c>
      <c r="H335" s="9">
        <f t="shared" si="4"/>
        <v>3</v>
      </c>
      <c r="I335" s="6" t="str">
        <f>IFERROR(__xludf.DUMMYFUNCTION("MAX(FILTER($H$2:$H418,$E$2:$E418=F335))"),"#N/A")</f>
        <v>#N/A</v>
      </c>
    </row>
    <row r="336">
      <c r="A336" s="4"/>
      <c r="C336" s="4" t="s">
        <v>648</v>
      </c>
      <c r="D336" s="4" t="str">
        <f t="shared" si="1"/>
        <v>{"valorA":"bom","valorB":2.0}</v>
      </c>
      <c r="E336" s="8" t="str">
        <f t="shared" si="2"/>
        <v>bom</v>
      </c>
      <c r="F336" s="8"/>
      <c r="G336" s="8" t="str">
        <f t="shared" si="3"/>
        <v>2.0</v>
      </c>
      <c r="H336" s="9">
        <f t="shared" si="4"/>
        <v>2</v>
      </c>
      <c r="I336" s="6" t="str">
        <f>IFERROR(__xludf.DUMMYFUNCTION("MAX(FILTER($H$2:$H418,$E$2:$E418=F336))"),"#N/A")</f>
        <v>#N/A</v>
      </c>
    </row>
    <row r="337">
      <c r="A337" s="4"/>
      <c r="C337" s="4" t="s">
        <v>841</v>
      </c>
      <c r="D337" s="4" t="str">
        <f t="shared" si="1"/>
        <v>{"valorA":"de","valorB":14.0}</v>
      </c>
      <c r="E337" s="8" t="str">
        <f t="shared" si="2"/>
        <v>de</v>
      </c>
      <c r="F337" s="8"/>
      <c r="G337" s="8" t="str">
        <f t="shared" si="3"/>
        <v>14.0</v>
      </c>
      <c r="H337" s="9">
        <f t="shared" si="4"/>
        <v>14</v>
      </c>
      <c r="I337" s="6" t="str">
        <f>IFERROR(__xludf.DUMMYFUNCTION("MAX(FILTER($H$2:$H418,$E$2:$E418=F337))"),"#N/A")</f>
        <v>#N/A</v>
      </c>
    </row>
    <row r="338">
      <c r="A338" s="4"/>
      <c r="C338" s="4" t="s">
        <v>480</v>
      </c>
      <c r="D338" s="4" t="str">
        <f t="shared" si="1"/>
        <v>{"valorA":"vale","valorB":2.0}</v>
      </c>
      <c r="E338" s="8" t="str">
        <f t="shared" si="2"/>
        <v>vale</v>
      </c>
      <c r="F338" s="8"/>
      <c r="G338" s="8" t="str">
        <f t="shared" si="3"/>
        <v>2.0</v>
      </c>
      <c r="H338" s="9">
        <f t="shared" si="4"/>
        <v>2</v>
      </c>
      <c r="I338" s="6" t="str">
        <f>IFERROR(__xludf.DUMMYFUNCTION("MAX(FILTER($H$2:$H418,$E$2:$E418=F338))"),"#N/A")</f>
        <v>#N/A</v>
      </c>
    </row>
    <row r="339">
      <c r="A339" s="4"/>
      <c r="C339" s="4" t="s">
        <v>1141</v>
      </c>
      <c r="D339" s="4" t="str">
        <f t="shared" si="1"/>
        <v>{"valorA":"aparelho","valorB":4.0}</v>
      </c>
      <c r="E339" s="8" t="str">
        <f t="shared" si="2"/>
        <v>aparelho</v>
      </c>
      <c r="F339" s="8"/>
      <c r="G339" s="8" t="str">
        <f t="shared" si="3"/>
        <v>4.0</v>
      </c>
      <c r="H339" s="9">
        <f t="shared" si="4"/>
        <v>4</v>
      </c>
      <c r="I339" s="6" t="str">
        <f>IFERROR(__xludf.DUMMYFUNCTION("MAX(FILTER($H$2:$H418,$E$2:$E418=F339))"),"#N/A")</f>
        <v>#N/A</v>
      </c>
    </row>
    <row r="340">
      <c r="A340" s="4"/>
      <c r="C340" s="4" t="s">
        <v>335</v>
      </c>
      <c r="D340" s="4" t="str">
        <f t="shared" si="1"/>
        <v>{"valorA":"do","valorB":1.0}</v>
      </c>
      <c r="E340" s="8" t="str">
        <f t="shared" si="2"/>
        <v>do</v>
      </c>
      <c r="F340" s="8"/>
      <c r="G340" s="8" t="str">
        <f t="shared" si="3"/>
        <v>1.0</v>
      </c>
      <c r="H340" s="9">
        <f t="shared" si="4"/>
        <v>1</v>
      </c>
      <c r="I340" s="6" t="str">
        <f>IFERROR(__xludf.DUMMYFUNCTION("MAX(FILTER($H$2:$H418,$E$2:$E418=F340))"),"#N/A")</f>
        <v>#N/A</v>
      </c>
    </row>
    <row r="341">
      <c r="A341" s="4"/>
      <c r="C341" s="4" t="s">
        <v>376</v>
      </c>
      <c r="D341" s="4" t="str">
        <f t="shared" si="1"/>
        <v>{"valorA":"ótimo","valorB":30.0}</v>
      </c>
      <c r="E341" s="8" t="str">
        <f t="shared" si="2"/>
        <v>ótimo</v>
      </c>
      <c r="F341" s="8"/>
      <c r="G341" s="8" t="str">
        <f t="shared" si="3"/>
        <v>30.0</v>
      </c>
      <c r="H341" s="9">
        <f t="shared" si="4"/>
        <v>30</v>
      </c>
      <c r="I341" s="6" t="str">
        <f>IFERROR(__xludf.DUMMYFUNCTION("MAX(FILTER($H$2:$H418,$E$2:$E418=F341))"),"#N/A")</f>
        <v>#N/A</v>
      </c>
    </row>
    <row r="342">
      <c r="A342" s="4"/>
      <c r="C342" s="4" t="s">
        <v>261</v>
      </c>
      <c r="D342" s="4" t="str">
        <f t="shared" si="1"/>
        <v>{"valorA":"realmente","valorB":1.0}</v>
      </c>
      <c r="E342" s="8" t="str">
        <f t="shared" si="2"/>
        <v>realmente</v>
      </c>
      <c r="F342" s="8"/>
      <c r="G342" s="8" t="str">
        <f t="shared" si="3"/>
        <v>1.0</v>
      </c>
      <c r="H342" s="9">
        <f t="shared" si="4"/>
        <v>1</v>
      </c>
      <c r="I342" s="6" t="str">
        <f>IFERROR(__xludf.DUMMYFUNCTION("MAX(FILTER($H$2:$H418,$E$2:$E418=F342))"),"#N/A")</f>
        <v>#N/A</v>
      </c>
    </row>
    <row r="343">
      <c r="A343" s="4"/>
      <c r="C343" s="4" t="s">
        <v>829</v>
      </c>
      <c r="D343" s="4" t="str">
        <f t="shared" si="1"/>
        <v>{"valorA":"muito","valorB":13.0}</v>
      </c>
      <c r="E343" s="8" t="str">
        <f t="shared" si="2"/>
        <v>muito</v>
      </c>
      <c r="F343" s="8"/>
      <c r="G343" s="8" t="str">
        <f t="shared" si="3"/>
        <v>13.0</v>
      </c>
      <c r="H343" s="9">
        <f t="shared" si="4"/>
        <v>13</v>
      </c>
      <c r="I343" s="6" t="str">
        <f>IFERROR(__xludf.DUMMYFUNCTION("MAX(FILTER($H$2:$H418,$E$2:$E418=F343))"),"#N/A")</f>
        <v>#N/A</v>
      </c>
    </row>
    <row r="344">
      <c r="A344" s="4"/>
      <c r="C344" s="4" t="s">
        <v>810</v>
      </c>
      <c r="D344" s="4" t="str">
        <f t="shared" si="1"/>
        <v>{"valorA":"a","valorB":13.0}</v>
      </c>
      <c r="E344" s="8" t="str">
        <f t="shared" si="2"/>
        <v>a</v>
      </c>
      <c r="F344" s="8"/>
      <c r="G344" s="8" t="str">
        <f t="shared" si="3"/>
        <v>13.0</v>
      </c>
      <c r="H344" s="9">
        <f t="shared" si="4"/>
        <v>13</v>
      </c>
      <c r="I344" s="6" t="str">
        <f>IFERROR(__xludf.DUMMYFUNCTION("MAX(FILTER($H$2:$H418,$E$2:$E418=F344))"),"#N/A")</f>
        <v>#N/A</v>
      </c>
    </row>
    <row r="345">
      <c r="A345" s="4"/>
      <c r="C345" s="4" t="s">
        <v>1142</v>
      </c>
      <c r="D345" s="4" t="str">
        <f t="shared" si="1"/>
        <v>{"valorA":"eletrônico","valorB":1.0}</v>
      </c>
      <c r="E345" s="8" t="str">
        <f t="shared" si="2"/>
        <v>eletrônico</v>
      </c>
      <c r="F345" s="8"/>
      <c r="G345" s="8" t="str">
        <f t="shared" si="3"/>
        <v>1.0</v>
      </c>
      <c r="H345" s="9">
        <f t="shared" si="4"/>
        <v>1</v>
      </c>
      <c r="I345" s="6" t="str">
        <f>IFERROR(__xludf.DUMMYFUNCTION("MAX(FILTER($H$2:$H418,$E$2:$E418=F345))"),"#N/A")</f>
        <v>#N/A</v>
      </c>
    </row>
    <row r="346">
      <c r="A346" s="4"/>
      <c r="C346" s="4" t="s">
        <v>1143</v>
      </c>
      <c r="D346" s="4" t="str">
        <f t="shared" si="1"/>
        <v>{"valorA":"achei","valorB":2.0}</v>
      </c>
      <c r="E346" s="8" t="str">
        <f t="shared" si="2"/>
        <v>achei</v>
      </c>
      <c r="F346" s="8"/>
      <c r="G346" s="8" t="str">
        <f t="shared" si="3"/>
        <v>2.0</v>
      </c>
      <c r="H346" s="9">
        <f t="shared" si="4"/>
        <v>2</v>
      </c>
      <c r="I346" s="6" t="str">
        <f>IFERROR(__xludf.DUMMYFUNCTION("MAX(FILTER($H$2:$H418,$E$2:$E418=F346))"),"#N/A")</f>
        <v>#N/A</v>
      </c>
    </row>
    <row r="347">
      <c r="A347" s="4"/>
      <c r="C347" s="4" t="s">
        <v>304</v>
      </c>
      <c r="D347" s="4" t="str">
        <f t="shared" si="1"/>
        <v>{"valorA":"caixa","valorB":1.0}</v>
      </c>
      <c r="E347" s="8" t="str">
        <f t="shared" si="2"/>
        <v>caixa</v>
      </c>
      <c r="F347" s="8"/>
      <c r="G347" s="8" t="str">
        <f t="shared" si="3"/>
        <v>1.0</v>
      </c>
      <c r="H347" s="9">
        <f t="shared" si="4"/>
        <v>1</v>
      </c>
      <c r="I347" s="6" t="str">
        <f>IFERROR(__xludf.DUMMYFUNCTION("MAX(FILTER($H$2:$H418,$E$2:$E418=F347))"),"#N/A")</f>
        <v>#N/A</v>
      </c>
    </row>
    <row r="348">
      <c r="A348" s="4"/>
      <c r="C348" s="4" t="s">
        <v>276</v>
      </c>
      <c r="D348" s="4" t="str">
        <f t="shared" si="1"/>
        <v>{"valorA":"é","valorB":3.0}</v>
      </c>
      <c r="E348" s="8" t="str">
        <f t="shared" si="2"/>
        <v>é</v>
      </c>
      <c r="F348" s="8"/>
      <c r="G348" s="8" t="str">
        <f t="shared" si="3"/>
        <v>3.0</v>
      </c>
      <c r="H348" s="9">
        <f t="shared" si="4"/>
        <v>3</v>
      </c>
      <c r="I348" s="6" t="str">
        <f>IFERROR(__xludf.DUMMYFUNCTION("MAX(FILTER($H$2:$H418,$E$2:$E418=F348))"),"#N/A")</f>
        <v>#N/A</v>
      </c>
    </row>
    <row r="349">
      <c r="A349" s="4"/>
      <c r="C349" s="4" t="s">
        <v>1144</v>
      </c>
      <c r="D349" s="4" t="str">
        <f t="shared" si="1"/>
        <v>{"valorA":"com","valorB":10.0}</v>
      </c>
      <c r="E349" s="8" t="str">
        <f t="shared" si="2"/>
        <v>com</v>
      </c>
      <c r="F349" s="8"/>
      <c r="G349" s="8" t="str">
        <f t="shared" si="3"/>
        <v>10.0</v>
      </c>
      <c r="H349" s="9">
        <f t="shared" si="4"/>
        <v>10</v>
      </c>
      <c r="I349" s="6" t="str">
        <f>IFERROR(__xludf.DUMMYFUNCTION("MAX(FILTER($H$2:$H418,$E$2:$E418=F349))"),"#N/A")</f>
        <v>#N/A</v>
      </c>
    </row>
    <row r="350">
      <c r="A350" s="4"/>
      <c r="C350" s="4" t="s">
        <v>330</v>
      </c>
      <c r="D350" s="4" t="str">
        <f t="shared" si="1"/>
        <v>{"valorA":"bem","valorB":6.0}</v>
      </c>
      <c r="E350" s="8" t="str">
        <f t="shared" si="2"/>
        <v>bem</v>
      </c>
      <c r="F350" s="8"/>
      <c r="G350" s="8" t="str">
        <f t="shared" si="3"/>
        <v>6.0</v>
      </c>
      <c r="H350" s="9">
        <f t="shared" si="4"/>
        <v>6</v>
      </c>
      <c r="I350" s="6" t="str">
        <f>IFERROR(__xludf.DUMMYFUNCTION("MAX(FILTER($H$2:$H418,$E$2:$E418=F350))"),"#N/A")</f>
        <v>#N/A</v>
      </c>
    </row>
    <row r="351">
      <c r="A351" s="4"/>
      <c r="C351" s="4" t="s">
        <v>777</v>
      </c>
      <c r="D351" s="4" t="str">
        <f t="shared" si="1"/>
        <v>{"valorA":"e","valorB":13.0}</v>
      </c>
      <c r="E351" s="8" t="str">
        <f t="shared" si="2"/>
        <v>e</v>
      </c>
      <c r="F351" s="8"/>
      <c r="G351" s="8" t="str">
        <f t="shared" si="3"/>
        <v>13.0</v>
      </c>
      <c r="H351" s="9">
        <f t="shared" si="4"/>
        <v>13</v>
      </c>
      <c r="I351" s="6" t="str">
        <f>IFERROR(__xludf.DUMMYFUNCTION("MAX(FILTER($H$2:$H418,$E$2:$E418=F351))"),"#N/A")</f>
        <v>#N/A</v>
      </c>
    </row>
    <row r="352">
      <c r="A352" s="4"/>
      <c r="C352" s="4" t="s">
        <v>862</v>
      </c>
      <c r="D352" s="4" t="str">
        <f t="shared" si="1"/>
        <v>{"valorA":"de","valorB":16.0}</v>
      </c>
      <c r="E352" s="8" t="str">
        <f t="shared" si="2"/>
        <v>de</v>
      </c>
      <c r="F352" s="8"/>
      <c r="G352" s="8" t="str">
        <f t="shared" si="3"/>
        <v>16.0</v>
      </c>
      <c r="H352" s="9">
        <f t="shared" si="4"/>
        <v>16</v>
      </c>
      <c r="I352" s="6" t="str">
        <f>IFERROR(__xludf.DUMMYFUNCTION("MAX(FILTER($H$2:$H418,$E$2:$E418=F352))"),"#N/A")</f>
        <v>#N/A</v>
      </c>
    </row>
    <row r="353">
      <c r="A353" s="4"/>
      <c r="C353" s="4" t="s">
        <v>1145</v>
      </c>
      <c r="D353" s="4" t="str">
        <f t="shared" si="1"/>
        <v>{"valorA":"pratos","valorB":3.0}</v>
      </c>
      <c r="E353" s="8" t="str">
        <f t="shared" si="2"/>
        <v>pratos</v>
      </c>
      <c r="F353" s="8"/>
      <c r="G353" s="8" t="str">
        <f t="shared" si="3"/>
        <v>3.0</v>
      </c>
      <c r="H353" s="9">
        <f t="shared" si="4"/>
        <v>3</v>
      </c>
      <c r="I353" s="6" t="str">
        <f>IFERROR(__xludf.DUMMYFUNCTION("MAX(FILTER($H$2:$H418,$E$2:$E418=F353))"),"#N/A")</f>
        <v>#N/A</v>
      </c>
    </row>
    <row r="354">
      <c r="A354" s="4"/>
      <c r="C354" s="4" t="s">
        <v>1146</v>
      </c>
      <c r="D354" s="4" t="str">
        <f t="shared" si="1"/>
        <v>{"valorA":"limpar","valorB":3.0}</v>
      </c>
      <c r="E354" s="8" t="str">
        <f t="shared" si="2"/>
        <v>limpar</v>
      </c>
      <c r="F354" s="8"/>
      <c r="G354" s="8" t="str">
        <f t="shared" si="3"/>
        <v>3.0</v>
      </c>
      <c r="H354" s="9">
        <f t="shared" si="4"/>
        <v>3</v>
      </c>
      <c r="I354" s="6" t="str">
        <f>IFERROR(__xludf.DUMMYFUNCTION("MAX(FILTER($H$2:$H418,$E$2:$E418=F354))"),"#N/A")</f>
        <v>#N/A</v>
      </c>
    </row>
    <row r="355">
      <c r="A355" s="4"/>
      <c r="C355" s="4" t="s">
        <v>1147</v>
      </c>
      <c r="D355" s="4" t="str">
        <f t="shared" si="1"/>
        <v>{"valorA":"lavador","valorB":5.0}</v>
      </c>
      <c r="E355" s="8" t="str">
        <f t="shared" si="2"/>
        <v>lavador</v>
      </c>
      <c r="F355" s="8"/>
      <c r="G355" s="8" t="str">
        <f t="shared" si="3"/>
        <v>5.0</v>
      </c>
      <c r="H355" s="9">
        <f t="shared" si="4"/>
        <v>5</v>
      </c>
      <c r="I355" s="6" t="str">
        <f>IFERROR(__xludf.DUMMYFUNCTION("MAX(FILTER($H$2:$H418,$E$2:$E418=F355))"),"#N/A")</f>
        <v>#N/A</v>
      </c>
    </row>
    <row r="356">
      <c r="A356" s="4"/>
      <c r="C356" s="4" t="s">
        <v>1148</v>
      </c>
      <c r="D356" s="4" t="str">
        <f t="shared" si="1"/>
        <v>{"valorA":"lavadora","valorB":6.0}</v>
      </c>
      <c r="E356" s="8" t="str">
        <f t="shared" si="2"/>
        <v>lavadora</v>
      </c>
      <c r="F356" s="8"/>
      <c r="G356" s="8" t="str">
        <f t="shared" si="3"/>
        <v>6.0</v>
      </c>
      <c r="H356" s="9">
        <f t="shared" si="4"/>
        <v>6</v>
      </c>
      <c r="I356" s="6" t="str">
        <f>IFERROR(__xludf.DUMMYFUNCTION("MAX(FILTER($H$2:$H418,$E$2:$E418=F356))"),"#N/A")</f>
        <v>#N/A</v>
      </c>
    </row>
    <row r="357">
      <c r="A357" s="4"/>
      <c r="C357" s="4" t="s">
        <v>396</v>
      </c>
      <c r="D357" s="4" t="str">
        <f t="shared" si="1"/>
        <v>{"valorA":"fácil","valorB":2.0}</v>
      </c>
      <c r="E357" s="8" t="str">
        <f t="shared" si="2"/>
        <v>fácil</v>
      </c>
      <c r="F357" s="8"/>
      <c r="G357" s="8" t="str">
        <f t="shared" si="3"/>
        <v>2.0</v>
      </c>
      <c r="H357" s="9">
        <f t="shared" si="4"/>
        <v>2</v>
      </c>
      <c r="I357" s="6" t="str">
        <f>IFERROR(__xludf.DUMMYFUNCTION("MAX(FILTER($H$2:$H418,$E$2:$E418=F357))"),"#N/A")</f>
        <v>#N/A</v>
      </c>
    </row>
    <row r="358">
      <c r="A358" s="4"/>
      <c r="C358" s="4" t="s">
        <v>747</v>
      </c>
      <c r="D358" s="4" t="str">
        <f t="shared" si="1"/>
        <v>{"valorA":"ótimo","valorB":32.0}</v>
      </c>
      <c r="E358" s="8" t="str">
        <f t="shared" si="2"/>
        <v>ótimo</v>
      </c>
      <c r="F358" s="8"/>
      <c r="G358" s="8" t="str">
        <f t="shared" si="3"/>
        <v>32.0</v>
      </c>
      <c r="H358" s="9">
        <f t="shared" si="4"/>
        <v>32</v>
      </c>
      <c r="I358" s="6" t="str">
        <f>IFERROR(__xludf.DUMMYFUNCTION("MAX(FILTER($H$2:$H418,$E$2:$E418=F358))"),"#N/A")</f>
        <v>#N/A</v>
      </c>
    </row>
    <row r="359">
      <c r="A359" s="4"/>
      <c r="C359" s="4" t="s">
        <v>449</v>
      </c>
      <c r="D359" s="4" t="str">
        <f t="shared" si="1"/>
        <v>{"valorA":"muito","valorB":16.0}</v>
      </c>
      <c r="E359" s="8" t="str">
        <f t="shared" si="2"/>
        <v>muito</v>
      </c>
      <c r="F359" s="8"/>
      <c r="G359" s="8" t="str">
        <f t="shared" si="3"/>
        <v>16.0</v>
      </c>
      <c r="H359" s="9">
        <f t="shared" si="4"/>
        <v>16</v>
      </c>
      <c r="I359" s="6" t="str">
        <f>IFERROR(__xludf.DUMMYFUNCTION("MAX(FILTER($H$2:$H418,$E$2:$E418=F359))"),"#N/A")</f>
        <v>#N/A</v>
      </c>
    </row>
    <row r="360">
      <c r="A360" s="4"/>
      <c r="C360" s="4" t="s">
        <v>453</v>
      </c>
      <c r="D360" s="4" t="str">
        <f t="shared" si="1"/>
        <v>{"valorA":"funciona","valorB":11.0}</v>
      </c>
      <c r="E360" s="8" t="str">
        <f t="shared" si="2"/>
        <v>funciona</v>
      </c>
      <c r="F360" s="8"/>
      <c r="G360" s="8" t="str">
        <f t="shared" si="3"/>
        <v>11.0</v>
      </c>
      <c r="H360" s="9">
        <f t="shared" si="4"/>
        <v>11</v>
      </c>
      <c r="I360" s="6" t="str">
        <f>IFERROR(__xludf.DUMMYFUNCTION("MAX(FILTER($H$2:$H418,$E$2:$E418=F360))"),"#N/A")</f>
        <v>#N/A</v>
      </c>
    </row>
    <row r="361">
      <c r="A361" s="4"/>
      <c r="C361" s="4" t="s">
        <v>1149</v>
      </c>
      <c r="D361" s="4" t="str">
        <f t="shared" si="1"/>
        <v>{"valorA":"ele","valorB":1.0}</v>
      </c>
      <c r="E361" s="8" t="str">
        <f t="shared" si="2"/>
        <v>ele</v>
      </c>
      <c r="F361" s="8"/>
      <c r="G361" s="8" t="str">
        <f t="shared" si="3"/>
        <v>1.0</v>
      </c>
      <c r="H361" s="9">
        <f t="shared" si="4"/>
        <v>1</v>
      </c>
      <c r="I361" s="6" t="str">
        <f>IFERROR(__xludf.DUMMYFUNCTION("MAX(FILTER($H$2:$H418,$E$2:$E418=F361))"),"#N/A")</f>
        <v>#N/A</v>
      </c>
    </row>
    <row r="362">
      <c r="A362" s="4"/>
      <c r="C362" s="4" t="s">
        <v>1150</v>
      </c>
      <c r="D362" s="4" t="str">
        <f t="shared" si="1"/>
        <v>{"valorA":"com","valorB":11.0}</v>
      </c>
      <c r="E362" s="8" t="str">
        <f t="shared" si="2"/>
        <v>com</v>
      </c>
      <c r="F362" s="8"/>
      <c r="G362" s="8" t="str">
        <f t="shared" si="3"/>
        <v>11.0</v>
      </c>
      <c r="H362" s="9">
        <f t="shared" si="4"/>
        <v>11</v>
      </c>
      <c r="I362" s="6" t="str">
        <f>IFERROR(__xludf.DUMMYFUNCTION("MAX(FILTER($H$2:$H418,$E$2:$E418=F362))"),"#N/A")</f>
        <v>#N/A</v>
      </c>
    </row>
    <row r="363">
      <c r="A363" s="4"/>
      <c r="C363" s="4" t="s">
        <v>291</v>
      </c>
      <c r="D363" s="4" t="str">
        <f t="shared" si="1"/>
        <v>{"valorA":"comprei","valorB":1.0}</v>
      </c>
      <c r="E363" s="8" t="str">
        <f t="shared" si="2"/>
        <v>comprei</v>
      </c>
      <c r="F363" s="8"/>
      <c r="G363" s="8" t="str">
        <f t="shared" si="3"/>
        <v>1.0</v>
      </c>
      <c r="H363" s="9">
        <f t="shared" si="4"/>
        <v>1</v>
      </c>
      <c r="I363" s="6" t="str">
        <f>IFERROR(__xludf.DUMMYFUNCTION("MAX(FILTER($H$2:$H418,$E$2:$E418=F363))"),"#N/A")</f>
        <v>#N/A</v>
      </c>
    </row>
    <row r="364">
      <c r="A364" s="4"/>
      <c r="C364" s="4" t="s">
        <v>1151</v>
      </c>
      <c r="D364" s="4" t="str">
        <f t="shared" si="1"/>
        <v>{"valorA":"dia","valorB":3.0}</v>
      </c>
      <c r="E364" s="8" t="str">
        <f t="shared" si="2"/>
        <v>dia</v>
      </c>
      <c r="F364" s="8"/>
      <c r="G364" s="8" t="str">
        <f t="shared" si="3"/>
        <v>3.0</v>
      </c>
      <c r="H364" s="9">
        <f t="shared" si="4"/>
        <v>3</v>
      </c>
      <c r="I364" s="6" t="str">
        <f>IFERROR(__xludf.DUMMYFUNCTION("MAX(FILTER($H$2:$H418,$E$2:$E418=F364))"),"#N/A")</f>
        <v>#N/A</v>
      </c>
    </row>
    <row r="365">
      <c r="A365" s="4"/>
      <c r="C365" s="4" t="s">
        <v>1152</v>
      </c>
      <c r="D365" s="4" t="str">
        <f t="shared" si="1"/>
        <v>{"valorA":"primeiro","valorB":4.0}</v>
      </c>
      <c r="E365" s="8" t="str">
        <f t="shared" si="2"/>
        <v>primeiro</v>
      </c>
      <c r="F365" s="8"/>
      <c r="G365" s="8" t="str">
        <f t="shared" si="3"/>
        <v>4.0</v>
      </c>
      <c r="H365" s="9">
        <f t="shared" si="4"/>
        <v>4</v>
      </c>
      <c r="I365" s="6" t="str">
        <f>IFERROR(__xludf.DUMMYFUNCTION("MAX(FILTER($H$2:$H418,$E$2:$E418=F365))"),"#N/A")</f>
        <v>#N/A</v>
      </c>
    </row>
    <row r="366">
      <c r="A366" s="4"/>
      <c r="C366" s="4" t="s">
        <v>787</v>
      </c>
      <c r="D366" s="4" t="str">
        <f t="shared" si="1"/>
        <v>{"valorA":"e","valorB":14.0}</v>
      </c>
      <c r="E366" s="8" t="str">
        <f t="shared" si="2"/>
        <v>e</v>
      </c>
      <c r="F366" s="8"/>
      <c r="G366" s="8" t="str">
        <f t="shared" si="3"/>
        <v>14.0</v>
      </c>
      <c r="H366" s="9">
        <f t="shared" si="4"/>
        <v>14</v>
      </c>
      <c r="I366" s="6" t="str">
        <f>IFERROR(__xludf.DUMMYFUNCTION("MAX(FILTER($H$2:$H418,$E$2:$E418=F366))"),"#N/A")</f>
        <v>#N/A</v>
      </c>
    </row>
    <row r="367">
      <c r="A367" s="4"/>
      <c r="C367" s="4" t="s">
        <v>1153</v>
      </c>
      <c r="D367" s="4" t="str">
        <f t="shared" si="1"/>
        <v>{"valorA":"o","valorB":16.0}</v>
      </c>
      <c r="E367" s="8" t="str">
        <f t="shared" si="2"/>
        <v>o</v>
      </c>
      <c r="F367" s="8"/>
      <c r="G367" s="8" t="str">
        <f t="shared" si="3"/>
        <v>16.0</v>
      </c>
      <c r="H367" s="9">
        <f t="shared" si="4"/>
        <v>16</v>
      </c>
      <c r="I367" s="6" t="str">
        <f>IFERROR(__xludf.DUMMYFUNCTION("MAX(FILTER($H$2:$H418,$E$2:$E418=F367))"),"#N/A")</f>
        <v>#N/A</v>
      </c>
    </row>
    <row r="368">
      <c r="A368" s="4"/>
      <c r="C368" s="4" t="s">
        <v>1154</v>
      </c>
      <c r="D368" s="4" t="str">
        <f t="shared" si="1"/>
        <v>{"valorA":"de","valorB":17.0}</v>
      </c>
      <c r="E368" s="8" t="str">
        <f t="shared" si="2"/>
        <v>de</v>
      </c>
      <c r="F368" s="8"/>
      <c r="G368" s="8" t="str">
        <f t="shared" si="3"/>
        <v>17.0</v>
      </c>
      <c r="H368" s="9">
        <f t="shared" si="4"/>
        <v>17</v>
      </c>
      <c r="I368" s="6" t="str">
        <f>IFERROR(__xludf.DUMMYFUNCTION("MAX(FILTER($H$2:$H418,$E$2:$E418=F368))"),"#N/A")</f>
        <v>#N/A</v>
      </c>
    </row>
    <row r="369">
      <c r="A369" s="4"/>
      <c r="C369" s="4" t="s">
        <v>602</v>
      </c>
      <c r="D369" s="4" t="str">
        <f t="shared" si="1"/>
        <v>{"valorA":"feliz","valorB":1.0}</v>
      </c>
      <c r="E369" s="8" t="str">
        <f t="shared" si="2"/>
        <v>feliz</v>
      </c>
      <c r="F369" s="8"/>
      <c r="G369" s="8" t="str">
        <f t="shared" si="3"/>
        <v>1.0</v>
      </c>
      <c r="H369" s="9">
        <f t="shared" si="4"/>
        <v>1</v>
      </c>
      <c r="I369" s="6" t="str">
        <f>IFERROR(__xludf.DUMMYFUNCTION("MAX(FILTER($H$2:$H418,$E$2:$E418=F369))"),"#N/A")</f>
        <v>#N/A</v>
      </c>
    </row>
    <row r="370">
      <c r="A370" s="4"/>
      <c r="C370" s="4" t="s">
        <v>1155</v>
      </c>
      <c r="D370" s="4" t="str">
        <f t="shared" si="1"/>
        <v>{"valorA":"lavador","valorB":6.0}</v>
      </c>
      <c r="E370" s="8" t="str">
        <f t="shared" si="2"/>
        <v>lavador</v>
      </c>
      <c r="F370" s="8"/>
      <c r="G370" s="8" t="str">
        <f t="shared" si="3"/>
        <v>6.0</v>
      </c>
      <c r="H370" s="9">
        <f t="shared" si="4"/>
        <v>6</v>
      </c>
      <c r="I370" s="6" t="str">
        <f>IFERROR(__xludf.DUMMYFUNCTION("MAX(FILTER($H$2:$H418,$E$2:$E418=F370))"),"#N/A")</f>
        <v>#N/A</v>
      </c>
    </row>
    <row r="371">
      <c r="A371" s="4"/>
      <c r="C371" s="4" t="s">
        <v>1156</v>
      </c>
      <c r="D371" s="4" t="str">
        <f t="shared" si="1"/>
        <v>{"valorA":"estou","valorB":1.0}</v>
      </c>
      <c r="E371" s="8" t="str">
        <f t="shared" si="2"/>
        <v>estou</v>
      </c>
      <c r="F371" s="8"/>
      <c r="G371" s="8" t="str">
        <f t="shared" si="3"/>
        <v>1.0</v>
      </c>
      <c r="H371" s="9">
        <f t="shared" si="4"/>
        <v>1</v>
      </c>
      <c r="I371" s="6" t="str">
        <f>IFERROR(__xludf.DUMMYFUNCTION("MAX(FILTER($H$2:$H418,$E$2:$E418=F371))"),"#N/A")</f>
        <v>#N/A</v>
      </c>
    </row>
    <row r="372">
      <c r="A372" s="4"/>
      <c r="C372" s="4" t="s">
        <v>1157</v>
      </c>
      <c r="D372" s="4" t="str">
        <f t="shared" si="1"/>
        <v>{"valorA":"desde","valorB":5.0}</v>
      </c>
      <c r="E372" s="8" t="str">
        <f t="shared" si="2"/>
        <v>desde</v>
      </c>
      <c r="F372" s="8"/>
      <c r="G372" s="8" t="str">
        <f t="shared" si="3"/>
        <v>5.0</v>
      </c>
      <c r="H372" s="9">
        <f t="shared" si="4"/>
        <v>5</v>
      </c>
      <c r="I372" s="6" t="str">
        <f>IFERROR(__xludf.DUMMYFUNCTION("MAX(FILTER($H$2:$H418,$E$2:$E418=F372))"),"#N/A")</f>
        <v>#N/A</v>
      </c>
    </row>
    <row r="373">
      <c r="A373" s="4"/>
      <c r="C373" s="4" t="s">
        <v>1158</v>
      </c>
      <c r="D373" s="4" t="str">
        <f t="shared" si="1"/>
        <v>{"valorA":"óptimo","valorB":6.0}</v>
      </c>
      <c r="E373" s="8" t="str">
        <f t="shared" si="2"/>
        <v>óptimo</v>
      </c>
      <c r="F373" s="8"/>
      <c r="G373" s="8" t="str">
        <f t="shared" si="3"/>
        <v>6.0</v>
      </c>
      <c r="H373" s="9">
        <f t="shared" si="4"/>
        <v>6</v>
      </c>
      <c r="I373" s="6" t="str">
        <f>IFERROR(__xludf.DUMMYFUNCTION("MAX(FILTER($H$2:$H418,$E$2:$E418=F373))"),"#N/A")</f>
        <v>#N/A</v>
      </c>
    </row>
    <row r="374">
      <c r="A374" s="4"/>
      <c r="C374" s="4" t="s">
        <v>1159</v>
      </c>
      <c r="D374" s="4" t="str">
        <f t="shared" si="1"/>
        <v>{"valorA":"já","valorB":1.0}</v>
      </c>
      <c r="E374" s="8" t="str">
        <f t="shared" si="2"/>
        <v>já</v>
      </c>
      <c r="F374" s="8"/>
      <c r="G374" s="8" t="str">
        <f t="shared" si="3"/>
        <v>1.0</v>
      </c>
      <c r="H374" s="9">
        <f t="shared" si="4"/>
        <v>1</v>
      </c>
      <c r="I374" s="6" t="str">
        <f>IFERROR(__xludf.DUMMYFUNCTION("MAX(FILTER($H$2:$H418,$E$2:$E418=F374))"),"#N/A")</f>
        <v>#N/A</v>
      </c>
    </row>
    <row r="375">
      <c r="A375" s="4"/>
      <c r="C375" s="4" t="s">
        <v>627</v>
      </c>
      <c r="D375" s="4" t="str">
        <f t="shared" si="1"/>
        <v>{"valorA":"final","valorB":1.0}</v>
      </c>
      <c r="E375" s="8" t="str">
        <f t="shared" si="2"/>
        <v>final</v>
      </c>
      <c r="F375" s="8"/>
      <c r="G375" s="8" t="str">
        <f t="shared" si="3"/>
        <v>1.0</v>
      </c>
      <c r="H375" s="9">
        <f t="shared" si="4"/>
        <v>1</v>
      </c>
      <c r="I375" s="6" t="str">
        <f>IFERROR(__xludf.DUMMYFUNCTION("MAX(FILTER($H$2:$H418,$E$2:$E418=F375))"),"#N/A")</f>
        <v>#N/A</v>
      </c>
    </row>
    <row r="376">
      <c r="A376" s="4"/>
      <c r="C376" s="4" t="s">
        <v>762</v>
      </c>
      <c r="D376" s="4" t="str">
        <f t="shared" si="1"/>
        <v>{"valorA":"ótimo","valorB":33.0}</v>
      </c>
      <c r="E376" s="8" t="str">
        <f t="shared" si="2"/>
        <v>ótimo</v>
      </c>
      <c r="F376" s="8"/>
      <c r="G376" s="8" t="str">
        <f t="shared" si="3"/>
        <v>33.0</v>
      </c>
      <c r="H376" s="9">
        <f t="shared" si="4"/>
        <v>33</v>
      </c>
      <c r="I376" s="6" t="str">
        <f>IFERROR(__xludf.DUMMYFUNCTION("MAX(FILTER($H$2:$H418,$E$2:$E418=F376))"),"#N/A")</f>
        <v>#N/A</v>
      </c>
    </row>
    <row r="377">
      <c r="A377" s="4"/>
      <c r="C377" s="4" t="s">
        <v>1160</v>
      </c>
      <c r="D377" s="4" t="str">
        <f t="shared" si="1"/>
        <v>{"valorA":"no","valorB":1.0}</v>
      </c>
      <c r="E377" s="8" t="str">
        <f t="shared" si="2"/>
        <v>no</v>
      </c>
      <c r="F377" s="8"/>
      <c r="G377" s="8" t="str">
        <f t="shared" si="3"/>
        <v>1.0</v>
      </c>
      <c r="H377" s="9">
        <f t="shared" si="4"/>
        <v>1</v>
      </c>
      <c r="I377" s="6" t="str">
        <f>IFERROR(__xludf.DUMMYFUNCTION("MAX(FILTER($H$2:$H418,$E$2:$E418=F377))"),"#N/A")</f>
        <v>#N/A</v>
      </c>
    </row>
    <row r="378">
      <c r="A378" s="4"/>
      <c r="C378" s="4" t="s">
        <v>1161</v>
      </c>
      <c r="D378" s="4" t="str">
        <f t="shared" si="1"/>
        <v>{"valorA":"perfeitamente","valorB":8.0}</v>
      </c>
      <c r="E378" s="8" t="str">
        <f t="shared" si="2"/>
        <v>perfeitamente</v>
      </c>
      <c r="F378" s="8"/>
      <c r="G378" s="8" t="str">
        <f t="shared" si="3"/>
        <v>8.0</v>
      </c>
      <c r="H378" s="9">
        <f t="shared" si="4"/>
        <v>8</v>
      </c>
      <c r="I378" s="6" t="str">
        <f>IFERROR(__xludf.DUMMYFUNCTION("MAX(FILTER($H$2:$H418,$E$2:$E418=F378))"),"#N/A")</f>
        <v>#N/A</v>
      </c>
    </row>
    <row r="379">
      <c r="A379" s="4"/>
      <c r="C379" s="4" t="s">
        <v>1162</v>
      </c>
      <c r="D379" s="4" t="str">
        <f t="shared" si="1"/>
        <v>{"valorA":"prataria","valorB":1.0}</v>
      </c>
      <c r="E379" s="8" t="str">
        <f t="shared" si="2"/>
        <v>prataria</v>
      </c>
      <c r="F379" s="8"/>
      <c r="G379" s="8" t="str">
        <f t="shared" si="3"/>
        <v>1.0</v>
      </c>
      <c r="H379" s="9">
        <f t="shared" si="4"/>
        <v>1</v>
      </c>
      <c r="I379" s="6" t="str">
        <f>IFERROR(__xludf.DUMMYFUNCTION("MAX(FILTER($H$2:$H418,$E$2:$E418=F379))"),"#N/A")</f>
        <v>#N/A</v>
      </c>
    </row>
    <row r="380">
      <c r="A380" s="4"/>
      <c r="C380" s="4" t="s">
        <v>1163</v>
      </c>
      <c r="D380" s="4" t="str">
        <f t="shared" si="1"/>
        <v>{"valorA":"semana","valorB":1.0}</v>
      </c>
      <c r="E380" s="8" t="str">
        <f t="shared" si="2"/>
        <v>semana</v>
      </c>
      <c r="F380" s="8"/>
      <c r="G380" s="8" t="str">
        <f t="shared" si="3"/>
        <v>1.0</v>
      </c>
      <c r="H380" s="9">
        <f t="shared" si="4"/>
        <v>1</v>
      </c>
      <c r="I380" s="6" t="str">
        <f>IFERROR(__xludf.DUMMYFUNCTION("MAX(FILTER($H$2:$H418,$E$2:$E418=F380))"),"#N/A")</f>
        <v>#N/A</v>
      </c>
    </row>
    <row r="381">
      <c r="A381" s="4"/>
      <c r="C381" s="4" t="s">
        <v>490</v>
      </c>
      <c r="D381" s="4" t="str">
        <f t="shared" si="1"/>
        <v>{"valorA":"funciona","valorB":12.0}</v>
      </c>
      <c r="E381" s="8" t="str">
        <f t="shared" si="2"/>
        <v>funciona</v>
      </c>
      <c r="F381" s="8"/>
      <c r="G381" s="8" t="str">
        <f t="shared" si="3"/>
        <v>12.0</v>
      </c>
      <c r="H381" s="9">
        <f t="shared" si="4"/>
        <v>12</v>
      </c>
      <c r="I381" s="6" t="str">
        <f>IFERROR(__xludf.DUMMYFUNCTION("MAX(FILTER($H$2:$H418,$E$2:$E418=F381))"),"#N/A")</f>
        <v>#N/A</v>
      </c>
    </row>
    <row r="382">
      <c r="A382" s="4"/>
      <c r="C382" s="4" t="s">
        <v>710</v>
      </c>
      <c r="D382" s="4" t="str">
        <f t="shared" si="1"/>
        <v>{"valorA":"da","valorB":3.0}</v>
      </c>
      <c r="E382" s="8" t="str">
        <f t="shared" si="2"/>
        <v>da</v>
      </c>
      <c r="F382" s="8"/>
      <c r="G382" s="8" t="str">
        <f t="shared" si="3"/>
        <v>3.0</v>
      </c>
      <c r="H382" s="9">
        <f t="shared" si="4"/>
        <v>3</v>
      </c>
      <c r="I382" s="6" t="str">
        <f>IFERROR(__xludf.DUMMYFUNCTION("MAX(FILTER($H$2:$H418,$E$2:$E418=F382))"),"#N/A")</f>
        <v>#N/A</v>
      </c>
    </row>
    <row r="383">
      <c r="A383" s="4"/>
      <c r="C383" s="4" t="s">
        <v>1164</v>
      </c>
      <c r="D383" s="4" t="str">
        <f t="shared" si="1"/>
        <v>{"valorA":"comentário","valorB":3.0}</v>
      </c>
      <c r="E383" s="8" t="str">
        <f t="shared" si="2"/>
        <v>comentário</v>
      </c>
      <c r="F383" s="8"/>
      <c r="G383" s="8" t="str">
        <f t="shared" si="3"/>
        <v>3.0</v>
      </c>
      <c r="H383" s="9">
        <f t="shared" si="4"/>
        <v>3</v>
      </c>
      <c r="I383" s="6" t="str">
        <f>IFERROR(__xludf.DUMMYFUNCTION("MAX(FILTER($H$2:$H418,$E$2:$E418=F383))"),"#N/A")</f>
        <v>#N/A</v>
      </c>
    </row>
    <row r="384">
      <c r="A384" s="4"/>
      <c r="C384" s="4" t="s">
        <v>1165</v>
      </c>
      <c r="D384" s="4" t="str">
        <f t="shared" si="1"/>
        <v>{"valorA":"coment","valorB":2.0}</v>
      </c>
      <c r="E384" s="8" t="str">
        <f t="shared" si="2"/>
        <v>coment</v>
      </c>
      <c r="F384" s="8"/>
      <c r="G384" s="8" t="str">
        <f t="shared" si="3"/>
        <v>2.0</v>
      </c>
      <c r="H384" s="9">
        <f t="shared" si="4"/>
        <v>2</v>
      </c>
      <c r="I384" s="6" t="str">
        <f>IFERROR(__xludf.DUMMYFUNCTION("MAX(FILTER($H$2:$H418,$E$2:$E418=F384))"),"#N/A")</f>
        <v>#N/A</v>
      </c>
    </row>
    <row r="385">
      <c r="A385" s="4"/>
      <c r="C385" s="4" t="s">
        <v>1166</v>
      </c>
      <c r="D385" s="4" t="str">
        <f t="shared" si="1"/>
        <v>{"valorA":"com","valorB":12.0}</v>
      </c>
      <c r="E385" s="8" t="str">
        <f t="shared" si="2"/>
        <v>com</v>
      </c>
      <c r="F385" s="8"/>
      <c r="G385" s="8" t="str">
        <f t="shared" si="3"/>
        <v>12.0</v>
      </c>
      <c r="H385" s="9">
        <f t="shared" si="4"/>
        <v>12</v>
      </c>
      <c r="I385" s="6" t="str">
        <f>IFERROR(__xludf.DUMMYFUNCTION("MAX(FILTER($H$2:$H418,$E$2:$E418=F385))"),"#N/A")</f>
        <v>#N/A</v>
      </c>
    </row>
    <row r="386">
      <c r="A386" s="4"/>
      <c r="C386" s="4" t="s">
        <v>1167</v>
      </c>
      <c r="D386" s="4" t="str">
        <f t="shared" si="1"/>
        <v>{"valorA":"novos","valorB":1.0}</v>
      </c>
      <c r="E386" s="8" t="str">
        <f t="shared" si="2"/>
        <v>novos</v>
      </c>
      <c r="F386" s="8"/>
      <c r="G386" s="8" t="str">
        <f t="shared" si="3"/>
        <v>1.0</v>
      </c>
      <c r="H386" s="9">
        <f t="shared" si="4"/>
        <v>1</v>
      </c>
      <c r="I386" s="6" t="str">
        <f>IFERROR(__xludf.DUMMYFUNCTION("MAX(FILTER($H$2:$H418,$E$2:$E418=F386))"),"#N/A")</f>
        <v>#N/A</v>
      </c>
    </row>
    <row r="387">
      <c r="A387" s="4"/>
      <c r="C387" s="4" t="s">
        <v>1168</v>
      </c>
      <c r="D387" s="4" t="str">
        <f t="shared" si="1"/>
        <v>{"valorA":"ótima","valorB":8.0}</v>
      </c>
      <c r="E387" s="8" t="str">
        <f t="shared" si="2"/>
        <v>ótima</v>
      </c>
      <c r="F387" s="8"/>
      <c r="G387" s="8" t="str">
        <f t="shared" si="3"/>
        <v>8.0</v>
      </c>
      <c r="H387" s="9">
        <f t="shared" si="4"/>
        <v>8</v>
      </c>
      <c r="I387" s="6" t="str">
        <f>IFERROR(__xludf.DUMMYFUNCTION("MAX(FILTER($H$2:$H418,$E$2:$E418=F387))"),"#N/A")</f>
        <v>#N/A</v>
      </c>
    </row>
    <row r="388">
      <c r="A388" s="4"/>
      <c r="C388" s="4" t="s">
        <v>640</v>
      </c>
      <c r="D388" s="4" t="str">
        <f t="shared" si="1"/>
        <v>{"valorA":"usar","valorB":1.0}</v>
      </c>
      <c r="E388" s="8" t="str">
        <f t="shared" si="2"/>
        <v>usar</v>
      </c>
      <c r="F388" s="8"/>
      <c r="G388" s="8" t="str">
        <f t="shared" si="3"/>
        <v>1.0</v>
      </c>
      <c r="H388" s="9">
        <f t="shared" si="4"/>
        <v>1</v>
      </c>
      <c r="I388" s="6" t="str">
        <f>IFERROR(__xludf.DUMMYFUNCTION("MAX(FILTER($H$2:$H418,$E$2:$E418=F388))"),"#N/A")</f>
        <v>#N/A</v>
      </c>
    </row>
    <row r="389">
      <c r="A389" s="4"/>
      <c r="C389" s="4" t="s">
        <v>846</v>
      </c>
      <c r="D389" s="4" t="str">
        <f t="shared" si="1"/>
        <v>{"valorA":"e","valorB":15.0}</v>
      </c>
      <c r="E389" s="8" t="str">
        <f t="shared" si="2"/>
        <v>e</v>
      </c>
      <c r="F389" s="8"/>
      <c r="G389" s="8" t="str">
        <f t="shared" si="3"/>
        <v>15.0</v>
      </c>
      <c r="H389" s="9">
        <f t="shared" si="4"/>
        <v>15</v>
      </c>
      <c r="I389" s="6" t="str">
        <f>IFERROR(__xludf.DUMMYFUNCTION("MAX(FILTER($H$2:$H418,$E$2:$E418=F389))"),"#N/A")</f>
        <v>#N/A</v>
      </c>
    </row>
    <row r="390">
      <c r="A390" s="4"/>
      <c r="C390" s="4" t="s">
        <v>1169</v>
      </c>
      <c r="D390" s="4" t="str">
        <f t="shared" si="1"/>
        <v>{"valorA":"de","valorB":19.0}</v>
      </c>
      <c r="E390" s="8" t="str">
        <f t="shared" si="2"/>
        <v>de</v>
      </c>
      <c r="F390" s="8"/>
      <c r="G390" s="8" t="str">
        <f t="shared" si="3"/>
        <v>19.0</v>
      </c>
      <c r="H390" s="9">
        <f t="shared" si="4"/>
        <v>19</v>
      </c>
      <c r="I390" s="6" t="str">
        <f>IFERROR(__xludf.DUMMYFUNCTION("MAX(FILTER($H$2:$H418,$E$2:$E418=F390))"),"#N/A")</f>
        <v>#N/A</v>
      </c>
    </row>
    <row r="391">
      <c r="A391" s="4"/>
      <c r="C391" s="4" t="s">
        <v>1170</v>
      </c>
      <c r="D391" s="4" t="str">
        <f t="shared" si="1"/>
        <v>{"valorA":"lavador","valorB":7.0}</v>
      </c>
      <c r="E391" s="8" t="str">
        <f t="shared" si="2"/>
        <v>lavador</v>
      </c>
      <c r="F391" s="8"/>
      <c r="G391" s="8" t="str">
        <f t="shared" si="3"/>
        <v>7.0</v>
      </c>
      <c r="H391" s="9">
        <f t="shared" si="4"/>
        <v>7</v>
      </c>
      <c r="I391" s="6" t="str">
        <f>IFERROR(__xludf.DUMMYFUNCTION("MAX(FILTER($H$2:$H418,$E$2:$E418=F391))"),"#N/A")</f>
        <v>#N/A</v>
      </c>
    </row>
    <row r="392">
      <c r="A392" s="4"/>
      <c r="C392" s="4" t="s">
        <v>1171</v>
      </c>
      <c r="D392" s="4" t="str">
        <f t="shared" si="1"/>
        <v>{"valorA":"lavadora","valorB":7.0}</v>
      </c>
      <c r="E392" s="8" t="str">
        <f t="shared" si="2"/>
        <v>lavadora</v>
      </c>
      <c r="F392" s="8"/>
      <c r="G392" s="8" t="str">
        <f t="shared" si="3"/>
        <v>7.0</v>
      </c>
      <c r="H392" s="9">
        <f t="shared" si="4"/>
        <v>7</v>
      </c>
      <c r="I392" s="6" t="str">
        <f>IFERROR(__xludf.DUMMYFUNCTION("MAX(FILTER($H$2:$H418,$E$2:$E418=F392))"),"#N/A")</f>
        <v>#N/A</v>
      </c>
    </row>
    <row r="393">
      <c r="A393" s="4"/>
      <c r="C393" s="4" t="s">
        <v>1172</v>
      </c>
      <c r="D393" s="4" t="str">
        <f t="shared" si="1"/>
        <v>{"valorA":"os","valorB":1.0}</v>
      </c>
      <c r="E393" s="8" t="str">
        <f t="shared" si="2"/>
        <v>os</v>
      </c>
      <c r="F393" s="8"/>
      <c r="G393" s="8" t="str">
        <f t="shared" si="3"/>
        <v>1.0</v>
      </c>
      <c r="H393" s="9">
        <f t="shared" si="4"/>
        <v>1</v>
      </c>
      <c r="I393" s="6" t="str">
        <f>IFERROR(__xludf.DUMMYFUNCTION("MAX(FILTER($H$2:$H418,$E$2:$E418=F393))"),"#N/A")</f>
        <v>#N/A</v>
      </c>
    </row>
    <row r="394">
      <c r="A394" s="4"/>
      <c r="C394" s="4" t="s">
        <v>394</v>
      </c>
      <c r="D394" s="4" t="str">
        <f t="shared" si="1"/>
        <v>{"valorA":"ótimo","valorB":34.0}</v>
      </c>
      <c r="E394" s="8" t="str">
        <f t="shared" si="2"/>
        <v>ótimo</v>
      </c>
      <c r="F394" s="8"/>
      <c r="G394" s="8" t="str">
        <f t="shared" si="3"/>
        <v>34.0</v>
      </c>
      <c r="H394" s="9">
        <f t="shared" si="4"/>
        <v>34</v>
      </c>
      <c r="I394" s="6" t="str">
        <f>IFERROR(__xludf.DUMMYFUNCTION("MAX(FILTER($H$2:$H418,$E$2:$E418=F394))"),"#N/A")</f>
        <v>#N/A</v>
      </c>
    </row>
    <row r="395">
      <c r="A395" s="4"/>
      <c r="C395" s="4" t="s">
        <v>431</v>
      </c>
      <c r="D395" s="4" t="str">
        <f t="shared" si="1"/>
        <v>{"valorA":"fácil","valorB":3.0}</v>
      </c>
      <c r="E395" s="8" t="str">
        <f t="shared" si="2"/>
        <v>fácil</v>
      </c>
      <c r="F395" s="8"/>
      <c r="G395" s="8" t="str">
        <f t="shared" si="3"/>
        <v>3.0</v>
      </c>
      <c r="H395" s="9">
        <f t="shared" si="4"/>
        <v>3</v>
      </c>
      <c r="I395" s="6" t="str">
        <f>IFERROR(__xludf.DUMMYFUNCTION("MAX(FILTER($H$2:$H418,$E$2:$E418=F395))"),"#N/A")</f>
        <v>#N/A</v>
      </c>
    </row>
    <row r="396">
      <c r="A396" s="4"/>
      <c r="C396" s="4" t="s">
        <v>1173</v>
      </c>
      <c r="D396" s="4" t="str">
        <f t="shared" si="1"/>
        <v>{"valorA":"perfeitamente","valorB":9.0}</v>
      </c>
      <c r="E396" s="8" t="str">
        <f t="shared" si="2"/>
        <v>perfeitamente</v>
      </c>
      <c r="F396" s="8"/>
      <c r="G396" s="8" t="str">
        <f t="shared" si="3"/>
        <v>9.0</v>
      </c>
      <c r="H396" s="9">
        <f t="shared" si="4"/>
        <v>9</v>
      </c>
      <c r="I396" s="6" t="str">
        <f>IFERROR(__xludf.DUMMYFUNCTION("MAX(FILTER($H$2:$H418,$E$2:$E418=F396))"),"#N/A")</f>
        <v>#N/A</v>
      </c>
    </row>
    <row r="397">
      <c r="A397" s="4"/>
      <c r="C397" s="4" t="s">
        <v>1174</v>
      </c>
      <c r="D397" s="4" t="str">
        <f t="shared" si="1"/>
        <v>{"valorA":"prataria","valorB":2.0}</v>
      </c>
      <c r="E397" s="8" t="str">
        <f t="shared" si="2"/>
        <v>prataria</v>
      </c>
      <c r="F397" s="8"/>
      <c r="G397" s="8" t="str">
        <f t="shared" si="3"/>
        <v>2.0</v>
      </c>
      <c r="H397" s="9">
        <f t="shared" si="4"/>
        <v>2</v>
      </c>
      <c r="I397" s="6" t="str">
        <f>IFERROR(__xludf.DUMMYFUNCTION("MAX(FILTER($H$2:$H418,$E$2:$E418=F397))"),"#N/A")</f>
        <v>#N/A</v>
      </c>
    </row>
    <row r="398">
      <c r="A398" s="4"/>
      <c r="C398" s="4" t="s">
        <v>1175</v>
      </c>
      <c r="D398" s="4" t="str">
        <f t="shared" si="1"/>
        <v>{"valorA":"roupões","valorB":1.0}</v>
      </c>
      <c r="E398" s="8" t="str">
        <f t="shared" si="2"/>
        <v>roupões</v>
      </c>
      <c r="F398" s="8"/>
      <c r="G398" s="8" t="str">
        <f t="shared" si="3"/>
        <v>1.0</v>
      </c>
      <c r="H398" s="9">
        <f t="shared" si="4"/>
        <v>1</v>
      </c>
      <c r="I398" s="6" t="str">
        <f>IFERROR(__xludf.DUMMYFUNCTION("MAX(FILTER($H$2:$H418,$E$2:$E418=F398))"),"#N/A")</f>
        <v>#N/A</v>
      </c>
    </row>
    <row r="399">
      <c r="A399" s="4"/>
      <c r="C399" s="4" t="s">
        <v>1176</v>
      </c>
      <c r="D399" s="4" t="str">
        <f t="shared" si="1"/>
        <v>{"valorA":"mesmo","valorB":1.0}</v>
      </c>
      <c r="E399" s="8" t="str">
        <f t="shared" si="2"/>
        <v>mesmo</v>
      </c>
      <c r="F399" s="8"/>
      <c r="G399" s="8" t="str">
        <f t="shared" si="3"/>
        <v>1.0</v>
      </c>
      <c r="H399" s="9">
        <f t="shared" si="4"/>
        <v>1</v>
      </c>
      <c r="I399" s="6" t="str">
        <f>IFERROR(__xludf.DUMMYFUNCTION("MAX(FILTER($H$2:$H418,$E$2:$E418=F399))"),"#N/A")</f>
        <v>#N/A</v>
      </c>
    </row>
    <row r="400">
      <c r="A400" s="4"/>
      <c r="C400" s="4" t="s">
        <v>1177</v>
      </c>
      <c r="D400" s="4" t="str">
        <f t="shared" si="1"/>
        <v>{"valorA":"vazadas","valorB":1.0}</v>
      </c>
      <c r="E400" s="8" t="str">
        <f t="shared" si="2"/>
        <v>vazadas</v>
      </c>
      <c r="F400" s="8"/>
      <c r="G400" s="8" t="str">
        <f t="shared" si="3"/>
        <v>1.0</v>
      </c>
      <c r="H400" s="9">
        <f t="shared" si="4"/>
        <v>1</v>
      </c>
      <c r="I400" s="6" t="str">
        <f>IFERROR(__xludf.DUMMYFUNCTION("MAX(FILTER($H$2:$H418,$E$2:$E418=F400))"),"#N/A")</f>
        <v>#N/A</v>
      </c>
    </row>
    <row r="401">
      <c r="A401" s="4"/>
      <c r="C401" s="4" t="s">
        <v>1178</v>
      </c>
      <c r="D401" s="4" t="str">
        <f t="shared" si="1"/>
        <v>{"valorA":"mantém","valorB":1.0}</v>
      </c>
      <c r="E401" s="8" t="str">
        <f t="shared" si="2"/>
        <v>mantém</v>
      </c>
      <c r="F401" s="8"/>
      <c r="G401" s="8" t="str">
        <f t="shared" si="3"/>
        <v>1.0</v>
      </c>
      <c r="H401" s="9">
        <f t="shared" si="4"/>
        <v>1</v>
      </c>
      <c r="I401" s="6" t="str">
        <f>IFERROR(__xludf.DUMMYFUNCTION("MAX(FILTER($H$2:$H418,$E$2:$E418=F401))"),"#N/A")</f>
        <v>#N/A</v>
      </c>
    </row>
    <row r="402">
      <c r="A402" s="4"/>
      <c r="C402" s="4" t="s">
        <v>1179</v>
      </c>
      <c r="D402" s="4" t="str">
        <f t="shared" si="1"/>
        <v>{"valorA":"muitas","valorB":2.0}</v>
      </c>
      <c r="E402" s="8" t="str">
        <f t="shared" si="2"/>
        <v>muitas</v>
      </c>
      <c r="F402" s="8"/>
      <c r="G402" s="8" t="str">
        <f t="shared" si="3"/>
        <v>2.0</v>
      </c>
      <c r="H402" s="9">
        <f t="shared" si="4"/>
        <v>2</v>
      </c>
      <c r="I402" s="6" t="str">
        <f>IFERROR(__xludf.DUMMYFUNCTION("MAX(FILTER($H$2:$H418,$E$2:$E418=F402))"),"#N/A")</f>
        <v>#N/A</v>
      </c>
    </row>
    <row r="403">
      <c r="A403" s="4"/>
      <c r="C403" s="4" t="s">
        <v>1180</v>
      </c>
      <c r="D403" s="4" t="str">
        <f t="shared" si="1"/>
        <v>{"valorA":"funciona","valorB":13.0}</v>
      </c>
      <c r="E403" s="8" t="str">
        <f t="shared" si="2"/>
        <v>funciona</v>
      </c>
      <c r="F403" s="8"/>
      <c r="G403" s="8" t="str">
        <f t="shared" si="3"/>
        <v>13.0</v>
      </c>
      <c r="H403" s="9">
        <f t="shared" si="4"/>
        <v>13</v>
      </c>
      <c r="I403" s="6" t="str">
        <f>IFERROR(__xludf.DUMMYFUNCTION("MAX(FILTER($H$2:$H418,$E$2:$E418=F403))"),"#N/A")</f>
        <v>#N/A</v>
      </c>
    </row>
    <row r="404">
      <c r="A404" s="4"/>
      <c r="C404" s="4" t="s">
        <v>1181</v>
      </c>
      <c r="D404" s="4" t="str">
        <f t="shared" si="1"/>
        <v>{"valorA":"recomendo","valorB":10.0}</v>
      </c>
      <c r="E404" s="8" t="str">
        <f t="shared" si="2"/>
        <v>recomendo</v>
      </c>
      <c r="F404" s="8"/>
      <c r="G404" s="8" t="str">
        <f t="shared" si="3"/>
        <v>10.0</v>
      </c>
      <c r="H404" s="9">
        <f t="shared" si="4"/>
        <v>10</v>
      </c>
      <c r="I404" s="6" t="str">
        <f>IFERROR(__xludf.DUMMYFUNCTION("MAX(FILTER($H$2:$H418,$E$2:$E418=F404))"),"#N/A")</f>
        <v>#N/A</v>
      </c>
    </row>
    <row r="405">
      <c r="A405" s="4"/>
      <c r="C405" s="4" t="s">
        <v>1182</v>
      </c>
      <c r="D405" s="4" t="str">
        <f t="shared" si="1"/>
        <v>{"valorA":"muita","valorB":2.0}</v>
      </c>
      <c r="E405" s="8" t="str">
        <f t="shared" si="2"/>
        <v>muita</v>
      </c>
      <c r="F405" s="8"/>
      <c r="G405" s="8" t="str">
        <f t="shared" si="3"/>
        <v>2.0</v>
      </c>
      <c r="H405" s="9">
        <f t="shared" si="4"/>
        <v>2</v>
      </c>
      <c r="I405" s="6" t="str">
        <f>IFERROR(__xludf.DUMMYFUNCTION("MAX(FILTER($H$2:$H418,$E$2:$E418=F405))"),"#N/A")</f>
        <v>#N/A</v>
      </c>
    </row>
    <row r="406">
      <c r="A406" s="4"/>
      <c r="C406" s="4" t="s">
        <v>1183</v>
      </c>
      <c r="D406" s="4" t="str">
        <f t="shared" si="1"/>
        <v>{"valorA":"totalmente","valorB":2.0}</v>
      </c>
      <c r="E406" s="8" t="str">
        <f t="shared" si="2"/>
        <v>totalmente</v>
      </c>
      <c r="F406" s="8"/>
      <c r="G406" s="8" t="str">
        <f t="shared" si="3"/>
        <v>2.0</v>
      </c>
      <c r="H406" s="9">
        <f t="shared" si="4"/>
        <v>2</v>
      </c>
      <c r="I406" s="6" t="str">
        <f>IFERROR(__xludf.DUMMYFUNCTION("MAX(FILTER($H$2:$H418,$E$2:$E418=F406))"),"#N/A")</f>
        <v>#N/A</v>
      </c>
    </row>
    <row r="407">
      <c r="A407" s="4"/>
      <c r="C407" s="4" t="s">
        <v>470</v>
      </c>
      <c r="D407" s="4" t="str">
        <f t="shared" si="1"/>
        <v>{"valorA":"comprei","valorB":2.0}</v>
      </c>
      <c r="E407" s="8" t="str">
        <f t="shared" si="2"/>
        <v>comprei</v>
      </c>
      <c r="F407" s="8"/>
      <c r="G407" s="8" t="str">
        <f t="shared" si="3"/>
        <v>2.0</v>
      </c>
      <c r="H407" s="9">
        <f t="shared" si="4"/>
        <v>2</v>
      </c>
      <c r="I407" s="6" t="str">
        <f>IFERROR(__xludf.DUMMYFUNCTION("MAX(FILTER($H$2:$H418,$E$2:$E418=F407))"),"#N/A")</f>
        <v>#N/A</v>
      </c>
    </row>
    <row r="408">
      <c r="A408" s="4"/>
      <c r="C408" s="4" t="s">
        <v>1184</v>
      </c>
      <c r="D408" s="4" t="str">
        <f t="shared" si="1"/>
        <v>{"valorA":"refrigerador","valorB":2.0}</v>
      </c>
      <c r="E408" s="8" t="str">
        <f t="shared" si="2"/>
        <v>refrigerador</v>
      </c>
      <c r="F408" s="8"/>
      <c r="G408" s="8" t="str">
        <f t="shared" si="3"/>
        <v>2.0</v>
      </c>
      <c r="H408" s="9">
        <f t="shared" si="4"/>
        <v>2</v>
      </c>
      <c r="I408" s="6" t="str">
        <f>IFERROR(__xludf.DUMMYFUNCTION("MAX(FILTER($H$2:$H418,$E$2:$E418=F408))"),"#N/A")</f>
        <v>#N/A</v>
      </c>
    </row>
    <row r="409">
      <c r="A409" s="4"/>
      <c r="C409" s="4" t="s">
        <v>1185</v>
      </c>
      <c r="D409" s="4" t="str">
        <f t="shared" si="1"/>
        <v>{"valorA":"equipamento","valorB":1.0}</v>
      </c>
      <c r="E409" s="8" t="str">
        <f t="shared" si="2"/>
        <v>equipamento</v>
      </c>
      <c r="F409" s="8"/>
      <c r="G409" s="8" t="str">
        <f t="shared" si="3"/>
        <v>1.0</v>
      </c>
      <c r="H409" s="9">
        <f t="shared" si="4"/>
        <v>1</v>
      </c>
      <c r="I409" s="6" t="str">
        <f>IFERROR(__xludf.DUMMYFUNCTION("MAX(FILTER($H$2:$H418,$E$2:$E418=F409))"),"#N/A")</f>
        <v>#N/A</v>
      </c>
    </row>
    <row r="410">
      <c r="A410" s="4"/>
      <c r="C410" s="4" t="s">
        <v>861</v>
      </c>
      <c r="D410" s="4" t="str">
        <f t="shared" si="1"/>
        <v>{"valorA":"e","valorB":16.0}</v>
      </c>
      <c r="E410" s="8" t="str">
        <f t="shared" si="2"/>
        <v>e</v>
      </c>
      <c r="F410" s="8"/>
      <c r="G410" s="8" t="str">
        <f t="shared" si="3"/>
        <v>16.0</v>
      </c>
      <c r="H410" s="9">
        <f t="shared" si="4"/>
        <v>16</v>
      </c>
      <c r="I410" s="6" t="str">
        <f>IFERROR(__xludf.DUMMYFUNCTION("MAX(FILTER($H$2:$H418,$E$2:$E418=F410))"),"#N/A")</f>
        <v>#N/A</v>
      </c>
    </row>
    <row r="411">
      <c r="A411" s="4"/>
      <c r="C411" s="4" t="s">
        <v>1186</v>
      </c>
      <c r="D411" s="4" t="str">
        <f t="shared" si="1"/>
        <v>{"valorA":"desde","valorB":6.0}</v>
      </c>
      <c r="E411" s="8" t="str">
        <f t="shared" si="2"/>
        <v>desde</v>
      </c>
      <c r="F411" s="8"/>
      <c r="G411" s="8" t="str">
        <f t="shared" si="3"/>
        <v>6.0</v>
      </c>
      <c r="H411" s="9">
        <f t="shared" si="4"/>
        <v>6</v>
      </c>
      <c r="I411" s="6" t="str">
        <f>IFERROR(__xludf.DUMMYFUNCTION("MAX(FILTER($H$2:$H418,$E$2:$E418=F411))"),"#N/A")</f>
        <v>#N/A</v>
      </c>
    </row>
    <row r="412">
      <c r="A412" s="4"/>
      <c r="C412" s="4" t="s">
        <v>593</v>
      </c>
      <c r="D412" s="4" t="str">
        <f t="shared" si="1"/>
        <v>{"valorA":"que","valorB":3.0}</v>
      </c>
      <c r="E412" s="8" t="str">
        <f t="shared" si="2"/>
        <v>que</v>
      </c>
      <c r="F412" s="8"/>
      <c r="G412" s="8" t="str">
        <f t="shared" si="3"/>
        <v>3.0</v>
      </c>
      <c r="H412" s="9">
        <f t="shared" si="4"/>
        <v>3</v>
      </c>
      <c r="I412" s="6" t="str">
        <f>IFERROR(__xludf.DUMMYFUNCTION("MAX(FILTER($H$2:$H418,$E$2:$E418=F412))"),"#N/A")</f>
        <v>#N/A</v>
      </c>
    </row>
    <row r="413">
      <c r="A413" s="4"/>
      <c r="C413" s="4" t="s">
        <v>1187</v>
      </c>
      <c r="D413" s="4" t="str">
        <f t="shared" si="1"/>
        <v>{"valorA":"congelador","valorB":1.0}</v>
      </c>
      <c r="E413" s="8" t="str">
        <f t="shared" si="2"/>
        <v>congelador</v>
      </c>
      <c r="F413" s="8"/>
      <c r="G413" s="8" t="str">
        <f t="shared" si="3"/>
        <v>1.0</v>
      </c>
      <c r="H413" s="9">
        <f t="shared" si="4"/>
        <v>1</v>
      </c>
      <c r="I413" s="6" t="str">
        <f>IFERROR(__xludf.DUMMYFUNCTION("MAX(FILTER($H$2:$H418,$E$2:$E418=F413))"),"#N/A")</f>
        <v>#N/A</v>
      </c>
    </row>
    <row r="414">
      <c r="A414" s="4"/>
      <c r="C414" s="4" t="s">
        <v>414</v>
      </c>
      <c r="D414" s="4" t="str">
        <f t="shared" si="1"/>
        <v>{"valorA":"ótimo","valorB":36.0}</v>
      </c>
      <c r="E414" s="8" t="str">
        <f t="shared" si="2"/>
        <v>ótimo</v>
      </c>
      <c r="F414" s="8"/>
      <c r="G414" s="8" t="str">
        <f t="shared" si="3"/>
        <v>36.0</v>
      </c>
      <c r="H414" s="9">
        <f t="shared" si="4"/>
        <v>36</v>
      </c>
      <c r="I414" s="6" t="str">
        <f>IFERROR(__xludf.DUMMYFUNCTION("MAX(FILTER($H$2:$H418,$E$2:$E418=F414))"),"#N/A")</f>
        <v>#N/A</v>
      </c>
    </row>
    <row r="415">
      <c r="A415" s="4"/>
      <c r="C415" s="4" t="s">
        <v>1188</v>
      </c>
      <c r="D415" s="4" t="str">
        <f t="shared" si="1"/>
        <v>{"valorA":"tem","valorB":2.0}</v>
      </c>
      <c r="E415" s="8" t="str">
        <f t="shared" si="2"/>
        <v>tem</v>
      </c>
      <c r="F415" s="8"/>
      <c r="G415" s="8" t="str">
        <f t="shared" si="3"/>
        <v>2.0</v>
      </c>
      <c r="H415" s="9">
        <f t="shared" si="4"/>
        <v>2</v>
      </c>
      <c r="I415" s="6" t="str">
        <f>IFERROR(__xludf.DUMMYFUNCTION("MAX(FILTER($H$2:$H418,$E$2:$E418=F415))"),"#N/A")</f>
        <v>#N/A</v>
      </c>
    </row>
    <row r="416">
      <c r="A416" s="4"/>
      <c r="C416" s="4" t="s">
        <v>1189</v>
      </c>
      <c r="D416" s="4" t="str">
        <f t="shared" si="1"/>
        <v>{"valorA":"perfeitamente","valorB":10.0}</v>
      </c>
      <c r="E416" s="8" t="str">
        <f t="shared" si="2"/>
        <v>perfeitamente</v>
      </c>
      <c r="F416" s="8"/>
      <c r="G416" s="8" t="str">
        <f t="shared" si="3"/>
        <v>10.0</v>
      </c>
      <c r="H416" s="9">
        <f t="shared" si="4"/>
        <v>10</v>
      </c>
      <c r="I416" s="6" t="str">
        <f>IFERROR(__xludf.DUMMYFUNCTION("MAX(FILTER($H$2:$H418,$E$2:$E418=F416))"),"#N/A")</f>
        <v>#N/A</v>
      </c>
    </row>
    <row r="417">
      <c r="A417" s="4"/>
      <c r="C417" s="4" t="s">
        <v>1190</v>
      </c>
      <c r="D417" s="4" t="str">
        <f t="shared" si="1"/>
        <v>{"valorA":"geladeira","valorB":1.0}</v>
      </c>
      <c r="E417" s="8" t="str">
        <f t="shared" si="2"/>
        <v>geladeira</v>
      </c>
      <c r="F417" s="8"/>
      <c r="G417" s="8" t="str">
        <f t="shared" si="3"/>
        <v>1.0</v>
      </c>
      <c r="H417" s="9">
        <f t="shared" si="4"/>
        <v>1</v>
      </c>
      <c r="I417" s="6" t="str">
        <f>IFERROR(__xludf.DUMMYFUNCTION("MAX(FILTER($H$2:$H418,$E$2:$E418=F417))"),"#N/A")</f>
        <v>#N/A</v>
      </c>
    </row>
    <row r="418">
      <c r="A418" s="4"/>
      <c r="C418" s="4" t="s">
        <v>1191</v>
      </c>
      <c r="D418" s="4" t="str">
        <f t="shared" si="1"/>
        <v>{"valorA":"funciona","valorB":14.0}</v>
      </c>
      <c r="E418" s="8" t="str">
        <f t="shared" si="2"/>
        <v>funciona</v>
      </c>
      <c r="F418" s="8"/>
      <c r="G418" s="8" t="str">
        <f t="shared" si="3"/>
        <v>14.0</v>
      </c>
      <c r="H418" s="9">
        <f t="shared" si="4"/>
        <v>14</v>
      </c>
      <c r="I418" s="6" t="str">
        <f>IFERROR(__xludf.DUMMYFUNCTION("MAX(FILTER($H$2:$H418,$E$2:$E418=F418))"),"#N/A")</f>
        <v>#N/A</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13"/>
    <col customWidth="1" min="2" max="2" width="21.38"/>
    <col customWidth="1" min="3" max="3" width="8.75"/>
  </cols>
  <sheetData>
    <row r="1">
      <c r="A1" s="4" t="s">
        <v>5</v>
      </c>
      <c r="B1" s="5" t="s">
        <v>6</v>
      </c>
      <c r="C1" s="5" t="s">
        <v>7</v>
      </c>
      <c r="D1" s="5" t="s">
        <v>8</v>
      </c>
      <c r="E1" s="5" t="s">
        <v>9</v>
      </c>
    </row>
    <row r="2">
      <c r="A2" s="4" t="s">
        <v>1192</v>
      </c>
      <c r="E2" s="5">
        <v>500.0</v>
      </c>
    </row>
    <row r="3">
      <c r="A3" s="12"/>
    </row>
    <row r="4">
      <c r="A4" s="4" t="s">
        <v>1193</v>
      </c>
    </row>
    <row r="5">
      <c r="A5" s="12"/>
    </row>
    <row r="6">
      <c r="A6" s="4" t="s">
        <v>1194</v>
      </c>
    </row>
    <row r="7">
      <c r="A7" s="12"/>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row r="1007">
      <c r="A1007" s="4"/>
    </row>
    <row r="1008">
      <c r="A1008" s="4"/>
    </row>
    <row r="1009">
      <c r="A1009" s="4"/>
    </row>
    <row r="1010">
      <c r="A1010" s="4"/>
    </row>
    <row r="1011">
      <c r="A1011" s="4"/>
    </row>
    <row r="1012">
      <c r="A1012" s="4"/>
    </row>
    <row r="1013">
      <c r="A1013" s="4"/>
    </row>
    <row r="1014">
      <c r="A1014" s="4"/>
    </row>
    <row r="1015">
      <c r="A1015" s="4"/>
    </row>
    <row r="1016">
      <c r="A1016" s="4"/>
    </row>
    <row r="1017">
      <c r="A1017" s="4"/>
    </row>
    <row r="1018">
      <c r="A1018" s="4"/>
    </row>
    <row r="1019">
      <c r="A1019" s="4"/>
    </row>
    <row r="1020">
      <c r="A1020" s="4"/>
    </row>
    <row r="1021">
      <c r="A1021" s="4"/>
    </row>
  </sheetData>
  <autoFilter ref="$A$1:$C$21">
    <sortState ref="A1:C21">
      <sortCondition ref="B1:B21"/>
    </sortState>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13"/>
    <col customWidth="1" min="2" max="2" width="21.38"/>
    <col customWidth="1" min="3" max="3" width="8.75"/>
  </cols>
  <sheetData>
    <row r="1">
      <c r="A1" s="4" t="s">
        <v>5</v>
      </c>
      <c r="B1" s="5" t="s">
        <v>6</v>
      </c>
      <c r="C1" s="5" t="s">
        <v>7</v>
      </c>
      <c r="D1" s="5" t="s">
        <v>8</v>
      </c>
      <c r="E1" s="5" t="s">
        <v>9</v>
      </c>
    </row>
    <row r="2">
      <c r="A2" s="4" t="s">
        <v>1195</v>
      </c>
      <c r="B2" s="6" t="str">
        <f t="shared" ref="B2:B21" si="1">LEFT(A2,LEN(A2)-5)</f>
        <v>Ar Condicionado</v>
      </c>
      <c r="C2" s="6" t="str">
        <f t="shared" ref="C2:C21" si="2">RIGHT(A2,LEN(A2)-LEN(B2)-2)</f>
        <v> 25</v>
      </c>
      <c r="D2" s="6">
        <f t="shared" ref="D2:D21" si="3">VALUE(C2)</f>
        <v>25</v>
      </c>
      <c r="E2" s="6">
        <f>SUM(D:D)</f>
        <v>500</v>
      </c>
    </row>
    <row r="3">
      <c r="A3" s="4" t="s">
        <v>1196</v>
      </c>
      <c r="B3" s="6" t="str">
        <f t="shared" si="1"/>
        <v>Aspirador</v>
      </c>
      <c r="C3" s="6" t="str">
        <f t="shared" si="2"/>
        <v> 33</v>
      </c>
      <c r="D3" s="6">
        <f t="shared" si="3"/>
        <v>33</v>
      </c>
    </row>
    <row r="4">
      <c r="A4" s="4" t="s">
        <v>1197</v>
      </c>
      <c r="B4" s="6" t="str">
        <f t="shared" si="1"/>
        <v>Carregador de Celular</v>
      </c>
      <c r="C4" s="6" t="str">
        <f t="shared" si="2"/>
        <v> 28</v>
      </c>
      <c r="D4" s="6">
        <f t="shared" si="3"/>
        <v>28</v>
      </c>
    </row>
    <row r="5">
      <c r="A5" s="4" t="s">
        <v>1198</v>
      </c>
      <c r="B5" s="6" t="str">
        <f t="shared" si="1"/>
        <v>Carregador de Computador</v>
      </c>
      <c r="C5" s="6" t="str">
        <f t="shared" si="2"/>
        <v> 25</v>
      </c>
      <c r="D5" s="6">
        <f t="shared" si="3"/>
        <v>25</v>
      </c>
    </row>
    <row r="6">
      <c r="A6" s="4" t="s">
        <v>14</v>
      </c>
      <c r="B6" s="6" t="str">
        <f t="shared" si="1"/>
        <v>Celular</v>
      </c>
      <c r="C6" s="6" t="str">
        <f t="shared" si="2"/>
        <v> 21</v>
      </c>
      <c r="D6" s="6">
        <f t="shared" si="3"/>
        <v>21</v>
      </c>
    </row>
    <row r="7">
      <c r="A7" s="4" t="s">
        <v>1199</v>
      </c>
      <c r="B7" s="6" t="str">
        <f t="shared" si="1"/>
        <v>Chuveiro Elétrico</v>
      </c>
      <c r="C7" s="6" t="str">
        <f t="shared" si="2"/>
        <v> 28</v>
      </c>
      <c r="D7" s="6">
        <f t="shared" si="3"/>
        <v>28</v>
      </c>
    </row>
    <row r="8">
      <c r="A8" s="4" t="s">
        <v>1200</v>
      </c>
      <c r="B8" s="6" t="str">
        <f t="shared" si="1"/>
        <v>Computador</v>
      </c>
      <c r="C8" s="6" t="str">
        <f t="shared" si="2"/>
        <v> 26</v>
      </c>
      <c r="D8" s="6">
        <f t="shared" si="3"/>
        <v>26</v>
      </c>
    </row>
    <row r="9">
      <c r="A9" s="4" t="s">
        <v>1201</v>
      </c>
      <c r="B9" s="6" t="str">
        <f t="shared" si="1"/>
        <v>Filtro de Linha</v>
      </c>
      <c r="C9" s="6" t="str">
        <f t="shared" si="2"/>
        <v> 22</v>
      </c>
      <c r="D9" s="6">
        <f t="shared" si="3"/>
        <v>22</v>
      </c>
    </row>
    <row r="10">
      <c r="A10" s="4" t="s">
        <v>1202</v>
      </c>
      <c r="B10" s="6" t="str">
        <f t="shared" si="1"/>
        <v>Fogão</v>
      </c>
      <c r="C10" s="6" t="str">
        <f t="shared" si="2"/>
        <v> 27</v>
      </c>
      <c r="D10" s="6">
        <f t="shared" si="3"/>
        <v>27</v>
      </c>
    </row>
    <row r="11">
      <c r="A11" s="4" t="s">
        <v>1203</v>
      </c>
      <c r="B11" s="6" t="str">
        <f t="shared" si="1"/>
        <v>Fone de Ouvido</v>
      </c>
      <c r="C11" s="6" t="str">
        <f t="shared" si="2"/>
        <v> 22</v>
      </c>
      <c r="D11" s="6">
        <f t="shared" si="3"/>
        <v>22</v>
      </c>
    </row>
    <row r="12">
      <c r="A12" s="13" t="s">
        <v>1204</v>
      </c>
      <c r="B12" s="6" t="str">
        <f t="shared" si="1"/>
        <v>Freezer</v>
      </c>
      <c r="C12" s="6" t="str">
        <f t="shared" si="2"/>
        <v> 23</v>
      </c>
      <c r="D12" s="6">
        <f t="shared" si="3"/>
        <v>23</v>
      </c>
    </row>
    <row r="13">
      <c r="A13" s="4" t="s">
        <v>1205</v>
      </c>
      <c r="B13" s="6" t="str">
        <f t="shared" si="1"/>
        <v>Liquidificador</v>
      </c>
      <c r="C13" s="6" t="str">
        <f t="shared" si="2"/>
        <v> 29</v>
      </c>
      <c r="D13" s="6">
        <f t="shared" si="3"/>
        <v>29</v>
      </c>
    </row>
    <row r="14">
      <c r="A14" s="4" t="s">
        <v>1206</v>
      </c>
      <c r="B14" s="6" t="str">
        <f t="shared" si="1"/>
        <v>Lustre</v>
      </c>
      <c r="C14" s="6" t="str">
        <f t="shared" si="2"/>
        <v> 22</v>
      </c>
      <c r="D14" s="6">
        <f t="shared" si="3"/>
        <v>22</v>
      </c>
    </row>
    <row r="15">
      <c r="A15" s="4" t="s">
        <v>1207</v>
      </c>
      <c r="B15" s="6" t="str">
        <f t="shared" si="1"/>
        <v>Microondas</v>
      </c>
      <c r="C15" s="6" t="str">
        <f t="shared" si="2"/>
        <v> 25</v>
      </c>
      <c r="D15" s="6">
        <f t="shared" si="3"/>
        <v>25</v>
      </c>
    </row>
    <row r="16">
      <c r="A16" s="4" t="s">
        <v>1208</v>
      </c>
      <c r="B16" s="6" t="str">
        <f t="shared" si="1"/>
        <v>Mouse de Computador</v>
      </c>
      <c r="C16" s="6" t="str">
        <f t="shared" si="2"/>
        <v> 27</v>
      </c>
      <c r="D16" s="6">
        <f t="shared" si="3"/>
        <v>27</v>
      </c>
    </row>
    <row r="17">
      <c r="A17" s="4" t="s">
        <v>1209</v>
      </c>
      <c r="B17" s="6" t="str">
        <f t="shared" si="1"/>
        <v>Purificador de Água</v>
      </c>
      <c r="C17" s="6" t="str">
        <f t="shared" si="2"/>
        <v> 25</v>
      </c>
      <c r="D17" s="6">
        <f t="shared" si="3"/>
        <v>25</v>
      </c>
    </row>
    <row r="18">
      <c r="A18" s="4" t="s">
        <v>1210</v>
      </c>
      <c r="B18" s="6" t="str">
        <f t="shared" si="1"/>
        <v>Relógio</v>
      </c>
      <c r="C18" s="6" t="str">
        <f t="shared" si="2"/>
        <v> 25</v>
      </c>
      <c r="D18" s="6">
        <f t="shared" si="3"/>
        <v>25</v>
      </c>
    </row>
    <row r="19">
      <c r="A19" s="4" t="s">
        <v>1211</v>
      </c>
      <c r="B19" s="6" t="str">
        <f t="shared" si="1"/>
        <v>Roteador</v>
      </c>
      <c r="C19" s="6" t="str">
        <f t="shared" si="2"/>
        <v> 27</v>
      </c>
      <c r="D19" s="6">
        <f t="shared" si="3"/>
        <v>27</v>
      </c>
    </row>
    <row r="20">
      <c r="A20" s="4" t="s">
        <v>1212</v>
      </c>
      <c r="B20" s="6" t="str">
        <f t="shared" si="1"/>
        <v>Teclado de Computador</v>
      </c>
      <c r="C20" s="6" t="str">
        <f t="shared" si="2"/>
        <v> 18</v>
      </c>
      <c r="D20" s="6">
        <f t="shared" si="3"/>
        <v>18</v>
      </c>
    </row>
    <row r="21">
      <c r="A21" s="4" t="s">
        <v>1213</v>
      </c>
      <c r="B21" s="6" t="str">
        <f t="shared" si="1"/>
        <v>Ventilador</v>
      </c>
      <c r="C21" s="6" t="str">
        <f t="shared" si="2"/>
        <v> 22</v>
      </c>
      <c r="D21" s="6">
        <f t="shared" si="3"/>
        <v>22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c r="A2" s="4" t="s">
        <v>1214</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33</v>
      </c>
    </row>
    <row r="3">
      <c r="A3" s="4" t="s">
        <v>112</v>
      </c>
    </row>
    <row r="4">
      <c r="A4" s="4" t="s">
        <v>41</v>
      </c>
    </row>
    <row r="5">
      <c r="A5" s="4" t="s">
        <v>1215</v>
      </c>
    </row>
    <row r="6">
      <c r="A6" s="4" t="s">
        <v>44</v>
      </c>
    </row>
    <row r="7">
      <c r="A7" s="4" t="s">
        <v>62</v>
      </c>
    </row>
    <row r="8">
      <c r="A8" s="4" t="s">
        <v>102</v>
      </c>
    </row>
    <row r="9">
      <c r="A9" s="4" t="s">
        <v>47</v>
      </c>
    </row>
    <row r="10">
      <c r="A10" s="4" t="s">
        <v>41</v>
      </c>
    </row>
    <row r="11">
      <c r="A11" s="4" t="s">
        <v>42</v>
      </c>
    </row>
    <row r="12">
      <c r="A12" s="4" t="s">
        <v>48</v>
      </c>
    </row>
    <row r="13">
      <c r="A13" s="4" t="s">
        <v>147</v>
      </c>
    </row>
    <row r="14">
      <c r="A14" s="4" t="s">
        <v>33</v>
      </c>
    </row>
    <row r="15">
      <c r="A15" s="4" t="s">
        <v>34</v>
      </c>
    </row>
    <row r="16">
      <c r="A16" s="4" t="s">
        <v>35</v>
      </c>
    </row>
    <row r="17">
      <c r="A17" s="4" t="s">
        <v>119</v>
      </c>
    </row>
    <row r="18">
      <c r="A18" s="4" t="s">
        <v>62</v>
      </c>
    </row>
    <row r="19">
      <c r="A19" s="4" t="s">
        <v>63</v>
      </c>
    </row>
    <row r="20">
      <c r="A20" s="4" t="s">
        <v>1216</v>
      </c>
    </row>
    <row r="21">
      <c r="A21" s="4" t="s">
        <v>33</v>
      </c>
    </row>
    <row r="22">
      <c r="A22" s="4" t="s">
        <v>34</v>
      </c>
    </row>
    <row r="23">
      <c r="A23" s="4" t="s">
        <v>36</v>
      </c>
    </row>
    <row r="24">
      <c r="A24" s="4" t="s">
        <v>1217</v>
      </c>
    </row>
    <row r="25">
      <c r="A25" s="4" t="s">
        <v>88</v>
      </c>
    </row>
    <row r="26">
      <c r="A26" s="4" t="s">
        <v>40</v>
      </c>
    </row>
    <row r="27">
      <c r="A27" s="4" t="s">
        <v>75</v>
      </c>
    </row>
    <row r="28">
      <c r="A28" s="4" t="s">
        <v>33</v>
      </c>
    </row>
    <row r="29">
      <c r="A29" s="4" t="s">
        <v>144</v>
      </c>
    </row>
    <row r="30">
      <c r="A30" s="4" t="s">
        <v>109</v>
      </c>
    </row>
    <row r="31">
      <c r="A31" s="4" t="s">
        <v>110</v>
      </c>
    </row>
    <row r="32">
      <c r="A32" s="4" t="s">
        <v>111</v>
      </c>
    </row>
    <row r="33">
      <c r="A33" s="4" t="s">
        <v>88</v>
      </c>
    </row>
    <row r="34">
      <c r="A34" s="4" t="s">
        <v>89</v>
      </c>
    </row>
    <row r="35">
      <c r="A35" s="4" t="s">
        <v>48</v>
      </c>
    </row>
    <row r="36">
      <c r="A36" s="4" t="s">
        <v>35</v>
      </c>
    </row>
    <row r="37">
      <c r="A37" s="4" t="s">
        <v>40</v>
      </c>
    </row>
    <row r="38">
      <c r="A38" s="4" t="s">
        <v>1218</v>
      </c>
    </row>
    <row r="39">
      <c r="A39" s="4" t="s">
        <v>33</v>
      </c>
    </row>
    <row r="40">
      <c r="A40" s="4" t="s">
        <v>158</v>
      </c>
    </row>
    <row r="41">
      <c r="A41" s="4" t="s">
        <v>39</v>
      </c>
    </row>
    <row r="42">
      <c r="A42" s="4" t="s">
        <v>40</v>
      </c>
    </row>
    <row r="43">
      <c r="A43" s="4" t="s">
        <v>51</v>
      </c>
    </row>
    <row r="44">
      <c r="A44" s="4" t="s">
        <v>34</v>
      </c>
    </row>
    <row r="45">
      <c r="A45" s="4" t="s">
        <v>62</v>
      </c>
    </row>
    <row r="46">
      <c r="A46" s="4" t="s">
        <v>63</v>
      </c>
    </row>
    <row r="47">
      <c r="A47" s="4" t="s">
        <v>64</v>
      </c>
    </row>
    <row r="48">
      <c r="A48" s="4" t="s">
        <v>35</v>
      </c>
    </row>
    <row r="49">
      <c r="A49" s="4" t="s">
        <v>65</v>
      </c>
    </row>
    <row r="50">
      <c r="A50" s="4" t="s">
        <v>39</v>
      </c>
    </row>
    <row r="51">
      <c r="A51" s="4" t="s">
        <v>40</v>
      </c>
    </row>
    <row r="52">
      <c r="A52" s="4" t="s">
        <v>33</v>
      </c>
    </row>
    <row r="53">
      <c r="A53" s="4" t="s">
        <v>158</v>
      </c>
    </row>
    <row r="54">
      <c r="A54" s="4" t="s">
        <v>88</v>
      </c>
    </row>
    <row r="55">
      <c r="A55" s="4" t="s">
        <v>89</v>
      </c>
    </row>
    <row r="56">
      <c r="A56" s="4" t="s">
        <v>33</v>
      </c>
    </row>
    <row r="57">
      <c r="A57" s="4" t="s">
        <v>34</v>
      </c>
    </row>
    <row r="58">
      <c r="A58" s="4" t="s">
        <v>96</v>
      </c>
    </row>
    <row r="59">
      <c r="A59" s="4" t="s">
        <v>35</v>
      </c>
    </row>
    <row r="60">
      <c r="A60" s="4" t="s">
        <v>147</v>
      </c>
    </row>
    <row r="61">
      <c r="A61" s="4" t="s">
        <v>48</v>
      </c>
    </row>
    <row r="62">
      <c r="A62" s="4" t="s">
        <v>107</v>
      </c>
    </row>
    <row r="63">
      <c r="A63" s="4" t="s">
        <v>41</v>
      </c>
    </row>
    <row r="64">
      <c r="A64" s="4" t="s">
        <v>42</v>
      </c>
    </row>
    <row r="65">
      <c r="A65" s="4" t="s">
        <v>33</v>
      </c>
    </row>
    <row r="66">
      <c r="A66" s="4" t="s">
        <v>34</v>
      </c>
    </row>
    <row r="67">
      <c r="A67" s="4" t="s">
        <v>36</v>
      </c>
    </row>
    <row r="68">
      <c r="A68" s="4" t="s">
        <v>1219</v>
      </c>
    </row>
    <row r="69">
      <c r="A69" s="4" t="s">
        <v>41</v>
      </c>
    </row>
    <row r="70">
      <c r="A70" s="4" t="s">
        <v>1220</v>
      </c>
    </row>
    <row r="71">
      <c r="A71" s="4" t="s">
        <v>61</v>
      </c>
    </row>
    <row r="72">
      <c r="A72" s="4" t="s">
        <v>33</v>
      </c>
    </row>
    <row r="73">
      <c r="A73" s="4" t="s">
        <v>34</v>
      </c>
    </row>
    <row r="74">
      <c r="A74" s="4" t="s">
        <v>121</v>
      </c>
    </row>
    <row r="75">
      <c r="A75" s="4" t="s">
        <v>92</v>
      </c>
    </row>
    <row r="76">
      <c r="A76" s="4" t="s">
        <v>122</v>
      </c>
    </row>
    <row r="77">
      <c r="A77" s="4" t="s">
        <v>119</v>
      </c>
    </row>
    <row r="78">
      <c r="A78" s="4" t="s">
        <v>500</v>
      </c>
    </row>
    <row r="79">
      <c r="A79" s="4" t="s">
        <v>109</v>
      </c>
    </row>
    <row r="80">
      <c r="A80" s="4" t="s">
        <v>501</v>
      </c>
    </row>
    <row r="81">
      <c r="A81" s="4" t="s">
        <v>62</v>
      </c>
    </row>
    <row r="82">
      <c r="A82" s="4" t="s">
        <v>63</v>
      </c>
    </row>
    <row r="83">
      <c r="A83" s="4" t="s">
        <v>64</v>
      </c>
    </row>
    <row r="84">
      <c r="A84" s="4" t="s">
        <v>35</v>
      </c>
    </row>
    <row r="85">
      <c r="A85" s="4" t="s">
        <v>65</v>
      </c>
    </row>
    <row r="86">
      <c r="A86" s="4" t="s">
        <v>50</v>
      </c>
    </row>
    <row r="87">
      <c r="A87" s="4" t="s">
        <v>40</v>
      </c>
    </row>
    <row r="88">
      <c r="A88" s="4" t="s">
        <v>129</v>
      </c>
    </row>
    <row r="89">
      <c r="A89" s="4" t="s">
        <v>146</v>
      </c>
    </row>
    <row r="90">
      <c r="A90" s="4" t="s">
        <v>48</v>
      </c>
    </row>
    <row r="91">
      <c r="A91" s="4" t="s">
        <v>126</v>
      </c>
    </row>
    <row r="92">
      <c r="A92" s="4" t="s">
        <v>1221</v>
      </c>
    </row>
    <row r="93">
      <c r="A93" s="4" t="s">
        <v>33</v>
      </c>
    </row>
    <row r="94">
      <c r="A94" s="4" t="s">
        <v>34</v>
      </c>
    </row>
    <row r="95">
      <c r="A95" s="4" t="s">
        <v>80</v>
      </c>
    </row>
    <row r="96">
      <c r="A96" s="4" t="s">
        <v>37</v>
      </c>
    </row>
    <row r="97">
      <c r="A97" s="4" t="s">
        <v>38</v>
      </c>
    </row>
    <row r="98">
      <c r="A98" s="4" t="s">
        <v>103</v>
      </c>
    </row>
    <row r="99">
      <c r="A99" s="4" t="s">
        <v>1222</v>
      </c>
    </row>
    <row r="100">
      <c r="A100" s="4" t="s">
        <v>40</v>
      </c>
    </row>
    <row r="101">
      <c r="A101" s="4" t="s">
        <v>92</v>
      </c>
    </row>
    <row r="102">
      <c r="A102" s="4" t="s">
        <v>1223</v>
      </c>
    </row>
    <row r="103">
      <c r="A103" s="4" t="s">
        <v>98</v>
      </c>
    </row>
    <row r="104">
      <c r="A104" s="4" t="s">
        <v>153</v>
      </c>
    </row>
    <row r="105">
      <c r="A105" s="4" t="s">
        <v>1224</v>
      </c>
    </row>
    <row r="106">
      <c r="A106" s="4" t="s">
        <v>115</v>
      </c>
    </row>
    <row r="107">
      <c r="A107" s="4" t="s">
        <v>33</v>
      </c>
    </row>
    <row r="108">
      <c r="A108" s="4" t="s">
        <v>34</v>
      </c>
    </row>
    <row r="109">
      <c r="A109" s="4" t="s">
        <v>35</v>
      </c>
    </row>
    <row r="110">
      <c r="A110" s="4" t="s">
        <v>96</v>
      </c>
    </row>
    <row r="111">
      <c r="A111" s="4" t="s">
        <v>65</v>
      </c>
    </row>
    <row r="112">
      <c r="A112" s="4" t="s">
        <v>33</v>
      </c>
    </row>
    <row r="113">
      <c r="A113" s="4" t="s">
        <v>34</v>
      </c>
    </row>
    <row r="114">
      <c r="A114" s="4" t="s">
        <v>88</v>
      </c>
    </row>
    <row r="115">
      <c r="A115" s="4" t="s">
        <v>89</v>
      </c>
    </row>
    <row r="116">
      <c r="A116" s="4" t="s">
        <v>48</v>
      </c>
    </row>
    <row r="117">
      <c r="A117" s="4" t="s">
        <v>35</v>
      </c>
    </row>
    <row r="118">
      <c r="A118" s="4" t="s">
        <v>107</v>
      </c>
    </row>
    <row r="119">
      <c r="A119" s="4" t="s">
        <v>41</v>
      </c>
    </row>
    <row r="120">
      <c r="A120" s="4" t="s">
        <v>42</v>
      </c>
    </row>
    <row r="121">
      <c r="A121" s="4" t="s">
        <v>33</v>
      </c>
    </row>
    <row r="122">
      <c r="A122" s="4" t="s">
        <v>34</v>
      </c>
    </row>
    <row r="123">
      <c r="A123" s="4" t="s">
        <v>80</v>
      </c>
    </row>
    <row r="124">
      <c r="A124" s="4" t="s">
        <v>1225</v>
      </c>
    </row>
    <row r="125">
      <c r="A125" s="4" t="s">
        <v>41</v>
      </c>
    </row>
    <row r="126">
      <c r="A126" s="4" t="s">
        <v>1226</v>
      </c>
    </row>
    <row r="127">
      <c r="A127" s="4" t="s">
        <v>50</v>
      </c>
    </row>
    <row r="128">
      <c r="A128" s="4" t="s">
        <v>40</v>
      </c>
    </row>
    <row r="129">
      <c r="A129" s="4" t="s">
        <v>33</v>
      </c>
    </row>
    <row r="130">
      <c r="A130" s="4" t="s">
        <v>34</v>
      </c>
    </row>
    <row r="131">
      <c r="A131" s="4" t="s">
        <v>96</v>
      </c>
    </row>
    <row r="132">
      <c r="A132" s="4" t="s">
        <v>35</v>
      </c>
    </row>
    <row r="133">
      <c r="A133" s="4" t="s">
        <v>65</v>
      </c>
    </row>
    <row r="134">
      <c r="A134" s="4" t="s">
        <v>44</v>
      </c>
    </row>
    <row r="135">
      <c r="A135" s="4" t="s">
        <v>92</v>
      </c>
    </row>
    <row r="136">
      <c r="A136" s="4" t="s">
        <v>139</v>
      </c>
    </row>
    <row r="137">
      <c r="A137" s="4" t="s">
        <v>33</v>
      </c>
    </row>
    <row r="138">
      <c r="A138" s="4" t="s">
        <v>34</v>
      </c>
    </row>
    <row r="139">
      <c r="A139" s="4" t="s">
        <v>90</v>
      </c>
    </row>
    <row r="140">
      <c r="A140" s="4" t="s">
        <v>40</v>
      </c>
    </row>
    <row r="141">
      <c r="A141" s="4" t="s">
        <v>33</v>
      </c>
    </row>
    <row r="142">
      <c r="A142" s="4" t="s">
        <v>144</v>
      </c>
    </row>
    <row r="143">
      <c r="A143" s="4" t="s">
        <v>501</v>
      </c>
    </row>
    <row r="144">
      <c r="A144" s="4" t="s">
        <v>75</v>
      </c>
    </row>
    <row r="145">
      <c r="A145" s="4" t="s">
        <v>1227</v>
      </c>
    </row>
    <row r="146">
      <c r="A146" s="4" t="s">
        <v>68</v>
      </c>
    </row>
    <row r="147">
      <c r="A147" s="4" t="s">
        <v>1228</v>
      </c>
    </row>
    <row r="148">
      <c r="A148" s="4" t="s">
        <v>62</v>
      </c>
    </row>
    <row r="149">
      <c r="A149" s="4" t="s">
        <v>63</v>
      </c>
    </row>
    <row r="150">
      <c r="A150" s="4" t="s">
        <v>64</v>
      </c>
    </row>
    <row r="151">
      <c r="A151" s="4" t="s">
        <v>35</v>
      </c>
    </row>
    <row r="152">
      <c r="A152" s="4" t="s">
        <v>65</v>
      </c>
    </row>
    <row r="153">
      <c r="A153" s="4" t="s">
        <v>88</v>
      </c>
    </row>
    <row r="154">
      <c r="A154" s="4" t="s">
        <v>89</v>
      </c>
    </row>
    <row r="155">
      <c r="A155" s="4" t="s">
        <v>33</v>
      </c>
    </row>
    <row r="156">
      <c r="A156" s="4" t="s">
        <v>64</v>
      </c>
    </row>
    <row r="157">
      <c r="A157" s="4" t="s">
        <v>50</v>
      </c>
    </row>
    <row r="158">
      <c r="A158" s="4" t="s">
        <v>40</v>
      </c>
    </row>
    <row r="159">
      <c r="A159" s="4" t="s">
        <v>129</v>
      </c>
    </row>
    <row r="160">
      <c r="A160" s="4" t="s">
        <v>500</v>
      </c>
    </row>
    <row r="161">
      <c r="A161" s="4" t="s">
        <v>33</v>
      </c>
    </row>
    <row r="162">
      <c r="A162" s="4" t="s">
        <v>34</v>
      </c>
    </row>
    <row r="163">
      <c r="A163" s="4" t="s">
        <v>40</v>
      </c>
    </row>
    <row r="164">
      <c r="A164" s="4" t="s">
        <v>1229</v>
      </c>
    </row>
    <row r="165">
      <c r="A165" s="4" t="s">
        <v>33</v>
      </c>
    </row>
    <row r="166">
      <c r="A166" s="4" t="s">
        <v>34</v>
      </c>
    </row>
    <row r="167">
      <c r="A167" s="4" t="s">
        <v>36</v>
      </c>
    </row>
    <row r="168">
      <c r="A168" s="4" t="s">
        <v>164</v>
      </c>
    </row>
    <row r="169">
      <c r="A169" s="4" t="s">
        <v>88</v>
      </c>
    </row>
    <row r="170">
      <c r="A170" s="4" t="s">
        <v>75</v>
      </c>
    </row>
    <row r="171">
      <c r="A171" s="4" t="s">
        <v>48</v>
      </c>
    </row>
    <row r="172">
      <c r="A172" s="4" t="s">
        <v>35</v>
      </c>
    </row>
    <row r="173">
      <c r="A173" s="4" t="s">
        <v>1230</v>
      </c>
    </row>
    <row r="174">
      <c r="A174" s="4" t="s">
        <v>33</v>
      </c>
    </row>
    <row r="175">
      <c r="A175" s="4" t="s">
        <v>34</v>
      </c>
    </row>
    <row r="176">
      <c r="A176" s="4" t="s">
        <v>96</v>
      </c>
    </row>
    <row r="177">
      <c r="A177" s="4" t="s">
        <v>97</v>
      </c>
    </row>
    <row r="178">
      <c r="A178" s="4" t="s">
        <v>92</v>
      </c>
    </row>
    <row r="179">
      <c r="A179" s="4" t="s">
        <v>1231</v>
      </c>
    </row>
    <row r="180">
      <c r="A180" s="4" t="s">
        <v>98</v>
      </c>
    </row>
    <row r="181">
      <c r="A181" s="4" t="s">
        <v>99</v>
      </c>
    </row>
    <row r="182">
      <c r="A182" s="4" t="s">
        <v>1232</v>
      </c>
    </row>
    <row r="183">
      <c r="A183" s="4" t="s">
        <v>33</v>
      </c>
    </row>
    <row r="184">
      <c r="A184" s="4" t="s">
        <v>34</v>
      </c>
    </row>
    <row r="185">
      <c r="A185" s="4" t="s">
        <v>51</v>
      </c>
    </row>
    <row r="186">
      <c r="A186" s="4" t="s">
        <v>1233</v>
      </c>
    </row>
    <row r="187">
      <c r="A187" s="4" t="s">
        <v>88</v>
      </c>
    </row>
    <row r="188">
      <c r="A188" s="4" t="s">
        <v>89</v>
      </c>
    </row>
    <row r="189">
      <c r="A189" s="4" t="s">
        <v>33</v>
      </c>
    </row>
    <row r="190">
      <c r="A190" s="4" t="s">
        <v>51</v>
      </c>
    </row>
    <row r="191">
      <c r="A191" s="4" t="s">
        <v>1234</v>
      </c>
    </row>
    <row r="192">
      <c r="A192" s="4" t="s">
        <v>50</v>
      </c>
    </row>
    <row r="193">
      <c r="A193" s="4" t="s">
        <v>40</v>
      </c>
    </row>
    <row r="194">
      <c r="A194" s="4" t="s">
        <v>1235</v>
      </c>
    </row>
    <row r="195">
      <c r="A195" s="4" t="s">
        <v>44</v>
      </c>
    </row>
    <row r="196">
      <c r="A196" s="4" t="s">
        <v>81</v>
      </c>
    </row>
    <row r="197">
      <c r="A197" s="4" t="s">
        <v>1236</v>
      </c>
    </row>
    <row r="198">
      <c r="A198" s="4" t="s">
        <v>33</v>
      </c>
    </row>
    <row r="199">
      <c r="A199" s="4" t="s">
        <v>34</v>
      </c>
    </row>
    <row r="200">
      <c r="A200" s="4" t="s">
        <v>132</v>
      </c>
    </row>
    <row r="201">
      <c r="A201" s="4" t="s">
        <v>133</v>
      </c>
    </row>
    <row r="202">
      <c r="A202" s="4" t="s">
        <v>46</v>
      </c>
    </row>
    <row r="203">
      <c r="A203" s="4" t="s">
        <v>90</v>
      </c>
    </row>
    <row r="204">
      <c r="A204" s="4" t="s">
        <v>33</v>
      </c>
    </row>
    <row r="205">
      <c r="A205" s="4" t="s">
        <v>144</v>
      </c>
    </row>
    <row r="206">
      <c r="A206" s="4" t="s">
        <v>88</v>
      </c>
    </row>
    <row r="207">
      <c r="A207" s="4" t="s">
        <v>89</v>
      </c>
    </row>
    <row r="208">
      <c r="A208" s="4" t="s">
        <v>33</v>
      </c>
    </row>
    <row r="209">
      <c r="A209" s="4" t="s">
        <v>34</v>
      </c>
    </row>
    <row r="210">
      <c r="A210" s="4" t="s">
        <v>132</v>
      </c>
    </row>
    <row r="211">
      <c r="A211" s="4" t="s">
        <v>133</v>
      </c>
    </row>
    <row r="212">
      <c r="A212" s="4" t="s">
        <v>134</v>
      </c>
    </row>
    <row r="213">
      <c r="A213" s="4" t="s">
        <v>135</v>
      </c>
    </row>
    <row r="214">
      <c r="A214" s="4" t="s">
        <v>90</v>
      </c>
    </row>
    <row r="215">
      <c r="A215" s="4" t="s">
        <v>62</v>
      </c>
    </row>
    <row r="216">
      <c r="A216" s="4" t="s">
        <v>63</v>
      </c>
    </row>
    <row r="217">
      <c r="A217" s="4" t="s">
        <v>152</v>
      </c>
    </row>
    <row r="218">
      <c r="A218" s="4" t="s">
        <v>35</v>
      </c>
    </row>
    <row r="219">
      <c r="A219" s="4" t="s">
        <v>65</v>
      </c>
    </row>
    <row r="220">
      <c r="A220" s="4" t="s">
        <v>88</v>
      </c>
    </row>
    <row r="221">
      <c r="A221" s="4" t="s">
        <v>89</v>
      </c>
    </row>
    <row r="222">
      <c r="A222" s="4" t="s">
        <v>48</v>
      </c>
    </row>
    <row r="223">
      <c r="A223" s="4" t="s">
        <v>35</v>
      </c>
    </row>
    <row r="224">
      <c r="A224" s="4" t="s">
        <v>107</v>
      </c>
    </row>
    <row r="225">
      <c r="A225" s="4" t="s">
        <v>41</v>
      </c>
    </row>
    <row r="226">
      <c r="A226" s="4" t="s">
        <v>42</v>
      </c>
    </row>
    <row r="227">
      <c r="A227" s="4" t="s">
        <v>33</v>
      </c>
    </row>
    <row r="228">
      <c r="A228" s="4" t="s">
        <v>34</v>
      </c>
    </row>
    <row r="229">
      <c r="A229" s="4" t="s">
        <v>35</v>
      </c>
    </row>
    <row r="230">
      <c r="A230" s="4" t="s">
        <v>96</v>
      </c>
    </row>
    <row r="231">
      <c r="A231" s="4" t="s">
        <v>65</v>
      </c>
    </row>
    <row r="232">
      <c r="A232" s="4" t="s">
        <v>33</v>
      </c>
    </row>
    <row r="233">
      <c r="A233" s="4" t="s">
        <v>34</v>
      </c>
    </row>
    <row r="234">
      <c r="A234" s="4" t="s">
        <v>80</v>
      </c>
    </row>
    <row r="235">
      <c r="A235" s="4" t="s">
        <v>1225</v>
      </c>
    </row>
    <row r="236">
      <c r="A236" s="4" t="s">
        <v>47</v>
      </c>
    </row>
    <row r="237">
      <c r="A237" s="4" t="s">
        <v>41</v>
      </c>
    </row>
    <row r="238">
      <c r="A238" s="4" t="s">
        <v>892</v>
      </c>
    </row>
    <row r="239">
      <c r="A239" s="4" t="s">
        <v>48</v>
      </c>
    </row>
    <row r="240">
      <c r="A240" s="4" t="s">
        <v>1223</v>
      </c>
    </row>
    <row r="241">
      <c r="A241" s="4" t="s">
        <v>33</v>
      </c>
    </row>
    <row r="242">
      <c r="A242" s="4" t="s">
        <v>48</v>
      </c>
    </row>
    <row r="243">
      <c r="A243" s="4" t="s">
        <v>147</v>
      </c>
    </row>
    <row r="244">
      <c r="A244" s="4" t="s">
        <v>521</v>
      </c>
    </row>
    <row r="245">
      <c r="A245" s="4" t="s">
        <v>1237</v>
      </c>
    </row>
    <row r="246">
      <c r="A246" s="4" t="s">
        <v>109</v>
      </c>
    </row>
    <row r="247">
      <c r="A247" s="4" t="s">
        <v>110</v>
      </c>
    </row>
    <row r="248">
      <c r="A248" s="4" t="s">
        <v>121</v>
      </c>
    </row>
    <row r="249">
      <c r="A249" s="4" t="s">
        <v>92</v>
      </c>
    </row>
    <row r="250">
      <c r="A250" s="4" t="s">
        <v>122</v>
      </c>
    </row>
    <row r="251">
      <c r="A251" s="4" t="s">
        <v>119</v>
      </c>
    </row>
    <row r="252">
      <c r="A252" s="4" t="s">
        <v>500</v>
      </c>
    </row>
    <row r="253">
      <c r="A253" s="4" t="s">
        <v>109</v>
      </c>
    </row>
    <row r="254">
      <c r="A254" s="4" t="s">
        <v>501</v>
      </c>
    </row>
    <row r="255">
      <c r="A255" s="4" t="s">
        <v>33</v>
      </c>
    </row>
    <row r="256">
      <c r="A256" s="4" t="s">
        <v>112</v>
      </c>
    </row>
    <row r="257">
      <c r="A257" s="4" t="s">
        <v>41</v>
      </c>
    </row>
    <row r="258">
      <c r="A258" s="4" t="s">
        <v>113</v>
      </c>
    </row>
    <row r="259">
      <c r="A259" s="4" t="s">
        <v>35</v>
      </c>
    </row>
    <row r="260">
      <c r="A260" s="4" t="s">
        <v>40</v>
      </c>
    </row>
    <row r="261">
      <c r="A261" s="4" t="s">
        <v>107</v>
      </c>
    </row>
    <row r="262">
      <c r="A262" s="4" t="s">
        <v>42</v>
      </c>
    </row>
    <row r="263">
      <c r="A263" s="4" t="s">
        <v>48</v>
      </c>
    </row>
    <row r="264">
      <c r="A264" s="4" t="s">
        <v>103</v>
      </c>
    </row>
    <row r="265">
      <c r="A265" s="4" t="s">
        <v>1238</v>
      </c>
    </row>
    <row r="266">
      <c r="A266" s="4" t="s">
        <v>1239</v>
      </c>
    </row>
    <row r="267">
      <c r="A267" s="4" t="s">
        <v>116</v>
      </c>
    </row>
    <row r="268">
      <c r="A268" s="4" t="s">
        <v>1240</v>
      </c>
    </row>
    <row r="269">
      <c r="A269" s="4" t="s">
        <v>33</v>
      </c>
    </row>
    <row r="270">
      <c r="A270" s="4" t="s">
        <v>34</v>
      </c>
    </row>
    <row r="271">
      <c r="A271" s="4" t="s">
        <v>90</v>
      </c>
    </row>
    <row r="272">
      <c r="A272" s="4" t="s">
        <v>33</v>
      </c>
    </row>
    <row r="273">
      <c r="A273" s="4" t="s">
        <v>34</v>
      </c>
    </row>
    <row r="274">
      <c r="A274" s="4" t="s">
        <v>80</v>
      </c>
    </row>
    <row r="275">
      <c r="A275" s="4" t="s">
        <v>37</v>
      </c>
    </row>
    <row r="276">
      <c r="A276" s="4" t="s">
        <v>38</v>
      </c>
    </row>
    <row r="277">
      <c r="A277" s="4" t="s">
        <v>33</v>
      </c>
    </row>
    <row r="278">
      <c r="A278" s="4" t="s">
        <v>36</v>
      </c>
    </row>
    <row r="279">
      <c r="A279" s="4" t="s">
        <v>943</v>
      </c>
    </row>
    <row r="280">
      <c r="A280" s="4" t="s">
        <v>41</v>
      </c>
    </row>
    <row r="281">
      <c r="A281" s="4" t="s">
        <v>944</v>
      </c>
    </row>
    <row r="282">
      <c r="A282" s="4" t="s">
        <v>1241</v>
      </c>
    </row>
    <row r="283">
      <c r="A283" s="4" t="s">
        <v>50</v>
      </c>
    </row>
    <row r="284">
      <c r="A284" s="4" t="s">
        <v>40</v>
      </c>
    </row>
    <row r="285">
      <c r="A285" s="4" t="s">
        <v>33</v>
      </c>
    </row>
    <row r="286">
      <c r="A286" s="4" t="s">
        <v>34</v>
      </c>
    </row>
    <row r="287">
      <c r="A287" s="4" t="s">
        <v>80</v>
      </c>
    </row>
    <row r="288">
      <c r="A288" s="4" t="s">
        <v>37</v>
      </c>
    </row>
    <row r="289">
      <c r="A289" s="4" t="s">
        <v>1242</v>
      </c>
    </row>
    <row r="290">
      <c r="A290" s="4" t="s">
        <v>47</v>
      </c>
    </row>
    <row r="291">
      <c r="A291" s="4" t="s">
        <v>41</v>
      </c>
    </row>
    <row r="292">
      <c r="A292" s="4" t="s">
        <v>154</v>
      </c>
    </row>
    <row r="293">
      <c r="A293" s="4" t="s">
        <v>48</v>
      </c>
    </row>
    <row r="294">
      <c r="A294" s="4" t="s">
        <v>1243</v>
      </c>
    </row>
    <row r="295">
      <c r="A295" s="4" t="s">
        <v>75</v>
      </c>
    </row>
    <row r="296">
      <c r="A296" s="4" t="s">
        <v>33</v>
      </c>
    </row>
    <row r="297">
      <c r="A297" s="4" t="s">
        <v>34</v>
      </c>
    </row>
    <row r="298">
      <c r="A298" s="4" t="s">
        <v>36</v>
      </c>
    </row>
    <row r="299">
      <c r="A299" s="4" t="s">
        <v>1219</v>
      </c>
    </row>
    <row r="300">
      <c r="A300" s="4" t="s">
        <v>41</v>
      </c>
    </row>
    <row r="301">
      <c r="A301" s="4" t="s">
        <v>1220</v>
      </c>
    </row>
    <row r="302">
      <c r="A302" s="4" t="s">
        <v>90</v>
      </c>
    </row>
    <row r="303">
      <c r="A303" s="4" t="s">
        <v>62</v>
      </c>
    </row>
    <row r="304">
      <c r="A304" s="4" t="s">
        <v>63</v>
      </c>
    </row>
    <row r="305">
      <c r="A305" s="4" t="s">
        <v>64</v>
      </c>
    </row>
    <row r="306">
      <c r="A306" s="4" t="s">
        <v>35</v>
      </c>
    </row>
    <row r="307">
      <c r="A307" s="4" t="s">
        <v>65</v>
      </c>
    </row>
    <row r="308">
      <c r="A308" s="4" t="s">
        <v>50</v>
      </c>
    </row>
    <row r="309">
      <c r="A309" s="4" t="s">
        <v>40</v>
      </c>
    </row>
    <row r="310">
      <c r="A310" s="4" t="s">
        <v>129</v>
      </c>
    </row>
    <row r="311">
      <c r="A311" s="4" t="s">
        <v>146</v>
      </c>
    </row>
    <row r="312">
      <c r="A312" s="4" t="s">
        <v>48</v>
      </c>
    </row>
    <row r="313">
      <c r="A313" s="4" t="s">
        <v>126</v>
      </c>
    </row>
    <row r="314">
      <c r="A314" s="4" t="s">
        <v>1221</v>
      </c>
    </row>
    <row r="315">
      <c r="A315" s="4" t="s">
        <v>33</v>
      </c>
    </row>
    <row r="316">
      <c r="A316" s="4" t="s">
        <v>34</v>
      </c>
    </row>
    <row r="317">
      <c r="A317" s="4" t="s">
        <v>36</v>
      </c>
    </row>
    <row r="318">
      <c r="A318" s="4" t="s">
        <v>87</v>
      </c>
    </row>
    <row r="319">
      <c r="A319" s="4" t="s">
        <v>88</v>
      </c>
    </row>
    <row r="320">
      <c r="A320" s="4" t="s">
        <v>89</v>
      </c>
    </row>
    <row r="321">
      <c r="A321" s="4" t="s">
        <v>62</v>
      </c>
    </row>
    <row r="322">
      <c r="A322" s="4" t="s">
        <v>63</v>
      </c>
    </row>
    <row r="323">
      <c r="A323" s="4" t="s">
        <v>64</v>
      </c>
    </row>
    <row r="324">
      <c r="A324" s="4" t="s">
        <v>35</v>
      </c>
    </row>
    <row r="325">
      <c r="A325" s="4" t="s">
        <v>65</v>
      </c>
    </row>
    <row r="326">
      <c r="A326" s="4" t="s">
        <v>50</v>
      </c>
    </row>
    <row r="327">
      <c r="A327" s="4" t="s">
        <v>40</v>
      </c>
    </row>
    <row r="328">
      <c r="A328" s="4" t="s">
        <v>126</v>
      </c>
    </row>
    <row r="329">
      <c r="A329" s="4" t="s">
        <v>1221</v>
      </c>
    </row>
    <row r="330">
      <c r="A330" s="4" t="s">
        <v>48</v>
      </c>
    </row>
    <row r="331">
      <c r="A331" s="4" t="s">
        <v>515</v>
      </c>
    </row>
    <row r="332">
      <c r="A332" s="4" t="s">
        <v>33</v>
      </c>
    </row>
    <row r="333">
      <c r="A333" s="4" t="s">
        <v>34</v>
      </c>
    </row>
    <row r="334">
      <c r="A334" s="4" t="s">
        <v>40</v>
      </c>
    </row>
    <row r="335">
      <c r="A335" s="4" t="s">
        <v>75</v>
      </c>
    </row>
    <row r="336">
      <c r="A336" s="4" t="s">
        <v>100</v>
      </c>
    </row>
    <row r="337">
      <c r="A337" s="4" t="s">
        <v>121</v>
      </c>
    </row>
    <row r="338">
      <c r="A338" s="4" t="s">
        <v>92</v>
      </c>
    </row>
    <row r="339">
      <c r="A339" s="4" t="s">
        <v>122</v>
      </c>
    </row>
    <row r="340">
      <c r="A340" s="4" t="s">
        <v>537</v>
      </c>
    </row>
    <row r="341">
      <c r="A341" s="4" t="s">
        <v>33</v>
      </c>
    </row>
    <row r="342">
      <c r="A342" s="4" t="s">
        <v>51</v>
      </c>
    </row>
    <row r="343">
      <c r="A343" s="4" t="s">
        <v>144</v>
      </c>
    </row>
    <row r="344">
      <c r="A344" s="4" t="s">
        <v>61</v>
      </c>
    </row>
    <row r="345">
      <c r="A345" s="4" t="s">
        <v>33</v>
      </c>
    </row>
    <row r="346">
      <c r="A346" s="4" t="s">
        <v>34</v>
      </c>
    </row>
    <row r="347">
      <c r="A347" s="4" t="s">
        <v>96</v>
      </c>
    </row>
    <row r="348">
      <c r="A348" s="4" t="s">
        <v>97</v>
      </c>
    </row>
    <row r="349">
      <c r="A349" s="4" t="s">
        <v>92</v>
      </c>
    </row>
    <row r="350">
      <c r="A350" s="4" t="s">
        <v>1231</v>
      </c>
    </row>
    <row r="351">
      <c r="A351" s="4" t="s">
        <v>98</v>
      </c>
    </row>
    <row r="352">
      <c r="A352" s="4" t="s">
        <v>99</v>
      </c>
    </row>
    <row r="353">
      <c r="A353" s="4" t="s">
        <v>1244</v>
      </c>
    </row>
    <row r="354">
      <c r="A354" s="4" t="s">
        <v>33</v>
      </c>
    </row>
    <row r="355">
      <c r="A355" s="4" t="s">
        <v>34</v>
      </c>
    </row>
    <row r="356">
      <c r="A356" s="4" t="s">
        <v>132</v>
      </c>
    </row>
    <row r="357">
      <c r="A357" s="4" t="s">
        <v>539</v>
      </c>
    </row>
    <row r="358">
      <c r="A358" s="4" t="s">
        <v>41</v>
      </c>
    </row>
    <row r="359">
      <c r="A359" s="4" t="s">
        <v>155</v>
      </c>
    </row>
    <row r="360">
      <c r="A360" s="4" t="s">
        <v>929</v>
      </c>
    </row>
    <row r="361">
      <c r="A361" s="4" t="s">
        <v>1245</v>
      </c>
    </row>
    <row r="362">
      <c r="A362" s="4" t="s">
        <v>115</v>
      </c>
    </row>
    <row r="363">
      <c r="A363" s="4" t="s">
        <v>119</v>
      </c>
    </row>
    <row r="364">
      <c r="A364" s="4" t="s">
        <v>120</v>
      </c>
    </row>
    <row r="365">
      <c r="A365" s="4" t="s">
        <v>33</v>
      </c>
    </row>
    <row r="366">
      <c r="A366" s="4" t="s">
        <v>34</v>
      </c>
    </row>
    <row r="367">
      <c r="A367" s="4" t="s">
        <v>50</v>
      </c>
    </row>
    <row r="368">
      <c r="A368" s="4" t="s">
        <v>40</v>
      </c>
    </row>
    <row r="369">
      <c r="A369" s="4" t="s">
        <v>35</v>
      </c>
    </row>
    <row r="370">
      <c r="A370" s="4" t="s">
        <v>1230</v>
      </c>
    </row>
    <row r="371">
      <c r="A371" s="4" t="s">
        <v>48</v>
      </c>
    </row>
    <row r="372">
      <c r="A372" s="4" t="s">
        <v>88</v>
      </c>
    </row>
    <row r="373">
      <c r="A373" s="4" t="s">
        <v>75</v>
      </c>
    </row>
    <row r="374">
      <c r="A374" s="4" t="s">
        <v>33</v>
      </c>
    </row>
    <row r="375">
      <c r="A375" s="4" t="s">
        <v>34</v>
      </c>
    </row>
    <row r="376">
      <c r="A376" s="4" t="s">
        <v>35</v>
      </c>
    </row>
    <row r="377">
      <c r="A377" s="4" t="s">
        <v>96</v>
      </c>
    </row>
    <row r="378">
      <c r="A378" s="4" t="s">
        <v>65</v>
      </c>
    </row>
    <row r="379">
      <c r="A379" s="4" t="s">
        <v>88</v>
      </c>
    </row>
    <row r="380">
      <c r="A380" s="4" t="s">
        <v>89</v>
      </c>
    </row>
    <row r="381">
      <c r="A381" s="4" t="s">
        <v>48</v>
      </c>
    </row>
    <row r="382">
      <c r="A382" s="4" t="s">
        <v>35</v>
      </c>
    </row>
    <row r="383">
      <c r="A383" s="4" t="s">
        <v>107</v>
      </c>
    </row>
    <row r="384">
      <c r="A384" s="4" t="s">
        <v>41</v>
      </c>
    </row>
    <row r="385">
      <c r="A385" s="4" t="s">
        <v>42</v>
      </c>
    </row>
    <row r="386">
      <c r="A386" s="4" t="s">
        <v>33</v>
      </c>
    </row>
    <row r="387">
      <c r="A387" s="4" t="s">
        <v>34</v>
      </c>
    </row>
    <row r="388">
      <c r="A388" s="4" t="s">
        <v>35</v>
      </c>
    </row>
    <row r="389">
      <c r="A389" s="4" t="s">
        <v>65</v>
      </c>
    </row>
    <row r="390">
      <c r="A390" s="4" t="s">
        <v>138</v>
      </c>
    </row>
    <row r="391">
      <c r="A391" s="4" t="s">
        <v>88</v>
      </c>
    </row>
    <row r="392">
      <c r="A392" s="4" t="s">
        <v>62</v>
      </c>
    </row>
    <row r="393">
      <c r="A393" s="4" t="s">
        <v>63</v>
      </c>
    </row>
    <row r="394">
      <c r="A394" s="4" t="s">
        <v>102</v>
      </c>
    </row>
    <row r="395">
      <c r="A395" s="4" t="s">
        <v>35</v>
      </c>
    </row>
    <row r="396">
      <c r="A396" s="4" t="s">
        <v>65</v>
      </c>
    </row>
    <row r="397">
      <c r="A397" s="4" t="s">
        <v>50</v>
      </c>
    </row>
    <row r="398">
      <c r="A398" s="4" t="s">
        <v>40</v>
      </c>
    </row>
    <row r="399">
      <c r="A399" s="4" t="s">
        <v>129</v>
      </c>
    </row>
    <row r="400">
      <c r="A400" s="4" t="s">
        <v>146</v>
      </c>
    </row>
    <row r="401">
      <c r="A401" s="4" t="s">
        <v>33</v>
      </c>
    </row>
    <row r="402">
      <c r="A402" s="4" t="s">
        <v>144</v>
      </c>
    </row>
    <row r="403">
      <c r="A403" s="4" t="s">
        <v>35</v>
      </c>
    </row>
    <row r="404">
      <c r="A404" s="4" t="s">
        <v>65</v>
      </c>
    </row>
    <row r="405">
      <c r="A405" s="4" t="s">
        <v>138</v>
      </c>
    </row>
    <row r="406">
      <c r="A406" s="4" t="s">
        <v>1246</v>
      </c>
    </row>
    <row r="407">
      <c r="A407" s="4" t="s">
        <v>88</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175</v>
      </c>
      <c r="D2" s="4" t="str">
        <f t="shared" ref="D2:D350" si="1">C2</f>
        <v>{"valorA":"ótimo","valorB":1.0}</v>
      </c>
      <c r="E2" s="8" t="str">
        <f t="shared" ref="E2:E350" si="2">SUBSTITUTE(MID(C2,FIND(":",C2)+1,FIND(",",C2)-FIND(":",C2)-1),"""","")</f>
        <v>ótimo</v>
      </c>
      <c r="F2" s="8" t="str">
        <f>IFERROR(__xludf.DUMMYFUNCTION("UNIQUE(E2:E350)"),"ótimo")</f>
        <v>ótimo</v>
      </c>
      <c r="G2" s="8" t="str">
        <f t="shared" ref="G2:G350" si="3">MID(C2,FIND("valorB",C2)+8,FIND("}",C2)-FIND("valorB",C2)-8)</f>
        <v>1.0</v>
      </c>
      <c r="H2" s="9">
        <f t="shared" ref="H2:H350" si="4">VALUE(SUBSTITUTE(G2,".",","))</f>
        <v>1</v>
      </c>
      <c r="I2" s="10">
        <f>IFERROR(__xludf.DUMMYFUNCTION("MAX(FILTER($H$2:$H350,$E$2:$E350=F2))"),43.0)</f>
        <v>43</v>
      </c>
    </row>
    <row r="3">
      <c r="A3" s="4"/>
      <c r="C3" s="4" t="s">
        <v>178</v>
      </c>
      <c r="D3" s="4" t="str">
        <f t="shared" si="1"/>
        <v>{"valorA":"para","valorB":1.0}</v>
      </c>
      <c r="E3" s="8" t="str">
        <f t="shared" si="2"/>
        <v>para</v>
      </c>
      <c r="F3" s="8" t="str">
        <f>IFERROR(__xludf.DUMMYFUNCTION("""COMPUTED_VALUE"""),"para")</f>
        <v>para</v>
      </c>
      <c r="G3" s="8" t="str">
        <f t="shared" si="3"/>
        <v>1.0</v>
      </c>
      <c r="H3" s="9">
        <f t="shared" si="4"/>
        <v>1</v>
      </c>
      <c r="I3" s="10">
        <f>IFERROR(__xludf.DUMMYFUNCTION("MAX(FILTER($H$2:$H350,$E$2:$E350=F3))"),3.0)</f>
        <v>3</v>
      </c>
    </row>
    <row r="4">
      <c r="A4" s="4"/>
      <c r="C4" s="4" t="s">
        <v>177</v>
      </c>
      <c r="D4" s="4" t="str">
        <f t="shared" si="1"/>
        <v>{"valorA":"é","valorB":1.0}</v>
      </c>
      <c r="E4" s="8" t="str">
        <f t="shared" si="2"/>
        <v>é</v>
      </c>
      <c r="F4" s="8" t="str">
        <f>IFERROR(__xludf.DUMMYFUNCTION("""COMPUTED_VALUE"""),"é")</f>
        <v>é</v>
      </c>
      <c r="G4" s="8" t="str">
        <f t="shared" si="3"/>
        <v>1.0</v>
      </c>
      <c r="H4" s="9">
        <f t="shared" si="4"/>
        <v>1</v>
      </c>
      <c r="I4" s="10">
        <f>IFERROR(__xludf.DUMMYFUNCTION("MAX(FILTER($H$2:$H350,$E$2:$E350=F4))"),22.0)</f>
        <v>22</v>
      </c>
    </row>
    <row r="5">
      <c r="A5" s="4"/>
      <c r="C5" s="4" t="s">
        <v>267</v>
      </c>
      <c r="D5" s="4" t="str">
        <f t="shared" si="1"/>
        <v>{"valorA":"relogio","valorB":1.0}</v>
      </c>
      <c r="E5" s="8" t="str">
        <f t="shared" si="2"/>
        <v>relogio</v>
      </c>
      <c r="F5" s="8" t="str">
        <f>IFERROR(__xludf.DUMMYFUNCTION("""COMPUTED_VALUE"""),"relogio")</f>
        <v>relogio</v>
      </c>
      <c r="G5" s="8" t="str">
        <f t="shared" si="3"/>
        <v>1.0</v>
      </c>
      <c r="H5" s="9">
        <f t="shared" si="4"/>
        <v>1</v>
      </c>
      <c r="I5" s="10">
        <f>IFERROR(__xludf.DUMMYFUNCTION("MAX(FILTER($H$2:$H350,$E$2:$E350=F5))"),2.0)</f>
        <v>2</v>
      </c>
    </row>
    <row r="6">
      <c r="A6" s="4"/>
      <c r="C6" s="4" t="s">
        <v>181</v>
      </c>
      <c r="D6" s="4" t="str">
        <f t="shared" si="1"/>
        <v>{"valorA":"facil","valorB":1.0}</v>
      </c>
      <c r="E6" s="8" t="str">
        <f t="shared" si="2"/>
        <v>facil</v>
      </c>
      <c r="F6" s="8" t="str">
        <f>IFERROR(__xludf.DUMMYFUNCTION("""COMPUTED_VALUE"""),"facil")</f>
        <v>facil</v>
      </c>
      <c r="G6" s="8" t="str">
        <f t="shared" si="3"/>
        <v>1.0</v>
      </c>
      <c r="H6" s="9">
        <f t="shared" si="4"/>
        <v>1</v>
      </c>
      <c r="I6" s="10">
        <f>IFERROR(__xludf.DUMMYFUNCTION("MAX(FILTER($H$2:$H350,$E$2:$E350=F6))"),3.0)</f>
        <v>3</v>
      </c>
    </row>
    <row r="7">
      <c r="A7" s="4"/>
      <c r="C7" s="4" t="s">
        <v>1247</v>
      </c>
      <c r="D7" s="4" t="str">
        <f t="shared" si="1"/>
        <v>{"valorA":"favorito","valorB":1.0}</v>
      </c>
      <c r="E7" s="8" t="str">
        <f t="shared" si="2"/>
        <v>favorito</v>
      </c>
      <c r="F7" s="8" t="str">
        <f>IFERROR(__xludf.DUMMYFUNCTION("""COMPUTED_VALUE"""),"favorito")</f>
        <v>favorito</v>
      </c>
      <c r="G7" s="8" t="str">
        <f t="shared" si="3"/>
        <v>1.0</v>
      </c>
      <c r="H7" s="9">
        <f t="shared" si="4"/>
        <v>1</v>
      </c>
      <c r="I7" s="10">
        <f>IFERROR(__xludf.DUMMYFUNCTION("MAX(FILTER($H$2:$H350,$E$2:$E350=F7))"),1.0)</f>
        <v>1</v>
      </c>
    </row>
    <row r="8">
      <c r="A8" s="4"/>
      <c r="C8" s="4" t="s">
        <v>367</v>
      </c>
      <c r="D8" s="4" t="str">
        <f t="shared" si="1"/>
        <v>{"valorA":"meu","valorB":2.0}</v>
      </c>
      <c r="E8" s="8" t="str">
        <f t="shared" si="2"/>
        <v>meu</v>
      </c>
      <c r="F8" s="8" t="str">
        <f>IFERROR(__xludf.DUMMYFUNCTION("""COMPUTED_VALUE"""),"meu")</f>
        <v>meu</v>
      </c>
      <c r="G8" s="8" t="str">
        <f t="shared" si="3"/>
        <v>2.0</v>
      </c>
      <c r="H8" s="9">
        <f t="shared" si="4"/>
        <v>2</v>
      </c>
      <c r="I8" s="10">
        <f>IFERROR(__xludf.DUMMYFUNCTION("MAX(FILTER($H$2:$H350,$E$2:$E350=F8))"),9.0)</f>
        <v>9</v>
      </c>
    </row>
    <row r="9">
      <c r="A9" s="4"/>
      <c r="C9" s="4" t="s">
        <v>220</v>
      </c>
      <c r="D9" s="4" t="str">
        <f t="shared" si="1"/>
        <v>{"valorA":"bem","valorB":1.0}</v>
      </c>
      <c r="E9" s="8" t="str">
        <f t="shared" si="2"/>
        <v>bem</v>
      </c>
      <c r="F9" s="8" t="str">
        <f>IFERROR(__xludf.DUMMYFUNCTION("""COMPUTED_VALUE"""),"bem")</f>
        <v>bem</v>
      </c>
      <c r="G9" s="8" t="str">
        <f t="shared" si="3"/>
        <v>1.0</v>
      </c>
      <c r="H9" s="9">
        <f t="shared" si="4"/>
        <v>1</v>
      </c>
      <c r="I9" s="10">
        <f>IFERROR(__xludf.DUMMYFUNCTION("MAX(FILTER($H$2:$H350,$E$2:$E350=F9))"),6.0)</f>
        <v>6</v>
      </c>
    </row>
    <row r="10">
      <c r="A10" s="4"/>
      <c r="C10" s="4" t="s">
        <v>640</v>
      </c>
      <c r="D10" s="4" t="str">
        <f t="shared" si="1"/>
        <v>{"valorA":"usar","valorB":1.0}</v>
      </c>
      <c r="E10" s="8" t="str">
        <f t="shared" si="2"/>
        <v>usar</v>
      </c>
      <c r="F10" s="8" t="str">
        <f>IFERROR(__xludf.DUMMYFUNCTION("""COMPUTED_VALUE"""),"usar")</f>
        <v>usar</v>
      </c>
      <c r="G10" s="8" t="str">
        <f t="shared" si="3"/>
        <v>1.0</v>
      </c>
      <c r="H10" s="9">
        <f t="shared" si="4"/>
        <v>1</v>
      </c>
      <c r="I10" s="10">
        <f>IFERROR(__xludf.DUMMYFUNCTION("MAX(FILTER($H$2:$H350,$E$2:$E350=F10))"),6.0)</f>
        <v>6</v>
      </c>
    </row>
    <row r="11">
      <c r="A11" s="4"/>
      <c r="C11" s="4" t="s">
        <v>184</v>
      </c>
      <c r="D11" s="4" t="str">
        <f t="shared" si="1"/>
        <v>{"valorA":"e","valorB":1.0}</v>
      </c>
      <c r="E11" s="8" t="str">
        <f t="shared" si="2"/>
        <v>e</v>
      </c>
      <c r="F11" s="8" t="str">
        <f>IFERROR(__xludf.DUMMYFUNCTION("""COMPUTED_VALUE"""),"e")</f>
        <v>e</v>
      </c>
      <c r="G11" s="8" t="str">
        <f t="shared" si="3"/>
        <v>1.0</v>
      </c>
      <c r="H11" s="9">
        <f t="shared" si="4"/>
        <v>1</v>
      </c>
      <c r="I11" s="10">
        <f>IFERROR(__xludf.DUMMYFUNCTION("MAX(FILTER($H$2:$H350,$E$2:$E350=F11))"),15.0)</f>
        <v>15</v>
      </c>
    </row>
    <row r="12">
      <c r="A12" s="4"/>
      <c r="C12" s="4" t="s">
        <v>186</v>
      </c>
      <c r="D12" s="4" t="str">
        <f t="shared" si="1"/>
        <v>{"valorA":"de","valorB":2.0}</v>
      </c>
      <c r="E12" s="8" t="str">
        <f t="shared" si="2"/>
        <v>de</v>
      </c>
      <c r="F12" s="8" t="str">
        <f>IFERROR(__xludf.DUMMYFUNCTION("""COMPUTED_VALUE"""),"de")</f>
        <v>de</v>
      </c>
      <c r="G12" s="8" t="str">
        <f t="shared" si="3"/>
        <v>2.0</v>
      </c>
      <c r="H12" s="9">
        <f t="shared" si="4"/>
        <v>2</v>
      </c>
      <c r="I12" s="10">
        <f>IFERROR(__xludf.DUMMYFUNCTION("MAX(FILTER($H$2:$H350,$E$2:$E350=F12))"),14.0)</f>
        <v>14</v>
      </c>
    </row>
    <row r="13">
      <c r="A13" s="4"/>
      <c r="C13" s="4" t="s">
        <v>310</v>
      </c>
      <c r="D13" s="4" t="str">
        <f t="shared" si="1"/>
        <v>{"valorA":"o","valorB":1.0}</v>
      </c>
      <c r="E13" s="8" t="str">
        <f t="shared" si="2"/>
        <v>o</v>
      </c>
      <c r="F13" s="8" t="str">
        <f>IFERROR(__xludf.DUMMYFUNCTION("""COMPUTED_VALUE"""),"o")</f>
        <v>o</v>
      </c>
      <c r="G13" s="8" t="str">
        <f t="shared" si="3"/>
        <v>1.0</v>
      </c>
      <c r="H13" s="9">
        <f t="shared" si="4"/>
        <v>1</v>
      </c>
      <c r="I13" s="10">
        <f>IFERROR(__xludf.DUMMYFUNCTION("MAX(FILTER($H$2:$H350,$E$2:$E350=F13))"),4.0)</f>
        <v>4</v>
      </c>
    </row>
    <row r="14">
      <c r="A14" s="4"/>
      <c r="C14" s="4" t="s">
        <v>189</v>
      </c>
      <c r="D14" s="4" t="str">
        <f t="shared" si="1"/>
        <v>{"valorA":"produto","valorB":2.0}</v>
      </c>
      <c r="E14" s="8" t="str">
        <f t="shared" si="2"/>
        <v>produto</v>
      </c>
      <c r="F14" s="8" t="str">
        <f>IFERROR(__xludf.DUMMYFUNCTION("""COMPUTED_VALUE"""),"produto")</f>
        <v>produto</v>
      </c>
      <c r="G14" s="8" t="str">
        <f t="shared" si="3"/>
        <v>2.0</v>
      </c>
      <c r="H14" s="9">
        <f t="shared" si="4"/>
        <v>2</v>
      </c>
      <c r="I14" s="10">
        <f>IFERROR(__xludf.DUMMYFUNCTION("MAX(FILTER($H$2:$H350,$E$2:$E350=F14))"),31.0)</f>
        <v>31</v>
      </c>
    </row>
    <row r="15">
      <c r="A15" s="4"/>
      <c r="C15" s="4" t="s">
        <v>1248</v>
      </c>
      <c r="D15" s="4" t="str">
        <f t="shared" si="1"/>
        <v>{"valorA":"braço","valorB":1.0}</v>
      </c>
      <c r="E15" s="8" t="str">
        <f t="shared" si="2"/>
        <v>braço</v>
      </c>
      <c r="F15" s="8" t="str">
        <f>IFERROR(__xludf.DUMMYFUNCTION("""COMPUTED_VALUE"""),"braço")</f>
        <v>braço</v>
      </c>
      <c r="G15" s="8" t="str">
        <f t="shared" si="3"/>
        <v>1.0</v>
      </c>
      <c r="H15" s="9">
        <f t="shared" si="4"/>
        <v>1</v>
      </c>
      <c r="I15" s="10">
        <f>IFERROR(__xludf.DUMMYFUNCTION("MAX(FILTER($H$2:$H350,$E$2:$E350=F15))"),1.0)</f>
        <v>1</v>
      </c>
    </row>
    <row r="16">
      <c r="A16" s="4"/>
      <c r="C16" s="4" t="s">
        <v>191</v>
      </c>
      <c r="D16" s="4" t="str">
        <f t="shared" si="1"/>
        <v>{"valorA":"ótimo","valorB":3.0}</v>
      </c>
      <c r="E16" s="8" t="str">
        <f t="shared" si="2"/>
        <v>ótimo</v>
      </c>
      <c r="F16" s="8" t="str">
        <f>IFERROR(__xludf.DUMMYFUNCTION("""COMPUTED_VALUE"""),"esse")</f>
        <v>esse</v>
      </c>
      <c r="G16" s="8" t="str">
        <f t="shared" si="3"/>
        <v>3.0</v>
      </c>
      <c r="H16" s="9">
        <f t="shared" si="4"/>
        <v>3</v>
      </c>
      <c r="I16" s="10">
        <f>IFERROR(__xludf.DUMMYFUNCTION("MAX(FILTER($H$2:$H350,$E$2:$E350=F16))"),6.0)</f>
        <v>6</v>
      </c>
    </row>
    <row r="17">
      <c r="A17" s="4"/>
      <c r="C17" s="4" t="s">
        <v>192</v>
      </c>
      <c r="D17" s="4" t="str">
        <f t="shared" si="1"/>
        <v>{"valorA":"esse","valorB":1.0}</v>
      </c>
      <c r="E17" s="8" t="str">
        <f t="shared" si="2"/>
        <v>esse</v>
      </c>
      <c r="F17" s="8" t="str">
        <f>IFERROR(__xludf.DUMMYFUNCTION("""COMPUTED_VALUE"""),"muito")</f>
        <v>muito</v>
      </c>
      <c r="G17" s="8" t="str">
        <f t="shared" si="3"/>
        <v>1.0</v>
      </c>
      <c r="H17" s="9">
        <f t="shared" si="4"/>
        <v>1</v>
      </c>
      <c r="I17" s="10">
        <f>IFERROR(__xludf.DUMMYFUNCTION("MAX(FILTER($H$2:$H350,$E$2:$E350=F17))"),18.0)</f>
        <v>18</v>
      </c>
    </row>
    <row r="18">
      <c r="A18" s="4"/>
      <c r="C18" s="4" t="s">
        <v>579</v>
      </c>
      <c r="D18" s="4" t="str">
        <f t="shared" si="1"/>
        <v>{"valorA":"muito","valorB":1.0}</v>
      </c>
      <c r="E18" s="8" t="str">
        <f t="shared" si="2"/>
        <v>muito</v>
      </c>
      <c r="F18" s="8" t="str">
        <f>IFERROR(__xludf.DUMMYFUNCTION("""COMPUTED_VALUE"""),"confortável")</f>
        <v>confortável</v>
      </c>
      <c r="G18" s="8" t="str">
        <f t="shared" si="3"/>
        <v>1.0</v>
      </c>
      <c r="H18" s="9">
        <f t="shared" si="4"/>
        <v>1</v>
      </c>
      <c r="I18" s="10">
        <f>IFERROR(__xludf.DUMMYFUNCTION("MAX(FILTER($H$2:$H350,$E$2:$E350=F18))"),3.0)</f>
        <v>3</v>
      </c>
    </row>
    <row r="19">
      <c r="A19" s="4"/>
      <c r="C19" s="4" t="s">
        <v>398</v>
      </c>
      <c r="D19" s="4" t="str">
        <f t="shared" si="1"/>
        <v>{"valorA":"confortável","valorB":1.0}</v>
      </c>
      <c r="E19" s="8" t="str">
        <f t="shared" si="2"/>
        <v>confortável</v>
      </c>
      <c r="F19" s="8" t="str">
        <f>IFERROR(__xludf.DUMMYFUNCTION("""COMPUTED_VALUE"""),"novo")</f>
        <v>novo</v>
      </c>
      <c r="G19" s="8" t="str">
        <f t="shared" si="3"/>
        <v>1.0</v>
      </c>
      <c r="H19" s="9">
        <f t="shared" si="4"/>
        <v>1</v>
      </c>
      <c r="I19" s="10">
        <f>IFERROR(__xludf.DUMMYFUNCTION("MAX(FILTER($H$2:$H350,$E$2:$E350=F19))"),8.0)</f>
        <v>8</v>
      </c>
    </row>
    <row r="20">
      <c r="A20" s="4"/>
      <c r="C20" s="4" t="s">
        <v>216</v>
      </c>
      <c r="D20" s="4" t="str">
        <f t="shared" si="1"/>
        <v>{"valorA":"novo","valorB":1.0}</v>
      </c>
      <c r="E20" s="8" t="str">
        <f t="shared" si="2"/>
        <v>novo</v>
      </c>
      <c r="F20" s="8" t="str">
        <f>IFERROR(__xludf.DUMMYFUNCTION("""COMPUTED_VALUE"""),"comprimento")</f>
        <v>comprimento</v>
      </c>
      <c r="G20" s="8" t="str">
        <f t="shared" si="3"/>
        <v>1.0</v>
      </c>
      <c r="H20" s="9">
        <f t="shared" si="4"/>
        <v>1</v>
      </c>
      <c r="I20" s="10">
        <f>IFERROR(__xludf.DUMMYFUNCTION("MAX(FILTER($H$2:$H350,$E$2:$E350=F20))"),2.0)</f>
        <v>2</v>
      </c>
    </row>
    <row r="21">
      <c r="A21" s="4"/>
      <c r="C21" s="4" t="s">
        <v>302</v>
      </c>
      <c r="D21" s="4" t="str">
        <f t="shared" si="1"/>
        <v>{"valorA":"comprimento","valorB":1.0}</v>
      </c>
      <c r="E21" s="8" t="str">
        <f t="shared" si="2"/>
        <v>comprimento</v>
      </c>
      <c r="F21" s="8" t="str">
        <f>IFERROR(__xludf.DUMMYFUNCTION("""COMPUTED_VALUE"""),"funciona")</f>
        <v>funciona</v>
      </c>
      <c r="G21" s="8" t="str">
        <f t="shared" si="3"/>
        <v>1.0</v>
      </c>
      <c r="H21" s="9">
        <f t="shared" si="4"/>
        <v>1</v>
      </c>
      <c r="I21" s="10">
        <f>IFERROR(__xludf.DUMMYFUNCTION("MAX(FILTER($H$2:$H350,$E$2:$E350=F21))"),14.0)</f>
        <v>14</v>
      </c>
    </row>
    <row r="22">
      <c r="A22" s="4"/>
      <c r="C22" s="4" t="s">
        <v>248</v>
      </c>
      <c r="D22" s="4" t="str">
        <f t="shared" si="1"/>
        <v>{"valorA":"funciona","valorB":1.0}</v>
      </c>
      <c r="E22" s="8" t="str">
        <f t="shared" si="2"/>
        <v>funciona</v>
      </c>
      <c r="F22" s="8" t="str">
        <f>IFERROR(__xludf.DUMMYFUNCTION("""COMPUTED_VALUE"""),"frigorífico")</f>
        <v>frigorífico</v>
      </c>
      <c r="G22" s="8" t="str">
        <f t="shared" si="3"/>
        <v>1.0</v>
      </c>
      <c r="H22" s="9">
        <f t="shared" si="4"/>
        <v>1</v>
      </c>
      <c r="I22" s="10">
        <f>IFERROR(__xludf.DUMMYFUNCTION("MAX(FILTER($H$2:$H350,$E$2:$E350=F22))"),1.0)</f>
        <v>1</v>
      </c>
    </row>
    <row r="23">
      <c r="A23" s="4"/>
      <c r="C23" s="4" t="s">
        <v>1249</v>
      </c>
      <c r="D23" s="4" t="str">
        <f t="shared" si="1"/>
        <v>{"valorA":"frigorífico","valorB":1.0}</v>
      </c>
      <c r="E23" s="8" t="str">
        <f t="shared" si="2"/>
        <v>frigorífico</v>
      </c>
      <c r="F23" s="8" t="str">
        <f>IFERROR(__xludf.DUMMYFUNCTION("""COMPUTED_VALUE"""),"ontem")</f>
        <v>ontem</v>
      </c>
      <c r="G23" s="8" t="str">
        <f t="shared" si="3"/>
        <v>1.0</v>
      </c>
      <c r="H23" s="9">
        <f t="shared" si="4"/>
        <v>1</v>
      </c>
      <c r="I23" s="10">
        <f>IFERROR(__xludf.DUMMYFUNCTION("MAX(FILTER($H$2:$H350,$E$2:$E350=F23))"),1.0)</f>
        <v>1</v>
      </c>
    </row>
    <row r="24">
      <c r="A24" s="4"/>
      <c r="C24" s="4" t="s">
        <v>289</v>
      </c>
      <c r="D24" s="4" t="str">
        <f t="shared" si="1"/>
        <v>{"valorA":"ontem","valorB":1.0}</v>
      </c>
      <c r="E24" s="8" t="str">
        <f t="shared" si="2"/>
        <v>ontem</v>
      </c>
      <c r="F24" s="8" t="str">
        <f>IFERROR(__xludf.DUMMYFUNCTION("""COMPUTED_VALUE"""),"comprei")</f>
        <v>comprei</v>
      </c>
      <c r="G24" s="8" t="str">
        <f t="shared" si="3"/>
        <v>1.0</v>
      </c>
      <c r="H24" s="9">
        <f t="shared" si="4"/>
        <v>1</v>
      </c>
      <c r="I24" s="10">
        <f>IFERROR(__xludf.DUMMYFUNCTION("MAX(FILTER($H$2:$H350,$E$2:$E350=F24))"),2.0)</f>
        <v>2</v>
      </c>
    </row>
    <row r="25">
      <c r="A25" s="4"/>
      <c r="C25" s="4" t="s">
        <v>197</v>
      </c>
      <c r="D25" s="4" t="str">
        <f t="shared" si="1"/>
        <v>{"valorA":"é","valorB":2.0}</v>
      </c>
      <c r="E25" s="8" t="str">
        <f t="shared" si="2"/>
        <v>é</v>
      </c>
      <c r="F25" s="8" t="str">
        <f>IFERROR(__xludf.DUMMYFUNCTION("""COMPUTED_VALUE"""),"relojoeiro")</f>
        <v>relojoeiro</v>
      </c>
      <c r="G25" s="8" t="str">
        <f t="shared" si="3"/>
        <v>2.0</v>
      </c>
      <c r="H25" s="9">
        <f t="shared" si="4"/>
        <v>2</v>
      </c>
      <c r="I25" s="10">
        <f>IFERROR(__xludf.DUMMYFUNCTION("MAX(FILTER($H$2:$H350,$E$2:$E350=F25))"),2.0)</f>
        <v>2</v>
      </c>
    </row>
    <row r="26">
      <c r="A26" s="4"/>
      <c r="C26" s="4" t="s">
        <v>291</v>
      </c>
      <c r="D26" s="4" t="str">
        <f t="shared" si="1"/>
        <v>{"valorA":"comprei","valorB":1.0}</v>
      </c>
      <c r="E26" s="8" t="str">
        <f t="shared" si="2"/>
        <v>comprei</v>
      </c>
      <c r="F26" s="8" t="str">
        <f>IFERROR(__xludf.DUMMYFUNCTION("""COMPUTED_VALUE"""),"acessível")</f>
        <v>acessível</v>
      </c>
      <c r="G26" s="8" t="str">
        <f t="shared" si="3"/>
        <v>1.0</v>
      </c>
      <c r="H26" s="9">
        <f t="shared" si="4"/>
        <v>1</v>
      </c>
      <c r="I26" s="10">
        <f>IFERROR(__xludf.DUMMYFUNCTION("MAX(FILTER($H$2:$H350,$E$2:$E350=F26))"),1.0)</f>
        <v>1</v>
      </c>
    </row>
    <row r="27">
      <c r="A27" s="4"/>
      <c r="C27" s="4" t="s">
        <v>437</v>
      </c>
      <c r="D27" s="4" t="str">
        <f t="shared" si="1"/>
        <v>{"valorA":"relojoeiro","valorB":1.0}</v>
      </c>
      <c r="E27" s="8" t="str">
        <f t="shared" si="2"/>
        <v>relojoeiro</v>
      </c>
      <c r="F27" s="8" t="str">
        <f>IFERROR(__xludf.DUMMYFUNCTION("""COMPUTED_VALUE"""),"gosto")</f>
        <v>gosto</v>
      </c>
      <c r="G27" s="8" t="str">
        <f t="shared" si="3"/>
        <v>1.0</v>
      </c>
      <c r="H27" s="9">
        <f t="shared" si="4"/>
        <v>1</v>
      </c>
      <c r="I27" s="10">
        <f>IFERROR(__xludf.DUMMYFUNCTION("MAX(FILTER($H$2:$H350,$E$2:$E350=F27))"),2.0)</f>
        <v>2</v>
      </c>
    </row>
    <row r="28">
      <c r="A28" s="4"/>
      <c r="C28" s="4" t="s">
        <v>223</v>
      </c>
      <c r="D28" s="4" t="str">
        <f t="shared" si="1"/>
        <v>{"valorA":"e","valorB":2.0}</v>
      </c>
      <c r="E28" s="8" t="str">
        <f t="shared" si="2"/>
        <v>e</v>
      </c>
      <c r="F28" s="8" t="str">
        <f>IFERROR(__xludf.DUMMYFUNCTION("""COMPUTED_VALUE"""),"que")</f>
        <v>que</v>
      </c>
      <c r="G28" s="8" t="str">
        <f t="shared" si="3"/>
        <v>2.0</v>
      </c>
      <c r="H28" s="9">
        <f t="shared" si="4"/>
        <v>2</v>
      </c>
      <c r="I28" s="10">
        <f>IFERROR(__xludf.DUMMYFUNCTION("MAX(FILTER($H$2:$H350,$E$2:$E350=F28))"),4.0)</f>
        <v>4</v>
      </c>
    </row>
    <row r="29">
      <c r="A29" s="4"/>
      <c r="C29" s="4" t="s">
        <v>1250</v>
      </c>
      <c r="D29" s="4" t="str">
        <f t="shared" si="1"/>
        <v>{"valorA":"acessível","valorB":1.0}</v>
      </c>
      <c r="E29" s="8" t="str">
        <f t="shared" si="2"/>
        <v>acessível</v>
      </c>
      <c r="F29" s="8" t="str">
        <f>IFERROR(__xludf.DUMMYFUNCTION("""COMPUTED_VALUE"""),"perfeitamente")</f>
        <v>perfeitamente</v>
      </c>
      <c r="G29" s="8" t="str">
        <f t="shared" si="3"/>
        <v>1.0</v>
      </c>
      <c r="H29" s="9">
        <f t="shared" si="4"/>
        <v>1</v>
      </c>
      <c r="I29" s="10">
        <f>IFERROR(__xludf.DUMMYFUNCTION("MAX(FILTER($H$2:$H350,$E$2:$E350=F29))"),9.0)</f>
        <v>9</v>
      </c>
    </row>
    <row r="30">
      <c r="A30" s="4"/>
      <c r="C30" s="4" t="s">
        <v>187</v>
      </c>
      <c r="D30" s="4" t="str">
        <f t="shared" si="1"/>
        <v>{"valorA":"gosto","valorB":1.0}</v>
      </c>
      <c r="E30" s="8" t="str">
        <f t="shared" si="2"/>
        <v>gosto</v>
      </c>
      <c r="F30" s="8" t="str">
        <f>IFERROR(__xludf.DUMMYFUNCTION("""COMPUTED_VALUE"""),"relojoeira")</f>
        <v>relojoeira</v>
      </c>
      <c r="G30" s="8" t="str">
        <f t="shared" si="3"/>
        <v>1.0</v>
      </c>
      <c r="H30" s="9">
        <f t="shared" si="4"/>
        <v>1</v>
      </c>
      <c r="I30" s="10">
        <f>IFERROR(__xludf.DUMMYFUNCTION("MAX(FILTER($H$2:$H350,$E$2:$E350=F30))"),5.0)</f>
        <v>5</v>
      </c>
    </row>
    <row r="31">
      <c r="A31" s="4"/>
      <c r="C31" s="4" t="s">
        <v>295</v>
      </c>
      <c r="D31" s="4" t="str">
        <f t="shared" si="1"/>
        <v>{"valorA":"que","valorB":1.0}</v>
      </c>
      <c r="E31" s="8" t="str">
        <f t="shared" si="2"/>
        <v>que</v>
      </c>
      <c r="F31" s="8" t="str">
        <f>IFERROR(__xludf.DUMMYFUNCTION("""COMPUTED_VALUE"""),"desse")</f>
        <v>desse</v>
      </c>
      <c r="G31" s="8" t="str">
        <f t="shared" si="3"/>
        <v>1.0</v>
      </c>
      <c r="H31" s="9">
        <f t="shared" si="4"/>
        <v>1</v>
      </c>
      <c r="I31" s="10">
        <f>IFERROR(__xludf.DUMMYFUNCTION("MAX(FILTER($H$2:$H350,$E$2:$E350=F31))"),4.0)</f>
        <v>4</v>
      </c>
    </row>
    <row r="32">
      <c r="A32" s="4"/>
      <c r="C32" s="4" t="s">
        <v>585</v>
      </c>
      <c r="D32" s="4" t="str">
        <f t="shared" si="1"/>
        <v>{"valorA":"produto","valorB":3.0}</v>
      </c>
      <c r="E32" s="8" t="str">
        <f t="shared" si="2"/>
        <v>produto</v>
      </c>
      <c r="F32" s="8" t="str">
        <f>IFERROR(__xludf.DUMMYFUNCTION("""COMPUTED_VALUE"""),"incrível")</f>
        <v>incrível</v>
      </c>
      <c r="G32" s="8" t="str">
        <f t="shared" si="3"/>
        <v>3.0</v>
      </c>
      <c r="H32" s="9">
        <f t="shared" si="4"/>
        <v>3</v>
      </c>
      <c r="I32" s="10">
        <f>IFERROR(__xludf.DUMMYFUNCTION("MAX(FILTER($H$2:$H350,$E$2:$E350=F32))"),13.0)</f>
        <v>13</v>
      </c>
    </row>
    <row r="33">
      <c r="A33" s="4"/>
      <c r="C33" s="4" t="s">
        <v>210</v>
      </c>
      <c r="D33" s="4" t="str">
        <f t="shared" si="1"/>
        <v>{"valorA":"ótimo","valorB":5.0}</v>
      </c>
      <c r="E33" s="8" t="str">
        <f t="shared" si="2"/>
        <v>ótimo</v>
      </c>
      <c r="F33" s="8" t="str">
        <f>IFERROR(__xludf.DUMMYFUNCTION("""COMPUTED_VALUE"""),"carro")</f>
        <v>carro</v>
      </c>
      <c r="G33" s="8" t="str">
        <f t="shared" si="3"/>
        <v>5.0</v>
      </c>
      <c r="H33" s="9">
        <f t="shared" si="4"/>
        <v>5</v>
      </c>
      <c r="I33" s="10">
        <f>IFERROR(__xludf.DUMMYFUNCTION("MAX(FILTER($H$2:$H350,$E$2:$E350=F33))"),6.0)</f>
        <v>6</v>
      </c>
    </row>
    <row r="34">
      <c r="A34" s="4"/>
      <c r="C34" s="4" t="s">
        <v>245</v>
      </c>
      <c r="D34" s="4" t="str">
        <f t="shared" si="1"/>
        <v>{"valorA":"perfeitamente","valorB":1.0}</v>
      </c>
      <c r="E34" s="8" t="str">
        <f t="shared" si="2"/>
        <v>perfeitamente</v>
      </c>
      <c r="F34" s="8" t="str">
        <f>IFERROR(__xludf.DUMMYFUNCTION("""COMPUTED_VALUE"""),"pena")</f>
        <v>pena</v>
      </c>
      <c r="G34" s="8" t="str">
        <f t="shared" si="3"/>
        <v>1.0</v>
      </c>
      <c r="H34" s="9">
        <f t="shared" si="4"/>
        <v>1</v>
      </c>
      <c r="I34" s="10">
        <f>IFERROR(__xludf.DUMMYFUNCTION("MAX(FILTER($H$2:$H350,$E$2:$E350=F34))"),3.0)</f>
        <v>3</v>
      </c>
    </row>
    <row r="35">
      <c r="A35" s="4"/>
      <c r="C35" s="4" t="s">
        <v>212</v>
      </c>
      <c r="D35" s="4" t="str">
        <f t="shared" si="1"/>
        <v>{"valorA":"muito","valorB":3.0}</v>
      </c>
      <c r="E35" s="8" t="str">
        <f t="shared" si="2"/>
        <v>muito</v>
      </c>
      <c r="F35" s="8" t="str">
        <f>IFERROR(__xludf.DUMMYFUNCTION("""COMPUTED_VALUE"""),"vale")</f>
        <v>vale</v>
      </c>
      <c r="G35" s="8" t="str">
        <f t="shared" si="3"/>
        <v>3.0</v>
      </c>
      <c r="H35" s="9">
        <f t="shared" si="4"/>
        <v>3</v>
      </c>
      <c r="I35" s="10">
        <f>IFERROR(__xludf.DUMMYFUNCTION("MAX(FILTER($H$2:$H350,$E$2:$E350=F35))"),3.0)</f>
        <v>3</v>
      </c>
    </row>
    <row r="36">
      <c r="A36" s="4"/>
      <c r="C36" s="4" t="s">
        <v>399</v>
      </c>
      <c r="D36" s="4" t="str">
        <f t="shared" si="1"/>
        <v>{"valorA":"relojoeira","valorB":1.0}</v>
      </c>
      <c r="E36" s="8" t="str">
        <f t="shared" si="2"/>
        <v>relojoeira</v>
      </c>
      <c r="F36" s="8" t="str">
        <f>IFERROR(__xludf.DUMMYFUNCTION("""COMPUTED_VALUE"""),"fácil")</f>
        <v>fácil</v>
      </c>
      <c r="G36" s="8" t="str">
        <f t="shared" si="3"/>
        <v>1.0</v>
      </c>
      <c r="H36" s="9">
        <f t="shared" si="4"/>
        <v>1</v>
      </c>
      <c r="I36" s="10">
        <f>IFERROR(__xludf.DUMMYFUNCTION("MAX(FILTER($H$2:$H350,$E$2:$E350=F36))"),5.0)</f>
        <v>5</v>
      </c>
    </row>
    <row r="37">
      <c r="A37" s="4"/>
      <c r="C37" s="4" t="s">
        <v>195</v>
      </c>
      <c r="D37" s="4" t="str">
        <f t="shared" si="1"/>
        <v>{"valorA":"desse","valorB":1.0}</v>
      </c>
      <c r="E37" s="8" t="str">
        <f t="shared" si="2"/>
        <v>desse</v>
      </c>
      <c r="F37" s="8" t="str">
        <f>IFERROR(__xludf.DUMMYFUNCTION("""COMPUTED_VALUE"""),"paguei")</f>
        <v>paguei</v>
      </c>
      <c r="G37" s="8" t="str">
        <f t="shared" si="3"/>
        <v>1.0</v>
      </c>
      <c r="H37" s="9">
        <f t="shared" si="4"/>
        <v>1</v>
      </c>
      <c r="I37" s="10">
        <f>IFERROR(__xludf.DUMMYFUNCTION("MAX(FILTER($H$2:$H350,$E$2:$E350=F37))"),3.0)</f>
        <v>3</v>
      </c>
    </row>
    <row r="38">
      <c r="A38" s="4"/>
      <c r="C38" s="4" t="s">
        <v>631</v>
      </c>
      <c r="D38" s="4" t="str">
        <f t="shared" si="1"/>
        <v>{"valorA":"funciona","valorB":2.0}</v>
      </c>
      <c r="E38" s="8" t="str">
        <f t="shared" si="2"/>
        <v>funciona</v>
      </c>
      <c r="F38" s="8" t="str">
        <f>IFERROR(__xludf.DUMMYFUNCTION("""COMPUTED_VALUE"""),"realmente")</f>
        <v>realmente</v>
      </c>
      <c r="G38" s="8" t="str">
        <f t="shared" si="3"/>
        <v>2.0</v>
      </c>
      <c r="H38" s="9">
        <f t="shared" si="4"/>
        <v>2</v>
      </c>
      <c r="I38" s="10">
        <f>IFERROR(__xludf.DUMMYFUNCTION("MAX(FILTER($H$2:$H350,$E$2:$E350=F38))"),7.0)</f>
        <v>7</v>
      </c>
    </row>
    <row r="39">
      <c r="A39" s="4"/>
      <c r="C39" s="4" t="s">
        <v>276</v>
      </c>
      <c r="D39" s="4" t="str">
        <f t="shared" si="1"/>
        <v>{"valorA":"é","valorB":3.0}</v>
      </c>
      <c r="E39" s="8" t="str">
        <f t="shared" si="2"/>
        <v>é</v>
      </c>
      <c r="F39" s="8" t="str">
        <f>IFERROR(__xludf.DUMMYFUNCTION("""COMPUTED_VALUE"""),"a")</f>
        <v>a</v>
      </c>
      <c r="G39" s="8" t="str">
        <f t="shared" si="3"/>
        <v>3.0</v>
      </c>
      <c r="H39" s="9">
        <f t="shared" si="4"/>
        <v>3</v>
      </c>
      <c r="I39" s="10">
        <f>IFERROR(__xludf.DUMMYFUNCTION("MAX(FILTER($H$2:$H350,$E$2:$E350=F39))"),7.0)</f>
        <v>7</v>
      </c>
    </row>
    <row r="40">
      <c r="A40" s="4"/>
      <c r="C40" s="4" t="s">
        <v>1251</v>
      </c>
      <c r="D40" s="4" t="str">
        <f t="shared" si="1"/>
        <v>{"valorA":"relojoeiro","valorB":2.0}</v>
      </c>
      <c r="E40" s="8" t="str">
        <f t="shared" si="2"/>
        <v>relojoeiro</v>
      </c>
      <c r="F40" s="8" t="str">
        <f>IFERROR(__xludf.DUMMYFUNCTION("""COMPUTED_VALUE"""),"sampler")</f>
        <v>sampler</v>
      </c>
      <c r="G40" s="8" t="str">
        <f t="shared" si="3"/>
        <v>2.0</v>
      </c>
      <c r="H40" s="9">
        <f t="shared" si="4"/>
        <v>2</v>
      </c>
      <c r="I40" s="10">
        <f>IFERROR(__xludf.DUMMYFUNCTION("MAX(FILTER($H$2:$H350,$E$2:$E350=F40))"),2.0)</f>
        <v>2</v>
      </c>
    </row>
    <row r="41">
      <c r="A41" s="4"/>
      <c r="C41" s="4" t="s">
        <v>707</v>
      </c>
      <c r="D41" s="4" t="str">
        <f t="shared" si="1"/>
        <v>{"valorA":"meu","valorB":3.0}</v>
      </c>
      <c r="E41" s="8" t="str">
        <f t="shared" si="2"/>
        <v>meu</v>
      </c>
      <c r="F41" s="8" t="str">
        <f>IFERROR(__xludf.DUMMYFUNCTION("""COMPUTED_VALUE"""),"adorei")</f>
        <v>adorei</v>
      </c>
      <c r="G41" s="8" t="str">
        <f t="shared" si="3"/>
        <v>3.0</v>
      </c>
      <c r="H41" s="9">
        <f t="shared" si="4"/>
        <v>3</v>
      </c>
      <c r="I41" s="10">
        <f>IFERROR(__xludf.DUMMYFUNCTION("MAX(FILTER($H$2:$H350,$E$2:$E350=F41))"),2.0)</f>
        <v>2</v>
      </c>
    </row>
    <row r="42">
      <c r="A42" s="4"/>
      <c r="C42" s="4" t="s">
        <v>202</v>
      </c>
      <c r="D42" s="4" t="str">
        <f t="shared" si="1"/>
        <v>{"valorA":"incrível","valorB":1.0}</v>
      </c>
      <c r="E42" s="8" t="str">
        <f t="shared" si="2"/>
        <v>incrível</v>
      </c>
      <c r="F42" s="8" t="str">
        <f>IFERROR(__xludf.DUMMYFUNCTION("""COMPUTED_VALUE"""),"cosméticos")</f>
        <v>cosméticos</v>
      </c>
      <c r="G42" s="8" t="str">
        <f t="shared" si="3"/>
        <v>1.0</v>
      </c>
      <c r="H42" s="9">
        <f t="shared" si="4"/>
        <v>1</v>
      </c>
      <c r="I42" s="10">
        <f>IFERROR(__xludf.DUMMYFUNCTION("MAX(FILTER($H$2:$H350,$E$2:$E350=F42))"),2.0)</f>
        <v>2</v>
      </c>
    </row>
    <row r="43">
      <c r="A43" s="4"/>
      <c r="C43" s="4" t="s">
        <v>373</v>
      </c>
      <c r="D43" s="4" t="str">
        <f t="shared" si="1"/>
        <v>{"valorA":"gosto","valorB":2.0}</v>
      </c>
      <c r="E43" s="8" t="str">
        <f t="shared" si="2"/>
        <v>gosto</v>
      </c>
      <c r="F43" s="8" t="str">
        <f>IFERROR(__xludf.DUMMYFUNCTION("""COMPUTED_VALUE"""),"preço")</f>
        <v>preço</v>
      </c>
      <c r="G43" s="8" t="str">
        <f t="shared" si="3"/>
        <v>2.0</v>
      </c>
      <c r="H43" s="9">
        <f t="shared" si="4"/>
        <v>2</v>
      </c>
      <c r="I43" s="10">
        <f>IFERROR(__xludf.DUMMYFUNCTION("MAX(FILTER($H$2:$H350,$E$2:$E350=F43))"),3.0)</f>
        <v>3</v>
      </c>
    </row>
    <row r="44">
      <c r="A44" s="4"/>
      <c r="C44" s="4" t="s">
        <v>208</v>
      </c>
      <c r="D44" s="4" t="str">
        <f t="shared" si="1"/>
        <v>{"valorA":"carro","valorB":1.0}</v>
      </c>
      <c r="E44" s="8" t="str">
        <f t="shared" si="2"/>
        <v>carro</v>
      </c>
      <c r="F44" s="8" t="str">
        <f>IFERROR(__xludf.DUMMYFUNCTION("""COMPUTED_VALUE"""),"do")</f>
        <v>do</v>
      </c>
      <c r="G44" s="8" t="str">
        <f t="shared" si="3"/>
        <v>1.0</v>
      </c>
      <c r="H44" s="9">
        <f t="shared" si="4"/>
        <v>1</v>
      </c>
      <c r="I44" s="10">
        <f>IFERROR(__xludf.DUMMYFUNCTION("MAX(FILTER($H$2:$H350,$E$2:$E350=F44))"),4.0)</f>
        <v>4</v>
      </c>
    </row>
    <row r="45">
      <c r="A45" s="4"/>
      <c r="C45" s="4" t="s">
        <v>594</v>
      </c>
      <c r="D45" s="4" t="str">
        <f t="shared" si="1"/>
        <v>{"valorA":"ótimo","valorB":6.0}</v>
      </c>
      <c r="E45" s="8" t="str">
        <f t="shared" si="2"/>
        <v>ótimo</v>
      </c>
      <c r="F45" s="8" t="str">
        <f>IFERROR(__xludf.DUMMYFUNCTION("""COMPUTED_VALUE"""),"gostei")</f>
        <v>gostei</v>
      </c>
      <c r="G45" s="8" t="str">
        <f t="shared" si="3"/>
        <v>6.0</v>
      </c>
      <c r="H45" s="9">
        <f t="shared" si="4"/>
        <v>6</v>
      </c>
      <c r="I45" s="10">
        <f>IFERROR(__xludf.DUMMYFUNCTION("MAX(FILTER($H$2:$H350,$E$2:$E350=F45))"),9.0)</f>
        <v>9</v>
      </c>
    </row>
    <row r="46">
      <c r="A46" s="4"/>
      <c r="C46" s="4" t="s">
        <v>689</v>
      </c>
      <c r="D46" s="4" t="str">
        <f t="shared" si="1"/>
        <v>{"valorA":"perfeitamente","valorB":2.0}</v>
      </c>
      <c r="E46" s="8" t="str">
        <f t="shared" si="2"/>
        <v>perfeitamente</v>
      </c>
      <c r="F46" s="8" t="str">
        <f>IFERROR(__xludf.DUMMYFUNCTION("""COMPUTED_VALUE"""),"performance")</f>
        <v>performance</v>
      </c>
      <c r="G46" s="8" t="str">
        <f t="shared" si="3"/>
        <v>2.0</v>
      </c>
      <c r="H46" s="9">
        <f t="shared" si="4"/>
        <v>2</v>
      </c>
      <c r="I46" s="10">
        <f>IFERROR(__xludf.DUMMYFUNCTION("MAX(FILTER($H$2:$H350,$E$2:$E350=F46))"),3.0)</f>
        <v>3</v>
      </c>
    </row>
    <row r="47">
      <c r="A47" s="4"/>
      <c r="C47" s="4" t="s">
        <v>246</v>
      </c>
      <c r="D47" s="4" t="str">
        <f t="shared" si="1"/>
        <v>{"valorA":"muito","valorB":4.0}</v>
      </c>
      <c r="E47" s="8" t="str">
        <f t="shared" si="2"/>
        <v>muito</v>
      </c>
      <c r="F47" s="8" t="str">
        <f>IFERROR(__xludf.DUMMYFUNCTION("""COMPUTED_VALUE"""),"design")</f>
        <v>design</v>
      </c>
      <c r="G47" s="8" t="str">
        <f t="shared" si="3"/>
        <v>4.0</v>
      </c>
      <c r="H47" s="9">
        <f t="shared" si="4"/>
        <v>4</v>
      </c>
      <c r="I47" s="10">
        <f>IFERROR(__xludf.DUMMYFUNCTION("MAX(FILTER($H$2:$H350,$E$2:$E350=F47))"),3.0)</f>
        <v>3</v>
      </c>
    </row>
    <row r="48">
      <c r="A48" s="4"/>
      <c r="C48" s="4" t="s">
        <v>379</v>
      </c>
      <c r="D48" s="4" t="str">
        <f t="shared" si="1"/>
        <v>{"valorA":"novo","valorB":2.0}</v>
      </c>
      <c r="E48" s="8" t="str">
        <f t="shared" si="2"/>
        <v>novo</v>
      </c>
      <c r="F48" s="8" t="str">
        <f>IFERROR(__xludf.DUMMYFUNCTION("""COMPUTED_VALUE"""),"da")</f>
        <v>da</v>
      </c>
      <c r="G48" s="8" t="str">
        <f t="shared" si="3"/>
        <v>2.0</v>
      </c>
      <c r="H48" s="9">
        <f t="shared" si="4"/>
        <v>2</v>
      </c>
      <c r="I48" s="10">
        <f>IFERROR(__xludf.DUMMYFUNCTION("MAX(FILTER($H$2:$H350,$E$2:$E350=F48))"),3.0)</f>
        <v>3</v>
      </c>
    </row>
    <row r="49">
      <c r="A49" s="4"/>
      <c r="C49" s="4" t="s">
        <v>636</v>
      </c>
      <c r="D49" s="4" t="str">
        <f t="shared" si="1"/>
        <v>{"valorA":"funciona","valorB":3.0}</v>
      </c>
      <c r="E49" s="8" t="str">
        <f t="shared" si="2"/>
        <v>funciona</v>
      </c>
      <c r="F49" s="8" t="str">
        <f>IFERROR(__xludf.DUMMYFUNCTION("""COMPUTED_VALUE"""),"ajuda")</f>
        <v>ajuda</v>
      </c>
      <c r="G49" s="8" t="str">
        <f t="shared" si="3"/>
        <v>3.0</v>
      </c>
      <c r="H49" s="9">
        <f t="shared" si="4"/>
        <v>3</v>
      </c>
      <c r="I49" s="10">
        <f>IFERROR(__xludf.DUMMYFUNCTION("MAX(FILTER($H$2:$H350,$E$2:$E350=F49))"),1.0)</f>
        <v>1</v>
      </c>
    </row>
    <row r="50">
      <c r="A50" s="4"/>
      <c r="C50" s="4" t="s">
        <v>305</v>
      </c>
      <c r="D50" s="4" t="str">
        <f t="shared" si="1"/>
        <v>{"valorA":"é","valorB":4.0}</v>
      </c>
      <c r="E50" s="8" t="str">
        <f t="shared" si="2"/>
        <v>é</v>
      </c>
      <c r="F50" s="8" t="str">
        <f>IFERROR(__xludf.DUMMYFUNCTION("""COMPUTED_VALUE"""),"com")</f>
        <v>com</v>
      </c>
      <c r="G50" s="8" t="str">
        <f t="shared" si="3"/>
        <v>4.0</v>
      </c>
      <c r="H50" s="9">
        <f t="shared" si="4"/>
        <v>4</v>
      </c>
      <c r="I50" s="10">
        <f>IFERROR(__xludf.DUMMYFUNCTION("MAX(FILTER($H$2:$H350,$E$2:$E350=F50))"),2.0)</f>
        <v>2</v>
      </c>
    </row>
    <row r="51">
      <c r="A51" s="4"/>
      <c r="C51" s="4" t="s">
        <v>307</v>
      </c>
      <c r="D51" s="4" t="str">
        <f t="shared" si="1"/>
        <v>{"valorA":"pena","valorB":1.0}</v>
      </c>
      <c r="E51" s="8" t="str">
        <f t="shared" si="2"/>
        <v>pena</v>
      </c>
      <c r="F51" s="8" t="str">
        <f>IFERROR(__xludf.DUMMYFUNCTION("""COMPUTED_VALUE"""),"me")</f>
        <v>me</v>
      </c>
      <c r="G51" s="8" t="str">
        <f t="shared" si="3"/>
        <v>1.0</v>
      </c>
      <c r="H51" s="9">
        <f t="shared" si="4"/>
        <v>1</v>
      </c>
      <c r="I51" s="10">
        <f>IFERROR(__xludf.DUMMYFUNCTION("MAX(FILTER($H$2:$H350,$E$2:$E350=F51))"),2.0)</f>
        <v>2</v>
      </c>
    </row>
    <row r="52">
      <c r="A52" s="4"/>
      <c r="C52" s="4" t="s">
        <v>182</v>
      </c>
      <c r="D52" s="4" t="str">
        <f t="shared" si="1"/>
        <v>{"valorA":"usar","valorB":2.0}</v>
      </c>
      <c r="E52" s="8" t="str">
        <f t="shared" si="2"/>
        <v>usar</v>
      </c>
      <c r="F52" s="8" t="str">
        <f>IFERROR(__xludf.DUMMYFUNCTION("""COMPUTED_VALUE"""),"pele")</f>
        <v>pele</v>
      </c>
      <c r="G52" s="8" t="str">
        <f t="shared" si="3"/>
        <v>2.0</v>
      </c>
      <c r="H52" s="9">
        <f t="shared" si="4"/>
        <v>2</v>
      </c>
      <c r="I52" s="10">
        <f>IFERROR(__xludf.DUMMYFUNCTION("MAX(FILTER($H$2:$H350,$E$2:$E350=F52))"),1.0)</f>
        <v>1</v>
      </c>
    </row>
    <row r="53">
      <c r="A53" s="4"/>
      <c r="C53" s="4" t="s">
        <v>332</v>
      </c>
      <c r="D53" s="4" t="str">
        <f t="shared" si="1"/>
        <v>{"valorA":"o","valorB":2.0}</v>
      </c>
      <c r="E53" s="8" t="str">
        <f t="shared" si="2"/>
        <v>o</v>
      </c>
      <c r="F53" s="8" t="str">
        <f>IFERROR(__xludf.DUMMYFUNCTION("""COMPUTED_VALUE"""),"creme")</f>
        <v>creme</v>
      </c>
      <c r="G53" s="8" t="str">
        <f t="shared" si="3"/>
        <v>2.0</v>
      </c>
      <c r="H53" s="9">
        <f t="shared" si="4"/>
        <v>2</v>
      </c>
      <c r="I53" s="10">
        <f>IFERROR(__xludf.DUMMYFUNCTION("MAX(FILTER($H$2:$H350,$E$2:$E350=F53))"),3.0)</f>
        <v>3</v>
      </c>
    </row>
    <row r="54">
      <c r="A54" s="4"/>
      <c r="C54" s="4" t="s">
        <v>270</v>
      </c>
      <c r="D54" s="4" t="str">
        <f t="shared" si="1"/>
        <v>{"valorA":"e","valorB":3.0}</v>
      </c>
      <c r="E54" s="8" t="str">
        <f t="shared" si="2"/>
        <v>e</v>
      </c>
      <c r="F54" s="8" t="str">
        <f>IFERROR(__xludf.DUMMYFUNCTION("""COMPUTED_VALUE"""),"humida")</f>
        <v>humida</v>
      </c>
      <c r="G54" s="8" t="str">
        <f t="shared" si="3"/>
        <v>3.0</v>
      </c>
      <c r="H54" s="9">
        <f t="shared" si="4"/>
        <v>3</v>
      </c>
      <c r="I54" s="10">
        <f>IFERROR(__xludf.DUMMYFUNCTION("MAX(FILTER($H$2:$H350,$E$2:$E350=F54))"),1.0)</f>
        <v>1</v>
      </c>
    </row>
    <row r="55">
      <c r="A55" s="4"/>
      <c r="C55" s="4" t="s">
        <v>281</v>
      </c>
      <c r="D55" s="4" t="str">
        <f t="shared" si="1"/>
        <v>{"valorA":"de","valorB":4.0}</v>
      </c>
      <c r="E55" s="8" t="str">
        <f t="shared" si="2"/>
        <v>de</v>
      </c>
      <c r="F55" s="8" t="str">
        <f>IFERROR(__xludf.DUMMYFUNCTION("""COMPUTED_VALUE"""),"essa")</f>
        <v>essa</v>
      </c>
      <c r="G55" s="8" t="str">
        <f t="shared" si="3"/>
        <v>4.0</v>
      </c>
      <c r="H55" s="9">
        <f t="shared" si="4"/>
        <v>4</v>
      </c>
      <c r="I55" s="10">
        <f>IFERROR(__xludf.DUMMYFUNCTION("MAX(FILTER($H$2:$H350,$E$2:$E350=F55))"),5.0)</f>
        <v>5</v>
      </c>
    </row>
    <row r="56">
      <c r="A56" s="4"/>
      <c r="C56" s="4" t="s">
        <v>312</v>
      </c>
      <c r="D56" s="4" t="str">
        <f t="shared" si="1"/>
        <v>{"valorA":"vale","valorB":1.0}</v>
      </c>
      <c r="E56" s="8" t="str">
        <f t="shared" si="2"/>
        <v>vale</v>
      </c>
      <c r="F56" s="8" t="str">
        <f>IFERROR(__xludf.DUMMYFUNCTION("""COMPUTED_VALUE"""),"hidratante")</f>
        <v>hidratante</v>
      </c>
      <c r="G56" s="8" t="str">
        <f t="shared" si="3"/>
        <v>1.0</v>
      </c>
      <c r="H56" s="9">
        <f t="shared" si="4"/>
        <v>1</v>
      </c>
      <c r="I56" s="10">
        <f>IFERROR(__xludf.DUMMYFUNCTION("MAX(FILTER($H$2:$H350,$E$2:$E350=F56))"),2.0)</f>
        <v>2</v>
      </c>
    </row>
    <row r="57">
      <c r="A57" s="4"/>
      <c r="C57" s="4" t="s">
        <v>333</v>
      </c>
      <c r="D57" s="4" t="str">
        <f t="shared" si="1"/>
        <v>{"valorA":"que","valorB":2.0}</v>
      </c>
      <c r="E57" s="8" t="str">
        <f t="shared" si="2"/>
        <v>que</v>
      </c>
      <c r="F57" s="8" t="str">
        <f>IFERROR(__xludf.DUMMYFUNCTION("""COMPUTED_VALUE"""),"manter")</f>
        <v>manter</v>
      </c>
      <c r="G57" s="8" t="str">
        <f t="shared" si="3"/>
        <v>2.0</v>
      </c>
      <c r="H57" s="9">
        <f t="shared" si="4"/>
        <v>2</v>
      </c>
      <c r="I57" s="10">
        <f>IFERROR(__xludf.DUMMYFUNCTION("MAX(FILTER($H$2:$H350,$E$2:$E350=F57))"),2.0)</f>
        <v>2</v>
      </c>
    </row>
    <row r="58">
      <c r="A58" s="4"/>
      <c r="C58" s="4" t="s">
        <v>241</v>
      </c>
      <c r="D58" s="4" t="str">
        <f t="shared" si="1"/>
        <v>{"valorA":"produto","valorB":6.0}</v>
      </c>
      <c r="E58" s="8" t="str">
        <f t="shared" si="2"/>
        <v>produto</v>
      </c>
      <c r="F58" s="8" t="str">
        <f>IFERROR(__xludf.DUMMYFUNCTION("""COMPUTED_VALUE"""),"minha")</f>
        <v>minha</v>
      </c>
      <c r="G58" s="8" t="str">
        <f t="shared" si="3"/>
        <v>6.0</v>
      </c>
      <c r="H58" s="9">
        <f t="shared" si="4"/>
        <v>6</v>
      </c>
      <c r="I58" s="10">
        <f>IFERROR(__xludf.DUMMYFUNCTION("MAX(FILTER($H$2:$H350,$E$2:$E350=F58))"),3.0)</f>
        <v>3</v>
      </c>
    </row>
    <row r="59">
      <c r="A59" s="4"/>
      <c r="C59" s="4" t="s">
        <v>242</v>
      </c>
      <c r="D59" s="4" t="str">
        <f t="shared" si="1"/>
        <v>{"valorA":"ótimo","valorB":9.0}</v>
      </c>
      <c r="E59" s="8" t="str">
        <f t="shared" si="2"/>
        <v>ótimo</v>
      </c>
      <c r="F59" s="8" t="str">
        <f>IFERROR(__xludf.DUMMYFUNCTION("""COMPUTED_VALUE"""),"qualidade")</f>
        <v>qualidade</v>
      </c>
      <c r="G59" s="8" t="str">
        <f t="shared" si="3"/>
        <v>9.0</v>
      </c>
      <c r="H59" s="9">
        <f t="shared" si="4"/>
        <v>9</v>
      </c>
      <c r="I59" s="10">
        <f>IFERROR(__xludf.DUMMYFUNCTION("MAX(FILTER($H$2:$H350,$E$2:$E350=F59))"),1.0)</f>
        <v>1</v>
      </c>
    </row>
    <row r="60">
      <c r="A60" s="4"/>
      <c r="C60" s="4" t="s">
        <v>285</v>
      </c>
      <c r="D60" s="4" t="str">
        <f t="shared" si="1"/>
        <v>{"valorA":"fácil","valorB":1.0}</v>
      </c>
      <c r="E60" s="8" t="str">
        <f t="shared" si="2"/>
        <v>fácil</v>
      </c>
      <c r="F60" s="8" t="str">
        <f>IFERROR(__xludf.DUMMYFUNCTION("""COMPUTED_VALUE"""),"aluguel")</f>
        <v>aluguel</v>
      </c>
      <c r="G60" s="8" t="str">
        <f t="shared" si="3"/>
        <v>1.0</v>
      </c>
      <c r="H60" s="9">
        <f t="shared" si="4"/>
        <v>1</v>
      </c>
      <c r="I60" s="10">
        <f>IFERROR(__xludf.DUMMYFUNCTION("MAX(FILTER($H$2:$H350,$E$2:$E350=F60))"),1.0)</f>
        <v>1</v>
      </c>
    </row>
    <row r="61">
      <c r="A61" s="4"/>
      <c r="C61" s="4" t="s">
        <v>577</v>
      </c>
      <c r="D61" s="4" t="str">
        <f t="shared" si="1"/>
        <v>{"valorA":"paguei","valorB":1.0}</v>
      </c>
      <c r="E61" s="8" t="str">
        <f t="shared" si="2"/>
        <v>paguei</v>
      </c>
      <c r="F61" s="8" t="str">
        <f>IFERROR(__xludf.DUMMYFUNCTION("""COMPUTED_VALUE"""),"faca")</f>
        <v>faca</v>
      </c>
      <c r="G61" s="8" t="str">
        <f t="shared" si="3"/>
        <v>1.0</v>
      </c>
      <c r="H61" s="9">
        <f t="shared" si="4"/>
        <v>1</v>
      </c>
      <c r="I61" s="10">
        <f>IFERROR(__xludf.DUMMYFUNCTION("MAX(FILTER($H$2:$H350,$E$2:$E350=F61))"),2.0)</f>
        <v>2</v>
      </c>
    </row>
    <row r="62">
      <c r="A62" s="4"/>
      <c r="C62" s="4" t="s">
        <v>228</v>
      </c>
      <c r="D62" s="4" t="str">
        <f t="shared" si="1"/>
        <v>{"valorA":"esse","valorB":2.0}</v>
      </c>
      <c r="E62" s="8" t="str">
        <f t="shared" si="2"/>
        <v>esse</v>
      </c>
      <c r="F62" s="8" t="str">
        <f>IFERROR(__xludf.DUMMYFUNCTION("""COMPUTED_VALUE"""),"recomendo")</f>
        <v>recomendo</v>
      </c>
      <c r="G62" s="8" t="str">
        <f t="shared" si="3"/>
        <v>2.0</v>
      </c>
      <c r="H62" s="9">
        <f t="shared" si="4"/>
        <v>2</v>
      </c>
      <c r="I62" s="10">
        <f>IFERROR(__xludf.DUMMYFUNCTION("MAX(FILTER($H$2:$H350,$E$2:$E350=F62))"),5.0)</f>
        <v>5</v>
      </c>
    </row>
    <row r="63">
      <c r="A63" s="4"/>
      <c r="C63" s="4" t="s">
        <v>261</v>
      </c>
      <c r="D63" s="4" t="str">
        <f t="shared" si="1"/>
        <v>{"valorA":"realmente","valorB":1.0}</v>
      </c>
      <c r="E63" s="8" t="str">
        <f t="shared" si="2"/>
        <v>realmente</v>
      </c>
      <c r="F63" s="8" t="str">
        <f>IFERROR(__xludf.DUMMYFUNCTION("""COMPUTED_VALUE"""),"por")</f>
        <v>por</v>
      </c>
      <c r="G63" s="8" t="str">
        <f t="shared" si="3"/>
        <v>1.0</v>
      </c>
      <c r="H63" s="9">
        <f t="shared" si="4"/>
        <v>1</v>
      </c>
      <c r="I63" s="10">
        <f>IFERROR(__xludf.DUMMYFUNCTION("MAX(FILTER($H$2:$H350,$E$2:$E350=F63))"),1.0)</f>
        <v>1</v>
      </c>
    </row>
    <row r="64">
      <c r="A64" s="4"/>
      <c r="C64" s="4" t="s">
        <v>1080</v>
      </c>
      <c r="D64" s="4" t="str">
        <f t="shared" si="1"/>
        <v>{"valorA":"confortável","valorB":2.0}</v>
      </c>
      <c r="E64" s="8" t="str">
        <f t="shared" si="2"/>
        <v>confortável</v>
      </c>
      <c r="F64" s="8" t="str">
        <f>IFERROR(__xludf.DUMMYFUNCTION("""COMPUTED_VALUE"""),"pouco")</f>
        <v>pouco</v>
      </c>
      <c r="G64" s="8" t="str">
        <f t="shared" si="3"/>
        <v>2.0</v>
      </c>
      <c r="H64" s="9">
        <f t="shared" si="4"/>
        <v>2</v>
      </c>
      <c r="I64" s="10">
        <f>IFERROR(__xludf.DUMMYFUNCTION("MAX(FILTER($H$2:$H350,$E$2:$E350=F64))"),1.0)</f>
        <v>1</v>
      </c>
    </row>
    <row r="65">
      <c r="A65" s="4"/>
      <c r="C65" s="4" t="s">
        <v>580</v>
      </c>
      <c r="D65" s="4" t="str">
        <f t="shared" si="1"/>
        <v>{"valorA":"a","valorB":1.0}</v>
      </c>
      <c r="E65" s="8" t="str">
        <f t="shared" si="2"/>
        <v>a</v>
      </c>
      <c r="F65" s="8" t="str">
        <f>IFERROR(__xludf.DUMMYFUNCTION("""COMPUTED_VALUE"""),"isso")</f>
        <v>isso</v>
      </c>
      <c r="G65" s="8" t="str">
        <f t="shared" si="3"/>
        <v>1.0</v>
      </c>
      <c r="H65" s="9">
        <f t="shared" si="4"/>
        <v>1</v>
      </c>
      <c r="I65" s="10">
        <f>IFERROR(__xludf.DUMMYFUNCTION("MAX(FILTER($H$2:$H350,$E$2:$E350=F65))"),1.0)</f>
        <v>1</v>
      </c>
    </row>
    <row r="66">
      <c r="A66" s="4"/>
      <c r="C66" s="4" t="s">
        <v>1252</v>
      </c>
      <c r="D66" s="4" t="str">
        <f t="shared" si="1"/>
        <v>{"valorA":"sampler","valorB":1.0}</v>
      </c>
      <c r="E66" s="8" t="str">
        <f t="shared" si="2"/>
        <v>sampler</v>
      </c>
      <c r="F66" s="8" t="str">
        <f>IFERROR(__xludf.DUMMYFUNCTION("""COMPUTED_VALUE"""),"satisfecho")</f>
        <v>satisfecho</v>
      </c>
      <c r="G66" s="8" t="str">
        <f t="shared" si="3"/>
        <v>1.0</v>
      </c>
      <c r="H66" s="9">
        <f t="shared" si="4"/>
        <v>1</v>
      </c>
      <c r="I66" s="10">
        <f>IFERROR(__xludf.DUMMYFUNCTION("MAX(FILTER($H$2:$H350,$E$2:$E350=F66))"),1.0)</f>
        <v>1</v>
      </c>
    </row>
    <row r="67">
      <c r="A67" s="4"/>
      <c r="C67" s="4" t="s">
        <v>217</v>
      </c>
      <c r="D67" s="4" t="str">
        <f t="shared" si="1"/>
        <v>{"valorA":"adorei","valorB":1.0}</v>
      </c>
      <c r="E67" s="8" t="str">
        <f t="shared" si="2"/>
        <v>adorei</v>
      </c>
      <c r="F67" s="8" t="str">
        <f>IFERROR(__xludf.DUMMYFUNCTION("""COMPUTED_VALUE"""),"confiável")</f>
        <v>confiável</v>
      </c>
      <c r="G67" s="8" t="str">
        <f t="shared" si="3"/>
        <v>1.0</v>
      </c>
      <c r="H67" s="9">
        <f t="shared" si="4"/>
        <v>1</v>
      </c>
      <c r="I67" s="10">
        <f>IFERROR(__xludf.DUMMYFUNCTION("MAX(FILTER($H$2:$H350,$E$2:$E350=F67))"),2.0)</f>
        <v>2</v>
      </c>
    </row>
    <row r="68">
      <c r="A68" s="4"/>
      <c r="C68" s="4" t="s">
        <v>1253</v>
      </c>
      <c r="D68" s="4" t="str">
        <f t="shared" si="1"/>
        <v>{"valorA":"cosméticos","valorB":1.0}</v>
      </c>
      <c r="E68" s="8" t="str">
        <f t="shared" si="2"/>
        <v>cosméticos</v>
      </c>
      <c r="F68" s="8" t="str">
        <f>IFERROR(__xludf.DUMMYFUNCTION("""COMPUTED_VALUE"""),"vida")</f>
        <v>vida</v>
      </c>
      <c r="G68" s="8" t="str">
        <f t="shared" si="3"/>
        <v>1.0</v>
      </c>
      <c r="H68" s="9">
        <f t="shared" si="4"/>
        <v>1</v>
      </c>
      <c r="I68" s="10">
        <f>IFERROR(__xludf.DUMMYFUNCTION("MAX(FILTER($H$2:$H350,$E$2:$E350=F68))"),2.0)</f>
        <v>2</v>
      </c>
    </row>
    <row r="69">
      <c r="A69" s="4"/>
      <c r="C69" s="4" t="s">
        <v>583</v>
      </c>
      <c r="D69" s="4" t="str">
        <f t="shared" si="1"/>
        <v>{"valorA":"preço","valorB":1.0}</v>
      </c>
      <c r="E69" s="8" t="str">
        <f t="shared" si="2"/>
        <v>preço</v>
      </c>
      <c r="F69" s="8" t="str">
        <f>IFERROR(__xludf.DUMMYFUNCTION("""COMPUTED_VALUE"""),"melhorar")</f>
        <v>melhorar</v>
      </c>
      <c r="G69" s="8" t="str">
        <f t="shared" si="3"/>
        <v>1.0</v>
      </c>
      <c r="H69" s="9">
        <f t="shared" si="4"/>
        <v>1</v>
      </c>
      <c r="I69" s="10">
        <f>IFERROR(__xludf.DUMMYFUNCTION("MAX(FILTER($H$2:$H350,$E$2:$E350=F69))"),2.0)</f>
        <v>2</v>
      </c>
    </row>
    <row r="70">
      <c r="A70" s="4"/>
      <c r="C70" s="4" t="s">
        <v>326</v>
      </c>
      <c r="D70" s="4" t="str">
        <f t="shared" si="1"/>
        <v>{"valorA":"é","valorB":5.0}</v>
      </c>
      <c r="E70" s="8" t="str">
        <f t="shared" si="2"/>
        <v>é</v>
      </c>
      <c r="F70" s="8" t="str">
        <f>IFERROR(__xludf.DUMMYFUNCTION("""COMPUTED_VALUE"""),"ajudou")</f>
        <v>ajudou</v>
      </c>
      <c r="G70" s="8" t="str">
        <f t="shared" si="3"/>
        <v>5.0</v>
      </c>
      <c r="H70" s="9">
        <f t="shared" si="4"/>
        <v>5</v>
      </c>
      <c r="I70" s="10">
        <f>IFERROR(__xludf.DUMMYFUNCTION("MAX(FILTER($H$2:$H350,$E$2:$E350=F70))"),2.0)</f>
        <v>2</v>
      </c>
    </row>
    <row r="71">
      <c r="A71" s="4"/>
      <c r="C71" s="4" t="s">
        <v>407</v>
      </c>
      <c r="D71" s="4" t="str">
        <f t="shared" si="1"/>
        <v>{"valorA":"meu","valorB":4.0}</v>
      </c>
      <c r="E71" s="8" t="str">
        <f t="shared" si="2"/>
        <v>meu</v>
      </c>
      <c r="F71" s="8" t="str">
        <f>IFERROR(__xludf.DUMMYFUNCTION("""COMPUTED_VALUE"""),"refrigerante")</f>
        <v>refrigerante</v>
      </c>
      <c r="G71" s="8" t="str">
        <f t="shared" si="3"/>
        <v>4.0</v>
      </c>
      <c r="H71" s="9">
        <f t="shared" si="4"/>
        <v>4</v>
      </c>
      <c r="I71" s="10">
        <f>IFERROR(__xludf.DUMMYFUNCTION("MAX(FILTER($H$2:$H350,$E$2:$E350=F71))"),1.0)</f>
        <v>1</v>
      </c>
    </row>
    <row r="72">
      <c r="A72" s="4"/>
      <c r="C72" s="4" t="s">
        <v>309</v>
      </c>
      <c r="D72" s="4" t="str">
        <f t="shared" si="1"/>
        <v>{"valorA":"incrível","valorB":2.0}</v>
      </c>
      <c r="E72" s="8" t="str">
        <f t="shared" si="2"/>
        <v>incrível</v>
      </c>
      <c r="F72" s="8" t="str">
        <f>IFERROR(__xludf.DUMMYFUNCTION("""COMPUTED_VALUE"""),"cotidiana")</f>
        <v>cotidiana</v>
      </c>
      <c r="G72" s="8" t="str">
        <f t="shared" si="3"/>
        <v>2.0</v>
      </c>
      <c r="H72" s="9">
        <f t="shared" si="4"/>
        <v>2</v>
      </c>
      <c r="I72" s="10">
        <f>IFERROR(__xludf.DUMMYFUNCTION("MAX(FILTER($H$2:$H350,$E$2:$E350=F72))"),1.0)</f>
        <v>1</v>
      </c>
    </row>
    <row r="73">
      <c r="A73" s="4"/>
      <c r="C73" s="4" t="s">
        <v>280</v>
      </c>
      <c r="D73" s="4" t="str">
        <f t="shared" si="1"/>
        <v>{"valorA":"e","valorB":4.0}</v>
      </c>
      <c r="E73" s="8" t="str">
        <f t="shared" si="2"/>
        <v>e</v>
      </c>
      <c r="F73" s="8" t="str">
        <f>IFERROR(__xludf.DUMMYFUNCTION("""COMPUTED_VALUE"""),"online")</f>
        <v>online</v>
      </c>
      <c r="G73" s="8" t="str">
        <f t="shared" si="3"/>
        <v>4.0</v>
      </c>
      <c r="H73" s="9">
        <f t="shared" si="4"/>
        <v>4</v>
      </c>
      <c r="I73" s="10">
        <f>IFERROR(__xludf.DUMMYFUNCTION("MAX(FILTER($H$2:$H350,$E$2:$E350=F73))"),1.0)</f>
        <v>1</v>
      </c>
    </row>
    <row r="74">
      <c r="A74" s="4"/>
      <c r="C74" s="4" t="s">
        <v>374</v>
      </c>
      <c r="D74" s="4" t="str">
        <f t="shared" si="1"/>
        <v>{"valorA":"carro","valorB":2.0}</v>
      </c>
      <c r="E74" s="8" t="str">
        <f t="shared" si="2"/>
        <v>carro</v>
      </c>
      <c r="F74" s="8" t="str">
        <f>IFERROR(__xludf.DUMMYFUNCTION("""COMPUTED_VALUE"""),"praias")</f>
        <v>praias</v>
      </c>
      <c r="G74" s="8" t="str">
        <f t="shared" si="3"/>
        <v>2.0</v>
      </c>
      <c r="H74" s="9">
        <f t="shared" si="4"/>
        <v>2</v>
      </c>
      <c r="I74" s="10">
        <f>IFERROR(__xludf.DUMMYFUNCTION("MAX(FILTER($H$2:$H350,$E$2:$E350=F74))"),1.0)</f>
        <v>1</v>
      </c>
    </row>
    <row r="75">
      <c r="A75" s="4"/>
      <c r="C75" s="4" t="s">
        <v>335</v>
      </c>
      <c r="D75" s="4" t="str">
        <f t="shared" si="1"/>
        <v>{"valorA":"do","valorB":1.0}</v>
      </c>
      <c r="E75" s="8" t="str">
        <f t="shared" si="2"/>
        <v>do</v>
      </c>
      <c r="F75" s="8" t="str">
        <f>IFERROR(__xludf.DUMMYFUNCTION("""COMPUTED_VALUE"""),"perfecto")</f>
        <v>perfecto</v>
      </c>
      <c r="G75" s="8" t="str">
        <f t="shared" si="3"/>
        <v>1.0</v>
      </c>
      <c r="H75" s="9">
        <f t="shared" si="4"/>
        <v>1</v>
      </c>
      <c r="I75" s="10">
        <f>IFERROR(__xludf.DUMMYFUNCTION("MAX(FILTER($H$2:$H350,$E$2:$E350=F75))"),1.0)</f>
        <v>1</v>
      </c>
    </row>
    <row r="76">
      <c r="A76" s="4"/>
      <c r="C76" s="4" t="s">
        <v>190</v>
      </c>
      <c r="D76" s="4" t="str">
        <f t="shared" si="1"/>
        <v>{"valorA":"gostei","valorB":1.0}</v>
      </c>
      <c r="E76" s="8" t="str">
        <f t="shared" si="2"/>
        <v>gostei</v>
      </c>
      <c r="F76" s="8" t="str">
        <f>IFERROR(__xludf.DUMMYFUNCTION("""COMPUTED_VALUE"""),"setor")</f>
        <v>setor</v>
      </c>
      <c r="G76" s="8" t="str">
        <f t="shared" si="3"/>
        <v>1.0</v>
      </c>
      <c r="H76" s="9">
        <f t="shared" si="4"/>
        <v>1</v>
      </c>
      <c r="I76" s="10">
        <f>IFERROR(__xludf.DUMMYFUNCTION("MAX(FILTER($H$2:$H350,$E$2:$E350=F76))"),1.0)</f>
        <v>1</v>
      </c>
    </row>
    <row r="77">
      <c r="A77" s="4"/>
      <c r="C77" s="4" t="s">
        <v>262</v>
      </c>
      <c r="D77" s="4" t="str">
        <f t="shared" si="1"/>
        <v>{"valorA":"muito","valorB":5.0}</v>
      </c>
      <c r="E77" s="8" t="str">
        <f t="shared" si="2"/>
        <v>muito</v>
      </c>
      <c r="F77" s="8" t="str">
        <f>IFERROR(__xludf.DUMMYFUNCTION("""COMPUTED_VALUE"""),"parasol")</f>
        <v>parasol</v>
      </c>
      <c r="G77" s="8" t="str">
        <f t="shared" si="3"/>
        <v>5.0</v>
      </c>
      <c r="H77" s="9">
        <f t="shared" si="4"/>
        <v>5</v>
      </c>
      <c r="I77" s="10">
        <f>IFERROR(__xludf.DUMMYFUNCTION("MAX(FILTER($H$2:$H350,$E$2:$E350=F77))"),1.0)</f>
        <v>1</v>
      </c>
    </row>
    <row r="78">
      <c r="A78" s="4"/>
      <c r="C78" s="4" t="s">
        <v>1254</v>
      </c>
      <c r="D78" s="4" t="str">
        <f t="shared" si="1"/>
        <v>{"valorA":"performance","valorB":1.0}</v>
      </c>
      <c r="E78" s="8" t="str">
        <f t="shared" si="2"/>
        <v>performance</v>
      </c>
      <c r="F78" s="8" t="str">
        <f>IFERROR(__xludf.DUMMYFUNCTION("""COMPUTED_VALUE"""),"dessa")</f>
        <v>dessa</v>
      </c>
      <c r="G78" s="8" t="str">
        <f t="shared" si="3"/>
        <v>1.0</v>
      </c>
      <c r="H78" s="9">
        <f t="shared" si="4"/>
        <v>1</v>
      </c>
      <c r="I78" s="10">
        <f>IFERROR(__xludf.DUMMYFUNCTION("MAX(FILTER($H$2:$H350,$E$2:$E350=F78))"),3.0)</f>
        <v>3</v>
      </c>
    </row>
    <row r="79">
      <c r="A79" s="4"/>
      <c r="C79" s="4" t="s">
        <v>417</v>
      </c>
      <c r="D79" s="4" t="str">
        <f t="shared" si="1"/>
        <v>{"valorA":"novo","valorB":3.0}</v>
      </c>
      <c r="E79" s="8" t="str">
        <f t="shared" si="2"/>
        <v>novo</v>
      </c>
      <c r="F79" s="8" t="str">
        <f>IFERROR(__xludf.DUMMYFUNCTION("""COMPUTED_VALUE"""),"as")</f>
        <v>as</v>
      </c>
      <c r="G79" s="8" t="str">
        <f t="shared" si="3"/>
        <v>3.0</v>
      </c>
      <c r="H79" s="9">
        <f t="shared" si="4"/>
        <v>3</v>
      </c>
      <c r="I79" s="10">
        <f>IFERROR(__xludf.DUMMYFUNCTION("MAX(FILTER($H$2:$H350,$E$2:$E350=F79))"),1.0)</f>
        <v>1</v>
      </c>
    </row>
    <row r="80">
      <c r="A80" s="4"/>
      <c r="C80" s="4" t="s">
        <v>401</v>
      </c>
      <c r="D80" s="4" t="str">
        <f t="shared" si="1"/>
        <v>{"valorA":"design","valorB":1.0}</v>
      </c>
      <c r="E80" s="8" t="str">
        <f t="shared" si="2"/>
        <v>design</v>
      </c>
      <c r="F80" s="8" t="str">
        <f>IFERROR(__xludf.DUMMYFUNCTION("""COMPUTED_VALUE"""),"loja")</f>
        <v>loja</v>
      </c>
      <c r="G80" s="8" t="str">
        <f t="shared" si="3"/>
        <v>1.0</v>
      </c>
      <c r="H80" s="9">
        <f t="shared" si="4"/>
        <v>1</v>
      </c>
      <c r="I80" s="10">
        <f>IFERROR(__xludf.DUMMYFUNCTION("MAX(FILTER($H$2:$H350,$E$2:$E350=F80))"),2.0)</f>
        <v>2</v>
      </c>
    </row>
    <row r="81">
      <c r="A81" s="4"/>
      <c r="C81" s="4" t="s">
        <v>323</v>
      </c>
      <c r="D81" s="4" t="str">
        <f t="shared" si="1"/>
        <v>{"valorA":"da","valorB":1.0}</v>
      </c>
      <c r="E81" s="8" t="str">
        <f t="shared" si="2"/>
        <v>da</v>
      </c>
      <c r="F81" s="8" t="str">
        <f>IFERROR(__xludf.DUMMYFUNCTION("""COMPUTED_VALUE"""),"on")</f>
        <v>on</v>
      </c>
      <c r="G81" s="8" t="str">
        <f t="shared" si="3"/>
        <v>1.0</v>
      </c>
      <c r="H81" s="9">
        <f t="shared" si="4"/>
        <v>1</v>
      </c>
      <c r="I81" s="10">
        <f>IFERROR(__xludf.DUMMYFUNCTION("MAX(FILTER($H$2:$H350,$E$2:$E350=F81))"),1.0)</f>
        <v>1</v>
      </c>
    </row>
    <row r="82">
      <c r="A82" s="4"/>
      <c r="C82" s="4" t="s">
        <v>1255</v>
      </c>
      <c r="D82" s="4" t="str">
        <f t="shared" si="1"/>
        <v>{"valorA":"é","valorB":7.0}</v>
      </c>
      <c r="E82" s="8" t="str">
        <f t="shared" si="2"/>
        <v>é</v>
      </c>
      <c r="F82" s="8" t="str">
        <f>IFERROR(__xludf.DUMMYFUNCTION("""COMPUTED_VALUE"""),"telemóvel")</f>
        <v>telemóvel</v>
      </c>
      <c r="G82" s="8" t="str">
        <f t="shared" si="3"/>
        <v>7.0</v>
      </c>
      <c r="H82" s="9">
        <f t="shared" si="4"/>
        <v>7</v>
      </c>
      <c r="I82" s="10">
        <f>IFERROR(__xludf.DUMMYFUNCTION("MAX(FILTER($H$2:$H350,$E$2:$E350=F82))"),1.0)</f>
        <v>1</v>
      </c>
    </row>
    <row r="83">
      <c r="A83" s="4"/>
      <c r="C83" s="4" t="s">
        <v>1256</v>
      </c>
      <c r="D83" s="4" t="str">
        <f t="shared" si="1"/>
        <v>{"valorA":"ajuda","valorB":1.0}</v>
      </c>
      <c r="E83" s="8" t="str">
        <f t="shared" si="2"/>
        <v>ajuda</v>
      </c>
      <c r="F83" s="8" t="str">
        <f>IFERROR(__xludf.DUMMYFUNCTION("""COMPUTED_VALUE"""),"line")</f>
        <v>line</v>
      </c>
      <c r="G83" s="8" t="str">
        <f t="shared" si="3"/>
        <v>1.0</v>
      </c>
      <c r="H83" s="9">
        <f t="shared" si="4"/>
        <v>1</v>
      </c>
      <c r="I83" s="10">
        <f>IFERROR(__xludf.DUMMYFUNCTION("MAX(FILTER($H$2:$H350,$E$2:$E350=F83))"),1.0)</f>
        <v>1</v>
      </c>
    </row>
    <row r="84">
      <c r="A84" s="4"/>
      <c r="C84" s="4" t="s">
        <v>290</v>
      </c>
      <c r="D84" s="4" t="str">
        <f t="shared" si="1"/>
        <v>{"valorA":"com","valorB":1.0}</v>
      </c>
      <c r="E84" s="8" t="str">
        <f t="shared" si="2"/>
        <v>com</v>
      </c>
      <c r="F84" s="8" t="str">
        <f>IFERROR(__xludf.DUMMYFUNCTION("""COMPUTED_VALUE"""),"limpar")</f>
        <v>limpar</v>
      </c>
      <c r="G84" s="8" t="str">
        <f t="shared" si="3"/>
        <v>1.0</v>
      </c>
      <c r="H84" s="9">
        <f t="shared" si="4"/>
        <v>1</v>
      </c>
      <c r="I84" s="10">
        <f>IFERROR(__xludf.DUMMYFUNCTION("MAX(FILTER($H$2:$H350,$E$2:$E350=F84))"),1.0)</f>
        <v>1</v>
      </c>
    </row>
    <row r="85">
      <c r="A85" s="4"/>
      <c r="C85" s="4" t="s">
        <v>279</v>
      </c>
      <c r="D85" s="4" t="str">
        <f t="shared" si="1"/>
        <v>{"valorA":"usar","valorB":3.0}</v>
      </c>
      <c r="E85" s="8" t="str">
        <f t="shared" si="2"/>
        <v>usar</v>
      </c>
      <c r="F85" s="8" t="str">
        <f>IFERROR(__xludf.DUMMYFUNCTION("""COMPUTED_VALUE"""),"parecer")</f>
        <v>parecer</v>
      </c>
      <c r="G85" s="8" t="str">
        <f t="shared" si="3"/>
        <v>3.0</v>
      </c>
      <c r="H85" s="9">
        <f t="shared" si="4"/>
        <v>3</v>
      </c>
      <c r="I85" s="10">
        <f>IFERROR(__xludf.DUMMYFUNCTION("MAX(FILTER($H$2:$H350,$E$2:$E350=F85))"),1.0)</f>
        <v>1</v>
      </c>
    </row>
    <row r="86">
      <c r="A86" s="4"/>
      <c r="C86" s="4" t="s">
        <v>369</v>
      </c>
      <c r="D86" s="4" t="str">
        <f t="shared" si="1"/>
        <v>{"valorA":"incrível","valorB":3.0}</v>
      </c>
      <c r="E86" s="8" t="str">
        <f t="shared" si="2"/>
        <v>incrível</v>
      </c>
      <c r="F86" s="8" t="str">
        <f>IFERROR(__xludf.DUMMYFUNCTION("""COMPUTED_VALUE"""),"faz")</f>
        <v>faz</v>
      </c>
      <c r="G86" s="8" t="str">
        <f t="shared" si="3"/>
        <v>3.0</v>
      </c>
      <c r="H86" s="9">
        <f t="shared" si="4"/>
        <v>3</v>
      </c>
      <c r="I86" s="10">
        <f>IFERROR(__xludf.DUMMYFUNCTION("MAX(FILTER($H$2:$H350,$E$2:$E350=F86))"),1.0)</f>
        <v>1</v>
      </c>
    </row>
    <row r="87">
      <c r="A87" s="4"/>
      <c r="C87" s="4" t="s">
        <v>269</v>
      </c>
      <c r="D87" s="4" t="str">
        <f t="shared" si="1"/>
        <v>{"valorA":"me","valorB":1.0}</v>
      </c>
      <c r="E87" s="8" t="str">
        <f t="shared" si="2"/>
        <v>me</v>
      </c>
      <c r="F87" s="8" t="str">
        <f>IFERROR(__xludf.DUMMYFUNCTION("""COMPUTED_VALUE"""),"sofá")</f>
        <v>sofá</v>
      </c>
      <c r="G87" s="8" t="str">
        <f t="shared" si="3"/>
        <v>1.0</v>
      </c>
      <c r="H87" s="9">
        <f t="shared" si="4"/>
        <v>1</v>
      </c>
      <c r="I87" s="10">
        <f>IFERROR(__xludf.DUMMYFUNCTION("MAX(FILTER($H$2:$H350,$E$2:$E350=F87))"),1.0)</f>
        <v>1</v>
      </c>
    </row>
    <row r="88">
      <c r="A88" s="4"/>
      <c r="C88" s="4" t="s">
        <v>424</v>
      </c>
      <c r="D88" s="4" t="str">
        <f t="shared" si="1"/>
        <v>{"valorA":"pele","valorB":1.0}</v>
      </c>
      <c r="E88" s="8" t="str">
        <f t="shared" si="2"/>
        <v>pele</v>
      </c>
      <c r="F88" s="8" t="str">
        <f>IFERROR(__xludf.DUMMYFUNCTION("""COMPUTED_VALUE"""),"uma")</f>
        <v>uma</v>
      </c>
      <c r="G88" s="8" t="str">
        <f t="shared" si="3"/>
        <v>1.0</v>
      </c>
      <c r="H88" s="9">
        <f t="shared" si="4"/>
        <v>1</v>
      </c>
      <c r="I88" s="10">
        <f>IFERROR(__xludf.DUMMYFUNCTION("MAX(FILTER($H$2:$H350,$E$2:$E350=F88))"),1.0)</f>
        <v>1</v>
      </c>
    </row>
    <row r="89">
      <c r="A89" s="4"/>
      <c r="C89" s="4" t="s">
        <v>331</v>
      </c>
      <c r="D89" s="4" t="str">
        <f t="shared" si="1"/>
        <v>{"valorA":"e","valorB":5.0}</v>
      </c>
      <c r="E89" s="8" t="str">
        <f t="shared" si="2"/>
        <v>e</v>
      </c>
      <c r="F89" s="8" t="str">
        <f>IFERROR(__xludf.DUMMYFUNCTION("""COMPUTED_VALUE"""),"cabelo")</f>
        <v>cabelo</v>
      </c>
      <c r="G89" s="8" t="str">
        <f t="shared" si="3"/>
        <v>5.0</v>
      </c>
      <c r="H89" s="9">
        <f t="shared" si="4"/>
        <v>5</v>
      </c>
      <c r="I89" s="10">
        <f>IFERROR(__xludf.DUMMYFUNCTION("MAX(FILTER($H$2:$H350,$E$2:$E350=F89))"),1.0)</f>
        <v>1</v>
      </c>
    </row>
    <row r="90">
      <c r="A90" s="4"/>
      <c r="C90" s="4" t="s">
        <v>185</v>
      </c>
      <c r="D90" s="4" t="str">
        <f t="shared" si="1"/>
        <v>{"valorA":"creme","valorB":1.0}</v>
      </c>
      <c r="E90" s="8" t="str">
        <f t="shared" si="2"/>
        <v>creme</v>
      </c>
      <c r="F90" s="8" t="str">
        <f>IFERROR(__xludf.DUMMYFUNCTION("""COMPUTED_VALUE"""),"celebridade")</f>
        <v>celebridade</v>
      </c>
      <c r="G90" s="8" t="str">
        <f t="shared" si="3"/>
        <v>1.0</v>
      </c>
      <c r="H90" s="9">
        <f t="shared" si="4"/>
        <v>1</v>
      </c>
      <c r="I90" s="10">
        <f>IFERROR(__xludf.DUMMYFUNCTION("MAX(FILTER($H$2:$H350,$E$2:$E350=F90))"),1.0)</f>
        <v>1</v>
      </c>
    </row>
    <row r="91">
      <c r="A91" s="4"/>
      <c r="C91" s="4" t="s">
        <v>681</v>
      </c>
      <c r="D91" s="4" t="str">
        <f t="shared" si="1"/>
        <v>{"valorA":"de","valorB":5.0}</v>
      </c>
      <c r="E91" s="8" t="str">
        <f t="shared" si="2"/>
        <v>de</v>
      </c>
      <c r="F91" s="8" t="str">
        <f>IFERROR(__xludf.DUMMYFUNCTION("""COMPUTED_VALUE"""),"este")</f>
        <v>este</v>
      </c>
      <c r="G91" s="8" t="str">
        <f t="shared" si="3"/>
        <v>5.0</v>
      </c>
      <c r="H91" s="9">
        <f t="shared" si="4"/>
        <v>5</v>
      </c>
      <c r="I91" s="10">
        <f>IFERROR(__xludf.DUMMYFUNCTION("MAX(FILTER($H$2:$H350,$E$2:$E350=F91))"),1.0)</f>
        <v>1</v>
      </c>
    </row>
    <row r="92">
      <c r="A92" s="4"/>
      <c r="C92" s="4" t="s">
        <v>1257</v>
      </c>
      <c r="D92" s="4" t="str">
        <f t="shared" si="1"/>
        <v>{"valorA":"humida","valorB":1.0}</v>
      </c>
      <c r="E92" s="8" t="str">
        <f t="shared" si="2"/>
        <v>humida</v>
      </c>
      <c r="F92" s="8" t="str">
        <f>IFERROR(__xludf.DUMMYFUNCTION("""COMPUTED_VALUE"""),"aplicar")</f>
        <v>aplicar</v>
      </c>
      <c r="G92" s="8" t="str">
        <f t="shared" si="3"/>
        <v>1.0</v>
      </c>
      <c r="H92" s="9">
        <f t="shared" si="4"/>
        <v>1</v>
      </c>
      <c r="I92" s="10">
        <f>IFERROR(__xludf.DUMMYFUNCTION("MAX(FILTER($H$2:$H350,$E$2:$E350=F92))"),1.0)</f>
        <v>1</v>
      </c>
    </row>
    <row r="93">
      <c r="A93" s="4"/>
      <c r="C93" s="4" t="s">
        <v>272</v>
      </c>
      <c r="D93" s="4" t="str">
        <f t="shared" si="1"/>
        <v>{"valorA":"produto","valorB":9.0}</v>
      </c>
      <c r="E93" s="8" t="str">
        <f t="shared" si="2"/>
        <v>produto</v>
      </c>
      <c r="F93" s="8" t="str">
        <f>IFERROR(__xludf.DUMMYFUNCTION("""COMPUTED_VALUE"""),"corporal")</f>
        <v>corporal</v>
      </c>
      <c r="G93" s="8" t="str">
        <f t="shared" si="3"/>
        <v>9.0</v>
      </c>
      <c r="H93" s="9">
        <f t="shared" si="4"/>
        <v>9</v>
      </c>
      <c r="I93" s="10">
        <f>IFERROR(__xludf.DUMMYFUNCTION("MAX(FILTER($H$2:$H350,$E$2:$E350=F93))"),1.0)</f>
        <v>1</v>
      </c>
    </row>
    <row r="94">
      <c r="A94" s="4"/>
      <c r="C94" s="4" t="s">
        <v>259</v>
      </c>
      <c r="D94" s="4" t="str">
        <f t="shared" si="1"/>
        <v>{"valorA":"ótimo","valorB":12.0}</v>
      </c>
      <c r="E94" s="8" t="str">
        <f t="shared" si="2"/>
        <v>ótimo</v>
      </c>
      <c r="F94" s="8" t="str">
        <f>IFERROR(__xludf.DUMMYFUNCTION("""COMPUTED_VALUE"""),"dura")</f>
        <v>dura</v>
      </c>
      <c r="G94" s="8" t="str">
        <f t="shared" si="3"/>
        <v>12.0</v>
      </c>
      <c r="H94" s="9">
        <f t="shared" si="4"/>
        <v>12</v>
      </c>
      <c r="I94" s="10">
        <f>IFERROR(__xludf.DUMMYFUNCTION("MAX(FILTER($H$2:$H350,$E$2:$E350=F94))"),1.0)</f>
        <v>1</v>
      </c>
    </row>
    <row r="95">
      <c r="A95" s="4"/>
      <c r="C95" s="4" t="s">
        <v>396</v>
      </c>
      <c r="D95" s="4" t="str">
        <f t="shared" si="1"/>
        <v>{"valorA":"fácil","valorB":2.0}</v>
      </c>
      <c r="E95" s="8" t="str">
        <f t="shared" si="2"/>
        <v>fácil</v>
      </c>
      <c r="F95" s="8" t="str">
        <f>IFERROR(__xludf.DUMMYFUNCTION("""COMPUTED_VALUE"""),"bluetooth")</f>
        <v>bluetooth</v>
      </c>
      <c r="G95" s="8" t="str">
        <f t="shared" si="3"/>
        <v>2.0</v>
      </c>
      <c r="H95" s="9">
        <f t="shared" si="4"/>
        <v>2</v>
      </c>
      <c r="I95" s="10">
        <f>IFERROR(__xludf.DUMMYFUNCTION("MAX(FILTER($H$2:$H350,$E$2:$E350=F95))"),1.0)</f>
        <v>1</v>
      </c>
    </row>
    <row r="96">
      <c r="A96" s="4"/>
      <c r="C96" s="4" t="s">
        <v>1258</v>
      </c>
      <c r="D96" s="4" t="str">
        <f t="shared" si="1"/>
        <v>{"valorA":"realmente","valorB":2.0}</v>
      </c>
      <c r="E96" s="8" t="str">
        <f t="shared" si="2"/>
        <v>realmente</v>
      </c>
      <c r="F96" s="8" t="str">
        <f>IFERROR(__xludf.DUMMYFUNCTION("""COMPUTED_VALUE"""),"ouvido")</f>
        <v>ouvido</v>
      </c>
      <c r="G96" s="8" t="str">
        <f t="shared" si="3"/>
        <v>2.0</v>
      </c>
      <c r="H96" s="9">
        <f t="shared" si="4"/>
        <v>2</v>
      </c>
      <c r="I96" s="10">
        <f>IFERROR(__xludf.DUMMYFUNCTION("MAX(FILTER($H$2:$H350,$E$2:$E350=F96))"),1.0)</f>
        <v>1</v>
      </c>
    </row>
    <row r="97">
      <c r="A97" s="4"/>
      <c r="C97" s="4" t="s">
        <v>803</v>
      </c>
      <c r="D97" s="4" t="str">
        <f t="shared" si="1"/>
        <v>{"valorA":"perfeitamente","valorB":3.0}</v>
      </c>
      <c r="E97" s="8" t="str">
        <f t="shared" si="2"/>
        <v>perfeitamente</v>
      </c>
      <c r="F97" s="8" t="str">
        <f>IFERROR(__xludf.DUMMYFUNCTION("""COMPUTED_VALUE"""),"fone")</f>
        <v>fone</v>
      </c>
      <c r="G97" s="8" t="str">
        <f t="shared" si="3"/>
        <v>3.0</v>
      </c>
      <c r="H97" s="9">
        <f t="shared" si="4"/>
        <v>3</v>
      </c>
      <c r="I97" s="10">
        <f>IFERROR(__xludf.DUMMYFUNCTION("MAX(FILTER($H$2:$H350,$E$2:$E350=F97))"),1.0)</f>
        <v>1</v>
      </c>
    </row>
    <row r="98">
      <c r="A98" s="4"/>
      <c r="C98" s="4" t="s">
        <v>244</v>
      </c>
      <c r="D98" s="4" t="str">
        <f t="shared" si="1"/>
        <v>{"valorA":"essa","valorB":1.0}</v>
      </c>
      <c r="E98" s="8" t="str">
        <f t="shared" si="2"/>
        <v>essa</v>
      </c>
      <c r="F98" s="8" t="str">
        <f>IFERROR(__xludf.DUMMYFUNCTION("""COMPUTED_VALUE"""),"frigorifico")</f>
        <v>frigorifico</v>
      </c>
      <c r="G98" s="8" t="str">
        <f t="shared" si="3"/>
        <v>1.0</v>
      </c>
      <c r="H98" s="9">
        <f t="shared" si="4"/>
        <v>1</v>
      </c>
      <c r="I98" s="10">
        <f>IFERROR(__xludf.DUMMYFUNCTION("MAX(FILTER($H$2:$H350,$E$2:$E350=F98))"),1.0)</f>
        <v>1</v>
      </c>
    </row>
    <row r="99">
      <c r="A99" s="4"/>
      <c r="C99" s="4" t="s">
        <v>662</v>
      </c>
      <c r="D99" s="4" t="str">
        <f t="shared" si="1"/>
        <v>{"valorA":"muito","valorB":6.0}</v>
      </c>
      <c r="E99" s="8" t="str">
        <f t="shared" si="2"/>
        <v>muito</v>
      </c>
      <c r="F99" s="8" t="str">
        <f>IFERROR(__xludf.DUMMYFUNCTION("""COMPUTED_VALUE"""),"comprar")</f>
        <v>comprar</v>
      </c>
      <c r="G99" s="8" t="str">
        <f t="shared" si="3"/>
        <v>6.0</v>
      </c>
      <c r="H99" s="9">
        <f t="shared" si="4"/>
        <v>6</v>
      </c>
      <c r="I99" s="10">
        <f>IFERROR(__xludf.DUMMYFUNCTION("MAX(FILTER($H$2:$H350,$E$2:$E350=F99))"),1.0)</f>
        <v>1</v>
      </c>
    </row>
    <row r="100">
      <c r="A100" s="4"/>
      <c r="C100" s="4" t="s">
        <v>264</v>
      </c>
      <c r="D100" s="4" t="str">
        <f t="shared" si="1"/>
        <v>{"valorA":"a","valorB":2.0}</v>
      </c>
      <c r="E100" s="8" t="str">
        <f t="shared" si="2"/>
        <v>a</v>
      </c>
      <c r="F100" s="8" t="str">
        <f>IFERROR(__xludf.DUMMYFUNCTION("""COMPUTED_VALUE"""),"confiabilidade")</f>
        <v>confiabilidade</v>
      </c>
      <c r="G100" s="8" t="str">
        <f t="shared" si="3"/>
        <v>2.0</v>
      </c>
      <c r="H100" s="9">
        <f t="shared" si="4"/>
        <v>2</v>
      </c>
      <c r="I100" s="10">
        <f>IFERROR(__xludf.DUMMYFUNCTION("MAX(FILTER($H$2:$H350,$E$2:$E350=F100))"),1.0)</f>
        <v>1</v>
      </c>
    </row>
    <row r="101">
      <c r="A101" s="4"/>
      <c r="C101" s="4" t="s">
        <v>194</v>
      </c>
      <c r="D101" s="4" t="str">
        <f t="shared" si="1"/>
        <v>{"valorA":"hidratante","valorB":1.0}</v>
      </c>
      <c r="E101" s="8" t="str">
        <f t="shared" si="2"/>
        <v>hidratante</v>
      </c>
      <c r="F101" s="8" t="str">
        <f>IFERROR(__xludf.DUMMYFUNCTION("""COMPUTED_VALUE"""),"feito")</f>
        <v>feito</v>
      </c>
      <c r="G101" s="8" t="str">
        <f t="shared" si="3"/>
        <v>1.0</v>
      </c>
      <c r="H101" s="9">
        <f t="shared" si="4"/>
        <v>1</v>
      </c>
      <c r="I101" s="10">
        <f>IFERROR(__xludf.DUMMYFUNCTION("MAX(FILTER($H$2:$H350,$E$2:$E350=F101))"),1.0)</f>
        <v>1</v>
      </c>
    </row>
    <row r="102">
      <c r="A102" s="4"/>
      <c r="C102" s="4" t="s">
        <v>1259</v>
      </c>
      <c r="D102" s="4" t="str">
        <f t="shared" si="1"/>
        <v>{"valorA":"manter","valorB":1.0}</v>
      </c>
      <c r="E102" s="8" t="str">
        <f t="shared" si="2"/>
        <v>manter</v>
      </c>
      <c r="F102" s="8" t="str">
        <f>IFERROR(__xludf.DUMMYFUNCTION("""COMPUTED_VALUE"""),"diária")</f>
        <v>diária</v>
      </c>
      <c r="G102" s="8" t="str">
        <f t="shared" si="3"/>
        <v>1.0</v>
      </c>
      <c r="H102" s="9">
        <f t="shared" si="4"/>
        <v>1</v>
      </c>
      <c r="I102" s="10">
        <f>IFERROR(__xludf.DUMMYFUNCTION("MAX(FILTER($H$2:$H350,$E$2:$E350=F102))"),1.0)</f>
        <v>1</v>
      </c>
    </row>
    <row r="103">
      <c r="A103" s="4"/>
      <c r="C103" s="4" t="s">
        <v>288</v>
      </c>
      <c r="D103" s="4" t="str">
        <f t="shared" si="1"/>
        <v>{"valorA":"funciona","valorB":4.0}</v>
      </c>
      <c r="E103" s="8" t="str">
        <f t="shared" si="2"/>
        <v>funciona</v>
      </c>
      <c r="F103" s="8" t="str">
        <f>IFERROR(__xludf.DUMMYFUNCTION("""COMPUTED_VALUE"""),"encantado")</f>
        <v>encantado</v>
      </c>
      <c r="G103" s="8" t="str">
        <f t="shared" si="3"/>
        <v>4.0</v>
      </c>
      <c r="H103" s="9">
        <f t="shared" si="4"/>
        <v>4</v>
      </c>
      <c r="I103" s="10">
        <f>IFERROR(__xludf.DUMMYFUNCTION("MAX(FILTER($H$2:$H350,$E$2:$E350=F103))"),1.0)</f>
        <v>1</v>
      </c>
    </row>
    <row r="104">
      <c r="A104" s="4"/>
      <c r="C104" s="4" t="s">
        <v>265</v>
      </c>
      <c r="D104" s="4" t="str">
        <f t="shared" si="1"/>
        <v>{"valorA":"minha","valorB":1.0}</v>
      </c>
      <c r="E104" s="8" t="str">
        <f t="shared" si="2"/>
        <v>minha</v>
      </c>
      <c r="F104" s="8" t="str">
        <f>IFERROR(__xludf.DUMMYFUNCTION("""COMPUTED_VALUE"""),"fica")</f>
        <v>fica</v>
      </c>
      <c r="G104" s="8" t="str">
        <f t="shared" si="3"/>
        <v>1.0</v>
      </c>
      <c r="H104" s="9">
        <f t="shared" si="4"/>
        <v>1</v>
      </c>
      <c r="I104" s="10">
        <f>IFERROR(__xludf.DUMMYFUNCTION("MAX(FILTER($H$2:$H350,$E$2:$E350=F104))"),1.0)</f>
        <v>1</v>
      </c>
    </row>
    <row r="105">
      <c r="A105" s="4"/>
      <c r="C105" s="4" t="s">
        <v>364</v>
      </c>
      <c r="D105" s="4" t="str">
        <f t="shared" si="1"/>
        <v>{"valorA":"é","valorB":8.0}</v>
      </c>
      <c r="E105" s="8" t="str">
        <f t="shared" si="2"/>
        <v>é</v>
      </c>
      <c r="F105" s="8" t="str">
        <f>IFERROR(__xludf.DUMMYFUNCTION("""COMPUTED_VALUE"""),"resultado")</f>
        <v>resultado</v>
      </c>
      <c r="G105" s="8" t="str">
        <f t="shared" si="3"/>
        <v>8.0</v>
      </c>
      <c r="H105" s="9">
        <f t="shared" si="4"/>
        <v>8</v>
      </c>
      <c r="I105" s="10">
        <f>IFERROR(__xludf.DUMMYFUNCTION("MAX(FILTER($H$2:$H350,$E$2:$E350=F105))"),1.0)</f>
        <v>1</v>
      </c>
    </row>
    <row r="106">
      <c r="A106" s="4"/>
      <c r="C106" s="4" t="s">
        <v>613</v>
      </c>
      <c r="D106" s="4" t="str">
        <f t="shared" si="1"/>
        <v>{"valorA":"para","valorB":2.0}</v>
      </c>
      <c r="E106" s="8" t="str">
        <f t="shared" si="2"/>
        <v>para</v>
      </c>
      <c r="F106" s="8" t="str">
        <f>IFERROR(__xludf.DUMMYFUNCTION("""COMPUTED_VALUE"""),"câmera")</f>
        <v>câmera</v>
      </c>
      <c r="G106" s="8" t="str">
        <f t="shared" si="3"/>
        <v>2.0</v>
      </c>
      <c r="H106" s="9">
        <f t="shared" si="4"/>
        <v>2</v>
      </c>
      <c r="I106" s="10">
        <f>IFERROR(__xludf.DUMMYFUNCTION("MAX(FILTER($H$2:$H350,$E$2:$E350=F106))"),1.0)</f>
        <v>1</v>
      </c>
    </row>
    <row r="107">
      <c r="A107" s="4"/>
      <c r="C107" s="4" t="s">
        <v>346</v>
      </c>
      <c r="D107" s="4" t="str">
        <f t="shared" si="1"/>
        <v>{"valorA":"qualidade","valorB":1.0}</v>
      </c>
      <c r="E107" s="8" t="str">
        <f t="shared" si="2"/>
        <v>qualidade</v>
      </c>
      <c r="F107" s="8" t="str">
        <f>IFERROR(__xludf.DUMMYFUNCTION("""COMPUTED_VALUE"""),"marca")</f>
        <v>marca</v>
      </c>
      <c r="G107" s="8" t="str">
        <f t="shared" si="3"/>
        <v>1.0</v>
      </c>
      <c r="H107" s="9">
        <f t="shared" si="4"/>
        <v>1</v>
      </c>
      <c r="I107" s="10">
        <f>IFERROR(__xludf.DUMMYFUNCTION("MAX(FILTER($H$2:$H350,$E$2:$E350=F107))"),1.0)</f>
        <v>1</v>
      </c>
    </row>
    <row r="108">
      <c r="A108" s="4"/>
      <c r="C108" s="4" t="s">
        <v>457</v>
      </c>
      <c r="D108" s="4" t="str">
        <f t="shared" si="1"/>
        <v>{"valorA":"incrível","valorB":4.0}</v>
      </c>
      <c r="E108" s="8" t="str">
        <f t="shared" si="2"/>
        <v>incrível</v>
      </c>
      <c r="F108" s="8" t="str">
        <f>IFERROR(__xludf.DUMMYFUNCTION("""COMPUTED_VALUE"""),"como")</f>
        <v>como</v>
      </c>
      <c r="G108" s="8" t="str">
        <f t="shared" si="3"/>
        <v>4.0</v>
      </c>
      <c r="H108" s="9">
        <f t="shared" si="4"/>
        <v>4</v>
      </c>
      <c r="I108" s="10">
        <f>IFERROR(__xludf.DUMMYFUNCTION("MAX(FILTER($H$2:$H350,$E$2:$E350=F108))"),2.0)</f>
        <v>2</v>
      </c>
    </row>
    <row r="109">
      <c r="A109" s="4"/>
      <c r="C109" s="4" t="s">
        <v>1260</v>
      </c>
      <c r="D109" s="4" t="str">
        <f t="shared" si="1"/>
        <v>{"valorA":"aluguel","valorB":1.0}</v>
      </c>
      <c r="E109" s="8" t="str">
        <f t="shared" si="2"/>
        <v>aluguel</v>
      </c>
      <c r="F109" s="8" t="str">
        <f>IFERROR(__xludf.DUMMYFUNCTION("""COMPUTED_VALUE"""),"ela")</f>
        <v>ela</v>
      </c>
      <c r="G109" s="8" t="str">
        <f t="shared" si="3"/>
        <v>1.0</v>
      </c>
      <c r="H109" s="9">
        <f t="shared" si="4"/>
        <v>1</v>
      </c>
      <c r="I109" s="10">
        <f>IFERROR(__xludf.DUMMYFUNCTION("MAX(FILTER($H$2:$H350,$E$2:$E350=F109))"),1.0)</f>
        <v>1</v>
      </c>
    </row>
    <row r="110">
      <c r="A110" s="4"/>
      <c r="C110" s="4" t="s">
        <v>294</v>
      </c>
      <c r="D110" s="4" t="str">
        <f t="shared" si="1"/>
        <v>{"valorA":"de","valorB":6.0}</v>
      </c>
      <c r="E110" s="8" t="str">
        <f t="shared" si="2"/>
        <v>de</v>
      </c>
      <c r="F110" s="8"/>
      <c r="G110" s="8" t="str">
        <f t="shared" si="3"/>
        <v>6.0</v>
      </c>
      <c r="H110" s="9">
        <f t="shared" si="4"/>
        <v>6</v>
      </c>
      <c r="I110" s="6" t="str">
        <f>IFERROR(__xludf.DUMMYFUNCTION("MAX(FILTER($H$2:$H350,$E$2:$E350=F110))"),"#N/A")</f>
        <v>#N/A</v>
      </c>
    </row>
    <row r="111">
      <c r="A111" s="4"/>
      <c r="C111" s="4" t="s">
        <v>651</v>
      </c>
      <c r="D111" s="4" t="str">
        <f t="shared" si="1"/>
        <v>{"valorA":"produto","valorB":11.0}</v>
      </c>
      <c r="E111" s="8" t="str">
        <f t="shared" si="2"/>
        <v>produto</v>
      </c>
      <c r="F111" s="8"/>
      <c r="G111" s="8" t="str">
        <f t="shared" si="3"/>
        <v>11.0</v>
      </c>
      <c r="H111" s="9">
        <f t="shared" si="4"/>
        <v>11</v>
      </c>
      <c r="I111" s="6" t="str">
        <f>IFERROR(__xludf.DUMMYFUNCTION("MAX(FILTER($H$2:$H350,$E$2:$E350=F111))"),"#N/A")</f>
        <v>#N/A</v>
      </c>
    </row>
    <row r="112">
      <c r="A112" s="4"/>
      <c r="C112" s="4" t="s">
        <v>260</v>
      </c>
      <c r="D112" s="4" t="str">
        <f t="shared" si="1"/>
        <v>{"valorA":"gostei","valorB":2.0}</v>
      </c>
      <c r="E112" s="8" t="str">
        <f t="shared" si="2"/>
        <v>gostei</v>
      </c>
      <c r="F112" s="8"/>
      <c r="G112" s="8" t="str">
        <f t="shared" si="3"/>
        <v>2.0</v>
      </c>
      <c r="H112" s="9">
        <f t="shared" si="4"/>
        <v>2</v>
      </c>
      <c r="I112" s="6" t="str">
        <f>IFERROR(__xludf.DUMMYFUNCTION("MAX(FILTER($H$2:$H350,$E$2:$E350=F112))"),"#N/A")</f>
        <v>#N/A</v>
      </c>
    </row>
    <row r="113">
      <c r="A113" s="4"/>
      <c r="C113" s="4" t="s">
        <v>273</v>
      </c>
      <c r="D113" s="4" t="str">
        <f t="shared" si="1"/>
        <v>{"valorA":"ótimo","valorB":14.0}</v>
      </c>
      <c r="E113" s="8" t="str">
        <f t="shared" si="2"/>
        <v>ótimo</v>
      </c>
      <c r="F113" s="8"/>
      <c r="G113" s="8" t="str">
        <f t="shared" si="3"/>
        <v>14.0</v>
      </c>
      <c r="H113" s="9">
        <f t="shared" si="4"/>
        <v>14</v>
      </c>
      <c r="I113" s="6" t="str">
        <f>IFERROR(__xludf.DUMMYFUNCTION("MAX(FILTER($H$2:$H350,$E$2:$E350=F113))"),"#N/A")</f>
        <v>#N/A</v>
      </c>
    </row>
    <row r="114">
      <c r="A114" s="4"/>
      <c r="C114" s="4" t="s">
        <v>447</v>
      </c>
      <c r="D114" s="4" t="str">
        <f t="shared" si="1"/>
        <v>{"valorA":"essa","valorB":2.0}</v>
      </c>
      <c r="E114" s="8" t="str">
        <f t="shared" si="2"/>
        <v>essa</v>
      </c>
      <c r="F114" s="8"/>
      <c r="G114" s="8" t="str">
        <f t="shared" si="3"/>
        <v>2.0</v>
      </c>
      <c r="H114" s="9">
        <f t="shared" si="4"/>
        <v>2</v>
      </c>
      <c r="I114" s="6" t="str">
        <f>IFERROR(__xludf.DUMMYFUNCTION("MAX(FILTER($H$2:$H350,$E$2:$E350=F114))"),"#N/A")</f>
        <v>#N/A</v>
      </c>
    </row>
    <row r="115">
      <c r="A115" s="4"/>
      <c r="C115" s="4" t="s">
        <v>318</v>
      </c>
      <c r="D115" s="4" t="str">
        <f t="shared" si="1"/>
        <v>{"valorA":"realmente","valorB":3.0}</v>
      </c>
      <c r="E115" s="8" t="str">
        <f t="shared" si="2"/>
        <v>realmente</v>
      </c>
      <c r="F115" s="8"/>
      <c r="G115" s="8" t="str">
        <f t="shared" si="3"/>
        <v>3.0</v>
      </c>
      <c r="H115" s="9">
        <f t="shared" si="4"/>
        <v>3</v>
      </c>
      <c r="I115" s="6" t="str">
        <f>IFERROR(__xludf.DUMMYFUNCTION("MAX(FILTER($H$2:$H350,$E$2:$E350=F115))"),"#N/A")</f>
        <v>#N/A</v>
      </c>
    </row>
    <row r="116">
      <c r="A116" s="4"/>
      <c r="C116" s="4" t="s">
        <v>1261</v>
      </c>
      <c r="D116" s="4" t="str">
        <f t="shared" si="1"/>
        <v>{"valorA":"faca","valorB":1.0}</v>
      </c>
      <c r="E116" s="8" t="str">
        <f t="shared" si="2"/>
        <v>faca</v>
      </c>
      <c r="F116" s="8"/>
      <c r="G116" s="8" t="str">
        <f t="shared" si="3"/>
        <v>1.0</v>
      </c>
      <c r="H116" s="9">
        <f t="shared" si="4"/>
        <v>1</v>
      </c>
      <c r="I116" s="6" t="str">
        <f>IFERROR(__xludf.DUMMYFUNCTION("MAX(FILTER($H$2:$H350,$E$2:$E350=F116))"),"#N/A")</f>
        <v>#N/A</v>
      </c>
    </row>
    <row r="117">
      <c r="A117" s="4"/>
      <c r="C117" s="4" t="s">
        <v>274</v>
      </c>
      <c r="D117" s="4" t="str">
        <f t="shared" si="1"/>
        <v>{"valorA":"muito","valorB":7.0}</v>
      </c>
      <c r="E117" s="8" t="str">
        <f t="shared" si="2"/>
        <v>muito</v>
      </c>
      <c r="F117" s="8"/>
      <c r="G117" s="8" t="str">
        <f t="shared" si="3"/>
        <v>7.0</v>
      </c>
      <c r="H117" s="9">
        <f t="shared" si="4"/>
        <v>7</v>
      </c>
      <c r="I117" s="6" t="str">
        <f>IFERROR(__xludf.DUMMYFUNCTION("MAX(FILTER($H$2:$H350,$E$2:$E350=F117))"),"#N/A")</f>
        <v>#N/A</v>
      </c>
    </row>
    <row r="118">
      <c r="A118" s="4"/>
      <c r="C118" s="4" t="s">
        <v>320</v>
      </c>
      <c r="D118" s="4" t="str">
        <f t="shared" si="1"/>
        <v>{"valorA":"a","valorB":3.0}</v>
      </c>
      <c r="E118" s="8" t="str">
        <f t="shared" si="2"/>
        <v>a</v>
      </c>
      <c r="F118" s="8"/>
      <c r="G118" s="8" t="str">
        <f t="shared" si="3"/>
        <v>3.0</v>
      </c>
      <c r="H118" s="9">
        <f t="shared" si="4"/>
        <v>3</v>
      </c>
      <c r="I118" s="6" t="str">
        <f>IFERROR(__xludf.DUMMYFUNCTION("MAX(FILTER($H$2:$H350,$E$2:$E350=F118))"),"#N/A")</f>
        <v>#N/A</v>
      </c>
    </row>
    <row r="119">
      <c r="A119" s="4"/>
      <c r="C119" s="4" t="s">
        <v>235</v>
      </c>
      <c r="D119" s="4" t="str">
        <f t="shared" si="1"/>
        <v>{"valorA":"recomendo","valorB":1.0}</v>
      </c>
      <c r="E119" s="8" t="str">
        <f t="shared" si="2"/>
        <v>recomendo</v>
      </c>
      <c r="F119" s="8"/>
      <c r="G119" s="8" t="str">
        <f t="shared" si="3"/>
        <v>1.0</v>
      </c>
      <c r="H119" s="9">
        <f t="shared" si="4"/>
        <v>1</v>
      </c>
      <c r="I119" s="6" t="str">
        <f>IFERROR(__xludf.DUMMYFUNCTION("MAX(FILTER($H$2:$H350,$E$2:$E350=F119))"),"#N/A")</f>
        <v>#N/A</v>
      </c>
    </row>
    <row r="120">
      <c r="A120" s="4"/>
      <c r="C120" s="4" t="s">
        <v>634</v>
      </c>
      <c r="D120" s="4" t="str">
        <f t="shared" si="1"/>
        <v>{"valorA":"bem","valorB":2.0}</v>
      </c>
      <c r="E120" s="8" t="str">
        <f t="shared" si="2"/>
        <v>bem</v>
      </c>
      <c r="F120" s="8"/>
      <c r="G120" s="8" t="str">
        <f t="shared" si="3"/>
        <v>2.0</v>
      </c>
      <c r="H120" s="9">
        <f t="shared" si="4"/>
        <v>2</v>
      </c>
      <c r="I120" s="6" t="str">
        <f>IFERROR(__xludf.DUMMYFUNCTION("MAX(FILTER($H$2:$H350,$E$2:$E350=F120))"),"#N/A")</f>
        <v>#N/A</v>
      </c>
    </row>
    <row r="121">
      <c r="A121" s="4"/>
      <c r="C121" s="4" t="s">
        <v>203</v>
      </c>
      <c r="D121" s="4" t="str">
        <f t="shared" si="1"/>
        <v>{"valorA":"por","valorB":1.0}</v>
      </c>
      <c r="E121" s="8" t="str">
        <f t="shared" si="2"/>
        <v>por</v>
      </c>
      <c r="F121" s="8"/>
      <c r="G121" s="8" t="str">
        <f t="shared" si="3"/>
        <v>1.0</v>
      </c>
      <c r="H121" s="9">
        <f t="shared" si="4"/>
        <v>1</v>
      </c>
      <c r="I121" s="6" t="str">
        <f>IFERROR(__xludf.DUMMYFUNCTION("MAX(FILTER($H$2:$H350,$E$2:$E350=F121))"),"#N/A")</f>
        <v>#N/A</v>
      </c>
    </row>
    <row r="122">
      <c r="A122" s="4"/>
      <c r="C122" s="4" t="s">
        <v>282</v>
      </c>
      <c r="D122" s="4" t="str">
        <f t="shared" si="1"/>
        <v>{"valorA":"produto","valorB":12.0}</v>
      </c>
      <c r="E122" s="8" t="str">
        <f t="shared" si="2"/>
        <v>produto</v>
      </c>
      <c r="F122" s="8"/>
      <c r="G122" s="8" t="str">
        <f t="shared" si="3"/>
        <v>12.0</v>
      </c>
      <c r="H122" s="9">
        <f t="shared" si="4"/>
        <v>12</v>
      </c>
      <c r="I122" s="6" t="str">
        <f>IFERROR(__xludf.DUMMYFUNCTION("MAX(FILTER($H$2:$H350,$E$2:$E350=F122))"),"#N/A")</f>
        <v>#N/A</v>
      </c>
    </row>
    <row r="123">
      <c r="A123" s="4"/>
      <c r="C123" s="4" t="s">
        <v>645</v>
      </c>
      <c r="D123" s="4" t="str">
        <f t="shared" si="1"/>
        <v>{"valorA":"ótimo","valorB":16.0}</v>
      </c>
      <c r="E123" s="8" t="str">
        <f t="shared" si="2"/>
        <v>ótimo</v>
      </c>
      <c r="F123" s="8"/>
      <c r="G123" s="8" t="str">
        <f t="shared" si="3"/>
        <v>16.0</v>
      </c>
      <c r="H123" s="9">
        <f t="shared" si="4"/>
        <v>16</v>
      </c>
      <c r="I123" s="6" t="str">
        <f>IFERROR(__xludf.DUMMYFUNCTION("MAX(FILTER($H$2:$H350,$E$2:$E350=F123))"),"#N/A")</f>
        <v>#N/A</v>
      </c>
    </row>
    <row r="124">
      <c r="A124" s="4"/>
      <c r="C124" s="4" t="s">
        <v>1262</v>
      </c>
      <c r="D124" s="4" t="str">
        <f t="shared" si="1"/>
        <v>{"valorA":"pouco","valorB":1.0}</v>
      </c>
      <c r="E124" s="8" t="str">
        <f t="shared" si="2"/>
        <v>pouco</v>
      </c>
      <c r="F124" s="8"/>
      <c r="G124" s="8" t="str">
        <f t="shared" si="3"/>
        <v>1.0</v>
      </c>
      <c r="H124" s="9">
        <f t="shared" si="4"/>
        <v>1</v>
      </c>
      <c r="I124" s="6" t="str">
        <f>IFERROR(__xludf.DUMMYFUNCTION("MAX(FILTER($H$2:$H350,$E$2:$E350=F124))"),"#N/A")</f>
        <v>#N/A</v>
      </c>
    </row>
    <row r="125">
      <c r="A125" s="4"/>
      <c r="C125" s="4" t="s">
        <v>595</v>
      </c>
      <c r="D125" s="4" t="str">
        <f t="shared" si="1"/>
        <v>{"valorA":"paguei","valorB":2.0}</v>
      </c>
      <c r="E125" s="8" t="str">
        <f t="shared" si="2"/>
        <v>paguei</v>
      </c>
      <c r="F125" s="8"/>
      <c r="G125" s="8" t="str">
        <f t="shared" si="3"/>
        <v>2.0</v>
      </c>
      <c r="H125" s="9">
        <f t="shared" si="4"/>
        <v>2</v>
      </c>
      <c r="I125" s="6" t="str">
        <f>IFERROR(__xludf.DUMMYFUNCTION("MAX(FILTER($H$2:$H350,$E$2:$E350=F125))"),"#N/A")</f>
        <v>#N/A</v>
      </c>
    </row>
    <row r="126">
      <c r="A126" s="4"/>
      <c r="C126" s="4" t="s">
        <v>300</v>
      </c>
      <c r="D126" s="4" t="str">
        <f t="shared" si="1"/>
        <v>{"valorA":"muito","valorB":8.0}</v>
      </c>
      <c r="E126" s="8" t="str">
        <f t="shared" si="2"/>
        <v>muito</v>
      </c>
      <c r="F126" s="8"/>
      <c r="G126" s="8" t="str">
        <f t="shared" si="3"/>
        <v>8.0</v>
      </c>
      <c r="H126" s="9">
        <f t="shared" si="4"/>
        <v>8</v>
      </c>
      <c r="I126" s="6" t="str">
        <f>IFERROR(__xludf.DUMMYFUNCTION("MAX(FILTER($H$2:$H350,$E$2:$E350=F126))"),"#N/A")</f>
        <v>#N/A</v>
      </c>
    </row>
    <row r="127">
      <c r="A127" s="4"/>
      <c r="C127" s="4" t="s">
        <v>1263</v>
      </c>
      <c r="D127" s="4" t="str">
        <f t="shared" si="1"/>
        <v>{"valorA":"isso","valorB":1.0}</v>
      </c>
      <c r="E127" s="8" t="str">
        <f t="shared" si="2"/>
        <v>isso</v>
      </c>
      <c r="F127" s="8"/>
      <c r="G127" s="8" t="str">
        <f t="shared" si="3"/>
        <v>1.0</v>
      </c>
      <c r="H127" s="9">
        <f t="shared" si="4"/>
        <v>1</v>
      </c>
      <c r="I127" s="6" t="str">
        <f>IFERROR(__xludf.DUMMYFUNCTION("MAX(FILTER($H$2:$H350,$E$2:$E350=F127))"),"#N/A")</f>
        <v>#N/A</v>
      </c>
    </row>
    <row r="128">
      <c r="A128" s="4"/>
      <c r="C128" s="4" t="s">
        <v>418</v>
      </c>
      <c r="D128" s="4" t="str">
        <f t="shared" si="1"/>
        <v>{"valorA":"relojoeira","valorB":2.0}</v>
      </c>
      <c r="E128" s="8" t="str">
        <f t="shared" si="2"/>
        <v>relojoeira</v>
      </c>
      <c r="F128" s="8"/>
      <c r="G128" s="8" t="str">
        <f t="shared" si="3"/>
        <v>2.0</v>
      </c>
      <c r="H128" s="9">
        <f t="shared" si="4"/>
        <v>2</v>
      </c>
      <c r="I128" s="6" t="str">
        <f>IFERROR(__xludf.DUMMYFUNCTION("MAX(FILTER($H$2:$H350,$E$2:$E350=F128))"),"#N/A")</f>
        <v>#N/A</v>
      </c>
    </row>
    <row r="129">
      <c r="A129" s="4"/>
      <c r="C129" s="4" t="s">
        <v>384</v>
      </c>
      <c r="D129" s="4" t="str">
        <f t="shared" si="1"/>
        <v>{"valorA":"é","valorB":9.0}</v>
      </c>
      <c r="E129" s="8" t="str">
        <f t="shared" si="2"/>
        <v>é</v>
      </c>
      <c r="F129" s="8"/>
      <c r="G129" s="8" t="str">
        <f t="shared" si="3"/>
        <v>9.0</v>
      </c>
      <c r="H129" s="9">
        <f t="shared" si="4"/>
        <v>9</v>
      </c>
      <c r="I129" s="6" t="str">
        <f>IFERROR(__xludf.DUMMYFUNCTION("MAX(FILTER($H$2:$H350,$E$2:$E350=F129))"),"#N/A")</f>
        <v>#N/A</v>
      </c>
    </row>
    <row r="130">
      <c r="A130" s="4"/>
      <c r="C130" s="4" t="s">
        <v>831</v>
      </c>
      <c r="D130" s="4" t="str">
        <f t="shared" si="1"/>
        <v>{"valorA":"meu","valorB":5.0}</v>
      </c>
      <c r="E130" s="8" t="str">
        <f t="shared" si="2"/>
        <v>meu</v>
      </c>
      <c r="F130" s="8"/>
      <c r="G130" s="8" t="str">
        <f t="shared" si="3"/>
        <v>5.0</v>
      </c>
      <c r="H130" s="9">
        <f t="shared" si="4"/>
        <v>5</v>
      </c>
      <c r="I130" s="6" t="str">
        <f>IFERROR(__xludf.DUMMYFUNCTION("MAX(FILTER($H$2:$H350,$E$2:$E350=F130))"),"#N/A")</f>
        <v>#N/A</v>
      </c>
    </row>
    <row r="131">
      <c r="A131" s="4"/>
      <c r="C131" s="4" t="s">
        <v>1264</v>
      </c>
      <c r="D131" s="4" t="str">
        <f t="shared" si="1"/>
        <v>{"valorA":"incrível","valorB":5.0}</v>
      </c>
      <c r="E131" s="8" t="str">
        <f t="shared" si="2"/>
        <v>incrível</v>
      </c>
      <c r="F131" s="8"/>
      <c r="G131" s="8" t="str">
        <f t="shared" si="3"/>
        <v>5.0</v>
      </c>
      <c r="H131" s="9">
        <f t="shared" si="4"/>
        <v>5</v>
      </c>
      <c r="I131" s="6" t="str">
        <f>IFERROR(__xludf.DUMMYFUNCTION("MAX(FILTER($H$2:$H350,$E$2:$E350=F131))"),"#N/A")</f>
        <v>#N/A</v>
      </c>
    </row>
    <row r="132">
      <c r="A132" s="4"/>
      <c r="C132" s="4" t="s">
        <v>1265</v>
      </c>
      <c r="D132" s="4" t="str">
        <f t="shared" si="1"/>
        <v>{"valorA":"satisfecho","valorB":1.0}</v>
      </c>
      <c r="E132" s="8" t="str">
        <f t="shared" si="2"/>
        <v>satisfecho</v>
      </c>
      <c r="F132" s="8"/>
      <c r="G132" s="8" t="str">
        <f t="shared" si="3"/>
        <v>1.0</v>
      </c>
      <c r="H132" s="9">
        <f t="shared" si="4"/>
        <v>1</v>
      </c>
      <c r="I132" s="6" t="str">
        <f>IFERROR(__xludf.DUMMYFUNCTION("MAX(FILTER($H$2:$H350,$E$2:$E350=F132))"),"#N/A")</f>
        <v>#N/A</v>
      </c>
    </row>
    <row r="133">
      <c r="A133" s="4"/>
      <c r="C133" s="4" t="s">
        <v>1266</v>
      </c>
      <c r="D133" s="4" t="str">
        <f t="shared" si="1"/>
        <v>{"valorA":"carro","valorB":4.0}</v>
      </c>
      <c r="E133" s="8" t="str">
        <f t="shared" si="2"/>
        <v>carro</v>
      </c>
      <c r="F133" s="8"/>
      <c r="G133" s="8" t="str">
        <f t="shared" si="3"/>
        <v>4.0</v>
      </c>
      <c r="H133" s="9">
        <f t="shared" si="4"/>
        <v>4</v>
      </c>
      <c r="I133" s="6" t="str">
        <f>IFERROR(__xludf.DUMMYFUNCTION("MAX(FILTER($H$2:$H350,$E$2:$E350=F133))"),"#N/A")</f>
        <v>#N/A</v>
      </c>
    </row>
    <row r="134">
      <c r="A134" s="4"/>
      <c r="C134" s="4" t="s">
        <v>392</v>
      </c>
      <c r="D134" s="4" t="str">
        <f t="shared" si="1"/>
        <v>{"valorA":"do","valorB":2.0}</v>
      </c>
      <c r="E134" s="8" t="str">
        <f t="shared" si="2"/>
        <v>do</v>
      </c>
      <c r="F134" s="8"/>
      <c r="G134" s="8" t="str">
        <f t="shared" si="3"/>
        <v>2.0</v>
      </c>
      <c r="H134" s="9">
        <f t="shared" si="4"/>
        <v>2</v>
      </c>
      <c r="I134" s="6" t="str">
        <f>IFERROR(__xludf.DUMMYFUNCTION("MAX(FILTER($H$2:$H350,$E$2:$E350=F134))"),"#N/A")</f>
        <v>#N/A</v>
      </c>
    </row>
    <row r="135">
      <c r="A135" s="4"/>
      <c r="C135" s="4" t="s">
        <v>661</v>
      </c>
      <c r="D135" s="4" t="str">
        <f t="shared" si="1"/>
        <v>{"valorA":"produto","valorB":13.0}</v>
      </c>
      <c r="E135" s="8" t="str">
        <f t="shared" si="2"/>
        <v>produto</v>
      </c>
      <c r="F135" s="8"/>
      <c r="G135" s="8" t="str">
        <f t="shared" si="3"/>
        <v>13.0</v>
      </c>
      <c r="H135" s="9">
        <f t="shared" si="4"/>
        <v>13</v>
      </c>
      <c r="I135" s="6" t="str">
        <f>IFERROR(__xludf.DUMMYFUNCTION("MAX(FILTER($H$2:$H350,$E$2:$E350=F135))"),"#N/A")</f>
        <v>#N/A</v>
      </c>
    </row>
    <row r="136">
      <c r="A136" s="4"/>
      <c r="C136" s="4" t="s">
        <v>316</v>
      </c>
      <c r="D136" s="4" t="str">
        <f t="shared" si="1"/>
        <v>{"valorA":"gostei","valorB":3.0}</v>
      </c>
      <c r="E136" s="8" t="str">
        <f t="shared" si="2"/>
        <v>gostei</v>
      </c>
      <c r="F136" s="8"/>
      <c r="G136" s="8" t="str">
        <f t="shared" si="3"/>
        <v>3.0</v>
      </c>
      <c r="H136" s="9">
        <f t="shared" si="4"/>
        <v>3</v>
      </c>
      <c r="I136" s="6" t="str">
        <f>IFERROR(__xludf.DUMMYFUNCTION("MAX(FILTER($H$2:$H350,$E$2:$E350=F136))"),"#N/A")</f>
        <v>#N/A</v>
      </c>
    </row>
    <row r="137">
      <c r="A137" s="4"/>
      <c r="C137" s="4" t="s">
        <v>658</v>
      </c>
      <c r="D137" s="4" t="str">
        <f t="shared" si="1"/>
        <v>{"valorA":"ótimo","valorB":18.0}</v>
      </c>
      <c r="E137" s="8" t="str">
        <f t="shared" si="2"/>
        <v>ótimo</v>
      </c>
      <c r="F137" s="8"/>
      <c r="G137" s="8" t="str">
        <f t="shared" si="3"/>
        <v>18.0</v>
      </c>
      <c r="H137" s="9">
        <f t="shared" si="4"/>
        <v>18</v>
      </c>
      <c r="I137" s="6" t="str">
        <f>IFERROR(__xludf.DUMMYFUNCTION("MAX(FILTER($H$2:$H350,$E$2:$E350=F137))"),"#N/A")</f>
        <v>#N/A</v>
      </c>
    </row>
    <row r="138">
      <c r="A138" s="4"/>
      <c r="C138" s="4" t="s">
        <v>287</v>
      </c>
      <c r="D138" s="4" t="str">
        <f t="shared" si="1"/>
        <v>{"valorA":"perfeitamente","valorB":4.0}</v>
      </c>
      <c r="E138" s="8" t="str">
        <f t="shared" si="2"/>
        <v>perfeitamente</v>
      </c>
      <c r="F138" s="8"/>
      <c r="G138" s="8" t="str">
        <f t="shared" si="3"/>
        <v>4.0</v>
      </c>
      <c r="H138" s="9">
        <f t="shared" si="4"/>
        <v>4</v>
      </c>
      <c r="I138" s="6" t="str">
        <f>IFERROR(__xludf.DUMMYFUNCTION("MAX(FILTER($H$2:$H350,$E$2:$E350=F138))"),"#N/A")</f>
        <v>#N/A</v>
      </c>
    </row>
    <row r="139">
      <c r="A139" s="4"/>
      <c r="C139" s="4" t="s">
        <v>339</v>
      </c>
      <c r="D139" s="4" t="str">
        <f t="shared" si="1"/>
        <v>{"valorA":"muito","valorB":10.0}</v>
      </c>
      <c r="E139" s="8" t="str">
        <f t="shared" si="2"/>
        <v>muito</v>
      </c>
      <c r="F139" s="8"/>
      <c r="G139" s="8" t="str">
        <f t="shared" si="3"/>
        <v>10.0</v>
      </c>
      <c r="H139" s="9">
        <f t="shared" si="4"/>
        <v>10</v>
      </c>
      <c r="I139" s="6" t="str">
        <f>IFERROR(__xludf.DUMMYFUNCTION("MAX(FILTER($H$2:$H350,$E$2:$E350=F139))"),"#N/A")</f>
        <v>#N/A</v>
      </c>
    </row>
    <row r="140">
      <c r="A140" s="4"/>
      <c r="C140" s="4" t="s">
        <v>1267</v>
      </c>
      <c r="D140" s="4" t="str">
        <f t="shared" si="1"/>
        <v>{"valorA":"novo","valorB":4.0}</v>
      </c>
      <c r="E140" s="8" t="str">
        <f t="shared" si="2"/>
        <v>novo</v>
      </c>
      <c r="F140" s="8"/>
      <c r="G140" s="8" t="str">
        <f t="shared" si="3"/>
        <v>4.0</v>
      </c>
      <c r="H140" s="9">
        <f t="shared" si="4"/>
        <v>4</v>
      </c>
      <c r="I140" s="6" t="str">
        <f>IFERROR(__xludf.DUMMYFUNCTION("MAX(FILTER($H$2:$H350,$E$2:$E350=F140))"),"#N/A")</f>
        <v>#N/A</v>
      </c>
    </row>
    <row r="141">
      <c r="A141" s="4"/>
      <c r="C141" s="4" t="s">
        <v>303</v>
      </c>
      <c r="D141" s="4" t="str">
        <f t="shared" si="1"/>
        <v>{"valorA":"funciona","valorB":5.0}</v>
      </c>
      <c r="E141" s="8" t="str">
        <f t="shared" si="2"/>
        <v>funciona</v>
      </c>
      <c r="F141" s="8"/>
      <c r="G141" s="8" t="str">
        <f t="shared" si="3"/>
        <v>5.0</v>
      </c>
      <c r="H141" s="9">
        <f t="shared" si="4"/>
        <v>5</v>
      </c>
      <c r="I141" s="6" t="str">
        <f>IFERROR(__xludf.DUMMYFUNCTION("MAX(FILTER($H$2:$H350,$E$2:$E350=F141))"),"#N/A")</f>
        <v>#N/A</v>
      </c>
    </row>
    <row r="142">
      <c r="A142" s="4"/>
      <c r="C142" s="4" t="s">
        <v>1268</v>
      </c>
      <c r="D142" s="4" t="str">
        <f t="shared" si="1"/>
        <v>{"valorA":"preço","valorB":2.0}</v>
      </c>
      <c r="E142" s="8" t="str">
        <f t="shared" si="2"/>
        <v>preço</v>
      </c>
      <c r="F142" s="8"/>
      <c r="G142" s="8" t="str">
        <f t="shared" si="3"/>
        <v>2.0</v>
      </c>
      <c r="H142" s="9">
        <f t="shared" si="4"/>
        <v>2</v>
      </c>
      <c r="I142" s="6" t="str">
        <f>IFERROR(__xludf.DUMMYFUNCTION("MAX(FILTER($H$2:$H350,$E$2:$E350=F142))"),"#N/A")</f>
        <v>#N/A</v>
      </c>
    </row>
    <row r="143">
      <c r="A143" s="4"/>
      <c r="C143" s="4" t="s">
        <v>420</v>
      </c>
      <c r="D143" s="4" t="str">
        <f t="shared" si="1"/>
        <v>{"valorA":"é","valorB":10.0}</v>
      </c>
      <c r="E143" s="8" t="str">
        <f t="shared" si="2"/>
        <v>é</v>
      </c>
      <c r="F143" s="8"/>
      <c r="G143" s="8" t="str">
        <f t="shared" si="3"/>
        <v>10.0</v>
      </c>
      <c r="H143" s="9">
        <f t="shared" si="4"/>
        <v>10</v>
      </c>
      <c r="I143" s="6" t="str">
        <f>IFERROR(__xludf.DUMMYFUNCTION("MAX(FILTER($H$2:$H350,$E$2:$E350=F143))"),"#N/A")</f>
        <v>#N/A</v>
      </c>
    </row>
    <row r="144">
      <c r="A144" s="4"/>
      <c r="C144" s="4" t="s">
        <v>1269</v>
      </c>
      <c r="D144" s="4" t="str">
        <f t="shared" si="1"/>
        <v>{"valorA":"confiável","valorB":1.0}</v>
      </c>
      <c r="E144" s="8" t="str">
        <f t="shared" si="2"/>
        <v>confiável</v>
      </c>
      <c r="F144" s="8"/>
      <c r="G144" s="8" t="str">
        <f t="shared" si="3"/>
        <v>1.0</v>
      </c>
      <c r="H144" s="9">
        <f t="shared" si="4"/>
        <v>1</v>
      </c>
      <c r="I144" s="6" t="str">
        <f>IFERROR(__xludf.DUMMYFUNCTION("MAX(FILTER($H$2:$H350,$E$2:$E350=F144))"),"#N/A")</f>
        <v>#N/A</v>
      </c>
    </row>
    <row r="145">
      <c r="A145" s="4"/>
      <c r="C145" s="4" t="s">
        <v>251</v>
      </c>
      <c r="D145" s="4" t="str">
        <f t="shared" si="1"/>
        <v>{"valorA":"vida","valorB":1.0}</v>
      </c>
      <c r="E145" s="8" t="str">
        <f t="shared" si="2"/>
        <v>vida</v>
      </c>
      <c r="F145" s="8"/>
      <c r="G145" s="8" t="str">
        <f t="shared" si="3"/>
        <v>1.0</v>
      </c>
      <c r="H145" s="9">
        <f t="shared" si="4"/>
        <v>1</v>
      </c>
      <c r="I145" s="6" t="str">
        <f>IFERROR(__xludf.DUMMYFUNCTION("MAX(FILTER($H$2:$H350,$E$2:$E350=F145))"),"#N/A")</f>
        <v>#N/A</v>
      </c>
    </row>
    <row r="146">
      <c r="A146" s="4"/>
      <c r="C146" s="4" t="s">
        <v>1270</v>
      </c>
      <c r="D146" s="4" t="str">
        <f t="shared" si="1"/>
        <v>{"valorA":"melhorar","valorB":1.0}</v>
      </c>
      <c r="E146" s="8" t="str">
        <f t="shared" si="2"/>
        <v>melhorar</v>
      </c>
      <c r="F146" s="8"/>
      <c r="G146" s="8" t="str">
        <f t="shared" si="3"/>
        <v>1.0</v>
      </c>
      <c r="H146" s="9">
        <f t="shared" si="4"/>
        <v>1</v>
      </c>
      <c r="I146" s="6" t="str">
        <f>IFERROR(__xludf.DUMMYFUNCTION("MAX(FILTER($H$2:$H350,$E$2:$E350=F146))"),"#N/A")</f>
        <v>#N/A</v>
      </c>
    </row>
    <row r="147">
      <c r="A147" s="4"/>
      <c r="C147" s="4" t="s">
        <v>268</v>
      </c>
      <c r="D147" s="4" t="str">
        <f t="shared" si="1"/>
        <v>{"valorA":"bem","valorB":3.0}</v>
      </c>
      <c r="E147" s="8" t="str">
        <f t="shared" si="2"/>
        <v>bem</v>
      </c>
      <c r="F147" s="8"/>
      <c r="G147" s="8" t="str">
        <f t="shared" si="3"/>
        <v>3.0</v>
      </c>
      <c r="H147" s="9">
        <f t="shared" si="4"/>
        <v>3</v>
      </c>
      <c r="I147" s="6" t="str">
        <f>IFERROR(__xludf.DUMMYFUNCTION("MAX(FILTER($H$2:$H350,$E$2:$E350=F147))"),"#N/A")</f>
        <v>#N/A</v>
      </c>
    </row>
    <row r="148">
      <c r="A148" s="4"/>
      <c r="C148" s="4" t="s">
        <v>371</v>
      </c>
      <c r="D148" s="4" t="str">
        <f t="shared" si="1"/>
        <v>{"valorA":"e","valorB":6.0}</v>
      </c>
      <c r="E148" s="8" t="str">
        <f t="shared" si="2"/>
        <v>e</v>
      </c>
      <c r="F148" s="8"/>
      <c r="G148" s="8" t="str">
        <f t="shared" si="3"/>
        <v>6.0</v>
      </c>
      <c r="H148" s="9">
        <f t="shared" si="4"/>
        <v>6</v>
      </c>
      <c r="I148" s="6" t="str">
        <f>IFERROR(__xludf.DUMMYFUNCTION("MAX(FILTER($H$2:$H350,$E$2:$E350=F148))"),"#N/A")</f>
        <v>#N/A</v>
      </c>
    </row>
    <row r="149">
      <c r="A149" s="4"/>
      <c r="C149" s="4" t="s">
        <v>256</v>
      </c>
      <c r="D149" s="4" t="str">
        <f t="shared" si="1"/>
        <v>{"valorA":"ajudou","valorB":1.0}</v>
      </c>
      <c r="E149" s="8" t="str">
        <f t="shared" si="2"/>
        <v>ajudou</v>
      </c>
      <c r="F149" s="8"/>
      <c r="G149" s="8" t="str">
        <f t="shared" si="3"/>
        <v>1.0</v>
      </c>
      <c r="H149" s="9">
        <f t="shared" si="4"/>
        <v>1</v>
      </c>
      <c r="I149" s="6" t="str">
        <f>IFERROR(__xludf.DUMMYFUNCTION("MAX(FILTER($H$2:$H350,$E$2:$E350=F149))"),"#N/A")</f>
        <v>#N/A</v>
      </c>
    </row>
    <row r="150">
      <c r="A150" s="4"/>
      <c r="C150" s="4" t="s">
        <v>684</v>
      </c>
      <c r="D150" s="4" t="str">
        <f t="shared" si="1"/>
        <v>{"valorA":"produto","valorB":15.0}</v>
      </c>
      <c r="E150" s="8" t="str">
        <f t="shared" si="2"/>
        <v>produto</v>
      </c>
      <c r="F150" s="8"/>
      <c r="G150" s="8" t="str">
        <f t="shared" si="3"/>
        <v>15.0</v>
      </c>
      <c r="H150" s="9">
        <f t="shared" si="4"/>
        <v>15</v>
      </c>
      <c r="I150" s="6" t="str">
        <f>IFERROR(__xludf.DUMMYFUNCTION("MAX(FILTER($H$2:$H350,$E$2:$E350=F150))"),"#N/A")</f>
        <v>#N/A</v>
      </c>
    </row>
    <row r="151">
      <c r="A151" s="4"/>
      <c r="C151" s="4" t="s">
        <v>243</v>
      </c>
      <c r="D151" s="4" t="str">
        <f t="shared" si="1"/>
        <v>{"valorA":"esse","valorB":3.0}</v>
      </c>
      <c r="E151" s="8" t="str">
        <f t="shared" si="2"/>
        <v>esse</v>
      </c>
      <c r="F151" s="8"/>
      <c r="G151" s="8" t="str">
        <f t="shared" si="3"/>
        <v>3.0</v>
      </c>
      <c r="H151" s="9">
        <f t="shared" si="4"/>
        <v>3</v>
      </c>
      <c r="I151" s="6" t="str">
        <f>IFERROR(__xludf.DUMMYFUNCTION("MAX(FILTER($H$2:$H350,$E$2:$E350=F151))"),"#N/A")</f>
        <v>#N/A</v>
      </c>
    </row>
    <row r="152">
      <c r="A152" s="4"/>
      <c r="C152" s="4" t="s">
        <v>671</v>
      </c>
      <c r="D152" s="4" t="str">
        <f t="shared" si="1"/>
        <v>{"valorA":"ótimo","valorB":20.0}</v>
      </c>
      <c r="E152" s="8" t="str">
        <f t="shared" si="2"/>
        <v>ótimo</v>
      </c>
      <c r="F152" s="8"/>
      <c r="G152" s="8" t="str">
        <f t="shared" si="3"/>
        <v>20.0</v>
      </c>
      <c r="H152" s="9">
        <f t="shared" si="4"/>
        <v>20</v>
      </c>
      <c r="I152" s="6" t="str">
        <f>IFERROR(__xludf.DUMMYFUNCTION("MAX(FILTER($H$2:$H350,$E$2:$E350=F152))"),"#N/A")</f>
        <v>#N/A</v>
      </c>
    </row>
    <row r="153">
      <c r="A153" s="4"/>
      <c r="C153" s="4" t="s">
        <v>486</v>
      </c>
      <c r="D153" s="4" t="str">
        <f t="shared" si="1"/>
        <v>{"valorA":"refrigerante","valorB":1.0}</v>
      </c>
      <c r="E153" s="8" t="str">
        <f t="shared" si="2"/>
        <v>refrigerante</v>
      </c>
      <c r="F153" s="8"/>
      <c r="G153" s="8" t="str">
        <f t="shared" si="3"/>
        <v>1.0</v>
      </c>
      <c r="H153" s="9">
        <f t="shared" si="4"/>
        <v>1</v>
      </c>
      <c r="I153" s="6" t="str">
        <f>IFERROR(__xludf.DUMMYFUNCTION("MAX(FILTER($H$2:$H350,$E$2:$E350=F153))"),"#N/A")</f>
        <v>#N/A</v>
      </c>
    </row>
    <row r="154">
      <c r="A154" s="4"/>
      <c r="C154" s="4" t="s">
        <v>465</v>
      </c>
      <c r="D154" s="4" t="str">
        <f t="shared" si="1"/>
        <v>{"valorA":"realmente","valorB":4.0}</v>
      </c>
      <c r="E154" s="8" t="str">
        <f t="shared" si="2"/>
        <v>realmente</v>
      </c>
      <c r="F154" s="8"/>
      <c r="G154" s="8" t="str">
        <f t="shared" si="3"/>
        <v>4.0</v>
      </c>
      <c r="H154" s="9">
        <f t="shared" si="4"/>
        <v>4</v>
      </c>
      <c r="I154" s="6" t="str">
        <f>IFERROR(__xludf.DUMMYFUNCTION("MAX(FILTER($H$2:$H350,$E$2:$E350=F154))"),"#N/A")</f>
        <v>#N/A</v>
      </c>
    </row>
    <row r="155">
      <c r="A155" s="4"/>
      <c r="C155" s="4" t="s">
        <v>342</v>
      </c>
      <c r="D155" s="4" t="str">
        <f t="shared" si="1"/>
        <v>{"valorA":"a","valorB":4.0}</v>
      </c>
      <c r="E155" s="8" t="str">
        <f t="shared" si="2"/>
        <v>a</v>
      </c>
      <c r="F155" s="8"/>
      <c r="G155" s="8" t="str">
        <f t="shared" si="3"/>
        <v>4.0</v>
      </c>
      <c r="H155" s="9">
        <f t="shared" si="4"/>
        <v>4</v>
      </c>
      <c r="I155" s="6" t="str">
        <f>IFERROR(__xludf.DUMMYFUNCTION("MAX(FILTER($H$2:$H350,$E$2:$E350=F155))"),"#N/A")</f>
        <v>#N/A</v>
      </c>
    </row>
    <row r="156">
      <c r="A156" s="4"/>
      <c r="C156" s="4" t="s">
        <v>1271</v>
      </c>
      <c r="D156" s="4" t="str">
        <f t="shared" si="1"/>
        <v>{"valorA":"cotidiana","valorB":1.0}</v>
      </c>
      <c r="E156" s="8" t="str">
        <f t="shared" si="2"/>
        <v>cotidiana</v>
      </c>
      <c r="F156" s="8"/>
      <c r="G156" s="8" t="str">
        <f t="shared" si="3"/>
        <v>1.0</v>
      </c>
      <c r="H156" s="9">
        <f t="shared" si="4"/>
        <v>1</v>
      </c>
      <c r="I156" s="6" t="str">
        <f>IFERROR(__xludf.DUMMYFUNCTION("MAX(FILTER($H$2:$H350,$E$2:$E350=F156))"),"#N/A")</f>
        <v>#N/A</v>
      </c>
    </row>
    <row r="157">
      <c r="A157" s="4"/>
      <c r="C157" s="4" t="s">
        <v>324</v>
      </c>
      <c r="D157" s="4" t="str">
        <f t="shared" si="1"/>
        <v>{"valorA":"funciona","valorB":6.0}</v>
      </c>
      <c r="E157" s="8" t="str">
        <f t="shared" si="2"/>
        <v>funciona</v>
      </c>
      <c r="F157" s="8"/>
      <c r="G157" s="8" t="str">
        <f t="shared" si="3"/>
        <v>6.0</v>
      </c>
      <c r="H157" s="9">
        <f t="shared" si="4"/>
        <v>6</v>
      </c>
      <c r="I157" s="6" t="str">
        <f>IFERROR(__xludf.DUMMYFUNCTION("MAX(FILTER($H$2:$H350,$E$2:$E350=F157))"),"#N/A")</f>
        <v>#N/A</v>
      </c>
    </row>
    <row r="158">
      <c r="A158" s="4"/>
      <c r="C158" s="4" t="s">
        <v>1272</v>
      </c>
      <c r="D158" s="4" t="str">
        <f t="shared" si="1"/>
        <v>{"valorA":"minha","valorB":2.0}</v>
      </c>
      <c r="E158" s="8" t="str">
        <f t="shared" si="2"/>
        <v>minha</v>
      </c>
      <c r="F158" s="8"/>
      <c r="G158" s="8" t="str">
        <f t="shared" si="3"/>
        <v>2.0</v>
      </c>
      <c r="H158" s="9">
        <f t="shared" si="4"/>
        <v>2</v>
      </c>
      <c r="I158" s="6" t="str">
        <f>IFERROR(__xludf.DUMMYFUNCTION("MAX(FILTER($H$2:$H350,$E$2:$E350=F158))"),"#N/A")</f>
        <v>#N/A</v>
      </c>
    </row>
    <row r="159">
      <c r="A159" s="4"/>
      <c r="C159" s="4" t="s">
        <v>218</v>
      </c>
      <c r="D159" s="4" t="str">
        <f t="shared" si="1"/>
        <v>{"valorA":"para","valorB":3.0}</v>
      </c>
      <c r="E159" s="8" t="str">
        <f t="shared" si="2"/>
        <v>para</v>
      </c>
      <c r="F159" s="8"/>
      <c r="G159" s="8" t="str">
        <f t="shared" si="3"/>
        <v>3.0</v>
      </c>
      <c r="H159" s="9">
        <f t="shared" si="4"/>
        <v>3</v>
      </c>
      <c r="I159" s="6" t="str">
        <f>IFERROR(__xludf.DUMMYFUNCTION("MAX(FILTER($H$2:$H350,$E$2:$E350=F159))"),"#N/A")</f>
        <v>#N/A</v>
      </c>
    </row>
    <row r="160">
      <c r="A160" s="4"/>
      <c r="C160" s="4" t="s">
        <v>277</v>
      </c>
      <c r="D160" s="4" t="str">
        <f t="shared" si="1"/>
        <v>{"valorA":"recomendo","valorB":2.0}</v>
      </c>
      <c r="E160" s="8" t="str">
        <f t="shared" si="2"/>
        <v>recomendo</v>
      </c>
      <c r="F160" s="8"/>
      <c r="G160" s="8" t="str">
        <f t="shared" si="3"/>
        <v>2.0</v>
      </c>
      <c r="H160" s="9">
        <f t="shared" si="4"/>
        <v>2</v>
      </c>
      <c r="I160" s="6" t="str">
        <f>IFERROR(__xludf.DUMMYFUNCTION("MAX(FILTER($H$2:$H350,$E$2:$E350=F160))"),"#N/A")</f>
        <v>#N/A</v>
      </c>
    </row>
    <row r="161">
      <c r="A161" s="4"/>
      <c r="C161" s="4" t="s">
        <v>179</v>
      </c>
      <c r="D161" s="4" t="str">
        <f t="shared" si="1"/>
        <v>{"valorA":"online","valorB":1.0}</v>
      </c>
      <c r="E161" s="8" t="str">
        <f t="shared" si="2"/>
        <v>online</v>
      </c>
      <c r="F161" s="8"/>
      <c r="G161" s="8" t="str">
        <f t="shared" si="3"/>
        <v>1.0</v>
      </c>
      <c r="H161" s="9">
        <f t="shared" si="4"/>
        <v>1</v>
      </c>
      <c r="I161" s="6" t="str">
        <f>IFERROR(__xludf.DUMMYFUNCTION("MAX(FILTER($H$2:$H350,$E$2:$E350=F161))"),"#N/A")</f>
        <v>#N/A</v>
      </c>
    </row>
    <row r="162">
      <c r="A162" s="4"/>
      <c r="C162" s="4" t="s">
        <v>1273</v>
      </c>
      <c r="D162" s="4" t="str">
        <f t="shared" si="1"/>
        <v>{"valorA":"praias","valorB":1.0}</v>
      </c>
      <c r="E162" s="8" t="str">
        <f t="shared" si="2"/>
        <v>praias</v>
      </c>
      <c r="F162" s="8"/>
      <c r="G162" s="8" t="str">
        <f t="shared" si="3"/>
        <v>1.0</v>
      </c>
      <c r="H162" s="9">
        <f t="shared" si="4"/>
        <v>1</v>
      </c>
      <c r="I162" s="6" t="str">
        <f>IFERROR(__xludf.DUMMYFUNCTION("MAX(FILTER($H$2:$H350,$E$2:$E350=F162))"),"#N/A")</f>
        <v>#N/A</v>
      </c>
    </row>
    <row r="163">
      <c r="A163" s="4"/>
      <c r="C163" s="4" t="s">
        <v>1274</v>
      </c>
      <c r="D163" s="4" t="str">
        <f t="shared" si="1"/>
        <v>{"valorA":"perfecto","valorB":1.0}</v>
      </c>
      <c r="E163" s="8" t="str">
        <f t="shared" si="2"/>
        <v>perfecto</v>
      </c>
      <c r="F163" s="8"/>
      <c r="G163" s="8" t="str">
        <f t="shared" si="3"/>
        <v>1.0</v>
      </c>
      <c r="H163" s="9">
        <f t="shared" si="4"/>
        <v>1</v>
      </c>
      <c r="I163" s="6" t="str">
        <f>IFERROR(__xludf.DUMMYFUNCTION("MAX(FILTER($H$2:$H350,$E$2:$E350=F163))"),"#N/A")</f>
        <v>#N/A</v>
      </c>
    </row>
    <row r="164">
      <c r="A164" s="4"/>
      <c r="C164" s="4" t="s">
        <v>1275</v>
      </c>
      <c r="D164" s="4" t="str">
        <f t="shared" si="1"/>
        <v>{"valorA":"setor","valorB":1.0}</v>
      </c>
      <c r="E164" s="8" t="str">
        <f t="shared" si="2"/>
        <v>setor</v>
      </c>
      <c r="F164" s="8"/>
      <c r="G164" s="8" t="str">
        <f t="shared" si="3"/>
        <v>1.0</v>
      </c>
      <c r="H164" s="9">
        <f t="shared" si="4"/>
        <v>1</v>
      </c>
      <c r="I164" s="6" t="str">
        <f>IFERROR(__xludf.DUMMYFUNCTION("MAX(FILTER($H$2:$H350,$E$2:$E350=F164))"),"#N/A")</f>
        <v>#N/A</v>
      </c>
    </row>
    <row r="165">
      <c r="A165" s="4"/>
      <c r="C165" s="4" t="s">
        <v>334</v>
      </c>
      <c r="D165" s="4" t="str">
        <f t="shared" si="1"/>
        <v>{"valorA":"produto","valorB":17.0}</v>
      </c>
      <c r="E165" s="8" t="str">
        <f t="shared" si="2"/>
        <v>produto</v>
      </c>
      <c r="F165" s="8"/>
      <c r="G165" s="8" t="str">
        <f t="shared" si="3"/>
        <v>17.0</v>
      </c>
      <c r="H165" s="9">
        <f t="shared" si="4"/>
        <v>17</v>
      </c>
      <c r="I165" s="6" t="str">
        <f>IFERROR(__xludf.DUMMYFUNCTION("MAX(FILTER($H$2:$H350,$E$2:$E350=F165))"),"#N/A")</f>
        <v>#N/A</v>
      </c>
    </row>
    <row r="166">
      <c r="A166" s="4"/>
      <c r="C166" s="4" t="s">
        <v>393</v>
      </c>
      <c r="D166" s="4" t="str">
        <f t="shared" si="1"/>
        <v>{"valorA":"gostei","valorB":4.0}</v>
      </c>
      <c r="E166" s="8" t="str">
        <f t="shared" si="2"/>
        <v>gostei</v>
      </c>
      <c r="F166" s="8"/>
      <c r="G166" s="8" t="str">
        <f t="shared" si="3"/>
        <v>4.0</v>
      </c>
      <c r="H166" s="9">
        <f t="shared" si="4"/>
        <v>4</v>
      </c>
      <c r="I166" s="6" t="str">
        <f>IFERROR(__xludf.DUMMYFUNCTION("MAX(FILTER($H$2:$H350,$E$2:$E350=F166))"),"#N/A")</f>
        <v>#N/A</v>
      </c>
    </row>
    <row r="167">
      <c r="A167" s="4"/>
      <c r="C167" s="4" t="s">
        <v>690</v>
      </c>
      <c r="D167" s="4" t="str">
        <f t="shared" si="1"/>
        <v>{"valorA":"ótimo","valorB":23.0}</v>
      </c>
      <c r="E167" s="8" t="str">
        <f t="shared" si="2"/>
        <v>ótimo</v>
      </c>
      <c r="F167" s="8"/>
      <c r="G167" s="8" t="str">
        <f t="shared" si="3"/>
        <v>23.0</v>
      </c>
      <c r="H167" s="9">
        <f t="shared" si="4"/>
        <v>23</v>
      </c>
      <c r="I167" s="6" t="str">
        <f>IFERROR(__xludf.DUMMYFUNCTION("MAX(FILTER($H$2:$H350,$E$2:$E350=F167))"),"#N/A")</f>
        <v>#N/A</v>
      </c>
    </row>
    <row r="168">
      <c r="A168" s="4"/>
      <c r="C168" s="4" t="s">
        <v>1276</v>
      </c>
      <c r="D168" s="4" t="str">
        <f t="shared" si="1"/>
        <v>{"valorA":"parasol","valorB":1.0}</v>
      </c>
      <c r="E168" s="8" t="str">
        <f t="shared" si="2"/>
        <v>parasol</v>
      </c>
      <c r="F168" s="8"/>
      <c r="G168" s="8" t="str">
        <f t="shared" si="3"/>
        <v>1.0</v>
      </c>
      <c r="H168" s="9">
        <f t="shared" si="4"/>
        <v>1</v>
      </c>
      <c r="I168" s="6" t="str">
        <f>IFERROR(__xludf.DUMMYFUNCTION("MAX(FILTER($H$2:$H350,$E$2:$E350=F168))"),"#N/A")</f>
        <v>#N/A</v>
      </c>
    </row>
    <row r="169">
      <c r="A169" s="4"/>
      <c r="C169" s="4" t="s">
        <v>338</v>
      </c>
      <c r="D169" s="4" t="str">
        <f t="shared" si="1"/>
        <v>{"valorA":"perfeitamente","valorB":5.0}</v>
      </c>
      <c r="E169" s="8" t="str">
        <f t="shared" si="2"/>
        <v>perfeitamente</v>
      </c>
      <c r="F169" s="8"/>
      <c r="G169" s="8" t="str">
        <f t="shared" si="3"/>
        <v>5.0</v>
      </c>
      <c r="H169" s="9">
        <f t="shared" si="4"/>
        <v>5</v>
      </c>
      <c r="I169" s="6" t="str">
        <f>IFERROR(__xludf.DUMMYFUNCTION("MAX(FILTER($H$2:$H350,$E$2:$E350=F169))"),"#N/A")</f>
        <v>#N/A</v>
      </c>
    </row>
    <row r="170">
      <c r="A170" s="4"/>
      <c r="C170" s="4" t="s">
        <v>358</v>
      </c>
      <c r="D170" s="4" t="str">
        <f t="shared" si="1"/>
        <v>{"valorA":"muito","valorB":11.0}</v>
      </c>
      <c r="E170" s="8" t="str">
        <f t="shared" si="2"/>
        <v>muito</v>
      </c>
      <c r="F170" s="8"/>
      <c r="G170" s="8" t="str">
        <f t="shared" si="3"/>
        <v>11.0</v>
      </c>
      <c r="H170" s="9">
        <f t="shared" si="4"/>
        <v>11</v>
      </c>
      <c r="I170" s="6" t="str">
        <f>IFERROR(__xludf.DUMMYFUNCTION("MAX(FILTER($H$2:$H350,$E$2:$E350=F170))"),"#N/A")</f>
        <v>#N/A</v>
      </c>
    </row>
    <row r="171">
      <c r="A171" s="4"/>
      <c r="C171" s="4" t="s">
        <v>360</v>
      </c>
      <c r="D171" s="4" t="str">
        <f t="shared" si="1"/>
        <v>{"valorA":"dessa","valorB":1.0}</v>
      </c>
      <c r="E171" s="8" t="str">
        <f t="shared" si="2"/>
        <v>dessa</v>
      </c>
      <c r="F171" s="8"/>
      <c r="G171" s="8" t="str">
        <f t="shared" si="3"/>
        <v>1.0</v>
      </c>
      <c r="H171" s="9">
        <f t="shared" si="4"/>
        <v>1</v>
      </c>
      <c r="I171" s="6" t="str">
        <f>IFERROR(__xludf.DUMMYFUNCTION("MAX(FILTER($H$2:$H350,$E$2:$E350=F171))"),"#N/A")</f>
        <v>#N/A</v>
      </c>
    </row>
    <row r="172">
      <c r="A172" s="4"/>
      <c r="C172" s="4" t="s">
        <v>247</v>
      </c>
      <c r="D172" s="4" t="str">
        <f t="shared" si="1"/>
        <v>{"valorA":"as","valorB":1.0}</v>
      </c>
      <c r="E172" s="8" t="str">
        <f t="shared" si="2"/>
        <v>as</v>
      </c>
      <c r="F172" s="8"/>
      <c r="G172" s="8" t="str">
        <f t="shared" si="3"/>
        <v>1.0</v>
      </c>
      <c r="H172" s="9">
        <f t="shared" si="4"/>
        <v>1</v>
      </c>
      <c r="I172" s="6" t="str">
        <f>IFERROR(__xludf.DUMMYFUNCTION("MAX(FILTER($H$2:$H350,$E$2:$E350=F172))"),"#N/A")</f>
        <v>#N/A</v>
      </c>
    </row>
    <row r="173">
      <c r="A173" s="4"/>
      <c r="C173" s="4" t="s">
        <v>361</v>
      </c>
      <c r="D173" s="4" t="str">
        <f t="shared" si="1"/>
        <v>{"valorA":"loja","valorB":1.0}</v>
      </c>
      <c r="E173" s="8" t="str">
        <f t="shared" si="2"/>
        <v>loja</v>
      </c>
      <c r="F173" s="8"/>
      <c r="G173" s="8" t="str">
        <f t="shared" si="3"/>
        <v>1.0</v>
      </c>
      <c r="H173" s="9">
        <f t="shared" si="4"/>
        <v>1</v>
      </c>
      <c r="I173" s="6" t="str">
        <f>IFERROR(__xludf.DUMMYFUNCTION("MAX(FILTER($H$2:$H350,$E$2:$E350=F173))"),"#N/A")</f>
        <v>#N/A</v>
      </c>
    </row>
    <row r="174">
      <c r="A174" s="4"/>
      <c r="C174" s="4" t="s">
        <v>343</v>
      </c>
      <c r="D174" s="4" t="str">
        <f t="shared" si="1"/>
        <v>{"valorA":"funciona","valorB":7.0}</v>
      </c>
      <c r="E174" s="8" t="str">
        <f t="shared" si="2"/>
        <v>funciona</v>
      </c>
      <c r="F174" s="8"/>
      <c r="G174" s="8" t="str">
        <f t="shared" si="3"/>
        <v>7.0</v>
      </c>
      <c r="H174" s="9">
        <f t="shared" si="4"/>
        <v>7</v>
      </c>
      <c r="I174" s="6" t="str">
        <f>IFERROR(__xludf.DUMMYFUNCTION("MAX(FILTER($H$2:$H350,$E$2:$E350=F174))"),"#N/A")</f>
        <v>#N/A</v>
      </c>
    </row>
    <row r="175">
      <c r="A175" s="4"/>
      <c r="C175" s="4" t="s">
        <v>1277</v>
      </c>
      <c r="D175" s="4" t="str">
        <f t="shared" si="1"/>
        <v>{"valorA":"desse","valorB":3.0}</v>
      </c>
      <c r="E175" s="8" t="str">
        <f t="shared" si="2"/>
        <v>desse</v>
      </c>
      <c r="F175" s="8"/>
      <c r="G175" s="8" t="str">
        <f t="shared" si="3"/>
        <v>3.0</v>
      </c>
      <c r="H175" s="9">
        <f t="shared" si="4"/>
        <v>3</v>
      </c>
      <c r="I175" s="6" t="str">
        <f>IFERROR(__xludf.DUMMYFUNCTION("MAX(FILTER($H$2:$H350,$E$2:$E350=F175))"),"#N/A")</f>
        <v>#N/A</v>
      </c>
    </row>
    <row r="176">
      <c r="A176" s="4"/>
      <c r="C176" s="4" t="s">
        <v>435</v>
      </c>
      <c r="D176" s="4" t="str">
        <f t="shared" si="1"/>
        <v>{"valorA":"é","valorB":12.0}</v>
      </c>
      <c r="E176" s="8" t="str">
        <f t="shared" si="2"/>
        <v>é</v>
      </c>
      <c r="F176" s="8"/>
      <c r="G176" s="8" t="str">
        <f t="shared" si="3"/>
        <v>12.0</v>
      </c>
      <c r="H176" s="9">
        <f t="shared" si="4"/>
        <v>12</v>
      </c>
      <c r="I176" s="6" t="str">
        <f>IFERROR(__xludf.DUMMYFUNCTION("MAX(FILTER($H$2:$H350,$E$2:$E350=F176))"),"#N/A")</f>
        <v>#N/A</v>
      </c>
    </row>
    <row r="177">
      <c r="A177" s="4"/>
      <c r="C177" s="4" t="s">
        <v>325</v>
      </c>
      <c r="D177" s="4" t="str">
        <f t="shared" si="1"/>
        <v>{"valorA":"recomendo","valorB":3.0}</v>
      </c>
      <c r="E177" s="8" t="str">
        <f t="shared" si="2"/>
        <v>recomendo</v>
      </c>
      <c r="F177" s="8"/>
      <c r="G177" s="8" t="str">
        <f t="shared" si="3"/>
        <v>3.0</v>
      </c>
      <c r="H177" s="9">
        <f t="shared" si="4"/>
        <v>3</v>
      </c>
      <c r="I177" s="6" t="str">
        <f>IFERROR(__xludf.DUMMYFUNCTION("MAX(FILTER($H$2:$H350,$E$2:$E350=F177))"),"#N/A")</f>
        <v>#N/A</v>
      </c>
    </row>
    <row r="178">
      <c r="A178" s="4"/>
      <c r="C178" s="4" t="s">
        <v>839</v>
      </c>
      <c r="D178" s="4" t="str">
        <f t="shared" si="1"/>
        <v>{"valorA":"meu","valorB":6.0}</v>
      </c>
      <c r="E178" s="8" t="str">
        <f t="shared" si="2"/>
        <v>meu</v>
      </c>
      <c r="F178" s="8"/>
      <c r="G178" s="8" t="str">
        <f t="shared" si="3"/>
        <v>6.0</v>
      </c>
      <c r="H178" s="9">
        <f t="shared" si="4"/>
        <v>6</v>
      </c>
      <c r="I178" s="6" t="str">
        <f>IFERROR(__xludf.DUMMYFUNCTION("MAX(FILTER($H$2:$H350,$E$2:$E350=F178))"),"#N/A")</f>
        <v>#N/A</v>
      </c>
    </row>
    <row r="179">
      <c r="A179" s="4"/>
      <c r="C179" s="4" t="s">
        <v>386</v>
      </c>
      <c r="D179" s="4" t="str">
        <f t="shared" si="1"/>
        <v>{"valorA":"usar","valorB":4.0}</v>
      </c>
      <c r="E179" s="8" t="str">
        <f t="shared" si="2"/>
        <v>usar</v>
      </c>
      <c r="F179" s="8"/>
      <c r="G179" s="8" t="str">
        <f t="shared" si="3"/>
        <v>4.0</v>
      </c>
      <c r="H179" s="9">
        <f t="shared" si="4"/>
        <v>4</v>
      </c>
      <c r="I179" s="6" t="str">
        <f>IFERROR(__xludf.DUMMYFUNCTION("MAX(FILTER($H$2:$H350,$E$2:$E350=F179))"),"#N/A")</f>
        <v>#N/A</v>
      </c>
    </row>
    <row r="180">
      <c r="A180" s="4"/>
      <c r="C180" s="4" t="s">
        <v>1278</v>
      </c>
      <c r="D180" s="4" t="str">
        <f t="shared" si="1"/>
        <v>{"valorA":"incrível","valorB":6.0}</v>
      </c>
      <c r="E180" s="8" t="str">
        <f t="shared" si="2"/>
        <v>incrível</v>
      </c>
      <c r="F180" s="8"/>
      <c r="G180" s="8" t="str">
        <f t="shared" si="3"/>
        <v>6.0</v>
      </c>
      <c r="H180" s="9">
        <f t="shared" si="4"/>
        <v>6</v>
      </c>
      <c r="I180" s="6" t="str">
        <f>IFERROR(__xludf.DUMMYFUNCTION("MAX(FILTER($H$2:$H350,$E$2:$E350=F180))"),"#N/A")</f>
        <v>#N/A</v>
      </c>
    </row>
    <row r="181">
      <c r="A181" s="4"/>
      <c r="C181" s="4" t="s">
        <v>350</v>
      </c>
      <c r="D181" s="4" t="str">
        <f t="shared" si="1"/>
        <v>{"valorA":"de","valorB":7.0}</v>
      </c>
      <c r="E181" s="8" t="str">
        <f t="shared" si="2"/>
        <v>de</v>
      </c>
      <c r="F181" s="8"/>
      <c r="G181" s="8" t="str">
        <f t="shared" si="3"/>
        <v>7.0</v>
      </c>
      <c r="H181" s="9">
        <f t="shared" si="4"/>
        <v>7</v>
      </c>
      <c r="I181" s="6" t="str">
        <f>IFERROR(__xludf.DUMMYFUNCTION("MAX(FILTER($H$2:$H350,$E$2:$E350=F181))"),"#N/A")</f>
        <v>#N/A</v>
      </c>
    </row>
    <row r="182">
      <c r="A182" s="4"/>
      <c r="C182" s="4" t="s">
        <v>352</v>
      </c>
      <c r="D182" s="4" t="str">
        <f t="shared" si="1"/>
        <v>{"valorA":"on","valorB":1.0}</v>
      </c>
      <c r="E182" s="8" t="str">
        <f t="shared" si="2"/>
        <v>on</v>
      </c>
      <c r="F182" s="8"/>
      <c r="G182" s="8" t="str">
        <f t="shared" si="3"/>
        <v>1.0</v>
      </c>
      <c r="H182" s="9">
        <f t="shared" si="4"/>
        <v>1</v>
      </c>
      <c r="I182" s="6" t="str">
        <f>IFERROR(__xludf.DUMMYFUNCTION("MAX(FILTER($H$2:$H350,$E$2:$E350=F182))"),"#N/A")</f>
        <v>#N/A</v>
      </c>
    </row>
    <row r="183">
      <c r="A183" s="4"/>
      <c r="C183" s="4" t="s">
        <v>666</v>
      </c>
      <c r="D183" s="4" t="str">
        <f t="shared" si="1"/>
        <v>{"valorA":"e","valorB":7.0}</v>
      </c>
      <c r="E183" s="8" t="str">
        <f t="shared" si="2"/>
        <v>e</v>
      </c>
      <c r="F183" s="8"/>
      <c r="G183" s="8" t="str">
        <f t="shared" si="3"/>
        <v>7.0</v>
      </c>
      <c r="H183" s="9">
        <f t="shared" si="4"/>
        <v>7</v>
      </c>
      <c r="I183" s="6" t="str">
        <f>IFERROR(__xludf.DUMMYFUNCTION("MAX(FILTER($H$2:$H350,$E$2:$E350=F183))"),"#N/A")</f>
        <v>#N/A</v>
      </c>
    </row>
    <row r="184">
      <c r="A184" s="4"/>
      <c r="C184" s="4" t="s">
        <v>411</v>
      </c>
      <c r="D184" s="4" t="str">
        <f t="shared" si="1"/>
        <v>{"valorA":"telemóvel","valorB":1.0}</v>
      </c>
      <c r="E184" s="8" t="str">
        <f t="shared" si="2"/>
        <v>telemóvel</v>
      </c>
      <c r="F184" s="8"/>
      <c r="G184" s="8" t="str">
        <f t="shared" si="3"/>
        <v>1.0</v>
      </c>
      <c r="H184" s="9">
        <f t="shared" si="4"/>
        <v>1</v>
      </c>
      <c r="I184" s="6" t="str">
        <f>IFERROR(__xludf.DUMMYFUNCTION("MAX(FILTER($H$2:$H350,$E$2:$E350=F184))"),"#N/A")</f>
        <v>#N/A</v>
      </c>
    </row>
    <row r="185">
      <c r="A185" s="4"/>
      <c r="C185" s="4" t="s">
        <v>714</v>
      </c>
      <c r="D185" s="4" t="str">
        <f t="shared" si="1"/>
        <v>{"valorA":"produto","valorB":18.0}</v>
      </c>
      <c r="E185" s="8" t="str">
        <f t="shared" si="2"/>
        <v>produto</v>
      </c>
      <c r="F185" s="8"/>
      <c r="G185" s="8" t="str">
        <f t="shared" si="3"/>
        <v>18.0</v>
      </c>
      <c r="H185" s="9">
        <f t="shared" si="4"/>
        <v>18</v>
      </c>
      <c r="I185" s="6" t="str">
        <f>IFERROR(__xludf.DUMMYFUNCTION("MAX(FILTER($H$2:$H350,$E$2:$E350=F185))"),"#N/A")</f>
        <v>#N/A</v>
      </c>
    </row>
    <row r="186">
      <c r="A186" s="4"/>
      <c r="C186" s="4" t="s">
        <v>336</v>
      </c>
      <c r="D186" s="4" t="str">
        <f t="shared" si="1"/>
        <v>{"valorA":"ótimo","valorB":25.0}</v>
      </c>
      <c r="E186" s="8" t="str">
        <f t="shared" si="2"/>
        <v>ótimo</v>
      </c>
      <c r="F186" s="8"/>
      <c r="G186" s="8" t="str">
        <f t="shared" si="3"/>
        <v>25.0</v>
      </c>
      <c r="H186" s="9">
        <f t="shared" si="4"/>
        <v>25</v>
      </c>
      <c r="I186" s="6" t="str">
        <f>IFERROR(__xludf.DUMMYFUNCTION("MAX(FILTER($H$2:$H350,$E$2:$E350=F186))"),"#N/A")</f>
        <v>#N/A</v>
      </c>
    </row>
    <row r="187">
      <c r="A187" s="4"/>
      <c r="C187" s="4" t="s">
        <v>431</v>
      </c>
      <c r="D187" s="4" t="str">
        <f t="shared" si="1"/>
        <v>{"valorA":"fácil","valorB":3.0}</v>
      </c>
      <c r="E187" s="8" t="str">
        <f t="shared" si="2"/>
        <v>fácil</v>
      </c>
      <c r="F187" s="8"/>
      <c r="G187" s="8" t="str">
        <f t="shared" si="3"/>
        <v>3.0</v>
      </c>
      <c r="H187" s="9">
        <f t="shared" si="4"/>
        <v>3</v>
      </c>
      <c r="I187" s="6" t="str">
        <f>IFERROR(__xludf.DUMMYFUNCTION("MAX(FILTER($H$2:$H350,$E$2:$E350=F187))"),"#N/A")</f>
        <v>#N/A</v>
      </c>
    </row>
    <row r="188">
      <c r="A188" s="4"/>
      <c r="C188" s="4" t="s">
        <v>488</v>
      </c>
      <c r="D188" s="4" t="str">
        <f t="shared" si="1"/>
        <v>{"valorA":"perfeitamente","valorB":7.0}</v>
      </c>
      <c r="E188" s="8" t="str">
        <f t="shared" si="2"/>
        <v>perfeitamente</v>
      </c>
      <c r="F188" s="8"/>
      <c r="G188" s="8" t="str">
        <f t="shared" si="3"/>
        <v>7.0</v>
      </c>
      <c r="H188" s="9">
        <f t="shared" si="4"/>
        <v>7</v>
      </c>
      <c r="I188" s="6" t="str">
        <f>IFERROR(__xludf.DUMMYFUNCTION("MAX(FILTER($H$2:$H350,$E$2:$E350=F188))"),"#N/A")</f>
        <v>#N/A</v>
      </c>
    </row>
    <row r="189">
      <c r="A189" s="4"/>
      <c r="C189" s="4" t="s">
        <v>381</v>
      </c>
      <c r="D189" s="4" t="str">
        <f t="shared" si="1"/>
        <v>{"valorA":"dessa","valorB":2.0}</v>
      </c>
      <c r="E189" s="8" t="str">
        <f t="shared" si="2"/>
        <v>dessa</v>
      </c>
      <c r="F189" s="8"/>
      <c r="G189" s="8" t="str">
        <f t="shared" si="3"/>
        <v>2.0</v>
      </c>
      <c r="H189" s="9">
        <f t="shared" si="4"/>
        <v>2</v>
      </c>
      <c r="I189" s="6" t="str">
        <f>IFERROR(__xludf.DUMMYFUNCTION("MAX(FILTER($H$2:$H350,$E$2:$E350=F189))"),"#N/A")</f>
        <v>#N/A</v>
      </c>
    </row>
    <row r="190">
      <c r="A190" s="4"/>
      <c r="C190" s="4" t="s">
        <v>380</v>
      </c>
      <c r="D190" s="4" t="str">
        <f t="shared" si="1"/>
        <v>{"valorA":"loja","valorB":2.0}</v>
      </c>
      <c r="E190" s="8" t="str">
        <f t="shared" si="2"/>
        <v>loja</v>
      </c>
      <c r="F190" s="8"/>
      <c r="G190" s="8" t="str">
        <f t="shared" si="3"/>
        <v>2.0</v>
      </c>
      <c r="H190" s="9">
        <f t="shared" si="4"/>
        <v>2</v>
      </c>
      <c r="I190" s="6" t="str">
        <f>IFERROR(__xludf.DUMMYFUNCTION("MAX(FILTER($H$2:$H350,$E$2:$E350=F190))"),"#N/A")</f>
        <v>#N/A</v>
      </c>
    </row>
    <row r="191">
      <c r="A191" s="4"/>
      <c r="C191" s="4" t="s">
        <v>1279</v>
      </c>
      <c r="D191" s="4" t="str">
        <f t="shared" si="1"/>
        <v>{"valorA":"novo","valorB":5.0}</v>
      </c>
      <c r="E191" s="8" t="str">
        <f t="shared" si="2"/>
        <v>novo</v>
      </c>
      <c r="F191" s="8"/>
      <c r="G191" s="8" t="str">
        <f t="shared" si="3"/>
        <v>5.0</v>
      </c>
      <c r="H191" s="9">
        <f t="shared" si="4"/>
        <v>5</v>
      </c>
      <c r="I191" s="6" t="str">
        <f>IFERROR(__xludf.DUMMYFUNCTION("MAX(FILTER($H$2:$H350,$E$2:$E350=F191))"),"#N/A")</f>
        <v>#N/A</v>
      </c>
    </row>
    <row r="192">
      <c r="A192" s="4"/>
      <c r="C192" s="4" t="s">
        <v>466</v>
      </c>
      <c r="D192" s="4" t="str">
        <f t="shared" si="1"/>
        <v>{"valorA":"relojoeira","valorB":3.0}</v>
      </c>
      <c r="E192" s="8" t="str">
        <f t="shared" si="2"/>
        <v>relojoeira</v>
      </c>
      <c r="F192" s="8"/>
      <c r="G192" s="8" t="str">
        <f t="shared" si="3"/>
        <v>3.0</v>
      </c>
      <c r="H192" s="9">
        <f t="shared" si="4"/>
        <v>3</v>
      </c>
      <c r="I192" s="6" t="str">
        <f>IFERROR(__xludf.DUMMYFUNCTION("MAX(FILTER($H$2:$H350,$E$2:$E350=F192))"),"#N/A")</f>
        <v>#N/A</v>
      </c>
    </row>
    <row r="193">
      <c r="A193" s="4"/>
      <c r="C193" s="4" t="s">
        <v>362</v>
      </c>
      <c r="D193" s="4" t="str">
        <f t="shared" si="1"/>
        <v>{"valorA":"line","valorB":1.0}</v>
      </c>
      <c r="E193" s="8" t="str">
        <f t="shared" si="2"/>
        <v>line</v>
      </c>
      <c r="F193" s="8"/>
      <c r="G193" s="8" t="str">
        <f t="shared" si="3"/>
        <v>1.0</v>
      </c>
      <c r="H193" s="9">
        <f t="shared" si="4"/>
        <v>1</v>
      </c>
      <c r="I193" s="6" t="str">
        <f>IFERROR(__xludf.DUMMYFUNCTION("MAX(FILTER($H$2:$H350,$E$2:$E350=F193))"),"#N/A")</f>
        <v>#N/A</v>
      </c>
    </row>
    <row r="194">
      <c r="A194" s="4"/>
      <c r="C194" s="4" t="s">
        <v>382</v>
      </c>
      <c r="D194" s="4" t="str">
        <f t="shared" si="1"/>
        <v>{"valorA":"funciona","valorB":9.0}</v>
      </c>
      <c r="E194" s="8" t="str">
        <f t="shared" si="2"/>
        <v>funciona</v>
      </c>
      <c r="F194" s="8"/>
      <c r="G194" s="8" t="str">
        <f t="shared" si="3"/>
        <v>9.0</v>
      </c>
      <c r="H194" s="9">
        <f t="shared" si="4"/>
        <v>9</v>
      </c>
      <c r="I194" s="6" t="str">
        <f>IFERROR(__xludf.DUMMYFUNCTION("MAX(FILTER($H$2:$H350,$E$2:$E350=F194))"),"#N/A")</f>
        <v>#N/A</v>
      </c>
    </row>
    <row r="195">
      <c r="A195" s="4"/>
      <c r="C195" s="4" t="s">
        <v>454</v>
      </c>
      <c r="D195" s="4" t="str">
        <f t="shared" si="1"/>
        <v>{"valorA":"é","valorB":13.0}</v>
      </c>
      <c r="E195" s="8" t="str">
        <f t="shared" si="2"/>
        <v>é</v>
      </c>
      <c r="F195" s="8"/>
      <c r="G195" s="8" t="str">
        <f t="shared" si="3"/>
        <v>13.0</v>
      </c>
      <c r="H195" s="9">
        <f t="shared" si="4"/>
        <v>13</v>
      </c>
      <c r="I195" s="6" t="str">
        <f>IFERROR(__xludf.DUMMYFUNCTION("MAX(FILTER($H$2:$H350,$E$2:$E350=F195))"),"#N/A")</f>
        <v>#N/A</v>
      </c>
    </row>
    <row r="196">
      <c r="A196" s="4"/>
      <c r="C196" s="4" t="s">
        <v>1280</v>
      </c>
      <c r="D196" s="4" t="str">
        <f t="shared" si="1"/>
        <v>{"valorA":"facil","valorB":2.0}</v>
      </c>
      <c r="E196" s="8" t="str">
        <f t="shared" si="2"/>
        <v>facil</v>
      </c>
      <c r="F196" s="8"/>
      <c r="G196" s="8" t="str">
        <f t="shared" si="3"/>
        <v>2.0</v>
      </c>
      <c r="H196" s="9">
        <f t="shared" si="4"/>
        <v>2</v>
      </c>
      <c r="I196" s="6" t="str">
        <f>IFERROR(__xludf.DUMMYFUNCTION("MAX(FILTER($H$2:$H350,$E$2:$E350=F196))"),"#N/A")</f>
        <v>#N/A</v>
      </c>
    </row>
    <row r="197">
      <c r="A197" s="4"/>
      <c r="C197" s="4" t="s">
        <v>1281</v>
      </c>
      <c r="D197" s="4" t="str">
        <f t="shared" si="1"/>
        <v>{"valorA":"incrível","valorB":7.0}</v>
      </c>
      <c r="E197" s="8" t="str">
        <f t="shared" si="2"/>
        <v>incrível</v>
      </c>
      <c r="F197" s="8"/>
      <c r="G197" s="8" t="str">
        <f t="shared" si="3"/>
        <v>7.0</v>
      </c>
      <c r="H197" s="9">
        <f t="shared" si="4"/>
        <v>7</v>
      </c>
      <c r="I197" s="6" t="str">
        <f>IFERROR(__xludf.DUMMYFUNCTION("MAX(FILTER($H$2:$H350,$E$2:$E350=F197))"),"#N/A")</f>
        <v>#N/A</v>
      </c>
    </row>
    <row r="198">
      <c r="A198" s="4"/>
      <c r="C198" s="4" t="s">
        <v>387</v>
      </c>
      <c r="D198" s="4" t="str">
        <f t="shared" si="1"/>
        <v>{"valorA":"e","valorB":8.0}</v>
      </c>
      <c r="E198" s="8" t="str">
        <f t="shared" si="2"/>
        <v>e</v>
      </c>
      <c r="F198" s="8"/>
      <c r="G198" s="8" t="str">
        <f t="shared" si="3"/>
        <v>8.0</v>
      </c>
      <c r="H198" s="9">
        <f t="shared" si="4"/>
        <v>8</v>
      </c>
      <c r="I198" s="6" t="str">
        <f>IFERROR(__xludf.DUMMYFUNCTION("MAX(FILTER($H$2:$H350,$E$2:$E350=F198))"),"#N/A")</f>
        <v>#N/A</v>
      </c>
    </row>
    <row r="199">
      <c r="A199" s="4"/>
      <c r="C199" s="4" t="s">
        <v>389</v>
      </c>
      <c r="D199" s="4" t="str">
        <f t="shared" si="1"/>
        <v>{"valorA":"de","valorB":8.0}</v>
      </c>
      <c r="E199" s="8" t="str">
        <f t="shared" si="2"/>
        <v>de</v>
      </c>
      <c r="F199" s="8"/>
      <c r="G199" s="8" t="str">
        <f t="shared" si="3"/>
        <v>8.0</v>
      </c>
      <c r="H199" s="9">
        <f t="shared" si="4"/>
        <v>8</v>
      </c>
      <c r="I199" s="6" t="str">
        <f>IFERROR(__xludf.DUMMYFUNCTION("MAX(FILTER($H$2:$H350,$E$2:$E350=F199))"),"#N/A")</f>
        <v>#N/A</v>
      </c>
    </row>
    <row r="200">
      <c r="A200" s="4"/>
      <c r="C200" s="4" t="s">
        <v>1007</v>
      </c>
      <c r="D200" s="4" t="str">
        <f t="shared" si="1"/>
        <v>{"valorA":"limpar","valorB":1.0}</v>
      </c>
      <c r="E200" s="8" t="str">
        <f t="shared" si="2"/>
        <v>limpar</v>
      </c>
      <c r="F200" s="8"/>
      <c r="G200" s="8" t="str">
        <f t="shared" si="3"/>
        <v>1.0</v>
      </c>
      <c r="H200" s="9">
        <f t="shared" si="4"/>
        <v>1</v>
      </c>
      <c r="I200" s="6" t="str">
        <f>IFERROR(__xludf.DUMMYFUNCTION("MAX(FILTER($H$2:$H350,$E$2:$E350=F200))"),"#N/A")</f>
        <v>#N/A</v>
      </c>
    </row>
    <row r="201">
      <c r="A201" s="4"/>
      <c r="C201" s="4" t="s">
        <v>723</v>
      </c>
      <c r="D201" s="4" t="str">
        <f t="shared" si="1"/>
        <v>{"valorA":"produto","valorB":20.0}</v>
      </c>
      <c r="E201" s="8" t="str">
        <f t="shared" si="2"/>
        <v>produto</v>
      </c>
      <c r="F201" s="8"/>
      <c r="G201" s="8" t="str">
        <f t="shared" si="3"/>
        <v>20.0</v>
      </c>
      <c r="H201" s="9">
        <f t="shared" si="4"/>
        <v>20</v>
      </c>
      <c r="I201" s="6" t="str">
        <f>IFERROR(__xludf.DUMMYFUNCTION("MAX(FILTER($H$2:$H350,$E$2:$E350=F201))"),"#N/A")</f>
        <v>#N/A</v>
      </c>
    </row>
    <row r="202">
      <c r="A202" s="4"/>
      <c r="C202" s="4" t="s">
        <v>355</v>
      </c>
      <c r="D202" s="4" t="str">
        <f t="shared" si="1"/>
        <v>{"valorA":"ótimo","valorB":27.0}</v>
      </c>
      <c r="E202" s="8" t="str">
        <f t="shared" si="2"/>
        <v>ótimo</v>
      </c>
      <c r="F202" s="8"/>
      <c r="G202" s="8" t="str">
        <f t="shared" si="3"/>
        <v>27.0</v>
      </c>
      <c r="H202" s="9">
        <f t="shared" si="4"/>
        <v>27</v>
      </c>
      <c r="I202" s="6" t="str">
        <f>IFERROR(__xludf.DUMMYFUNCTION("MAX(FILTER($H$2:$H350,$E$2:$E350=F202))"),"#N/A")</f>
        <v>#N/A</v>
      </c>
    </row>
    <row r="203">
      <c r="A203" s="4"/>
      <c r="C203" s="4" t="s">
        <v>1282</v>
      </c>
      <c r="D203" s="4" t="str">
        <f t="shared" si="1"/>
        <v>{"valorA":"essa","valorB":3.0}</v>
      </c>
      <c r="E203" s="8" t="str">
        <f t="shared" si="2"/>
        <v>essa</v>
      </c>
      <c r="F203" s="8"/>
      <c r="G203" s="8" t="str">
        <f t="shared" si="3"/>
        <v>3.0</v>
      </c>
      <c r="H203" s="9">
        <f t="shared" si="4"/>
        <v>3</v>
      </c>
      <c r="I203" s="6" t="str">
        <f>IFERROR(__xludf.DUMMYFUNCTION("MAX(FILTER($H$2:$H350,$E$2:$E350=F203))"),"#N/A")</f>
        <v>#N/A</v>
      </c>
    </row>
    <row r="204">
      <c r="A204" s="4"/>
      <c r="C204" s="4" t="s">
        <v>1283</v>
      </c>
      <c r="D204" s="4" t="str">
        <f t="shared" si="1"/>
        <v>{"valorA":"realmente","valorB":5.0}</v>
      </c>
      <c r="E204" s="8" t="str">
        <f t="shared" si="2"/>
        <v>realmente</v>
      </c>
      <c r="F204" s="8"/>
      <c r="G204" s="8" t="str">
        <f t="shared" si="3"/>
        <v>5.0</v>
      </c>
      <c r="H204" s="9">
        <f t="shared" si="4"/>
        <v>5</v>
      </c>
      <c r="I204" s="6" t="str">
        <f>IFERROR(__xludf.DUMMYFUNCTION("MAX(FILTER($H$2:$H350,$E$2:$E350=F204))"),"#N/A")</f>
        <v>#N/A</v>
      </c>
    </row>
    <row r="205">
      <c r="A205" s="4"/>
      <c r="C205" s="4" t="s">
        <v>1284</v>
      </c>
      <c r="D205" s="4" t="str">
        <f t="shared" si="1"/>
        <v>{"valorA":"faca","valorB":2.0}</v>
      </c>
      <c r="E205" s="8" t="str">
        <f t="shared" si="2"/>
        <v>faca</v>
      </c>
      <c r="F205" s="8"/>
      <c r="G205" s="8" t="str">
        <f t="shared" si="3"/>
        <v>2.0</v>
      </c>
      <c r="H205" s="9">
        <f t="shared" si="4"/>
        <v>2</v>
      </c>
      <c r="I205" s="6" t="str">
        <f>IFERROR(__xludf.DUMMYFUNCTION("MAX(FILTER($H$2:$H350,$E$2:$E350=F205))"),"#N/A")</f>
        <v>#N/A</v>
      </c>
    </row>
    <row r="206">
      <c r="A206" s="4"/>
      <c r="C206" s="4" t="s">
        <v>1285</v>
      </c>
      <c r="D206" s="4" t="str">
        <f t="shared" si="1"/>
        <v>{"valorA":"manter","valorB":2.0}</v>
      </c>
      <c r="E206" s="8" t="str">
        <f t="shared" si="2"/>
        <v>manter</v>
      </c>
      <c r="F206" s="8"/>
      <c r="G206" s="8" t="str">
        <f t="shared" si="3"/>
        <v>2.0</v>
      </c>
      <c r="H206" s="9">
        <f t="shared" si="4"/>
        <v>2</v>
      </c>
      <c r="I206" s="6" t="str">
        <f>IFERROR(__xludf.DUMMYFUNCTION("MAX(FILTER($H$2:$H350,$E$2:$E350=F206))"),"#N/A")</f>
        <v>#N/A</v>
      </c>
    </row>
    <row r="207">
      <c r="A207" s="4"/>
      <c r="C207" s="4" t="s">
        <v>468</v>
      </c>
      <c r="D207" s="4" t="str">
        <f t="shared" si="1"/>
        <v>{"valorA":"é","valorB":14.0}</v>
      </c>
      <c r="E207" s="8" t="str">
        <f t="shared" si="2"/>
        <v>é</v>
      </c>
      <c r="F207" s="8"/>
      <c r="G207" s="8" t="str">
        <f t="shared" si="3"/>
        <v>14.0</v>
      </c>
      <c r="H207" s="9">
        <f t="shared" si="4"/>
        <v>14</v>
      </c>
      <c r="I207" s="6" t="str">
        <f>IFERROR(__xludf.DUMMYFUNCTION("MAX(FILTER($H$2:$H350,$E$2:$E350=F207))"),"#N/A")</f>
        <v>#N/A</v>
      </c>
    </row>
    <row r="208">
      <c r="A208" s="4"/>
      <c r="C208" s="4" t="s">
        <v>470</v>
      </c>
      <c r="D208" s="4" t="str">
        <f t="shared" si="1"/>
        <v>{"valorA":"comprei","valorB":2.0}</v>
      </c>
      <c r="E208" s="8" t="str">
        <f t="shared" si="2"/>
        <v>comprei</v>
      </c>
      <c r="F208" s="8"/>
      <c r="G208" s="8" t="str">
        <f t="shared" si="3"/>
        <v>2.0</v>
      </c>
      <c r="H208" s="9">
        <f t="shared" si="4"/>
        <v>2</v>
      </c>
      <c r="I208" s="6" t="str">
        <f>IFERROR(__xludf.DUMMYFUNCTION("MAX(FILTER($H$2:$H350,$E$2:$E350=F208))"),"#N/A")</f>
        <v>#N/A</v>
      </c>
    </row>
    <row r="209">
      <c r="A209" s="4"/>
      <c r="C209" s="4" t="s">
        <v>1286</v>
      </c>
      <c r="D209" s="4" t="str">
        <f t="shared" si="1"/>
        <v>{"valorA":"parecer","valorB":1.0}</v>
      </c>
      <c r="E209" s="8" t="str">
        <f t="shared" si="2"/>
        <v>parecer</v>
      </c>
      <c r="F209" s="8"/>
      <c r="G209" s="8" t="str">
        <f t="shared" si="3"/>
        <v>1.0</v>
      </c>
      <c r="H209" s="9">
        <f t="shared" si="4"/>
        <v>1</v>
      </c>
      <c r="I209" s="6" t="str">
        <f>IFERROR(__xludf.DUMMYFUNCTION("MAX(FILTER($H$2:$H350,$E$2:$E350=F209))"),"#N/A")</f>
        <v>#N/A</v>
      </c>
    </row>
    <row r="210">
      <c r="A210" s="4"/>
      <c r="C210" s="4" t="s">
        <v>473</v>
      </c>
      <c r="D210" s="4" t="str">
        <f t="shared" si="1"/>
        <v>{"valorA":"pena","valorB":2.0}</v>
      </c>
      <c r="E210" s="8" t="str">
        <f t="shared" si="2"/>
        <v>pena</v>
      </c>
      <c r="F210" s="8"/>
      <c r="G210" s="8" t="str">
        <f t="shared" si="3"/>
        <v>2.0</v>
      </c>
      <c r="H210" s="9">
        <f t="shared" si="4"/>
        <v>2</v>
      </c>
      <c r="I210" s="6" t="str">
        <f>IFERROR(__xludf.DUMMYFUNCTION("MAX(FILTER($H$2:$H350,$E$2:$E350=F210))"),"#N/A")</f>
        <v>#N/A</v>
      </c>
    </row>
    <row r="211">
      <c r="A211" s="4"/>
      <c r="C211" s="4" t="s">
        <v>1287</v>
      </c>
      <c r="D211" s="4" t="str">
        <f t="shared" si="1"/>
        <v>{"valorA":"faz","valorB":1.0}</v>
      </c>
      <c r="E211" s="8" t="str">
        <f t="shared" si="2"/>
        <v>faz</v>
      </c>
      <c r="F211" s="8"/>
      <c r="G211" s="8" t="str">
        <f t="shared" si="3"/>
        <v>1.0</v>
      </c>
      <c r="H211" s="9">
        <f t="shared" si="4"/>
        <v>1</v>
      </c>
      <c r="I211" s="6" t="str">
        <f>IFERROR(__xludf.DUMMYFUNCTION("MAX(FILTER($H$2:$H350,$E$2:$E350=F211))"),"#N/A")</f>
        <v>#N/A</v>
      </c>
    </row>
    <row r="212">
      <c r="A212" s="4"/>
      <c r="C212" s="4" t="s">
        <v>439</v>
      </c>
      <c r="D212" s="4" t="str">
        <f t="shared" si="1"/>
        <v>{"valorA":"usar","valorB":5.0}</v>
      </c>
      <c r="E212" s="8" t="str">
        <f t="shared" si="2"/>
        <v>usar</v>
      </c>
      <c r="F212" s="8"/>
      <c r="G212" s="8" t="str">
        <f t="shared" si="3"/>
        <v>5.0</v>
      </c>
      <c r="H212" s="9">
        <f t="shared" si="4"/>
        <v>5</v>
      </c>
      <c r="I212" s="6" t="str">
        <f>IFERROR(__xludf.DUMMYFUNCTION("MAX(FILTER($H$2:$H350,$E$2:$E350=F212))"),"#N/A")</f>
        <v>#N/A</v>
      </c>
    </row>
    <row r="213">
      <c r="A213" s="4"/>
      <c r="C213" s="4" t="s">
        <v>758</v>
      </c>
      <c r="D213" s="4" t="str">
        <f t="shared" si="1"/>
        <v>{"valorA":"me","valorB":2.0}</v>
      </c>
      <c r="E213" s="8" t="str">
        <f t="shared" si="2"/>
        <v>me</v>
      </c>
      <c r="F213" s="8"/>
      <c r="G213" s="8" t="str">
        <f t="shared" si="3"/>
        <v>2.0</v>
      </c>
      <c r="H213" s="9">
        <f t="shared" si="4"/>
        <v>2</v>
      </c>
      <c r="I213" s="6" t="str">
        <f>IFERROR(__xludf.DUMMYFUNCTION("MAX(FILTER($H$2:$H350,$E$2:$E350=F213))"),"#N/A")</f>
        <v>#N/A</v>
      </c>
    </row>
    <row r="214">
      <c r="A214" s="4"/>
      <c r="C214" s="4" t="s">
        <v>440</v>
      </c>
      <c r="D214" s="4" t="str">
        <f t="shared" si="1"/>
        <v>{"valorA":"e","valorB":10.0}</v>
      </c>
      <c r="E214" s="8" t="str">
        <f t="shared" si="2"/>
        <v>e</v>
      </c>
      <c r="F214" s="8"/>
      <c r="G214" s="8" t="str">
        <f t="shared" si="3"/>
        <v>10.0</v>
      </c>
      <c r="H214" s="9">
        <f t="shared" si="4"/>
        <v>10</v>
      </c>
      <c r="I214" s="6" t="str">
        <f>IFERROR(__xludf.DUMMYFUNCTION("MAX(FILTER($H$2:$H350,$E$2:$E350=F214))"),"#N/A")</f>
        <v>#N/A</v>
      </c>
    </row>
    <row r="215">
      <c r="A215" s="4"/>
      <c r="C215" s="4" t="s">
        <v>351</v>
      </c>
      <c r="D215" s="4" t="str">
        <f t="shared" si="1"/>
        <v>{"valorA":"o","valorB":3.0}</v>
      </c>
      <c r="E215" s="8" t="str">
        <f t="shared" si="2"/>
        <v>o</v>
      </c>
      <c r="F215" s="8"/>
      <c r="G215" s="8" t="str">
        <f t="shared" si="3"/>
        <v>3.0</v>
      </c>
      <c r="H215" s="9">
        <f t="shared" si="4"/>
        <v>3</v>
      </c>
      <c r="I215" s="6" t="str">
        <f>IFERROR(__xludf.DUMMYFUNCTION("MAX(FILTER($H$2:$H350,$E$2:$E350=F215))"),"#N/A")</f>
        <v>#N/A</v>
      </c>
    </row>
    <row r="216">
      <c r="A216" s="4"/>
      <c r="C216" s="4" t="s">
        <v>410</v>
      </c>
      <c r="D216" s="4" t="str">
        <f t="shared" si="1"/>
        <v>{"valorA":"de","valorB":9.0}</v>
      </c>
      <c r="E216" s="8" t="str">
        <f t="shared" si="2"/>
        <v>de</v>
      </c>
      <c r="F216" s="8"/>
      <c r="G216" s="8" t="str">
        <f t="shared" si="3"/>
        <v>9.0</v>
      </c>
      <c r="H216" s="9">
        <f t="shared" si="4"/>
        <v>9</v>
      </c>
      <c r="I216" s="6" t="str">
        <f>IFERROR(__xludf.DUMMYFUNCTION("MAX(FILTER($H$2:$H350,$E$2:$E350=F216))"),"#N/A")</f>
        <v>#N/A</v>
      </c>
    </row>
    <row r="217">
      <c r="A217" s="4"/>
      <c r="C217" s="4" t="s">
        <v>480</v>
      </c>
      <c r="D217" s="4" t="str">
        <f t="shared" si="1"/>
        <v>{"valorA":"vale","valorB":2.0}</v>
      </c>
      <c r="E217" s="8" t="str">
        <f t="shared" si="2"/>
        <v>vale</v>
      </c>
      <c r="F217" s="8"/>
      <c r="G217" s="8" t="str">
        <f t="shared" si="3"/>
        <v>2.0</v>
      </c>
      <c r="H217" s="9">
        <f t="shared" si="4"/>
        <v>2</v>
      </c>
      <c r="I217" s="6" t="str">
        <f>IFERROR(__xludf.DUMMYFUNCTION("MAX(FILTER($H$2:$H350,$E$2:$E350=F217))"),"#N/A")</f>
        <v>#N/A</v>
      </c>
    </row>
    <row r="218">
      <c r="A218" s="4"/>
      <c r="C218" s="4" t="s">
        <v>481</v>
      </c>
      <c r="D218" s="4" t="str">
        <f t="shared" si="1"/>
        <v>{"valorA":"que","valorB":4.0}</v>
      </c>
      <c r="E218" s="8" t="str">
        <f t="shared" si="2"/>
        <v>que</v>
      </c>
      <c r="F218" s="8"/>
      <c r="G218" s="8" t="str">
        <f t="shared" si="3"/>
        <v>4.0</v>
      </c>
      <c r="H218" s="9">
        <f t="shared" si="4"/>
        <v>4</v>
      </c>
      <c r="I218" s="6" t="str">
        <f>IFERROR(__xludf.DUMMYFUNCTION("MAX(FILTER($H$2:$H350,$E$2:$E350=F218))"),"#N/A")</f>
        <v>#N/A</v>
      </c>
    </row>
    <row r="219">
      <c r="A219" s="4"/>
      <c r="C219" s="4" t="s">
        <v>1288</v>
      </c>
      <c r="D219" s="4" t="str">
        <f t="shared" si="1"/>
        <v>{"valorA":"sofá","valorB":1.0}</v>
      </c>
      <c r="E219" s="8" t="str">
        <f t="shared" si="2"/>
        <v>sofá</v>
      </c>
      <c r="F219" s="8"/>
      <c r="G219" s="8" t="str">
        <f t="shared" si="3"/>
        <v>1.0</v>
      </c>
      <c r="H219" s="9">
        <f t="shared" si="4"/>
        <v>1</v>
      </c>
      <c r="I219" s="6" t="str">
        <f>IFERROR(__xludf.DUMMYFUNCTION("MAX(FILTER($H$2:$H350,$E$2:$E350=F219))"),"#N/A")</f>
        <v>#N/A</v>
      </c>
    </row>
    <row r="220">
      <c r="A220" s="4"/>
      <c r="C220" s="4" t="s">
        <v>297</v>
      </c>
      <c r="D220" s="4" t="str">
        <f t="shared" si="1"/>
        <v>{"valorA":"uma","valorB":1.0}</v>
      </c>
      <c r="E220" s="8" t="str">
        <f t="shared" si="2"/>
        <v>uma</v>
      </c>
      <c r="F220" s="8"/>
      <c r="G220" s="8" t="str">
        <f t="shared" si="3"/>
        <v>1.0</v>
      </c>
      <c r="H220" s="9">
        <f t="shared" si="4"/>
        <v>1</v>
      </c>
      <c r="I220" s="6" t="str">
        <f>IFERROR(__xludf.DUMMYFUNCTION("MAX(FILTER($H$2:$H350,$E$2:$E350=F220))"),"#N/A")</f>
        <v>#N/A</v>
      </c>
    </row>
    <row r="221">
      <c r="A221" s="4"/>
      <c r="C221" s="4" t="s">
        <v>727</v>
      </c>
      <c r="D221" s="4" t="str">
        <f t="shared" si="1"/>
        <v>{"valorA":"ótimo","valorB":29.0}</v>
      </c>
      <c r="E221" s="8" t="str">
        <f t="shared" si="2"/>
        <v>ótimo</v>
      </c>
      <c r="F221" s="8"/>
      <c r="G221" s="8" t="str">
        <f t="shared" si="3"/>
        <v>29.0</v>
      </c>
      <c r="H221" s="9">
        <f t="shared" si="4"/>
        <v>29</v>
      </c>
      <c r="I221" s="6" t="str">
        <f>IFERROR(__xludf.DUMMYFUNCTION("MAX(FILTER($H$2:$H350,$E$2:$E350=F221))"),"#N/A")</f>
        <v>#N/A</v>
      </c>
    </row>
    <row r="222">
      <c r="A222" s="4"/>
      <c r="C222" s="4" t="s">
        <v>445</v>
      </c>
      <c r="D222" s="4" t="str">
        <f t="shared" si="1"/>
        <v>{"valorA":"fácil","valorB":4.0}</v>
      </c>
      <c r="E222" s="8" t="str">
        <f t="shared" si="2"/>
        <v>fácil</v>
      </c>
      <c r="F222" s="8"/>
      <c r="G222" s="8" t="str">
        <f t="shared" si="3"/>
        <v>4.0</v>
      </c>
      <c r="H222" s="9">
        <f t="shared" si="4"/>
        <v>4</v>
      </c>
      <c r="I222" s="6" t="str">
        <f>IFERROR(__xludf.DUMMYFUNCTION("MAX(FILTER($H$2:$H350,$E$2:$E350=F222))"),"#N/A")</f>
        <v>#N/A</v>
      </c>
    </row>
    <row r="223">
      <c r="A223" s="4"/>
      <c r="C223" s="4" t="s">
        <v>656</v>
      </c>
      <c r="D223" s="4" t="str">
        <f t="shared" si="1"/>
        <v>{"valorA":"paguei","valorB":3.0}</v>
      </c>
      <c r="E223" s="8" t="str">
        <f t="shared" si="2"/>
        <v>paguei</v>
      </c>
      <c r="F223" s="8"/>
      <c r="G223" s="8" t="str">
        <f t="shared" si="3"/>
        <v>3.0</v>
      </c>
      <c r="H223" s="9">
        <f t="shared" si="4"/>
        <v>3</v>
      </c>
      <c r="I223" s="6" t="str">
        <f>IFERROR(__xludf.DUMMYFUNCTION("MAX(FILTER($H$2:$H350,$E$2:$E350=F223))"),"#N/A")</f>
        <v>#N/A</v>
      </c>
    </row>
    <row r="224">
      <c r="A224" s="4"/>
      <c r="C224" s="4" t="s">
        <v>299</v>
      </c>
      <c r="D224" s="4" t="str">
        <f t="shared" si="1"/>
        <v>{"valorA":"cabelo","valorB":1.0}</v>
      </c>
      <c r="E224" s="8" t="str">
        <f t="shared" si="2"/>
        <v>cabelo</v>
      </c>
      <c r="F224" s="8"/>
      <c r="G224" s="8" t="str">
        <f t="shared" si="3"/>
        <v>1.0</v>
      </c>
      <c r="H224" s="9">
        <f t="shared" si="4"/>
        <v>1</v>
      </c>
      <c r="I224" s="6" t="str">
        <f>IFERROR(__xludf.DUMMYFUNCTION("MAX(FILTER($H$2:$H350,$E$2:$E350=F224))"),"#N/A")</f>
        <v>#N/A</v>
      </c>
    </row>
    <row r="225">
      <c r="A225" s="4"/>
      <c r="C225" s="4" t="s">
        <v>377</v>
      </c>
      <c r="D225" s="4" t="str">
        <f t="shared" si="1"/>
        <v>{"valorA":"muito","valorB":12.0}</v>
      </c>
      <c r="E225" s="8" t="str">
        <f t="shared" si="2"/>
        <v>muito</v>
      </c>
      <c r="F225" s="8"/>
      <c r="G225" s="8" t="str">
        <f t="shared" si="3"/>
        <v>12.0</v>
      </c>
      <c r="H225" s="9">
        <f t="shared" si="4"/>
        <v>12</v>
      </c>
      <c r="I225" s="6" t="str">
        <f>IFERROR(__xludf.DUMMYFUNCTION("MAX(FILTER($H$2:$H350,$E$2:$E350=F225))"),"#N/A")</f>
        <v>#N/A</v>
      </c>
    </row>
    <row r="226">
      <c r="A226" s="4"/>
      <c r="C226" s="4" t="s">
        <v>1289</v>
      </c>
      <c r="D226" s="4" t="str">
        <f t="shared" si="1"/>
        <v>{"valorA":"celebridade","valorB":1.0}</v>
      </c>
      <c r="E226" s="8" t="str">
        <f t="shared" si="2"/>
        <v>celebridade</v>
      </c>
      <c r="F226" s="8"/>
      <c r="G226" s="8" t="str">
        <f t="shared" si="3"/>
        <v>1.0</v>
      </c>
      <c r="H226" s="9">
        <f t="shared" si="4"/>
        <v>1</v>
      </c>
      <c r="I226" s="6" t="str">
        <f>IFERROR(__xludf.DUMMYFUNCTION("MAX(FILTER($H$2:$H350,$E$2:$E350=F226))"),"#N/A")</f>
        <v>#N/A</v>
      </c>
    </row>
    <row r="227">
      <c r="A227" s="4"/>
      <c r="C227" s="4" t="s">
        <v>452</v>
      </c>
      <c r="D227" s="4" t="str">
        <f t="shared" si="1"/>
        <v>{"valorA":"a","valorB":5.0}</v>
      </c>
      <c r="E227" s="8" t="str">
        <f t="shared" si="2"/>
        <v>a</v>
      </c>
      <c r="F227" s="8"/>
      <c r="G227" s="8" t="str">
        <f t="shared" si="3"/>
        <v>5.0</v>
      </c>
      <c r="H227" s="9">
        <f t="shared" si="4"/>
        <v>5</v>
      </c>
      <c r="I227" s="6" t="str">
        <f>IFERROR(__xludf.DUMMYFUNCTION("MAX(FILTER($H$2:$H350,$E$2:$E350=F227))"),"#N/A")</f>
        <v>#N/A</v>
      </c>
    </row>
    <row r="228">
      <c r="A228" s="4"/>
      <c r="C228" s="4" t="s">
        <v>1095</v>
      </c>
      <c r="D228" s="4" t="str">
        <f t="shared" si="1"/>
        <v>{"valorA":"confortável","valorB":3.0}</v>
      </c>
      <c r="E228" s="8" t="str">
        <f t="shared" si="2"/>
        <v>confortável</v>
      </c>
      <c r="F228" s="8"/>
      <c r="G228" s="8" t="str">
        <f t="shared" si="3"/>
        <v>3.0</v>
      </c>
      <c r="H228" s="9">
        <f t="shared" si="4"/>
        <v>3</v>
      </c>
      <c r="I228" s="6" t="str">
        <f>IFERROR(__xludf.DUMMYFUNCTION("MAX(FILTER($H$2:$H350,$E$2:$E350=F228))"),"#N/A")</f>
        <v>#N/A</v>
      </c>
    </row>
    <row r="229">
      <c r="A229" s="4"/>
      <c r="C229" s="4" t="s">
        <v>618</v>
      </c>
      <c r="D229" s="4" t="str">
        <f t="shared" si="1"/>
        <v>{"valorA":"este","valorB":1.0}</v>
      </c>
      <c r="E229" s="8" t="str">
        <f t="shared" si="2"/>
        <v>este</v>
      </c>
      <c r="F229" s="8"/>
      <c r="G229" s="8" t="str">
        <f t="shared" si="3"/>
        <v>1.0</v>
      </c>
      <c r="H229" s="9">
        <f t="shared" si="4"/>
        <v>1</v>
      </c>
      <c r="I229" s="6" t="str">
        <f>IFERROR(__xludf.DUMMYFUNCTION("MAX(FILTER($H$2:$H350,$E$2:$E350=F229))"),"#N/A")</f>
        <v>#N/A</v>
      </c>
    </row>
    <row r="230">
      <c r="A230" s="4"/>
      <c r="C230" s="4" t="s">
        <v>1290</v>
      </c>
      <c r="D230" s="4" t="str">
        <f t="shared" si="1"/>
        <v>{"valorA":"comprimento","valorB":2.0}</v>
      </c>
      <c r="E230" s="8" t="str">
        <f t="shared" si="2"/>
        <v>comprimento</v>
      </c>
      <c r="F230" s="8"/>
      <c r="G230" s="8" t="str">
        <f t="shared" si="3"/>
        <v>2.0</v>
      </c>
      <c r="H230" s="9">
        <f t="shared" si="4"/>
        <v>2</v>
      </c>
      <c r="I230" s="6" t="str">
        <f>IFERROR(__xludf.DUMMYFUNCTION("MAX(FILTER($H$2:$H350,$E$2:$E350=F230))"),"#N/A")</f>
        <v>#N/A</v>
      </c>
    </row>
    <row r="231">
      <c r="A231" s="4"/>
      <c r="C231" s="4" t="s">
        <v>590</v>
      </c>
      <c r="D231" s="4" t="str">
        <f t="shared" si="1"/>
        <v>{"valorA":"preço","valorB":3.0}</v>
      </c>
      <c r="E231" s="8" t="str">
        <f t="shared" si="2"/>
        <v>preço</v>
      </c>
      <c r="F231" s="8"/>
      <c r="G231" s="8" t="str">
        <f t="shared" si="3"/>
        <v>3.0</v>
      </c>
      <c r="H231" s="9">
        <f t="shared" si="4"/>
        <v>3</v>
      </c>
      <c r="I231" s="6" t="str">
        <f>IFERROR(__xludf.DUMMYFUNCTION("MAX(FILTER($H$2:$H350,$E$2:$E350=F231))"),"#N/A")</f>
        <v>#N/A</v>
      </c>
    </row>
    <row r="232">
      <c r="A232" s="4"/>
      <c r="C232" s="4" t="s">
        <v>345</v>
      </c>
      <c r="D232" s="4" t="str">
        <f t="shared" si="1"/>
        <v>{"valorA":"recomendo","valorB":4.0}</v>
      </c>
      <c r="E232" s="8" t="str">
        <f t="shared" si="2"/>
        <v>recomendo</v>
      </c>
      <c r="F232" s="8"/>
      <c r="G232" s="8" t="str">
        <f t="shared" si="3"/>
        <v>4.0</v>
      </c>
      <c r="H232" s="9">
        <f t="shared" si="4"/>
        <v>4</v>
      </c>
      <c r="I232" s="6" t="str">
        <f>IFERROR(__xludf.DUMMYFUNCTION("MAX(FILTER($H$2:$H350,$E$2:$E350=F232))"),"#N/A")</f>
        <v>#N/A</v>
      </c>
    </row>
    <row r="233">
      <c r="A233" s="4"/>
      <c r="C233" s="4" t="s">
        <v>236</v>
      </c>
      <c r="D233" s="4" t="str">
        <f t="shared" si="1"/>
        <v>{"valorA":"creme","valorB":2.0}</v>
      </c>
      <c r="E233" s="8" t="str">
        <f t="shared" si="2"/>
        <v>creme</v>
      </c>
      <c r="F233" s="8"/>
      <c r="G233" s="8" t="str">
        <f t="shared" si="3"/>
        <v>2.0</v>
      </c>
      <c r="H233" s="9">
        <f t="shared" si="4"/>
        <v>2</v>
      </c>
      <c r="I233" s="6" t="str">
        <f>IFERROR(__xludf.DUMMYFUNCTION("MAX(FILTER($H$2:$H350,$E$2:$E350=F233))"),"#N/A")</f>
        <v>#N/A</v>
      </c>
    </row>
    <row r="234">
      <c r="A234" s="4"/>
      <c r="C234" s="4" t="s">
        <v>741</v>
      </c>
      <c r="D234" s="4" t="str">
        <f t="shared" si="1"/>
        <v>{"valorA":"produto","valorB":22.0}</v>
      </c>
      <c r="E234" s="8" t="str">
        <f t="shared" si="2"/>
        <v>produto</v>
      </c>
      <c r="F234" s="8"/>
      <c r="G234" s="8" t="str">
        <f t="shared" si="3"/>
        <v>22.0</v>
      </c>
      <c r="H234" s="9">
        <f t="shared" si="4"/>
        <v>22</v>
      </c>
      <c r="I234" s="6" t="str">
        <f>IFERROR(__xludf.DUMMYFUNCTION("MAX(FILTER($H$2:$H350,$E$2:$E350=F234))"),"#N/A")</f>
        <v>#N/A</v>
      </c>
    </row>
    <row r="235">
      <c r="A235" s="4"/>
      <c r="C235" s="4" t="s">
        <v>739</v>
      </c>
      <c r="D235" s="4" t="str">
        <f t="shared" si="1"/>
        <v>{"valorA":"ótimo","valorB":31.0}</v>
      </c>
      <c r="E235" s="8" t="str">
        <f t="shared" si="2"/>
        <v>ótimo</v>
      </c>
      <c r="F235" s="8"/>
      <c r="G235" s="8" t="str">
        <f t="shared" si="3"/>
        <v>31.0</v>
      </c>
      <c r="H235" s="9">
        <f t="shared" si="4"/>
        <v>31</v>
      </c>
      <c r="I235" s="6" t="str">
        <f>IFERROR(__xludf.DUMMYFUNCTION("MAX(FILTER($H$2:$H350,$E$2:$E350=F235))"),"#N/A")</f>
        <v>#N/A</v>
      </c>
    </row>
    <row r="236">
      <c r="A236" s="4"/>
      <c r="C236" s="4" t="s">
        <v>1291</v>
      </c>
      <c r="D236" s="4" t="str">
        <f t="shared" si="1"/>
        <v>{"valorA":"essa","valorB":4.0}</v>
      </c>
      <c r="E236" s="8" t="str">
        <f t="shared" si="2"/>
        <v>essa</v>
      </c>
      <c r="F236" s="8"/>
      <c r="G236" s="8" t="str">
        <f t="shared" si="3"/>
        <v>4.0</v>
      </c>
      <c r="H236" s="9">
        <f t="shared" si="4"/>
        <v>4</v>
      </c>
      <c r="I236" s="6" t="str">
        <f>IFERROR(__xludf.DUMMYFUNCTION("MAX(FILTER($H$2:$H350,$E$2:$E350=F236))"),"#N/A")</f>
        <v>#N/A</v>
      </c>
    </row>
    <row r="237">
      <c r="A237" s="4"/>
      <c r="C237" s="4" t="s">
        <v>1292</v>
      </c>
      <c r="D237" s="4" t="str">
        <f t="shared" si="1"/>
        <v>{"valorA":"hidratante","valorB":2.0}</v>
      </c>
      <c r="E237" s="8" t="str">
        <f t="shared" si="2"/>
        <v>hidratante</v>
      </c>
      <c r="F237" s="8"/>
      <c r="G237" s="8" t="str">
        <f t="shared" si="3"/>
        <v>2.0</v>
      </c>
      <c r="H237" s="9">
        <f t="shared" si="4"/>
        <v>2</v>
      </c>
      <c r="I237" s="6" t="str">
        <f>IFERROR(__xludf.DUMMYFUNCTION("MAX(FILTER($H$2:$H350,$E$2:$E350=F237))"),"#N/A")</f>
        <v>#N/A</v>
      </c>
    </row>
    <row r="238">
      <c r="A238" s="4"/>
      <c r="C238" s="4" t="s">
        <v>383</v>
      </c>
      <c r="D238" s="4" t="str">
        <f t="shared" si="1"/>
        <v>{"valorA":"recomendo","valorB":5.0}</v>
      </c>
      <c r="E238" s="8" t="str">
        <f t="shared" si="2"/>
        <v>recomendo</v>
      </c>
      <c r="F238" s="8"/>
      <c r="G238" s="8" t="str">
        <f t="shared" si="3"/>
        <v>5.0</v>
      </c>
      <c r="H238" s="9">
        <f t="shared" si="4"/>
        <v>5</v>
      </c>
      <c r="I238" s="6" t="str">
        <f>IFERROR(__xludf.DUMMYFUNCTION("MAX(FILTER($H$2:$H350,$E$2:$E350=F238))"),"#N/A")</f>
        <v>#N/A</v>
      </c>
    </row>
    <row r="239">
      <c r="A239" s="4"/>
      <c r="C239" s="4" t="s">
        <v>421</v>
      </c>
      <c r="D239" s="4" t="str">
        <f t="shared" si="1"/>
        <v>{"valorA":"aplicar","valorB":1.0}</v>
      </c>
      <c r="E239" s="8" t="str">
        <f t="shared" si="2"/>
        <v>aplicar</v>
      </c>
      <c r="F239" s="8"/>
      <c r="G239" s="8" t="str">
        <f t="shared" si="3"/>
        <v>1.0</v>
      </c>
      <c r="H239" s="9">
        <f t="shared" si="4"/>
        <v>1</v>
      </c>
      <c r="I239" s="6" t="str">
        <f>IFERROR(__xludf.DUMMYFUNCTION("MAX(FILTER($H$2:$H350,$E$2:$E350=F239))"),"#N/A")</f>
        <v>#N/A</v>
      </c>
    </row>
    <row r="240">
      <c r="A240" s="4"/>
      <c r="C240" s="4" t="s">
        <v>1293</v>
      </c>
      <c r="D240" s="4" t="str">
        <f t="shared" si="1"/>
        <v>{"valorA":"corporal","valorB":1.0}</v>
      </c>
      <c r="E240" s="8" t="str">
        <f t="shared" si="2"/>
        <v>corporal</v>
      </c>
      <c r="F240" s="8"/>
      <c r="G240" s="8" t="str">
        <f t="shared" si="3"/>
        <v>1.0</v>
      </c>
      <c r="H240" s="9">
        <f t="shared" si="4"/>
        <v>1</v>
      </c>
      <c r="I240" s="6" t="str">
        <f>IFERROR(__xludf.DUMMYFUNCTION("MAX(FILTER($H$2:$H350,$E$2:$E350=F240))"),"#N/A")</f>
        <v>#N/A</v>
      </c>
    </row>
    <row r="241">
      <c r="A241" s="4"/>
      <c r="C241" s="4" t="s">
        <v>1294</v>
      </c>
      <c r="D241" s="4" t="str">
        <f t="shared" si="1"/>
        <v>{"valorA":"facil","valorB":3.0}</v>
      </c>
      <c r="E241" s="8" t="str">
        <f t="shared" si="2"/>
        <v>facil</v>
      </c>
      <c r="F241" s="8"/>
      <c r="G241" s="8" t="str">
        <f t="shared" si="3"/>
        <v>3.0</v>
      </c>
      <c r="H241" s="9">
        <f t="shared" si="4"/>
        <v>3</v>
      </c>
      <c r="I241" s="6" t="str">
        <f>IFERROR(__xludf.DUMMYFUNCTION("MAX(FILTER($H$2:$H350,$E$2:$E350=F241))"),"#N/A")</f>
        <v>#N/A</v>
      </c>
    </row>
    <row r="242">
      <c r="A242" s="4"/>
      <c r="C242" s="4" t="s">
        <v>1295</v>
      </c>
      <c r="D242" s="4" t="str">
        <f t="shared" si="1"/>
        <v>{"valorA":"dura","valorB":1.0}</v>
      </c>
      <c r="E242" s="8" t="str">
        <f t="shared" si="2"/>
        <v>dura</v>
      </c>
      <c r="F242" s="8"/>
      <c r="G242" s="8" t="str">
        <f t="shared" si="3"/>
        <v>1.0</v>
      </c>
      <c r="H242" s="9">
        <f t="shared" si="4"/>
        <v>1</v>
      </c>
      <c r="I242" s="6" t="str">
        <f>IFERROR(__xludf.DUMMYFUNCTION("MAX(FILTER($H$2:$H350,$E$2:$E350=F242))"),"#N/A")</f>
        <v>#N/A</v>
      </c>
    </row>
    <row r="243">
      <c r="A243" s="4"/>
      <c r="C243" s="4" t="s">
        <v>1296</v>
      </c>
      <c r="D243" s="4" t="str">
        <f t="shared" si="1"/>
        <v>{"valorA":"bluetooth","valorB":1.0}</v>
      </c>
      <c r="E243" s="8" t="str">
        <f t="shared" si="2"/>
        <v>bluetooth</v>
      </c>
      <c r="F243" s="8"/>
      <c r="G243" s="8" t="str">
        <f t="shared" si="3"/>
        <v>1.0</v>
      </c>
      <c r="H243" s="9">
        <f t="shared" si="4"/>
        <v>1</v>
      </c>
      <c r="I243" s="6" t="str">
        <f>IFERROR(__xludf.DUMMYFUNCTION("MAX(FILTER($H$2:$H350,$E$2:$E350=F243))"),"#N/A")</f>
        <v>#N/A</v>
      </c>
    </row>
    <row r="244">
      <c r="A244" s="4"/>
      <c r="C244" s="4" t="s">
        <v>293</v>
      </c>
      <c r="D244" s="4" t="str">
        <f t="shared" si="1"/>
        <v>{"valorA":"bem","valorB":4.0}</v>
      </c>
      <c r="E244" s="8" t="str">
        <f t="shared" si="2"/>
        <v>bem</v>
      </c>
      <c r="F244" s="8"/>
      <c r="G244" s="8" t="str">
        <f t="shared" si="3"/>
        <v>4.0</v>
      </c>
      <c r="H244" s="9">
        <f t="shared" si="4"/>
        <v>4</v>
      </c>
      <c r="I244" s="6" t="str">
        <f>IFERROR(__xludf.DUMMYFUNCTION("MAX(FILTER($H$2:$H350,$E$2:$E350=F244))"),"#N/A")</f>
        <v>#N/A</v>
      </c>
    </row>
    <row r="245">
      <c r="A245" s="4"/>
      <c r="C245" s="4" t="s">
        <v>477</v>
      </c>
      <c r="D245" s="4" t="str">
        <f t="shared" si="1"/>
        <v>{"valorA":"e","valorB":11.0}</v>
      </c>
      <c r="E245" s="8" t="str">
        <f t="shared" si="2"/>
        <v>e</v>
      </c>
      <c r="F245" s="8"/>
      <c r="G245" s="8" t="str">
        <f t="shared" si="3"/>
        <v>11.0</v>
      </c>
      <c r="H245" s="9">
        <f t="shared" si="4"/>
        <v>11</v>
      </c>
      <c r="I245" s="6" t="str">
        <f>IFERROR(__xludf.DUMMYFUNCTION("MAX(FILTER($H$2:$H350,$E$2:$E350=F245))"),"#N/A")</f>
        <v>#N/A</v>
      </c>
    </row>
    <row r="246">
      <c r="A246" s="4"/>
      <c r="C246" s="4" t="s">
        <v>788</v>
      </c>
      <c r="D246" s="4" t="str">
        <f t="shared" si="1"/>
        <v>{"valorA":"de","valorB":12.0}</v>
      </c>
      <c r="E246" s="8" t="str">
        <f t="shared" si="2"/>
        <v>de</v>
      </c>
      <c r="F246" s="8"/>
      <c r="G246" s="8" t="str">
        <f t="shared" si="3"/>
        <v>12.0</v>
      </c>
      <c r="H246" s="9">
        <f t="shared" si="4"/>
        <v>12</v>
      </c>
      <c r="I246" s="6" t="str">
        <f>IFERROR(__xludf.DUMMYFUNCTION("MAX(FILTER($H$2:$H350,$E$2:$E350=F246))"),"#N/A")</f>
        <v>#N/A</v>
      </c>
    </row>
    <row r="247">
      <c r="A247" s="4"/>
      <c r="C247" s="4" t="s">
        <v>426</v>
      </c>
      <c r="D247" s="4" t="str">
        <f t="shared" si="1"/>
        <v>{"valorA":"creme","valorB":3.0}</v>
      </c>
      <c r="E247" s="8" t="str">
        <f t="shared" si="2"/>
        <v>creme</v>
      </c>
      <c r="F247" s="8"/>
      <c r="G247" s="8" t="str">
        <f t="shared" si="3"/>
        <v>3.0</v>
      </c>
      <c r="H247" s="9">
        <f t="shared" si="4"/>
        <v>3</v>
      </c>
      <c r="I247" s="6" t="str">
        <f>IFERROR(__xludf.DUMMYFUNCTION("MAX(FILTER($H$2:$H350,$E$2:$E350=F247))"),"#N/A")</f>
        <v>#N/A</v>
      </c>
    </row>
    <row r="248">
      <c r="A248" s="4"/>
      <c r="C248" s="4" t="s">
        <v>1093</v>
      </c>
      <c r="D248" s="4" t="str">
        <f t="shared" si="1"/>
        <v>{"valorA":"ouvido","valorB":1.0}</v>
      </c>
      <c r="E248" s="8" t="str">
        <f t="shared" si="2"/>
        <v>ouvido</v>
      </c>
      <c r="F248" s="8"/>
      <c r="G248" s="8" t="str">
        <f t="shared" si="3"/>
        <v>1.0</v>
      </c>
      <c r="H248" s="9">
        <f t="shared" si="4"/>
        <v>1</v>
      </c>
      <c r="I248" s="6" t="str">
        <f>IFERROR(__xludf.DUMMYFUNCTION("MAX(FILTER($H$2:$H350,$E$2:$E350=F248))"),"#N/A")</f>
        <v>#N/A</v>
      </c>
    </row>
    <row r="249">
      <c r="A249" s="4"/>
      <c r="C249" s="4" t="s">
        <v>1094</v>
      </c>
      <c r="D249" s="4" t="str">
        <f t="shared" si="1"/>
        <v>{"valorA":"fone","valorB":1.0}</v>
      </c>
      <c r="E249" s="8" t="str">
        <f t="shared" si="2"/>
        <v>fone</v>
      </c>
      <c r="F249" s="8"/>
      <c r="G249" s="8" t="str">
        <f t="shared" si="3"/>
        <v>1.0</v>
      </c>
      <c r="H249" s="9">
        <f t="shared" si="4"/>
        <v>1</v>
      </c>
      <c r="I249" s="6" t="str">
        <f>IFERROR(__xludf.DUMMYFUNCTION("MAX(FILTER($H$2:$H350,$E$2:$E350=F249))"),"#N/A")</f>
        <v>#N/A</v>
      </c>
    </row>
    <row r="250">
      <c r="A250" s="4"/>
      <c r="C250" s="4" t="s">
        <v>429</v>
      </c>
      <c r="D250" s="4" t="str">
        <f t="shared" si="1"/>
        <v>{"valorA":"gostei","valorB":5.0}</v>
      </c>
      <c r="E250" s="8" t="str">
        <f t="shared" si="2"/>
        <v>gostei</v>
      </c>
      <c r="F250" s="8"/>
      <c r="G250" s="8" t="str">
        <f t="shared" si="3"/>
        <v>5.0</v>
      </c>
      <c r="H250" s="9">
        <f t="shared" si="4"/>
        <v>5</v>
      </c>
      <c r="I250" s="6" t="str">
        <f>IFERROR(__xludf.DUMMYFUNCTION("MAX(FILTER($H$2:$H350,$E$2:$E350=F250))"),"#N/A")</f>
        <v>#N/A</v>
      </c>
    </row>
    <row r="251">
      <c r="A251" s="4"/>
      <c r="C251" s="4" t="s">
        <v>413</v>
      </c>
      <c r="D251" s="4" t="str">
        <f t="shared" si="1"/>
        <v>{"valorA":"produto","valorB":24.0}</v>
      </c>
      <c r="E251" s="8" t="str">
        <f t="shared" si="2"/>
        <v>produto</v>
      </c>
      <c r="F251" s="8"/>
      <c r="G251" s="8" t="str">
        <f t="shared" si="3"/>
        <v>24.0</v>
      </c>
      <c r="H251" s="9">
        <f t="shared" si="4"/>
        <v>24</v>
      </c>
      <c r="I251" s="6" t="str">
        <f>IFERROR(__xludf.DUMMYFUNCTION("MAX(FILTER($H$2:$H350,$E$2:$E350=F251))"),"#N/A")</f>
        <v>#N/A</v>
      </c>
    </row>
    <row r="252">
      <c r="A252" s="4"/>
      <c r="C252" s="4" t="s">
        <v>394</v>
      </c>
      <c r="D252" s="4" t="str">
        <f t="shared" si="1"/>
        <v>{"valorA":"ótimo","valorB":34.0}</v>
      </c>
      <c r="E252" s="8" t="str">
        <f t="shared" si="2"/>
        <v>ótimo</v>
      </c>
      <c r="F252" s="8"/>
      <c r="G252" s="8" t="str">
        <f t="shared" si="3"/>
        <v>34.0</v>
      </c>
      <c r="H252" s="9">
        <f t="shared" si="4"/>
        <v>34</v>
      </c>
      <c r="I252" s="6" t="str">
        <f>IFERROR(__xludf.DUMMYFUNCTION("MAX(FILTER($H$2:$H350,$E$2:$E350=F252))"),"#N/A")</f>
        <v>#N/A</v>
      </c>
    </row>
    <row r="253">
      <c r="A253" s="4"/>
      <c r="C253" s="4" t="s">
        <v>317</v>
      </c>
      <c r="D253" s="4" t="str">
        <f t="shared" si="1"/>
        <v>{"valorA":"esse","valorB":5.0}</v>
      </c>
      <c r="E253" s="8" t="str">
        <f t="shared" si="2"/>
        <v>esse</v>
      </c>
      <c r="F253" s="8"/>
      <c r="G253" s="8" t="str">
        <f t="shared" si="3"/>
        <v>5.0</v>
      </c>
      <c r="H253" s="9">
        <f t="shared" si="4"/>
        <v>5</v>
      </c>
      <c r="I253" s="6" t="str">
        <f>IFERROR(__xludf.DUMMYFUNCTION("MAX(FILTER($H$2:$H350,$E$2:$E350=F253))"),"#N/A")</f>
        <v>#N/A</v>
      </c>
    </row>
    <row r="254">
      <c r="A254" s="4"/>
      <c r="C254" s="4" t="s">
        <v>1297</v>
      </c>
      <c r="D254" s="4" t="str">
        <f t="shared" si="1"/>
        <v>{"valorA":"essa","valorB":5.0}</v>
      </c>
      <c r="E254" s="8" t="str">
        <f t="shared" si="2"/>
        <v>essa</v>
      </c>
      <c r="F254" s="8"/>
      <c r="G254" s="8" t="str">
        <f t="shared" si="3"/>
        <v>5.0</v>
      </c>
      <c r="H254" s="9">
        <f t="shared" si="4"/>
        <v>5</v>
      </c>
      <c r="I254" s="6" t="str">
        <f>IFERROR(__xludf.DUMMYFUNCTION("MAX(FILTER($H$2:$H350,$E$2:$E350=F254))"),"#N/A")</f>
        <v>#N/A</v>
      </c>
    </row>
    <row r="255">
      <c r="A255" s="4"/>
      <c r="C255" s="4" t="s">
        <v>829</v>
      </c>
      <c r="D255" s="4" t="str">
        <f t="shared" si="1"/>
        <v>{"valorA":"muito","valorB":13.0}</v>
      </c>
      <c r="E255" s="8" t="str">
        <f t="shared" si="2"/>
        <v>muito</v>
      </c>
      <c r="F255" s="8"/>
      <c r="G255" s="8" t="str">
        <f t="shared" si="3"/>
        <v>13.0</v>
      </c>
      <c r="H255" s="9">
        <f t="shared" si="4"/>
        <v>13</v>
      </c>
      <c r="I255" s="6" t="str">
        <f>IFERROR(__xludf.DUMMYFUNCTION("MAX(FILTER($H$2:$H350,$E$2:$E350=F255))"),"#N/A")</f>
        <v>#N/A</v>
      </c>
    </row>
    <row r="256">
      <c r="A256" s="4"/>
      <c r="C256" s="4" t="s">
        <v>1298</v>
      </c>
      <c r="D256" s="4" t="str">
        <f t="shared" si="1"/>
        <v>{"valorA":"sampler","valorB":2.0}</v>
      </c>
      <c r="E256" s="8" t="str">
        <f t="shared" si="2"/>
        <v>sampler</v>
      </c>
      <c r="F256" s="8"/>
      <c r="G256" s="8" t="str">
        <f t="shared" si="3"/>
        <v>2.0</v>
      </c>
      <c r="H256" s="9">
        <f t="shared" si="4"/>
        <v>2</v>
      </c>
      <c r="I256" s="6" t="str">
        <f>IFERROR(__xludf.DUMMYFUNCTION("MAX(FILTER($H$2:$H350,$E$2:$E350=F256))"),"#N/A")</f>
        <v>#N/A</v>
      </c>
    </row>
    <row r="257">
      <c r="A257" s="4"/>
      <c r="C257" s="4" t="s">
        <v>1299</v>
      </c>
      <c r="D257" s="4" t="str">
        <f t="shared" si="1"/>
        <v>{"valorA":"cosméticos","valorB":2.0}</v>
      </c>
      <c r="E257" s="8" t="str">
        <f t="shared" si="2"/>
        <v>cosméticos</v>
      </c>
      <c r="F257" s="8"/>
      <c r="G257" s="8" t="str">
        <f t="shared" si="3"/>
        <v>2.0</v>
      </c>
      <c r="H257" s="9">
        <f t="shared" si="4"/>
        <v>2</v>
      </c>
      <c r="I257" s="6" t="str">
        <f>IFERROR(__xludf.DUMMYFUNCTION("MAX(FILTER($H$2:$H350,$E$2:$E350=F257))"),"#N/A")</f>
        <v>#N/A</v>
      </c>
    </row>
    <row r="258">
      <c r="A258" s="4"/>
      <c r="C258" s="4" t="s">
        <v>1300</v>
      </c>
      <c r="D258" s="4" t="str">
        <f t="shared" si="1"/>
        <v>{"valorA":"é","valorB":15.0}</v>
      </c>
      <c r="E258" s="8" t="str">
        <f t="shared" si="2"/>
        <v>é</v>
      </c>
      <c r="F258" s="8"/>
      <c r="G258" s="8" t="str">
        <f t="shared" si="3"/>
        <v>15.0</v>
      </c>
      <c r="H258" s="9">
        <f t="shared" si="4"/>
        <v>15</v>
      </c>
      <c r="I258" s="6" t="str">
        <f>IFERROR(__xludf.DUMMYFUNCTION("MAX(FILTER($H$2:$H350,$E$2:$E350=F258))"),"#N/A")</f>
        <v>#N/A</v>
      </c>
    </row>
    <row r="259">
      <c r="A259" s="4"/>
      <c r="C259" s="4" t="s">
        <v>852</v>
      </c>
      <c r="D259" s="4" t="str">
        <f t="shared" si="1"/>
        <v>{"valorA":"meu","valorB":7.0}</v>
      </c>
      <c r="E259" s="8" t="str">
        <f t="shared" si="2"/>
        <v>meu</v>
      </c>
      <c r="F259" s="8"/>
      <c r="G259" s="8" t="str">
        <f t="shared" si="3"/>
        <v>7.0</v>
      </c>
      <c r="H259" s="9">
        <f t="shared" si="4"/>
        <v>7</v>
      </c>
      <c r="I259" s="6" t="str">
        <f>IFERROR(__xludf.DUMMYFUNCTION("MAX(FILTER($H$2:$H350,$E$2:$E350=F259))"),"#N/A")</f>
        <v>#N/A</v>
      </c>
    </row>
    <row r="260">
      <c r="A260" s="4"/>
      <c r="C260" s="4" t="s">
        <v>1301</v>
      </c>
      <c r="D260" s="4" t="str">
        <f t="shared" si="1"/>
        <v>{"valorA":"incrível","valorB":8.0}</v>
      </c>
      <c r="E260" s="8" t="str">
        <f t="shared" si="2"/>
        <v>incrível</v>
      </c>
      <c r="F260" s="8"/>
      <c r="G260" s="8" t="str">
        <f t="shared" si="3"/>
        <v>8.0</v>
      </c>
      <c r="H260" s="9">
        <f t="shared" si="4"/>
        <v>8</v>
      </c>
      <c r="I260" s="6" t="str">
        <f>IFERROR(__xludf.DUMMYFUNCTION("MAX(FILTER($H$2:$H350,$E$2:$E350=F260))"),"#N/A")</f>
        <v>#N/A</v>
      </c>
    </row>
    <row r="261">
      <c r="A261" s="4"/>
      <c r="C261" s="4" t="s">
        <v>753</v>
      </c>
      <c r="D261" s="4" t="str">
        <f t="shared" si="1"/>
        <v>{"valorA":"e","valorB":12.0}</v>
      </c>
      <c r="E261" s="8" t="str">
        <f t="shared" si="2"/>
        <v>e</v>
      </c>
      <c r="F261" s="8"/>
      <c r="G261" s="8" t="str">
        <f t="shared" si="3"/>
        <v>12.0</v>
      </c>
      <c r="H261" s="9">
        <f t="shared" si="4"/>
        <v>12</v>
      </c>
      <c r="I261" s="6" t="str">
        <f>IFERROR(__xludf.DUMMYFUNCTION("MAX(FILTER($H$2:$H350,$E$2:$E350=F261))"),"#N/A")</f>
        <v>#N/A</v>
      </c>
    </row>
    <row r="262">
      <c r="A262" s="4"/>
      <c r="C262" s="4" t="s">
        <v>237</v>
      </c>
      <c r="D262" s="4" t="str">
        <f t="shared" si="1"/>
        <v>{"valorA":"frigorifico","valorB":1.0}</v>
      </c>
      <c r="E262" s="8" t="str">
        <f t="shared" si="2"/>
        <v>frigorifico</v>
      </c>
      <c r="F262" s="8"/>
      <c r="G262" s="8" t="str">
        <f t="shared" si="3"/>
        <v>1.0</v>
      </c>
      <c r="H262" s="9">
        <f t="shared" si="4"/>
        <v>1</v>
      </c>
      <c r="I262" s="6" t="str">
        <f>IFERROR(__xludf.DUMMYFUNCTION("MAX(FILTER($H$2:$H350,$E$2:$E350=F262))"),"#N/A")</f>
        <v>#N/A</v>
      </c>
    </row>
    <row r="263">
      <c r="A263" s="4"/>
      <c r="C263" s="4" t="s">
        <v>1302</v>
      </c>
      <c r="D263" s="4" t="str">
        <f t="shared" si="1"/>
        <v>{"valorA":"carro","valorB":5.0}</v>
      </c>
      <c r="E263" s="8" t="str">
        <f t="shared" si="2"/>
        <v>carro</v>
      </c>
      <c r="F263" s="8"/>
      <c r="G263" s="8" t="str">
        <f t="shared" si="3"/>
        <v>5.0</v>
      </c>
      <c r="H263" s="9">
        <f t="shared" si="4"/>
        <v>5</v>
      </c>
      <c r="I263" s="6" t="str">
        <f>IFERROR(__xludf.DUMMYFUNCTION("MAX(FILTER($H$2:$H350,$E$2:$E350=F263))"),"#N/A")</f>
        <v>#N/A</v>
      </c>
    </row>
    <row r="264">
      <c r="A264" s="4"/>
      <c r="C264" s="4" t="s">
        <v>462</v>
      </c>
      <c r="D264" s="4" t="str">
        <f t="shared" si="1"/>
        <v>{"valorA":"do","valorB":3.0}</v>
      </c>
      <c r="E264" s="8" t="str">
        <f t="shared" si="2"/>
        <v>do</v>
      </c>
      <c r="F264" s="8"/>
      <c r="G264" s="8" t="str">
        <f t="shared" si="3"/>
        <v>3.0</v>
      </c>
      <c r="H264" s="9">
        <f t="shared" si="4"/>
        <v>3</v>
      </c>
      <c r="I264" s="6" t="str">
        <f>IFERROR(__xludf.DUMMYFUNCTION("MAX(FILTER($H$2:$H350,$E$2:$E350=F264))"),"#N/A")</f>
        <v>#N/A</v>
      </c>
    </row>
    <row r="265">
      <c r="A265" s="4"/>
      <c r="C265" s="4" t="s">
        <v>766</v>
      </c>
      <c r="D265" s="4" t="str">
        <f t="shared" si="1"/>
        <v>{"valorA":"produto","valorB":25.0}</v>
      </c>
      <c r="E265" s="8" t="str">
        <f t="shared" si="2"/>
        <v>produto</v>
      </c>
      <c r="F265" s="8"/>
      <c r="G265" s="8" t="str">
        <f t="shared" si="3"/>
        <v>25.0</v>
      </c>
      <c r="H265" s="9">
        <f t="shared" si="4"/>
        <v>25</v>
      </c>
      <c r="I265" s="6" t="str">
        <f>IFERROR(__xludf.DUMMYFUNCTION("MAX(FILTER($H$2:$H350,$E$2:$E350=F265))"),"#N/A")</f>
        <v>#N/A</v>
      </c>
    </row>
    <row r="266">
      <c r="A266" s="4"/>
      <c r="C266" s="4" t="s">
        <v>715</v>
      </c>
      <c r="D266" s="4" t="str">
        <f t="shared" si="1"/>
        <v>{"valorA":"gostei","valorB":6.0}</v>
      </c>
      <c r="E266" s="8" t="str">
        <f t="shared" si="2"/>
        <v>gostei</v>
      </c>
      <c r="F266" s="8"/>
      <c r="G266" s="8" t="str">
        <f t="shared" si="3"/>
        <v>6.0</v>
      </c>
      <c r="H266" s="9">
        <f t="shared" si="4"/>
        <v>6</v>
      </c>
      <c r="I266" s="6" t="str">
        <f>IFERROR(__xludf.DUMMYFUNCTION("MAX(FILTER($H$2:$H350,$E$2:$E350=F266))"),"#N/A")</f>
        <v>#N/A</v>
      </c>
    </row>
    <row r="267">
      <c r="A267" s="4"/>
      <c r="C267" s="4" t="s">
        <v>768</v>
      </c>
      <c r="D267" s="4" t="str">
        <f t="shared" si="1"/>
        <v>{"valorA":"ótimo","valorB":35.0}</v>
      </c>
      <c r="E267" s="8" t="str">
        <f t="shared" si="2"/>
        <v>ótimo</v>
      </c>
      <c r="F267" s="8"/>
      <c r="G267" s="8" t="str">
        <f t="shared" si="3"/>
        <v>35.0</v>
      </c>
      <c r="H267" s="9">
        <f t="shared" si="4"/>
        <v>35</v>
      </c>
      <c r="I267" s="6" t="str">
        <f>IFERROR(__xludf.DUMMYFUNCTION("MAX(FILTER($H$2:$H350,$E$2:$E350=F267))"),"#N/A")</f>
        <v>#N/A</v>
      </c>
    </row>
    <row r="268">
      <c r="A268" s="4"/>
      <c r="C268" s="4" t="s">
        <v>356</v>
      </c>
      <c r="D268" s="4" t="str">
        <f t="shared" si="1"/>
        <v>{"valorA":"esse","valorB":6.0}</v>
      </c>
      <c r="E268" s="8" t="str">
        <f t="shared" si="2"/>
        <v>esse</v>
      </c>
      <c r="F268" s="8"/>
      <c r="G268" s="8" t="str">
        <f t="shared" si="3"/>
        <v>6.0</v>
      </c>
      <c r="H268" s="9">
        <f t="shared" si="4"/>
        <v>6</v>
      </c>
      <c r="I268" s="6" t="str">
        <f>IFERROR(__xludf.DUMMYFUNCTION("MAX(FILTER($H$2:$H350,$E$2:$E350=F268))"),"#N/A")</f>
        <v>#N/A</v>
      </c>
    </row>
    <row r="269">
      <c r="A269" s="4"/>
      <c r="C269" s="4" t="s">
        <v>1161</v>
      </c>
      <c r="D269" s="4" t="str">
        <f t="shared" si="1"/>
        <v>{"valorA":"perfeitamente","valorB":8.0}</v>
      </c>
      <c r="E269" s="8" t="str">
        <f t="shared" si="2"/>
        <v>perfeitamente</v>
      </c>
      <c r="F269" s="8"/>
      <c r="G269" s="8" t="str">
        <f t="shared" si="3"/>
        <v>8.0</v>
      </c>
      <c r="H269" s="9">
        <f t="shared" si="4"/>
        <v>8</v>
      </c>
      <c r="I269" s="6" t="str">
        <f>IFERROR(__xludf.DUMMYFUNCTION("MAX(FILTER($H$2:$H350,$E$2:$E350=F269))"),"#N/A")</f>
        <v>#N/A</v>
      </c>
    </row>
    <row r="270">
      <c r="A270" s="4"/>
      <c r="C270" s="4" t="s">
        <v>397</v>
      </c>
      <c r="D270" s="4" t="str">
        <f t="shared" si="1"/>
        <v>{"valorA":"muito","valorB":14.0}</v>
      </c>
      <c r="E270" s="8" t="str">
        <f t="shared" si="2"/>
        <v>muito</v>
      </c>
      <c r="F270" s="8"/>
      <c r="G270" s="8" t="str">
        <f t="shared" si="3"/>
        <v>14.0</v>
      </c>
      <c r="H270" s="9">
        <f t="shared" si="4"/>
        <v>14</v>
      </c>
      <c r="I270" s="6" t="str">
        <f>IFERROR(__xludf.DUMMYFUNCTION("MAX(FILTER($H$2:$H350,$E$2:$E350=F270))"),"#N/A")</f>
        <v>#N/A</v>
      </c>
    </row>
    <row r="271">
      <c r="A271" s="4"/>
      <c r="C271" s="4" t="s">
        <v>1303</v>
      </c>
      <c r="D271" s="4" t="str">
        <f t="shared" si="1"/>
        <v>{"valorA":"performance","valorB":2.0}</v>
      </c>
      <c r="E271" s="8" t="str">
        <f t="shared" si="2"/>
        <v>performance</v>
      </c>
      <c r="F271" s="8"/>
      <c r="G271" s="8" t="str">
        <f t="shared" si="3"/>
        <v>2.0</v>
      </c>
      <c r="H271" s="9">
        <f t="shared" si="4"/>
        <v>2</v>
      </c>
      <c r="I271" s="6" t="str">
        <f>IFERROR(__xludf.DUMMYFUNCTION("MAX(FILTER($H$2:$H350,$E$2:$E350=F271))"),"#N/A")</f>
        <v>#N/A</v>
      </c>
    </row>
    <row r="272">
      <c r="A272" s="4"/>
      <c r="C272" s="4" t="s">
        <v>1304</v>
      </c>
      <c r="D272" s="4" t="str">
        <f t="shared" si="1"/>
        <v>{"valorA":"novo","valorB":6.0}</v>
      </c>
      <c r="E272" s="8" t="str">
        <f t="shared" si="2"/>
        <v>novo</v>
      </c>
      <c r="F272" s="8"/>
      <c r="G272" s="8" t="str">
        <f t="shared" si="3"/>
        <v>6.0</v>
      </c>
      <c r="H272" s="9">
        <f t="shared" si="4"/>
        <v>6</v>
      </c>
      <c r="I272" s="6" t="str">
        <f>IFERROR(__xludf.DUMMYFUNCTION("MAX(FILTER($H$2:$H350,$E$2:$E350=F272))"),"#N/A")</f>
        <v>#N/A</v>
      </c>
    </row>
    <row r="273">
      <c r="A273" s="4"/>
      <c r="C273" s="4" t="s">
        <v>434</v>
      </c>
      <c r="D273" s="4" t="str">
        <f t="shared" si="1"/>
        <v>{"valorA":"funciona","valorB":10.0}</v>
      </c>
      <c r="E273" s="8" t="str">
        <f t="shared" si="2"/>
        <v>funciona</v>
      </c>
      <c r="F273" s="8"/>
      <c r="G273" s="8" t="str">
        <f t="shared" si="3"/>
        <v>10.0</v>
      </c>
      <c r="H273" s="9">
        <f t="shared" si="4"/>
        <v>10</v>
      </c>
      <c r="I273" s="6" t="str">
        <f>IFERROR(__xludf.DUMMYFUNCTION("MAX(FILTER($H$2:$H350,$E$2:$E350=F273))"),"#N/A")</f>
        <v>#N/A</v>
      </c>
    </row>
    <row r="274">
      <c r="A274" s="4"/>
      <c r="C274" s="4" t="s">
        <v>467</v>
      </c>
      <c r="D274" s="4" t="str">
        <f t="shared" si="1"/>
        <v>{"valorA":"design","valorB":2.0}</v>
      </c>
      <c r="E274" s="8" t="str">
        <f t="shared" si="2"/>
        <v>design</v>
      </c>
      <c r="F274" s="8"/>
      <c r="G274" s="8" t="str">
        <f t="shared" si="3"/>
        <v>2.0</v>
      </c>
      <c r="H274" s="9">
        <f t="shared" si="4"/>
        <v>2</v>
      </c>
      <c r="I274" s="6" t="str">
        <f>IFERROR(__xludf.DUMMYFUNCTION("MAX(FILTER($H$2:$H350,$E$2:$E350=F274))"),"#N/A")</f>
        <v>#N/A</v>
      </c>
    </row>
    <row r="275">
      <c r="A275" s="4"/>
      <c r="C275" s="4" t="s">
        <v>402</v>
      </c>
      <c r="D275" s="4" t="str">
        <f t="shared" si="1"/>
        <v>{"valorA":"da","valorB":2.0}</v>
      </c>
      <c r="E275" s="8" t="str">
        <f t="shared" si="2"/>
        <v>da</v>
      </c>
      <c r="F275" s="8"/>
      <c r="G275" s="8" t="str">
        <f t="shared" si="3"/>
        <v>2.0</v>
      </c>
      <c r="H275" s="9">
        <f t="shared" si="4"/>
        <v>2</v>
      </c>
      <c r="I275" s="6" t="str">
        <f>IFERROR(__xludf.DUMMYFUNCTION("MAX(FILTER($H$2:$H350,$E$2:$E350=F275))"),"#N/A")</f>
        <v>#N/A</v>
      </c>
    </row>
    <row r="276">
      <c r="A276" s="4"/>
      <c r="C276" s="4" t="s">
        <v>1305</v>
      </c>
      <c r="D276" s="4" t="str">
        <f t="shared" si="1"/>
        <v>{"valorA":"é","valorB":16.0}</v>
      </c>
      <c r="E276" s="8" t="str">
        <f t="shared" si="2"/>
        <v>é</v>
      </c>
      <c r="F276" s="8"/>
      <c r="G276" s="8" t="str">
        <f t="shared" si="3"/>
        <v>16.0</v>
      </c>
      <c r="H276" s="9">
        <f t="shared" si="4"/>
        <v>16</v>
      </c>
      <c r="I276" s="6" t="str">
        <f>IFERROR(__xludf.DUMMYFUNCTION("MAX(FILTER($H$2:$H350,$E$2:$E350=F276))"),"#N/A")</f>
        <v>#N/A</v>
      </c>
    </row>
    <row r="277">
      <c r="A277" s="4"/>
      <c r="C277" s="4" t="s">
        <v>672</v>
      </c>
      <c r="D277" s="4" t="str">
        <f t="shared" si="1"/>
        <v>{"valorA":"comprar","valorB":1.0}</v>
      </c>
      <c r="E277" s="8" t="str">
        <f t="shared" si="2"/>
        <v>comprar</v>
      </c>
      <c r="F277" s="8"/>
      <c r="G277" s="8" t="str">
        <f t="shared" si="3"/>
        <v>1.0</v>
      </c>
      <c r="H277" s="9">
        <f t="shared" si="4"/>
        <v>1</v>
      </c>
      <c r="I277" s="6" t="str">
        <f>IFERROR(__xludf.DUMMYFUNCTION("MAX(FILTER($H$2:$H350,$E$2:$E350=F277))"),"#N/A")</f>
        <v>#N/A</v>
      </c>
    </row>
    <row r="278">
      <c r="A278" s="4"/>
      <c r="C278" s="4" t="s">
        <v>1306</v>
      </c>
      <c r="D278" s="4" t="str">
        <f t="shared" si="1"/>
        <v>{"valorA":"meu","valorB":8.0}</v>
      </c>
      <c r="E278" s="8" t="str">
        <f t="shared" si="2"/>
        <v>meu</v>
      </c>
      <c r="F278" s="8"/>
      <c r="G278" s="8" t="str">
        <f t="shared" si="3"/>
        <v>8.0</v>
      </c>
      <c r="H278" s="9">
        <f t="shared" si="4"/>
        <v>8</v>
      </c>
      <c r="I278" s="6" t="str">
        <f>IFERROR(__xludf.DUMMYFUNCTION("MAX(FILTER($H$2:$H350,$E$2:$E350=F278))"),"#N/A")</f>
        <v>#N/A</v>
      </c>
    </row>
    <row r="279">
      <c r="A279" s="4"/>
      <c r="C279" s="4" t="s">
        <v>1140</v>
      </c>
      <c r="D279" s="4" t="str">
        <f t="shared" si="1"/>
        <v>{"valorA":"pena","valorB":3.0}</v>
      </c>
      <c r="E279" s="8" t="str">
        <f t="shared" si="2"/>
        <v>pena</v>
      </c>
      <c r="F279" s="8"/>
      <c r="G279" s="8" t="str">
        <f t="shared" si="3"/>
        <v>3.0</v>
      </c>
      <c r="H279" s="9">
        <f t="shared" si="4"/>
        <v>3</v>
      </c>
      <c r="I279" s="6" t="str">
        <f>IFERROR(__xludf.DUMMYFUNCTION("MAX(FILTER($H$2:$H350,$E$2:$E350=F279))"),"#N/A")</f>
        <v>#N/A</v>
      </c>
    </row>
    <row r="280">
      <c r="A280" s="4"/>
      <c r="C280" s="4" t="s">
        <v>308</v>
      </c>
      <c r="D280" s="4" t="str">
        <f t="shared" si="1"/>
        <v>{"valorA":"bem","valorB":5.0}</v>
      </c>
      <c r="E280" s="8" t="str">
        <f t="shared" si="2"/>
        <v>bem</v>
      </c>
      <c r="F280" s="8"/>
      <c r="G280" s="8" t="str">
        <f t="shared" si="3"/>
        <v>5.0</v>
      </c>
      <c r="H280" s="9">
        <f t="shared" si="4"/>
        <v>5</v>
      </c>
      <c r="I280" s="6" t="str">
        <f>IFERROR(__xludf.DUMMYFUNCTION("MAX(FILTER($H$2:$H350,$E$2:$E350=F280))"),"#N/A")</f>
        <v>#N/A</v>
      </c>
    </row>
    <row r="281">
      <c r="A281" s="4"/>
      <c r="C281" s="4" t="s">
        <v>1307</v>
      </c>
      <c r="D281" s="4" t="str">
        <f t="shared" si="1"/>
        <v>{"valorA":"incrível","valorB":9.0}</v>
      </c>
      <c r="E281" s="8" t="str">
        <f t="shared" si="2"/>
        <v>incrível</v>
      </c>
      <c r="F281" s="8"/>
      <c r="G281" s="8" t="str">
        <f t="shared" si="3"/>
        <v>9.0</v>
      </c>
      <c r="H281" s="9">
        <f t="shared" si="4"/>
        <v>9</v>
      </c>
      <c r="I281" s="6" t="str">
        <f>IFERROR(__xludf.DUMMYFUNCTION("MAX(FILTER($H$2:$H350,$E$2:$E350=F281))"),"#N/A")</f>
        <v>#N/A</v>
      </c>
    </row>
    <row r="282">
      <c r="A282" s="4"/>
      <c r="C282" s="4" t="s">
        <v>609</v>
      </c>
      <c r="D282" s="4" t="str">
        <f t="shared" si="1"/>
        <v>{"valorA":"confiabilidade","valorB":1.0}</v>
      </c>
      <c r="E282" s="8" t="str">
        <f t="shared" si="2"/>
        <v>confiabilidade</v>
      </c>
      <c r="F282" s="8"/>
      <c r="G282" s="8" t="str">
        <f t="shared" si="3"/>
        <v>1.0</v>
      </c>
      <c r="H282" s="9">
        <f t="shared" si="4"/>
        <v>1</v>
      </c>
      <c r="I282" s="6" t="str">
        <f>IFERROR(__xludf.DUMMYFUNCTION("MAX(FILTER($H$2:$H350,$E$2:$E350=F282))"),"#N/A")</f>
        <v>#N/A</v>
      </c>
    </row>
    <row r="283">
      <c r="A283" s="4"/>
      <c r="C283" s="4" t="s">
        <v>777</v>
      </c>
      <c r="D283" s="4" t="str">
        <f t="shared" si="1"/>
        <v>{"valorA":"e","valorB":13.0}</v>
      </c>
      <c r="E283" s="8" t="str">
        <f t="shared" si="2"/>
        <v>e</v>
      </c>
      <c r="F283" s="8"/>
      <c r="G283" s="8" t="str">
        <f t="shared" si="3"/>
        <v>13.0</v>
      </c>
      <c r="H283" s="9">
        <f t="shared" si="4"/>
        <v>13</v>
      </c>
      <c r="I283" s="6" t="str">
        <f>IFERROR(__xludf.DUMMYFUNCTION("MAX(FILTER($H$2:$H350,$E$2:$E350=F283))"),"#N/A")</f>
        <v>#N/A</v>
      </c>
    </row>
    <row r="284">
      <c r="A284" s="4"/>
      <c r="C284" s="4" t="s">
        <v>1308</v>
      </c>
      <c r="D284" s="4" t="str">
        <f t="shared" si="1"/>
        <v>{"valorA":"feito","valorB":1.0}</v>
      </c>
      <c r="E284" s="8" t="str">
        <f t="shared" si="2"/>
        <v>feito</v>
      </c>
      <c r="F284" s="8"/>
      <c r="G284" s="8" t="str">
        <f t="shared" si="3"/>
        <v>1.0</v>
      </c>
      <c r="H284" s="9">
        <f t="shared" si="4"/>
        <v>1</v>
      </c>
      <c r="I284" s="6" t="str">
        <f>IFERROR(__xludf.DUMMYFUNCTION("MAX(FILTER($H$2:$H350,$E$2:$E350=F284))"),"#N/A")</f>
        <v>#N/A</v>
      </c>
    </row>
    <row r="285">
      <c r="A285" s="4"/>
      <c r="C285" s="4" t="s">
        <v>1309</v>
      </c>
      <c r="D285" s="4" t="str">
        <f t="shared" si="1"/>
        <v>{"valorA":"vale","valorB":3.0}</v>
      </c>
      <c r="E285" s="8" t="str">
        <f t="shared" si="2"/>
        <v>vale</v>
      </c>
      <c r="F285" s="8"/>
      <c r="G285" s="8" t="str">
        <f t="shared" si="3"/>
        <v>3.0</v>
      </c>
      <c r="H285" s="9">
        <f t="shared" si="4"/>
        <v>3</v>
      </c>
      <c r="I285" s="6" t="str">
        <f>IFERROR(__xludf.DUMMYFUNCTION("MAX(FILTER($H$2:$H350,$E$2:$E350=F285))"),"#N/A")</f>
        <v>#N/A</v>
      </c>
    </row>
    <row r="286">
      <c r="A286" s="4"/>
      <c r="C286" s="4" t="s">
        <v>1310</v>
      </c>
      <c r="D286" s="4" t="str">
        <f t="shared" si="1"/>
        <v>{"valorA":"carro","valorB":6.0}</v>
      </c>
      <c r="E286" s="8" t="str">
        <f t="shared" si="2"/>
        <v>carro</v>
      </c>
      <c r="F286" s="8"/>
      <c r="G286" s="8" t="str">
        <f t="shared" si="3"/>
        <v>6.0</v>
      </c>
      <c r="H286" s="9">
        <f t="shared" si="4"/>
        <v>6</v>
      </c>
      <c r="I286" s="6" t="str">
        <f>IFERROR(__xludf.DUMMYFUNCTION("MAX(FILTER($H$2:$H350,$E$2:$E350=F286))"),"#N/A")</f>
        <v>#N/A</v>
      </c>
    </row>
    <row r="287">
      <c r="A287" s="4"/>
      <c r="C287" s="4" t="s">
        <v>428</v>
      </c>
      <c r="D287" s="4" t="str">
        <f t="shared" si="1"/>
        <v>{"valorA":"produto","valorB":26.0}</v>
      </c>
      <c r="E287" s="8" t="str">
        <f t="shared" si="2"/>
        <v>produto</v>
      </c>
      <c r="F287" s="8"/>
      <c r="G287" s="8" t="str">
        <f t="shared" si="3"/>
        <v>26.0</v>
      </c>
      <c r="H287" s="9">
        <f t="shared" si="4"/>
        <v>26</v>
      </c>
      <c r="I287" s="6" t="str">
        <f>IFERROR(__xludf.DUMMYFUNCTION("MAX(FILTER($H$2:$H350,$E$2:$E350=F287))"),"#N/A")</f>
        <v>#N/A</v>
      </c>
    </row>
    <row r="288">
      <c r="A288" s="4"/>
      <c r="C288" s="4" t="s">
        <v>784</v>
      </c>
      <c r="D288" s="4" t="str">
        <f t="shared" si="1"/>
        <v>{"valorA":"ótimo","valorB":37.0}</v>
      </c>
      <c r="E288" s="8" t="str">
        <f t="shared" si="2"/>
        <v>ótimo</v>
      </c>
      <c r="F288" s="8"/>
      <c r="G288" s="8" t="str">
        <f t="shared" si="3"/>
        <v>37.0</v>
      </c>
      <c r="H288" s="9">
        <f t="shared" si="4"/>
        <v>37</v>
      </c>
      <c r="I288" s="6" t="str">
        <f>IFERROR(__xludf.DUMMYFUNCTION("MAX(FILTER($H$2:$H350,$E$2:$E350=F288))"),"#N/A")</f>
        <v>#N/A</v>
      </c>
    </row>
    <row r="289">
      <c r="A289" s="4"/>
      <c r="C289" s="4" t="s">
        <v>773</v>
      </c>
      <c r="D289" s="4" t="str">
        <f t="shared" si="1"/>
        <v>{"valorA":"gostei","valorB":7.0}</v>
      </c>
      <c r="E289" s="8" t="str">
        <f t="shared" si="2"/>
        <v>gostei</v>
      </c>
      <c r="F289" s="8"/>
      <c r="G289" s="8" t="str">
        <f t="shared" si="3"/>
        <v>7.0</v>
      </c>
      <c r="H289" s="9">
        <f t="shared" si="4"/>
        <v>7</v>
      </c>
      <c r="I289" s="6" t="str">
        <f>IFERROR(__xludf.DUMMYFUNCTION("MAX(FILTER($H$2:$H350,$E$2:$E350=F289))"),"#N/A")</f>
        <v>#N/A</v>
      </c>
    </row>
    <row r="290">
      <c r="A290" s="4"/>
      <c r="C290" s="4" t="s">
        <v>449</v>
      </c>
      <c r="D290" s="4" t="str">
        <f t="shared" si="1"/>
        <v>{"valorA":"muito","valorB":16.0}</v>
      </c>
      <c r="E290" s="8" t="str">
        <f t="shared" si="2"/>
        <v>muito</v>
      </c>
      <c r="F290" s="8"/>
      <c r="G290" s="8" t="str">
        <f t="shared" si="3"/>
        <v>16.0</v>
      </c>
      <c r="H290" s="9">
        <f t="shared" si="4"/>
        <v>16</v>
      </c>
      <c r="I290" s="6" t="str">
        <f>IFERROR(__xludf.DUMMYFUNCTION("MAX(FILTER($H$2:$H350,$E$2:$E350=F290))"),"#N/A")</f>
        <v>#N/A</v>
      </c>
    </row>
    <row r="291">
      <c r="A291" s="4"/>
      <c r="C291" s="4" t="s">
        <v>1311</v>
      </c>
      <c r="D291" s="4" t="str">
        <f t="shared" si="1"/>
        <v>{"valorA":"performance","valorB":3.0}</v>
      </c>
      <c r="E291" s="8" t="str">
        <f t="shared" si="2"/>
        <v>performance</v>
      </c>
      <c r="F291" s="8"/>
      <c r="G291" s="8" t="str">
        <f t="shared" si="3"/>
        <v>3.0</v>
      </c>
      <c r="H291" s="9">
        <f t="shared" si="4"/>
        <v>3</v>
      </c>
      <c r="I291" s="6" t="str">
        <f>IFERROR(__xludf.DUMMYFUNCTION("MAX(FILTER($H$2:$H350,$E$2:$E350=F291))"),"#N/A")</f>
        <v>#N/A</v>
      </c>
    </row>
    <row r="292">
      <c r="A292" s="4"/>
      <c r="C292" s="4" t="s">
        <v>489</v>
      </c>
      <c r="D292" s="4" t="str">
        <f t="shared" si="1"/>
        <v>{"valorA":"a","valorB":6.0}</v>
      </c>
      <c r="E292" s="8" t="str">
        <f t="shared" si="2"/>
        <v>a</v>
      </c>
      <c r="F292" s="8"/>
      <c r="G292" s="8" t="str">
        <f t="shared" si="3"/>
        <v>6.0</v>
      </c>
      <c r="H292" s="9">
        <f t="shared" si="4"/>
        <v>6</v>
      </c>
      <c r="I292" s="6" t="str">
        <f>IFERROR(__xludf.DUMMYFUNCTION("MAX(FILTER($H$2:$H350,$E$2:$E350=F292))"),"#N/A")</f>
        <v>#N/A</v>
      </c>
    </row>
    <row r="293">
      <c r="A293" s="4"/>
      <c r="C293" s="4" t="s">
        <v>1312</v>
      </c>
      <c r="D293" s="4" t="str">
        <f t="shared" si="1"/>
        <v>{"valorA":"novo","valorB":7.0}</v>
      </c>
      <c r="E293" s="8" t="str">
        <f t="shared" si="2"/>
        <v>novo</v>
      </c>
      <c r="F293" s="8"/>
      <c r="G293" s="8" t="str">
        <f t="shared" si="3"/>
        <v>7.0</v>
      </c>
      <c r="H293" s="9">
        <f t="shared" si="4"/>
        <v>7</v>
      </c>
      <c r="I293" s="6" t="str">
        <f>IFERROR(__xludf.DUMMYFUNCTION("MAX(FILTER($H$2:$H350,$E$2:$E350=F293))"),"#N/A")</f>
        <v>#N/A</v>
      </c>
    </row>
    <row r="294">
      <c r="A294" s="4"/>
      <c r="C294" s="4" t="s">
        <v>1313</v>
      </c>
      <c r="D294" s="4" t="str">
        <f t="shared" si="1"/>
        <v>{"valorA":"relojoeira","valorB":4.0}</v>
      </c>
      <c r="E294" s="8" t="str">
        <f t="shared" si="2"/>
        <v>relojoeira</v>
      </c>
      <c r="F294" s="8"/>
      <c r="G294" s="8" t="str">
        <f t="shared" si="3"/>
        <v>4.0</v>
      </c>
      <c r="H294" s="9">
        <f t="shared" si="4"/>
        <v>4</v>
      </c>
      <c r="I294" s="6" t="str">
        <f>IFERROR(__xludf.DUMMYFUNCTION("MAX(FILTER($H$2:$H350,$E$2:$E350=F294))"),"#N/A")</f>
        <v>#N/A</v>
      </c>
    </row>
    <row r="295">
      <c r="A295" s="4"/>
      <c r="C295" s="4" t="s">
        <v>400</v>
      </c>
      <c r="D295" s="4" t="str">
        <f t="shared" si="1"/>
        <v>{"valorA":"adorei","valorB":2.0}</v>
      </c>
      <c r="E295" s="8" t="str">
        <f t="shared" si="2"/>
        <v>adorei</v>
      </c>
      <c r="F295" s="8"/>
      <c r="G295" s="8" t="str">
        <f t="shared" si="3"/>
        <v>2.0</v>
      </c>
      <c r="H295" s="9">
        <f t="shared" si="4"/>
        <v>2</v>
      </c>
      <c r="I295" s="6" t="str">
        <f>IFERROR(__xludf.DUMMYFUNCTION("MAX(FILTER($H$2:$H350,$E$2:$E350=F295))"),"#N/A")</f>
        <v>#N/A</v>
      </c>
    </row>
    <row r="296">
      <c r="A296" s="4"/>
      <c r="C296" s="4" t="s">
        <v>710</v>
      </c>
      <c r="D296" s="4" t="str">
        <f t="shared" si="1"/>
        <v>{"valorA":"da","valorB":3.0}</v>
      </c>
      <c r="E296" s="8" t="str">
        <f t="shared" si="2"/>
        <v>da</v>
      </c>
      <c r="F296" s="8"/>
      <c r="G296" s="8" t="str">
        <f t="shared" si="3"/>
        <v>3.0</v>
      </c>
      <c r="H296" s="9">
        <f t="shared" si="4"/>
        <v>3</v>
      </c>
      <c r="I296" s="6" t="str">
        <f>IFERROR(__xludf.DUMMYFUNCTION("MAX(FILTER($H$2:$H350,$E$2:$E350=F296))"),"#N/A")</f>
        <v>#N/A</v>
      </c>
    </row>
    <row r="297">
      <c r="A297" s="4"/>
      <c r="C297" s="4" t="s">
        <v>1314</v>
      </c>
      <c r="D297" s="4" t="str">
        <f t="shared" si="1"/>
        <v>{"valorA":"desse","valorB":4.0}</v>
      </c>
      <c r="E297" s="8" t="str">
        <f t="shared" si="2"/>
        <v>desse</v>
      </c>
      <c r="F297" s="8"/>
      <c r="G297" s="8" t="str">
        <f t="shared" si="3"/>
        <v>4.0</v>
      </c>
      <c r="H297" s="9">
        <f t="shared" si="4"/>
        <v>4</v>
      </c>
      <c r="I297" s="6" t="str">
        <f>IFERROR(__xludf.DUMMYFUNCTION("MAX(FILTER($H$2:$H350,$E$2:$E350=F297))"),"#N/A")</f>
        <v>#N/A</v>
      </c>
    </row>
    <row r="298">
      <c r="A298" s="4"/>
      <c r="C298" s="4" t="s">
        <v>1315</v>
      </c>
      <c r="D298" s="4" t="str">
        <f t="shared" si="1"/>
        <v>{"valorA":"melhorar","valorB":2.0}</v>
      </c>
      <c r="E298" s="8" t="str">
        <f t="shared" si="2"/>
        <v>melhorar</v>
      </c>
      <c r="F298" s="8"/>
      <c r="G298" s="8" t="str">
        <f t="shared" si="3"/>
        <v>2.0</v>
      </c>
      <c r="H298" s="9">
        <f t="shared" si="4"/>
        <v>2</v>
      </c>
      <c r="I298" s="6" t="str">
        <f>IFERROR(__xludf.DUMMYFUNCTION("MAX(FILTER($H$2:$H350,$E$2:$E350=F298))"),"#N/A")</f>
        <v>#N/A</v>
      </c>
    </row>
    <row r="299">
      <c r="A299" s="4"/>
      <c r="C299" s="4" t="s">
        <v>406</v>
      </c>
      <c r="D299" s="4" t="str">
        <f t="shared" si="1"/>
        <v>{"valorA":"vida","valorB":2.0}</v>
      </c>
      <c r="E299" s="8" t="str">
        <f t="shared" si="2"/>
        <v>vida</v>
      </c>
      <c r="F299" s="8"/>
      <c r="G299" s="8" t="str">
        <f t="shared" si="3"/>
        <v>2.0</v>
      </c>
      <c r="H299" s="9">
        <f t="shared" si="4"/>
        <v>2</v>
      </c>
      <c r="I299" s="6" t="str">
        <f>IFERROR(__xludf.DUMMYFUNCTION("MAX(FILTER($H$2:$H350,$E$2:$E350=F299))"),"#N/A")</f>
        <v>#N/A</v>
      </c>
    </row>
    <row r="300">
      <c r="A300" s="4"/>
      <c r="C300" s="4" t="s">
        <v>1316</v>
      </c>
      <c r="D300" s="4" t="str">
        <f t="shared" si="1"/>
        <v>{"valorA":"ajudou","valorB":2.0}</v>
      </c>
      <c r="E300" s="8" t="str">
        <f t="shared" si="2"/>
        <v>ajudou</v>
      </c>
      <c r="F300" s="8"/>
      <c r="G300" s="8" t="str">
        <f t="shared" si="3"/>
        <v>2.0</v>
      </c>
      <c r="H300" s="9">
        <f t="shared" si="4"/>
        <v>2</v>
      </c>
      <c r="I300" s="6" t="str">
        <f>IFERROR(__xludf.DUMMYFUNCTION("MAX(FILTER($H$2:$H350,$E$2:$E350=F300))"),"#N/A")</f>
        <v>#N/A</v>
      </c>
    </row>
    <row r="301">
      <c r="A301" s="4"/>
      <c r="C301" s="4" t="s">
        <v>780</v>
      </c>
      <c r="D301" s="4" t="str">
        <f t="shared" si="1"/>
        <v>{"valorA":"produto","valorB":27.0}</v>
      </c>
      <c r="E301" s="8" t="str">
        <f t="shared" si="2"/>
        <v>produto</v>
      </c>
      <c r="F301" s="8"/>
      <c r="G301" s="8" t="str">
        <f t="shared" si="3"/>
        <v>27.0</v>
      </c>
      <c r="H301" s="9">
        <f t="shared" si="4"/>
        <v>27</v>
      </c>
      <c r="I301" s="6" t="str">
        <f>IFERROR(__xludf.DUMMYFUNCTION("MAX(FILTER($H$2:$H350,$E$2:$E350=F301))"),"#N/A")</f>
        <v>#N/A</v>
      </c>
    </row>
    <row r="302">
      <c r="A302" s="4"/>
      <c r="C302" s="4" t="s">
        <v>430</v>
      </c>
      <c r="D302" s="4" t="str">
        <f t="shared" si="1"/>
        <v>{"valorA":"ótimo","valorB":38.0}</v>
      </c>
      <c r="E302" s="8" t="str">
        <f t="shared" si="2"/>
        <v>ótimo</v>
      </c>
      <c r="F302" s="8"/>
      <c r="G302" s="8" t="str">
        <f t="shared" si="3"/>
        <v>38.0</v>
      </c>
      <c r="H302" s="9">
        <f t="shared" si="4"/>
        <v>38</v>
      </c>
      <c r="I302" s="6" t="str">
        <f>IFERROR(__xludf.DUMMYFUNCTION("MAX(FILTER($H$2:$H350,$E$2:$E350=F302))"),"#N/A")</f>
        <v>#N/A</v>
      </c>
    </row>
    <row r="303">
      <c r="A303" s="4"/>
      <c r="C303" s="4" t="s">
        <v>1317</v>
      </c>
      <c r="D303" s="4" t="str">
        <f t="shared" si="1"/>
        <v>{"valorA":"realmente","valorB":6.0}</v>
      </c>
      <c r="E303" s="8" t="str">
        <f t="shared" si="2"/>
        <v>realmente</v>
      </c>
      <c r="F303" s="8"/>
      <c r="G303" s="8" t="str">
        <f t="shared" si="3"/>
        <v>6.0</v>
      </c>
      <c r="H303" s="9">
        <f t="shared" si="4"/>
        <v>6</v>
      </c>
      <c r="I303" s="6" t="str">
        <f>IFERROR(__xludf.DUMMYFUNCTION("MAX(FILTER($H$2:$H350,$E$2:$E350=F303))"),"#N/A")</f>
        <v>#N/A</v>
      </c>
    </row>
    <row r="304">
      <c r="A304" s="4"/>
      <c r="C304" s="4" t="s">
        <v>630</v>
      </c>
      <c r="D304" s="4" t="str">
        <f t="shared" si="1"/>
        <v>{"valorA":"a","valorB":7.0}</v>
      </c>
      <c r="E304" s="8" t="str">
        <f t="shared" si="2"/>
        <v>a</v>
      </c>
      <c r="F304" s="8"/>
      <c r="G304" s="8" t="str">
        <f t="shared" si="3"/>
        <v>7.0</v>
      </c>
      <c r="H304" s="9">
        <f t="shared" si="4"/>
        <v>7</v>
      </c>
      <c r="I304" s="6" t="str">
        <f>IFERROR(__xludf.DUMMYFUNCTION("MAX(FILTER($H$2:$H350,$E$2:$E350=F304))"),"#N/A")</f>
        <v>#N/A</v>
      </c>
    </row>
    <row r="305">
      <c r="A305" s="4"/>
      <c r="C305" s="4" t="s">
        <v>1318</v>
      </c>
      <c r="D305" s="4" t="str">
        <f t="shared" si="1"/>
        <v>{"valorA":"diária","valorB":1.0}</v>
      </c>
      <c r="E305" s="8" t="str">
        <f t="shared" si="2"/>
        <v>diária</v>
      </c>
      <c r="F305" s="8"/>
      <c r="G305" s="8" t="str">
        <f t="shared" si="3"/>
        <v>1.0</v>
      </c>
      <c r="H305" s="9">
        <f t="shared" si="4"/>
        <v>1</v>
      </c>
      <c r="I305" s="6" t="str">
        <f>IFERROR(__xludf.DUMMYFUNCTION("MAX(FILTER($H$2:$H350,$E$2:$E350=F305))"),"#N/A")</f>
        <v>#N/A</v>
      </c>
    </row>
    <row r="306">
      <c r="A306" s="4"/>
      <c r="C306" s="4" t="s">
        <v>1319</v>
      </c>
      <c r="D306" s="4" t="str">
        <f t="shared" si="1"/>
        <v>{"valorA":"minha","valorB":3.0}</v>
      </c>
      <c r="E306" s="8" t="str">
        <f t="shared" si="2"/>
        <v>minha</v>
      </c>
      <c r="F306" s="8"/>
      <c r="G306" s="8" t="str">
        <f t="shared" si="3"/>
        <v>3.0</v>
      </c>
      <c r="H306" s="9">
        <f t="shared" si="4"/>
        <v>3</v>
      </c>
      <c r="I306" s="6" t="str">
        <f>IFERROR(__xludf.DUMMYFUNCTION("MAX(FILTER($H$2:$H350,$E$2:$E350=F306))"),"#N/A")</f>
        <v>#N/A</v>
      </c>
    </row>
    <row r="307">
      <c r="A307" s="4"/>
      <c r="C307" s="4" t="s">
        <v>1320</v>
      </c>
      <c r="D307" s="4" t="str">
        <f t="shared" si="1"/>
        <v>{"valorA":"é","valorB":17.0}</v>
      </c>
      <c r="E307" s="8" t="str">
        <f t="shared" si="2"/>
        <v>é</v>
      </c>
      <c r="F307" s="8"/>
      <c r="G307" s="8" t="str">
        <f t="shared" si="3"/>
        <v>17.0</v>
      </c>
      <c r="H307" s="9">
        <f t="shared" si="4"/>
        <v>17</v>
      </c>
      <c r="I307" s="6" t="str">
        <f>IFERROR(__xludf.DUMMYFUNCTION("MAX(FILTER($H$2:$H350,$E$2:$E350=F307))"),"#N/A")</f>
        <v>#N/A</v>
      </c>
    </row>
    <row r="308">
      <c r="A308" s="4"/>
      <c r="C308" s="4" t="s">
        <v>1321</v>
      </c>
      <c r="D308" s="4" t="str">
        <f t="shared" si="1"/>
        <v>{"valorA":"confiável","valorB":2.0}</v>
      </c>
      <c r="E308" s="8" t="str">
        <f t="shared" si="2"/>
        <v>confiável</v>
      </c>
      <c r="F308" s="8"/>
      <c r="G308" s="8" t="str">
        <f t="shared" si="3"/>
        <v>2.0</v>
      </c>
      <c r="H308" s="9">
        <f t="shared" si="4"/>
        <v>2</v>
      </c>
      <c r="I308" s="6" t="str">
        <f>IFERROR(__xludf.DUMMYFUNCTION("MAX(FILTER($H$2:$H350,$E$2:$E350=F308))"),"#N/A")</f>
        <v>#N/A</v>
      </c>
    </row>
    <row r="309">
      <c r="A309" s="4"/>
      <c r="C309" s="4" t="s">
        <v>328</v>
      </c>
      <c r="D309" s="4" t="str">
        <f t="shared" si="1"/>
        <v>{"valorA":"com","valorB":2.0}</v>
      </c>
      <c r="E309" s="8" t="str">
        <f t="shared" si="2"/>
        <v>com</v>
      </c>
      <c r="F309" s="8"/>
      <c r="G309" s="8" t="str">
        <f t="shared" si="3"/>
        <v>2.0</v>
      </c>
      <c r="H309" s="9">
        <f t="shared" si="4"/>
        <v>2</v>
      </c>
      <c r="I309" s="6" t="str">
        <f>IFERROR(__xludf.DUMMYFUNCTION("MAX(FILTER($H$2:$H350,$E$2:$E350=F309))"),"#N/A")</f>
        <v>#N/A</v>
      </c>
    </row>
    <row r="310">
      <c r="A310" s="4"/>
      <c r="C310" s="4" t="s">
        <v>1322</v>
      </c>
      <c r="D310" s="4" t="str">
        <f t="shared" si="1"/>
        <v>{"valorA":"encantado","valorB":1.0}</v>
      </c>
      <c r="E310" s="8" t="str">
        <f t="shared" si="2"/>
        <v>encantado</v>
      </c>
      <c r="F310" s="8"/>
      <c r="G310" s="8" t="str">
        <f t="shared" si="3"/>
        <v>1.0</v>
      </c>
      <c r="H310" s="9">
        <f t="shared" si="4"/>
        <v>1</v>
      </c>
      <c r="I310" s="6" t="str">
        <f>IFERROR(__xludf.DUMMYFUNCTION("MAX(FILTER($H$2:$H350,$E$2:$E350=F310))"),"#N/A")</f>
        <v>#N/A</v>
      </c>
    </row>
    <row r="311">
      <c r="A311" s="4"/>
      <c r="C311" s="4" t="s">
        <v>330</v>
      </c>
      <c r="D311" s="4" t="str">
        <f t="shared" si="1"/>
        <v>{"valorA":"bem","valorB":6.0}</v>
      </c>
      <c r="E311" s="8" t="str">
        <f t="shared" si="2"/>
        <v>bem</v>
      </c>
      <c r="F311" s="8"/>
      <c r="G311" s="8" t="str">
        <f t="shared" si="3"/>
        <v>6.0</v>
      </c>
      <c r="H311" s="9">
        <f t="shared" si="4"/>
        <v>6</v>
      </c>
      <c r="I311" s="6" t="str">
        <f>IFERROR(__xludf.DUMMYFUNCTION("MAX(FILTER($H$2:$H350,$E$2:$E350=F311))"),"#N/A")</f>
        <v>#N/A</v>
      </c>
    </row>
    <row r="312">
      <c r="A312" s="4"/>
      <c r="C312" s="4" t="s">
        <v>787</v>
      </c>
      <c r="D312" s="4" t="str">
        <f t="shared" si="1"/>
        <v>{"valorA":"e","valorB":14.0}</v>
      </c>
      <c r="E312" s="8" t="str">
        <f t="shared" si="2"/>
        <v>e</v>
      </c>
      <c r="F312" s="8"/>
      <c r="G312" s="8" t="str">
        <f t="shared" si="3"/>
        <v>14.0</v>
      </c>
      <c r="H312" s="9">
        <f t="shared" si="4"/>
        <v>14</v>
      </c>
      <c r="I312" s="6" t="str">
        <f>IFERROR(__xludf.DUMMYFUNCTION("MAX(FILTER($H$2:$H350,$E$2:$E350=F312))"),"#N/A")</f>
        <v>#N/A</v>
      </c>
    </row>
    <row r="313">
      <c r="A313" s="4"/>
      <c r="C313" s="4" t="s">
        <v>372</v>
      </c>
      <c r="D313" s="4" t="str">
        <f t="shared" si="1"/>
        <v>{"valorA":"o","valorB":4.0}</v>
      </c>
      <c r="E313" s="8" t="str">
        <f t="shared" si="2"/>
        <v>o</v>
      </c>
      <c r="F313" s="8"/>
      <c r="G313" s="8" t="str">
        <f t="shared" si="3"/>
        <v>4.0</v>
      </c>
      <c r="H313" s="9">
        <f t="shared" si="4"/>
        <v>4</v>
      </c>
      <c r="I313" s="6" t="str">
        <f>IFERROR(__xludf.DUMMYFUNCTION("MAX(FILTER($H$2:$H350,$E$2:$E350=F313))"),"#N/A")</f>
        <v>#N/A</v>
      </c>
    </row>
    <row r="314">
      <c r="A314" s="4"/>
      <c r="C314" s="4" t="s">
        <v>832</v>
      </c>
      <c r="D314" s="4" t="str">
        <f t="shared" si="1"/>
        <v>{"valorA":"de","valorB":13.0}</v>
      </c>
      <c r="E314" s="8" t="str">
        <f t="shared" si="2"/>
        <v>de</v>
      </c>
      <c r="F314" s="8"/>
      <c r="G314" s="8" t="str">
        <f t="shared" si="3"/>
        <v>13.0</v>
      </c>
      <c r="H314" s="9">
        <f t="shared" si="4"/>
        <v>13</v>
      </c>
      <c r="I314" s="6" t="str">
        <f>IFERROR(__xludf.DUMMYFUNCTION("MAX(FILTER($H$2:$H350,$E$2:$E350=F314))"),"#N/A")</f>
        <v>#N/A</v>
      </c>
    </row>
    <row r="315">
      <c r="A315" s="4"/>
      <c r="C315" s="4" t="s">
        <v>1075</v>
      </c>
      <c r="D315" s="4" t="str">
        <f t="shared" si="1"/>
        <v>{"valorA":"fica","valorB":1.0}</v>
      </c>
      <c r="E315" s="8" t="str">
        <f t="shared" si="2"/>
        <v>fica</v>
      </c>
      <c r="F315" s="8"/>
      <c r="G315" s="8" t="str">
        <f t="shared" si="3"/>
        <v>1.0</v>
      </c>
      <c r="H315" s="9">
        <f t="shared" si="4"/>
        <v>1</v>
      </c>
      <c r="I315" s="6" t="str">
        <f>IFERROR(__xludf.DUMMYFUNCTION("MAX(FILTER($H$2:$H350,$E$2:$E350=F315))"),"#N/A")</f>
        <v>#N/A</v>
      </c>
    </row>
    <row r="316">
      <c r="A316" s="4"/>
      <c r="C316" s="4" t="s">
        <v>809</v>
      </c>
      <c r="D316" s="4" t="str">
        <f t="shared" si="1"/>
        <v>{"valorA":"produto","valorB":29.0}</v>
      </c>
      <c r="E316" s="8" t="str">
        <f t="shared" si="2"/>
        <v>produto</v>
      </c>
      <c r="F316" s="8"/>
      <c r="G316" s="8" t="str">
        <f t="shared" si="3"/>
        <v>29.0</v>
      </c>
      <c r="H316" s="9">
        <f t="shared" si="4"/>
        <v>29</v>
      </c>
      <c r="I316" s="6" t="str">
        <f>IFERROR(__xludf.DUMMYFUNCTION("MAX(FILTER($H$2:$H350,$E$2:$E350=F316))"),"#N/A")</f>
        <v>#N/A</v>
      </c>
    </row>
    <row r="317">
      <c r="A317" s="4"/>
      <c r="C317" s="4" t="s">
        <v>314</v>
      </c>
      <c r="D317" s="4" t="str">
        <f t="shared" si="1"/>
        <v>{"valorA":"resultado","valorB":1.0}</v>
      </c>
      <c r="E317" s="8" t="str">
        <f t="shared" si="2"/>
        <v>resultado</v>
      </c>
      <c r="F317" s="8"/>
      <c r="G317" s="8" t="str">
        <f t="shared" si="3"/>
        <v>1.0</v>
      </c>
      <c r="H317" s="9">
        <f t="shared" si="4"/>
        <v>1</v>
      </c>
      <c r="I317" s="6" t="str">
        <f>IFERROR(__xludf.DUMMYFUNCTION("MAX(FILTER($H$2:$H350,$E$2:$E350=F317))"),"#N/A")</f>
        <v>#N/A</v>
      </c>
    </row>
    <row r="318">
      <c r="A318" s="4"/>
      <c r="C318" s="4" t="s">
        <v>782</v>
      </c>
      <c r="D318" s="4" t="str">
        <f t="shared" si="1"/>
        <v>{"valorA":"gostei","valorB":8.0}</v>
      </c>
      <c r="E318" s="8" t="str">
        <f t="shared" si="2"/>
        <v>gostei</v>
      </c>
      <c r="F318" s="8"/>
      <c r="G318" s="8" t="str">
        <f t="shared" si="3"/>
        <v>8.0</v>
      </c>
      <c r="H318" s="9">
        <f t="shared" si="4"/>
        <v>8</v>
      </c>
      <c r="I318" s="6" t="str">
        <f>IFERROR(__xludf.DUMMYFUNCTION("MAX(FILTER($H$2:$H350,$E$2:$E350=F318))"),"#N/A")</f>
        <v>#N/A</v>
      </c>
    </row>
    <row r="319">
      <c r="A319" s="4"/>
      <c r="C319" s="4" t="s">
        <v>806</v>
      </c>
      <c r="D319" s="4" t="str">
        <f t="shared" si="1"/>
        <v>{"valorA":"ótimo","valorB":40.0}</v>
      </c>
      <c r="E319" s="8" t="str">
        <f t="shared" si="2"/>
        <v>ótimo</v>
      </c>
      <c r="F319" s="8"/>
      <c r="G319" s="8" t="str">
        <f t="shared" si="3"/>
        <v>40.0</v>
      </c>
      <c r="H319" s="9">
        <f t="shared" si="4"/>
        <v>40</v>
      </c>
      <c r="I319" s="6" t="str">
        <f>IFERROR(__xludf.DUMMYFUNCTION("MAX(FILTER($H$2:$H350,$E$2:$E350=F319))"),"#N/A")</f>
        <v>#N/A</v>
      </c>
    </row>
    <row r="320">
      <c r="A320" s="4"/>
      <c r="C320" s="4" t="s">
        <v>446</v>
      </c>
      <c r="D320" s="4" t="str">
        <f t="shared" si="1"/>
        <v>{"valorA":"câmera","valorB":1.0}</v>
      </c>
      <c r="E320" s="8" t="str">
        <f t="shared" si="2"/>
        <v>câmera</v>
      </c>
      <c r="F320" s="8"/>
      <c r="G320" s="8" t="str">
        <f t="shared" si="3"/>
        <v>1.0</v>
      </c>
      <c r="H320" s="9">
        <f t="shared" si="4"/>
        <v>1</v>
      </c>
      <c r="I320" s="6" t="str">
        <f>IFERROR(__xludf.DUMMYFUNCTION("MAX(FILTER($H$2:$H350,$E$2:$E350=F320))"),"#N/A")</f>
        <v>#N/A</v>
      </c>
    </row>
    <row r="321">
      <c r="A321" s="4"/>
      <c r="C321" s="4" t="s">
        <v>1323</v>
      </c>
      <c r="D321" s="4" t="str">
        <f t="shared" si="1"/>
        <v>{"valorA":"muito","valorB":17.0}</v>
      </c>
      <c r="E321" s="8" t="str">
        <f t="shared" si="2"/>
        <v>muito</v>
      </c>
      <c r="F321" s="8"/>
      <c r="G321" s="8" t="str">
        <f t="shared" si="3"/>
        <v>17.0</v>
      </c>
      <c r="H321" s="9">
        <f t="shared" si="4"/>
        <v>17</v>
      </c>
      <c r="I321" s="6" t="str">
        <f>IFERROR(__xludf.DUMMYFUNCTION("MAX(FILTER($H$2:$H350,$E$2:$E350=F321))"),"#N/A")</f>
        <v>#N/A</v>
      </c>
    </row>
    <row r="322">
      <c r="A322" s="4"/>
      <c r="C322" s="4" t="s">
        <v>675</v>
      </c>
      <c r="D322" s="4" t="str">
        <f t="shared" si="1"/>
        <v>{"valorA":"marca","valorB":1.0}</v>
      </c>
      <c r="E322" s="8" t="str">
        <f t="shared" si="2"/>
        <v>marca</v>
      </c>
      <c r="F322" s="8"/>
      <c r="G322" s="8" t="str">
        <f t="shared" si="3"/>
        <v>1.0</v>
      </c>
      <c r="H322" s="9">
        <f t="shared" si="4"/>
        <v>1</v>
      </c>
      <c r="I322" s="6" t="str">
        <f>IFERROR(__xludf.DUMMYFUNCTION("MAX(FILTER($H$2:$H350,$E$2:$E350=F322))"),"#N/A")</f>
        <v>#N/A</v>
      </c>
    </row>
    <row r="323">
      <c r="A323" s="4"/>
      <c r="C323" s="4" t="s">
        <v>433</v>
      </c>
      <c r="D323" s="4" t="str">
        <f t="shared" si="1"/>
        <v>{"valorA":"dessa","valorB":3.0}</v>
      </c>
      <c r="E323" s="8" t="str">
        <f t="shared" si="2"/>
        <v>dessa</v>
      </c>
      <c r="F323" s="8"/>
      <c r="G323" s="8" t="str">
        <f t="shared" si="3"/>
        <v>3.0</v>
      </c>
      <c r="H323" s="9">
        <f t="shared" si="4"/>
        <v>3</v>
      </c>
      <c r="I323" s="6" t="str">
        <f>IFERROR(__xludf.DUMMYFUNCTION("MAX(FILTER($H$2:$H350,$E$2:$E350=F323))"),"#N/A")</f>
        <v>#N/A</v>
      </c>
    </row>
    <row r="324">
      <c r="A324" s="4"/>
      <c r="C324" s="4" t="s">
        <v>453</v>
      </c>
      <c r="D324" s="4" t="str">
        <f t="shared" si="1"/>
        <v>{"valorA":"funciona","valorB":11.0}</v>
      </c>
      <c r="E324" s="8" t="str">
        <f t="shared" si="2"/>
        <v>funciona</v>
      </c>
      <c r="F324" s="8"/>
      <c r="G324" s="8" t="str">
        <f t="shared" si="3"/>
        <v>11.0</v>
      </c>
      <c r="H324" s="9">
        <f t="shared" si="4"/>
        <v>11</v>
      </c>
      <c r="I324" s="6" t="str">
        <f>IFERROR(__xludf.DUMMYFUNCTION("MAX(FILTER($H$2:$H350,$E$2:$E350=F324))"),"#N/A")</f>
        <v>#N/A</v>
      </c>
    </row>
    <row r="325">
      <c r="A325" s="4"/>
      <c r="C325" s="4" t="s">
        <v>1324</v>
      </c>
      <c r="D325" s="4" t="str">
        <f t="shared" si="1"/>
        <v>{"valorA":"é","valorB":20.0}</v>
      </c>
      <c r="E325" s="8" t="str">
        <f t="shared" si="2"/>
        <v>é</v>
      </c>
      <c r="F325" s="8"/>
      <c r="G325" s="8" t="str">
        <f t="shared" si="3"/>
        <v>20.0</v>
      </c>
      <c r="H325" s="9">
        <f t="shared" si="4"/>
        <v>20</v>
      </c>
      <c r="I325" s="6" t="str">
        <f>IFERROR(__xludf.DUMMYFUNCTION("MAX(FILTER($H$2:$H350,$E$2:$E350=F325))"),"#N/A")</f>
        <v>#N/A</v>
      </c>
    </row>
    <row r="326">
      <c r="A326" s="4"/>
      <c r="C326" s="4" t="s">
        <v>1325</v>
      </c>
      <c r="D326" s="4" t="str">
        <f t="shared" si="1"/>
        <v>{"valorA":"incrível","valorB":11.0}</v>
      </c>
      <c r="E326" s="8" t="str">
        <f t="shared" si="2"/>
        <v>incrível</v>
      </c>
      <c r="F326" s="8"/>
      <c r="G326" s="8" t="str">
        <f t="shared" si="3"/>
        <v>11.0</v>
      </c>
      <c r="H326" s="9">
        <f t="shared" si="4"/>
        <v>11</v>
      </c>
      <c r="I326" s="6" t="str">
        <f>IFERROR(__xludf.DUMMYFUNCTION("MAX(FILTER($H$2:$H350,$E$2:$E350=F326))"),"#N/A")</f>
        <v>#N/A</v>
      </c>
    </row>
    <row r="327">
      <c r="A327" s="4"/>
      <c r="C327" s="4" t="s">
        <v>786</v>
      </c>
      <c r="D327" s="4" t="str">
        <f t="shared" si="1"/>
        <v>{"valorA":"usar","valorB":6.0}</v>
      </c>
      <c r="E327" s="8" t="str">
        <f t="shared" si="2"/>
        <v>usar</v>
      </c>
      <c r="F327" s="8"/>
      <c r="G327" s="8" t="str">
        <f t="shared" si="3"/>
        <v>6.0</v>
      </c>
      <c r="H327" s="9">
        <f t="shared" si="4"/>
        <v>6</v>
      </c>
      <c r="I327" s="6" t="str">
        <f>IFERROR(__xludf.DUMMYFUNCTION("MAX(FILTER($H$2:$H350,$E$2:$E350=F327))"),"#N/A")</f>
        <v>#N/A</v>
      </c>
    </row>
    <row r="328">
      <c r="A328" s="4"/>
      <c r="C328" s="4" t="s">
        <v>846</v>
      </c>
      <c r="D328" s="4" t="str">
        <f t="shared" si="1"/>
        <v>{"valorA":"e","valorB":15.0}</v>
      </c>
      <c r="E328" s="8" t="str">
        <f t="shared" si="2"/>
        <v>e</v>
      </c>
      <c r="F328" s="8"/>
      <c r="G328" s="8" t="str">
        <f t="shared" si="3"/>
        <v>15.0</v>
      </c>
      <c r="H328" s="9">
        <f t="shared" si="4"/>
        <v>15</v>
      </c>
      <c r="I328" s="6" t="str">
        <f>IFERROR(__xludf.DUMMYFUNCTION("MAX(FILTER($H$2:$H350,$E$2:$E350=F328))"),"#N/A")</f>
        <v>#N/A</v>
      </c>
    </row>
    <row r="329">
      <c r="A329" s="4"/>
      <c r="C329" s="4" t="s">
        <v>841</v>
      </c>
      <c r="D329" s="4" t="str">
        <f t="shared" si="1"/>
        <v>{"valorA":"de","valorB":14.0}</v>
      </c>
      <c r="E329" s="8" t="str">
        <f t="shared" si="2"/>
        <v>de</v>
      </c>
      <c r="F329" s="8"/>
      <c r="G329" s="8" t="str">
        <f t="shared" si="3"/>
        <v>14.0</v>
      </c>
      <c r="H329" s="9">
        <f t="shared" si="4"/>
        <v>14</v>
      </c>
      <c r="I329" s="6" t="str">
        <f>IFERROR(__xludf.DUMMYFUNCTION("MAX(FILTER($H$2:$H350,$E$2:$E350=F329))"),"#N/A")</f>
        <v>#N/A</v>
      </c>
    </row>
    <row r="330">
      <c r="A330" s="4"/>
      <c r="C330" s="4" t="s">
        <v>813</v>
      </c>
      <c r="D330" s="4" t="str">
        <f t="shared" si="1"/>
        <v>{"valorA":"ótimo","valorB":42.0}</v>
      </c>
      <c r="E330" s="8" t="str">
        <f t="shared" si="2"/>
        <v>ótimo</v>
      </c>
      <c r="F330" s="8"/>
      <c r="G330" s="8" t="str">
        <f t="shared" si="3"/>
        <v>42.0</v>
      </c>
      <c r="H330" s="9">
        <f t="shared" si="4"/>
        <v>42</v>
      </c>
      <c r="I330" s="6" t="str">
        <f>IFERROR(__xludf.DUMMYFUNCTION("MAX(FILTER($H$2:$H350,$E$2:$E350=F330))"),"#N/A")</f>
        <v>#N/A</v>
      </c>
    </row>
    <row r="331">
      <c r="A331" s="4"/>
      <c r="C331" s="4" t="s">
        <v>818</v>
      </c>
      <c r="D331" s="4" t="str">
        <f t="shared" si="1"/>
        <v>{"valorA":"produto","valorB":31.0}</v>
      </c>
      <c r="E331" s="8" t="str">
        <f t="shared" si="2"/>
        <v>produto</v>
      </c>
      <c r="F331" s="8"/>
      <c r="G331" s="8" t="str">
        <f t="shared" si="3"/>
        <v>31.0</v>
      </c>
      <c r="H331" s="9">
        <f t="shared" si="4"/>
        <v>31</v>
      </c>
      <c r="I331" s="6" t="str">
        <f>IFERROR(__xludf.DUMMYFUNCTION("MAX(FILTER($H$2:$H350,$E$2:$E350=F331))"),"#N/A")</f>
        <v>#N/A</v>
      </c>
    </row>
    <row r="332">
      <c r="A332" s="4"/>
      <c r="C332" s="4" t="s">
        <v>724</v>
      </c>
      <c r="D332" s="4" t="str">
        <f t="shared" si="1"/>
        <v>{"valorA":"fácil","valorB":5.0}</v>
      </c>
      <c r="E332" s="8" t="str">
        <f t="shared" si="2"/>
        <v>fácil</v>
      </c>
      <c r="F332" s="8"/>
      <c r="G332" s="8" t="str">
        <f t="shared" si="3"/>
        <v>5.0</v>
      </c>
      <c r="H332" s="9">
        <f t="shared" si="4"/>
        <v>5</v>
      </c>
      <c r="I332" s="6" t="str">
        <f>IFERROR(__xludf.DUMMYFUNCTION("MAX(FILTER($H$2:$H350,$E$2:$E350=F332))"),"#N/A")</f>
        <v>#N/A</v>
      </c>
    </row>
    <row r="333">
      <c r="A333" s="4"/>
      <c r="C333" s="4" t="s">
        <v>1173</v>
      </c>
      <c r="D333" s="4" t="str">
        <f t="shared" si="1"/>
        <v>{"valorA":"perfeitamente","valorB":9.0}</v>
      </c>
      <c r="E333" s="8" t="str">
        <f t="shared" si="2"/>
        <v>perfeitamente</v>
      </c>
      <c r="F333" s="8"/>
      <c r="G333" s="8" t="str">
        <f t="shared" si="3"/>
        <v>9.0</v>
      </c>
      <c r="H333" s="9">
        <f t="shared" si="4"/>
        <v>9</v>
      </c>
      <c r="I333" s="6" t="str">
        <f>IFERROR(__xludf.DUMMYFUNCTION("MAX(FILTER($H$2:$H350,$E$2:$E350=F333))"),"#N/A")</f>
        <v>#N/A</v>
      </c>
    </row>
    <row r="334">
      <c r="A334" s="4"/>
      <c r="C334" s="4" t="s">
        <v>1326</v>
      </c>
      <c r="D334" s="4" t="str">
        <f t="shared" si="1"/>
        <v>{"valorA":"realmente","valorB":7.0}</v>
      </c>
      <c r="E334" s="8" t="str">
        <f t="shared" si="2"/>
        <v>realmente</v>
      </c>
      <c r="F334" s="8"/>
      <c r="G334" s="8" t="str">
        <f t="shared" si="3"/>
        <v>7.0</v>
      </c>
      <c r="H334" s="9">
        <f t="shared" si="4"/>
        <v>7</v>
      </c>
      <c r="I334" s="6" t="str">
        <f>IFERROR(__xludf.DUMMYFUNCTION("MAX(FILTER($H$2:$H350,$E$2:$E350=F334))"),"#N/A")</f>
        <v>#N/A</v>
      </c>
    </row>
    <row r="335">
      <c r="A335" s="4"/>
      <c r="C335" s="4" t="s">
        <v>359</v>
      </c>
      <c r="D335" s="4" t="str">
        <f t="shared" si="1"/>
        <v>{"valorA":"como","valorB":1.0}</v>
      </c>
      <c r="E335" s="8" t="str">
        <f t="shared" si="2"/>
        <v>como</v>
      </c>
      <c r="F335" s="8"/>
      <c r="G335" s="8" t="str">
        <f t="shared" si="3"/>
        <v>1.0</v>
      </c>
      <c r="H335" s="9">
        <f t="shared" si="4"/>
        <v>1</v>
      </c>
      <c r="I335" s="6" t="str">
        <f>IFERROR(__xludf.DUMMYFUNCTION("MAX(FILTER($H$2:$H350,$E$2:$E350=F335))"),"#N/A")</f>
        <v>#N/A</v>
      </c>
    </row>
    <row r="336">
      <c r="A336" s="4"/>
      <c r="C336" s="4" t="s">
        <v>1180</v>
      </c>
      <c r="D336" s="4" t="str">
        <f t="shared" si="1"/>
        <v>{"valorA":"funciona","valorB":13.0}</v>
      </c>
      <c r="E336" s="8" t="str">
        <f t="shared" si="2"/>
        <v>funciona</v>
      </c>
      <c r="F336" s="8"/>
      <c r="G336" s="8" t="str">
        <f t="shared" si="3"/>
        <v>13.0</v>
      </c>
      <c r="H336" s="9">
        <f t="shared" si="4"/>
        <v>13</v>
      </c>
      <c r="I336" s="6" t="str">
        <f>IFERROR(__xludf.DUMMYFUNCTION("MAX(FILTER($H$2:$H350,$E$2:$E350=F336))"),"#N/A")</f>
        <v>#N/A</v>
      </c>
    </row>
    <row r="337">
      <c r="A337" s="4"/>
      <c r="C337" s="4" t="s">
        <v>1327</v>
      </c>
      <c r="D337" s="4" t="str">
        <f t="shared" si="1"/>
        <v>{"valorA":"é","valorB":22.0}</v>
      </c>
      <c r="E337" s="8" t="str">
        <f t="shared" si="2"/>
        <v>é</v>
      </c>
      <c r="F337" s="8"/>
      <c r="G337" s="8" t="str">
        <f t="shared" si="3"/>
        <v>22.0</v>
      </c>
      <c r="H337" s="9">
        <f t="shared" si="4"/>
        <v>22</v>
      </c>
      <c r="I337" s="6" t="str">
        <f>IFERROR(__xludf.DUMMYFUNCTION("MAX(FILTER($H$2:$H350,$E$2:$E350=F337))"),"#N/A")</f>
        <v>#N/A</v>
      </c>
    </row>
    <row r="338">
      <c r="A338" s="4"/>
      <c r="C338" s="4" t="s">
        <v>1328</v>
      </c>
      <c r="D338" s="4" t="str">
        <f t="shared" si="1"/>
        <v>{"valorA":"relogio","valorB":2.0}</v>
      </c>
      <c r="E338" s="8" t="str">
        <f t="shared" si="2"/>
        <v>relogio</v>
      </c>
      <c r="F338" s="8"/>
      <c r="G338" s="8" t="str">
        <f t="shared" si="3"/>
        <v>2.0</v>
      </c>
      <c r="H338" s="9">
        <f t="shared" si="4"/>
        <v>2</v>
      </c>
      <c r="I338" s="6" t="str">
        <f>IFERROR(__xludf.DUMMYFUNCTION("MAX(FILTER($H$2:$H350,$E$2:$E350=F338))"),"#N/A")</f>
        <v>#N/A</v>
      </c>
    </row>
    <row r="339">
      <c r="A339" s="4"/>
      <c r="C339" s="4" t="s">
        <v>1329</v>
      </c>
      <c r="D339" s="4" t="str">
        <f t="shared" si="1"/>
        <v>{"valorA":"meu","valorB":9.0}</v>
      </c>
      <c r="E339" s="8" t="str">
        <f t="shared" si="2"/>
        <v>meu</v>
      </c>
      <c r="F339" s="8"/>
      <c r="G339" s="8" t="str">
        <f t="shared" si="3"/>
        <v>9.0</v>
      </c>
      <c r="H339" s="9">
        <f t="shared" si="4"/>
        <v>9</v>
      </c>
      <c r="I339" s="6" t="str">
        <f>IFERROR(__xludf.DUMMYFUNCTION("MAX(FILTER($H$2:$H350,$E$2:$E350=F339))"),"#N/A")</f>
        <v>#N/A</v>
      </c>
    </row>
    <row r="340">
      <c r="A340" s="4"/>
      <c r="C340" s="4" t="s">
        <v>1330</v>
      </c>
      <c r="D340" s="4" t="str">
        <f t="shared" si="1"/>
        <v>{"valorA":"incrível","valorB":13.0}</v>
      </c>
      <c r="E340" s="8" t="str">
        <f t="shared" si="2"/>
        <v>incrível</v>
      </c>
      <c r="F340" s="8"/>
      <c r="G340" s="8" t="str">
        <f t="shared" si="3"/>
        <v>13.0</v>
      </c>
      <c r="H340" s="9">
        <f t="shared" si="4"/>
        <v>13</v>
      </c>
      <c r="I340" s="6" t="str">
        <f>IFERROR(__xludf.DUMMYFUNCTION("MAX(FILTER($H$2:$H350,$E$2:$E350=F340))"),"#N/A")</f>
        <v>#N/A</v>
      </c>
    </row>
    <row r="341">
      <c r="A341" s="4"/>
      <c r="C341" s="4" t="s">
        <v>1331</v>
      </c>
      <c r="D341" s="4" t="str">
        <f t="shared" si="1"/>
        <v>{"valorA":"ela","valorB":1.0}</v>
      </c>
      <c r="E341" s="8" t="str">
        <f t="shared" si="2"/>
        <v>ela</v>
      </c>
      <c r="F341" s="8"/>
      <c r="G341" s="8" t="str">
        <f t="shared" si="3"/>
        <v>1.0</v>
      </c>
      <c r="H341" s="9">
        <f t="shared" si="4"/>
        <v>1</v>
      </c>
      <c r="I341" s="6" t="str">
        <f>IFERROR(__xludf.DUMMYFUNCTION("MAX(FILTER($H$2:$H350,$E$2:$E350=F341))"),"#N/A")</f>
        <v>#N/A</v>
      </c>
    </row>
    <row r="342">
      <c r="A342" s="4"/>
      <c r="C342" s="4" t="s">
        <v>483</v>
      </c>
      <c r="D342" s="4" t="str">
        <f t="shared" si="1"/>
        <v>{"valorA":"do","valorB":4.0}</v>
      </c>
      <c r="E342" s="8" t="str">
        <f t="shared" si="2"/>
        <v>do</v>
      </c>
      <c r="F342" s="8"/>
      <c r="G342" s="8" t="str">
        <f t="shared" si="3"/>
        <v>4.0</v>
      </c>
      <c r="H342" s="9">
        <f t="shared" si="4"/>
        <v>4</v>
      </c>
      <c r="I342" s="6" t="str">
        <f>IFERROR(__xludf.DUMMYFUNCTION("MAX(FILTER($H$2:$H350,$E$2:$E350=F342))"),"#N/A")</f>
        <v>#N/A</v>
      </c>
    </row>
    <row r="343">
      <c r="A343" s="4"/>
      <c r="C343" s="4" t="s">
        <v>1332</v>
      </c>
      <c r="D343" s="4" t="str">
        <f t="shared" si="1"/>
        <v>{"valorA":"gostei","valorB":9.0}</v>
      </c>
      <c r="E343" s="8" t="str">
        <f t="shared" si="2"/>
        <v>gostei</v>
      </c>
      <c r="F343" s="8"/>
      <c r="G343" s="8" t="str">
        <f t="shared" si="3"/>
        <v>9.0</v>
      </c>
      <c r="H343" s="9">
        <f t="shared" si="4"/>
        <v>9</v>
      </c>
      <c r="I343" s="6" t="str">
        <f>IFERROR(__xludf.DUMMYFUNCTION("MAX(FILTER($H$2:$H350,$E$2:$E350=F343))"),"#N/A")</f>
        <v>#N/A</v>
      </c>
    </row>
    <row r="344">
      <c r="A344" s="4"/>
      <c r="C344" s="4" t="s">
        <v>819</v>
      </c>
      <c r="D344" s="4" t="str">
        <f t="shared" si="1"/>
        <v>{"valorA":"ótimo","valorB":43.0}</v>
      </c>
      <c r="E344" s="8" t="str">
        <f t="shared" si="2"/>
        <v>ótimo</v>
      </c>
      <c r="F344" s="8"/>
      <c r="G344" s="8" t="str">
        <f t="shared" si="3"/>
        <v>43.0</v>
      </c>
      <c r="H344" s="9">
        <f t="shared" si="4"/>
        <v>43</v>
      </c>
      <c r="I344" s="6" t="str">
        <f>IFERROR(__xludf.DUMMYFUNCTION("MAX(FILTER($H$2:$H350,$E$2:$E350=F344))"),"#N/A")</f>
        <v>#N/A</v>
      </c>
    </row>
    <row r="345">
      <c r="A345" s="4"/>
      <c r="C345" s="4" t="s">
        <v>1333</v>
      </c>
      <c r="D345" s="4" t="str">
        <f t="shared" si="1"/>
        <v>{"valorA":"muito","valorB":18.0}</v>
      </c>
      <c r="E345" s="8" t="str">
        <f t="shared" si="2"/>
        <v>muito</v>
      </c>
      <c r="F345" s="8"/>
      <c r="G345" s="8" t="str">
        <f t="shared" si="3"/>
        <v>18.0</v>
      </c>
      <c r="H345" s="9">
        <f t="shared" si="4"/>
        <v>18</v>
      </c>
      <c r="I345" s="6" t="str">
        <f>IFERROR(__xludf.DUMMYFUNCTION("MAX(FILTER($H$2:$H350,$E$2:$E350=F345))"),"#N/A")</f>
        <v>#N/A</v>
      </c>
    </row>
    <row r="346">
      <c r="A346" s="4"/>
      <c r="C346" s="4" t="s">
        <v>774</v>
      </c>
      <c r="D346" s="4" t="str">
        <f t="shared" si="1"/>
        <v>{"valorA":"como","valorB":2.0}</v>
      </c>
      <c r="E346" s="8" t="str">
        <f t="shared" si="2"/>
        <v>como</v>
      </c>
      <c r="F346" s="8"/>
      <c r="G346" s="8" t="str">
        <f t="shared" si="3"/>
        <v>2.0</v>
      </c>
      <c r="H346" s="9">
        <f t="shared" si="4"/>
        <v>2</v>
      </c>
      <c r="I346" s="6" t="str">
        <f>IFERROR(__xludf.DUMMYFUNCTION("MAX(FILTER($H$2:$H350,$E$2:$E350=F346))"),"#N/A")</f>
        <v>#N/A</v>
      </c>
    </row>
    <row r="347">
      <c r="A347" s="4"/>
      <c r="C347" s="4" t="s">
        <v>1334</v>
      </c>
      <c r="D347" s="4" t="str">
        <f t="shared" si="1"/>
        <v>{"valorA":"novo","valorB":8.0}</v>
      </c>
      <c r="E347" s="8" t="str">
        <f t="shared" si="2"/>
        <v>novo</v>
      </c>
      <c r="F347" s="8"/>
      <c r="G347" s="8" t="str">
        <f t="shared" si="3"/>
        <v>8.0</v>
      </c>
      <c r="H347" s="9">
        <f t="shared" si="4"/>
        <v>8</v>
      </c>
      <c r="I347" s="6" t="str">
        <f>IFERROR(__xludf.DUMMYFUNCTION("MAX(FILTER($H$2:$H350,$E$2:$E350=F347))"),"#N/A")</f>
        <v>#N/A</v>
      </c>
    </row>
    <row r="348">
      <c r="A348" s="4"/>
      <c r="C348" s="4" t="s">
        <v>1335</v>
      </c>
      <c r="D348" s="4" t="str">
        <f t="shared" si="1"/>
        <v>{"valorA":"relojoeira","valorB":5.0}</v>
      </c>
      <c r="E348" s="8" t="str">
        <f t="shared" si="2"/>
        <v>relojoeira</v>
      </c>
      <c r="F348" s="8"/>
      <c r="G348" s="8" t="str">
        <f t="shared" si="3"/>
        <v>5.0</v>
      </c>
      <c r="H348" s="9">
        <f t="shared" si="4"/>
        <v>5</v>
      </c>
      <c r="I348" s="6" t="str">
        <f>IFERROR(__xludf.DUMMYFUNCTION("MAX(FILTER($H$2:$H350,$E$2:$E350=F348))"),"#N/A")</f>
        <v>#N/A</v>
      </c>
    </row>
    <row r="349">
      <c r="A349" s="4"/>
      <c r="C349" s="4" t="s">
        <v>1191</v>
      </c>
      <c r="D349" s="4" t="str">
        <f t="shared" si="1"/>
        <v>{"valorA":"funciona","valorB":14.0}</v>
      </c>
      <c r="E349" s="8" t="str">
        <f t="shared" si="2"/>
        <v>funciona</v>
      </c>
      <c r="F349" s="8"/>
      <c r="G349" s="8" t="str">
        <f t="shared" si="3"/>
        <v>14.0</v>
      </c>
      <c r="H349" s="9">
        <f t="shared" si="4"/>
        <v>14</v>
      </c>
      <c r="I349" s="6" t="str">
        <f>IFERROR(__xludf.DUMMYFUNCTION("MAX(FILTER($H$2:$H350,$E$2:$E350=F349))"),"#N/A")</f>
        <v>#N/A</v>
      </c>
    </row>
    <row r="350">
      <c r="A350" s="4"/>
      <c r="C350" s="4" t="s">
        <v>1336</v>
      </c>
      <c r="D350" s="4" t="str">
        <f t="shared" si="1"/>
        <v>{"valorA":"design","valorB":3.0}</v>
      </c>
      <c r="E350" s="8" t="str">
        <f t="shared" si="2"/>
        <v>design</v>
      </c>
      <c r="F350" s="8"/>
      <c r="G350" s="8" t="str">
        <f t="shared" si="3"/>
        <v>3.0</v>
      </c>
      <c r="H350" s="9">
        <f t="shared" si="4"/>
        <v>3</v>
      </c>
      <c r="I350" s="6" t="str">
        <f>IFERROR(__xludf.DUMMYFUNCTION("MAX(FILTER($H$2:$H350,$E$2:$E350=F350))"),"#N/A")</f>
        <v>#N/A</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c r="A2" s="4" t="s">
        <v>1337</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33</v>
      </c>
    </row>
    <row r="3">
      <c r="A3" s="4" t="s">
        <v>516</v>
      </c>
    </row>
    <row r="4">
      <c r="A4" s="4" t="s">
        <v>140</v>
      </c>
    </row>
    <row r="5">
      <c r="A5" s="4" t="s">
        <v>139</v>
      </c>
    </row>
    <row r="6">
      <c r="A6" s="4" t="s">
        <v>41</v>
      </c>
    </row>
    <row r="7">
      <c r="A7" s="4" t="s">
        <v>1338</v>
      </c>
    </row>
    <row r="8">
      <c r="A8" s="4" t="s">
        <v>48</v>
      </c>
    </row>
    <row r="9">
      <c r="A9" s="4" t="s">
        <v>535</v>
      </c>
    </row>
    <row r="10">
      <c r="A10" s="4" t="s">
        <v>33</v>
      </c>
    </row>
    <row r="11">
      <c r="A11" s="4" t="s">
        <v>34</v>
      </c>
    </row>
    <row r="12">
      <c r="A12" s="4" t="s">
        <v>44</v>
      </c>
    </row>
    <row r="13">
      <c r="A13" s="4" t="s">
        <v>513</v>
      </c>
    </row>
    <row r="14">
      <c r="A14" s="4" t="s">
        <v>1339</v>
      </c>
    </row>
    <row r="15">
      <c r="A15" s="4" t="s">
        <v>116</v>
      </c>
    </row>
    <row r="16">
      <c r="A16" s="4" t="s">
        <v>1340</v>
      </c>
    </row>
    <row r="17">
      <c r="A17" s="4" t="s">
        <v>41</v>
      </c>
    </row>
    <row r="18">
      <c r="A18" s="4" t="s">
        <v>139</v>
      </c>
    </row>
    <row r="19">
      <c r="A19" s="4" t="s">
        <v>39</v>
      </c>
    </row>
    <row r="20">
      <c r="A20" s="4" t="s">
        <v>40</v>
      </c>
    </row>
    <row r="21">
      <c r="A21" s="4" t="s">
        <v>132</v>
      </c>
    </row>
    <row r="22">
      <c r="A22" s="4" t="s">
        <v>539</v>
      </c>
    </row>
    <row r="23">
      <c r="A23" s="4" t="s">
        <v>33</v>
      </c>
    </row>
    <row r="24">
      <c r="A24" s="4" t="s">
        <v>34</v>
      </c>
    </row>
    <row r="25">
      <c r="A25" s="4" t="s">
        <v>88</v>
      </c>
    </row>
    <row r="26">
      <c r="A26" s="4" t="s">
        <v>75</v>
      </c>
    </row>
    <row r="27">
      <c r="A27" s="4" t="s">
        <v>48</v>
      </c>
    </row>
    <row r="28">
      <c r="A28" s="4" t="s">
        <v>35</v>
      </c>
    </row>
    <row r="29">
      <c r="A29" s="4" t="s">
        <v>107</v>
      </c>
    </row>
    <row r="30">
      <c r="A30" s="4" t="s">
        <v>41</v>
      </c>
    </row>
    <row r="31">
      <c r="A31" s="4" t="s">
        <v>42</v>
      </c>
    </row>
    <row r="32">
      <c r="A32" s="4" t="s">
        <v>33</v>
      </c>
    </row>
    <row r="33">
      <c r="A33" s="4" t="s">
        <v>516</v>
      </c>
    </row>
    <row r="34">
      <c r="A34" s="4" t="s">
        <v>525</v>
      </c>
    </row>
    <row r="35">
      <c r="A35" s="4" t="s">
        <v>1338</v>
      </c>
    </row>
    <row r="36">
      <c r="A36" s="4" t="s">
        <v>65</v>
      </c>
    </row>
    <row r="37">
      <c r="A37" s="4" t="s">
        <v>535</v>
      </c>
    </row>
    <row r="38">
      <c r="A38" s="4" t="s">
        <v>40</v>
      </c>
    </row>
    <row r="39">
      <c r="A39" s="4" t="s">
        <v>520</v>
      </c>
    </row>
    <row r="40">
      <c r="A40" s="4" t="s">
        <v>50</v>
      </c>
    </row>
    <row r="41">
      <c r="A41" s="4" t="s">
        <v>40</v>
      </c>
    </row>
    <row r="42">
      <c r="A42" s="4" t="s">
        <v>33</v>
      </c>
    </row>
    <row r="43">
      <c r="A43" s="4" t="s">
        <v>540</v>
      </c>
    </row>
    <row r="44">
      <c r="A44" s="4" t="s">
        <v>509</v>
      </c>
    </row>
    <row r="45">
      <c r="A45" s="4" t="s">
        <v>92</v>
      </c>
    </row>
    <row r="46">
      <c r="A46" s="4" t="s">
        <v>510</v>
      </c>
    </row>
    <row r="47">
      <c r="A47" s="4" t="s">
        <v>33</v>
      </c>
    </row>
    <row r="48">
      <c r="A48" s="4" t="s">
        <v>516</v>
      </c>
    </row>
    <row r="49">
      <c r="A49" s="4" t="s">
        <v>109</v>
      </c>
    </row>
    <row r="50">
      <c r="A50" s="4" t="s">
        <v>110</v>
      </c>
    </row>
    <row r="51">
      <c r="A51" s="4" t="s">
        <v>40</v>
      </c>
    </row>
    <row r="52">
      <c r="A52" s="4" t="s">
        <v>520</v>
      </c>
    </row>
    <row r="53">
      <c r="A53" s="4" t="s">
        <v>44</v>
      </c>
    </row>
    <row r="54">
      <c r="A54" s="4" t="s">
        <v>1341</v>
      </c>
    </row>
    <row r="55">
      <c r="A55" s="4" t="s">
        <v>1342</v>
      </c>
    </row>
    <row r="56">
      <c r="A56" s="4" t="s">
        <v>33</v>
      </c>
    </row>
    <row r="57">
      <c r="A57" s="4" t="s">
        <v>155</v>
      </c>
    </row>
    <row r="58">
      <c r="A58" s="4" t="s">
        <v>1238</v>
      </c>
    </row>
    <row r="59">
      <c r="A59" s="4" t="s">
        <v>156</v>
      </c>
    </row>
    <row r="60">
      <c r="A60" s="4" t="s">
        <v>157</v>
      </c>
    </row>
    <row r="61">
      <c r="A61" s="4" t="s">
        <v>33</v>
      </c>
    </row>
    <row r="62">
      <c r="A62" s="4" t="s">
        <v>34</v>
      </c>
    </row>
    <row r="63">
      <c r="A63" s="4" t="s">
        <v>497</v>
      </c>
    </row>
    <row r="64">
      <c r="A64" s="4" t="s">
        <v>119</v>
      </c>
    </row>
    <row r="65">
      <c r="A65" s="4" t="s">
        <v>500</v>
      </c>
    </row>
    <row r="66">
      <c r="A66" s="4" t="s">
        <v>35</v>
      </c>
    </row>
    <row r="67">
      <c r="A67" s="4" t="s">
        <v>40</v>
      </c>
    </row>
    <row r="68">
      <c r="A68" s="4" t="s">
        <v>1343</v>
      </c>
    </row>
    <row r="69">
      <c r="A69" s="4" t="s">
        <v>33</v>
      </c>
    </row>
    <row r="70">
      <c r="A70" s="4" t="s">
        <v>34</v>
      </c>
    </row>
    <row r="71">
      <c r="A71" s="4" t="s">
        <v>1344</v>
      </c>
    </row>
    <row r="72">
      <c r="A72" s="4" t="s">
        <v>119</v>
      </c>
    </row>
    <row r="73">
      <c r="A73" s="4" t="s">
        <v>166</v>
      </c>
    </row>
    <row r="74">
      <c r="A74" s="4" t="s">
        <v>1345</v>
      </c>
    </row>
    <row r="75">
      <c r="A75" s="4" t="s">
        <v>1346</v>
      </c>
    </row>
    <row r="76">
      <c r="A76" s="4" t="s">
        <v>1347</v>
      </c>
    </row>
    <row r="77">
      <c r="A77" s="4" t="s">
        <v>68</v>
      </c>
    </row>
    <row r="78">
      <c r="A78" s="4" t="s">
        <v>1348</v>
      </c>
    </row>
    <row r="79">
      <c r="A79" s="4" t="s">
        <v>1349</v>
      </c>
    </row>
    <row r="80">
      <c r="A80" s="4" t="s">
        <v>33</v>
      </c>
    </row>
    <row r="81">
      <c r="A81" s="4" t="s">
        <v>34</v>
      </c>
    </row>
    <row r="82">
      <c r="A82" s="4" t="s">
        <v>107</v>
      </c>
    </row>
    <row r="83">
      <c r="A83" s="4" t="s">
        <v>41</v>
      </c>
    </row>
    <row r="84">
      <c r="A84" s="4" t="s">
        <v>42</v>
      </c>
    </row>
    <row r="85">
      <c r="A85" s="4" t="s">
        <v>48</v>
      </c>
    </row>
    <row r="86">
      <c r="A86" s="4" t="s">
        <v>529</v>
      </c>
    </row>
    <row r="87">
      <c r="A87" s="4" t="s">
        <v>90</v>
      </c>
    </row>
    <row r="88">
      <c r="A88" s="4" t="s">
        <v>33</v>
      </c>
    </row>
    <row r="89">
      <c r="A89" s="4" t="s">
        <v>34</v>
      </c>
    </row>
    <row r="90">
      <c r="A90" s="4" t="s">
        <v>90</v>
      </c>
    </row>
    <row r="91">
      <c r="A91" s="4" t="s">
        <v>88</v>
      </c>
    </row>
    <row r="92">
      <c r="A92" s="4" t="s">
        <v>89</v>
      </c>
    </row>
    <row r="93">
      <c r="A93" s="4" t="s">
        <v>33</v>
      </c>
    </row>
    <row r="94">
      <c r="A94" s="4" t="s">
        <v>34</v>
      </c>
    </row>
    <row r="95">
      <c r="A95" s="4" t="s">
        <v>509</v>
      </c>
    </row>
    <row r="96">
      <c r="A96" s="4" t="s">
        <v>92</v>
      </c>
    </row>
    <row r="97">
      <c r="A97" s="4" t="s">
        <v>510</v>
      </c>
    </row>
    <row r="98">
      <c r="A98" s="4" t="s">
        <v>33</v>
      </c>
    </row>
    <row r="99">
      <c r="A99" s="4" t="s">
        <v>34</v>
      </c>
    </row>
    <row r="100">
      <c r="A100" s="4" t="s">
        <v>107</v>
      </c>
    </row>
    <row r="101">
      <c r="A101" s="4" t="s">
        <v>41</v>
      </c>
    </row>
    <row r="102">
      <c r="A102" s="4" t="s">
        <v>42</v>
      </c>
    </row>
    <row r="103">
      <c r="A103" s="4" t="s">
        <v>48</v>
      </c>
    </row>
    <row r="104">
      <c r="A104" s="4" t="s">
        <v>41</v>
      </c>
    </row>
    <row r="105">
      <c r="A105" s="4" t="s">
        <v>1223</v>
      </c>
    </row>
    <row r="106">
      <c r="A106" s="4" t="s">
        <v>899</v>
      </c>
    </row>
    <row r="107">
      <c r="A107" s="4" t="s">
        <v>50</v>
      </c>
    </row>
    <row r="108">
      <c r="A108" s="4" t="s">
        <v>40</v>
      </c>
    </row>
    <row r="109">
      <c r="A109" s="4" t="s">
        <v>553</v>
      </c>
    </row>
    <row r="110">
      <c r="A110" s="4" t="s">
        <v>139</v>
      </c>
    </row>
    <row r="111">
      <c r="A111" s="4" t="s">
        <v>36</v>
      </c>
    </row>
    <row r="112">
      <c r="A112" s="4" t="s">
        <v>506</v>
      </c>
    </row>
    <row r="113">
      <c r="A113" s="4" t="s">
        <v>39</v>
      </c>
    </row>
    <row r="114">
      <c r="A114" s="4" t="s">
        <v>40</v>
      </c>
    </row>
    <row r="115">
      <c r="A115" s="4" t="s">
        <v>129</v>
      </c>
    </row>
    <row r="116">
      <c r="A116" s="4" t="s">
        <v>1350</v>
      </c>
    </row>
    <row r="117">
      <c r="A117" s="4" t="s">
        <v>48</v>
      </c>
    </row>
    <row r="118">
      <c r="A118" s="4" t="s">
        <v>126</v>
      </c>
    </row>
    <row r="119">
      <c r="A119" s="4" t="s">
        <v>1351</v>
      </c>
    </row>
    <row r="120">
      <c r="A120" s="4" t="s">
        <v>33</v>
      </c>
    </row>
    <row r="121">
      <c r="A121" s="4" t="s">
        <v>62</v>
      </c>
    </row>
    <row r="122">
      <c r="A122" s="4" t="s">
        <v>1352</v>
      </c>
    </row>
    <row r="123">
      <c r="A123" s="4" t="s">
        <v>41</v>
      </c>
    </row>
    <row r="124">
      <c r="A124" s="4" t="s">
        <v>1353</v>
      </c>
    </row>
    <row r="125">
      <c r="A125" s="4" t="s">
        <v>88</v>
      </c>
    </row>
    <row r="126">
      <c r="A126" s="4" t="s">
        <v>75</v>
      </c>
    </row>
    <row r="127">
      <c r="A127" s="4" t="s">
        <v>48</v>
      </c>
    </row>
    <row r="128">
      <c r="A128" s="4" t="s">
        <v>35</v>
      </c>
    </row>
    <row r="129">
      <c r="A129" s="4" t="s">
        <v>107</v>
      </c>
    </row>
    <row r="130">
      <c r="A130" s="4" t="s">
        <v>41</v>
      </c>
    </row>
    <row r="131">
      <c r="A131" s="4" t="s">
        <v>42</v>
      </c>
    </row>
    <row r="132">
      <c r="A132" s="4" t="s">
        <v>33</v>
      </c>
    </row>
    <row r="133">
      <c r="A133" s="4" t="s">
        <v>34</v>
      </c>
    </row>
    <row r="134">
      <c r="A134" s="4" t="s">
        <v>44</v>
      </c>
    </row>
    <row r="135">
      <c r="A135" s="4" t="s">
        <v>513</v>
      </c>
    </row>
    <row r="136">
      <c r="A136" s="4" t="s">
        <v>533</v>
      </c>
    </row>
    <row r="137">
      <c r="A137" s="4" t="s">
        <v>139</v>
      </c>
    </row>
    <row r="138">
      <c r="A138" s="4" t="s">
        <v>48</v>
      </c>
    </row>
    <row r="139">
      <c r="A139" s="4" t="s">
        <v>515</v>
      </c>
    </row>
    <row r="140">
      <c r="A140" s="4" t="s">
        <v>90</v>
      </c>
    </row>
    <row r="141">
      <c r="A141" s="4" t="s">
        <v>33</v>
      </c>
    </row>
    <row r="142">
      <c r="A142" s="4" t="s">
        <v>34</v>
      </c>
    </row>
    <row r="143">
      <c r="A143" s="4" t="s">
        <v>497</v>
      </c>
    </row>
    <row r="144">
      <c r="A144" s="4" t="s">
        <v>92</v>
      </c>
    </row>
    <row r="145">
      <c r="A145" s="4" t="s">
        <v>139</v>
      </c>
    </row>
    <row r="146">
      <c r="A146" s="4" t="s">
        <v>498</v>
      </c>
    </row>
    <row r="147">
      <c r="A147" s="4" t="s">
        <v>35</v>
      </c>
    </row>
    <row r="148">
      <c r="A148" s="4" t="s">
        <v>1354</v>
      </c>
    </row>
    <row r="149">
      <c r="A149" s="4" t="s">
        <v>33</v>
      </c>
    </row>
    <row r="150">
      <c r="A150" s="4" t="s">
        <v>34</v>
      </c>
    </row>
    <row r="151">
      <c r="A151" s="4" t="s">
        <v>44</v>
      </c>
    </row>
    <row r="152">
      <c r="A152" s="4" t="s">
        <v>513</v>
      </c>
    </row>
    <row r="153">
      <c r="A153" s="4" t="s">
        <v>543</v>
      </c>
    </row>
    <row r="154">
      <c r="A154" s="4" t="s">
        <v>41</v>
      </c>
    </row>
    <row r="155">
      <c r="A155" s="4" t="s">
        <v>518</v>
      </c>
    </row>
    <row r="156">
      <c r="A156" s="4" t="s">
        <v>164</v>
      </c>
    </row>
    <row r="157">
      <c r="A157" s="4" t="s">
        <v>544</v>
      </c>
    </row>
    <row r="158">
      <c r="A158" s="4" t="s">
        <v>88</v>
      </c>
    </row>
    <row r="159">
      <c r="A159" s="4" t="s">
        <v>89</v>
      </c>
    </row>
    <row r="160">
      <c r="A160" s="4" t="s">
        <v>33</v>
      </c>
    </row>
    <row r="161">
      <c r="A161" s="4" t="s">
        <v>560</v>
      </c>
    </row>
    <row r="162">
      <c r="A162" s="4" t="s">
        <v>107</v>
      </c>
    </row>
    <row r="163">
      <c r="A163" s="4" t="s">
        <v>41</v>
      </c>
    </row>
    <row r="164">
      <c r="A164" s="4" t="s">
        <v>42</v>
      </c>
    </row>
    <row r="165">
      <c r="A165" s="4" t="s">
        <v>48</v>
      </c>
    </row>
    <row r="166">
      <c r="A166" s="4" t="s">
        <v>115</v>
      </c>
    </row>
    <row r="167">
      <c r="A167" s="4" t="s">
        <v>940</v>
      </c>
    </row>
    <row r="168">
      <c r="A168" s="4" t="s">
        <v>559</v>
      </c>
    </row>
    <row r="169">
      <c r="A169" s="4" t="s">
        <v>61</v>
      </c>
    </row>
    <row r="170">
      <c r="A170" s="4" t="s">
        <v>33</v>
      </c>
    </row>
    <row r="171">
      <c r="A171" s="4" t="s">
        <v>34</v>
      </c>
    </row>
    <row r="172">
      <c r="A172" s="4" t="s">
        <v>110</v>
      </c>
    </row>
    <row r="173">
      <c r="A173" s="4" t="s">
        <v>44</v>
      </c>
    </row>
    <row r="174">
      <c r="A174" s="4" t="s">
        <v>98</v>
      </c>
    </row>
    <row r="175">
      <c r="A175" s="4" t="s">
        <v>1355</v>
      </c>
    </row>
    <row r="176">
      <c r="A176" s="4" t="s">
        <v>48</v>
      </c>
    </row>
    <row r="177">
      <c r="A177" s="4" t="s">
        <v>1246</v>
      </c>
    </row>
    <row r="178">
      <c r="A178" s="4" t="s">
        <v>1356</v>
      </c>
    </row>
    <row r="179">
      <c r="A179" s="4" t="s">
        <v>33</v>
      </c>
    </row>
    <row r="180">
      <c r="A180" s="4" t="s">
        <v>516</v>
      </c>
    </row>
    <row r="181">
      <c r="A181" s="4" t="s">
        <v>525</v>
      </c>
    </row>
    <row r="182">
      <c r="A182" s="4" t="s">
        <v>75</v>
      </c>
    </row>
    <row r="183">
      <c r="A183" s="4" t="s">
        <v>565</v>
      </c>
    </row>
    <row r="184">
      <c r="A184" s="4" t="s">
        <v>33</v>
      </c>
    </row>
    <row r="185">
      <c r="A185" s="4" t="s">
        <v>506</v>
      </c>
    </row>
    <row r="186">
      <c r="A186" s="4" t="s">
        <v>1357</v>
      </c>
    </row>
    <row r="187">
      <c r="A187" s="4" t="s">
        <v>119</v>
      </c>
    </row>
    <row r="188">
      <c r="A188" s="4" t="s">
        <v>109</v>
      </c>
    </row>
    <row r="189">
      <c r="A189" s="4" t="s">
        <v>1358</v>
      </c>
    </row>
    <row r="190">
      <c r="A190" s="4" t="s">
        <v>33</v>
      </c>
    </row>
    <row r="191">
      <c r="A191" s="4" t="s">
        <v>34</v>
      </c>
    </row>
    <row r="192">
      <c r="A192" s="4" t="s">
        <v>497</v>
      </c>
    </row>
    <row r="193">
      <c r="A193" s="4" t="s">
        <v>498</v>
      </c>
    </row>
    <row r="194">
      <c r="A194" s="4" t="s">
        <v>509</v>
      </c>
    </row>
    <row r="195">
      <c r="A195" s="4" t="s">
        <v>92</v>
      </c>
    </row>
    <row r="196">
      <c r="A196" s="4" t="s">
        <v>545</v>
      </c>
    </row>
    <row r="197">
      <c r="A197" s="4" t="s">
        <v>109</v>
      </c>
    </row>
    <row r="198">
      <c r="A198" s="4" t="s">
        <v>501</v>
      </c>
    </row>
    <row r="199">
      <c r="A199" s="4" t="s">
        <v>68</v>
      </c>
    </row>
    <row r="200">
      <c r="A200" s="4" t="s">
        <v>970</v>
      </c>
    </row>
    <row r="201">
      <c r="A201" s="4" t="s">
        <v>33</v>
      </c>
    </row>
    <row r="202">
      <c r="A202" s="4" t="s">
        <v>1359</v>
      </c>
    </row>
    <row r="203">
      <c r="A203" s="4" t="s">
        <v>498</v>
      </c>
    </row>
    <row r="204">
      <c r="A204" s="4" t="s">
        <v>951</v>
      </c>
    </row>
    <row r="205">
      <c r="A205" s="4" t="s">
        <v>901</v>
      </c>
    </row>
    <row r="206">
      <c r="A206" s="4" t="s">
        <v>115</v>
      </c>
    </row>
    <row r="207">
      <c r="A207" s="4" t="s">
        <v>970</v>
      </c>
    </row>
    <row r="208">
      <c r="A208" s="4" t="s">
        <v>88</v>
      </c>
    </row>
    <row r="209">
      <c r="A209" s="4" t="s">
        <v>89</v>
      </c>
    </row>
    <row r="210">
      <c r="A210" s="4" t="s">
        <v>33</v>
      </c>
    </row>
    <row r="211">
      <c r="A211" s="4" t="s">
        <v>64</v>
      </c>
    </row>
    <row r="212">
      <c r="A212" s="4" t="s">
        <v>1360</v>
      </c>
    </row>
    <row r="213">
      <c r="A213" s="4" t="s">
        <v>40</v>
      </c>
    </row>
    <row r="214">
      <c r="A214" s="4" t="s">
        <v>160</v>
      </c>
    </row>
    <row r="215">
      <c r="A215" s="4" t="s">
        <v>1361</v>
      </c>
    </row>
    <row r="216">
      <c r="A216" s="4" t="s">
        <v>33</v>
      </c>
    </row>
    <row r="217">
      <c r="A217" s="4" t="s">
        <v>62</v>
      </c>
    </row>
    <row r="218">
      <c r="A218" s="4" t="s">
        <v>523</v>
      </c>
    </row>
    <row r="219">
      <c r="A219" s="4" t="s">
        <v>88</v>
      </c>
    </row>
    <row r="220">
      <c r="A220" s="4" t="s">
        <v>40</v>
      </c>
    </row>
    <row r="221">
      <c r="A221" s="4" t="s">
        <v>75</v>
      </c>
    </row>
    <row r="222">
      <c r="A222" s="4" t="s">
        <v>39</v>
      </c>
    </row>
    <row r="223">
      <c r="A223" s="4" t="s">
        <v>40</v>
      </c>
    </row>
    <row r="224">
      <c r="A224" s="4" t="s">
        <v>33</v>
      </c>
    </row>
    <row r="225">
      <c r="A225" s="4" t="s">
        <v>34</v>
      </c>
    </row>
    <row r="226">
      <c r="A226" s="4" t="s">
        <v>44</v>
      </c>
    </row>
    <row r="227">
      <c r="A227" s="4" t="s">
        <v>513</v>
      </c>
    </row>
    <row r="228">
      <c r="A228" s="4" t="s">
        <v>533</v>
      </c>
    </row>
    <row r="229">
      <c r="A229" s="4" t="s">
        <v>518</v>
      </c>
    </row>
    <row r="230">
      <c r="A230" s="4" t="s">
        <v>939</v>
      </c>
    </row>
    <row r="231">
      <c r="A231" s="4" t="s">
        <v>544</v>
      </c>
    </row>
    <row r="232">
      <c r="A232" s="4" t="s">
        <v>935</v>
      </c>
    </row>
    <row r="233">
      <c r="A233" s="4" t="s">
        <v>48</v>
      </c>
    </row>
    <row r="234">
      <c r="A234" s="4" t="s">
        <v>107</v>
      </c>
    </row>
    <row r="235">
      <c r="A235" s="4" t="s">
        <v>41</v>
      </c>
    </row>
    <row r="236">
      <c r="A236" s="4" t="s">
        <v>42</v>
      </c>
    </row>
    <row r="237">
      <c r="A237" s="4" t="s">
        <v>33</v>
      </c>
    </row>
    <row r="238">
      <c r="A238" s="4" t="s">
        <v>34</v>
      </c>
    </row>
    <row r="239">
      <c r="A239" s="4" t="s">
        <v>509</v>
      </c>
    </row>
    <row r="240">
      <c r="A240" s="4" t="s">
        <v>92</v>
      </c>
    </row>
    <row r="241">
      <c r="A241" s="4" t="s">
        <v>510</v>
      </c>
    </row>
    <row r="242">
      <c r="A242" s="4" t="s">
        <v>50</v>
      </c>
    </row>
    <row r="243">
      <c r="A243" s="4" t="s">
        <v>129</v>
      </c>
    </row>
    <row r="244">
      <c r="A244" s="4" t="s">
        <v>500</v>
      </c>
    </row>
    <row r="245">
      <c r="A245" s="4" t="s">
        <v>1362</v>
      </c>
    </row>
    <row r="246">
      <c r="A246" s="4" t="s">
        <v>33</v>
      </c>
    </row>
    <row r="247">
      <c r="A247" s="4" t="s">
        <v>34</v>
      </c>
    </row>
    <row r="248">
      <c r="A248" s="4" t="s">
        <v>110</v>
      </c>
    </row>
    <row r="249">
      <c r="A249" s="4" t="s">
        <v>130</v>
      </c>
    </row>
    <row r="250">
      <c r="A250" s="4" t="s">
        <v>44</v>
      </c>
    </row>
    <row r="251">
      <c r="A251" s="4" t="s">
        <v>119</v>
      </c>
    </row>
    <row r="252">
      <c r="A252" s="4" t="s">
        <v>62</v>
      </c>
    </row>
    <row r="253">
      <c r="A253" s="4" t="s">
        <v>1363</v>
      </c>
    </row>
    <row r="254">
      <c r="A254" s="4" t="s">
        <v>553</v>
      </c>
    </row>
    <row r="255">
      <c r="A255" s="4" t="s">
        <v>155</v>
      </c>
    </row>
    <row r="256">
      <c r="A256" s="4" t="s">
        <v>107</v>
      </c>
    </row>
    <row r="257">
      <c r="A257" s="4" t="s">
        <v>41</v>
      </c>
    </row>
    <row r="258">
      <c r="A258" s="4" t="s">
        <v>42</v>
      </c>
    </row>
    <row r="259">
      <c r="A259" s="4" t="s">
        <v>48</v>
      </c>
    </row>
    <row r="260">
      <c r="A260" s="4" t="s">
        <v>554</v>
      </c>
    </row>
    <row r="261">
      <c r="A261" s="4" t="s">
        <v>541</v>
      </c>
    </row>
    <row r="262">
      <c r="A262" s="4" t="s">
        <v>139</v>
      </c>
    </row>
    <row r="263">
      <c r="A263" s="4" t="s">
        <v>41</v>
      </c>
    </row>
    <row r="264">
      <c r="A264" s="4" t="s">
        <v>1338</v>
      </c>
    </row>
    <row r="265">
      <c r="A265" s="4" t="s">
        <v>33</v>
      </c>
    </row>
    <row r="266">
      <c r="A266" s="4" t="s">
        <v>119</v>
      </c>
    </row>
    <row r="267">
      <c r="A267" s="4" t="s">
        <v>62</v>
      </c>
    </row>
    <row r="268">
      <c r="A268" s="4" t="s">
        <v>1217</v>
      </c>
    </row>
    <row r="269">
      <c r="A269" s="4" t="s">
        <v>107</v>
      </c>
    </row>
    <row r="270">
      <c r="A270" s="4" t="s">
        <v>41</v>
      </c>
    </row>
    <row r="271">
      <c r="A271" s="4" t="s">
        <v>1364</v>
      </c>
    </row>
    <row r="272">
      <c r="A272" s="4" t="s">
        <v>48</v>
      </c>
    </row>
    <row r="273">
      <c r="A273" s="4" t="s">
        <v>1365</v>
      </c>
    </row>
    <row r="274">
      <c r="A274" s="4" t="s">
        <v>40</v>
      </c>
    </row>
    <row r="275">
      <c r="A275" s="4" t="s">
        <v>1366</v>
      </c>
    </row>
    <row r="276">
      <c r="A276" s="4" t="s">
        <v>1367</v>
      </c>
    </row>
    <row r="277">
      <c r="A277" s="4" t="s">
        <v>1368</v>
      </c>
    </row>
    <row r="278">
      <c r="A278" s="4" t="s">
        <v>41</v>
      </c>
    </row>
    <row r="279">
      <c r="A279" s="4" t="s">
        <v>1369</v>
      </c>
    </row>
    <row r="280">
      <c r="A280" s="4" t="s">
        <v>1370</v>
      </c>
    </row>
    <row r="281">
      <c r="A281" s="4" t="s">
        <v>33</v>
      </c>
    </row>
    <row r="282">
      <c r="A282" s="4" t="s">
        <v>34</v>
      </c>
    </row>
    <row r="283">
      <c r="A283" s="4" t="s">
        <v>90</v>
      </c>
    </row>
    <row r="284">
      <c r="A284" s="4" t="s">
        <v>44</v>
      </c>
    </row>
    <row r="285">
      <c r="A285" s="4" t="s">
        <v>522</v>
      </c>
    </row>
    <row r="286">
      <c r="A286" s="4" t="s">
        <v>1371</v>
      </c>
    </row>
    <row r="287">
      <c r="A287" s="4" t="s">
        <v>44</v>
      </c>
    </row>
    <row r="288">
      <c r="A288" s="4" t="s">
        <v>973</v>
      </c>
    </row>
    <row r="289">
      <c r="A289" s="4" t="s">
        <v>571</v>
      </c>
    </row>
    <row r="290">
      <c r="A290" s="4" t="s">
        <v>1372</v>
      </c>
    </row>
    <row r="291">
      <c r="A291" s="4" t="s">
        <v>1373</v>
      </c>
    </row>
    <row r="292">
      <c r="A292" s="4" t="s">
        <v>1374</v>
      </c>
    </row>
    <row r="293">
      <c r="A293" s="4" t="s">
        <v>1375</v>
      </c>
    </row>
    <row r="294">
      <c r="A294" s="4" t="s">
        <v>33</v>
      </c>
    </row>
    <row r="295">
      <c r="A295" s="4" t="s">
        <v>34</v>
      </c>
    </row>
    <row r="296">
      <c r="A296" s="4" t="s">
        <v>498</v>
      </c>
    </row>
    <row r="297">
      <c r="A297" s="4" t="s">
        <v>872</v>
      </c>
    </row>
    <row r="298">
      <c r="A298" s="4" t="s">
        <v>1376</v>
      </c>
    </row>
    <row r="299">
      <c r="A299" s="4" t="s">
        <v>1377</v>
      </c>
    </row>
    <row r="300">
      <c r="A300" s="4" t="s">
        <v>128</v>
      </c>
    </row>
    <row r="301">
      <c r="A301" s="4" t="s">
        <v>50</v>
      </c>
    </row>
    <row r="302">
      <c r="A302" s="4" t="s">
        <v>40</v>
      </c>
    </row>
    <row r="303">
      <c r="A303" s="4" t="s">
        <v>33</v>
      </c>
    </row>
    <row r="304">
      <c r="A304" s="4" t="s">
        <v>500</v>
      </c>
    </row>
    <row r="305">
      <c r="A305" s="4" t="s">
        <v>48</v>
      </c>
    </row>
    <row r="306">
      <c r="A306" s="4" t="s">
        <v>139</v>
      </c>
    </row>
    <row r="307">
      <c r="A307" s="4" t="s">
        <v>51</v>
      </c>
    </row>
    <row r="308">
      <c r="A308" s="4" t="s">
        <v>978</v>
      </c>
    </row>
    <row r="309">
      <c r="A309" s="4" t="s">
        <v>90</v>
      </c>
    </row>
    <row r="310">
      <c r="A310" s="4" t="s">
        <v>33</v>
      </c>
    </row>
    <row r="311">
      <c r="A311" s="4" t="s">
        <v>34</v>
      </c>
    </row>
    <row r="312">
      <c r="A312" s="4" t="s">
        <v>44</v>
      </c>
    </row>
    <row r="313">
      <c r="A313" s="4" t="s">
        <v>513</v>
      </c>
    </row>
    <row r="314">
      <c r="A314" s="4" t="s">
        <v>514</v>
      </c>
    </row>
    <row r="315">
      <c r="A315" s="4" t="s">
        <v>116</v>
      </c>
    </row>
    <row r="316">
      <c r="A316" s="4" t="s">
        <v>1378</v>
      </c>
    </row>
    <row r="317">
      <c r="A317" s="4" t="s">
        <v>41</v>
      </c>
    </row>
    <row r="318">
      <c r="A318" s="4" t="s">
        <v>1379</v>
      </c>
    </row>
    <row r="319">
      <c r="A319" s="4" t="s">
        <v>937</v>
      </c>
    </row>
    <row r="320">
      <c r="A320" s="4" t="s">
        <v>33</v>
      </c>
    </row>
    <row r="321">
      <c r="A321" s="4" t="s">
        <v>34</v>
      </c>
    </row>
    <row r="322">
      <c r="A322" s="4" t="s">
        <v>509</v>
      </c>
    </row>
    <row r="323">
      <c r="A323" s="4" t="s">
        <v>92</v>
      </c>
    </row>
    <row r="324">
      <c r="A324" s="4" t="s">
        <v>510</v>
      </c>
    </row>
    <row r="325">
      <c r="A325" s="4" t="s">
        <v>48</v>
      </c>
    </row>
    <row r="326">
      <c r="A326" s="4" t="s">
        <v>119</v>
      </c>
    </row>
    <row r="327">
      <c r="A327" s="4" t="s">
        <v>166</v>
      </c>
    </row>
    <row r="328">
      <c r="A328" s="4" t="s">
        <v>109</v>
      </c>
    </row>
    <row r="329">
      <c r="A329" s="4" t="s">
        <v>1380</v>
      </c>
    </row>
    <row r="330">
      <c r="A330" s="4" t="s">
        <v>33</v>
      </c>
    </row>
    <row r="331">
      <c r="A331" s="4" t="s">
        <v>34</v>
      </c>
    </row>
    <row r="332">
      <c r="A332" s="4" t="s">
        <v>1381</v>
      </c>
    </row>
    <row r="333">
      <c r="A333" s="4" t="s">
        <v>92</v>
      </c>
    </row>
    <row r="334">
      <c r="A334" s="4" t="s">
        <v>122</v>
      </c>
    </row>
    <row r="335">
      <c r="A335" s="4" t="s">
        <v>1382</v>
      </c>
    </row>
    <row r="336">
      <c r="A336" s="4" t="s">
        <v>33</v>
      </c>
    </row>
    <row r="337">
      <c r="A337" s="4" t="s">
        <v>500</v>
      </c>
    </row>
    <row r="338">
      <c r="A338" s="4" t="s">
        <v>55</v>
      </c>
    </row>
    <row r="339">
      <c r="A339" s="4" t="s">
        <v>109</v>
      </c>
    </row>
    <row r="340">
      <c r="A340" s="4" t="s">
        <v>549</v>
      </c>
    </row>
    <row r="341">
      <c r="A341" s="4" t="s">
        <v>501</v>
      </c>
    </row>
    <row r="342">
      <c r="A342" s="4" t="s">
        <v>62</v>
      </c>
    </row>
    <row r="343">
      <c r="A343" s="4" t="s">
        <v>560</v>
      </c>
    </row>
    <row r="344">
      <c r="A344" s="4" t="s">
        <v>35</v>
      </c>
    </row>
    <row r="345">
      <c r="A345" s="4" t="s">
        <v>75</v>
      </c>
    </row>
    <row r="346">
      <c r="A346" s="4" t="s">
        <v>1383</v>
      </c>
    </row>
    <row r="347">
      <c r="A347" s="4" t="s">
        <v>33</v>
      </c>
    </row>
    <row r="348">
      <c r="A348" s="4" t="s">
        <v>500</v>
      </c>
    </row>
    <row r="349">
      <c r="A349" s="4" t="s">
        <v>44</v>
      </c>
    </row>
    <row r="350">
      <c r="A350" s="4" t="s">
        <v>518</v>
      </c>
    </row>
    <row r="351">
      <c r="A351" s="4" t="s">
        <v>34</v>
      </c>
    </row>
    <row r="352">
      <c r="A352" s="4" t="s">
        <v>519</v>
      </c>
    </row>
    <row r="353">
      <c r="A353" s="4" t="s">
        <v>520</v>
      </c>
    </row>
    <row r="354">
      <c r="A354" s="4" t="s">
        <v>551</v>
      </c>
    </row>
    <row r="355">
      <c r="A355" s="4" t="s">
        <v>40</v>
      </c>
    </row>
    <row r="356">
      <c r="A356" s="4" t="s">
        <v>53</v>
      </c>
    </row>
    <row r="357">
      <c r="A357" s="4" t="s">
        <v>33</v>
      </c>
    </row>
    <row r="358">
      <c r="A358" s="4" t="s">
        <v>34</v>
      </c>
    </row>
    <row r="359">
      <c r="A359" s="4" t="s">
        <v>39</v>
      </c>
    </row>
    <row r="360">
      <c r="A360" s="4" t="s">
        <v>40</v>
      </c>
    </row>
    <row r="361">
      <c r="A361" s="4" t="s">
        <v>129</v>
      </c>
    </row>
    <row r="362">
      <c r="A362" s="4" t="s">
        <v>146</v>
      </c>
    </row>
    <row r="363">
      <c r="A363" s="4" t="s">
        <v>48</v>
      </c>
    </row>
    <row r="364">
      <c r="A364" s="4" t="s">
        <v>126</v>
      </c>
    </row>
    <row r="365">
      <c r="A365" s="4" t="s">
        <v>139</v>
      </c>
    </row>
    <row r="366">
      <c r="A366" s="4" t="s">
        <v>33</v>
      </c>
    </row>
    <row r="367">
      <c r="A367" s="4" t="s">
        <v>500</v>
      </c>
    </row>
    <row r="368">
      <c r="A368" s="4" t="s">
        <v>44</v>
      </c>
    </row>
    <row r="369">
      <c r="A369" s="4" t="s">
        <v>518</v>
      </c>
    </row>
    <row r="370">
      <c r="A370" s="4" t="s">
        <v>34</v>
      </c>
    </row>
    <row r="371">
      <c r="A371" s="4" t="s">
        <v>519</v>
      </c>
    </row>
    <row r="372">
      <c r="A372" s="4" t="s">
        <v>520</v>
      </c>
    </row>
    <row r="373">
      <c r="A373" s="4" t="s">
        <v>1384</v>
      </c>
    </row>
    <row r="374">
      <c r="A374" s="4" t="s">
        <v>33</v>
      </c>
    </row>
    <row r="375">
      <c r="A375" s="4" t="s">
        <v>34</v>
      </c>
    </row>
    <row r="376">
      <c r="A376" s="4" t="s">
        <v>44</v>
      </c>
    </row>
    <row r="377">
      <c r="A377" s="4" t="s">
        <v>513</v>
      </c>
    </row>
    <row r="378">
      <c r="A378" s="4" t="s">
        <v>533</v>
      </c>
    </row>
    <row r="379">
      <c r="A379" s="4" t="s">
        <v>518</v>
      </c>
    </row>
    <row r="380">
      <c r="A380" s="4" t="s">
        <v>939</v>
      </c>
    </row>
    <row r="381">
      <c r="A381" s="4" t="s">
        <v>544</v>
      </c>
    </row>
    <row r="382">
      <c r="A382" s="4" t="s">
        <v>88</v>
      </c>
    </row>
    <row r="383">
      <c r="A383" s="4" t="s">
        <v>40</v>
      </c>
    </row>
    <row r="384">
      <c r="A384" s="4" t="s">
        <v>75</v>
      </c>
    </row>
    <row r="385">
      <c r="A385" s="4" t="s">
        <v>33</v>
      </c>
    </row>
    <row r="386">
      <c r="A386" s="4" t="s">
        <v>34</v>
      </c>
    </row>
    <row r="387">
      <c r="A387" s="4" t="s">
        <v>497</v>
      </c>
    </row>
    <row r="388">
      <c r="A388" s="4" t="s">
        <v>498</v>
      </c>
    </row>
    <row r="389">
      <c r="A389" s="4" t="s">
        <v>507</v>
      </c>
    </row>
    <row r="390">
      <c r="A390" s="4" t="s">
        <v>92</v>
      </c>
    </row>
    <row r="391">
      <c r="A391" s="4" t="s">
        <v>1385</v>
      </c>
    </row>
    <row r="392">
      <c r="A392" s="4" t="s">
        <v>109</v>
      </c>
    </row>
    <row r="393">
      <c r="A393" s="4" t="s">
        <v>501</v>
      </c>
    </row>
    <row r="394">
      <c r="A394" s="4" t="s">
        <v>33</v>
      </c>
    </row>
    <row r="395">
      <c r="A395" s="4" t="s">
        <v>34</v>
      </c>
    </row>
    <row r="396">
      <c r="A396" s="4" t="s">
        <v>509</v>
      </c>
    </row>
    <row r="397">
      <c r="A397" s="4" t="s">
        <v>92</v>
      </c>
    </row>
    <row r="398">
      <c r="A398" s="4" t="s">
        <v>510</v>
      </c>
    </row>
    <row r="399">
      <c r="A399" s="4" t="s">
        <v>103</v>
      </c>
    </row>
    <row r="400">
      <c r="A400" s="4" t="s">
        <v>1386</v>
      </c>
    </row>
    <row r="401">
      <c r="A401" s="4" t="s">
        <v>40</v>
      </c>
    </row>
    <row r="402">
      <c r="A402" s="4" t="s">
        <v>33</v>
      </c>
    </row>
    <row r="403">
      <c r="A403" s="4" t="s">
        <v>560</v>
      </c>
    </row>
    <row r="404">
      <c r="A404" s="4" t="s">
        <v>140</v>
      </c>
    </row>
    <row r="405">
      <c r="A405" s="4" t="s">
        <v>1387</v>
      </c>
    </row>
    <row r="406">
      <c r="A406" s="4" t="s">
        <v>33</v>
      </c>
    </row>
    <row r="407">
      <c r="A407" s="4" t="s">
        <v>34</v>
      </c>
    </row>
    <row r="408">
      <c r="A408" s="4" t="s">
        <v>44</v>
      </c>
    </row>
    <row r="409">
      <c r="A409" s="4" t="s">
        <v>513</v>
      </c>
    </row>
    <row r="410">
      <c r="A410" s="4" t="s">
        <v>902</v>
      </c>
    </row>
    <row r="411">
      <c r="A411" s="4" t="s">
        <v>1388</v>
      </c>
    </row>
    <row r="412">
      <c r="A412" s="4" t="s">
        <v>966</v>
      </c>
    </row>
    <row r="413">
      <c r="A413" s="4" t="s">
        <v>1389</v>
      </c>
    </row>
    <row r="414">
      <c r="A414" s="4" t="s">
        <v>50</v>
      </c>
    </row>
    <row r="415">
      <c r="A415" s="4" t="s">
        <v>40</v>
      </c>
    </row>
    <row r="416">
      <c r="A416" s="4" t="s">
        <v>33</v>
      </c>
    </row>
    <row r="417">
      <c r="A417" s="4" t="s">
        <v>64</v>
      </c>
    </row>
    <row r="418">
      <c r="A418" s="4" t="s">
        <v>39</v>
      </c>
    </row>
    <row r="419">
      <c r="A419" s="4" t="s">
        <v>40</v>
      </c>
    </row>
    <row r="420">
      <c r="A420" s="4" t="s">
        <v>1377</v>
      </c>
    </row>
    <row r="421">
      <c r="A421" s="4" t="s">
        <v>951</v>
      </c>
    </row>
    <row r="422">
      <c r="A422" s="4" t="s">
        <v>901</v>
      </c>
    </row>
    <row r="423">
      <c r="A423" s="4" t="s">
        <v>115</v>
      </c>
    </row>
    <row r="424">
      <c r="A424" s="4" t="s">
        <v>970</v>
      </c>
    </row>
    <row r="425">
      <c r="A425" s="4" t="s">
        <v>33</v>
      </c>
    </row>
    <row r="426">
      <c r="A426" s="4" t="s">
        <v>560</v>
      </c>
    </row>
    <row r="427">
      <c r="A427" s="4" t="s">
        <v>1390</v>
      </c>
    </row>
    <row r="428">
      <c r="A428" s="4" t="s">
        <v>1391</v>
      </c>
    </row>
    <row r="429">
      <c r="A429" s="4" t="s">
        <v>1392</v>
      </c>
    </row>
    <row r="430">
      <c r="A430" s="4" t="s">
        <v>1342</v>
      </c>
    </row>
    <row r="431">
      <c r="A431" s="4" t="s">
        <v>48</v>
      </c>
    </row>
    <row r="432">
      <c r="A432" s="4" t="s">
        <v>1393</v>
      </c>
    </row>
    <row r="433">
      <c r="A433" s="4" t="s">
        <v>1394</v>
      </c>
    </row>
    <row r="434">
      <c r="A434" s="4" t="s">
        <v>94</v>
      </c>
    </row>
    <row r="435">
      <c r="A435" s="4" t="s">
        <v>901</v>
      </c>
    </row>
    <row r="436">
      <c r="A436" s="4" t="s">
        <v>33</v>
      </c>
    </row>
    <row r="437">
      <c r="A437" s="4" t="s">
        <v>34</v>
      </c>
    </row>
    <row r="438">
      <c r="A438" s="4" t="s">
        <v>497</v>
      </c>
    </row>
    <row r="439">
      <c r="A439" s="4" t="s">
        <v>92</v>
      </c>
    </row>
    <row r="440">
      <c r="A440" s="4" t="s">
        <v>139</v>
      </c>
    </row>
    <row r="441">
      <c r="A441" s="4" t="s">
        <v>498</v>
      </c>
    </row>
    <row r="442">
      <c r="A442" s="4" t="s">
        <v>35</v>
      </c>
    </row>
    <row r="443">
      <c r="A443" s="4" t="s">
        <v>519</v>
      </c>
    </row>
    <row r="444">
      <c r="A444" s="4" t="s">
        <v>1354</v>
      </c>
    </row>
    <row r="445">
      <c r="A445" s="4" t="s">
        <v>138</v>
      </c>
    </row>
    <row r="446">
      <c r="A446" s="4" t="s">
        <v>1395</v>
      </c>
    </row>
    <row r="447">
      <c r="A447" s="4" t="s">
        <v>33</v>
      </c>
    </row>
    <row r="448">
      <c r="A448" s="4" t="s">
        <v>506</v>
      </c>
    </row>
    <row r="449">
      <c r="A449" s="4" t="s">
        <v>1396</v>
      </c>
    </row>
    <row r="450">
      <c r="A450" s="4" t="s">
        <v>40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175</v>
      </c>
      <c r="D2" s="4" t="str">
        <f t="shared" ref="D2:D427" si="1">C2</f>
        <v>{"valorA":"ótimo","valorB":1.0}</v>
      </c>
      <c r="E2" s="8" t="str">
        <f t="shared" ref="E2:E427" si="2">SUBSTITUTE(MID(C2,FIND(":",C2)+1,FIND(",",C2)-FIND(":",C2)-1),"""","")</f>
        <v>ótimo</v>
      </c>
      <c r="F2" s="8" t="str">
        <f>IFERROR(__xludf.DUMMYFUNCTION("UNIQUE(E2:E427)"),"ótimo")</f>
        <v>ótimo</v>
      </c>
      <c r="G2" s="8" t="str">
        <f t="shared" ref="G2:G427" si="3">MID(C2,FIND("valorB",C2)+8,FIND("}",C2)-FIND("valorB",C2)-8)</f>
        <v>1.0</v>
      </c>
      <c r="H2" s="9">
        <f t="shared" ref="H2:H427" si="4">VALUE(SUBSTITUTE(G2,".",","))</f>
        <v>1</v>
      </c>
      <c r="I2" s="10">
        <f>IFERROR(__xludf.DUMMYFUNCTION("MAX(FILTER($H$2:$H427,$E$2:$E427=F2))"),48.0)</f>
        <v>48</v>
      </c>
    </row>
    <row r="3">
      <c r="A3" s="4"/>
      <c r="C3" s="4" t="s">
        <v>346</v>
      </c>
      <c r="D3" s="4" t="str">
        <f t="shared" si="1"/>
        <v>{"valorA":"qualidade","valorB":1.0}</v>
      </c>
      <c r="E3" s="8" t="str">
        <f t="shared" si="2"/>
        <v>qualidade</v>
      </c>
      <c r="F3" s="8" t="str">
        <f>IFERROR(__xludf.DUMMYFUNCTION("""COMPUTED_VALUE"""),"qualidade")</f>
        <v>qualidade</v>
      </c>
      <c r="G3" s="8" t="str">
        <f t="shared" si="3"/>
        <v>1.0</v>
      </c>
      <c r="H3" s="9">
        <f t="shared" si="4"/>
        <v>1</v>
      </c>
      <c r="I3" s="10">
        <f>IFERROR(__xludf.DUMMYFUNCTION("MAX(FILTER($H$2:$H427,$E$2:$E427=F3))"),9.0)</f>
        <v>9</v>
      </c>
    </row>
    <row r="4">
      <c r="A4" s="4"/>
      <c r="C4" s="4" t="s">
        <v>607</v>
      </c>
      <c r="D4" s="4" t="str">
        <f t="shared" si="1"/>
        <v>{"valorA":"tv","valorB":1.0}</v>
      </c>
      <c r="E4" s="8" t="str">
        <f t="shared" si="2"/>
        <v>tv</v>
      </c>
      <c r="F4" s="8" t="str">
        <f>IFERROR(__xludf.DUMMYFUNCTION("""COMPUTED_VALUE"""),"tv")</f>
        <v>tv</v>
      </c>
      <c r="G4" s="8" t="str">
        <f t="shared" si="3"/>
        <v>1.0</v>
      </c>
      <c r="H4" s="9">
        <f t="shared" si="4"/>
        <v>1</v>
      </c>
      <c r="I4" s="10">
        <f>IFERROR(__xludf.DUMMYFUNCTION("MAX(FILTER($H$2:$H427,$E$2:$E427=F4))"),4.0)</f>
        <v>4</v>
      </c>
    </row>
    <row r="5">
      <c r="A5" s="4"/>
      <c r="C5" s="4" t="s">
        <v>1397</v>
      </c>
      <c r="D5" s="4" t="str">
        <f t="shared" si="1"/>
        <v>{"valorA":"imagem","valorB":1.0}</v>
      </c>
      <c r="E5" s="8" t="str">
        <f t="shared" si="2"/>
        <v>imagem</v>
      </c>
      <c r="F5" s="8" t="str">
        <f>IFERROR(__xludf.DUMMYFUNCTION("""COMPUTED_VALUE"""),"imagem")</f>
        <v>imagem</v>
      </c>
      <c r="G5" s="8" t="str">
        <f t="shared" si="3"/>
        <v>1.0</v>
      </c>
      <c r="H5" s="9">
        <f t="shared" si="4"/>
        <v>1</v>
      </c>
      <c r="I5" s="10">
        <f>IFERROR(__xludf.DUMMYFUNCTION("MAX(FILTER($H$2:$H427,$E$2:$E427=F5))"),3.0)</f>
        <v>3</v>
      </c>
    </row>
    <row r="6">
      <c r="A6" s="4"/>
      <c r="C6" s="4" t="s">
        <v>642</v>
      </c>
      <c r="D6" s="4" t="str">
        <f t="shared" si="1"/>
        <v>{"valorA":"de","valorB":1.0}</v>
      </c>
      <c r="E6" s="8" t="str">
        <f t="shared" si="2"/>
        <v>de</v>
      </c>
      <c r="F6" s="8" t="str">
        <f>IFERROR(__xludf.DUMMYFUNCTION("""COMPUTED_VALUE"""),"de")</f>
        <v>de</v>
      </c>
      <c r="G6" s="8" t="str">
        <f t="shared" si="3"/>
        <v>1.0</v>
      </c>
      <c r="H6" s="9">
        <f t="shared" si="4"/>
        <v>1</v>
      </c>
      <c r="I6" s="10">
        <f>IFERROR(__xludf.DUMMYFUNCTION("MAX(FILTER($H$2:$H427,$E$2:$E427=F6))"),16.0)</f>
        <v>16</v>
      </c>
    </row>
    <row r="7">
      <c r="A7" s="4"/>
      <c r="C7" s="4" t="s">
        <v>184</v>
      </c>
      <c r="D7" s="4" t="str">
        <f t="shared" si="1"/>
        <v>{"valorA":"e","valorB":1.0}</v>
      </c>
      <c r="E7" s="8" t="str">
        <f t="shared" si="2"/>
        <v>e</v>
      </c>
      <c r="F7" s="8" t="str">
        <f>IFERROR(__xludf.DUMMYFUNCTION("""COMPUTED_VALUE"""),"e")</f>
        <v>e</v>
      </c>
      <c r="G7" s="8" t="str">
        <f t="shared" si="3"/>
        <v>1.0</v>
      </c>
      <c r="H7" s="9">
        <f t="shared" si="4"/>
        <v>1</v>
      </c>
      <c r="I7" s="10">
        <f>IFERROR(__xludf.DUMMYFUNCTION("MAX(FILTER($H$2:$H427,$E$2:$E427=F7))"),16.0)</f>
        <v>16</v>
      </c>
    </row>
    <row r="8">
      <c r="A8" s="4"/>
      <c r="C8" s="4" t="s">
        <v>667</v>
      </c>
      <c r="D8" s="4" t="str">
        <f t="shared" si="1"/>
        <v>{"valorA":"som","valorB":1.0}</v>
      </c>
      <c r="E8" s="8" t="str">
        <f t="shared" si="2"/>
        <v>som</v>
      </c>
      <c r="F8" s="8" t="str">
        <f>IFERROR(__xludf.DUMMYFUNCTION("""COMPUTED_VALUE"""),"som")</f>
        <v>som</v>
      </c>
      <c r="G8" s="8" t="str">
        <f t="shared" si="3"/>
        <v>1.0</v>
      </c>
      <c r="H8" s="9">
        <f t="shared" si="4"/>
        <v>1</v>
      </c>
      <c r="I8" s="10">
        <f>IFERROR(__xludf.DUMMYFUNCTION("MAX(FILTER($H$2:$H427,$E$2:$E427=F8))"),2.0)</f>
        <v>2</v>
      </c>
    </row>
    <row r="9">
      <c r="A9" s="4"/>
      <c r="C9" s="4" t="s">
        <v>357</v>
      </c>
      <c r="D9" s="4" t="str">
        <f t="shared" si="1"/>
        <v>{"valorA":"excelente","valorB":1.0}</v>
      </c>
      <c r="E9" s="8" t="str">
        <f t="shared" si="2"/>
        <v>excelente</v>
      </c>
      <c r="F9" s="8" t="str">
        <f>IFERROR(__xludf.DUMMYFUNCTION("""COMPUTED_VALUE"""),"excelente")</f>
        <v>excelente</v>
      </c>
      <c r="G9" s="8" t="str">
        <f t="shared" si="3"/>
        <v>1.0</v>
      </c>
      <c r="H9" s="9">
        <f t="shared" si="4"/>
        <v>1</v>
      </c>
      <c r="I9" s="10">
        <f>IFERROR(__xludf.DUMMYFUNCTION("MAX(FILTER($H$2:$H427,$E$2:$E427=F9))"),2.0)</f>
        <v>2</v>
      </c>
    </row>
    <row r="10">
      <c r="A10" s="4"/>
      <c r="C10" s="4" t="s">
        <v>178</v>
      </c>
      <c r="D10" s="4" t="str">
        <f t="shared" si="1"/>
        <v>{"valorA":"para","valorB":1.0}</v>
      </c>
      <c r="E10" s="8" t="str">
        <f t="shared" si="2"/>
        <v>para</v>
      </c>
      <c r="F10" s="8" t="str">
        <f>IFERROR(__xludf.DUMMYFUNCTION("""COMPUTED_VALUE"""),"para")</f>
        <v>para</v>
      </c>
      <c r="G10" s="8" t="str">
        <f t="shared" si="3"/>
        <v>1.0</v>
      </c>
      <c r="H10" s="9">
        <f t="shared" si="4"/>
        <v>1</v>
      </c>
      <c r="I10" s="10">
        <f>IFERROR(__xludf.DUMMYFUNCTION("MAX(FILTER($H$2:$H427,$E$2:$E427=F10))"),14.0)</f>
        <v>14</v>
      </c>
    </row>
    <row r="11">
      <c r="A11" s="4"/>
      <c r="C11" s="4" t="s">
        <v>177</v>
      </c>
      <c r="D11" s="4" t="str">
        <f t="shared" si="1"/>
        <v>{"valorA":"é","valorB":1.0}</v>
      </c>
      <c r="E11" s="8" t="str">
        <f t="shared" si="2"/>
        <v>é</v>
      </c>
      <c r="F11" s="8" t="str">
        <f>IFERROR(__xludf.DUMMYFUNCTION("""COMPUTED_VALUE"""),"é")</f>
        <v>é</v>
      </c>
      <c r="G11" s="8" t="str">
        <f t="shared" si="3"/>
        <v>1.0</v>
      </c>
      <c r="H11" s="9">
        <f t="shared" si="4"/>
        <v>1</v>
      </c>
      <c r="I11" s="10">
        <f>IFERROR(__xludf.DUMMYFUNCTION("MAX(FILTER($H$2:$H427,$E$2:$E427=F11))"),6.0)</f>
        <v>6</v>
      </c>
    </row>
    <row r="12">
      <c r="A12" s="4"/>
      <c r="C12" s="4" t="s">
        <v>591</v>
      </c>
      <c r="D12" s="4" t="str">
        <f t="shared" si="1"/>
        <v>{"valorA":"qualidade","valorB":2.0}</v>
      </c>
      <c r="E12" s="8" t="str">
        <f t="shared" si="2"/>
        <v>qualidade</v>
      </c>
      <c r="F12" s="8" t="str">
        <f>IFERROR(__xludf.DUMMYFUNCTION("""COMPUTED_VALUE"""),"usar")</f>
        <v>usar</v>
      </c>
      <c r="G12" s="8" t="str">
        <f t="shared" si="3"/>
        <v>2.0</v>
      </c>
      <c r="H12" s="9">
        <f t="shared" si="4"/>
        <v>2</v>
      </c>
      <c r="I12" s="10">
        <f>IFERROR(__xludf.DUMMYFUNCTION("MAX(FILTER($H$2:$H427,$E$2:$E427=F12))"),7.0)</f>
        <v>7</v>
      </c>
    </row>
    <row r="13">
      <c r="A13" s="4"/>
      <c r="C13" s="4" t="s">
        <v>640</v>
      </c>
      <c r="D13" s="4" t="str">
        <f t="shared" si="1"/>
        <v>{"valorA":"usar","valorB":1.0}</v>
      </c>
      <c r="E13" s="8" t="str">
        <f t="shared" si="2"/>
        <v>usar</v>
      </c>
      <c r="F13" s="8" t="str">
        <f>IFERROR(__xludf.DUMMYFUNCTION("""COMPUTED_VALUE"""),"bem")</f>
        <v>bem</v>
      </c>
      <c r="G13" s="8" t="str">
        <f t="shared" si="3"/>
        <v>1.0</v>
      </c>
      <c r="H13" s="9">
        <f t="shared" si="4"/>
        <v>1</v>
      </c>
      <c r="I13" s="10">
        <f>IFERROR(__xludf.DUMMYFUNCTION("MAX(FILTER($H$2:$H427,$E$2:$E427=F13))"),6.0)</f>
        <v>6</v>
      </c>
    </row>
    <row r="14">
      <c r="A14" s="4"/>
      <c r="C14" s="4" t="s">
        <v>220</v>
      </c>
      <c r="D14" s="4" t="str">
        <f t="shared" si="1"/>
        <v>{"valorA":"bem","valorB":1.0}</v>
      </c>
      <c r="E14" s="8" t="str">
        <f t="shared" si="2"/>
        <v>bem</v>
      </c>
      <c r="F14" s="8" t="str">
        <f>IFERROR(__xludf.DUMMYFUNCTION("""COMPUTED_VALUE"""),"quer")</f>
        <v>quer</v>
      </c>
      <c r="G14" s="8" t="str">
        <f t="shared" si="3"/>
        <v>1.0</v>
      </c>
      <c r="H14" s="9">
        <f t="shared" si="4"/>
        <v>1</v>
      </c>
      <c r="I14" s="10">
        <f>IFERROR(__xludf.DUMMYFUNCTION("MAX(FILTER($H$2:$H427,$E$2:$E427=F14))"),1.0)</f>
        <v>1</v>
      </c>
    </row>
    <row r="15">
      <c r="A15" s="4"/>
      <c r="C15" s="4" t="s">
        <v>1398</v>
      </c>
      <c r="D15" s="4" t="str">
        <f t="shared" si="1"/>
        <v>{"valorA":"quer","valorB":1.0}</v>
      </c>
      <c r="E15" s="8" t="str">
        <f t="shared" si="2"/>
        <v>quer</v>
      </c>
      <c r="F15" s="8" t="str">
        <f>IFERROR(__xludf.DUMMYFUNCTION("""COMPUTED_VALUE"""),"quem")</f>
        <v>quem</v>
      </c>
      <c r="G15" s="8" t="str">
        <f t="shared" si="3"/>
        <v>1.0</v>
      </c>
      <c r="H15" s="9">
        <f t="shared" si="4"/>
        <v>1</v>
      </c>
      <c r="I15" s="10">
        <f>IFERROR(__xludf.DUMMYFUNCTION("MAX(FILTER($H$2:$H427,$E$2:$E427=F15))"),7.0)</f>
        <v>7</v>
      </c>
    </row>
    <row r="16">
      <c r="A16" s="4"/>
      <c r="C16" s="4" t="s">
        <v>610</v>
      </c>
      <c r="D16" s="4" t="str">
        <f t="shared" si="1"/>
        <v>{"valorA":"quem","valorB":1.0}</v>
      </c>
      <c r="E16" s="8" t="str">
        <f t="shared" si="2"/>
        <v>quem</v>
      </c>
      <c r="F16" s="8" t="str">
        <f>IFERROR(__xludf.DUMMYFUNCTION("""COMPUTED_VALUE"""),"gosto")</f>
        <v>gosto</v>
      </c>
      <c r="G16" s="8" t="str">
        <f t="shared" si="3"/>
        <v>1.0</v>
      </c>
      <c r="H16" s="9">
        <f t="shared" si="4"/>
        <v>1</v>
      </c>
      <c r="I16" s="10">
        <f>IFERROR(__xludf.DUMMYFUNCTION("MAX(FILTER($H$2:$H427,$E$2:$E427=F16))"),5.0)</f>
        <v>5</v>
      </c>
    </row>
    <row r="17">
      <c r="A17" s="4"/>
      <c r="C17" s="4" t="s">
        <v>223</v>
      </c>
      <c r="D17" s="4" t="str">
        <f t="shared" si="1"/>
        <v>{"valorA":"e","valorB":2.0}</v>
      </c>
      <c r="E17" s="8" t="str">
        <f t="shared" si="2"/>
        <v>e</v>
      </c>
      <c r="F17" s="8" t="str">
        <f>IFERROR(__xludf.DUMMYFUNCTION("""COMPUTED_VALUE"""),"produto")</f>
        <v>produto</v>
      </c>
      <c r="G17" s="8" t="str">
        <f t="shared" si="3"/>
        <v>2.0</v>
      </c>
      <c r="H17" s="9">
        <f t="shared" si="4"/>
        <v>2</v>
      </c>
      <c r="I17" s="10">
        <f>IFERROR(__xludf.DUMMYFUNCTION("MAX(FILTER($H$2:$H427,$E$2:$E427=F17))"),29.0)</f>
        <v>29</v>
      </c>
    </row>
    <row r="18">
      <c r="A18" s="4"/>
      <c r="C18" s="4" t="s">
        <v>255</v>
      </c>
      <c r="D18" s="4" t="str">
        <f t="shared" si="1"/>
        <v>{"valorA":"de","valorB":3.0}</v>
      </c>
      <c r="E18" s="8" t="str">
        <f t="shared" si="2"/>
        <v>de</v>
      </c>
      <c r="F18" s="8" t="str">
        <f>IFERROR(__xludf.DUMMYFUNCTION("""COMPUTED_VALUE"""),"uma")</f>
        <v>uma</v>
      </c>
      <c r="G18" s="8" t="str">
        <f t="shared" si="3"/>
        <v>3.0</v>
      </c>
      <c r="H18" s="9">
        <f t="shared" si="4"/>
        <v>3</v>
      </c>
      <c r="I18" s="10">
        <f>IFERROR(__xludf.DUMMYFUNCTION("MAX(FILTER($H$2:$H427,$E$2:$E427=F18))"),2.0)</f>
        <v>2</v>
      </c>
    </row>
    <row r="19">
      <c r="A19" s="4"/>
      <c r="C19" s="4" t="s">
        <v>187</v>
      </c>
      <c r="D19" s="4" t="str">
        <f t="shared" si="1"/>
        <v>{"valorA":"gosto","valorB":1.0}</v>
      </c>
      <c r="E19" s="8" t="str">
        <f t="shared" si="2"/>
        <v>gosto</v>
      </c>
      <c r="F19" s="8" t="str">
        <f>IFERROR(__xludf.DUMMYFUNCTION("""COMPUTED_VALUE"""),"fácil")</f>
        <v>fácil</v>
      </c>
      <c r="G19" s="8" t="str">
        <f t="shared" si="3"/>
        <v>1.0</v>
      </c>
      <c r="H19" s="9">
        <f t="shared" si="4"/>
        <v>1</v>
      </c>
      <c r="I19" s="10">
        <f>IFERROR(__xludf.DUMMYFUNCTION("MAX(FILTER($H$2:$H427,$E$2:$E427=F19))"),8.0)</f>
        <v>8</v>
      </c>
    </row>
    <row r="20">
      <c r="A20" s="4"/>
      <c r="C20" s="4" t="s">
        <v>189</v>
      </c>
      <c r="D20" s="4" t="str">
        <f t="shared" si="1"/>
        <v>{"valorA":"produto","valorB":2.0}</v>
      </c>
      <c r="E20" s="8" t="str">
        <f t="shared" si="2"/>
        <v>produto</v>
      </c>
      <c r="F20" s="8" t="str">
        <f>IFERROR(__xludf.DUMMYFUNCTION("""COMPUTED_VALUE"""),"muito")</f>
        <v>muito</v>
      </c>
      <c r="G20" s="8" t="str">
        <f t="shared" si="3"/>
        <v>2.0</v>
      </c>
      <c r="H20" s="9">
        <f t="shared" si="4"/>
        <v>2</v>
      </c>
      <c r="I20" s="10">
        <f>IFERROR(__xludf.DUMMYFUNCTION("MAX(FILTER($H$2:$H427,$E$2:$E427=F20))"),19.0)</f>
        <v>19</v>
      </c>
    </row>
    <row r="21">
      <c r="A21" s="4"/>
      <c r="C21" s="4" t="s">
        <v>297</v>
      </c>
      <c r="D21" s="4" t="str">
        <f t="shared" si="1"/>
        <v>{"valorA":"uma","valorB":1.0}</v>
      </c>
      <c r="E21" s="8" t="str">
        <f t="shared" si="2"/>
        <v>uma</v>
      </c>
      <c r="F21" s="8" t="str">
        <f>IFERROR(__xludf.DUMMYFUNCTION("""COMPUTED_VALUE"""),"marca")</f>
        <v>marca</v>
      </c>
      <c r="G21" s="8" t="str">
        <f t="shared" si="3"/>
        <v>1.0</v>
      </c>
      <c r="H21" s="9">
        <f t="shared" si="4"/>
        <v>1</v>
      </c>
      <c r="I21" s="10">
        <f>IFERROR(__xludf.DUMMYFUNCTION("MAX(FILTER($H$2:$H427,$E$2:$E427=F21))"),1.0)</f>
        <v>1</v>
      </c>
    </row>
    <row r="22">
      <c r="A22" s="4"/>
      <c r="C22" s="4" t="s">
        <v>191</v>
      </c>
      <c r="D22" s="4" t="str">
        <f t="shared" si="1"/>
        <v>{"valorA":"ótimo","valorB":3.0}</v>
      </c>
      <c r="E22" s="8" t="str">
        <f t="shared" si="2"/>
        <v>ótimo</v>
      </c>
      <c r="F22" s="8" t="str">
        <f>IFERROR(__xludf.DUMMYFUNCTION("""COMPUTED_VALUE"""),"dessa")</f>
        <v>dessa</v>
      </c>
      <c r="G22" s="8" t="str">
        <f t="shared" si="3"/>
        <v>3.0</v>
      </c>
      <c r="H22" s="9">
        <f t="shared" si="4"/>
        <v>3</v>
      </c>
      <c r="I22" s="10">
        <f>IFERROR(__xludf.DUMMYFUNCTION("MAX(FILTER($H$2:$H427,$E$2:$E427=F22))"),1.0)</f>
        <v>1</v>
      </c>
    </row>
    <row r="23">
      <c r="A23" s="4"/>
      <c r="C23" s="4" t="s">
        <v>285</v>
      </c>
      <c r="D23" s="4" t="str">
        <f t="shared" si="1"/>
        <v>{"valorA":"fácil","valorB":1.0}</v>
      </c>
      <c r="E23" s="8" t="str">
        <f t="shared" si="2"/>
        <v>fácil</v>
      </c>
      <c r="F23" s="8" t="str">
        <f>IFERROR(__xludf.DUMMYFUNCTION("""COMPUTED_VALUE"""),"funciona")</f>
        <v>funciona</v>
      </c>
      <c r="G23" s="8" t="str">
        <f t="shared" si="3"/>
        <v>1.0</v>
      </c>
      <c r="H23" s="9">
        <f t="shared" si="4"/>
        <v>1</v>
      </c>
      <c r="I23" s="10">
        <f>IFERROR(__xludf.DUMMYFUNCTION("MAX(FILTER($H$2:$H427,$E$2:$E427=F23))"),7.0)</f>
        <v>7</v>
      </c>
    </row>
    <row r="24">
      <c r="A24" s="4"/>
      <c r="C24" s="4" t="s">
        <v>579</v>
      </c>
      <c r="D24" s="4" t="str">
        <f t="shared" si="1"/>
        <v>{"valorA":"muito","valorB":1.0}</v>
      </c>
      <c r="E24" s="8" t="str">
        <f t="shared" si="2"/>
        <v>muito</v>
      </c>
      <c r="F24" s="8" t="str">
        <f>IFERROR(__xludf.DUMMYFUNCTION("""COMPUTED_VALUE"""),"impressora")</f>
        <v>impressora</v>
      </c>
      <c r="G24" s="8" t="str">
        <f t="shared" si="3"/>
        <v>1.0</v>
      </c>
      <c r="H24" s="9">
        <f t="shared" si="4"/>
        <v>1</v>
      </c>
      <c r="I24" s="10">
        <f>IFERROR(__xludf.DUMMYFUNCTION("MAX(FILTER($H$2:$H427,$E$2:$E427=F24))"),1.0)</f>
        <v>1</v>
      </c>
    </row>
    <row r="25">
      <c r="A25" s="4"/>
      <c r="C25" s="4" t="s">
        <v>675</v>
      </c>
      <c r="D25" s="4" t="str">
        <f t="shared" si="1"/>
        <v>{"valorA":"marca","valorB":1.0}</v>
      </c>
      <c r="E25" s="8" t="str">
        <f t="shared" si="2"/>
        <v>marca</v>
      </c>
      <c r="F25" s="8" t="str">
        <f>IFERROR(__xludf.DUMMYFUNCTION("""COMPUTED_VALUE"""),"incrível")</f>
        <v>incrível</v>
      </c>
      <c r="G25" s="8" t="str">
        <f t="shared" si="3"/>
        <v>1.0</v>
      </c>
      <c r="H25" s="9">
        <f t="shared" si="4"/>
        <v>1</v>
      </c>
      <c r="I25" s="10">
        <f>IFERROR(__xludf.DUMMYFUNCTION("MAX(FILTER($H$2:$H427,$E$2:$E427=F25))"),1.0)</f>
        <v>1</v>
      </c>
    </row>
    <row r="26">
      <c r="A26" s="4"/>
      <c r="C26" s="4" t="s">
        <v>360</v>
      </c>
      <c r="D26" s="4" t="str">
        <f t="shared" si="1"/>
        <v>{"valorA":"dessa","valorB":1.0}</v>
      </c>
      <c r="E26" s="8" t="str">
        <f t="shared" si="2"/>
        <v>dessa</v>
      </c>
      <c r="F26" s="8" t="str">
        <f>IFERROR(__xludf.DUMMYFUNCTION("""COMPUTED_VALUE"""),"bom")</f>
        <v>bom</v>
      </c>
      <c r="G26" s="8" t="str">
        <f t="shared" si="3"/>
        <v>1.0</v>
      </c>
      <c r="H26" s="9">
        <f t="shared" si="4"/>
        <v>1</v>
      </c>
      <c r="I26" s="10">
        <f>IFERROR(__xludf.DUMMYFUNCTION("MAX(FILTER($H$2:$H427,$E$2:$E427=F26))"),4.0)</f>
        <v>4</v>
      </c>
    </row>
    <row r="27">
      <c r="A27" s="4"/>
      <c r="C27" s="4" t="s">
        <v>248</v>
      </c>
      <c r="D27" s="4" t="str">
        <f t="shared" si="1"/>
        <v>{"valorA":"funciona","valorB":1.0}</v>
      </c>
      <c r="E27" s="8" t="str">
        <f t="shared" si="2"/>
        <v>funciona</v>
      </c>
      <c r="F27" s="8" t="str">
        <f>IFERROR(__xludf.DUMMYFUNCTION("""COMPUTED_VALUE"""),"led")</f>
        <v>led</v>
      </c>
      <c r="G27" s="8" t="str">
        <f t="shared" si="3"/>
        <v>1.0</v>
      </c>
      <c r="H27" s="9">
        <f t="shared" si="4"/>
        <v>1</v>
      </c>
      <c r="I27" s="10">
        <f>IFERROR(__xludf.DUMMYFUNCTION("MAX(FILTER($H$2:$H427,$E$2:$E427=F27))"),2.0)</f>
        <v>2</v>
      </c>
    </row>
    <row r="28">
      <c r="A28" s="4"/>
      <c r="C28" s="4" t="s">
        <v>1399</v>
      </c>
      <c r="D28" s="4" t="str">
        <f t="shared" si="1"/>
        <v>{"valorA":"impressora","valorB":1.0}</v>
      </c>
      <c r="E28" s="8" t="str">
        <f t="shared" si="2"/>
        <v>impressora</v>
      </c>
      <c r="F28" s="8" t="str">
        <f>IFERROR(__xludf.DUMMYFUNCTION("""COMPUTED_VALUE"""),"gostei")</f>
        <v>gostei</v>
      </c>
      <c r="G28" s="8" t="str">
        <f t="shared" si="3"/>
        <v>1.0</v>
      </c>
      <c r="H28" s="9">
        <f t="shared" si="4"/>
        <v>1</v>
      </c>
      <c r="I28" s="10">
        <f>IFERROR(__xludf.DUMMYFUNCTION("MAX(FILTER($H$2:$H427,$E$2:$E427=F28))"),5.0)</f>
        <v>5</v>
      </c>
    </row>
    <row r="29">
      <c r="A29" s="4"/>
      <c r="C29" s="4" t="s">
        <v>633</v>
      </c>
      <c r="D29" s="4" t="str">
        <f t="shared" si="1"/>
        <v>{"valorA":"tv","valorB":2.0}</v>
      </c>
      <c r="E29" s="8" t="str">
        <f t="shared" si="2"/>
        <v>tv</v>
      </c>
      <c r="F29" s="8" t="str">
        <f>IFERROR(__xludf.DUMMYFUNCTION("""COMPUTED_VALUE"""),"comprei")</f>
        <v>comprei</v>
      </c>
      <c r="G29" s="8" t="str">
        <f t="shared" si="3"/>
        <v>2.0</v>
      </c>
      <c r="H29" s="9">
        <f t="shared" si="4"/>
        <v>2</v>
      </c>
      <c r="I29" s="10">
        <f>IFERROR(__xludf.DUMMYFUNCTION("MAX(FILTER($H$2:$H427,$E$2:$E427=F29))"),3.0)</f>
        <v>3</v>
      </c>
    </row>
    <row r="30">
      <c r="A30" s="4"/>
      <c r="C30" s="4" t="s">
        <v>202</v>
      </c>
      <c r="D30" s="4" t="str">
        <f t="shared" si="1"/>
        <v>{"valorA":"incrível","valorB":1.0}</v>
      </c>
      <c r="E30" s="8" t="str">
        <f t="shared" si="2"/>
        <v>incrível</v>
      </c>
      <c r="F30" s="8" t="str">
        <f>IFERROR(__xludf.DUMMYFUNCTION("""COMPUTED_VALUE"""),"valeu")</f>
        <v>valeu</v>
      </c>
      <c r="G30" s="8" t="str">
        <f t="shared" si="3"/>
        <v>1.0</v>
      </c>
      <c r="H30" s="9">
        <f t="shared" si="4"/>
        <v>1</v>
      </c>
      <c r="I30" s="10">
        <f>IFERROR(__xludf.DUMMYFUNCTION("MAX(FILTER($H$2:$H427,$E$2:$E427=F30))"),6.0)</f>
        <v>6</v>
      </c>
    </row>
    <row r="31">
      <c r="A31" s="4"/>
      <c r="C31" s="4" t="s">
        <v>1400</v>
      </c>
      <c r="D31" s="4" t="str">
        <f t="shared" si="1"/>
        <v>{"valorA":"imagem","valorB":2.0}</v>
      </c>
      <c r="E31" s="8" t="str">
        <f t="shared" si="2"/>
        <v>imagem</v>
      </c>
      <c r="F31" s="8" t="str">
        <f>IFERROR(__xludf.DUMMYFUNCTION("""COMPUTED_VALUE"""),"filmes")</f>
        <v>filmes</v>
      </c>
      <c r="G31" s="8" t="str">
        <f t="shared" si="3"/>
        <v>2.0</v>
      </c>
      <c r="H31" s="9">
        <f t="shared" si="4"/>
        <v>2</v>
      </c>
      <c r="I31" s="10">
        <f>IFERROR(__xludf.DUMMYFUNCTION("MAX(FILTER($H$2:$H427,$E$2:$E427=F31))"),2.0)</f>
        <v>2</v>
      </c>
    </row>
    <row r="32">
      <c r="A32" s="4"/>
      <c r="C32" s="4" t="s">
        <v>615</v>
      </c>
      <c r="D32" s="4" t="str">
        <f t="shared" si="1"/>
        <v>{"valorA":"bom","valorB":1.0}</v>
      </c>
      <c r="E32" s="8" t="str">
        <f t="shared" si="2"/>
        <v>bom</v>
      </c>
      <c r="F32" s="8" t="str">
        <f>IFERROR(__xludf.DUMMYFUNCTION("""COMPUTED_VALUE"""),"monitor")</f>
        <v>monitor</v>
      </c>
      <c r="G32" s="8" t="str">
        <f t="shared" si="3"/>
        <v>1.0</v>
      </c>
      <c r="H32" s="9">
        <f t="shared" si="4"/>
        <v>1</v>
      </c>
      <c r="I32" s="10">
        <f>IFERROR(__xludf.DUMMYFUNCTION("MAX(FILTER($H$2:$H427,$E$2:$E427=F32))"),1.0)</f>
        <v>1</v>
      </c>
    </row>
    <row r="33">
      <c r="A33" s="4"/>
      <c r="C33" s="4" t="s">
        <v>635</v>
      </c>
      <c r="D33" s="4" t="str">
        <f t="shared" si="1"/>
        <v>{"valorA":"led","valorB":1.0}</v>
      </c>
      <c r="E33" s="8" t="str">
        <f t="shared" si="2"/>
        <v>led</v>
      </c>
      <c r="F33" s="8" t="str">
        <f>IFERROR(__xludf.DUMMYFUNCTION("""COMPUTED_VALUE"""),"espera")</f>
        <v>espera</v>
      </c>
      <c r="G33" s="8" t="str">
        <f t="shared" si="3"/>
        <v>1.0</v>
      </c>
      <c r="H33" s="9">
        <f t="shared" si="4"/>
        <v>1</v>
      </c>
      <c r="I33" s="10">
        <f>IFERROR(__xludf.DUMMYFUNCTION("MAX(FILTER($H$2:$H427,$E$2:$E427=F33))"),5.0)</f>
        <v>5</v>
      </c>
    </row>
    <row r="34">
      <c r="A34" s="4"/>
      <c r="C34" s="4" t="s">
        <v>190</v>
      </c>
      <c r="D34" s="4" t="str">
        <f t="shared" si="1"/>
        <v>{"valorA":"gostei","valorB":1.0}</v>
      </c>
      <c r="E34" s="8" t="str">
        <f t="shared" si="2"/>
        <v>gostei</v>
      </c>
      <c r="F34" s="8" t="str">
        <f>IFERROR(__xludf.DUMMYFUNCTION("""COMPUTED_VALUE"""),"que")</f>
        <v>que</v>
      </c>
      <c r="G34" s="8" t="str">
        <f t="shared" si="3"/>
        <v>1.0</v>
      </c>
      <c r="H34" s="9">
        <f t="shared" si="4"/>
        <v>1</v>
      </c>
      <c r="I34" s="10">
        <f>IFERROR(__xludf.DUMMYFUNCTION("MAX(FILTER($H$2:$H427,$E$2:$E427=F34))"),6.0)</f>
        <v>6</v>
      </c>
    </row>
    <row r="35">
      <c r="A35" s="4"/>
      <c r="C35" s="4" t="s">
        <v>587</v>
      </c>
      <c r="D35" s="4" t="str">
        <f t="shared" si="1"/>
        <v>{"valorA":"ótimo","valorB":4.0}</v>
      </c>
      <c r="E35" s="8" t="str">
        <f t="shared" si="2"/>
        <v>ótimo</v>
      </c>
      <c r="F35" s="8" t="str">
        <f>IFERROR(__xludf.DUMMYFUNCTION("""COMPUTED_VALUE"""),"assistir")</f>
        <v>assistir</v>
      </c>
      <c r="G35" s="8" t="str">
        <f t="shared" si="3"/>
        <v>4.0</v>
      </c>
      <c r="H35" s="9">
        <f t="shared" si="4"/>
        <v>4</v>
      </c>
      <c r="I35" s="10">
        <f>IFERROR(__xludf.DUMMYFUNCTION("MAX(FILTER($H$2:$H427,$E$2:$E427=F35))"),1.0)</f>
        <v>1</v>
      </c>
    </row>
    <row r="36">
      <c r="A36" s="4"/>
      <c r="C36" s="4" t="s">
        <v>1401</v>
      </c>
      <c r="D36" s="4" t="str">
        <f t="shared" si="1"/>
        <v>{"valorA":"som","valorB":2.0}</v>
      </c>
      <c r="E36" s="8" t="str">
        <f t="shared" si="2"/>
        <v>som</v>
      </c>
      <c r="F36" s="8" t="str">
        <f>IFERROR(__xludf.DUMMYFUNCTION("""COMPUTED_VALUE"""),"a")</f>
        <v>a</v>
      </c>
      <c r="G36" s="8" t="str">
        <f t="shared" si="3"/>
        <v>2.0</v>
      </c>
      <c r="H36" s="9">
        <f t="shared" si="4"/>
        <v>2</v>
      </c>
      <c r="I36" s="10">
        <f>IFERROR(__xludf.DUMMYFUNCTION("MAX(FILTER($H$2:$H427,$E$2:$E427=F36))"),10.0)</f>
        <v>10</v>
      </c>
    </row>
    <row r="37">
      <c r="A37" s="4"/>
      <c r="C37" s="4" t="s">
        <v>212</v>
      </c>
      <c r="D37" s="4" t="str">
        <f t="shared" si="1"/>
        <v>{"valorA":"muito","valorB":3.0}</v>
      </c>
      <c r="E37" s="8" t="str">
        <f t="shared" si="2"/>
        <v>muito</v>
      </c>
      <c r="F37" s="8" t="str">
        <f>IFERROR(__xludf.DUMMYFUNCTION("""COMPUTED_VALUE"""),"faz")</f>
        <v>faz</v>
      </c>
      <c r="G37" s="8" t="str">
        <f t="shared" si="3"/>
        <v>3.0</v>
      </c>
      <c r="H37" s="9">
        <f t="shared" si="4"/>
        <v>3</v>
      </c>
      <c r="I37" s="10">
        <f>IFERROR(__xludf.DUMMYFUNCTION("MAX(FILTER($H$2:$H427,$E$2:$E427=F37))"),1.0)</f>
        <v>1</v>
      </c>
    </row>
    <row r="38">
      <c r="A38" s="4"/>
      <c r="C38" s="4" t="s">
        <v>613</v>
      </c>
      <c r="D38" s="4" t="str">
        <f t="shared" si="1"/>
        <v>{"valorA":"para","valorB":2.0}</v>
      </c>
      <c r="E38" s="8" t="str">
        <f t="shared" si="2"/>
        <v>para</v>
      </c>
      <c r="F38" s="8" t="str">
        <f>IFERROR(__xludf.DUMMYFUNCTION("""COMPUTED_VALUE"""),"fotos")</f>
        <v>fotos</v>
      </c>
      <c r="G38" s="8" t="str">
        <f t="shared" si="3"/>
        <v>2.0</v>
      </c>
      <c r="H38" s="9">
        <f t="shared" si="4"/>
        <v>2</v>
      </c>
      <c r="I38" s="10">
        <f>IFERROR(__xludf.DUMMYFUNCTION("MAX(FILTER($H$2:$H427,$E$2:$E427=F38))"),1.0)</f>
        <v>1</v>
      </c>
    </row>
    <row r="39">
      <c r="A39" s="4"/>
      <c r="C39" s="4" t="s">
        <v>291</v>
      </c>
      <c r="D39" s="4" t="str">
        <f t="shared" si="1"/>
        <v>{"valorA":"comprei","valorB":1.0}</v>
      </c>
      <c r="E39" s="8" t="str">
        <f t="shared" si="2"/>
        <v>comprei</v>
      </c>
      <c r="F39" s="8" t="str">
        <f>IFERROR(__xludf.DUMMYFUNCTION("""COMPUTED_VALUE"""),"incríveis")</f>
        <v>incríveis</v>
      </c>
      <c r="G39" s="8" t="str">
        <f t="shared" si="3"/>
        <v>1.0</v>
      </c>
      <c r="H39" s="9">
        <f t="shared" si="4"/>
        <v>1</v>
      </c>
      <c r="I39" s="10">
        <f>IFERROR(__xludf.DUMMYFUNCTION("MAX(FILTER($H$2:$H427,$E$2:$E427=F39))"),1.0)</f>
        <v>1</v>
      </c>
    </row>
    <row r="40">
      <c r="A40" s="4"/>
      <c r="C40" s="4" t="s">
        <v>600</v>
      </c>
      <c r="D40" s="4" t="str">
        <f t="shared" si="1"/>
        <v>{"valorA":"valeu","valorB":1.0}</v>
      </c>
      <c r="E40" s="8" t="str">
        <f t="shared" si="2"/>
        <v>valeu</v>
      </c>
      <c r="F40" s="8" t="str">
        <f>IFERROR(__xludf.DUMMYFUNCTION("""COMPUTED_VALUE"""),"câmera")</f>
        <v>câmera</v>
      </c>
      <c r="G40" s="8" t="str">
        <f t="shared" si="3"/>
        <v>1.0</v>
      </c>
      <c r="H40" s="9">
        <f t="shared" si="4"/>
        <v>1</v>
      </c>
      <c r="I40" s="10">
        <f>IFERROR(__xludf.DUMMYFUNCTION("MAX(FILTER($H$2:$H427,$E$2:$E427=F40))"),2.0)</f>
        <v>2</v>
      </c>
    </row>
    <row r="41">
      <c r="A41" s="4"/>
      <c r="C41" s="4" t="s">
        <v>1402</v>
      </c>
      <c r="D41" s="4" t="str">
        <f t="shared" si="1"/>
        <v>{"valorA":"tv","valorB":3.0}</v>
      </c>
      <c r="E41" s="8" t="str">
        <f t="shared" si="2"/>
        <v>tv</v>
      </c>
      <c r="F41" s="8" t="str">
        <f>IFERROR(__xludf.DUMMYFUNCTION("""COMPUTED_VALUE"""),"o")</f>
        <v>o</v>
      </c>
      <c r="G41" s="8" t="str">
        <f t="shared" si="3"/>
        <v>3.0</v>
      </c>
      <c r="H41" s="9">
        <f t="shared" si="4"/>
        <v>3</v>
      </c>
      <c r="I41" s="10">
        <f>IFERROR(__xludf.DUMMYFUNCTION("MAX(FILTER($H$2:$H427,$E$2:$E427=F41))"),6.0)</f>
        <v>6</v>
      </c>
    </row>
    <row r="42">
      <c r="A42" s="4"/>
      <c r="C42" s="4" t="s">
        <v>1403</v>
      </c>
      <c r="D42" s="4" t="str">
        <f t="shared" si="1"/>
        <v>{"valorA":"filmes","valorB":1.0}</v>
      </c>
      <c r="E42" s="8" t="str">
        <f t="shared" si="2"/>
        <v>filmes</v>
      </c>
      <c r="F42" s="8" t="str">
        <f>IFERROR(__xludf.DUMMYFUNCTION("""COMPUTED_VALUE"""),"alto")</f>
        <v>alto</v>
      </c>
      <c r="G42" s="8" t="str">
        <f t="shared" si="3"/>
        <v>1.0</v>
      </c>
      <c r="H42" s="9">
        <f t="shared" si="4"/>
        <v>1</v>
      </c>
      <c r="I42" s="10">
        <f>IFERROR(__xludf.DUMMYFUNCTION("MAX(FILTER($H$2:$H427,$E$2:$E427=F42))"),1.0)</f>
        <v>1</v>
      </c>
    </row>
    <row r="43">
      <c r="A43" s="4"/>
      <c r="C43" s="4" t="s">
        <v>648</v>
      </c>
      <c r="D43" s="4" t="str">
        <f t="shared" si="1"/>
        <v>{"valorA":"bom","valorB":2.0}</v>
      </c>
      <c r="E43" s="8" t="str">
        <f t="shared" si="2"/>
        <v>bom</v>
      </c>
      <c r="F43" s="8" t="str">
        <f>IFERROR(__xludf.DUMMYFUNCTION("""COMPUTED_VALUE"""),"mas")</f>
        <v>mas</v>
      </c>
      <c r="G43" s="8" t="str">
        <f t="shared" si="3"/>
        <v>2.0</v>
      </c>
      <c r="H43" s="9">
        <f t="shared" si="4"/>
        <v>2</v>
      </c>
      <c r="I43" s="10">
        <f>IFERROR(__xludf.DUMMYFUNCTION("MAX(FILTER($H$2:$H427,$E$2:$E427=F43))"),5.0)</f>
        <v>5</v>
      </c>
    </row>
    <row r="44">
      <c r="A44" s="4"/>
      <c r="C44" s="4" t="s">
        <v>682</v>
      </c>
      <c r="D44" s="4" t="str">
        <f t="shared" si="1"/>
        <v>{"valorA":"monitor","valorB":1.0}</v>
      </c>
      <c r="E44" s="8" t="str">
        <f t="shared" si="2"/>
        <v>monitor</v>
      </c>
      <c r="F44" s="8" t="str">
        <f>IFERROR(__xludf.DUMMYFUNCTION("""COMPUTED_VALUE"""),"preço")</f>
        <v>preço</v>
      </c>
      <c r="G44" s="8" t="str">
        <f t="shared" si="3"/>
        <v>1.0</v>
      </c>
      <c r="H44" s="9">
        <f t="shared" si="4"/>
        <v>1</v>
      </c>
      <c r="I44" s="10">
        <f>IFERROR(__xludf.DUMMYFUNCTION("MAX(FILTER($H$2:$H427,$E$2:$E427=F44))"),6.0)</f>
        <v>6</v>
      </c>
    </row>
    <row r="45">
      <c r="A45" s="4"/>
      <c r="C45" s="4" t="s">
        <v>603</v>
      </c>
      <c r="D45" s="4" t="str">
        <f t="shared" si="1"/>
        <v>{"valorA":"espera","valorB":1.0}</v>
      </c>
      <c r="E45" s="8" t="str">
        <f t="shared" si="2"/>
        <v>espera</v>
      </c>
      <c r="F45" s="8" t="str">
        <f>IFERROR(__xludf.DUMMYFUNCTION("""COMPUTED_VALUE"""),"valer")</f>
        <v>valer</v>
      </c>
      <c r="G45" s="8" t="str">
        <f t="shared" si="3"/>
        <v>1.0</v>
      </c>
      <c r="H45" s="9">
        <f t="shared" si="4"/>
        <v>1</v>
      </c>
      <c r="I45" s="10">
        <f>IFERROR(__xludf.DUMMYFUNCTION("MAX(FILTER($H$2:$H427,$E$2:$E427=F45))"),1.0)</f>
        <v>1</v>
      </c>
    </row>
    <row r="46">
      <c r="A46" s="4"/>
      <c r="C46" s="4" t="s">
        <v>295</v>
      </c>
      <c r="D46" s="4" t="str">
        <f t="shared" si="1"/>
        <v>{"valorA":"que","valorB":1.0}</v>
      </c>
      <c r="E46" s="8" t="str">
        <f t="shared" si="2"/>
        <v>que</v>
      </c>
      <c r="F46" s="8" t="str">
        <f>IFERROR(__xludf.DUMMYFUNCTION("""COMPUTED_VALUE"""),"favor")</f>
        <v>favor</v>
      </c>
      <c r="G46" s="8" t="str">
        <f t="shared" si="3"/>
        <v>1.0</v>
      </c>
      <c r="H46" s="9">
        <f t="shared" si="4"/>
        <v>1</v>
      </c>
      <c r="I46" s="10">
        <f>IFERROR(__xludf.DUMMYFUNCTION("MAX(FILTER($H$2:$H427,$E$2:$E427=F46))"),1.0)</f>
        <v>1</v>
      </c>
    </row>
    <row r="47">
      <c r="A47" s="4"/>
      <c r="C47" s="4" t="s">
        <v>594</v>
      </c>
      <c r="D47" s="4" t="str">
        <f t="shared" si="1"/>
        <v>{"valorA":"ótimo","valorB":6.0}</v>
      </c>
      <c r="E47" s="8" t="str">
        <f t="shared" si="2"/>
        <v>ótimo</v>
      </c>
      <c r="F47" s="8" t="str">
        <f>IFERROR(__xludf.DUMMYFUNCTION("""COMPUTED_VALUE"""),"por")</f>
        <v>por</v>
      </c>
      <c r="G47" s="8" t="str">
        <f t="shared" si="3"/>
        <v>6.0</v>
      </c>
      <c r="H47" s="9">
        <f t="shared" si="4"/>
        <v>6</v>
      </c>
      <c r="I47" s="10">
        <f>IFERROR(__xludf.DUMMYFUNCTION("MAX(FILTER($H$2:$H427,$E$2:$E427=F47))"),2.0)</f>
        <v>2</v>
      </c>
    </row>
    <row r="48">
      <c r="A48" s="4"/>
      <c r="C48" s="4" t="s">
        <v>1404</v>
      </c>
      <c r="D48" s="4" t="str">
        <f t="shared" si="1"/>
        <v>{"valorA":"assistir","valorB":1.0}</v>
      </c>
      <c r="E48" s="8" t="str">
        <f t="shared" si="2"/>
        <v>assistir</v>
      </c>
      <c r="F48" s="8" t="str">
        <f>IFERROR(__xludf.DUMMYFUNCTION("""COMPUTED_VALUE"""),"compri")</f>
        <v>compri</v>
      </c>
      <c r="G48" s="8" t="str">
        <f t="shared" si="3"/>
        <v>1.0</v>
      </c>
      <c r="H48" s="9">
        <f t="shared" si="4"/>
        <v>1</v>
      </c>
      <c r="I48" s="10">
        <f>IFERROR(__xludf.DUMMYFUNCTION("MAX(FILTER($H$2:$H427,$E$2:$E427=F48))"),1.0)</f>
        <v>1</v>
      </c>
    </row>
    <row r="49">
      <c r="A49" s="4"/>
      <c r="C49" s="4" t="s">
        <v>246</v>
      </c>
      <c r="D49" s="4" t="str">
        <f t="shared" si="1"/>
        <v>{"valorA":"muito","valorB":4.0}</v>
      </c>
      <c r="E49" s="8" t="str">
        <f t="shared" si="2"/>
        <v>muito</v>
      </c>
      <c r="F49" s="8" t="str">
        <f>IFERROR(__xludf.DUMMYFUNCTION("""COMPUTED_VALUE"""),"coloque")</f>
        <v>coloque</v>
      </c>
      <c r="G49" s="8" t="str">
        <f t="shared" si="3"/>
        <v>4.0</v>
      </c>
      <c r="H49" s="9">
        <f t="shared" si="4"/>
        <v>4</v>
      </c>
      <c r="I49" s="10">
        <f>IFERROR(__xludf.DUMMYFUNCTION("MAX(FILTER($H$2:$H427,$E$2:$E427=F49))"),1.0)</f>
        <v>1</v>
      </c>
    </row>
    <row r="50">
      <c r="A50" s="4"/>
      <c r="C50" s="4" t="s">
        <v>580</v>
      </c>
      <c r="D50" s="4" t="str">
        <f t="shared" si="1"/>
        <v>{"valorA":"a","valorB":1.0}</v>
      </c>
      <c r="E50" s="8" t="str">
        <f t="shared" si="2"/>
        <v>a</v>
      </c>
      <c r="F50" s="8" t="str">
        <f>IFERROR(__xludf.DUMMYFUNCTION("""COMPUTED_VALUE"""),"dinheiro")</f>
        <v>dinheiro</v>
      </c>
      <c r="G50" s="8" t="str">
        <f t="shared" si="3"/>
        <v>1.0</v>
      </c>
      <c r="H50" s="9">
        <f t="shared" si="4"/>
        <v>1</v>
      </c>
      <c r="I50" s="10">
        <f>IFERROR(__xludf.DUMMYFUNCTION("MAX(FILTER($H$2:$H427,$E$2:$E427=F50))"),2.0)</f>
        <v>2</v>
      </c>
    </row>
    <row r="51">
      <c r="A51" s="4"/>
      <c r="C51" s="4" t="s">
        <v>1287</v>
      </c>
      <c r="D51" s="4" t="str">
        <f t="shared" si="1"/>
        <v>{"valorA":"faz","valorB":1.0}</v>
      </c>
      <c r="E51" s="8" t="str">
        <f t="shared" si="2"/>
        <v>faz</v>
      </c>
      <c r="F51" s="8" t="str">
        <f>IFERROR(__xludf.DUMMYFUNCTION("""COMPUTED_VALUE"""),"vezes")</f>
        <v>vezes</v>
      </c>
      <c r="G51" s="8" t="str">
        <f t="shared" si="3"/>
        <v>1.0</v>
      </c>
      <c r="H51" s="9">
        <f t="shared" si="4"/>
        <v>1</v>
      </c>
      <c r="I51" s="10">
        <f>IFERROR(__xludf.DUMMYFUNCTION("MAX(FILTER($H$2:$H427,$E$2:$E427=F51))"),1.0)</f>
        <v>1</v>
      </c>
    </row>
    <row r="52">
      <c r="A52" s="4"/>
      <c r="C52" s="4" t="s">
        <v>438</v>
      </c>
      <c r="D52" s="4" t="str">
        <f t="shared" si="1"/>
        <v>{"valorA":"fotos","valorB":1.0}</v>
      </c>
      <c r="E52" s="8" t="str">
        <f t="shared" si="2"/>
        <v>fotos</v>
      </c>
      <c r="F52" s="8" t="str">
        <f>IFERROR(__xludf.DUMMYFUNCTION("""COMPUTED_VALUE"""),"multiple")</f>
        <v>multiple</v>
      </c>
      <c r="G52" s="8" t="str">
        <f t="shared" si="3"/>
        <v>1.0</v>
      </c>
      <c r="H52" s="9">
        <f t="shared" si="4"/>
        <v>1</v>
      </c>
      <c r="I52" s="10">
        <f>IFERROR(__xludf.DUMMYFUNCTION("MAX(FILTER($H$2:$H427,$E$2:$E427=F52))"),1.0)</f>
        <v>1</v>
      </c>
    </row>
    <row r="53">
      <c r="A53" s="4"/>
      <c r="C53" s="4" t="s">
        <v>442</v>
      </c>
      <c r="D53" s="4" t="str">
        <f t="shared" si="1"/>
        <v>{"valorA":"incríveis","valorB":1.0}</v>
      </c>
      <c r="E53" s="8" t="str">
        <f t="shared" si="2"/>
        <v>incríveis</v>
      </c>
      <c r="F53" s="8" t="str">
        <f>IFERROR(__xludf.DUMMYFUNCTION("""COMPUTED_VALUE"""),"recomendo")</f>
        <v>recomendo</v>
      </c>
      <c r="G53" s="8" t="str">
        <f t="shared" si="3"/>
        <v>1.0</v>
      </c>
      <c r="H53" s="9">
        <f t="shared" si="4"/>
        <v>1</v>
      </c>
      <c r="I53" s="10">
        <f>IFERROR(__xludf.DUMMYFUNCTION("MAX(FILTER($H$2:$H427,$E$2:$E427=F53))"),5.0)</f>
        <v>5</v>
      </c>
    </row>
    <row r="54">
      <c r="A54" s="4"/>
      <c r="C54" s="4" t="s">
        <v>227</v>
      </c>
      <c r="D54" s="4" t="str">
        <f t="shared" si="1"/>
        <v>{"valorA":"ótimo","valorB":7.0}</v>
      </c>
      <c r="E54" s="8" t="str">
        <f t="shared" si="2"/>
        <v>ótimo</v>
      </c>
      <c r="F54" s="8" t="str">
        <f>IFERROR(__xludf.DUMMYFUNCTION("""COMPUTED_VALUE"""),"econômico")</f>
        <v>econômico</v>
      </c>
      <c r="G54" s="8" t="str">
        <f t="shared" si="3"/>
        <v>7.0</v>
      </c>
      <c r="H54" s="9">
        <f t="shared" si="4"/>
        <v>7</v>
      </c>
      <c r="I54" s="10">
        <f>IFERROR(__xludf.DUMMYFUNCTION("MAX(FILTER($H$2:$H427,$E$2:$E427=F54))"),1.0)</f>
        <v>1</v>
      </c>
    </row>
    <row r="55">
      <c r="A55" s="4"/>
      <c r="C55" s="4" t="s">
        <v>446</v>
      </c>
      <c r="D55" s="4" t="str">
        <f t="shared" si="1"/>
        <v>{"valorA":"câmera","valorB":1.0}</v>
      </c>
      <c r="E55" s="8" t="str">
        <f t="shared" si="2"/>
        <v>câmera</v>
      </c>
      <c r="F55" s="8" t="str">
        <f>IFERROR(__xludf.DUMMYFUNCTION("""COMPUTED_VALUE"""),"perfeitamente")</f>
        <v>perfeitamente</v>
      </c>
      <c r="G55" s="8" t="str">
        <f t="shared" si="3"/>
        <v>1.0</v>
      </c>
      <c r="H55" s="9">
        <f t="shared" si="4"/>
        <v>1</v>
      </c>
      <c r="I55" s="10">
        <f>IFERROR(__xludf.DUMMYFUNCTION("MAX(FILTER($H$2:$H427,$E$2:$E427=F55))"),3.0)</f>
        <v>3</v>
      </c>
    </row>
    <row r="56">
      <c r="A56" s="4"/>
      <c r="C56" s="4" t="s">
        <v>197</v>
      </c>
      <c r="D56" s="4" t="str">
        <f t="shared" si="1"/>
        <v>{"valorA":"é","valorB":2.0}</v>
      </c>
      <c r="E56" s="8" t="str">
        <f t="shared" si="2"/>
        <v>é</v>
      </c>
      <c r="F56" s="8" t="str">
        <f>IFERROR(__xludf.DUMMYFUNCTION("""COMPUTED_VALUE"""),"brilho")</f>
        <v>brilho</v>
      </c>
      <c r="G56" s="8" t="str">
        <f t="shared" si="3"/>
        <v>2.0</v>
      </c>
      <c r="H56" s="9">
        <f t="shared" si="4"/>
        <v>2</v>
      </c>
      <c r="I56" s="10">
        <f>IFERROR(__xludf.DUMMYFUNCTION("MAX(FILTER($H$2:$H427,$E$2:$E427=F56))"),1.0)</f>
        <v>1</v>
      </c>
    </row>
    <row r="57">
      <c r="A57" s="4"/>
      <c r="C57" s="4" t="s">
        <v>310</v>
      </c>
      <c r="D57" s="4" t="str">
        <f t="shared" si="1"/>
        <v>{"valorA":"o","valorB":1.0}</v>
      </c>
      <c r="E57" s="8" t="str">
        <f t="shared" si="2"/>
        <v>o</v>
      </c>
      <c r="F57" s="8" t="str">
        <f>IFERROR(__xludf.DUMMYFUNCTION("""COMPUTED_VALUE"""),"ótima")</f>
        <v>ótima</v>
      </c>
      <c r="G57" s="8" t="str">
        <f t="shared" si="3"/>
        <v>1.0</v>
      </c>
      <c r="H57" s="9">
        <f t="shared" si="4"/>
        <v>1</v>
      </c>
      <c r="I57" s="10">
        <f>IFERROR(__xludf.DUMMYFUNCTION("MAX(FILTER($H$2:$H427,$E$2:$E427=F57))"),2.0)</f>
        <v>2</v>
      </c>
    </row>
    <row r="58">
      <c r="A58" s="4"/>
      <c r="C58" s="4" t="s">
        <v>1405</v>
      </c>
      <c r="D58" s="4" t="str">
        <f t="shared" si="1"/>
        <v>{"valorA":"alto","valorB":1.0}</v>
      </c>
      <c r="E58" s="8" t="str">
        <f t="shared" si="2"/>
        <v>alto</v>
      </c>
      <c r="F58" s="8" t="str">
        <f>IFERROR(__xludf.DUMMYFUNCTION("""COMPUTED_VALUE"""),"limpo")</f>
        <v>limpo</v>
      </c>
      <c r="G58" s="8" t="str">
        <f t="shared" si="3"/>
        <v>1.0</v>
      </c>
      <c r="H58" s="9">
        <f t="shared" si="4"/>
        <v>1</v>
      </c>
      <c r="I58" s="10">
        <f>IFERROR(__xludf.DUMMYFUNCTION("MAX(FILTER($H$2:$H427,$E$2:$E427=F58))"),1.0)</f>
        <v>1</v>
      </c>
    </row>
    <row r="59">
      <c r="A59" s="4"/>
      <c r="C59" s="4" t="s">
        <v>585</v>
      </c>
      <c r="D59" s="4" t="str">
        <f t="shared" si="1"/>
        <v>{"valorA":"produto","valorB":3.0}</v>
      </c>
      <c r="E59" s="8" t="str">
        <f t="shared" si="2"/>
        <v>produto</v>
      </c>
      <c r="F59" s="8" t="str">
        <f>IFERROR(__xludf.DUMMYFUNCTION("""COMPUTED_VALUE"""),"do")</f>
        <v>do</v>
      </c>
      <c r="G59" s="8" t="str">
        <f t="shared" si="3"/>
        <v>3.0</v>
      </c>
      <c r="H59" s="9">
        <f t="shared" si="4"/>
        <v>3</v>
      </c>
      <c r="I59" s="10">
        <f>IFERROR(__xludf.DUMMYFUNCTION("MAX(FILTER($H$2:$H427,$E$2:$E427=F59))"),3.0)</f>
        <v>3</v>
      </c>
    </row>
    <row r="60">
      <c r="A60" s="4"/>
      <c r="C60" s="4" t="s">
        <v>605</v>
      </c>
      <c r="D60" s="4" t="str">
        <f t="shared" si="1"/>
        <v>{"valorA":"ótimo","valorB":8.0}</v>
      </c>
      <c r="E60" s="8" t="str">
        <f t="shared" si="2"/>
        <v>ótimo</v>
      </c>
      <c r="F60" s="8" t="str">
        <f>IFERROR(__xludf.DUMMYFUNCTION("""COMPUTED_VALUE"""),"televisor")</f>
        <v>televisor</v>
      </c>
      <c r="G60" s="8" t="str">
        <f t="shared" si="3"/>
        <v>8.0</v>
      </c>
      <c r="H60" s="9">
        <f t="shared" si="4"/>
        <v>8</v>
      </c>
      <c r="I60" s="10">
        <f>IFERROR(__xludf.DUMMYFUNCTION("MAX(FILTER($H$2:$H427,$E$2:$E427=F60))"),3.0)</f>
        <v>3</v>
      </c>
    </row>
    <row r="61">
      <c r="A61" s="4"/>
      <c r="C61" s="4" t="s">
        <v>1406</v>
      </c>
      <c r="D61" s="4" t="str">
        <f t="shared" si="1"/>
        <v>{"valorA":"mas","valorB":1.0}</v>
      </c>
      <c r="E61" s="8" t="str">
        <f t="shared" si="2"/>
        <v>mas</v>
      </c>
      <c r="F61" s="8" t="str">
        <f>IFERROR(__xludf.DUMMYFUNCTION("""COMPUTED_VALUE"""),"esse")</f>
        <v>esse</v>
      </c>
      <c r="G61" s="8" t="str">
        <f t="shared" si="3"/>
        <v>1.0</v>
      </c>
      <c r="H61" s="9">
        <f t="shared" si="4"/>
        <v>1</v>
      </c>
      <c r="I61" s="10">
        <f>IFERROR(__xludf.DUMMYFUNCTION("MAX(FILTER($H$2:$H427,$E$2:$E427=F61))"),1.0)</f>
        <v>1</v>
      </c>
    </row>
    <row r="62">
      <c r="A62" s="4"/>
      <c r="C62" s="4" t="s">
        <v>262</v>
      </c>
      <c r="D62" s="4" t="str">
        <f t="shared" si="1"/>
        <v>{"valorA":"muito","valorB":5.0}</v>
      </c>
      <c r="E62" s="8" t="str">
        <f t="shared" si="2"/>
        <v>muito</v>
      </c>
      <c r="F62" s="8" t="str">
        <f>IFERROR(__xludf.DUMMYFUNCTION("""COMPUTED_VALUE"""),"clareza")</f>
        <v>clareza</v>
      </c>
      <c r="G62" s="8" t="str">
        <f t="shared" si="3"/>
        <v>5.0</v>
      </c>
      <c r="H62" s="9">
        <f t="shared" si="4"/>
        <v>5</v>
      </c>
      <c r="I62" s="10">
        <f>IFERROR(__xludf.DUMMYFUNCTION("MAX(FILTER($H$2:$H427,$E$2:$E427=F62))"),1.0)</f>
        <v>1</v>
      </c>
    </row>
    <row r="63">
      <c r="A63" s="4"/>
      <c r="C63" s="4" t="s">
        <v>583</v>
      </c>
      <c r="D63" s="4" t="str">
        <f t="shared" si="1"/>
        <v>{"valorA":"preço","valorB":1.0}</v>
      </c>
      <c r="E63" s="8" t="str">
        <f t="shared" si="2"/>
        <v>preço</v>
      </c>
      <c r="F63" s="8" t="str">
        <f>IFERROR(__xludf.DUMMYFUNCTION("""COMPUTED_VALUE"""),"manter")</f>
        <v>manter</v>
      </c>
      <c r="G63" s="8" t="str">
        <f t="shared" si="3"/>
        <v>1.0</v>
      </c>
      <c r="H63" s="9">
        <f t="shared" si="4"/>
        <v>1</v>
      </c>
      <c r="I63" s="10">
        <f>IFERROR(__xludf.DUMMYFUNCTION("MAX(FILTER($H$2:$H427,$E$2:$E427=F63))"),1.0)</f>
        <v>1</v>
      </c>
    </row>
    <row r="64">
      <c r="A64" s="4"/>
      <c r="C64" s="4" t="s">
        <v>1407</v>
      </c>
      <c r="D64" s="4" t="str">
        <f t="shared" si="1"/>
        <v>{"valorA":"valer","valorB":1.0}</v>
      </c>
      <c r="E64" s="8" t="str">
        <f t="shared" si="2"/>
        <v>valer</v>
      </c>
      <c r="F64" s="8" t="str">
        <f>IFERROR(__xludf.DUMMYFUNCTION("""COMPUTED_VALUE"""),"da")</f>
        <v>da</v>
      </c>
      <c r="G64" s="8" t="str">
        <f t="shared" si="3"/>
        <v>1.0</v>
      </c>
      <c r="H64" s="9">
        <f t="shared" si="4"/>
        <v>1</v>
      </c>
      <c r="I64" s="10">
        <f>IFERROR(__xludf.DUMMYFUNCTION("MAX(FILTER($H$2:$H427,$E$2:$E427=F64))"),2.0)</f>
        <v>2</v>
      </c>
    </row>
    <row r="65">
      <c r="A65" s="4"/>
      <c r="C65" s="4" t="s">
        <v>1408</v>
      </c>
      <c r="D65" s="4" t="str">
        <f t="shared" si="1"/>
        <v>{"valorA":"favor","valorB":1.0}</v>
      </c>
      <c r="E65" s="8" t="str">
        <f t="shared" si="2"/>
        <v>favor</v>
      </c>
      <c r="F65" s="8" t="str">
        <f>IFERROR(__xludf.DUMMYFUNCTION("""COMPUTED_VALUE"""),"meu")</f>
        <v>meu</v>
      </c>
      <c r="G65" s="8" t="str">
        <f t="shared" si="3"/>
        <v>1.0</v>
      </c>
      <c r="H65" s="9">
        <f t="shared" si="4"/>
        <v>1</v>
      </c>
      <c r="I65" s="10">
        <f>IFERROR(__xludf.DUMMYFUNCTION("MAX(FILTER($H$2:$H427,$E$2:$E427=F65))"),5.0)</f>
        <v>5</v>
      </c>
    </row>
    <row r="66">
      <c r="A66" s="4"/>
      <c r="C66" s="4" t="s">
        <v>203</v>
      </c>
      <c r="D66" s="4" t="str">
        <f t="shared" si="1"/>
        <v>{"valorA":"por","valorB":1.0}</v>
      </c>
      <c r="E66" s="8" t="str">
        <f t="shared" si="2"/>
        <v>por</v>
      </c>
      <c r="F66" s="8" t="str">
        <f>IFERROR(__xludf.DUMMYFUNCTION("""COMPUTED_VALUE"""),"aspirador")</f>
        <v>aspirador</v>
      </c>
      <c r="G66" s="8" t="str">
        <f t="shared" si="3"/>
        <v>1.0</v>
      </c>
      <c r="H66" s="9">
        <f t="shared" si="4"/>
        <v>1</v>
      </c>
      <c r="I66" s="10">
        <f>IFERROR(__xludf.DUMMYFUNCTION("MAX(FILTER($H$2:$H427,$E$2:$E427=F66))"),1.0)</f>
        <v>1</v>
      </c>
    </row>
    <row r="67">
      <c r="A67" s="4"/>
      <c r="C67" s="4" t="s">
        <v>1409</v>
      </c>
      <c r="D67" s="4" t="str">
        <f t="shared" si="1"/>
        <v>{"valorA":"compri","valorB":1.0}</v>
      </c>
      <c r="E67" s="8" t="str">
        <f t="shared" si="2"/>
        <v>compri</v>
      </c>
      <c r="F67" s="8" t="str">
        <f>IFERROR(__xludf.DUMMYFUNCTION("""COMPUTED_VALUE"""),"pó")</f>
        <v>pó</v>
      </c>
      <c r="G67" s="8" t="str">
        <f t="shared" si="3"/>
        <v>1.0</v>
      </c>
      <c r="H67" s="9">
        <f t="shared" si="4"/>
        <v>1</v>
      </c>
      <c r="I67" s="10">
        <f>IFERROR(__xludf.DUMMYFUNCTION("MAX(FILTER($H$2:$H427,$E$2:$E427=F67))"),1.0)</f>
        <v>1</v>
      </c>
    </row>
    <row r="68">
      <c r="A68" s="4"/>
      <c r="C68" s="4" t="s">
        <v>332</v>
      </c>
      <c r="D68" s="4" t="str">
        <f t="shared" si="1"/>
        <v>{"valorA":"o","valorB":2.0}</v>
      </c>
      <c r="E68" s="8" t="str">
        <f t="shared" si="2"/>
        <v>o</v>
      </c>
      <c r="F68" s="8" t="str">
        <f>IFERROR(__xludf.DUMMYFUNCTION("""COMPUTED_VALUE"""),"confiabilidade")</f>
        <v>confiabilidade</v>
      </c>
      <c r="G68" s="8" t="str">
        <f t="shared" si="3"/>
        <v>2.0</v>
      </c>
      <c r="H68" s="9">
        <f t="shared" si="4"/>
        <v>2</v>
      </c>
      <c r="I68" s="10">
        <f>IFERROR(__xludf.DUMMYFUNCTION("MAX(FILTER($H$2:$H427,$E$2:$E427=F68))"),1.0)</f>
        <v>1</v>
      </c>
    </row>
    <row r="69">
      <c r="A69" s="4"/>
      <c r="C69" s="4" t="s">
        <v>1410</v>
      </c>
      <c r="D69" s="4" t="str">
        <f t="shared" si="1"/>
        <v>{"valorA":"coloque","valorB":1.0}</v>
      </c>
      <c r="E69" s="8" t="str">
        <f t="shared" si="2"/>
        <v>coloque</v>
      </c>
      <c r="F69" s="8" t="str">
        <f>IFERROR(__xludf.DUMMYFUNCTION("""COMPUTED_VALUE"""),"busca")</f>
        <v>busca</v>
      </c>
      <c r="G69" s="8" t="str">
        <f t="shared" si="3"/>
        <v>1.0</v>
      </c>
      <c r="H69" s="9">
        <f t="shared" si="4"/>
        <v>1</v>
      </c>
      <c r="I69" s="10">
        <f>IFERROR(__xludf.DUMMYFUNCTION("MAX(FILTER($H$2:$H427,$E$2:$E427=F69))"),3.0)</f>
        <v>3</v>
      </c>
    </row>
    <row r="70">
      <c r="A70" s="4"/>
      <c r="C70" s="4" t="s">
        <v>478</v>
      </c>
      <c r="D70" s="4" t="str">
        <f t="shared" si="1"/>
        <v>{"valorA":"dinheiro","valorB":1.0}</v>
      </c>
      <c r="E70" s="8" t="str">
        <f t="shared" si="2"/>
        <v>dinheiro</v>
      </c>
      <c r="F70" s="8" t="str">
        <f>IFERROR(__xludf.DUMMYFUNCTION("""COMPUTED_VALUE"""),"boa")</f>
        <v>boa</v>
      </c>
      <c r="G70" s="8" t="str">
        <f t="shared" si="3"/>
        <v>1.0</v>
      </c>
      <c r="H70" s="9">
        <f t="shared" si="4"/>
        <v>1</v>
      </c>
      <c r="I70" s="10">
        <f>IFERROR(__xludf.DUMMYFUNCTION("MAX(FILTER($H$2:$H427,$E$2:$E427=F70))"),2.0)</f>
        <v>2</v>
      </c>
    </row>
    <row r="71">
      <c r="A71" s="4"/>
      <c r="C71" s="4" t="s">
        <v>1411</v>
      </c>
      <c r="D71" s="4" t="str">
        <f t="shared" si="1"/>
        <v>{"valorA":"vezes","valorB":1.0}</v>
      </c>
      <c r="E71" s="8" t="str">
        <f t="shared" si="2"/>
        <v>vezes</v>
      </c>
      <c r="F71" s="8" t="str">
        <f>IFERROR(__xludf.DUMMYFUNCTION("""COMPUTED_VALUE"""),"não")</f>
        <v>não</v>
      </c>
      <c r="G71" s="8" t="str">
        <f t="shared" si="3"/>
        <v>1.0</v>
      </c>
      <c r="H71" s="9">
        <f t="shared" si="4"/>
        <v>1</v>
      </c>
      <c r="I71" s="10">
        <f>IFERROR(__xludf.DUMMYFUNCTION("MAX(FILTER($H$2:$H427,$E$2:$E427=F71))"),6.0)</f>
        <v>6</v>
      </c>
    </row>
    <row r="72">
      <c r="A72" s="4"/>
      <c r="C72" s="4" t="s">
        <v>209</v>
      </c>
      <c r="D72" s="4" t="str">
        <f t="shared" si="1"/>
        <v>{"valorA":"produto","valorB":4.0}</v>
      </c>
      <c r="E72" s="8" t="str">
        <f t="shared" si="2"/>
        <v>produto</v>
      </c>
      <c r="F72" s="8" t="str">
        <f>IFERROR(__xludf.DUMMYFUNCTION("""COMPUTED_VALUE"""),"precisa")</f>
        <v>precisa</v>
      </c>
      <c r="G72" s="8" t="str">
        <f t="shared" si="3"/>
        <v>4.0</v>
      </c>
      <c r="H72" s="9">
        <f t="shared" si="4"/>
        <v>4</v>
      </c>
      <c r="I72" s="10">
        <f>IFERROR(__xludf.DUMMYFUNCTION("MAX(FILTER($H$2:$H427,$E$2:$E427=F72))"),1.0)</f>
        <v>1</v>
      </c>
    </row>
    <row r="73">
      <c r="A73" s="4"/>
      <c r="C73" s="4" t="s">
        <v>242</v>
      </c>
      <c r="D73" s="4" t="str">
        <f t="shared" si="1"/>
        <v>{"valorA":"ótimo","valorB":9.0}</v>
      </c>
      <c r="E73" s="8" t="str">
        <f t="shared" si="2"/>
        <v>ótimo</v>
      </c>
      <c r="F73" s="8" t="str">
        <f>IFERROR(__xludf.DUMMYFUNCTION("""COMPUTED_VALUE"""),"portátil")</f>
        <v>portátil</v>
      </c>
      <c r="G73" s="8" t="str">
        <f t="shared" si="3"/>
        <v>9.0</v>
      </c>
      <c r="H73" s="9">
        <f t="shared" si="4"/>
        <v>9</v>
      </c>
      <c r="I73" s="10">
        <f>IFERROR(__xludf.DUMMYFUNCTION("MAX(FILTER($H$2:$H427,$E$2:$E427=F73))"),3.0)</f>
        <v>3</v>
      </c>
    </row>
    <row r="74">
      <c r="A74" s="4"/>
      <c r="C74" s="4" t="s">
        <v>1412</v>
      </c>
      <c r="D74" s="4" t="str">
        <f t="shared" si="1"/>
        <v>{"valorA":"multiple","valorB":1.0}</v>
      </c>
      <c r="E74" s="8" t="str">
        <f t="shared" si="2"/>
        <v>multiple</v>
      </c>
      <c r="F74" s="8" t="str">
        <f>IFERROR(__xludf.DUMMYFUNCTION("""COMPUTED_VALUE"""),"refrigerante")</f>
        <v>refrigerante</v>
      </c>
      <c r="G74" s="8" t="str">
        <f t="shared" si="3"/>
        <v>1.0</v>
      </c>
      <c r="H74" s="9">
        <f t="shared" si="4"/>
        <v>1</v>
      </c>
      <c r="I74" s="10">
        <f>IFERROR(__xludf.DUMMYFUNCTION("MAX(FILTER($H$2:$H427,$E$2:$E427=F74))"),1.0)</f>
        <v>1</v>
      </c>
    </row>
    <row r="75">
      <c r="A75" s="4"/>
      <c r="C75" s="4" t="s">
        <v>235</v>
      </c>
      <c r="D75" s="4" t="str">
        <f t="shared" si="1"/>
        <v>{"valorA":"recomendo","valorB":1.0}</v>
      </c>
      <c r="E75" s="8" t="str">
        <f t="shared" si="2"/>
        <v>recomendo</v>
      </c>
      <c r="F75" s="8" t="str">
        <f>IFERROR(__xludf.DUMMYFUNCTION("""COMPUTED_VALUE"""),"um")</f>
        <v>um</v>
      </c>
      <c r="G75" s="8" t="str">
        <f t="shared" si="3"/>
        <v>1.0</v>
      </c>
      <c r="H75" s="9">
        <f t="shared" si="4"/>
        <v>1</v>
      </c>
      <c r="I75" s="10">
        <f>IFERROR(__xludf.DUMMYFUNCTION("MAX(FILTER($H$2:$H427,$E$2:$E427=F75))"),5.0)</f>
        <v>5</v>
      </c>
    </row>
    <row r="76">
      <c r="A76" s="4"/>
      <c r="C76" s="4" t="s">
        <v>639</v>
      </c>
      <c r="D76" s="4" t="str">
        <f t="shared" si="1"/>
        <v>{"valorA":"econômico","valorB":1.0}</v>
      </c>
      <c r="E76" s="8" t="str">
        <f t="shared" si="2"/>
        <v>econômico</v>
      </c>
      <c r="F76" s="8" t="str">
        <f>IFERROR(__xludf.DUMMYFUNCTION("""COMPUTED_VALUE"""),"com")</f>
        <v>com</v>
      </c>
      <c r="G76" s="8" t="str">
        <f t="shared" si="3"/>
        <v>1.0</v>
      </c>
      <c r="H76" s="9">
        <f t="shared" si="4"/>
        <v>1</v>
      </c>
      <c r="I76" s="10">
        <f>IFERROR(__xludf.DUMMYFUNCTION("MAX(FILTER($H$2:$H427,$E$2:$E427=F76))"),3.0)</f>
        <v>3</v>
      </c>
    </row>
    <row r="77">
      <c r="A77" s="4"/>
      <c r="C77" s="4" t="s">
        <v>182</v>
      </c>
      <c r="D77" s="4" t="str">
        <f t="shared" si="1"/>
        <v>{"valorA":"usar","valorB":2.0}</v>
      </c>
      <c r="E77" s="8" t="str">
        <f t="shared" si="2"/>
        <v>usar</v>
      </c>
      <c r="F77" s="8" t="str">
        <f>IFERROR(__xludf.DUMMYFUNCTION("""COMPUTED_VALUE"""),"tablet")</f>
        <v>tablet</v>
      </c>
      <c r="G77" s="8" t="str">
        <f t="shared" si="3"/>
        <v>2.0</v>
      </c>
      <c r="H77" s="9">
        <f t="shared" si="4"/>
        <v>2</v>
      </c>
      <c r="I77" s="10">
        <f>IFERROR(__xludf.DUMMYFUNCTION("MAX(FILTER($H$2:$H427,$E$2:$E427=F77))"),4.0)</f>
        <v>4</v>
      </c>
    </row>
    <row r="78">
      <c r="A78" s="4"/>
      <c r="C78" s="4" t="s">
        <v>270</v>
      </c>
      <c r="D78" s="4" t="str">
        <f t="shared" si="1"/>
        <v>{"valorA":"e","valorB":3.0}</v>
      </c>
      <c r="E78" s="8" t="str">
        <f t="shared" si="2"/>
        <v>e</v>
      </c>
      <c r="F78" s="8" t="str">
        <f>IFERROR(__xludf.DUMMYFUNCTION("""COMPUTED_VALUE"""),"funcionalidades")</f>
        <v>funcionalidades</v>
      </c>
      <c r="G78" s="8" t="str">
        <f t="shared" si="3"/>
        <v>3.0</v>
      </c>
      <c r="H78" s="9">
        <f t="shared" si="4"/>
        <v>3</v>
      </c>
      <c r="I78" s="10">
        <f>IFERROR(__xludf.DUMMYFUNCTION("MAX(FILTER($H$2:$H427,$E$2:$E427=F78))"),1.0)</f>
        <v>1</v>
      </c>
    </row>
    <row r="79">
      <c r="A79" s="4"/>
      <c r="C79" s="4" t="s">
        <v>281</v>
      </c>
      <c r="D79" s="4" t="str">
        <f t="shared" si="1"/>
        <v>{"valorA":"de","valorB":4.0}</v>
      </c>
      <c r="E79" s="8" t="str">
        <f t="shared" si="2"/>
        <v>de</v>
      </c>
      <c r="F79" s="8" t="str">
        <f>IFERROR(__xludf.DUMMYFUNCTION("""COMPUTED_VALUE"""),"muitas")</f>
        <v>muitas</v>
      </c>
      <c r="G79" s="8" t="str">
        <f t="shared" si="3"/>
        <v>4.0</v>
      </c>
      <c r="H79" s="9">
        <f t="shared" si="4"/>
        <v>4</v>
      </c>
      <c r="I79" s="10">
        <f>IFERROR(__xludf.DUMMYFUNCTION("MAX(FILTER($H$2:$H427,$E$2:$E427=F79))"),1.0)</f>
        <v>1</v>
      </c>
    </row>
    <row r="80">
      <c r="A80" s="4"/>
      <c r="C80" s="4" t="s">
        <v>604</v>
      </c>
      <c r="D80" s="4" t="str">
        <f t="shared" si="1"/>
        <v>{"valorA":"produto","valorB":5.0}</v>
      </c>
      <c r="E80" s="8" t="str">
        <f t="shared" si="2"/>
        <v>produto</v>
      </c>
      <c r="F80" s="8" t="str">
        <f>IFERROR(__xludf.DUMMYFUNCTION("""COMPUTED_VALUE"""),"adorei")</f>
        <v>adorei</v>
      </c>
      <c r="G80" s="8" t="str">
        <f t="shared" si="3"/>
        <v>5.0</v>
      </c>
      <c r="H80" s="9">
        <f t="shared" si="4"/>
        <v>5</v>
      </c>
      <c r="I80" s="10">
        <f>IFERROR(__xludf.DUMMYFUNCTION("MAX(FILTER($H$2:$H427,$E$2:$E427=F80))"),1.0)</f>
        <v>1</v>
      </c>
    </row>
    <row r="81">
      <c r="A81" s="4"/>
      <c r="C81" s="4" t="s">
        <v>612</v>
      </c>
      <c r="D81" s="4" t="str">
        <f t="shared" si="1"/>
        <v>{"valorA":"ótimo","valorB":10.0}</v>
      </c>
      <c r="E81" s="8" t="str">
        <f t="shared" si="2"/>
        <v>ótimo</v>
      </c>
      <c r="F81" s="8" t="str">
        <f>IFERROR(__xludf.DUMMYFUNCTION("""COMPUTED_VALUE"""),"ela")</f>
        <v>ela</v>
      </c>
      <c r="G81" s="8" t="str">
        <f t="shared" si="3"/>
        <v>10.0</v>
      </c>
      <c r="H81" s="9">
        <f t="shared" si="4"/>
        <v>10</v>
      </c>
      <c r="I81" s="10">
        <f>IFERROR(__xludf.DUMMYFUNCTION("MAX(FILTER($H$2:$H427,$E$2:$E427=F81))"),1.0)</f>
        <v>1</v>
      </c>
    </row>
    <row r="82">
      <c r="A82" s="4"/>
      <c r="C82" s="4" t="s">
        <v>396</v>
      </c>
      <c r="D82" s="4" t="str">
        <f t="shared" si="1"/>
        <v>{"valorA":"fácil","valorB":2.0}</v>
      </c>
      <c r="E82" s="8" t="str">
        <f t="shared" si="2"/>
        <v>fácil</v>
      </c>
      <c r="F82" s="8" t="str">
        <f>IFERROR(__xludf.DUMMYFUNCTION("""COMPUTED_VALUE"""),"mãe")</f>
        <v>mãe</v>
      </c>
      <c r="G82" s="8" t="str">
        <f t="shared" si="3"/>
        <v>2.0</v>
      </c>
      <c r="H82" s="9">
        <f t="shared" si="4"/>
        <v>2</v>
      </c>
      <c r="I82" s="10">
        <f>IFERROR(__xludf.DUMMYFUNCTION("MAX(FILTER($H$2:$H427,$E$2:$E427=F82))"),1.0)</f>
        <v>1</v>
      </c>
    </row>
    <row r="83">
      <c r="A83" s="4"/>
      <c r="C83" s="4" t="s">
        <v>277</v>
      </c>
      <c r="D83" s="4" t="str">
        <f t="shared" si="1"/>
        <v>{"valorA":"recomendo","valorB":2.0}</v>
      </c>
      <c r="E83" s="8" t="str">
        <f t="shared" si="2"/>
        <v>recomendo</v>
      </c>
      <c r="F83" s="8" t="str">
        <f>IFERROR(__xludf.DUMMYFUNCTION("""COMPUTED_VALUE"""),"adora")</f>
        <v>adora</v>
      </c>
      <c r="G83" s="8" t="str">
        <f t="shared" si="3"/>
        <v>2.0</v>
      </c>
      <c r="H83" s="9">
        <f t="shared" si="4"/>
        <v>2</v>
      </c>
      <c r="I83" s="10">
        <f>IFERROR(__xludf.DUMMYFUNCTION("MAX(FILTER($H$2:$H427,$E$2:$E427=F83))"),1.0)</f>
        <v>1</v>
      </c>
    </row>
    <row r="84">
      <c r="A84" s="4"/>
      <c r="C84" s="4" t="s">
        <v>241</v>
      </c>
      <c r="D84" s="4" t="str">
        <f t="shared" si="1"/>
        <v>{"valorA":"produto","valorB":6.0}</v>
      </c>
      <c r="E84" s="8" t="str">
        <f t="shared" si="2"/>
        <v>produto</v>
      </c>
      <c r="F84" s="8" t="str">
        <f>IFERROR(__xludf.DUMMYFUNCTION("""COMPUTED_VALUE"""),"valorizado")</f>
        <v>valorizado</v>
      </c>
      <c r="G84" s="8" t="str">
        <f t="shared" si="3"/>
        <v>6.0</v>
      </c>
      <c r="H84" s="9">
        <f t="shared" si="4"/>
        <v>6</v>
      </c>
      <c r="I84" s="10">
        <f>IFERROR(__xludf.DUMMYFUNCTION("MAX(FILTER($H$2:$H427,$E$2:$E427=F84))"),1.0)</f>
        <v>1</v>
      </c>
    </row>
    <row r="85">
      <c r="A85" s="4"/>
      <c r="C85" s="4" t="s">
        <v>621</v>
      </c>
      <c r="D85" s="4" t="str">
        <f t="shared" si="1"/>
        <v>{"valorA":"ótimo","valorB":11.0}</v>
      </c>
      <c r="E85" s="8" t="str">
        <f t="shared" si="2"/>
        <v>ótimo</v>
      </c>
      <c r="F85" s="8" t="str">
        <f>IFERROR(__xludf.DUMMYFUNCTION("""COMPUTED_VALUE"""),"minha")</f>
        <v>minha</v>
      </c>
      <c r="G85" s="8" t="str">
        <f t="shared" si="3"/>
        <v>11.0</v>
      </c>
      <c r="H85" s="9">
        <f t="shared" si="4"/>
        <v>11</v>
      </c>
      <c r="I85" s="10">
        <f>IFERROR(__xludf.DUMMYFUNCTION("MAX(FILTER($H$2:$H427,$E$2:$E427=F85))"),1.0)</f>
        <v>1</v>
      </c>
    </row>
    <row r="86">
      <c r="A86" s="4"/>
      <c r="C86" s="4" t="s">
        <v>245</v>
      </c>
      <c r="D86" s="4" t="str">
        <f t="shared" si="1"/>
        <v>{"valorA":"perfeitamente","valorB":1.0}</v>
      </c>
      <c r="E86" s="8" t="str">
        <f t="shared" si="2"/>
        <v>perfeitamente</v>
      </c>
      <c r="F86" s="8" t="str">
        <f>IFERROR(__xludf.DUMMYFUNCTION("""COMPUTED_VALUE"""),"precisava")</f>
        <v>precisava</v>
      </c>
      <c r="G86" s="8" t="str">
        <f t="shared" si="3"/>
        <v>1.0</v>
      </c>
      <c r="H86" s="9">
        <f t="shared" si="4"/>
        <v>1</v>
      </c>
      <c r="I86" s="10">
        <f>IFERROR(__xludf.DUMMYFUNCTION("MAX(FILTER($H$2:$H427,$E$2:$E427=F86))"),1.0)</f>
        <v>1</v>
      </c>
    </row>
    <row r="87">
      <c r="A87" s="4"/>
      <c r="C87" s="4" t="s">
        <v>631</v>
      </c>
      <c r="D87" s="4" t="str">
        <f t="shared" si="1"/>
        <v>{"valorA":"funciona","valorB":2.0}</v>
      </c>
      <c r="E87" s="8" t="str">
        <f t="shared" si="2"/>
        <v>funciona</v>
      </c>
      <c r="F87" s="8" t="str">
        <f>IFERROR(__xludf.DUMMYFUNCTION("""COMPUTED_VALUE"""),"precisamente")</f>
        <v>precisamente</v>
      </c>
      <c r="G87" s="8" t="str">
        <f t="shared" si="3"/>
        <v>2.0</v>
      </c>
      <c r="H87" s="9">
        <f t="shared" si="4"/>
        <v>2</v>
      </c>
      <c r="I87" s="10">
        <f>IFERROR(__xludf.DUMMYFUNCTION("MAX(FILTER($H$2:$H427,$E$2:$E427=F87))"),1.0)</f>
        <v>1</v>
      </c>
    </row>
    <row r="88">
      <c r="A88" s="4"/>
      <c r="C88" s="4" t="s">
        <v>625</v>
      </c>
      <c r="D88" s="4" t="str">
        <f t="shared" si="1"/>
        <v>{"valorA":"valeu","valorB":2.0}</v>
      </c>
      <c r="E88" s="8" t="str">
        <f t="shared" si="2"/>
        <v>valeu</v>
      </c>
      <c r="F88" s="8" t="str">
        <f>IFERROR(__xludf.DUMMYFUNCTION("""COMPUTED_VALUE"""),"ele")</f>
        <v>ele</v>
      </c>
      <c r="G88" s="8" t="str">
        <f t="shared" si="3"/>
        <v>2.0</v>
      </c>
      <c r="H88" s="9">
        <f t="shared" si="4"/>
        <v>2</v>
      </c>
      <c r="I88" s="10">
        <f>IFERROR(__xludf.DUMMYFUNCTION("MAX(FILTER($H$2:$H427,$E$2:$E427=F88))"),3.0)</f>
        <v>3</v>
      </c>
    </row>
    <row r="89">
      <c r="A89" s="4"/>
      <c r="C89" s="4" t="s">
        <v>626</v>
      </c>
      <c r="D89" s="4" t="str">
        <f t="shared" si="1"/>
        <v>{"valorA":"espera","valorB":2.0}</v>
      </c>
      <c r="E89" s="8" t="str">
        <f t="shared" si="2"/>
        <v>espera</v>
      </c>
      <c r="F89" s="8" t="str">
        <f>IFERROR(__xludf.DUMMYFUNCTION("""COMPUTED_VALUE"""),"paguei")</f>
        <v>paguei</v>
      </c>
      <c r="G89" s="8" t="str">
        <f t="shared" si="3"/>
        <v>2.0</v>
      </c>
      <c r="H89" s="9">
        <f t="shared" si="4"/>
        <v>2</v>
      </c>
      <c r="I89" s="10">
        <f>IFERROR(__xludf.DUMMYFUNCTION("MAX(FILTER($H$2:$H427,$E$2:$E427=F89))"),3.0)</f>
        <v>3</v>
      </c>
    </row>
    <row r="90">
      <c r="A90" s="4"/>
      <c r="C90" s="4" t="s">
        <v>616</v>
      </c>
      <c r="D90" s="4" t="str">
        <f t="shared" si="1"/>
        <v>{"valorA":"produto","valorB":7.0}</v>
      </c>
      <c r="E90" s="8" t="str">
        <f t="shared" si="2"/>
        <v>produto</v>
      </c>
      <c r="F90" s="8" t="str">
        <f>IFERROR(__xludf.DUMMYFUNCTION("""COMPUTED_VALUE"""),"quantia")</f>
        <v>quantia</v>
      </c>
      <c r="G90" s="8" t="str">
        <f t="shared" si="3"/>
        <v>7.0</v>
      </c>
      <c r="H90" s="9">
        <f t="shared" si="4"/>
        <v>7</v>
      </c>
      <c r="I90" s="10">
        <f>IFERROR(__xludf.DUMMYFUNCTION("MAX(FILTER($H$2:$H427,$E$2:$E427=F90))"),1.0)</f>
        <v>1</v>
      </c>
    </row>
    <row r="91">
      <c r="A91" s="4"/>
      <c r="C91" s="4" t="s">
        <v>259</v>
      </c>
      <c r="D91" s="4" t="str">
        <f t="shared" si="1"/>
        <v>{"valorA":"ótimo","valorB":12.0}</v>
      </c>
      <c r="E91" s="8" t="str">
        <f t="shared" si="2"/>
        <v>ótimo</v>
      </c>
      <c r="F91" s="8" t="str">
        <f>IFERROR(__xludf.DUMMYFUNCTION("""COMPUTED_VALUE"""),"em")</f>
        <v>em</v>
      </c>
      <c r="G91" s="8" t="str">
        <f t="shared" si="3"/>
        <v>12.0</v>
      </c>
      <c r="H91" s="9">
        <f t="shared" si="4"/>
        <v>12</v>
      </c>
      <c r="I91" s="10">
        <f>IFERROR(__xludf.DUMMYFUNCTION("MAX(FILTER($H$2:$H427,$E$2:$E427=F91))"),1.0)</f>
        <v>1</v>
      </c>
    </row>
    <row r="92">
      <c r="A92" s="4"/>
      <c r="C92" s="4" t="s">
        <v>264</v>
      </c>
      <c r="D92" s="4" t="str">
        <f t="shared" si="1"/>
        <v>{"valorA":"a","valorB":2.0}</v>
      </c>
      <c r="E92" s="8" t="str">
        <f t="shared" si="2"/>
        <v>a</v>
      </c>
      <c r="F92" s="8" t="str">
        <f>IFERROR(__xludf.DUMMYFUNCTION("""COMPUTED_VALUE"""),"tive")</f>
        <v>tive</v>
      </c>
      <c r="G92" s="8" t="str">
        <f t="shared" si="3"/>
        <v>2.0</v>
      </c>
      <c r="H92" s="9">
        <f t="shared" si="4"/>
        <v>2</v>
      </c>
      <c r="I92" s="10">
        <f>IFERROR(__xludf.DUMMYFUNCTION("MAX(FILTER($H$2:$H427,$E$2:$E427=F92))"),2.0)</f>
        <v>2</v>
      </c>
    </row>
    <row r="93">
      <c r="A93" s="4"/>
      <c r="C93" s="4" t="s">
        <v>1413</v>
      </c>
      <c r="D93" s="4" t="str">
        <f t="shared" si="1"/>
        <v>{"valorA":"brilho","valorB":1.0}</v>
      </c>
      <c r="E93" s="8" t="str">
        <f t="shared" si="2"/>
        <v>brilho</v>
      </c>
      <c r="F93" s="8" t="str">
        <f>IFERROR(__xludf.DUMMYFUNCTION("""COMPUTED_VALUE"""),"laptop")</f>
        <v>laptop</v>
      </c>
      <c r="G93" s="8" t="str">
        <f t="shared" si="3"/>
        <v>1.0</v>
      </c>
      <c r="H93" s="9">
        <f t="shared" si="4"/>
        <v>1</v>
      </c>
      <c r="I93" s="10">
        <f>IFERROR(__xludf.DUMMYFUNCTION("MAX(FILTER($H$2:$H427,$E$2:$E427=F93))"),1.0)</f>
        <v>1</v>
      </c>
    </row>
    <row r="94">
      <c r="A94" s="4"/>
      <c r="C94" s="4" t="s">
        <v>1414</v>
      </c>
      <c r="D94" s="4" t="str">
        <f t="shared" si="1"/>
        <v>{"valorA":"qualidade","valorB":3.0}</v>
      </c>
      <c r="E94" s="8" t="str">
        <f t="shared" si="2"/>
        <v>qualidade</v>
      </c>
      <c r="F94" s="8" t="str">
        <f>IFERROR(__xludf.DUMMYFUNCTION("""COMPUTED_VALUE"""),"carro")</f>
        <v>carro</v>
      </c>
      <c r="G94" s="8" t="str">
        <f t="shared" si="3"/>
        <v>3.0</v>
      </c>
      <c r="H94" s="9">
        <f t="shared" si="4"/>
        <v>3</v>
      </c>
      <c r="I94" s="10">
        <f>IFERROR(__xludf.DUMMYFUNCTION("MAX(FILTER($H$2:$H427,$E$2:$E427=F94))"),2.0)</f>
        <v>2</v>
      </c>
    </row>
    <row r="95">
      <c r="A95" s="4"/>
      <c r="C95" s="4" t="s">
        <v>750</v>
      </c>
      <c r="D95" s="4" t="str">
        <f t="shared" si="1"/>
        <v>{"valorA":"ótima","valorB":1.0}</v>
      </c>
      <c r="E95" s="8" t="str">
        <f t="shared" si="2"/>
        <v>ótima</v>
      </c>
      <c r="F95" s="8" t="str">
        <f>IFERROR(__xludf.DUMMYFUNCTION("""COMPUTED_VALUE"""),"gozo")</f>
        <v>gozo</v>
      </c>
      <c r="G95" s="8" t="str">
        <f t="shared" si="3"/>
        <v>1.0</v>
      </c>
      <c r="H95" s="9">
        <f t="shared" si="4"/>
        <v>1</v>
      </c>
      <c r="I95" s="10">
        <f>IFERROR(__xludf.DUMMYFUNCTION("MAX(FILTER($H$2:$H427,$E$2:$E427=F95))"),1.0)</f>
        <v>1</v>
      </c>
    </row>
    <row r="96">
      <c r="A96" s="4"/>
      <c r="C96" s="4" t="s">
        <v>279</v>
      </c>
      <c r="D96" s="4" t="str">
        <f t="shared" si="1"/>
        <v>{"valorA":"usar","valorB":3.0}</v>
      </c>
      <c r="E96" s="8" t="str">
        <f t="shared" si="2"/>
        <v>usar</v>
      </c>
      <c r="F96" s="8" t="str">
        <f>IFERROR(__xludf.DUMMYFUNCTION("""COMPUTED_VALUE"""),"dirigir")</f>
        <v>dirigir</v>
      </c>
      <c r="G96" s="8" t="str">
        <f t="shared" si="3"/>
        <v>3.0</v>
      </c>
      <c r="H96" s="9">
        <f t="shared" si="4"/>
        <v>3</v>
      </c>
      <c r="I96" s="10">
        <f>IFERROR(__xludf.DUMMYFUNCTION("MAX(FILTER($H$2:$H427,$E$2:$E427=F96))"),1.0)</f>
        <v>1</v>
      </c>
    </row>
    <row r="97">
      <c r="A97" s="4"/>
      <c r="C97" s="4" t="s">
        <v>294</v>
      </c>
      <c r="D97" s="4" t="str">
        <f t="shared" si="1"/>
        <v>{"valorA":"de","valorB":6.0}</v>
      </c>
      <c r="E97" s="8" t="str">
        <f t="shared" si="2"/>
        <v>de</v>
      </c>
      <c r="F97" s="8" t="str">
        <f>IFERROR(__xludf.DUMMYFUNCTION("""COMPUTED_VALUE"""),"problemas")</f>
        <v>problemas</v>
      </c>
      <c r="G97" s="8" t="str">
        <f t="shared" si="3"/>
        <v>6.0</v>
      </c>
      <c r="H97" s="9">
        <f t="shared" si="4"/>
        <v>6</v>
      </c>
      <c r="I97" s="10">
        <f>IFERROR(__xludf.DUMMYFUNCTION("MAX(FILTER($H$2:$H427,$E$2:$E427=F97))"),3.0)</f>
        <v>3</v>
      </c>
    </row>
    <row r="98">
      <c r="A98" s="4"/>
      <c r="C98" s="4" t="s">
        <v>331</v>
      </c>
      <c r="D98" s="4" t="str">
        <f t="shared" si="1"/>
        <v>{"valorA":"e","valorB":5.0}</v>
      </c>
      <c r="E98" s="8" t="str">
        <f t="shared" si="2"/>
        <v>e</v>
      </c>
      <c r="F98" s="8" t="str">
        <f>IFERROR(__xludf.DUMMYFUNCTION("""COMPUTED_VALUE"""),"scanner")</f>
        <v>scanner</v>
      </c>
      <c r="G98" s="8" t="str">
        <f t="shared" si="3"/>
        <v>5.0</v>
      </c>
      <c r="H98" s="9">
        <f t="shared" si="4"/>
        <v>5</v>
      </c>
      <c r="I98" s="10">
        <f>IFERROR(__xludf.DUMMYFUNCTION("MAX(FILTER($H$2:$H427,$E$2:$E427=F98))"),1.0)</f>
        <v>1</v>
      </c>
    </row>
    <row r="99">
      <c r="A99" s="4"/>
      <c r="C99" s="4" t="s">
        <v>1017</v>
      </c>
      <c r="D99" s="4" t="str">
        <f t="shared" si="1"/>
        <v>{"valorA":"limpo","valorB":1.0}</v>
      </c>
      <c r="E99" s="8" t="str">
        <f t="shared" si="2"/>
        <v>limpo</v>
      </c>
      <c r="F99" s="8" t="str">
        <f>IFERROR(__xludf.DUMMYFUNCTION("""COMPUTED_VALUE"""),"computador")</f>
        <v>computador</v>
      </c>
      <c r="G99" s="8" t="str">
        <f t="shared" si="3"/>
        <v>1.0</v>
      </c>
      <c r="H99" s="9">
        <f t="shared" si="4"/>
        <v>1</v>
      </c>
      <c r="I99" s="10">
        <f>IFERROR(__xludf.DUMMYFUNCTION("MAX(FILTER($H$2:$H427,$E$2:$E427=F99))"),2.0)</f>
        <v>2</v>
      </c>
    </row>
    <row r="100">
      <c r="A100" s="4"/>
      <c r="C100" s="4" t="s">
        <v>373</v>
      </c>
      <c r="D100" s="4" t="str">
        <f t="shared" si="1"/>
        <v>{"valorA":"gosto","valorB":2.0}</v>
      </c>
      <c r="E100" s="8" t="str">
        <f t="shared" si="2"/>
        <v>gosto</v>
      </c>
      <c r="F100" s="8" t="str">
        <f>IFERROR(__xludf.DUMMYFUNCTION("""COMPUTED_VALUE"""),"leve")</f>
        <v>leve</v>
      </c>
      <c r="G100" s="8" t="str">
        <f t="shared" si="3"/>
        <v>2.0</v>
      </c>
      <c r="H100" s="9">
        <f t="shared" si="4"/>
        <v>2</v>
      </c>
      <c r="I100" s="10">
        <f>IFERROR(__xludf.DUMMYFUNCTION("MAX(FILTER($H$2:$H427,$E$2:$E427=F100))"),1.0)</f>
        <v>1</v>
      </c>
    </row>
    <row r="101">
      <c r="A101" s="4"/>
      <c r="C101" s="4" t="s">
        <v>258</v>
      </c>
      <c r="D101" s="4" t="str">
        <f t="shared" si="1"/>
        <v>{"valorA":"produto","valorB":8.0}</v>
      </c>
      <c r="E101" s="8" t="str">
        <f t="shared" si="2"/>
        <v>produto</v>
      </c>
      <c r="F101" s="8" t="str">
        <f>IFERROR(__xludf.DUMMYFUNCTION("""COMPUTED_VALUE"""),"também")</f>
        <v>também</v>
      </c>
      <c r="G101" s="8" t="str">
        <f t="shared" si="3"/>
        <v>8.0</v>
      </c>
      <c r="H101" s="9">
        <f t="shared" si="4"/>
        <v>8</v>
      </c>
      <c r="I101" s="10">
        <f>IFERROR(__xludf.DUMMYFUNCTION("MAX(FILTER($H$2:$H427,$E$2:$E427=F101))"),1.0)</f>
        <v>1</v>
      </c>
    </row>
    <row r="102">
      <c r="A102" s="4"/>
      <c r="C102" s="4" t="s">
        <v>335</v>
      </c>
      <c r="D102" s="4" t="str">
        <f t="shared" si="1"/>
        <v>{"valorA":"do","valorB":1.0}</v>
      </c>
      <c r="E102" s="8" t="str">
        <f t="shared" si="2"/>
        <v>do</v>
      </c>
      <c r="F102" s="8" t="str">
        <f>IFERROR(__xludf.DUMMYFUNCTION("""COMPUTED_VALUE"""),"outro")</f>
        <v>outro</v>
      </c>
      <c r="G102" s="8" t="str">
        <f t="shared" si="3"/>
        <v>1.0</v>
      </c>
      <c r="H102" s="9">
        <f t="shared" si="4"/>
        <v>1</v>
      </c>
      <c r="I102" s="10">
        <f>IFERROR(__xludf.DUMMYFUNCTION("MAX(FILTER($H$2:$H427,$E$2:$E427=F102))"),1.0)</f>
        <v>1</v>
      </c>
    </row>
    <row r="103">
      <c r="A103" s="4"/>
      <c r="C103" s="4" t="s">
        <v>586</v>
      </c>
      <c r="D103" s="4" t="str">
        <f t="shared" si="1"/>
        <v>{"valorA":"televisor","valorB":1.0}</v>
      </c>
      <c r="E103" s="8" t="str">
        <f t="shared" si="2"/>
        <v>televisor</v>
      </c>
      <c r="F103" s="8" t="str">
        <f>IFERROR(__xludf.DUMMYFUNCTION("""COMPUTED_VALUE"""),"filho")</f>
        <v>filho</v>
      </c>
      <c r="G103" s="8" t="str">
        <f t="shared" si="3"/>
        <v>1.0</v>
      </c>
      <c r="H103" s="9">
        <f t="shared" si="4"/>
        <v>1</v>
      </c>
      <c r="I103" s="10">
        <f>IFERROR(__xludf.DUMMYFUNCTION("MAX(FILTER($H$2:$H427,$E$2:$E427=F103))"),1.0)</f>
        <v>1</v>
      </c>
    </row>
    <row r="104">
      <c r="A104" s="4"/>
      <c r="C104" s="4" t="s">
        <v>260</v>
      </c>
      <c r="D104" s="4" t="str">
        <f t="shared" si="1"/>
        <v>{"valorA":"gostei","valorB":2.0}</v>
      </c>
      <c r="E104" s="8" t="str">
        <f t="shared" si="2"/>
        <v>gostei</v>
      </c>
      <c r="F104" s="8" t="str">
        <f>IFERROR(__xludf.DUMMYFUNCTION("""COMPUTED_VALUE"""),"produz")</f>
        <v>produz</v>
      </c>
      <c r="G104" s="8" t="str">
        <f t="shared" si="3"/>
        <v>2.0</v>
      </c>
      <c r="H104" s="9">
        <f t="shared" si="4"/>
        <v>2</v>
      </c>
      <c r="I104" s="10">
        <f>IFERROR(__xludf.DUMMYFUNCTION("MAX(FILTER($H$2:$H427,$E$2:$E427=F104))"),1.0)</f>
        <v>1</v>
      </c>
    </row>
    <row r="105">
      <c r="A105" s="4"/>
      <c r="C105" s="4" t="s">
        <v>628</v>
      </c>
      <c r="D105" s="4" t="str">
        <f t="shared" si="1"/>
        <v>{"valorA":"ótimo","valorB":13.0}</v>
      </c>
      <c r="E105" s="8" t="str">
        <f t="shared" si="2"/>
        <v>ótimo</v>
      </c>
      <c r="F105" s="8" t="str">
        <f>IFERROR(__xludf.DUMMYFUNCTION("""COMPUTED_VALUE"""),"alta")</f>
        <v>alta</v>
      </c>
      <c r="G105" s="8" t="str">
        <f t="shared" si="3"/>
        <v>13.0</v>
      </c>
      <c r="H105" s="9">
        <f t="shared" si="4"/>
        <v>13</v>
      </c>
      <c r="I105" s="10">
        <f>IFERROR(__xludf.DUMMYFUNCTION("MAX(FILTER($H$2:$H427,$E$2:$E427=F105))"),1.0)</f>
        <v>1</v>
      </c>
    </row>
    <row r="106">
      <c r="A106" s="4"/>
      <c r="C106" s="4" t="s">
        <v>431</v>
      </c>
      <c r="D106" s="4" t="str">
        <f t="shared" si="1"/>
        <v>{"valorA":"fácil","valorB":3.0}</v>
      </c>
      <c r="E106" s="8" t="str">
        <f t="shared" si="2"/>
        <v>fácil</v>
      </c>
      <c r="F106" s="8" t="str">
        <f>IFERROR(__xludf.DUMMYFUNCTION("""COMPUTED_VALUE"""),"re")</f>
        <v>re</v>
      </c>
      <c r="G106" s="8" t="str">
        <f t="shared" si="3"/>
        <v>3.0</v>
      </c>
      <c r="H106" s="9">
        <f t="shared" si="4"/>
        <v>3</v>
      </c>
      <c r="I106" s="10">
        <f>IFERROR(__xludf.DUMMYFUNCTION("MAX(FILTER($H$2:$H427,$E$2:$E427=F106))"),1.0)</f>
        <v>1</v>
      </c>
    </row>
    <row r="107">
      <c r="A107" s="4"/>
      <c r="C107" s="4" t="s">
        <v>192</v>
      </c>
      <c r="D107" s="4" t="str">
        <f t="shared" si="1"/>
        <v>{"valorA":"esse","valorB":1.0}</v>
      </c>
      <c r="E107" s="8" t="str">
        <f t="shared" si="2"/>
        <v>esse</v>
      </c>
      <c r="F107" s="8" t="str">
        <f>IFERROR(__xludf.DUMMYFUNCTION("""COMPUTED_VALUE"""),"tempo")</f>
        <v>tempo</v>
      </c>
      <c r="G107" s="8" t="str">
        <f t="shared" si="3"/>
        <v>1.0</v>
      </c>
      <c r="H107" s="9">
        <f t="shared" si="4"/>
        <v>1</v>
      </c>
      <c r="I107" s="10">
        <f>IFERROR(__xludf.DUMMYFUNCTION("MAX(FILTER($H$2:$H427,$E$2:$E427=F107))"),1.0)</f>
        <v>1</v>
      </c>
    </row>
    <row r="108">
      <c r="A108" s="4"/>
      <c r="C108" s="4" t="s">
        <v>274</v>
      </c>
      <c r="D108" s="4" t="str">
        <f t="shared" si="1"/>
        <v>{"valorA":"muito","valorB":7.0}</v>
      </c>
      <c r="E108" s="8" t="str">
        <f t="shared" si="2"/>
        <v>muito</v>
      </c>
      <c r="F108" s="8" t="str">
        <f>IFERROR(__xludf.DUMMYFUNCTION("""COMPUTED_VALUE"""),"hora")</f>
        <v>hora</v>
      </c>
      <c r="G108" s="8" t="str">
        <f t="shared" si="3"/>
        <v>7.0</v>
      </c>
      <c r="H108" s="9">
        <f t="shared" si="4"/>
        <v>7</v>
      </c>
      <c r="I108" s="10">
        <f>IFERROR(__xludf.DUMMYFUNCTION("MAX(FILTER($H$2:$H427,$E$2:$E427=F108))"),1.0)</f>
        <v>1</v>
      </c>
    </row>
    <row r="109">
      <c r="A109" s="4"/>
      <c r="C109" s="4" t="s">
        <v>1415</v>
      </c>
      <c r="D109" s="4" t="str">
        <f t="shared" si="1"/>
        <v>{"valorA":"clareza","valorB":1.0}</v>
      </c>
      <c r="E109" s="8" t="str">
        <f t="shared" si="2"/>
        <v>clareza</v>
      </c>
      <c r="F109" s="8" t="str">
        <f>IFERROR(__xludf.DUMMYFUNCTION("""COMPUTED_VALUE"""),"usálo")</f>
        <v>usálo</v>
      </c>
      <c r="G109" s="8" t="str">
        <f t="shared" si="3"/>
        <v>1.0</v>
      </c>
      <c r="H109" s="9">
        <f t="shared" si="4"/>
        <v>1</v>
      </c>
      <c r="I109" s="10">
        <f>IFERROR(__xludf.DUMMYFUNCTION("MAX(FILTER($H$2:$H427,$E$2:$E427=F109))"),1.0)</f>
        <v>1</v>
      </c>
    </row>
    <row r="110">
      <c r="A110" s="4"/>
      <c r="C110" s="4" t="s">
        <v>1259</v>
      </c>
      <c r="D110" s="4" t="str">
        <f t="shared" si="1"/>
        <v>{"valorA":"manter","valorB":1.0}</v>
      </c>
      <c r="E110" s="8" t="str">
        <f t="shared" si="2"/>
        <v>manter</v>
      </c>
      <c r="F110" s="8" t="str">
        <f>IFERROR(__xludf.DUMMYFUNCTION("""COMPUTED_VALUE"""),"fazer")</f>
        <v>fazer</v>
      </c>
      <c r="G110" s="8" t="str">
        <f t="shared" si="3"/>
        <v>1.0</v>
      </c>
      <c r="H110" s="9">
        <f t="shared" si="4"/>
        <v>1</v>
      </c>
      <c r="I110" s="10">
        <f>IFERROR(__xludf.DUMMYFUNCTION("MAX(FILTER($H$2:$H427,$E$2:$E427=F110))"),1.0)</f>
        <v>1</v>
      </c>
    </row>
    <row r="111">
      <c r="A111" s="4"/>
      <c r="C111" s="4" t="s">
        <v>323</v>
      </c>
      <c r="D111" s="4" t="str">
        <f t="shared" si="1"/>
        <v>{"valorA":"da","valorB":1.0}</v>
      </c>
      <c r="E111" s="8" t="str">
        <f t="shared" si="2"/>
        <v>da</v>
      </c>
      <c r="F111" s="8" t="str">
        <f>IFERROR(__xludf.DUMMYFUNCTION("""COMPUTED_VALUE"""),"economiza")</f>
        <v>economiza</v>
      </c>
      <c r="G111" s="8" t="str">
        <f t="shared" si="3"/>
        <v>1.0</v>
      </c>
      <c r="H111" s="9">
        <f t="shared" si="4"/>
        <v>1</v>
      </c>
      <c r="I111" s="10">
        <f>IFERROR(__xludf.DUMMYFUNCTION("MAX(FILTER($H$2:$H427,$E$2:$E427=F111))"),1.0)</f>
        <v>1</v>
      </c>
    </row>
    <row r="112">
      <c r="A112" s="4"/>
      <c r="C112" s="4" t="s">
        <v>276</v>
      </c>
      <c r="D112" s="4" t="str">
        <f t="shared" si="1"/>
        <v>{"valorA":"é","valorB":3.0}</v>
      </c>
      <c r="E112" s="8" t="str">
        <f t="shared" si="2"/>
        <v>é</v>
      </c>
      <c r="F112" s="8" t="str">
        <f>IFERROR(__xludf.DUMMYFUNCTION("""COMPUTED_VALUE"""),"frigorífico")</f>
        <v>frigorífico</v>
      </c>
      <c r="G112" s="8" t="str">
        <f t="shared" si="3"/>
        <v>3.0</v>
      </c>
      <c r="H112" s="9">
        <f t="shared" si="4"/>
        <v>3</v>
      </c>
      <c r="I112" s="10">
        <f>IFERROR(__xludf.DUMMYFUNCTION("MAX(FILTER($H$2:$H427,$E$2:$E427=F112))"),1.0)</f>
        <v>1</v>
      </c>
    </row>
    <row r="113">
      <c r="A113" s="4"/>
      <c r="C113" s="4" t="s">
        <v>200</v>
      </c>
      <c r="D113" s="4" t="str">
        <f t="shared" si="1"/>
        <v>{"valorA":"meu","valorB":1.0}</v>
      </c>
      <c r="E113" s="8" t="str">
        <f t="shared" si="2"/>
        <v>meu</v>
      </c>
      <c r="F113" s="8" t="str">
        <f>IFERROR(__xludf.DUMMYFUNCTION("""COMPUTED_VALUE"""),"na")</f>
        <v>na</v>
      </c>
      <c r="G113" s="8" t="str">
        <f t="shared" si="3"/>
        <v>1.0</v>
      </c>
      <c r="H113" s="9">
        <f t="shared" si="4"/>
        <v>1</v>
      </c>
      <c r="I113" s="10">
        <f>IFERROR(__xludf.DUMMYFUNCTION("MAX(FILTER($H$2:$H427,$E$2:$E427=F113))"),1.0)</f>
        <v>1</v>
      </c>
    </row>
    <row r="114">
      <c r="A114" s="4"/>
      <c r="C114" s="4" t="s">
        <v>634</v>
      </c>
      <c r="D114" s="4" t="str">
        <f t="shared" si="1"/>
        <v>{"valorA":"bem","valorB":2.0}</v>
      </c>
      <c r="E114" s="8" t="str">
        <f t="shared" si="2"/>
        <v>bem</v>
      </c>
      <c r="F114" s="8" t="str">
        <f>IFERROR(__xludf.DUMMYFUNCTION("""COMPUTED_VALUE"""),"nunca")</f>
        <v>nunca</v>
      </c>
      <c r="G114" s="8" t="str">
        <f t="shared" si="3"/>
        <v>2.0</v>
      </c>
      <c r="H114" s="9">
        <f t="shared" si="4"/>
        <v>2</v>
      </c>
      <c r="I114" s="10">
        <f>IFERROR(__xludf.DUMMYFUNCTION("MAX(FILTER($H$2:$H427,$E$2:$E427=F114))"),2.0)</f>
        <v>2</v>
      </c>
    </row>
    <row r="115">
      <c r="A115" s="4"/>
      <c r="C115" s="4" t="s">
        <v>386</v>
      </c>
      <c r="D115" s="4" t="str">
        <f t="shared" si="1"/>
        <v>{"valorA":"usar","valorB":4.0}</v>
      </c>
      <c r="E115" s="8" t="str">
        <f t="shared" si="2"/>
        <v>usar</v>
      </c>
      <c r="F115" s="8" t="str">
        <f>IFERROR(__xludf.DUMMYFUNCTION("""COMPUTED_VALUE"""),"preciso")</f>
        <v>preciso</v>
      </c>
      <c r="G115" s="8" t="str">
        <f t="shared" si="3"/>
        <v>4.0</v>
      </c>
      <c r="H115" s="9">
        <f t="shared" si="4"/>
        <v>4</v>
      </c>
      <c r="I115" s="10">
        <f>IFERROR(__xludf.DUMMYFUNCTION("MAX(FILTER($H$2:$H427,$E$2:$E427=F115))"),1.0)</f>
        <v>1</v>
      </c>
    </row>
    <row r="116">
      <c r="A116" s="4"/>
      <c r="C116" s="4" t="s">
        <v>1416</v>
      </c>
      <c r="D116" s="4" t="str">
        <f t="shared" si="1"/>
        <v>{"valorA":"aspirador","valorB":1.0}</v>
      </c>
      <c r="E116" s="8" t="str">
        <f t="shared" si="2"/>
        <v>aspirador</v>
      </c>
      <c r="F116" s="8" t="str">
        <f>IFERROR(__xludf.DUMMYFUNCTION("""COMPUTED_VALUE"""),"dica")</f>
        <v>dica</v>
      </c>
      <c r="G116" s="8" t="str">
        <f t="shared" si="3"/>
        <v>1.0</v>
      </c>
      <c r="H116" s="9">
        <f t="shared" si="4"/>
        <v>1</v>
      </c>
      <c r="I116" s="10">
        <f>IFERROR(__xludf.DUMMYFUNCTION("MAX(FILTER($H$2:$H427,$E$2:$E427=F116))"),1.0)</f>
        <v>1</v>
      </c>
    </row>
    <row r="117">
      <c r="A117" s="4"/>
      <c r="C117" s="4" t="s">
        <v>371</v>
      </c>
      <c r="D117" s="4" t="str">
        <f t="shared" si="1"/>
        <v>{"valorA":"e","valorB":6.0}</v>
      </c>
      <c r="E117" s="8" t="str">
        <f t="shared" si="2"/>
        <v>e</v>
      </c>
      <c r="F117" s="8" t="str">
        <f>IFERROR(__xludf.DUMMYFUNCTION("""COMPUTED_VALUE"""),"comentários")</f>
        <v>comentários</v>
      </c>
      <c r="G117" s="8" t="str">
        <f t="shared" si="3"/>
        <v>6.0</v>
      </c>
      <c r="H117" s="9">
        <f t="shared" si="4"/>
        <v>6</v>
      </c>
      <c r="I117" s="10">
        <f>IFERROR(__xludf.DUMMYFUNCTION("MAX(FILTER($H$2:$H427,$E$2:$E427=F117))"),1.0)</f>
        <v>1</v>
      </c>
    </row>
    <row r="118">
      <c r="A118" s="4"/>
      <c r="C118" s="4" t="s">
        <v>389</v>
      </c>
      <c r="D118" s="4" t="str">
        <f t="shared" si="1"/>
        <v>{"valorA":"de","valorB":8.0}</v>
      </c>
      <c r="E118" s="8" t="str">
        <f t="shared" si="2"/>
        <v>de</v>
      </c>
      <c r="F118" s="8" t="str">
        <f>IFERROR(__xludf.DUMMYFUNCTION("""COMPUTED_VALUE"""),"objet")</f>
        <v>objet</v>
      </c>
      <c r="G118" s="8" t="str">
        <f t="shared" si="3"/>
        <v>8.0</v>
      </c>
      <c r="H118" s="9">
        <f t="shared" si="4"/>
        <v>8</v>
      </c>
      <c r="I118" s="10">
        <f>IFERROR(__xludf.DUMMYFUNCTION("MAX(FILTER($H$2:$H427,$E$2:$E427=F118))"),1.0)</f>
        <v>1</v>
      </c>
    </row>
    <row r="119">
      <c r="A119" s="4"/>
      <c r="C119" s="4" t="s">
        <v>1417</v>
      </c>
      <c r="D119" s="4" t="str">
        <f t="shared" si="1"/>
        <v>{"valorA":"pó","valorB":1.0}</v>
      </c>
      <c r="E119" s="8" t="str">
        <f t="shared" si="2"/>
        <v>pó</v>
      </c>
      <c r="F119" s="8" t="str">
        <f>IFERROR(__xludf.DUMMYFUNCTION("""COMPUTED_VALUE"""),"mudálo")</f>
        <v>mudálo</v>
      </c>
      <c r="G119" s="8" t="str">
        <f t="shared" si="3"/>
        <v>1.0</v>
      </c>
      <c r="H119" s="9">
        <f t="shared" si="4"/>
        <v>1</v>
      </c>
      <c r="I119" s="10">
        <f>IFERROR(__xludf.DUMMYFUNCTION("MAX(FILTER($H$2:$H427,$E$2:$E427=F119))"),1.0)</f>
        <v>1</v>
      </c>
    </row>
    <row r="120">
      <c r="A120" s="4"/>
      <c r="C120" s="4" t="s">
        <v>445</v>
      </c>
      <c r="D120" s="4" t="str">
        <f t="shared" si="1"/>
        <v>{"valorA":"fácil","valorB":4.0}</v>
      </c>
      <c r="E120" s="8" t="str">
        <f t="shared" si="2"/>
        <v>fácil</v>
      </c>
      <c r="F120" s="8" t="str">
        <f>IFERROR(__xludf.DUMMYFUNCTION("""COMPUTED_VALUE"""),"tente")</f>
        <v>tente</v>
      </c>
      <c r="G120" s="8" t="str">
        <f t="shared" si="3"/>
        <v>4.0</v>
      </c>
      <c r="H120" s="9">
        <f t="shared" si="4"/>
        <v>4</v>
      </c>
      <c r="I120" s="10">
        <f>IFERROR(__xludf.DUMMYFUNCTION("MAX(FILTER($H$2:$H427,$E$2:$E427=F120))"),1.0)</f>
        <v>1</v>
      </c>
    </row>
    <row r="121">
      <c r="A121" s="4"/>
      <c r="C121" s="4" t="s">
        <v>273</v>
      </c>
      <c r="D121" s="4" t="str">
        <f t="shared" si="1"/>
        <v>{"valorA":"ótimo","valorB":14.0}</v>
      </c>
      <c r="E121" s="8" t="str">
        <f t="shared" si="2"/>
        <v>ótimo</v>
      </c>
      <c r="F121" s="8" t="str">
        <f>IFERROR(__xludf.DUMMYFUNCTION("""COMPUTED_VALUE"""),"os")</f>
        <v>os</v>
      </c>
      <c r="G121" s="8" t="str">
        <f t="shared" si="3"/>
        <v>14.0</v>
      </c>
      <c r="H121" s="9">
        <f t="shared" si="4"/>
        <v>14</v>
      </c>
      <c r="I121" s="10">
        <f>IFERROR(__xludf.DUMMYFUNCTION("MAX(FILTER($H$2:$H427,$E$2:$E427=F121))"),1.0)</f>
        <v>1</v>
      </c>
    </row>
    <row r="122">
      <c r="A122" s="4"/>
      <c r="C122" s="4" t="s">
        <v>636</v>
      </c>
      <c r="D122" s="4" t="str">
        <f t="shared" si="1"/>
        <v>{"valorA":"funciona","valorB":3.0}</v>
      </c>
      <c r="E122" s="8" t="str">
        <f t="shared" si="2"/>
        <v>funciona</v>
      </c>
      <c r="F122" s="8" t="str">
        <f>IFERROR(__xludf.DUMMYFUNCTION("""COMPUTED_VALUE"""),"mais")</f>
        <v>mais</v>
      </c>
      <c r="G122" s="8" t="str">
        <f t="shared" si="3"/>
        <v>3.0</v>
      </c>
      <c r="H122" s="9">
        <f t="shared" si="4"/>
        <v>3</v>
      </c>
      <c r="I122" s="10">
        <f>IFERROR(__xludf.DUMMYFUNCTION("MAX(FILTER($H$2:$H427,$E$2:$E427=F122))"),1.0)</f>
        <v>1</v>
      </c>
    </row>
    <row r="123">
      <c r="A123" s="4"/>
      <c r="C123" s="4" t="s">
        <v>218</v>
      </c>
      <c r="D123" s="4" t="str">
        <f t="shared" si="1"/>
        <v>{"valorA":"para","valorB":3.0}</v>
      </c>
      <c r="E123" s="8" t="str">
        <f t="shared" si="2"/>
        <v>para</v>
      </c>
      <c r="F123" s="8" t="str">
        <f>IFERROR(__xludf.DUMMYFUNCTION("""COMPUTED_VALUE"""),"ser")</f>
        <v>ser</v>
      </c>
      <c r="G123" s="8" t="str">
        <f t="shared" si="3"/>
        <v>3.0</v>
      </c>
      <c r="H123" s="9">
        <f t="shared" si="4"/>
        <v>3</v>
      </c>
      <c r="I123" s="10">
        <f>IFERROR(__xludf.DUMMYFUNCTION("MAX(FILTER($H$2:$H427,$E$2:$E427=F123))"),1.0)</f>
        <v>1</v>
      </c>
    </row>
    <row r="124">
      <c r="A124" s="4"/>
      <c r="C124" s="4" t="s">
        <v>325</v>
      </c>
      <c r="D124" s="4" t="str">
        <f t="shared" si="1"/>
        <v>{"valorA":"recomendo","valorB":3.0}</v>
      </c>
      <c r="E124" s="8" t="str">
        <f t="shared" si="2"/>
        <v>recomendo</v>
      </c>
      <c r="F124" s="8" t="str">
        <f>IFERROR(__xludf.DUMMYFUNCTION("""COMPUTED_VALUE"""),"todos")</f>
        <v>todos</v>
      </c>
      <c r="G124" s="8" t="str">
        <f t="shared" si="3"/>
        <v>3.0</v>
      </c>
      <c r="H124" s="9">
        <f t="shared" si="4"/>
        <v>3</v>
      </c>
      <c r="I124" s="10">
        <f>IFERROR(__xludf.DUMMYFUNCTION("MAX(FILTER($H$2:$H427,$E$2:$E427=F124))"),1.0)</f>
        <v>1</v>
      </c>
    </row>
    <row r="125">
      <c r="A125" s="4"/>
      <c r="C125" s="4" t="s">
        <v>606</v>
      </c>
      <c r="D125" s="4" t="str">
        <f t="shared" si="1"/>
        <v>{"valorA":"qualidade","valorB":4.0}</v>
      </c>
      <c r="E125" s="8" t="str">
        <f t="shared" si="2"/>
        <v>qualidade</v>
      </c>
      <c r="F125" s="8" t="str">
        <f>IFERROR(__xludf.DUMMYFUNCTION("""COMPUTED_VALUE"""),"negativos")</f>
        <v>negativos</v>
      </c>
      <c r="G125" s="8" t="str">
        <f t="shared" si="3"/>
        <v>4.0</v>
      </c>
      <c r="H125" s="9">
        <f t="shared" si="4"/>
        <v>4</v>
      </c>
      <c r="I125" s="10">
        <f>IFERROR(__xludf.DUMMYFUNCTION("MAX(FILTER($H$2:$H427,$E$2:$E427=F125))"),1.0)</f>
        <v>1</v>
      </c>
    </row>
    <row r="126">
      <c r="A126" s="4"/>
      <c r="C126" s="4" t="s">
        <v>609</v>
      </c>
      <c r="D126" s="4" t="str">
        <f t="shared" si="1"/>
        <v>{"valorA":"confiabilidade","valorB":1.0}</v>
      </c>
      <c r="E126" s="8" t="str">
        <f t="shared" si="2"/>
        <v>confiabilidade</v>
      </c>
      <c r="F126" s="8" t="str">
        <f>IFERROR(__xludf.DUMMYFUNCTION("""COMPUTED_VALUE"""),"geladeira")</f>
        <v>geladeira</v>
      </c>
      <c r="G126" s="8" t="str">
        <f t="shared" si="3"/>
        <v>1.0</v>
      </c>
      <c r="H126" s="9">
        <f t="shared" si="4"/>
        <v>1</v>
      </c>
      <c r="I126" s="10">
        <f>IFERROR(__xludf.DUMMYFUNCTION("MAX(FILTER($H$2:$H427,$E$2:$E427=F126))"),1.0)</f>
        <v>1</v>
      </c>
    </row>
    <row r="127">
      <c r="A127" s="4"/>
      <c r="C127" s="4" t="s">
        <v>665</v>
      </c>
      <c r="D127" s="4" t="str">
        <f t="shared" si="1"/>
        <v>{"valorA":"quem","valorB":2.0}</v>
      </c>
      <c r="E127" s="8" t="str">
        <f t="shared" si="2"/>
        <v>quem</v>
      </c>
      <c r="F127" s="8" t="str">
        <f>IFERROR(__xludf.DUMMYFUNCTION("""COMPUTED_VALUE"""),"desse")</f>
        <v>desse</v>
      </c>
      <c r="G127" s="8" t="str">
        <f t="shared" si="3"/>
        <v>2.0</v>
      </c>
      <c r="H127" s="9">
        <f t="shared" si="4"/>
        <v>2</v>
      </c>
      <c r="I127" s="10">
        <f>IFERROR(__xludf.DUMMYFUNCTION("MAX(FILTER($H$2:$H427,$E$2:$E427=F127))"),1.0)</f>
        <v>1</v>
      </c>
    </row>
    <row r="128">
      <c r="A128" s="4"/>
      <c r="C128" s="4" t="s">
        <v>666</v>
      </c>
      <c r="D128" s="4" t="str">
        <f t="shared" si="1"/>
        <v>{"valorA":"e","valorB":7.0}</v>
      </c>
      <c r="E128" s="8" t="str">
        <f t="shared" si="2"/>
        <v>e</v>
      </c>
      <c r="F128" s="8" t="str">
        <f>IFERROR(__xludf.DUMMYFUNCTION("""COMPUTED_VALUE"""),"máquina")</f>
        <v>máquina</v>
      </c>
      <c r="G128" s="8" t="str">
        <f t="shared" si="3"/>
        <v>7.0</v>
      </c>
      <c r="H128" s="9">
        <f t="shared" si="4"/>
        <v>7</v>
      </c>
      <c r="I128" s="10">
        <f>IFERROR(__xludf.DUMMYFUNCTION("MAX(FILTER($H$2:$H427,$E$2:$E427=F128))"),1.0)</f>
        <v>1</v>
      </c>
    </row>
    <row r="129">
      <c r="A129" s="4"/>
      <c r="C129" s="4" t="s">
        <v>272</v>
      </c>
      <c r="D129" s="4" t="str">
        <f t="shared" si="1"/>
        <v>{"valorA":"produto","valorB":9.0}</v>
      </c>
      <c r="E129" s="8" t="str">
        <f t="shared" si="2"/>
        <v>produto</v>
      </c>
      <c r="F129" s="8" t="str">
        <f>IFERROR(__xludf.DUMMYFUNCTION("""COMPUTED_VALUE"""),"lazer")</f>
        <v>lazer</v>
      </c>
      <c r="G129" s="8" t="str">
        <f t="shared" si="3"/>
        <v>9.0</v>
      </c>
      <c r="H129" s="9">
        <f t="shared" si="4"/>
        <v>9</v>
      </c>
      <c r="I129" s="10">
        <f>IFERROR(__xludf.DUMMYFUNCTION("MAX(FILTER($H$2:$H427,$E$2:$E427=F129))"),1.0)</f>
        <v>1</v>
      </c>
    </row>
    <row r="130">
      <c r="A130" s="4"/>
      <c r="C130" s="4" t="s">
        <v>638</v>
      </c>
      <c r="D130" s="4" t="str">
        <f t="shared" si="1"/>
        <v>{"valorA":"ótimo","valorB":15.0}</v>
      </c>
      <c r="E130" s="8" t="str">
        <f t="shared" si="2"/>
        <v>ótimo</v>
      </c>
      <c r="F130" s="8" t="str">
        <f>IFERROR(__xludf.DUMMYFUNCTION("""COMPUTED_VALUE"""),"procura")</f>
        <v>procura</v>
      </c>
      <c r="G130" s="8" t="str">
        <f t="shared" si="3"/>
        <v>15.0</v>
      </c>
      <c r="H130" s="9">
        <f t="shared" si="4"/>
        <v>15</v>
      </c>
      <c r="I130" s="10">
        <f>IFERROR(__xludf.DUMMYFUNCTION("MAX(FILTER($H$2:$H427,$E$2:$E427=F130))"),1.0)</f>
        <v>1</v>
      </c>
    </row>
    <row r="131">
      <c r="A131" s="4"/>
      <c r="C131" s="4" t="s">
        <v>669</v>
      </c>
      <c r="D131" s="4" t="str">
        <f t="shared" si="1"/>
        <v>{"valorA":"busca","valorB":1.0}</v>
      </c>
      <c r="E131" s="8" t="str">
        <f t="shared" si="2"/>
        <v>busca</v>
      </c>
      <c r="F131" s="8" t="str">
        <f>IFERROR(__xludf.DUMMYFUNCTION("""COMPUTED_VALUE"""),"barata")</f>
        <v>barata</v>
      </c>
      <c r="G131" s="8" t="str">
        <f t="shared" si="3"/>
        <v>1.0</v>
      </c>
      <c r="H131" s="9">
        <f t="shared" si="4"/>
        <v>1</v>
      </c>
      <c r="I131" s="10">
        <f>IFERROR(__xludf.DUMMYFUNCTION("MAX(FILTER($H$2:$H427,$E$2:$E427=F131))"),1.0)</f>
        <v>1</v>
      </c>
    </row>
    <row r="132">
      <c r="A132" s="4"/>
      <c r="C132" s="4" t="s">
        <v>305</v>
      </c>
      <c r="D132" s="4" t="str">
        <f t="shared" si="1"/>
        <v>{"valorA":"é","valorB":4.0}</v>
      </c>
      <c r="E132" s="8" t="str">
        <f t="shared" si="2"/>
        <v>é</v>
      </c>
      <c r="F132" s="8" t="str">
        <f>IFERROR(__xludf.DUMMYFUNCTION("""COMPUTED_VALUE"""),"despendei")</f>
        <v>despendei</v>
      </c>
      <c r="G132" s="8" t="str">
        <f t="shared" si="3"/>
        <v>4.0</v>
      </c>
      <c r="H132" s="9">
        <f t="shared" si="4"/>
        <v>4</v>
      </c>
      <c r="I132" s="10">
        <f>IFERROR(__xludf.DUMMYFUNCTION("MAX(FILTER($H$2:$H427,$E$2:$E427=F132))"),1.0)</f>
        <v>1</v>
      </c>
    </row>
    <row r="133">
      <c r="A133" s="4"/>
      <c r="C133" s="4" t="s">
        <v>622</v>
      </c>
      <c r="D133" s="4" t="str">
        <f t="shared" si="1"/>
        <v>{"valorA":"qualidade","valorB":5.0}</v>
      </c>
      <c r="E133" s="8" t="str">
        <f t="shared" si="2"/>
        <v>qualidade</v>
      </c>
      <c r="F133" s="8" t="str">
        <f>IFERROR(__xludf.DUMMYFUNCTION("""COMPUTED_VALUE"""),"pena")</f>
        <v>pena</v>
      </c>
      <c r="G133" s="8" t="str">
        <f t="shared" si="3"/>
        <v>5.0</v>
      </c>
      <c r="H133" s="9">
        <f t="shared" si="4"/>
        <v>5</v>
      </c>
      <c r="I133" s="10">
        <f>IFERROR(__xludf.DUMMYFUNCTION("MAX(FILTER($H$2:$H427,$E$2:$E427=F133))"),1.0)</f>
        <v>1</v>
      </c>
    </row>
    <row r="134">
      <c r="A134" s="4"/>
      <c r="C134" s="4" t="s">
        <v>1418</v>
      </c>
      <c r="D134" s="4" t="str">
        <f t="shared" si="1"/>
        <v>{"valorA":"boa","valorB":1.0}</v>
      </c>
      <c r="E134" s="8" t="str">
        <f t="shared" si="2"/>
        <v>boa</v>
      </c>
      <c r="F134" s="8" t="str">
        <f>IFERROR(__xludf.DUMMYFUNCTION("""COMPUTED_VALUE"""),"valera")</f>
        <v>valera</v>
      </c>
      <c r="G134" s="8" t="str">
        <f t="shared" si="3"/>
        <v>1.0</v>
      </c>
      <c r="H134" s="9">
        <f t="shared" si="4"/>
        <v>1</v>
      </c>
      <c r="I134" s="10">
        <f>IFERROR(__xludf.DUMMYFUNCTION("MAX(FILTER($H$2:$H427,$E$2:$E427=F134))"),1.0)</f>
        <v>1</v>
      </c>
    </row>
    <row r="135">
      <c r="A135" s="4"/>
      <c r="C135" s="4" t="s">
        <v>643</v>
      </c>
      <c r="D135" s="4" t="str">
        <f t="shared" si="1"/>
        <v>{"valorA":"produto","valorB":10.0}</v>
      </c>
      <c r="E135" s="8" t="str">
        <f t="shared" si="2"/>
        <v>produto</v>
      </c>
      <c r="F135" s="8" t="str">
        <f>IFERROR(__xludf.DUMMYFUNCTION("""COMPUTED_VALUE"""),"comprálo")</f>
        <v>comprálo</v>
      </c>
      <c r="G135" s="8" t="str">
        <f t="shared" si="3"/>
        <v>10.0</v>
      </c>
      <c r="H135" s="9">
        <f t="shared" si="4"/>
        <v>10</v>
      </c>
      <c r="I135" s="10">
        <f>IFERROR(__xludf.DUMMYFUNCTION("MAX(FILTER($H$2:$H427,$E$2:$E427=F135))"),1.0)</f>
        <v>1</v>
      </c>
    </row>
    <row r="136">
      <c r="A136" s="4"/>
      <c r="C136" s="4" t="s">
        <v>645</v>
      </c>
      <c r="D136" s="4" t="str">
        <f t="shared" si="1"/>
        <v>{"valorA":"ótimo","valorB":16.0}</v>
      </c>
      <c r="E136" s="8" t="str">
        <f t="shared" si="2"/>
        <v>ótimo</v>
      </c>
      <c r="F136" s="8" t="str">
        <f>IFERROR(__xludf.DUMMYFUNCTION("""COMPUTED_VALUE"""),"legais")</f>
        <v>legais</v>
      </c>
      <c r="G136" s="8" t="str">
        <f t="shared" si="3"/>
        <v>16.0</v>
      </c>
      <c r="H136" s="9">
        <f t="shared" si="4"/>
        <v>16</v>
      </c>
      <c r="I136" s="10">
        <f>IFERROR(__xludf.DUMMYFUNCTION("MAX(FILTER($H$2:$H427,$E$2:$E427=F136))"),1.0)</f>
        <v>1</v>
      </c>
    </row>
    <row r="137">
      <c r="A137" s="4"/>
      <c r="C137" s="4" t="s">
        <v>578</v>
      </c>
      <c r="D137" s="4" t="str">
        <f t="shared" si="1"/>
        <v>{"valorA":"mas","valorB":2.0}</v>
      </c>
      <c r="E137" s="8" t="str">
        <f t="shared" si="2"/>
        <v>mas</v>
      </c>
      <c r="F137" s="8" t="str">
        <f>IFERROR(__xludf.DUMMYFUNCTION("""COMPUTED_VALUE"""),"fico")</f>
        <v>fico</v>
      </c>
      <c r="G137" s="8" t="str">
        <f t="shared" si="3"/>
        <v>2.0</v>
      </c>
      <c r="H137" s="9">
        <f t="shared" si="4"/>
        <v>2</v>
      </c>
      <c r="I137" s="10">
        <f>IFERROR(__xludf.DUMMYFUNCTION("MAX(FILTER($H$2:$H427,$E$2:$E427=F137))"),1.0)</f>
        <v>1</v>
      </c>
    </row>
    <row r="138">
      <c r="A138" s="4"/>
      <c r="C138" s="4" t="s">
        <v>320</v>
      </c>
      <c r="D138" s="4" t="str">
        <f t="shared" si="1"/>
        <v>{"valorA":"a","valorB":3.0}</v>
      </c>
      <c r="E138" s="8" t="str">
        <f t="shared" si="2"/>
        <v>a</v>
      </c>
      <c r="F138" s="8" t="str">
        <f>IFERROR(__xludf.DUMMYFUNCTION("""COMPUTED_VALUE"""),"tão")</f>
        <v>tão</v>
      </c>
      <c r="G138" s="8" t="str">
        <f t="shared" si="3"/>
        <v>3.0</v>
      </c>
      <c r="H138" s="9">
        <f t="shared" si="4"/>
        <v>3</v>
      </c>
      <c r="I138" s="10">
        <f>IFERROR(__xludf.DUMMYFUNCTION("MAX(FILTER($H$2:$H427,$E$2:$E427=F138))"),3.0)</f>
        <v>3</v>
      </c>
    </row>
    <row r="139">
      <c r="A139" s="4"/>
      <c r="C139" s="4" t="s">
        <v>582</v>
      </c>
      <c r="D139" s="4" t="str">
        <f t="shared" si="1"/>
        <v>{"valorA":"não","valorB":1.0}</v>
      </c>
      <c r="E139" s="8" t="str">
        <f t="shared" si="2"/>
        <v>não</v>
      </c>
      <c r="F139" s="8" t="str">
        <f>IFERROR(__xludf.DUMMYFUNCTION("""COMPUTED_VALUE"""),"eu")</f>
        <v>eu</v>
      </c>
      <c r="G139" s="8" t="str">
        <f t="shared" si="3"/>
        <v>1.0</v>
      </c>
      <c r="H139" s="9">
        <f t="shared" si="4"/>
        <v>1</v>
      </c>
      <c r="I139" s="10">
        <f>IFERROR(__xludf.DUMMYFUNCTION("MAX(FILTER($H$2:$H427,$E$2:$E427=F139))"),1.0)</f>
        <v>1</v>
      </c>
    </row>
    <row r="140">
      <c r="A140" s="4"/>
      <c r="C140" s="4" t="s">
        <v>234</v>
      </c>
      <c r="D140" s="4" t="str">
        <f t="shared" si="1"/>
        <v>{"valorA":"para","valorB":4.0}</v>
      </c>
      <c r="E140" s="8" t="str">
        <f t="shared" si="2"/>
        <v>para</v>
      </c>
      <c r="F140" s="8" t="str">
        <f>IFERROR(__xludf.DUMMYFUNCTION("""COMPUTED_VALUE"""),"pelo")</f>
        <v>pelo</v>
      </c>
      <c r="G140" s="8" t="str">
        <f t="shared" si="3"/>
        <v>4.0</v>
      </c>
      <c r="H140" s="9">
        <f t="shared" si="4"/>
        <v>4</v>
      </c>
      <c r="I140" s="10">
        <f>IFERROR(__xludf.DUMMYFUNCTION("MAX(FILTER($H$2:$H427,$E$2:$E427=F140))"),1.0)</f>
        <v>1</v>
      </c>
    </row>
    <row r="141">
      <c r="A141" s="4"/>
      <c r="C141" s="4" t="s">
        <v>692</v>
      </c>
      <c r="D141" s="4" t="str">
        <f t="shared" si="1"/>
        <v>{"valorA":"precisa","valorB":1.0}</v>
      </c>
      <c r="E141" s="8" t="str">
        <f t="shared" si="2"/>
        <v>precisa</v>
      </c>
      <c r="F141" s="8" t="str">
        <f>IFERROR(__xludf.DUMMYFUNCTION("""COMPUTED_VALUE"""),"satisfeito")</f>
        <v>satisfeito</v>
      </c>
      <c r="G141" s="8" t="str">
        <f t="shared" si="3"/>
        <v>1.0</v>
      </c>
      <c r="H141" s="9">
        <f t="shared" si="4"/>
        <v>1</v>
      </c>
      <c r="I141" s="10">
        <f>IFERROR(__xludf.DUMMYFUNCTION("MAX(FILTER($H$2:$H427,$E$2:$E427=F141))"),1.0)</f>
        <v>1</v>
      </c>
    </row>
    <row r="142">
      <c r="A142" s="4"/>
      <c r="C142" s="4" t="s">
        <v>693</v>
      </c>
      <c r="D142" s="4" t="str">
        <f t="shared" si="1"/>
        <v>{"valorA":"portátil","valorB":1.0}</v>
      </c>
      <c r="E142" s="8" t="str">
        <f t="shared" si="2"/>
        <v>portátil</v>
      </c>
      <c r="F142" s="8" t="str">
        <f>IFERROR(__xludf.DUMMYFUNCTION("""COMPUTED_VALUE"""),"design")</f>
        <v>design</v>
      </c>
      <c r="G142" s="8" t="str">
        <f t="shared" si="3"/>
        <v>1.0</v>
      </c>
      <c r="H142" s="9">
        <f t="shared" si="4"/>
        <v>1</v>
      </c>
      <c r="I142" s="10">
        <f>IFERROR(__xludf.DUMMYFUNCTION("MAX(FILTER($H$2:$H427,$E$2:$E427=F142))"),1.0)</f>
        <v>1</v>
      </c>
    </row>
    <row r="143">
      <c r="A143" s="4"/>
      <c r="C143" s="4" t="s">
        <v>680</v>
      </c>
      <c r="D143" s="4" t="str">
        <f t="shared" si="1"/>
        <v>{"valorA":"quem","valorB":3.0}</v>
      </c>
      <c r="E143" s="8" t="str">
        <f t="shared" si="2"/>
        <v>quem</v>
      </c>
      <c r="F143" s="8" t="str">
        <f>IFERROR(__xludf.DUMMYFUNCTION("""COMPUTED_VALUE"""),"amooooo")</f>
        <v>amooooo</v>
      </c>
      <c r="G143" s="8" t="str">
        <f t="shared" si="3"/>
        <v>3.0</v>
      </c>
      <c r="H143" s="9">
        <f t="shared" si="4"/>
        <v>3</v>
      </c>
      <c r="I143" s="10">
        <f>IFERROR(__xludf.DUMMYFUNCTION("MAX(FILTER($H$2:$H427,$E$2:$E427=F143))"),1.0)</f>
        <v>1</v>
      </c>
    </row>
    <row r="144">
      <c r="A144" s="4"/>
      <c r="C144" s="4" t="s">
        <v>410</v>
      </c>
      <c r="D144" s="4" t="str">
        <f t="shared" si="1"/>
        <v>{"valorA":"de","valorB":9.0}</v>
      </c>
      <c r="E144" s="8" t="str">
        <f t="shared" si="2"/>
        <v>de</v>
      </c>
      <c r="F144" s="8" t="str">
        <f>IFERROR(__xludf.DUMMYFUNCTION("""COMPUTED_VALUE"""),"penalidade")</f>
        <v>penalidade</v>
      </c>
      <c r="G144" s="8" t="str">
        <f t="shared" si="3"/>
        <v>9.0</v>
      </c>
      <c r="H144" s="9">
        <f t="shared" si="4"/>
        <v>9</v>
      </c>
      <c r="I144" s="10">
        <f>IFERROR(__xludf.DUMMYFUNCTION("MAX(FILTER($H$2:$H427,$E$2:$E427=F144))"),1.0)</f>
        <v>1</v>
      </c>
    </row>
    <row r="145">
      <c r="A145" s="4"/>
      <c r="C145" s="4" t="s">
        <v>651</v>
      </c>
      <c r="D145" s="4" t="str">
        <f t="shared" si="1"/>
        <v>{"valorA":"produto","valorB":11.0}</v>
      </c>
      <c r="E145" s="8" t="str">
        <f t="shared" si="2"/>
        <v>produto</v>
      </c>
      <c r="F145" s="8" t="str">
        <f>IFERROR(__xludf.DUMMYFUNCTION("""COMPUTED_VALUE"""),"me")</f>
        <v>me</v>
      </c>
      <c r="G145" s="8" t="str">
        <f t="shared" si="3"/>
        <v>11.0</v>
      </c>
      <c r="H145" s="9">
        <f t="shared" si="4"/>
        <v>11</v>
      </c>
      <c r="I145" s="10">
        <f>IFERROR(__xludf.DUMMYFUNCTION("MAX(FILTER($H$2:$H427,$E$2:$E427=F145))"),1.0)</f>
        <v>1</v>
      </c>
    </row>
    <row r="146">
      <c r="A146" s="4"/>
      <c r="C146" s="4" t="s">
        <v>284</v>
      </c>
      <c r="D146" s="4" t="str">
        <f t="shared" si="1"/>
        <v>{"valorA":"ótimo","valorB":17.0}</v>
      </c>
      <c r="E146" s="8" t="str">
        <f t="shared" si="2"/>
        <v>ótimo</v>
      </c>
      <c r="F146" s="8" t="str">
        <f>IFERROR(__xludf.DUMMYFUNCTION("""COMPUTED_VALUE"""),"valia")</f>
        <v>valia</v>
      </c>
      <c r="G146" s="8" t="str">
        <f t="shared" si="3"/>
        <v>17.0</v>
      </c>
      <c r="H146" s="9">
        <f t="shared" si="4"/>
        <v>17</v>
      </c>
      <c r="I146" s="10">
        <f>IFERROR(__xludf.DUMMYFUNCTION("MAX(FILTER($H$2:$H427,$E$2:$E427=F146))"),1.0)</f>
        <v>1</v>
      </c>
    </row>
    <row r="147">
      <c r="A147" s="4"/>
      <c r="C147" s="4" t="s">
        <v>486</v>
      </c>
      <c r="D147" s="4" t="str">
        <f t="shared" si="1"/>
        <v>{"valorA":"refrigerante","valorB":1.0}</v>
      </c>
      <c r="E147" s="8" t="str">
        <f t="shared" si="2"/>
        <v>refrigerante</v>
      </c>
      <c r="F147" s="8" t="str">
        <f>IFERROR(__xludf.DUMMYFUNCTION("""COMPUTED_VALUE"""),"agrada")</f>
        <v>agrada</v>
      </c>
      <c r="G147" s="8" t="str">
        <f t="shared" si="3"/>
        <v>1.0</v>
      </c>
      <c r="H147" s="9">
        <f t="shared" si="4"/>
        <v>1</v>
      </c>
      <c r="I147" s="10">
        <f>IFERROR(__xludf.DUMMYFUNCTION("MAX(FILTER($H$2:$H427,$E$2:$E427=F147))"),1.0)</f>
        <v>1</v>
      </c>
    </row>
    <row r="148">
      <c r="A148" s="4"/>
      <c r="C148" s="4" t="s">
        <v>689</v>
      </c>
      <c r="D148" s="4" t="str">
        <f t="shared" si="1"/>
        <v>{"valorA":"perfeitamente","valorB":2.0}</v>
      </c>
      <c r="E148" s="8" t="str">
        <f t="shared" si="2"/>
        <v>perfeitamente</v>
      </c>
      <c r="F148" s="8" t="str">
        <f>IFERROR(__xludf.DUMMYFUNCTION("""COMPUTED_VALUE"""),"custobenefício")</f>
        <v>custobenefício</v>
      </c>
      <c r="G148" s="8" t="str">
        <f t="shared" si="3"/>
        <v>2.0</v>
      </c>
      <c r="H148" s="9">
        <f t="shared" si="4"/>
        <v>2</v>
      </c>
      <c r="I148" s="10">
        <f>IFERROR(__xludf.DUMMYFUNCTION("MAX(FILTER($H$2:$H427,$E$2:$E427=F148))"),1.0)</f>
        <v>1</v>
      </c>
    </row>
    <row r="149">
      <c r="A149" s="4"/>
      <c r="C149" s="4" t="s">
        <v>288</v>
      </c>
      <c r="D149" s="4" t="str">
        <f t="shared" si="1"/>
        <v>{"valorA":"funciona","valorB":4.0}</v>
      </c>
      <c r="E149" s="8" t="str">
        <f t="shared" si="2"/>
        <v>funciona</v>
      </c>
      <c r="F149" s="8" t="str">
        <f>IFERROR(__xludf.DUMMYFUNCTION("""COMPUTED_VALUE"""),"dores")</f>
        <v>dores</v>
      </c>
      <c r="G149" s="8" t="str">
        <f t="shared" si="3"/>
        <v>4.0</v>
      </c>
      <c r="H149" s="9">
        <f t="shared" si="4"/>
        <v>4</v>
      </c>
      <c r="I149" s="10">
        <f>IFERROR(__xludf.DUMMYFUNCTION("MAX(FILTER($H$2:$H427,$E$2:$E427=F149))"),1.0)</f>
        <v>1</v>
      </c>
    </row>
    <row r="150">
      <c r="A150" s="4"/>
      <c r="C150" s="4" t="s">
        <v>619</v>
      </c>
      <c r="D150" s="4" t="str">
        <f t="shared" si="1"/>
        <v>{"valorA":"um","valorB":1.0}</v>
      </c>
      <c r="E150" s="8" t="str">
        <f t="shared" si="2"/>
        <v>um</v>
      </c>
      <c r="F150" s="8" t="str">
        <f>IFERROR(__xludf.DUMMYFUNCTION("""COMPUTED_VALUE"""),"pescoço")</f>
        <v>pescoço</v>
      </c>
      <c r="G150" s="8" t="str">
        <f t="shared" si="3"/>
        <v>1.0</v>
      </c>
      <c r="H150" s="9">
        <f t="shared" si="4"/>
        <v>1</v>
      </c>
      <c r="I150" s="10">
        <f>IFERROR(__xludf.DUMMYFUNCTION("MAX(FILTER($H$2:$H427,$E$2:$E427=F150))"),1.0)</f>
        <v>1</v>
      </c>
    </row>
    <row r="151">
      <c r="A151" s="4"/>
      <c r="C151" s="4" t="s">
        <v>290</v>
      </c>
      <c r="D151" s="4" t="str">
        <f t="shared" si="1"/>
        <v>{"valorA":"com","valorB":1.0}</v>
      </c>
      <c r="E151" s="8" t="str">
        <f t="shared" si="2"/>
        <v>com</v>
      </c>
      <c r="F151" s="8" t="str">
        <f>IFERROR(__xludf.DUMMYFUNCTION("""COMPUTED_VALUE"""),"no")</f>
        <v>no</v>
      </c>
      <c r="G151" s="8" t="str">
        <f t="shared" si="3"/>
        <v>1.0</v>
      </c>
      <c r="H151" s="9">
        <f t="shared" si="4"/>
        <v>1</v>
      </c>
      <c r="I151" s="10">
        <f>IFERROR(__xludf.DUMMYFUNCTION("MAX(FILTER($H$2:$H427,$E$2:$E427=F151))"),1.0)</f>
        <v>1</v>
      </c>
    </row>
    <row r="152">
      <c r="A152" s="4"/>
      <c r="C152" s="4" t="s">
        <v>785</v>
      </c>
      <c r="D152" s="4" t="str">
        <f t="shared" si="1"/>
        <v>{"valorA":"tablet","valorB":1.0}</v>
      </c>
      <c r="E152" s="8" t="str">
        <f t="shared" si="2"/>
        <v>tablet</v>
      </c>
      <c r="F152" s="8" t="str">
        <f>IFERROR(__xludf.DUMMYFUNCTION("""COMPUTED_VALUE"""),"tem")</f>
        <v>tem</v>
      </c>
      <c r="G152" s="8" t="str">
        <f t="shared" si="3"/>
        <v>1.0</v>
      </c>
      <c r="H152" s="9">
        <f t="shared" si="4"/>
        <v>1</v>
      </c>
      <c r="I152" s="10">
        <f>IFERROR(__xludf.DUMMYFUNCTION("MAX(FILTER($H$2:$H427,$E$2:$E427=F152))"),1.0)</f>
        <v>1</v>
      </c>
    </row>
    <row r="153">
      <c r="A153" s="4"/>
      <c r="C153" s="4" t="s">
        <v>439</v>
      </c>
      <c r="D153" s="4" t="str">
        <f t="shared" si="1"/>
        <v>{"valorA":"usar","valorB":5.0}</v>
      </c>
      <c r="E153" s="8" t="str">
        <f t="shared" si="2"/>
        <v>usar</v>
      </c>
      <c r="F153" s="8" t="str">
        <f>IFERROR(__xludf.DUMMYFUNCTION("""COMPUTED_VALUE"""),"horas")</f>
        <v>horas</v>
      </c>
      <c r="G153" s="8" t="str">
        <f t="shared" si="3"/>
        <v>5.0</v>
      </c>
      <c r="H153" s="9">
        <f t="shared" si="4"/>
        <v>5</v>
      </c>
      <c r="I153" s="10">
        <f>IFERROR(__xludf.DUMMYFUNCTION("MAX(FILTER($H$2:$H427,$E$2:$E427=F153))"),1.0)</f>
        <v>1</v>
      </c>
    </row>
    <row r="154">
      <c r="A154" s="4"/>
      <c r="C154" s="4" t="s">
        <v>427</v>
      </c>
      <c r="D154" s="4" t="str">
        <f t="shared" si="1"/>
        <v>{"valorA":"de","valorB":10.0}</v>
      </c>
      <c r="E154" s="8" t="str">
        <f t="shared" si="2"/>
        <v>de</v>
      </c>
      <c r="F154" s="8" t="str">
        <f>IFERROR(__xludf.DUMMYFUNCTION("""COMPUTED_VALUE"""),"assistindo")</f>
        <v>assistindo</v>
      </c>
      <c r="G154" s="8" t="str">
        <f t="shared" si="3"/>
        <v>10.0</v>
      </c>
      <c r="H154" s="9">
        <f t="shared" si="4"/>
        <v>10</v>
      </c>
      <c r="I154" s="10">
        <f>IFERROR(__xludf.DUMMYFUNCTION("MAX(FILTER($H$2:$H427,$E$2:$E427=F154))"),1.0)</f>
        <v>1</v>
      </c>
    </row>
    <row r="155">
      <c r="A155" s="4"/>
      <c r="C155" s="4" t="s">
        <v>387</v>
      </c>
      <c r="D155" s="4" t="str">
        <f t="shared" si="1"/>
        <v>{"valorA":"e","valorB":8.0}</v>
      </c>
      <c r="E155" s="8" t="str">
        <f t="shared" si="2"/>
        <v>e</v>
      </c>
      <c r="F155" s="8" t="str">
        <f>IFERROR(__xludf.DUMMYFUNCTION("""COMPUTED_VALUE"""),"jogando")</f>
        <v>jogando</v>
      </c>
      <c r="G155" s="8" t="str">
        <f t="shared" si="3"/>
        <v>8.0</v>
      </c>
      <c r="H155" s="9">
        <f t="shared" si="4"/>
        <v>8</v>
      </c>
      <c r="I155" s="10">
        <f>IFERROR(__xludf.DUMMYFUNCTION("MAX(FILTER($H$2:$H427,$E$2:$E427=F155))"),1.0)</f>
        <v>1</v>
      </c>
    </row>
    <row r="156">
      <c r="A156" s="4"/>
      <c r="C156" s="4" t="s">
        <v>658</v>
      </c>
      <c r="D156" s="4" t="str">
        <f t="shared" si="1"/>
        <v>{"valorA":"ótimo","valorB":18.0}</v>
      </c>
      <c r="E156" s="8" t="str">
        <f t="shared" si="2"/>
        <v>ótimo</v>
      </c>
      <c r="F156" s="8" t="str">
        <f>IFERROR(__xludf.DUMMYFUNCTION("""COMPUTED_VALUE"""),"games")</f>
        <v>games</v>
      </c>
      <c r="G156" s="8" t="str">
        <f t="shared" si="3"/>
        <v>18.0</v>
      </c>
      <c r="H156" s="9">
        <f t="shared" si="4"/>
        <v>18</v>
      </c>
      <c r="I156" s="10">
        <f>IFERROR(__xludf.DUMMYFUNCTION("MAX(FILTER($H$2:$H427,$E$2:$E427=F156))"),1.0)</f>
        <v>1</v>
      </c>
    </row>
    <row r="157">
      <c r="A157" s="4"/>
      <c r="C157" s="4" t="s">
        <v>724</v>
      </c>
      <c r="D157" s="4" t="str">
        <f t="shared" si="1"/>
        <v>{"valorA":"fácil","valorB":5.0}</v>
      </c>
      <c r="E157" s="8" t="str">
        <f t="shared" si="2"/>
        <v>fácil</v>
      </c>
      <c r="F157" s="8" t="str">
        <f>IFERROR(__xludf.DUMMYFUNCTION("""COMPUTED_VALUE"""),"sem")</f>
        <v>sem</v>
      </c>
      <c r="G157" s="8" t="str">
        <f t="shared" si="3"/>
        <v>5.0</v>
      </c>
      <c r="H157" s="9">
        <f t="shared" si="4"/>
        <v>5</v>
      </c>
      <c r="I157" s="10">
        <f>IFERROR(__xludf.DUMMYFUNCTION("MAX(FILTER($H$2:$H427,$E$2:$E427=F157))"),1.0)</f>
        <v>1</v>
      </c>
    </row>
    <row r="158">
      <c r="A158" s="4"/>
      <c r="C158" s="4" t="s">
        <v>783</v>
      </c>
      <c r="D158" s="4" t="str">
        <f t="shared" si="1"/>
        <v>{"valorA":"funcionalidades","valorB":1.0}</v>
      </c>
      <c r="E158" s="8" t="str">
        <f t="shared" si="2"/>
        <v>funcionalidades</v>
      </c>
      <c r="F158" s="8" t="str">
        <f>IFERROR(__xludf.DUMMYFUNCTION("""COMPUTED_VALUE"""),"gastei")</f>
        <v>gastei</v>
      </c>
      <c r="G158" s="8" t="str">
        <f t="shared" si="3"/>
        <v>1.0</v>
      </c>
      <c r="H158" s="9">
        <f t="shared" si="4"/>
        <v>1</v>
      </c>
      <c r="I158" s="10">
        <f>IFERROR(__xludf.DUMMYFUNCTION("MAX(FILTER($H$2:$H427,$E$2:$E427=F158))"),1.0)</f>
        <v>1</v>
      </c>
    </row>
    <row r="159">
      <c r="A159" s="4"/>
      <c r="C159" s="4" t="s">
        <v>1090</v>
      </c>
      <c r="D159" s="4" t="str">
        <f t="shared" si="1"/>
        <v>{"valorA":"muitas","valorB":1.0}</v>
      </c>
      <c r="E159" s="8" t="str">
        <f t="shared" si="2"/>
        <v>muitas</v>
      </c>
      <c r="F159" s="8" t="str">
        <f>IFERROR(__xludf.DUMMYFUNCTION("""COMPUTED_VALUE"""),"gostando")</f>
        <v>gostando</v>
      </c>
      <c r="G159" s="8" t="str">
        <f t="shared" si="3"/>
        <v>1.0</v>
      </c>
      <c r="H159" s="9">
        <f t="shared" si="4"/>
        <v>1</v>
      </c>
      <c r="I159" s="10">
        <f>IFERROR(__xludf.DUMMYFUNCTION("MAX(FILTER($H$2:$H427,$E$2:$E427=F159))"),1.0)</f>
        <v>1</v>
      </c>
    </row>
    <row r="160">
      <c r="A160" s="4"/>
      <c r="C160" s="4" t="s">
        <v>217</v>
      </c>
      <c r="D160" s="4" t="str">
        <f t="shared" si="1"/>
        <v>{"valorA":"adorei","valorB":1.0}</v>
      </c>
      <c r="E160" s="8" t="str">
        <f t="shared" si="2"/>
        <v>adorei</v>
      </c>
      <c r="F160" s="8" t="str">
        <f>IFERROR(__xludf.DUMMYFUNCTION("""COMPUTED_VALUE"""),"esperava")</f>
        <v>esperava</v>
      </c>
      <c r="G160" s="8" t="str">
        <f t="shared" si="3"/>
        <v>1.0</v>
      </c>
      <c r="H160" s="9">
        <f t="shared" si="4"/>
        <v>1</v>
      </c>
      <c r="I160" s="10">
        <f>IFERROR(__xludf.DUMMYFUNCTION("MAX(FILTER($H$2:$H427,$E$2:$E427=F160))"),1.0)</f>
        <v>1</v>
      </c>
    </row>
    <row r="161">
      <c r="A161" s="4"/>
      <c r="C161" s="4" t="s">
        <v>403</v>
      </c>
      <c r="D161" s="4" t="str">
        <f t="shared" si="1"/>
        <v>{"valorA":"para","valorB":5.0}</v>
      </c>
      <c r="E161" s="8" t="str">
        <f t="shared" si="2"/>
        <v>para</v>
      </c>
      <c r="F161" s="8" t="str">
        <f>IFERROR(__xludf.DUMMYFUNCTION("""COMPUTED_VALUE"""),"como")</f>
        <v>como</v>
      </c>
      <c r="G161" s="8" t="str">
        <f t="shared" si="3"/>
        <v>5.0</v>
      </c>
      <c r="H161" s="9">
        <f t="shared" si="4"/>
        <v>5</v>
      </c>
      <c r="I161" s="10">
        <f>IFERROR(__xludf.DUMMYFUNCTION("MAX(FILTER($H$2:$H427,$E$2:$E427=F161))"),1.0)</f>
        <v>1</v>
      </c>
    </row>
    <row r="162">
      <c r="A162" s="4"/>
      <c r="C162" s="4" t="s">
        <v>470</v>
      </c>
      <c r="D162" s="4" t="str">
        <f t="shared" si="1"/>
        <v>{"valorA":"comprei","valorB":2.0}</v>
      </c>
      <c r="E162" s="8" t="str">
        <f t="shared" si="2"/>
        <v>comprei</v>
      </c>
      <c r="F162" s="8"/>
      <c r="G162" s="8" t="str">
        <f t="shared" si="3"/>
        <v>2.0</v>
      </c>
      <c r="H162" s="9">
        <f t="shared" si="4"/>
        <v>2</v>
      </c>
      <c r="I162" s="6" t="str">
        <f>IFERROR(__xludf.DUMMYFUNCTION("MAX(FILTER($H$2:$H427,$E$2:$E427=F162))"),"#N/A")</f>
        <v>#N/A</v>
      </c>
    </row>
    <row r="163">
      <c r="A163" s="4"/>
      <c r="C163" s="4" t="s">
        <v>1419</v>
      </c>
      <c r="D163" s="4" t="str">
        <f t="shared" si="1"/>
        <v>{"valorA":"tv","valorB":4.0}</v>
      </c>
      <c r="E163" s="8" t="str">
        <f t="shared" si="2"/>
        <v>tv</v>
      </c>
      <c r="F163" s="8"/>
      <c r="G163" s="8" t="str">
        <f t="shared" si="3"/>
        <v>4.0</v>
      </c>
      <c r="H163" s="9">
        <f t="shared" si="4"/>
        <v>4</v>
      </c>
      <c r="I163" s="6" t="str">
        <f>IFERROR(__xludf.DUMMYFUNCTION("MAX(FILTER($H$2:$H427,$E$2:$E427=F163))"),"#N/A")</f>
        <v>#N/A</v>
      </c>
    </row>
    <row r="164">
      <c r="A164" s="4"/>
      <c r="C164" s="4" t="s">
        <v>268</v>
      </c>
      <c r="D164" s="4" t="str">
        <f t="shared" si="1"/>
        <v>{"valorA":"bem","valorB":3.0}</v>
      </c>
      <c r="E164" s="8" t="str">
        <f t="shared" si="2"/>
        <v>bem</v>
      </c>
      <c r="F164" s="8"/>
      <c r="G164" s="8" t="str">
        <f t="shared" si="3"/>
        <v>3.0</v>
      </c>
      <c r="H164" s="9">
        <f t="shared" si="4"/>
        <v>3</v>
      </c>
      <c r="I164" s="6" t="str">
        <f>IFERROR(__xludf.DUMMYFUNCTION("MAX(FILTER($H$2:$H427,$E$2:$E427=F164))"),"#N/A")</f>
        <v>#N/A</v>
      </c>
    </row>
    <row r="165">
      <c r="A165" s="4"/>
      <c r="C165" s="4" t="s">
        <v>425</v>
      </c>
      <c r="D165" s="4" t="str">
        <f t="shared" si="1"/>
        <v>{"valorA":"e","valorB":9.0}</v>
      </c>
      <c r="E165" s="8" t="str">
        <f t="shared" si="2"/>
        <v>e</v>
      </c>
      <c r="F165" s="8"/>
      <c r="G165" s="8" t="str">
        <f t="shared" si="3"/>
        <v>9.0</v>
      </c>
      <c r="H165" s="9">
        <f t="shared" si="4"/>
        <v>9</v>
      </c>
      <c r="I165" s="6" t="str">
        <f>IFERROR(__xludf.DUMMYFUNCTION("MAX(FILTER($H$2:$H427,$E$2:$E427=F165))"),"#N/A")</f>
        <v>#N/A</v>
      </c>
    </row>
    <row r="166">
      <c r="A166" s="4"/>
      <c r="C166" s="4" t="s">
        <v>1331</v>
      </c>
      <c r="D166" s="4" t="str">
        <f t="shared" si="1"/>
        <v>{"valorA":"ela","valorB":1.0}</v>
      </c>
      <c r="E166" s="8" t="str">
        <f t="shared" si="2"/>
        <v>ela</v>
      </c>
      <c r="F166" s="8"/>
      <c r="G166" s="8" t="str">
        <f t="shared" si="3"/>
        <v>1.0</v>
      </c>
      <c r="H166" s="9">
        <f t="shared" si="4"/>
        <v>1</v>
      </c>
      <c r="I166" s="6" t="str">
        <f>IFERROR(__xludf.DUMMYFUNCTION("MAX(FILTER($H$2:$H427,$E$2:$E427=F166))"),"#N/A")</f>
        <v>#N/A</v>
      </c>
    </row>
    <row r="167">
      <c r="A167" s="4"/>
      <c r="C167" s="4" t="s">
        <v>1420</v>
      </c>
      <c r="D167" s="4" t="str">
        <f t="shared" si="1"/>
        <v>{"valorA":"led","valorB":2.0}</v>
      </c>
      <c r="E167" s="8" t="str">
        <f t="shared" si="2"/>
        <v>led</v>
      </c>
      <c r="F167" s="8"/>
      <c r="G167" s="8" t="str">
        <f t="shared" si="3"/>
        <v>2.0</v>
      </c>
      <c r="H167" s="9">
        <f t="shared" si="4"/>
        <v>2</v>
      </c>
      <c r="I167" s="6" t="str">
        <f>IFERROR(__xludf.DUMMYFUNCTION("MAX(FILTER($H$2:$H427,$E$2:$E427=F167))"),"#N/A")</f>
        <v>#N/A</v>
      </c>
    </row>
    <row r="168">
      <c r="A168" s="4"/>
      <c r="C168" s="4" t="s">
        <v>282</v>
      </c>
      <c r="D168" s="4" t="str">
        <f t="shared" si="1"/>
        <v>{"valorA":"produto","valorB":12.0}</v>
      </c>
      <c r="E168" s="8" t="str">
        <f t="shared" si="2"/>
        <v>produto</v>
      </c>
      <c r="F168" s="8"/>
      <c r="G168" s="8" t="str">
        <f t="shared" si="3"/>
        <v>12.0</v>
      </c>
      <c r="H168" s="9">
        <f t="shared" si="4"/>
        <v>12</v>
      </c>
      <c r="I168" s="6" t="str">
        <f>IFERROR(__xludf.DUMMYFUNCTION("MAX(FILTER($H$2:$H427,$E$2:$E427=F168))"),"#N/A")</f>
        <v>#N/A</v>
      </c>
    </row>
    <row r="169">
      <c r="A169" s="4"/>
      <c r="C169" s="4" t="s">
        <v>671</v>
      </c>
      <c r="D169" s="4" t="str">
        <f t="shared" si="1"/>
        <v>{"valorA":"ótimo","valorB":20.0}</v>
      </c>
      <c r="E169" s="8" t="str">
        <f t="shared" si="2"/>
        <v>ótimo</v>
      </c>
      <c r="F169" s="8"/>
      <c r="G169" s="8" t="str">
        <f t="shared" si="3"/>
        <v>20.0</v>
      </c>
      <c r="H169" s="9">
        <f t="shared" si="4"/>
        <v>20</v>
      </c>
      <c r="I169" s="6" t="str">
        <f>IFERROR(__xludf.DUMMYFUNCTION("MAX(FILTER($H$2:$H427,$E$2:$E427=F169))"),"#N/A")</f>
        <v>#N/A</v>
      </c>
    </row>
    <row r="170">
      <c r="A170" s="4"/>
      <c r="C170" s="4" t="s">
        <v>1421</v>
      </c>
      <c r="D170" s="4" t="str">
        <f t="shared" si="1"/>
        <v>{"valorA":"mãe","valorB":1.0}</v>
      </c>
      <c r="E170" s="8" t="str">
        <f t="shared" si="2"/>
        <v>mãe</v>
      </c>
      <c r="F170" s="8"/>
      <c r="G170" s="8" t="str">
        <f t="shared" si="3"/>
        <v>1.0</v>
      </c>
      <c r="H170" s="9">
        <f t="shared" si="4"/>
        <v>1</v>
      </c>
      <c r="I170" s="6" t="str">
        <f>IFERROR(__xludf.DUMMYFUNCTION("MAX(FILTER($H$2:$H427,$E$2:$E427=F170))"),"#N/A")</f>
        <v>#N/A</v>
      </c>
    </row>
    <row r="171">
      <c r="A171" s="4"/>
      <c r="C171" s="4" t="s">
        <v>1422</v>
      </c>
      <c r="D171" s="4" t="str">
        <f t="shared" si="1"/>
        <v>{"valorA":"adora","valorB":1.0}</v>
      </c>
      <c r="E171" s="8" t="str">
        <f t="shared" si="2"/>
        <v>adora</v>
      </c>
      <c r="F171" s="8"/>
      <c r="G171" s="8" t="str">
        <f t="shared" si="3"/>
        <v>1.0</v>
      </c>
      <c r="H171" s="9">
        <f t="shared" si="4"/>
        <v>1</v>
      </c>
      <c r="I171" s="6" t="str">
        <f>IFERROR(__xludf.DUMMYFUNCTION("MAX(FILTER($H$2:$H427,$E$2:$E427=F171))"),"#N/A")</f>
        <v>#N/A</v>
      </c>
    </row>
    <row r="172">
      <c r="A172" s="4"/>
      <c r="C172" s="4" t="s">
        <v>823</v>
      </c>
      <c r="D172" s="4" t="str">
        <f t="shared" si="1"/>
        <v>{"valorA":"valorizado","valorB":1.0}</v>
      </c>
      <c r="E172" s="8" t="str">
        <f t="shared" si="2"/>
        <v>valorizado</v>
      </c>
      <c r="F172" s="8"/>
      <c r="G172" s="8" t="str">
        <f t="shared" si="3"/>
        <v>1.0</v>
      </c>
      <c r="H172" s="9">
        <f t="shared" si="4"/>
        <v>1</v>
      </c>
      <c r="I172" s="6" t="str">
        <f>IFERROR(__xludf.DUMMYFUNCTION("MAX(FILTER($H$2:$H427,$E$2:$E427=F172))"),"#N/A")</f>
        <v>#N/A</v>
      </c>
    </row>
    <row r="173">
      <c r="A173" s="4"/>
      <c r="C173" s="4" t="s">
        <v>265</v>
      </c>
      <c r="D173" s="4" t="str">
        <f t="shared" si="1"/>
        <v>{"valorA":"minha","valorB":1.0}</v>
      </c>
      <c r="E173" s="8" t="str">
        <f t="shared" si="2"/>
        <v>minha</v>
      </c>
      <c r="F173" s="8"/>
      <c r="G173" s="8" t="str">
        <f t="shared" si="3"/>
        <v>1.0</v>
      </c>
      <c r="H173" s="9">
        <f t="shared" si="4"/>
        <v>1</v>
      </c>
      <c r="I173" s="6" t="str">
        <f>IFERROR(__xludf.DUMMYFUNCTION("MAX(FILTER($H$2:$H427,$E$2:$E427=F173))"),"#N/A")</f>
        <v>#N/A</v>
      </c>
    </row>
    <row r="174">
      <c r="A174" s="4"/>
      <c r="C174" s="4" t="s">
        <v>1423</v>
      </c>
      <c r="D174" s="4" t="str">
        <f t="shared" si="1"/>
        <v>{"valorA":"precisava","valorB":1.0}</v>
      </c>
      <c r="E174" s="8" t="str">
        <f t="shared" si="2"/>
        <v>precisava</v>
      </c>
      <c r="F174" s="8"/>
      <c r="G174" s="8" t="str">
        <f t="shared" si="3"/>
        <v>1.0</v>
      </c>
      <c r="H174" s="9">
        <f t="shared" si="4"/>
        <v>1</v>
      </c>
      <c r="I174" s="6" t="str">
        <f>IFERROR(__xludf.DUMMYFUNCTION("MAX(FILTER($H$2:$H427,$E$2:$E427=F174))"),"#N/A")</f>
        <v>#N/A</v>
      </c>
    </row>
    <row r="175">
      <c r="A175" s="4"/>
      <c r="C175" s="4" t="s">
        <v>351</v>
      </c>
      <c r="D175" s="4" t="str">
        <f t="shared" si="1"/>
        <v>{"valorA":"o","valorB":3.0}</v>
      </c>
      <c r="E175" s="8" t="str">
        <f t="shared" si="2"/>
        <v>o</v>
      </c>
      <c r="F175" s="8"/>
      <c r="G175" s="8" t="str">
        <f t="shared" si="3"/>
        <v>3.0</v>
      </c>
      <c r="H175" s="9">
        <f t="shared" si="4"/>
        <v>3</v>
      </c>
      <c r="I175" s="6" t="str">
        <f>IFERROR(__xludf.DUMMYFUNCTION("MAX(FILTER($H$2:$H427,$E$2:$E427=F175))"),"#N/A")</f>
        <v>#N/A</v>
      </c>
    </row>
    <row r="176">
      <c r="A176" s="4"/>
      <c r="C176" s="4" t="s">
        <v>1424</v>
      </c>
      <c r="D176" s="4" t="str">
        <f t="shared" si="1"/>
        <v>{"valorA":"precisamente","valorB":1.0}</v>
      </c>
      <c r="E176" s="8" t="str">
        <f t="shared" si="2"/>
        <v>precisamente</v>
      </c>
      <c r="F176" s="8"/>
      <c r="G176" s="8" t="str">
        <f t="shared" si="3"/>
        <v>1.0</v>
      </c>
      <c r="H176" s="9">
        <f t="shared" si="4"/>
        <v>1</v>
      </c>
      <c r="I176" s="6" t="str">
        <f>IFERROR(__xludf.DUMMYFUNCTION("MAX(FILTER($H$2:$H427,$E$2:$E427=F176))"),"#N/A")</f>
        <v>#N/A</v>
      </c>
    </row>
    <row r="177">
      <c r="A177" s="4"/>
      <c r="C177" s="4" t="s">
        <v>333</v>
      </c>
      <c r="D177" s="4" t="str">
        <f t="shared" si="1"/>
        <v>{"valorA":"que","valorB":2.0}</v>
      </c>
      <c r="E177" s="8" t="str">
        <f t="shared" si="2"/>
        <v>que</v>
      </c>
      <c r="F177" s="8"/>
      <c r="G177" s="8" t="str">
        <f t="shared" si="3"/>
        <v>2.0</v>
      </c>
      <c r="H177" s="9">
        <f t="shared" si="4"/>
        <v>2</v>
      </c>
      <c r="I177" s="6" t="str">
        <f>IFERROR(__xludf.DUMMYFUNCTION("MAX(FILTER($H$2:$H427,$E$2:$E427=F177))"),"#N/A")</f>
        <v>#N/A</v>
      </c>
    </row>
    <row r="178">
      <c r="A178" s="4"/>
      <c r="C178" s="4" t="s">
        <v>674</v>
      </c>
      <c r="D178" s="4" t="str">
        <f t="shared" si="1"/>
        <v>{"valorA":"televisor","valorB":2.0}</v>
      </c>
      <c r="E178" s="8" t="str">
        <f t="shared" si="2"/>
        <v>televisor</v>
      </c>
      <c r="F178" s="8"/>
      <c r="G178" s="8" t="str">
        <f t="shared" si="3"/>
        <v>2.0</v>
      </c>
      <c r="H178" s="9">
        <f t="shared" si="4"/>
        <v>2</v>
      </c>
      <c r="I178" s="6" t="str">
        <f>IFERROR(__xludf.DUMMYFUNCTION("MAX(FILTER($H$2:$H427,$E$2:$E427=F178))"),"#N/A")</f>
        <v>#N/A</v>
      </c>
    </row>
    <row r="179">
      <c r="A179" s="4"/>
      <c r="C179" s="4" t="s">
        <v>677</v>
      </c>
      <c r="D179" s="4" t="str">
        <f t="shared" si="1"/>
        <v>{"valorA":"ótimo","valorB":21.0}</v>
      </c>
      <c r="E179" s="8" t="str">
        <f t="shared" si="2"/>
        <v>ótimo</v>
      </c>
      <c r="F179" s="8"/>
      <c r="G179" s="8" t="str">
        <f t="shared" si="3"/>
        <v>21.0</v>
      </c>
      <c r="H179" s="9">
        <f t="shared" si="4"/>
        <v>21</v>
      </c>
      <c r="I179" s="6" t="str">
        <f>IFERROR(__xludf.DUMMYFUNCTION("MAX(FILTER($H$2:$H427,$E$2:$E427=F179))"),"#N/A")</f>
        <v>#N/A</v>
      </c>
    </row>
    <row r="180">
      <c r="A180" s="4"/>
      <c r="C180" s="4" t="s">
        <v>1149</v>
      </c>
      <c r="D180" s="4" t="str">
        <f t="shared" si="1"/>
        <v>{"valorA":"ele","valorB":1.0}</v>
      </c>
      <c r="E180" s="8" t="str">
        <f t="shared" si="2"/>
        <v>ele</v>
      </c>
      <c r="F180" s="8"/>
      <c r="G180" s="8" t="str">
        <f t="shared" si="3"/>
        <v>1.0</v>
      </c>
      <c r="H180" s="9">
        <f t="shared" si="4"/>
        <v>1</v>
      </c>
      <c r="I180" s="6" t="str">
        <f>IFERROR(__xludf.DUMMYFUNCTION("MAX(FILTER($H$2:$H427,$E$2:$E427=F180))"),"#N/A")</f>
        <v>#N/A</v>
      </c>
    </row>
    <row r="181">
      <c r="A181" s="4"/>
      <c r="C181" s="4" t="s">
        <v>659</v>
      </c>
      <c r="D181" s="4" t="str">
        <f t="shared" si="1"/>
        <v>{"valorA":"valeu","valorB":3.0}</v>
      </c>
      <c r="E181" s="8" t="str">
        <f t="shared" si="2"/>
        <v>valeu</v>
      </c>
      <c r="F181" s="8"/>
      <c r="G181" s="8" t="str">
        <f t="shared" si="3"/>
        <v>3.0</v>
      </c>
      <c r="H181" s="9">
        <f t="shared" si="4"/>
        <v>3</v>
      </c>
      <c r="I181" s="6" t="str">
        <f>IFERROR(__xludf.DUMMYFUNCTION("MAX(FILTER($H$2:$H427,$E$2:$E427=F181))"),"#N/A")</f>
        <v>#N/A</v>
      </c>
    </row>
    <row r="182">
      <c r="A182" s="4"/>
      <c r="C182" s="4" t="s">
        <v>801</v>
      </c>
      <c r="D182" s="4" t="str">
        <f t="shared" si="1"/>
        <v>{"valorA":"por","valorB":2.0}</v>
      </c>
      <c r="E182" s="8" t="str">
        <f t="shared" si="2"/>
        <v>por</v>
      </c>
      <c r="F182" s="8"/>
      <c r="G182" s="8" t="str">
        <f t="shared" si="3"/>
        <v>2.0</v>
      </c>
      <c r="H182" s="9">
        <f t="shared" si="4"/>
        <v>2</v>
      </c>
      <c r="I182" s="6" t="str">
        <f>IFERROR(__xludf.DUMMYFUNCTION("MAX(FILTER($H$2:$H427,$E$2:$E427=F182))"),"#N/A")</f>
        <v>#N/A</v>
      </c>
    </row>
    <row r="183">
      <c r="A183" s="4"/>
      <c r="C183" s="4" t="s">
        <v>593</v>
      </c>
      <c r="D183" s="4" t="str">
        <f t="shared" si="1"/>
        <v>{"valorA":"que","valorB":3.0}</v>
      </c>
      <c r="E183" s="8" t="str">
        <f t="shared" si="2"/>
        <v>que</v>
      </c>
      <c r="F183" s="8"/>
      <c r="G183" s="8" t="str">
        <f t="shared" si="3"/>
        <v>3.0</v>
      </c>
      <c r="H183" s="9">
        <f t="shared" si="4"/>
        <v>3</v>
      </c>
      <c r="I183" s="6" t="str">
        <f>IFERROR(__xludf.DUMMYFUNCTION("MAX(FILTER($H$2:$H427,$E$2:$E427=F183))"),"#N/A")</f>
        <v>#N/A</v>
      </c>
    </row>
    <row r="184">
      <c r="A184" s="4"/>
      <c r="C184" s="4" t="s">
        <v>661</v>
      </c>
      <c r="D184" s="4" t="str">
        <f t="shared" si="1"/>
        <v>{"valorA":"produto","valorB":13.0}</v>
      </c>
      <c r="E184" s="8" t="str">
        <f t="shared" si="2"/>
        <v>produto</v>
      </c>
      <c r="F184" s="8"/>
      <c r="G184" s="8" t="str">
        <f t="shared" si="3"/>
        <v>13.0</v>
      </c>
      <c r="H184" s="9">
        <f t="shared" si="4"/>
        <v>13</v>
      </c>
      <c r="I184" s="6" t="str">
        <f>IFERROR(__xludf.DUMMYFUNCTION("MAX(FILTER($H$2:$H427,$E$2:$E427=F184))"),"#N/A")</f>
        <v>#N/A</v>
      </c>
    </row>
    <row r="185">
      <c r="A185" s="4"/>
      <c r="C185" s="4" t="s">
        <v>315</v>
      </c>
      <c r="D185" s="4" t="str">
        <f t="shared" si="1"/>
        <v>{"valorA":"ótimo","valorB":22.0}</v>
      </c>
      <c r="E185" s="8" t="str">
        <f t="shared" si="2"/>
        <v>ótimo</v>
      </c>
      <c r="F185" s="8"/>
      <c r="G185" s="8" t="str">
        <f t="shared" si="3"/>
        <v>22.0</v>
      </c>
      <c r="H185" s="9">
        <f t="shared" si="4"/>
        <v>22</v>
      </c>
      <c r="I185" s="6" t="str">
        <f>IFERROR(__xludf.DUMMYFUNCTION("MAX(FILTER($H$2:$H427,$E$2:$E427=F185))"),"#N/A")</f>
        <v>#N/A</v>
      </c>
    </row>
    <row r="186">
      <c r="A186" s="4"/>
      <c r="C186" s="4" t="s">
        <v>577</v>
      </c>
      <c r="D186" s="4" t="str">
        <f t="shared" si="1"/>
        <v>{"valorA":"paguei","valorB":1.0}</v>
      </c>
      <c r="E186" s="8" t="str">
        <f t="shared" si="2"/>
        <v>paguei</v>
      </c>
      <c r="F186" s="8"/>
      <c r="G186" s="8" t="str">
        <f t="shared" si="3"/>
        <v>1.0</v>
      </c>
      <c r="H186" s="9">
        <f t="shared" si="4"/>
        <v>1</v>
      </c>
      <c r="I186" s="6" t="str">
        <f>IFERROR(__xludf.DUMMYFUNCTION("MAX(FILTER($H$2:$H427,$E$2:$E427=F186))"),"#N/A")</f>
        <v>#N/A</v>
      </c>
    </row>
    <row r="187">
      <c r="A187" s="4"/>
      <c r="C187" s="4" t="s">
        <v>588</v>
      </c>
      <c r="D187" s="4" t="str">
        <f t="shared" si="1"/>
        <v>{"valorA":"mas","valorB":3.0}</v>
      </c>
      <c r="E187" s="8" t="str">
        <f t="shared" si="2"/>
        <v>mas</v>
      </c>
      <c r="F187" s="8"/>
      <c r="G187" s="8" t="str">
        <f t="shared" si="3"/>
        <v>3.0</v>
      </c>
      <c r="H187" s="9">
        <f t="shared" si="4"/>
        <v>3</v>
      </c>
      <c r="I187" s="6" t="str">
        <f>IFERROR(__xludf.DUMMYFUNCTION("MAX(FILTER($H$2:$H427,$E$2:$E427=F187))"),"#N/A")</f>
        <v>#N/A</v>
      </c>
    </row>
    <row r="188">
      <c r="A188" s="4"/>
      <c r="C188" s="4" t="s">
        <v>342</v>
      </c>
      <c r="D188" s="4" t="str">
        <f t="shared" si="1"/>
        <v>{"valorA":"a","valorB":4.0}</v>
      </c>
      <c r="E188" s="8" t="str">
        <f t="shared" si="2"/>
        <v>a</v>
      </c>
      <c r="F188" s="8"/>
      <c r="G188" s="8" t="str">
        <f t="shared" si="3"/>
        <v>4.0</v>
      </c>
      <c r="H188" s="9">
        <f t="shared" si="4"/>
        <v>4</v>
      </c>
      <c r="I188" s="6" t="str">
        <f>IFERROR(__xludf.DUMMYFUNCTION("MAX(FILTER($H$2:$H427,$E$2:$E427=F188))"),"#N/A")</f>
        <v>#N/A</v>
      </c>
    </row>
    <row r="189">
      <c r="A189" s="4"/>
      <c r="C189" s="4" t="s">
        <v>589</v>
      </c>
      <c r="D189" s="4" t="str">
        <f t="shared" si="1"/>
        <v>{"valorA":"não","valorB":2.0}</v>
      </c>
      <c r="E189" s="8" t="str">
        <f t="shared" si="2"/>
        <v>não</v>
      </c>
      <c r="F189" s="8"/>
      <c r="G189" s="8" t="str">
        <f t="shared" si="3"/>
        <v>2.0</v>
      </c>
      <c r="H189" s="9">
        <f t="shared" si="4"/>
        <v>2</v>
      </c>
      <c r="I189" s="6" t="str">
        <f>IFERROR(__xludf.DUMMYFUNCTION("MAX(FILTER($H$2:$H427,$E$2:$E427=F189))"),"#N/A")</f>
        <v>#N/A</v>
      </c>
    </row>
    <row r="190">
      <c r="A190" s="4"/>
      <c r="C190" s="4" t="s">
        <v>704</v>
      </c>
      <c r="D190" s="4" t="str">
        <f t="shared" si="1"/>
        <v>{"valorA":"quantia","valorB":1.0}</v>
      </c>
      <c r="E190" s="8" t="str">
        <f t="shared" si="2"/>
        <v>quantia</v>
      </c>
      <c r="F190" s="8"/>
      <c r="G190" s="8" t="str">
        <f t="shared" si="3"/>
        <v>1.0</v>
      </c>
      <c r="H190" s="9">
        <f t="shared" si="4"/>
        <v>1</v>
      </c>
      <c r="I190" s="6" t="str">
        <f>IFERROR(__xludf.DUMMYFUNCTION("MAX(FILTER($H$2:$H427,$E$2:$E427=F190))"),"#N/A")</f>
        <v>#N/A</v>
      </c>
    </row>
    <row r="191">
      <c r="A191" s="4"/>
      <c r="C191" s="4" t="s">
        <v>1425</v>
      </c>
      <c r="D191" s="4" t="str">
        <f t="shared" si="1"/>
        <v>{"valorA":"ele","valorB":2.0}</v>
      </c>
      <c r="E191" s="8" t="str">
        <f t="shared" si="2"/>
        <v>ele</v>
      </c>
      <c r="F191" s="8"/>
      <c r="G191" s="8" t="str">
        <f t="shared" si="3"/>
        <v>2.0</v>
      </c>
      <c r="H191" s="9">
        <f t="shared" si="4"/>
        <v>2</v>
      </c>
      <c r="I191" s="6" t="str">
        <f>IFERROR(__xludf.DUMMYFUNCTION("MAX(FILTER($H$2:$H427,$E$2:$E427=F191))"),"#N/A")</f>
        <v>#N/A</v>
      </c>
    </row>
    <row r="192">
      <c r="A192" s="4"/>
      <c r="C192" s="4" t="s">
        <v>455</v>
      </c>
      <c r="D192" s="4" t="str">
        <f t="shared" si="1"/>
        <v>{"valorA":"em","valorB":1.0}</v>
      </c>
      <c r="E192" s="8" t="str">
        <f t="shared" si="2"/>
        <v>em</v>
      </c>
      <c r="F192" s="8"/>
      <c r="G192" s="8" t="str">
        <f t="shared" si="3"/>
        <v>1.0</v>
      </c>
      <c r="H192" s="9">
        <f t="shared" si="4"/>
        <v>1</v>
      </c>
      <c r="I192" s="6" t="str">
        <f>IFERROR(__xludf.DUMMYFUNCTION("MAX(FILTER($H$2:$H427,$E$2:$E427=F192))"),"#N/A")</f>
        <v>#N/A</v>
      </c>
    </row>
    <row r="193">
      <c r="A193" s="4"/>
      <c r="C193" s="4" t="s">
        <v>328</v>
      </c>
      <c r="D193" s="4" t="str">
        <f t="shared" si="1"/>
        <v>{"valorA":"com","valorB":2.0}</v>
      </c>
      <c r="E193" s="8" t="str">
        <f t="shared" si="2"/>
        <v>com</v>
      </c>
      <c r="F193" s="8"/>
      <c r="G193" s="8" t="str">
        <f t="shared" si="3"/>
        <v>2.0</v>
      </c>
      <c r="H193" s="9">
        <f t="shared" si="4"/>
        <v>2</v>
      </c>
      <c r="I193" s="6" t="str">
        <f>IFERROR(__xludf.DUMMYFUNCTION("MAX(FILTER($H$2:$H427,$E$2:$E427=F193))"),"#N/A")</f>
        <v>#N/A</v>
      </c>
    </row>
    <row r="194">
      <c r="A194" s="4"/>
      <c r="C194" s="4" t="s">
        <v>1101</v>
      </c>
      <c r="D194" s="4" t="str">
        <f t="shared" si="1"/>
        <v>{"valorA":"tive","valorB":1.0}</v>
      </c>
      <c r="E194" s="8" t="str">
        <f t="shared" si="2"/>
        <v>tive</v>
      </c>
      <c r="F194" s="8"/>
      <c r="G194" s="8" t="str">
        <f t="shared" si="3"/>
        <v>1.0</v>
      </c>
      <c r="H194" s="9">
        <f t="shared" si="4"/>
        <v>1</v>
      </c>
      <c r="I194" s="6" t="str">
        <f>IFERROR(__xludf.DUMMYFUNCTION("MAX(FILTER($H$2:$H427,$E$2:$E427=F194))"),"#N/A")</f>
        <v>#N/A</v>
      </c>
    </row>
    <row r="195">
      <c r="A195" s="4"/>
      <c r="C195" s="4" t="s">
        <v>1426</v>
      </c>
      <c r="D195" s="4" t="str">
        <f t="shared" si="1"/>
        <v>{"valorA":"laptop","valorB":1.0}</v>
      </c>
      <c r="E195" s="8" t="str">
        <f t="shared" si="2"/>
        <v>laptop</v>
      </c>
      <c r="F195" s="8"/>
      <c r="G195" s="8" t="str">
        <f t="shared" si="3"/>
        <v>1.0</v>
      </c>
      <c r="H195" s="9">
        <f t="shared" si="4"/>
        <v>1</v>
      </c>
      <c r="I195" s="6" t="str">
        <f>IFERROR(__xludf.DUMMYFUNCTION("MAX(FILTER($H$2:$H427,$E$2:$E427=F195))"),"#N/A")</f>
        <v>#N/A</v>
      </c>
    </row>
    <row r="196">
      <c r="A196" s="4"/>
      <c r="C196" s="4" t="s">
        <v>208</v>
      </c>
      <c r="D196" s="4" t="str">
        <f t="shared" si="1"/>
        <v>{"valorA":"carro","valorB":1.0}</v>
      </c>
      <c r="E196" s="8" t="str">
        <f t="shared" si="2"/>
        <v>carro</v>
      </c>
      <c r="F196" s="8"/>
      <c r="G196" s="8" t="str">
        <f t="shared" si="3"/>
        <v>1.0</v>
      </c>
      <c r="H196" s="9">
        <f t="shared" si="4"/>
        <v>1</v>
      </c>
      <c r="I196" s="6" t="str">
        <f>IFERROR(__xludf.DUMMYFUNCTION("MAX(FILTER($H$2:$H427,$E$2:$E427=F196))"),"#N/A")</f>
        <v>#N/A</v>
      </c>
    </row>
    <row r="197">
      <c r="A197" s="4"/>
      <c r="C197" s="4" t="s">
        <v>1427</v>
      </c>
      <c r="D197" s="4" t="str">
        <f t="shared" si="1"/>
        <v>{"valorA":"gozo","valorB":1.0}</v>
      </c>
      <c r="E197" s="8" t="str">
        <f t="shared" si="2"/>
        <v>gozo</v>
      </c>
      <c r="F197" s="8"/>
      <c r="G197" s="8" t="str">
        <f t="shared" si="3"/>
        <v>1.0</v>
      </c>
      <c r="H197" s="9">
        <f t="shared" si="4"/>
        <v>1</v>
      </c>
      <c r="I197" s="6" t="str">
        <f>IFERROR(__xludf.DUMMYFUNCTION("MAX(FILTER($H$2:$H427,$E$2:$E427=F197))"),"#N/A")</f>
        <v>#N/A</v>
      </c>
    </row>
    <row r="198">
      <c r="A198" s="4"/>
      <c r="C198" s="4" t="s">
        <v>696</v>
      </c>
      <c r="D198" s="4" t="str">
        <f t="shared" si="1"/>
        <v>{"valorA":"ótimo","valorB":24.0}</v>
      </c>
      <c r="E198" s="8" t="str">
        <f t="shared" si="2"/>
        <v>ótimo</v>
      </c>
      <c r="F198" s="8"/>
      <c r="G198" s="8" t="str">
        <f t="shared" si="3"/>
        <v>24.0</v>
      </c>
      <c r="H198" s="9">
        <f t="shared" si="4"/>
        <v>24</v>
      </c>
      <c r="I198" s="6" t="str">
        <f>IFERROR(__xludf.DUMMYFUNCTION("MAX(FILTER($H$2:$H427,$E$2:$E427=F198))"),"#N/A")</f>
        <v>#N/A</v>
      </c>
    </row>
    <row r="199">
      <c r="A199" s="4"/>
      <c r="C199" s="4" t="s">
        <v>803</v>
      </c>
      <c r="D199" s="4" t="str">
        <f t="shared" si="1"/>
        <v>{"valorA":"perfeitamente","valorB":3.0}</v>
      </c>
      <c r="E199" s="8" t="str">
        <f t="shared" si="2"/>
        <v>perfeitamente</v>
      </c>
      <c r="F199" s="8"/>
      <c r="G199" s="8" t="str">
        <f t="shared" si="3"/>
        <v>3.0</v>
      </c>
      <c r="H199" s="9">
        <f t="shared" si="4"/>
        <v>3</v>
      </c>
      <c r="I199" s="6" t="str">
        <f>IFERROR(__xludf.DUMMYFUNCTION("MAX(FILTER($H$2:$H427,$E$2:$E427=F199))"),"#N/A")</f>
        <v>#N/A</v>
      </c>
    </row>
    <row r="200">
      <c r="A200" s="4"/>
      <c r="C200" s="4" t="s">
        <v>300</v>
      </c>
      <c r="D200" s="4" t="str">
        <f t="shared" si="1"/>
        <v>{"valorA":"muito","valorB":8.0}</v>
      </c>
      <c r="E200" s="8" t="str">
        <f t="shared" si="2"/>
        <v>muito</v>
      </c>
      <c r="F200" s="8"/>
      <c r="G200" s="8" t="str">
        <f t="shared" si="3"/>
        <v>8.0</v>
      </c>
      <c r="H200" s="9">
        <f t="shared" si="4"/>
        <v>8</v>
      </c>
      <c r="I200" s="6" t="str">
        <f>IFERROR(__xludf.DUMMYFUNCTION("MAX(FILTER($H$2:$H427,$E$2:$E427=F200))"),"#N/A")</f>
        <v>#N/A</v>
      </c>
    </row>
    <row r="201">
      <c r="A201" s="4"/>
      <c r="C201" s="4" t="s">
        <v>1428</v>
      </c>
      <c r="D201" s="4" t="str">
        <f t="shared" si="1"/>
        <v>{"valorA":"dirigir","valorB":1.0}</v>
      </c>
      <c r="E201" s="8" t="str">
        <f t="shared" si="2"/>
        <v>dirigir</v>
      </c>
      <c r="F201" s="8"/>
      <c r="G201" s="8" t="str">
        <f t="shared" si="3"/>
        <v>1.0</v>
      </c>
      <c r="H201" s="9">
        <f t="shared" si="4"/>
        <v>1</v>
      </c>
      <c r="I201" s="6" t="str">
        <f>IFERROR(__xludf.DUMMYFUNCTION("MAX(FILTER($H$2:$H427,$E$2:$E427=F201))"),"#N/A")</f>
        <v>#N/A</v>
      </c>
    </row>
    <row r="202">
      <c r="A202" s="4"/>
      <c r="C202" s="4" t="s">
        <v>597</v>
      </c>
      <c r="D202" s="4" t="str">
        <f t="shared" si="1"/>
        <v>{"valorA":"não","valorB":3.0}</v>
      </c>
      <c r="E202" s="8" t="str">
        <f t="shared" si="2"/>
        <v>não</v>
      </c>
      <c r="F202" s="8"/>
      <c r="G202" s="8" t="str">
        <f t="shared" si="3"/>
        <v>3.0</v>
      </c>
      <c r="H202" s="9">
        <f t="shared" si="4"/>
        <v>3</v>
      </c>
      <c r="I202" s="6" t="str">
        <f>IFERROR(__xludf.DUMMYFUNCTION("MAX(FILTER($H$2:$H427,$E$2:$E427=F202))"),"#N/A")</f>
        <v>#N/A</v>
      </c>
    </row>
    <row r="203">
      <c r="A203" s="4"/>
      <c r="C203" s="4" t="s">
        <v>303</v>
      </c>
      <c r="D203" s="4" t="str">
        <f t="shared" si="1"/>
        <v>{"valorA":"funciona","valorB":5.0}</v>
      </c>
      <c r="E203" s="8" t="str">
        <f t="shared" si="2"/>
        <v>funciona</v>
      </c>
      <c r="F203" s="8"/>
      <c r="G203" s="8" t="str">
        <f t="shared" si="3"/>
        <v>5.0</v>
      </c>
      <c r="H203" s="9">
        <f t="shared" si="4"/>
        <v>5</v>
      </c>
      <c r="I203" s="6" t="str">
        <f>IFERROR(__xludf.DUMMYFUNCTION("MAX(FILTER($H$2:$H427,$E$2:$E427=F203))"),"#N/A")</f>
        <v>#N/A</v>
      </c>
    </row>
    <row r="204">
      <c r="A204" s="4"/>
      <c r="C204" s="4" t="s">
        <v>1020</v>
      </c>
      <c r="D204" s="4" t="str">
        <f t="shared" si="1"/>
        <v>{"valorA":"problemas","valorB":1.0}</v>
      </c>
      <c r="E204" s="8" t="str">
        <f t="shared" si="2"/>
        <v>problemas</v>
      </c>
      <c r="F204" s="8"/>
      <c r="G204" s="8" t="str">
        <f t="shared" si="3"/>
        <v>1.0</v>
      </c>
      <c r="H204" s="9">
        <f t="shared" si="4"/>
        <v>1</v>
      </c>
      <c r="I204" s="6" t="str">
        <f>IFERROR(__xludf.DUMMYFUNCTION("MAX(FILTER($H$2:$H427,$E$2:$E427=F204))"),"#N/A")</f>
        <v>#N/A</v>
      </c>
    </row>
    <row r="205">
      <c r="A205" s="4"/>
      <c r="C205" s="4" t="s">
        <v>367</v>
      </c>
      <c r="D205" s="4" t="str">
        <f t="shared" si="1"/>
        <v>{"valorA":"meu","valorB":2.0}</v>
      </c>
      <c r="E205" s="8" t="str">
        <f t="shared" si="2"/>
        <v>meu</v>
      </c>
      <c r="F205" s="8"/>
      <c r="G205" s="8" t="str">
        <f t="shared" si="3"/>
        <v>2.0</v>
      </c>
      <c r="H205" s="9">
        <f t="shared" si="4"/>
        <v>2</v>
      </c>
      <c r="I205" s="6" t="str">
        <f>IFERROR(__xludf.DUMMYFUNCTION("MAX(FILTER($H$2:$H427,$E$2:$E427=F205))"),"#N/A")</f>
        <v>#N/A</v>
      </c>
    </row>
    <row r="206">
      <c r="A206" s="4"/>
      <c r="C206" s="4" t="s">
        <v>293</v>
      </c>
      <c r="D206" s="4" t="str">
        <f t="shared" si="1"/>
        <v>{"valorA":"bem","valorB":4.0}</v>
      </c>
      <c r="E206" s="8" t="str">
        <f t="shared" si="2"/>
        <v>bem</v>
      </c>
      <c r="F206" s="8"/>
      <c r="G206" s="8" t="str">
        <f t="shared" si="3"/>
        <v>4.0</v>
      </c>
      <c r="H206" s="9">
        <f t="shared" si="4"/>
        <v>4</v>
      </c>
      <c r="I206" s="6" t="str">
        <f>IFERROR(__xludf.DUMMYFUNCTION("MAX(FILTER($H$2:$H427,$E$2:$E427=F206))"),"#N/A")</f>
        <v>#N/A</v>
      </c>
    </row>
    <row r="207">
      <c r="A207" s="4"/>
      <c r="C207" s="4" t="s">
        <v>623</v>
      </c>
      <c r="D207" s="4" t="str">
        <f t="shared" si="1"/>
        <v>{"valorA":"scanner","valorB":1.0}</v>
      </c>
      <c r="E207" s="8" t="str">
        <f t="shared" si="2"/>
        <v>scanner</v>
      </c>
      <c r="F207" s="8"/>
      <c r="G207" s="8" t="str">
        <f t="shared" si="3"/>
        <v>1.0</v>
      </c>
      <c r="H207" s="9">
        <f t="shared" si="4"/>
        <v>1</v>
      </c>
      <c r="I207" s="6" t="str">
        <f>IFERROR(__xludf.DUMMYFUNCTION("MAX(FILTER($H$2:$H427,$E$2:$E427=F207))"),"#N/A")</f>
        <v>#N/A</v>
      </c>
    </row>
    <row r="208">
      <c r="A208" s="4"/>
      <c r="C208" s="4" t="s">
        <v>459</v>
      </c>
      <c r="D208" s="4" t="str">
        <f t="shared" si="1"/>
        <v>{"valorA":"gosto","valorB":3.0}</v>
      </c>
      <c r="E208" s="8" t="str">
        <f t="shared" si="2"/>
        <v>gosto</v>
      </c>
      <c r="F208" s="8"/>
      <c r="G208" s="8" t="str">
        <f t="shared" si="3"/>
        <v>3.0</v>
      </c>
      <c r="H208" s="9">
        <f t="shared" si="4"/>
        <v>3</v>
      </c>
      <c r="I208" s="6" t="str">
        <f>IFERROR(__xludf.DUMMYFUNCTION("MAX(FILTER($H$2:$H427,$E$2:$E427=F208))"),"#N/A")</f>
        <v>#N/A</v>
      </c>
    </row>
    <row r="209">
      <c r="A209" s="4"/>
      <c r="C209" s="4" t="s">
        <v>336</v>
      </c>
      <c r="D209" s="4" t="str">
        <f t="shared" si="1"/>
        <v>{"valorA":"ótimo","valorB":25.0}</v>
      </c>
      <c r="E209" s="8" t="str">
        <f t="shared" si="2"/>
        <v>ótimo</v>
      </c>
      <c r="F209" s="8"/>
      <c r="G209" s="8" t="str">
        <f t="shared" si="3"/>
        <v>25.0</v>
      </c>
      <c r="H209" s="9">
        <f t="shared" si="4"/>
        <v>25</v>
      </c>
      <c r="I209" s="6" t="str">
        <f>IFERROR(__xludf.DUMMYFUNCTION("MAX(FILTER($H$2:$H427,$E$2:$E427=F209))"),"#N/A")</f>
        <v>#N/A</v>
      </c>
    </row>
    <row r="210">
      <c r="A210" s="4"/>
      <c r="C210" s="4" t="s">
        <v>339</v>
      </c>
      <c r="D210" s="4" t="str">
        <f t="shared" si="1"/>
        <v>{"valorA":"muito","valorB":10.0}</v>
      </c>
      <c r="E210" s="8" t="str">
        <f t="shared" si="2"/>
        <v>muito</v>
      </c>
      <c r="F210" s="8"/>
      <c r="G210" s="8" t="str">
        <f t="shared" si="3"/>
        <v>10.0</v>
      </c>
      <c r="H210" s="9">
        <f t="shared" si="4"/>
        <v>10</v>
      </c>
      <c r="I210" s="6" t="str">
        <f>IFERROR(__xludf.DUMMYFUNCTION("MAX(FILTER($H$2:$H427,$E$2:$E427=F210))"),"#N/A")</f>
        <v>#N/A</v>
      </c>
    </row>
    <row r="211">
      <c r="A211" s="4"/>
      <c r="C211" s="4" t="s">
        <v>324</v>
      </c>
      <c r="D211" s="4" t="str">
        <f t="shared" si="1"/>
        <v>{"valorA":"funciona","valorB":6.0}</v>
      </c>
      <c r="E211" s="8" t="str">
        <f t="shared" si="2"/>
        <v>funciona</v>
      </c>
      <c r="F211" s="8"/>
      <c r="G211" s="8" t="str">
        <f t="shared" si="3"/>
        <v>6.0</v>
      </c>
      <c r="H211" s="9">
        <f t="shared" si="4"/>
        <v>6</v>
      </c>
      <c r="I211" s="6" t="str">
        <f>IFERROR(__xludf.DUMMYFUNCTION("MAX(FILTER($H$2:$H427,$E$2:$E427=F211))"),"#N/A")</f>
        <v>#N/A</v>
      </c>
    </row>
    <row r="212">
      <c r="A212" s="4"/>
      <c r="C212" s="4" t="s">
        <v>419</v>
      </c>
      <c r="D212" s="4" t="str">
        <f t="shared" si="1"/>
        <v>{"valorA":"para","valorB":6.0}</v>
      </c>
      <c r="E212" s="8" t="str">
        <f t="shared" si="2"/>
        <v>para</v>
      </c>
      <c r="F212" s="8"/>
      <c r="G212" s="8" t="str">
        <f t="shared" si="3"/>
        <v>6.0</v>
      </c>
      <c r="H212" s="9">
        <f t="shared" si="4"/>
        <v>6</v>
      </c>
      <c r="I212" s="6" t="str">
        <f>IFERROR(__xludf.DUMMYFUNCTION("MAX(FILTER($H$2:$H427,$E$2:$E427=F212))"),"#N/A")</f>
        <v>#N/A</v>
      </c>
    </row>
    <row r="213">
      <c r="A213" s="4"/>
      <c r="C213" s="4" t="s">
        <v>1081</v>
      </c>
      <c r="D213" s="4" t="str">
        <f t="shared" si="1"/>
        <v>{"valorA":"computador","valorB":1.0}</v>
      </c>
      <c r="E213" s="8" t="str">
        <f t="shared" si="2"/>
        <v>computador</v>
      </c>
      <c r="F213" s="8"/>
      <c r="G213" s="8" t="str">
        <f t="shared" si="3"/>
        <v>1.0</v>
      </c>
      <c r="H213" s="9">
        <f t="shared" si="4"/>
        <v>1</v>
      </c>
      <c r="I213" s="6" t="str">
        <f>IFERROR(__xludf.DUMMYFUNCTION("MAX(FILTER($H$2:$H427,$E$2:$E427=F213))"),"#N/A")</f>
        <v>#N/A</v>
      </c>
    </row>
    <row r="214">
      <c r="A214" s="4"/>
      <c r="C214" s="4" t="s">
        <v>1429</v>
      </c>
      <c r="D214" s="4" t="str">
        <f t="shared" si="1"/>
        <v>{"valorA":"portátil","valorB":2.0}</v>
      </c>
      <c r="E214" s="8" t="str">
        <f t="shared" si="2"/>
        <v>portátil</v>
      </c>
      <c r="F214" s="8"/>
      <c r="G214" s="8" t="str">
        <f t="shared" si="3"/>
        <v>2.0</v>
      </c>
      <c r="H214" s="9">
        <f t="shared" si="4"/>
        <v>2</v>
      </c>
      <c r="I214" s="6" t="str">
        <f>IFERROR(__xludf.DUMMYFUNCTION("MAX(FILTER($H$2:$H427,$E$2:$E427=F214))"),"#N/A")</f>
        <v>#N/A</v>
      </c>
    </row>
    <row r="215">
      <c r="A215" s="4"/>
      <c r="C215" s="4" t="s">
        <v>786</v>
      </c>
      <c r="D215" s="4" t="str">
        <f t="shared" si="1"/>
        <v>{"valorA":"usar","valorB":6.0}</v>
      </c>
      <c r="E215" s="8" t="str">
        <f t="shared" si="2"/>
        <v>usar</v>
      </c>
      <c r="F215" s="8"/>
      <c r="G215" s="8" t="str">
        <f t="shared" si="3"/>
        <v>6.0</v>
      </c>
      <c r="H215" s="9">
        <f t="shared" si="4"/>
        <v>6</v>
      </c>
      <c r="I215" s="6" t="str">
        <f>IFERROR(__xludf.DUMMYFUNCTION("MAX(FILTER($H$2:$H427,$E$2:$E427=F215))"),"#N/A")</f>
        <v>#N/A</v>
      </c>
    </row>
    <row r="216">
      <c r="A216" s="4"/>
      <c r="C216" s="4" t="s">
        <v>694</v>
      </c>
      <c r="D216" s="4" t="str">
        <f t="shared" si="1"/>
        <v>{"valorA":"quem","valorB":4.0}</v>
      </c>
      <c r="E216" s="8" t="str">
        <f t="shared" si="2"/>
        <v>quem</v>
      </c>
      <c r="F216" s="8"/>
      <c r="G216" s="8" t="str">
        <f t="shared" si="3"/>
        <v>4.0</v>
      </c>
      <c r="H216" s="9">
        <f t="shared" si="4"/>
        <v>4</v>
      </c>
      <c r="I216" s="6" t="str">
        <f>IFERROR(__xludf.DUMMYFUNCTION("MAX(FILTER($H$2:$H427,$E$2:$E427=F216))"),"#N/A")</f>
        <v>#N/A</v>
      </c>
    </row>
    <row r="217">
      <c r="A217" s="4"/>
      <c r="C217" s="4" t="s">
        <v>441</v>
      </c>
      <c r="D217" s="4" t="str">
        <f t="shared" si="1"/>
        <v>{"valorA":"de","valorB":11.0}</v>
      </c>
      <c r="E217" s="8" t="str">
        <f t="shared" si="2"/>
        <v>de</v>
      </c>
      <c r="F217" s="8"/>
      <c r="G217" s="8" t="str">
        <f t="shared" si="3"/>
        <v>11.0</v>
      </c>
      <c r="H217" s="9">
        <f t="shared" si="4"/>
        <v>11</v>
      </c>
      <c r="I217" s="6" t="str">
        <f>IFERROR(__xludf.DUMMYFUNCTION("MAX(FILTER($H$2:$H427,$E$2:$E427=F217))"),"#N/A")</f>
        <v>#N/A</v>
      </c>
    </row>
    <row r="218">
      <c r="A218" s="4"/>
      <c r="C218" s="4" t="s">
        <v>440</v>
      </c>
      <c r="D218" s="4" t="str">
        <f t="shared" si="1"/>
        <v>{"valorA":"e","valorB":10.0}</v>
      </c>
      <c r="E218" s="8" t="str">
        <f t="shared" si="2"/>
        <v>e</v>
      </c>
      <c r="F218" s="8"/>
      <c r="G218" s="8" t="str">
        <f t="shared" si="3"/>
        <v>10.0</v>
      </c>
      <c r="H218" s="9">
        <f t="shared" si="4"/>
        <v>10</v>
      </c>
      <c r="I218" s="6" t="str">
        <f>IFERROR(__xludf.DUMMYFUNCTION("MAX(FILTER($H$2:$H427,$E$2:$E427=F218))"),"#N/A")</f>
        <v>#N/A</v>
      </c>
    </row>
    <row r="219">
      <c r="A219" s="4"/>
      <c r="C219" s="4" t="s">
        <v>313</v>
      </c>
      <c r="D219" s="4" t="str">
        <f t="shared" si="1"/>
        <v>{"valorA":"produto","valorB":14.0}</v>
      </c>
      <c r="E219" s="8" t="str">
        <f t="shared" si="2"/>
        <v>produto</v>
      </c>
      <c r="F219" s="8"/>
      <c r="G219" s="8" t="str">
        <f t="shared" si="3"/>
        <v>14.0</v>
      </c>
      <c r="H219" s="9">
        <f t="shared" si="4"/>
        <v>14</v>
      </c>
      <c r="I219" s="6" t="str">
        <f>IFERROR(__xludf.DUMMYFUNCTION("MAX(FILTER($H$2:$H427,$E$2:$E427=F219))"),"#N/A")</f>
        <v>#N/A</v>
      </c>
    </row>
    <row r="220">
      <c r="A220" s="4"/>
      <c r="C220" s="4" t="s">
        <v>712</v>
      </c>
      <c r="D220" s="4" t="str">
        <f t="shared" si="1"/>
        <v>{"valorA":"ótimo","valorB":26.0}</v>
      </c>
      <c r="E220" s="8" t="str">
        <f t="shared" si="2"/>
        <v>ótimo</v>
      </c>
      <c r="F220" s="8"/>
      <c r="G220" s="8" t="str">
        <f t="shared" si="3"/>
        <v>26.0</v>
      </c>
      <c r="H220" s="9">
        <f t="shared" si="4"/>
        <v>26</v>
      </c>
      <c r="I220" s="6" t="str">
        <f>IFERROR(__xludf.DUMMYFUNCTION("MAX(FILTER($H$2:$H427,$E$2:$E427=F220))"),"#N/A")</f>
        <v>#N/A</v>
      </c>
    </row>
    <row r="221">
      <c r="A221" s="4"/>
      <c r="C221" s="4" t="s">
        <v>1086</v>
      </c>
      <c r="D221" s="4" t="str">
        <f t="shared" si="1"/>
        <v>{"valorA":"leve","valorB":1.0}</v>
      </c>
      <c r="E221" s="8" t="str">
        <f t="shared" si="2"/>
        <v>leve</v>
      </c>
      <c r="F221" s="8"/>
      <c r="G221" s="8" t="str">
        <f t="shared" si="3"/>
        <v>1.0</v>
      </c>
      <c r="H221" s="9">
        <f t="shared" si="4"/>
        <v>1</v>
      </c>
      <c r="I221" s="6" t="str">
        <f>IFERROR(__xludf.DUMMYFUNCTION("MAX(FILTER($H$2:$H427,$E$2:$E427=F221))"),"#N/A")</f>
        <v>#N/A</v>
      </c>
    </row>
    <row r="222">
      <c r="A222" s="4"/>
      <c r="C222" s="4" t="s">
        <v>755</v>
      </c>
      <c r="D222" s="4" t="str">
        <f t="shared" si="1"/>
        <v>{"valorA":"fácil","valorB":6.0}</v>
      </c>
      <c r="E222" s="8" t="str">
        <f t="shared" si="2"/>
        <v>fácil</v>
      </c>
      <c r="F222" s="8"/>
      <c r="G222" s="8" t="str">
        <f t="shared" si="3"/>
        <v>6.0</v>
      </c>
      <c r="H222" s="9">
        <f t="shared" si="4"/>
        <v>6</v>
      </c>
      <c r="I222" s="6" t="str">
        <f>IFERROR(__xludf.DUMMYFUNCTION("MAX(FILTER($H$2:$H427,$E$2:$E427=F222))"),"#N/A")</f>
        <v>#N/A</v>
      </c>
    </row>
    <row r="223">
      <c r="A223" s="4"/>
      <c r="C223" s="4" t="s">
        <v>685</v>
      </c>
      <c r="D223" s="4" t="str">
        <f t="shared" si="1"/>
        <v>{"valorA":"busca","valorB":2.0}</v>
      </c>
      <c r="E223" s="8" t="str">
        <f t="shared" si="2"/>
        <v>busca</v>
      </c>
      <c r="F223" s="8"/>
      <c r="G223" s="8" t="str">
        <f t="shared" si="3"/>
        <v>2.0</v>
      </c>
      <c r="H223" s="9">
        <f t="shared" si="4"/>
        <v>2</v>
      </c>
      <c r="I223" s="6" t="str">
        <f>IFERROR(__xludf.DUMMYFUNCTION("MAX(FILTER($H$2:$H427,$E$2:$E427=F223))"),"#N/A")</f>
        <v>#N/A</v>
      </c>
    </row>
    <row r="224">
      <c r="A224" s="4"/>
      <c r="C224" s="4" t="s">
        <v>653</v>
      </c>
      <c r="D224" s="4" t="str">
        <f t="shared" si="1"/>
        <v>{"valorA":"um","valorB":2.0}</v>
      </c>
      <c r="E224" s="8" t="str">
        <f t="shared" si="2"/>
        <v>um</v>
      </c>
      <c r="F224" s="8"/>
      <c r="G224" s="8" t="str">
        <f t="shared" si="3"/>
        <v>2.0</v>
      </c>
      <c r="H224" s="9">
        <f t="shared" si="4"/>
        <v>2</v>
      </c>
      <c r="I224" s="6" t="str">
        <f>IFERROR(__xludf.DUMMYFUNCTION("MAX(FILTER($H$2:$H427,$E$2:$E427=F224))"),"#N/A")</f>
        <v>#N/A</v>
      </c>
    </row>
    <row r="225">
      <c r="A225" s="4"/>
      <c r="C225" s="4" t="s">
        <v>697</v>
      </c>
      <c r="D225" s="4" t="str">
        <f t="shared" si="1"/>
        <v>{"valorA":"valeu","valorB":4.0}</v>
      </c>
      <c r="E225" s="8" t="str">
        <f t="shared" si="2"/>
        <v>valeu</v>
      </c>
      <c r="F225" s="8"/>
      <c r="G225" s="8" t="str">
        <f t="shared" si="3"/>
        <v>4.0</v>
      </c>
      <c r="H225" s="9">
        <f t="shared" si="4"/>
        <v>4</v>
      </c>
      <c r="I225" s="6" t="str">
        <f>IFERROR(__xludf.DUMMYFUNCTION("MAX(FILTER($H$2:$H427,$E$2:$E427=F225))"),"#N/A")</f>
        <v>#N/A</v>
      </c>
    </row>
    <row r="226">
      <c r="A226" s="4"/>
      <c r="C226" s="4" t="s">
        <v>660</v>
      </c>
      <c r="D226" s="4" t="str">
        <f t="shared" si="1"/>
        <v>{"valorA":"espera","valorB":3.0}</v>
      </c>
      <c r="E226" s="8" t="str">
        <f t="shared" si="2"/>
        <v>espera</v>
      </c>
      <c r="F226" s="8"/>
      <c r="G226" s="8" t="str">
        <f t="shared" si="3"/>
        <v>3.0</v>
      </c>
      <c r="H226" s="9">
        <f t="shared" si="4"/>
        <v>3</v>
      </c>
      <c r="I226" s="6" t="str">
        <f>IFERROR(__xludf.DUMMYFUNCTION("MAX(FILTER($H$2:$H427,$E$2:$E427=F226))"),"#N/A")</f>
        <v>#N/A</v>
      </c>
    </row>
    <row r="227">
      <c r="A227" s="4"/>
      <c r="C227" s="4" t="s">
        <v>684</v>
      </c>
      <c r="D227" s="4" t="str">
        <f t="shared" si="1"/>
        <v>{"valorA":"produto","valorB":15.0}</v>
      </c>
      <c r="E227" s="8" t="str">
        <f t="shared" si="2"/>
        <v>produto</v>
      </c>
      <c r="F227" s="8"/>
      <c r="G227" s="8" t="str">
        <f t="shared" si="3"/>
        <v>15.0</v>
      </c>
      <c r="H227" s="9">
        <f t="shared" si="4"/>
        <v>15</v>
      </c>
      <c r="I227" s="6" t="str">
        <f>IFERROR(__xludf.DUMMYFUNCTION("MAX(FILTER($H$2:$H427,$E$2:$E427=F227))"),"#N/A")</f>
        <v>#N/A</v>
      </c>
    </row>
    <row r="228">
      <c r="A228" s="4"/>
      <c r="C228" s="4" t="s">
        <v>392</v>
      </c>
      <c r="D228" s="4" t="str">
        <f t="shared" si="1"/>
        <v>{"valorA":"do","valorB":2.0}</v>
      </c>
      <c r="E228" s="8" t="str">
        <f t="shared" si="2"/>
        <v>do</v>
      </c>
      <c r="F228" s="8"/>
      <c r="G228" s="8" t="str">
        <f t="shared" si="3"/>
        <v>2.0</v>
      </c>
      <c r="H228" s="9">
        <f t="shared" si="4"/>
        <v>2</v>
      </c>
      <c r="I228" s="6" t="str">
        <f>IFERROR(__xludf.DUMMYFUNCTION("MAX(FILTER($H$2:$H427,$E$2:$E427=F228))"),"#N/A")</f>
        <v>#N/A</v>
      </c>
    </row>
    <row r="229">
      <c r="A229" s="4"/>
      <c r="C229" s="4" t="s">
        <v>316</v>
      </c>
      <c r="D229" s="4" t="str">
        <f t="shared" si="1"/>
        <v>{"valorA":"gostei","valorB":3.0}</v>
      </c>
      <c r="E229" s="8" t="str">
        <f t="shared" si="2"/>
        <v>gostei</v>
      </c>
      <c r="F229" s="8"/>
      <c r="G229" s="8" t="str">
        <f t="shared" si="3"/>
        <v>3.0</v>
      </c>
      <c r="H229" s="9">
        <f t="shared" si="4"/>
        <v>3</v>
      </c>
      <c r="I229" s="6" t="str">
        <f>IFERROR(__xludf.DUMMYFUNCTION("MAX(FILTER($H$2:$H427,$E$2:$E427=F229))"),"#N/A")</f>
        <v>#N/A</v>
      </c>
    </row>
    <row r="230">
      <c r="A230" s="4"/>
      <c r="C230" s="4" t="s">
        <v>355</v>
      </c>
      <c r="D230" s="4" t="str">
        <f t="shared" si="1"/>
        <v>{"valorA":"ótimo","valorB":27.0}</v>
      </c>
      <c r="E230" s="8" t="str">
        <f t="shared" si="2"/>
        <v>ótimo</v>
      </c>
      <c r="F230" s="8"/>
      <c r="G230" s="8" t="str">
        <f t="shared" si="3"/>
        <v>27.0</v>
      </c>
      <c r="H230" s="9">
        <f t="shared" si="4"/>
        <v>27</v>
      </c>
      <c r="I230" s="6" t="str">
        <f>IFERROR(__xludf.DUMMYFUNCTION("MAX(FILTER($H$2:$H427,$E$2:$E427=F230))"),"#N/A")</f>
        <v>#N/A</v>
      </c>
    </row>
    <row r="231">
      <c r="A231" s="4"/>
      <c r="C231" s="4" t="s">
        <v>1430</v>
      </c>
      <c r="D231" s="4" t="str">
        <f t="shared" si="1"/>
        <v>{"valorA":"também","valorB":1.0}</v>
      </c>
      <c r="E231" s="8" t="str">
        <f t="shared" si="2"/>
        <v>também</v>
      </c>
      <c r="F231" s="8"/>
      <c r="G231" s="8" t="str">
        <f t="shared" si="3"/>
        <v>1.0</v>
      </c>
      <c r="H231" s="9">
        <f t="shared" si="4"/>
        <v>1</v>
      </c>
      <c r="I231" s="6" t="str">
        <f>IFERROR(__xludf.DUMMYFUNCTION("MAX(FILTER($H$2:$H427,$E$2:$E427=F231))"),"#N/A")</f>
        <v>#N/A</v>
      </c>
    </row>
    <row r="232">
      <c r="A232" s="4"/>
      <c r="C232" s="4" t="s">
        <v>452</v>
      </c>
      <c r="D232" s="4" t="str">
        <f t="shared" si="1"/>
        <v>{"valorA":"a","valorB":5.0}</v>
      </c>
      <c r="E232" s="8" t="str">
        <f t="shared" si="2"/>
        <v>a</v>
      </c>
      <c r="F232" s="8"/>
      <c r="G232" s="8" t="str">
        <f t="shared" si="3"/>
        <v>5.0</v>
      </c>
      <c r="H232" s="9">
        <f t="shared" si="4"/>
        <v>5</v>
      </c>
      <c r="I232" s="6" t="str">
        <f>IFERROR(__xludf.DUMMYFUNCTION("MAX(FILTER($H$2:$H427,$E$2:$E427=F232))"),"#N/A")</f>
        <v>#N/A</v>
      </c>
    </row>
    <row r="233">
      <c r="A233" s="4"/>
      <c r="C233" s="4" t="s">
        <v>1268</v>
      </c>
      <c r="D233" s="4" t="str">
        <f t="shared" si="1"/>
        <v>{"valorA":"preço","valorB":2.0}</v>
      </c>
      <c r="E233" s="8" t="str">
        <f t="shared" si="2"/>
        <v>preço</v>
      </c>
      <c r="F233" s="8"/>
      <c r="G233" s="8" t="str">
        <f t="shared" si="3"/>
        <v>2.0</v>
      </c>
      <c r="H233" s="9">
        <f t="shared" si="4"/>
        <v>2</v>
      </c>
      <c r="I233" s="6" t="str">
        <f>IFERROR(__xludf.DUMMYFUNCTION("MAX(FILTER($H$2:$H427,$E$2:$E427=F233))"),"#N/A")</f>
        <v>#N/A</v>
      </c>
    </row>
    <row r="234">
      <c r="A234" s="4"/>
      <c r="C234" s="4" t="s">
        <v>469</v>
      </c>
      <c r="D234" s="4" t="str">
        <f t="shared" si="1"/>
        <v>{"valorA":"para","valorB":7.0}</v>
      </c>
      <c r="E234" s="8" t="str">
        <f t="shared" si="2"/>
        <v>para</v>
      </c>
      <c r="F234" s="8"/>
      <c r="G234" s="8" t="str">
        <f t="shared" si="3"/>
        <v>7.0</v>
      </c>
      <c r="H234" s="9">
        <f t="shared" si="4"/>
        <v>7</v>
      </c>
      <c r="I234" s="6" t="str">
        <f>IFERROR(__xludf.DUMMYFUNCTION("MAX(FILTER($H$2:$H427,$E$2:$E427=F234))"),"#N/A")</f>
        <v>#N/A</v>
      </c>
    </row>
    <row r="235">
      <c r="A235" s="4"/>
      <c r="C235" s="4" t="s">
        <v>1431</v>
      </c>
      <c r="D235" s="4" t="str">
        <f t="shared" si="1"/>
        <v>{"valorA":"comprei","valorB":3.0}</v>
      </c>
      <c r="E235" s="8" t="str">
        <f t="shared" si="2"/>
        <v>comprei</v>
      </c>
      <c r="F235" s="8"/>
      <c r="G235" s="8" t="str">
        <f t="shared" si="3"/>
        <v>3.0</v>
      </c>
      <c r="H235" s="9">
        <f t="shared" si="4"/>
        <v>3</v>
      </c>
      <c r="I235" s="6" t="str">
        <f>IFERROR(__xludf.DUMMYFUNCTION("MAX(FILTER($H$2:$H427,$E$2:$E427=F235))"),"#N/A")</f>
        <v>#N/A</v>
      </c>
    </row>
    <row r="236">
      <c r="A236" s="4"/>
      <c r="C236" s="4" t="s">
        <v>707</v>
      </c>
      <c r="D236" s="4" t="str">
        <f t="shared" si="1"/>
        <v>{"valorA":"meu","valorB":3.0}</v>
      </c>
      <c r="E236" s="8" t="str">
        <f t="shared" si="2"/>
        <v>meu</v>
      </c>
      <c r="F236" s="8"/>
      <c r="G236" s="8" t="str">
        <f t="shared" si="3"/>
        <v>3.0</v>
      </c>
      <c r="H236" s="9">
        <f t="shared" si="4"/>
        <v>3</v>
      </c>
      <c r="I236" s="6" t="str">
        <f>IFERROR(__xludf.DUMMYFUNCTION("MAX(FILTER($H$2:$H427,$E$2:$E427=F236))"),"#N/A")</f>
        <v>#N/A</v>
      </c>
    </row>
    <row r="237">
      <c r="A237" s="4"/>
      <c r="C237" s="4" t="s">
        <v>329</v>
      </c>
      <c r="D237" s="4" t="str">
        <f t="shared" si="1"/>
        <v>{"valorA":"outro","valorB":1.0}</v>
      </c>
      <c r="E237" s="8" t="str">
        <f t="shared" si="2"/>
        <v>outro</v>
      </c>
      <c r="F237" s="8"/>
      <c r="G237" s="8" t="str">
        <f t="shared" si="3"/>
        <v>1.0</v>
      </c>
      <c r="H237" s="9">
        <f t="shared" si="4"/>
        <v>1</v>
      </c>
      <c r="I237" s="6" t="str">
        <f>IFERROR(__xludf.DUMMYFUNCTION("MAX(FILTER($H$2:$H427,$E$2:$E427=F237))"),"#N/A")</f>
        <v>#N/A</v>
      </c>
    </row>
    <row r="238">
      <c r="A238" s="4"/>
      <c r="C238" s="4" t="s">
        <v>372</v>
      </c>
      <c r="D238" s="4" t="str">
        <f t="shared" si="1"/>
        <v>{"valorA":"o","valorB":4.0}</v>
      </c>
      <c r="E238" s="8" t="str">
        <f t="shared" si="2"/>
        <v>o</v>
      </c>
      <c r="F238" s="8"/>
      <c r="G238" s="8" t="str">
        <f t="shared" si="3"/>
        <v>4.0</v>
      </c>
      <c r="H238" s="9">
        <f t="shared" si="4"/>
        <v>4</v>
      </c>
      <c r="I238" s="6" t="str">
        <f>IFERROR(__xludf.DUMMYFUNCTION("MAX(FILTER($H$2:$H427,$E$2:$E427=F238))"),"#N/A")</f>
        <v>#N/A</v>
      </c>
    </row>
    <row r="239">
      <c r="A239" s="4"/>
      <c r="C239" s="4" t="s">
        <v>688</v>
      </c>
      <c r="D239" s="4" t="str">
        <f t="shared" si="1"/>
        <v>{"valorA":"produto","valorB":16.0}</v>
      </c>
      <c r="E239" s="8" t="str">
        <f t="shared" si="2"/>
        <v>produto</v>
      </c>
      <c r="F239" s="8"/>
      <c r="G239" s="8" t="str">
        <f t="shared" si="3"/>
        <v>16.0</v>
      </c>
      <c r="H239" s="9">
        <f t="shared" si="4"/>
        <v>16</v>
      </c>
      <c r="I239" s="6" t="str">
        <f>IFERROR(__xludf.DUMMYFUNCTION("MAX(FILTER($H$2:$H427,$E$2:$E427=F239))"),"#N/A")</f>
        <v>#N/A</v>
      </c>
    </row>
    <row r="240">
      <c r="A240" s="4"/>
      <c r="C240" s="4" t="s">
        <v>719</v>
      </c>
      <c r="D240" s="4" t="str">
        <f t="shared" si="1"/>
        <v>{"valorA":"ótimo","valorB":28.0}</v>
      </c>
      <c r="E240" s="8" t="str">
        <f t="shared" si="2"/>
        <v>ótimo</v>
      </c>
      <c r="F240" s="8"/>
      <c r="G240" s="8" t="str">
        <f t="shared" si="3"/>
        <v>28.0</v>
      </c>
      <c r="H240" s="9">
        <f t="shared" si="4"/>
        <v>28</v>
      </c>
      <c r="I240" s="6" t="str">
        <f>IFERROR(__xludf.DUMMYFUNCTION("MAX(FILTER($H$2:$H427,$E$2:$E427=F240))"),"#N/A")</f>
        <v>#N/A</v>
      </c>
    </row>
    <row r="241">
      <c r="A241" s="4"/>
      <c r="C241" s="4" t="s">
        <v>1432</v>
      </c>
      <c r="D241" s="4" t="str">
        <f t="shared" si="1"/>
        <v>{"valorA":"filho","valorB":1.0}</v>
      </c>
      <c r="E241" s="8" t="str">
        <f t="shared" si="2"/>
        <v>filho</v>
      </c>
      <c r="F241" s="8"/>
      <c r="G241" s="8" t="str">
        <f t="shared" si="3"/>
        <v>1.0</v>
      </c>
      <c r="H241" s="9">
        <f t="shared" si="4"/>
        <v>1</v>
      </c>
      <c r="I241" s="6" t="str">
        <f>IFERROR(__xludf.DUMMYFUNCTION("MAX(FILTER($H$2:$H427,$E$2:$E427=F241))"),"#N/A")</f>
        <v>#N/A</v>
      </c>
    </row>
    <row r="242">
      <c r="A242" s="4"/>
      <c r="C242" s="4" t="s">
        <v>679</v>
      </c>
      <c r="D242" s="4" t="str">
        <f t="shared" si="1"/>
        <v>{"valorA":"qualidade","valorB":6.0}</v>
      </c>
      <c r="E242" s="8" t="str">
        <f t="shared" si="2"/>
        <v>qualidade</v>
      </c>
      <c r="F242" s="8"/>
      <c r="G242" s="8" t="str">
        <f t="shared" si="3"/>
        <v>6.0</v>
      </c>
      <c r="H242" s="9">
        <f t="shared" si="4"/>
        <v>6</v>
      </c>
      <c r="I242" s="6" t="str">
        <f>IFERROR(__xludf.DUMMYFUNCTION("MAX(FILTER($H$2:$H427,$E$2:$E427=F242))"),"#N/A")</f>
        <v>#N/A</v>
      </c>
    </row>
    <row r="243">
      <c r="A243" s="4"/>
      <c r="C243" s="4" t="s">
        <v>752</v>
      </c>
      <c r="D243" s="4" t="str">
        <f t="shared" si="1"/>
        <v>{"valorA":"produz","valorB":1.0}</v>
      </c>
      <c r="E243" s="8" t="str">
        <f t="shared" si="2"/>
        <v>produz</v>
      </c>
      <c r="F243" s="8"/>
      <c r="G243" s="8" t="str">
        <f t="shared" si="3"/>
        <v>1.0</v>
      </c>
      <c r="H243" s="9">
        <f t="shared" si="4"/>
        <v>1</v>
      </c>
      <c r="I243" s="6" t="str">
        <f>IFERROR(__xludf.DUMMYFUNCTION("MAX(FILTER($H$2:$H427,$E$2:$E427=F243))"),"#N/A")</f>
        <v>#N/A</v>
      </c>
    </row>
    <row r="244">
      <c r="A244" s="4"/>
      <c r="C244" s="4" t="s">
        <v>844</v>
      </c>
      <c r="D244" s="4" t="str">
        <f t="shared" si="1"/>
        <v>{"valorA":"ótima","valorB":2.0}</v>
      </c>
      <c r="E244" s="8" t="str">
        <f t="shared" si="2"/>
        <v>ótima</v>
      </c>
      <c r="F244" s="8"/>
      <c r="G244" s="8" t="str">
        <f t="shared" si="3"/>
        <v>2.0</v>
      </c>
      <c r="H244" s="9">
        <f t="shared" si="4"/>
        <v>2</v>
      </c>
      <c r="I244" s="6" t="str">
        <f>IFERROR(__xludf.DUMMYFUNCTION("MAX(FILTER($H$2:$H427,$E$2:$E427=F244))"),"#N/A")</f>
        <v>#N/A</v>
      </c>
    </row>
    <row r="245">
      <c r="A245" s="4"/>
      <c r="C245" s="4" t="s">
        <v>845</v>
      </c>
      <c r="D245" s="4" t="str">
        <f t="shared" si="1"/>
        <v>{"valorA":"usar","valorB":7.0}</v>
      </c>
      <c r="E245" s="8" t="str">
        <f t="shared" si="2"/>
        <v>usar</v>
      </c>
      <c r="F245" s="8"/>
      <c r="G245" s="8" t="str">
        <f t="shared" si="3"/>
        <v>7.0</v>
      </c>
      <c r="H245" s="9">
        <f t="shared" si="4"/>
        <v>7</v>
      </c>
      <c r="I245" s="6" t="str">
        <f>IFERROR(__xludf.DUMMYFUNCTION("MAX(FILTER($H$2:$H427,$E$2:$E427=F245))"),"#N/A")</f>
        <v>#N/A</v>
      </c>
    </row>
    <row r="246">
      <c r="A246" s="4"/>
      <c r="C246" s="4" t="s">
        <v>1433</v>
      </c>
      <c r="D246" s="4" t="str">
        <f t="shared" si="1"/>
        <v>{"valorA":"imagem","valorB":3.0}</v>
      </c>
      <c r="E246" s="8" t="str">
        <f t="shared" si="2"/>
        <v>imagem</v>
      </c>
      <c r="F246" s="8"/>
      <c r="G246" s="8" t="str">
        <f t="shared" si="3"/>
        <v>3.0</v>
      </c>
      <c r="H246" s="9">
        <f t="shared" si="4"/>
        <v>3</v>
      </c>
      <c r="I246" s="6" t="str">
        <f>IFERROR(__xludf.DUMMYFUNCTION("MAX(FILTER($H$2:$H427,$E$2:$E427=F246))"),"#N/A")</f>
        <v>#N/A</v>
      </c>
    </row>
    <row r="247">
      <c r="A247" s="4"/>
      <c r="C247" s="4" t="s">
        <v>477</v>
      </c>
      <c r="D247" s="4" t="str">
        <f t="shared" si="1"/>
        <v>{"valorA":"e","valorB":11.0}</v>
      </c>
      <c r="E247" s="8" t="str">
        <f t="shared" si="2"/>
        <v>e</v>
      </c>
      <c r="F247" s="8"/>
      <c r="G247" s="8" t="str">
        <f t="shared" si="3"/>
        <v>11.0</v>
      </c>
      <c r="H247" s="9">
        <f t="shared" si="4"/>
        <v>11</v>
      </c>
      <c r="I247" s="6" t="str">
        <f>IFERROR(__xludf.DUMMYFUNCTION("MAX(FILTER($H$2:$H427,$E$2:$E427=F247))"),"#N/A")</f>
        <v>#N/A</v>
      </c>
    </row>
    <row r="248">
      <c r="A248" s="4"/>
      <c r="C248" s="4" t="s">
        <v>832</v>
      </c>
      <c r="D248" s="4" t="str">
        <f t="shared" si="1"/>
        <v>{"valorA":"de","valorB":13.0}</v>
      </c>
      <c r="E248" s="8" t="str">
        <f t="shared" si="2"/>
        <v>de</v>
      </c>
      <c r="F248" s="8"/>
      <c r="G248" s="8" t="str">
        <f t="shared" si="3"/>
        <v>13.0</v>
      </c>
      <c r="H248" s="9">
        <f t="shared" si="4"/>
        <v>13</v>
      </c>
      <c r="I248" s="6" t="str">
        <f>IFERROR(__xludf.DUMMYFUNCTION("MAX(FILTER($H$2:$H427,$E$2:$E427=F248))"),"#N/A")</f>
        <v>#N/A</v>
      </c>
    </row>
    <row r="249">
      <c r="A249" s="4"/>
      <c r="C249" s="4" t="s">
        <v>683</v>
      </c>
      <c r="D249" s="4" t="str">
        <f t="shared" si="1"/>
        <v>{"valorA":"alta","valorB":1.0}</v>
      </c>
      <c r="E249" s="8" t="str">
        <f t="shared" si="2"/>
        <v>alta</v>
      </c>
      <c r="F249" s="8"/>
      <c r="G249" s="8" t="str">
        <f t="shared" si="3"/>
        <v>1.0</v>
      </c>
      <c r="H249" s="9">
        <f t="shared" si="4"/>
        <v>1</v>
      </c>
      <c r="I249" s="6" t="str">
        <f>IFERROR(__xludf.DUMMYFUNCTION("MAX(FILTER($H$2:$H427,$E$2:$E427=F249))"),"#N/A")</f>
        <v>#N/A</v>
      </c>
    </row>
    <row r="250">
      <c r="A250" s="4"/>
      <c r="C250" s="4" t="s">
        <v>789</v>
      </c>
      <c r="D250" s="4" t="str">
        <f t="shared" si="1"/>
        <v>{"valorA":"fácil","valorB":7.0}</v>
      </c>
      <c r="E250" s="8" t="str">
        <f t="shared" si="2"/>
        <v>fácil</v>
      </c>
      <c r="F250" s="8"/>
      <c r="G250" s="8" t="str">
        <f t="shared" si="3"/>
        <v>7.0</v>
      </c>
      <c r="H250" s="9">
        <f t="shared" si="4"/>
        <v>7</v>
      </c>
      <c r="I250" s="6" t="str">
        <f>IFERROR(__xludf.DUMMYFUNCTION("MAX(FILTER($H$2:$H427,$E$2:$E427=F250))"),"#N/A")</f>
        <v>#N/A</v>
      </c>
    </row>
    <row r="251">
      <c r="A251" s="4"/>
      <c r="C251" s="4" t="s">
        <v>695</v>
      </c>
      <c r="D251" s="4" t="str">
        <f t="shared" si="1"/>
        <v>{"valorA":"câmera","valorB":2.0}</v>
      </c>
      <c r="E251" s="8" t="str">
        <f t="shared" si="2"/>
        <v>câmera</v>
      </c>
      <c r="F251" s="8"/>
      <c r="G251" s="8" t="str">
        <f t="shared" si="3"/>
        <v>2.0</v>
      </c>
      <c r="H251" s="9">
        <f t="shared" si="4"/>
        <v>2</v>
      </c>
      <c r="I251" s="6" t="str">
        <f>IFERROR(__xludf.DUMMYFUNCTION("MAX(FILTER($H$2:$H427,$E$2:$E427=F251))"),"#N/A")</f>
        <v>#N/A</v>
      </c>
    </row>
    <row r="252">
      <c r="A252" s="4"/>
      <c r="C252" s="4" t="s">
        <v>1434</v>
      </c>
      <c r="D252" s="4" t="str">
        <f t="shared" si="1"/>
        <v>{"valorA":"re","valorB":1.0}</v>
      </c>
      <c r="E252" s="8" t="str">
        <f t="shared" si="2"/>
        <v>re</v>
      </c>
      <c r="F252" s="8"/>
      <c r="G252" s="8" t="str">
        <f t="shared" si="3"/>
        <v>1.0</v>
      </c>
      <c r="H252" s="9">
        <f t="shared" si="4"/>
        <v>1</v>
      </c>
      <c r="I252" s="6" t="str">
        <f>IFERROR(__xludf.DUMMYFUNCTION("MAX(FILTER($H$2:$H427,$E$2:$E427=F252))"),"#N/A")</f>
        <v>#N/A</v>
      </c>
    </row>
    <row r="253">
      <c r="A253" s="4"/>
      <c r="C253" s="4" t="s">
        <v>407</v>
      </c>
      <c r="D253" s="4" t="str">
        <f t="shared" si="1"/>
        <v>{"valorA":"meu","valorB":4.0}</v>
      </c>
      <c r="E253" s="8" t="str">
        <f t="shared" si="2"/>
        <v>meu</v>
      </c>
      <c r="F253" s="8"/>
      <c r="G253" s="8" t="str">
        <f t="shared" si="3"/>
        <v>4.0</v>
      </c>
      <c r="H253" s="9">
        <f t="shared" si="4"/>
        <v>4</v>
      </c>
      <c r="I253" s="6" t="str">
        <f>IFERROR(__xludf.DUMMYFUNCTION("MAX(FILTER($H$2:$H427,$E$2:$E427=F253))"),"#N/A")</f>
        <v>#N/A</v>
      </c>
    </row>
    <row r="254">
      <c r="A254" s="4"/>
      <c r="C254" s="4" t="s">
        <v>1435</v>
      </c>
      <c r="D254" s="4" t="str">
        <f t="shared" si="1"/>
        <v>{"valorA":"tempo","valorB":1.0}</v>
      </c>
      <c r="E254" s="8" t="str">
        <f t="shared" si="2"/>
        <v>tempo</v>
      </c>
      <c r="F254" s="8"/>
      <c r="G254" s="8" t="str">
        <f t="shared" si="3"/>
        <v>1.0</v>
      </c>
      <c r="H254" s="9">
        <f t="shared" si="4"/>
        <v>1</v>
      </c>
      <c r="I254" s="6" t="str">
        <f>IFERROR(__xludf.DUMMYFUNCTION("MAX(FILTER($H$2:$H427,$E$2:$E427=F254))"),"#N/A")</f>
        <v>#N/A</v>
      </c>
    </row>
    <row r="255">
      <c r="A255" s="4"/>
      <c r="C255" s="4" t="s">
        <v>753</v>
      </c>
      <c r="D255" s="4" t="str">
        <f t="shared" si="1"/>
        <v>{"valorA":"e","valorB":12.0}</v>
      </c>
      <c r="E255" s="8" t="str">
        <f t="shared" si="2"/>
        <v>e</v>
      </c>
      <c r="F255" s="8"/>
      <c r="G255" s="8" t="str">
        <f t="shared" si="3"/>
        <v>12.0</v>
      </c>
      <c r="H255" s="9">
        <f t="shared" si="4"/>
        <v>12</v>
      </c>
      <c r="I255" s="6" t="str">
        <f>IFERROR(__xludf.DUMMYFUNCTION("MAX(FILTER($H$2:$H427,$E$2:$E427=F255))"),"#N/A")</f>
        <v>#N/A</v>
      </c>
    </row>
    <row r="256">
      <c r="A256" s="4"/>
      <c r="C256" s="4" t="s">
        <v>655</v>
      </c>
      <c r="D256" s="4" t="str">
        <f t="shared" si="1"/>
        <v>{"valorA":"o","valorB":5.0}</v>
      </c>
      <c r="E256" s="8" t="str">
        <f t="shared" si="2"/>
        <v>o</v>
      </c>
      <c r="F256" s="8"/>
      <c r="G256" s="8" t="str">
        <f t="shared" si="3"/>
        <v>5.0</v>
      </c>
      <c r="H256" s="9">
        <f t="shared" si="4"/>
        <v>5</v>
      </c>
      <c r="I256" s="6" t="str">
        <f>IFERROR(__xludf.DUMMYFUNCTION("MAX(FILTER($H$2:$H427,$E$2:$E427=F256))"),"#N/A")</f>
        <v>#N/A</v>
      </c>
    </row>
    <row r="257">
      <c r="A257" s="4"/>
      <c r="C257" s="4" t="s">
        <v>847</v>
      </c>
      <c r="D257" s="4" t="str">
        <f t="shared" si="1"/>
        <v>{"valorA":"de","valorB":15.0}</v>
      </c>
      <c r="E257" s="8" t="str">
        <f t="shared" si="2"/>
        <v>de</v>
      </c>
      <c r="F257" s="8"/>
      <c r="G257" s="8" t="str">
        <f t="shared" si="3"/>
        <v>15.0</v>
      </c>
      <c r="H257" s="9">
        <f t="shared" si="4"/>
        <v>15</v>
      </c>
      <c r="I257" s="6" t="str">
        <f>IFERROR(__xludf.DUMMYFUNCTION("MAX(FILTER($H$2:$H427,$E$2:$E427=F257))"),"#N/A")</f>
        <v>#N/A</v>
      </c>
    </row>
    <row r="258">
      <c r="A258" s="4"/>
      <c r="C258" s="4" t="s">
        <v>1436</v>
      </c>
      <c r="D258" s="4" t="str">
        <f t="shared" si="1"/>
        <v>{"valorA":"hora","valorB":1.0}</v>
      </c>
      <c r="E258" s="8" t="str">
        <f t="shared" si="2"/>
        <v>hora</v>
      </c>
      <c r="F258" s="8"/>
      <c r="G258" s="8" t="str">
        <f t="shared" si="3"/>
        <v>1.0</v>
      </c>
      <c r="H258" s="9">
        <f t="shared" si="4"/>
        <v>1</v>
      </c>
      <c r="I258" s="6" t="str">
        <f>IFERROR(__xludf.DUMMYFUNCTION("MAX(FILTER($H$2:$H427,$E$2:$E427=F258))"),"#N/A")</f>
        <v>#N/A</v>
      </c>
    </row>
    <row r="259">
      <c r="A259" s="4"/>
      <c r="C259" s="4" t="s">
        <v>1437</v>
      </c>
      <c r="D259" s="4" t="str">
        <f t="shared" si="1"/>
        <v>{"valorA":"usálo","valorB":1.0}</v>
      </c>
      <c r="E259" s="8" t="str">
        <f t="shared" si="2"/>
        <v>usálo</v>
      </c>
      <c r="F259" s="8"/>
      <c r="G259" s="8" t="str">
        <f t="shared" si="3"/>
        <v>1.0</v>
      </c>
      <c r="H259" s="9">
        <f t="shared" si="4"/>
        <v>1</v>
      </c>
      <c r="I259" s="6" t="str">
        <f>IFERROR(__xludf.DUMMYFUNCTION("MAX(FILTER($H$2:$H427,$E$2:$E427=F259))"),"#N/A")</f>
        <v>#N/A</v>
      </c>
    </row>
    <row r="260">
      <c r="A260" s="4"/>
      <c r="C260" s="4" t="s">
        <v>1438</v>
      </c>
      <c r="D260" s="4" t="str">
        <f t="shared" si="1"/>
        <v>{"valorA":"fazer","valorB":1.0}</v>
      </c>
      <c r="E260" s="8" t="str">
        <f t="shared" si="2"/>
        <v>fazer</v>
      </c>
      <c r="F260" s="8"/>
      <c r="G260" s="8" t="str">
        <f t="shared" si="3"/>
        <v>1.0</v>
      </c>
      <c r="H260" s="9">
        <f t="shared" si="4"/>
        <v>1</v>
      </c>
      <c r="I260" s="6" t="str">
        <f>IFERROR(__xludf.DUMMYFUNCTION("MAX(FILTER($H$2:$H427,$E$2:$E427=F260))"),"#N/A")</f>
        <v>#N/A</v>
      </c>
    </row>
    <row r="261">
      <c r="A261" s="4"/>
      <c r="C261" s="4" t="s">
        <v>727</v>
      </c>
      <c r="D261" s="4" t="str">
        <f t="shared" si="1"/>
        <v>{"valorA":"ótimo","valorB":29.0}</v>
      </c>
      <c r="E261" s="8" t="str">
        <f t="shared" si="2"/>
        <v>ótimo</v>
      </c>
      <c r="F261" s="8"/>
      <c r="G261" s="8" t="str">
        <f t="shared" si="3"/>
        <v>29.0</v>
      </c>
      <c r="H261" s="9">
        <f t="shared" si="4"/>
        <v>29</v>
      </c>
      <c r="I261" s="6" t="str">
        <f>IFERROR(__xludf.DUMMYFUNCTION("MAX(FILTER($H$2:$H427,$E$2:$E427=F261))"),"#N/A")</f>
        <v>#N/A</v>
      </c>
    </row>
    <row r="262">
      <c r="A262" s="4"/>
      <c r="C262" s="4" t="s">
        <v>1439</v>
      </c>
      <c r="D262" s="4" t="str">
        <f t="shared" si="1"/>
        <v>{"valorA":"economiza","valorB":1.0}</v>
      </c>
      <c r="E262" s="8" t="str">
        <f t="shared" si="2"/>
        <v>economiza</v>
      </c>
      <c r="F262" s="8"/>
      <c r="G262" s="8" t="str">
        <f t="shared" si="3"/>
        <v>1.0</v>
      </c>
      <c r="H262" s="9">
        <f t="shared" si="4"/>
        <v>1</v>
      </c>
      <c r="I262" s="6" t="str">
        <f>IFERROR(__xludf.DUMMYFUNCTION("MAX(FILTER($H$2:$H427,$E$2:$E427=F262))"),"#N/A")</f>
        <v>#N/A</v>
      </c>
    </row>
    <row r="263">
      <c r="A263" s="4"/>
      <c r="C263" s="4" t="s">
        <v>848</v>
      </c>
      <c r="D263" s="4" t="str">
        <f t="shared" si="1"/>
        <v>{"valorA":"fácil","valorB":8.0}</v>
      </c>
      <c r="E263" s="8" t="str">
        <f t="shared" si="2"/>
        <v>fácil</v>
      </c>
      <c r="F263" s="8"/>
      <c r="G263" s="8" t="str">
        <f t="shared" si="3"/>
        <v>8.0</v>
      </c>
      <c r="H263" s="9">
        <f t="shared" si="4"/>
        <v>8</v>
      </c>
      <c r="I263" s="6" t="str">
        <f>IFERROR(__xludf.DUMMYFUNCTION("MAX(FILTER($H$2:$H427,$E$2:$E427=F263))"),"#N/A")</f>
        <v>#N/A</v>
      </c>
    </row>
    <row r="264">
      <c r="A264" s="4"/>
      <c r="C264" s="4" t="s">
        <v>358</v>
      </c>
      <c r="D264" s="4" t="str">
        <f t="shared" si="1"/>
        <v>{"valorA":"muito","valorB":11.0}</v>
      </c>
      <c r="E264" s="8" t="str">
        <f t="shared" si="2"/>
        <v>muito</v>
      </c>
      <c r="F264" s="8"/>
      <c r="G264" s="8" t="str">
        <f t="shared" si="3"/>
        <v>11.0</v>
      </c>
      <c r="H264" s="9">
        <f t="shared" si="4"/>
        <v>11</v>
      </c>
      <c r="I264" s="6" t="str">
        <f>IFERROR(__xludf.DUMMYFUNCTION("MAX(FILTER($H$2:$H427,$E$2:$E427=F264))"),"#N/A")</f>
        <v>#N/A</v>
      </c>
    </row>
    <row r="265">
      <c r="A265" s="4"/>
      <c r="C265" s="4" t="s">
        <v>1249</v>
      </c>
      <c r="D265" s="4" t="str">
        <f t="shared" si="1"/>
        <v>{"valorA":"frigorífico","valorB":1.0}</v>
      </c>
      <c r="E265" s="8" t="str">
        <f t="shared" si="2"/>
        <v>frigorífico</v>
      </c>
      <c r="F265" s="8"/>
      <c r="G265" s="8" t="str">
        <f t="shared" si="3"/>
        <v>1.0</v>
      </c>
      <c r="H265" s="9">
        <f t="shared" si="4"/>
        <v>1</v>
      </c>
      <c r="I265" s="6" t="str">
        <f>IFERROR(__xludf.DUMMYFUNCTION("MAX(FILTER($H$2:$H427,$E$2:$E427=F265))"),"#N/A")</f>
        <v>#N/A</v>
      </c>
    </row>
    <row r="266">
      <c r="A266" s="4"/>
      <c r="C266" s="4" t="s">
        <v>1440</v>
      </c>
      <c r="D266" s="4" t="str">
        <f t="shared" si="1"/>
        <v>{"valorA":"na","valorB":1.0}</v>
      </c>
      <c r="E266" s="8" t="str">
        <f t="shared" si="2"/>
        <v>na</v>
      </c>
      <c r="F266" s="8"/>
      <c r="G266" s="8" t="str">
        <f t="shared" si="3"/>
        <v>1.0</v>
      </c>
      <c r="H266" s="9">
        <f t="shared" si="4"/>
        <v>1</v>
      </c>
      <c r="I266" s="6" t="str">
        <f>IFERROR(__xludf.DUMMYFUNCTION("MAX(FILTER($H$2:$H427,$E$2:$E427=F266))"),"#N/A")</f>
        <v>#N/A</v>
      </c>
    </row>
    <row r="267">
      <c r="A267" s="4"/>
      <c r="C267" s="4" t="s">
        <v>345</v>
      </c>
      <c r="D267" s="4" t="str">
        <f t="shared" si="1"/>
        <v>{"valorA":"recomendo","valorB":4.0}</v>
      </c>
      <c r="E267" s="8" t="str">
        <f t="shared" si="2"/>
        <v>recomendo</v>
      </c>
      <c r="F267" s="8"/>
      <c r="G267" s="8" t="str">
        <f t="shared" si="3"/>
        <v>4.0</v>
      </c>
      <c r="H267" s="9">
        <f t="shared" si="4"/>
        <v>4</v>
      </c>
      <c r="I267" s="6" t="str">
        <f>IFERROR(__xludf.DUMMYFUNCTION("MAX(FILTER($H$2:$H427,$E$2:$E427=F267))"),"#N/A")</f>
        <v>#N/A</v>
      </c>
    </row>
    <row r="268">
      <c r="A268" s="4"/>
      <c r="C268" s="4" t="s">
        <v>691</v>
      </c>
      <c r="D268" s="4" t="str">
        <f t="shared" si="1"/>
        <v>{"valorA":"para","valorB":9.0}</v>
      </c>
      <c r="E268" s="8" t="str">
        <f t="shared" si="2"/>
        <v>para</v>
      </c>
      <c r="F268" s="8"/>
      <c r="G268" s="8" t="str">
        <f t="shared" si="3"/>
        <v>9.0</v>
      </c>
      <c r="H268" s="9">
        <f t="shared" si="4"/>
        <v>9</v>
      </c>
      <c r="I268" s="6" t="str">
        <f>IFERROR(__xludf.DUMMYFUNCTION("MAX(FILTER($H$2:$H427,$E$2:$E427=F268))"),"#N/A")</f>
        <v>#N/A</v>
      </c>
    </row>
    <row r="269">
      <c r="A269" s="4"/>
      <c r="C269" s="4" t="s">
        <v>1441</v>
      </c>
      <c r="D269" s="4" t="str">
        <f t="shared" si="1"/>
        <v>{"valorA":"nunca","valorB":1.0}</v>
      </c>
      <c r="E269" s="8" t="str">
        <f t="shared" si="2"/>
        <v>nunca</v>
      </c>
      <c r="F269" s="8"/>
      <c r="G269" s="8" t="str">
        <f t="shared" si="3"/>
        <v>1.0</v>
      </c>
      <c r="H269" s="9">
        <f t="shared" si="4"/>
        <v>1</v>
      </c>
      <c r="I269" s="6" t="str">
        <f>IFERROR(__xludf.DUMMYFUNCTION("MAX(FILTER($H$2:$H427,$E$2:$E427=F269))"),"#N/A")</f>
        <v>#N/A</v>
      </c>
    </row>
    <row r="270">
      <c r="A270" s="4"/>
      <c r="C270" s="4" t="s">
        <v>984</v>
      </c>
      <c r="D270" s="4" t="str">
        <f t="shared" si="1"/>
        <v>{"valorA":"preciso","valorB":1.0}</v>
      </c>
      <c r="E270" s="8" t="str">
        <f t="shared" si="2"/>
        <v>preciso</v>
      </c>
      <c r="F270" s="8"/>
      <c r="G270" s="8" t="str">
        <f t="shared" si="3"/>
        <v>1.0</v>
      </c>
      <c r="H270" s="9">
        <f t="shared" si="4"/>
        <v>1</v>
      </c>
      <c r="I270" s="6" t="str">
        <f>IFERROR(__xludf.DUMMYFUNCTION("MAX(FILTER($H$2:$H427,$E$2:$E427=F270))"),"#N/A")</f>
        <v>#N/A</v>
      </c>
    </row>
    <row r="271">
      <c r="A271" s="4"/>
      <c r="C271" s="4" t="s">
        <v>1442</v>
      </c>
      <c r="D271" s="4" t="str">
        <f t="shared" si="1"/>
        <v>{"valorA":"dica","valorB":1.0}</v>
      </c>
      <c r="E271" s="8" t="str">
        <f t="shared" si="2"/>
        <v>dica</v>
      </c>
      <c r="F271" s="8"/>
      <c r="G271" s="8" t="str">
        <f t="shared" si="3"/>
        <v>1.0</v>
      </c>
      <c r="H271" s="9">
        <f t="shared" si="4"/>
        <v>1</v>
      </c>
      <c r="I271" s="6" t="str">
        <f>IFERROR(__xludf.DUMMYFUNCTION("MAX(FILTER($H$2:$H427,$E$2:$E427=F271))"),"#N/A")</f>
        <v>#N/A</v>
      </c>
    </row>
    <row r="272">
      <c r="A272" s="4"/>
      <c r="C272" s="4" t="s">
        <v>840</v>
      </c>
      <c r="D272" s="4" t="str">
        <f t="shared" si="1"/>
        <v>{"valorA":"comentários","valorB":1.0}</v>
      </c>
      <c r="E272" s="8" t="str">
        <f t="shared" si="2"/>
        <v>comentários</v>
      </c>
      <c r="F272" s="8"/>
      <c r="G272" s="8" t="str">
        <f t="shared" si="3"/>
        <v>1.0</v>
      </c>
      <c r="H272" s="9">
        <f t="shared" si="4"/>
        <v>1</v>
      </c>
      <c r="I272" s="6" t="str">
        <f>IFERROR(__xludf.DUMMYFUNCTION("MAX(FILTER($H$2:$H427,$E$2:$E427=F272))"),"#N/A")</f>
        <v>#N/A</v>
      </c>
    </row>
    <row r="273">
      <c r="A273" s="4"/>
      <c r="C273" s="4" t="s">
        <v>1443</v>
      </c>
      <c r="D273" s="4" t="str">
        <f t="shared" si="1"/>
        <v>{"valorA":"objet","valorB":1.0}</v>
      </c>
      <c r="E273" s="8" t="str">
        <f t="shared" si="2"/>
        <v>objet</v>
      </c>
      <c r="F273" s="8"/>
      <c r="G273" s="8" t="str">
        <f t="shared" si="3"/>
        <v>1.0</v>
      </c>
      <c r="H273" s="9">
        <f t="shared" si="4"/>
        <v>1</v>
      </c>
      <c r="I273" s="6" t="str">
        <f>IFERROR(__xludf.DUMMYFUNCTION("MAX(FILTER($H$2:$H427,$E$2:$E427=F273))"),"#N/A")</f>
        <v>#N/A</v>
      </c>
    </row>
    <row r="274">
      <c r="A274" s="4"/>
      <c r="C274" s="4" t="s">
        <v>1444</v>
      </c>
      <c r="D274" s="4" t="str">
        <f t="shared" si="1"/>
        <v>{"valorA":"mudálo","valorB":1.0}</v>
      </c>
      <c r="E274" s="8" t="str">
        <f t="shared" si="2"/>
        <v>mudálo</v>
      </c>
      <c r="F274" s="8"/>
      <c r="G274" s="8" t="str">
        <f t="shared" si="3"/>
        <v>1.0</v>
      </c>
      <c r="H274" s="9">
        <f t="shared" si="4"/>
        <v>1</v>
      </c>
      <c r="I274" s="6" t="str">
        <f>IFERROR(__xludf.DUMMYFUNCTION("MAX(FILTER($H$2:$H427,$E$2:$E427=F274))"),"#N/A")</f>
        <v>#N/A</v>
      </c>
    </row>
    <row r="275">
      <c r="A275" s="4"/>
      <c r="C275" s="4" t="s">
        <v>1445</v>
      </c>
      <c r="D275" s="4" t="str">
        <f t="shared" si="1"/>
        <v>{"valorA":"tente","valorB":1.0}</v>
      </c>
      <c r="E275" s="8" t="str">
        <f t="shared" si="2"/>
        <v>tente</v>
      </c>
      <c r="F275" s="8"/>
      <c r="G275" s="8" t="str">
        <f t="shared" si="3"/>
        <v>1.0</v>
      </c>
      <c r="H275" s="9">
        <f t="shared" si="4"/>
        <v>1</v>
      </c>
      <c r="I275" s="6" t="str">
        <f>IFERROR(__xludf.DUMMYFUNCTION("MAX(FILTER($H$2:$H427,$E$2:$E427=F275))"),"#N/A")</f>
        <v>#N/A</v>
      </c>
    </row>
    <row r="276">
      <c r="A276" s="4"/>
      <c r="C276" s="4" t="s">
        <v>1172</v>
      </c>
      <c r="D276" s="4" t="str">
        <f t="shared" si="1"/>
        <v>{"valorA":"os","valorB":1.0}</v>
      </c>
      <c r="E276" s="8" t="str">
        <f t="shared" si="2"/>
        <v>os</v>
      </c>
      <c r="F276" s="8"/>
      <c r="G276" s="8" t="str">
        <f t="shared" si="3"/>
        <v>1.0</v>
      </c>
      <c r="H276" s="9">
        <f t="shared" si="4"/>
        <v>1</v>
      </c>
      <c r="I276" s="6" t="str">
        <f>IFERROR(__xludf.DUMMYFUNCTION("MAX(FILTER($H$2:$H427,$E$2:$E427=F276))"),"#N/A")</f>
        <v>#N/A</v>
      </c>
    </row>
    <row r="277">
      <c r="A277" s="4"/>
      <c r="C277" s="4" t="s">
        <v>714</v>
      </c>
      <c r="D277" s="4" t="str">
        <f t="shared" si="1"/>
        <v>{"valorA":"produto","valorB":18.0}</v>
      </c>
      <c r="E277" s="8" t="str">
        <f t="shared" si="2"/>
        <v>produto</v>
      </c>
      <c r="F277" s="8"/>
      <c r="G277" s="8" t="str">
        <f t="shared" si="3"/>
        <v>18.0</v>
      </c>
      <c r="H277" s="9">
        <f t="shared" si="4"/>
        <v>18</v>
      </c>
      <c r="I277" s="6" t="str">
        <f>IFERROR(__xludf.DUMMYFUNCTION("MAX(FILTER($H$2:$H427,$E$2:$E427=F277))"),"#N/A")</f>
        <v>#N/A</v>
      </c>
    </row>
    <row r="278">
      <c r="A278" s="4"/>
      <c r="C278" s="4" t="s">
        <v>393</v>
      </c>
      <c r="D278" s="4" t="str">
        <f t="shared" si="1"/>
        <v>{"valorA":"gostei","valorB":4.0}</v>
      </c>
      <c r="E278" s="8" t="str">
        <f t="shared" si="2"/>
        <v>gostei</v>
      </c>
      <c r="F278" s="8"/>
      <c r="G278" s="8" t="str">
        <f t="shared" si="3"/>
        <v>4.0</v>
      </c>
      <c r="H278" s="9">
        <f t="shared" si="4"/>
        <v>4</v>
      </c>
      <c r="I278" s="6" t="str">
        <f>IFERROR(__xludf.DUMMYFUNCTION("MAX(FILTER($H$2:$H427,$E$2:$E427=F278))"),"#N/A")</f>
        <v>#N/A</v>
      </c>
    </row>
    <row r="279">
      <c r="A279" s="4"/>
      <c r="C279" s="4" t="s">
        <v>739</v>
      </c>
      <c r="D279" s="4" t="str">
        <f t="shared" si="1"/>
        <v>{"valorA":"ótimo","valorB":31.0}</v>
      </c>
      <c r="E279" s="8" t="str">
        <f t="shared" si="2"/>
        <v>ótimo</v>
      </c>
      <c r="F279" s="8"/>
      <c r="G279" s="8" t="str">
        <f t="shared" si="3"/>
        <v>31.0</v>
      </c>
      <c r="H279" s="9">
        <f t="shared" si="4"/>
        <v>31</v>
      </c>
      <c r="I279" s="6" t="str">
        <f>IFERROR(__xludf.DUMMYFUNCTION("MAX(FILTER($H$2:$H427,$E$2:$E427=F279))"),"#N/A")</f>
        <v>#N/A</v>
      </c>
    </row>
    <row r="280">
      <c r="A280" s="4"/>
      <c r="C280" s="4" t="s">
        <v>337</v>
      </c>
      <c r="D280" s="4" t="str">
        <f t="shared" si="1"/>
        <v>{"valorA":"mais","valorB":1.0}</v>
      </c>
      <c r="E280" s="8" t="str">
        <f t="shared" si="2"/>
        <v>mais</v>
      </c>
      <c r="F280" s="8"/>
      <c r="G280" s="8" t="str">
        <f t="shared" si="3"/>
        <v>1.0</v>
      </c>
      <c r="H280" s="9">
        <f t="shared" si="4"/>
        <v>1</v>
      </c>
      <c r="I280" s="6" t="str">
        <f>IFERROR(__xludf.DUMMYFUNCTION("MAX(FILTER($H$2:$H427,$E$2:$E427=F280))"),"#N/A")</f>
        <v>#N/A</v>
      </c>
    </row>
    <row r="281">
      <c r="A281" s="4"/>
      <c r="C281" s="4" t="s">
        <v>1446</v>
      </c>
      <c r="D281" s="4" t="str">
        <f t="shared" si="1"/>
        <v>{"valorA":"ser","valorB":1.0}</v>
      </c>
      <c r="E281" s="8" t="str">
        <f t="shared" si="2"/>
        <v>ser</v>
      </c>
      <c r="F281" s="8"/>
      <c r="G281" s="8" t="str">
        <f t="shared" si="3"/>
        <v>1.0</v>
      </c>
      <c r="H281" s="9">
        <f t="shared" si="4"/>
        <v>1</v>
      </c>
      <c r="I281" s="6" t="str">
        <f>IFERROR(__xludf.DUMMYFUNCTION("MAX(FILTER($H$2:$H427,$E$2:$E427=F281))"),"#N/A")</f>
        <v>#N/A</v>
      </c>
    </row>
    <row r="282">
      <c r="A282" s="4"/>
      <c r="C282" s="4" t="s">
        <v>377</v>
      </c>
      <c r="D282" s="4" t="str">
        <f t="shared" si="1"/>
        <v>{"valorA":"muito","valorB":12.0}</v>
      </c>
      <c r="E282" s="8" t="str">
        <f t="shared" si="2"/>
        <v>muito</v>
      </c>
      <c r="F282" s="8"/>
      <c r="G282" s="8" t="str">
        <f t="shared" si="3"/>
        <v>12.0</v>
      </c>
      <c r="H282" s="9">
        <f t="shared" si="4"/>
        <v>12</v>
      </c>
      <c r="I282" s="6" t="str">
        <f>IFERROR(__xludf.DUMMYFUNCTION("MAX(FILTER($H$2:$H427,$E$2:$E427=F282))"),"#N/A")</f>
        <v>#N/A</v>
      </c>
    </row>
    <row r="283">
      <c r="A283" s="4"/>
      <c r="C283" s="4" t="s">
        <v>617</v>
      </c>
      <c r="D283" s="4" t="str">
        <f t="shared" si="1"/>
        <v>{"valorA":"todos","valorB":1.0}</v>
      </c>
      <c r="E283" s="8" t="str">
        <f t="shared" si="2"/>
        <v>todos</v>
      </c>
      <c r="F283" s="8"/>
      <c r="G283" s="8" t="str">
        <f t="shared" si="3"/>
        <v>1.0</v>
      </c>
      <c r="H283" s="9">
        <f t="shared" si="4"/>
        <v>1</v>
      </c>
      <c r="I283" s="6" t="str">
        <f>IFERROR(__xludf.DUMMYFUNCTION("MAX(FILTER($H$2:$H427,$E$2:$E427=F283))"),"#N/A")</f>
        <v>#N/A</v>
      </c>
    </row>
    <row r="284">
      <c r="A284" s="4"/>
      <c r="C284" s="4" t="s">
        <v>1447</v>
      </c>
      <c r="D284" s="4" t="str">
        <f t="shared" si="1"/>
        <v>{"valorA":"negativos","valorB":1.0}</v>
      </c>
      <c r="E284" s="8" t="str">
        <f t="shared" si="2"/>
        <v>negativos</v>
      </c>
      <c r="F284" s="8"/>
      <c r="G284" s="8" t="str">
        <f t="shared" si="3"/>
        <v>1.0</v>
      </c>
      <c r="H284" s="9">
        <f t="shared" si="4"/>
        <v>1</v>
      </c>
      <c r="I284" s="6" t="str">
        <f>IFERROR(__xludf.DUMMYFUNCTION("MAX(FILTER($H$2:$H427,$E$2:$E427=F284))"),"#N/A")</f>
        <v>#N/A</v>
      </c>
    </row>
    <row r="285">
      <c r="A285" s="4"/>
      <c r="C285" s="4" t="s">
        <v>652</v>
      </c>
      <c r="D285" s="4" t="str">
        <f t="shared" si="1"/>
        <v>{"valorA":"não","valorB":4.0}</v>
      </c>
      <c r="E285" s="8" t="str">
        <f t="shared" si="2"/>
        <v>não</v>
      </c>
      <c r="F285" s="8"/>
      <c r="G285" s="8" t="str">
        <f t="shared" si="3"/>
        <v>4.0</v>
      </c>
      <c r="H285" s="9">
        <f t="shared" si="4"/>
        <v>4</v>
      </c>
      <c r="I285" s="6" t="str">
        <f>IFERROR(__xludf.DUMMYFUNCTION("MAX(FILTER($H$2:$H427,$E$2:$E427=F285))"),"#N/A")</f>
        <v>#N/A</v>
      </c>
    </row>
    <row r="286">
      <c r="A286" s="4"/>
      <c r="C286" s="4" t="s">
        <v>383</v>
      </c>
      <c r="D286" s="4" t="str">
        <f t="shared" si="1"/>
        <v>{"valorA":"recomendo","valorB":5.0}</v>
      </c>
      <c r="E286" s="8" t="str">
        <f t="shared" si="2"/>
        <v>recomendo</v>
      </c>
      <c r="F286" s="8"/>
      <c r="G286" s="8" t="str">
        <f t="shared" si="3"/>
        <v>5.0</v>
      </c>
      <c r="H286" s="9">
        <f t="shared" si="4"/>
        <v>5</v>
      </c>
      <c r="I286" s="6" t="str">
        <f>IFERROR(__xludf.DUMMYFUNCTION("MAX(FILTER($H$2:$H427,$E$2:$E427=F286))"),"#N/A")</f>
        <v>#N/A</v>
      </c>
    </row>
    <row r="287">
      <c r="A287" s="4"/>
      <c r="C287" s="4" t="s">
        <v>706</v>
      </c>
      <c r="D287" s="4" t="str">
        <f t="shared" si="1"/>
        <v>{"valorA":"qualidade","valorB":7.0}</v>
      </c>
      <c r="E287" s="8" t="str">
        <f t="shared" si="2"/>
        <v>qualidade</v>
      </c>
      <c r="F287" s="8"/>
      <c r="G287" s="8" t="str">
        <f t="shared" si="3"/>
        <v>7.0</v>
      </c>
      <c r="H287" s="9">
        <f t="shared" si="4"/>
        <v>7</v>
      </c>
      <c r="I287" s="6" t="str">
        <f>IFERROR(__xludf.DUMMYFUNCTION("MAX(FILTER($H$2:$H427,$E$2:$E427=F287))"),"#N/A")</f>
        <v>#N/A</v>
      </c>
    </row>
    <row r="288">
      <c r="A288" s="4"/>
      <c r="C288" s="4" t="s">
        <v>777</v>
      </c>
      <c r="D288" s="4" t="str">
        <f t="shared" si="1"/>
        <v>{"valorA":"e","valorB":13.0}</v>
      </c>
      <c r="E288" s="8" t="str">
        <f t="shared" si="2"/>
        <v>e</v>
      </c>
      <c r="F288" s="8"/>
      <c r="G288" s="8" t="str">
        <f t="shared" si="3"/>
        <v>13.0</v>
      </c>
      <c r="H288" s="9">
        <f t="shared" si="4"/>
        <v>13</v>
      </c>
      <c r="I288" s="6" t="str">
        <f>IFERROR(__xludf.DUMMYFUNCTION("MAX(FILTER($H$2:$H427,$E$2:$E427=F288))"),"#N/A")</f>
        <v>#N/A</v>
      </c>
    </row>
    <row r="289">
      <c r="A289" s="4"/>
      <c r="C289" s="4" t="s">
        <v>747</v>
      </c>
      <c r="D289" s="4" t="str">
        <f t="shared" si="1"/>
        <v>{"valorA":"ótimo","valorB":32.0}</v>
      </c>
      <c r="E289" s="8" t="str">
        <f t="shared" si="2"/>
        <v>ótimo</v>
      </c>
      <c r="F289" s="8"/>
      <c r="G289" s="8" t="str">
        <f t="shared" si="3"/>
        <v>32.0</v>
      </c>
      <c r="H289" s="9">
        <f t="shared" si="4"/>
        <v>32</v>
      </c>
      <c r="I289" s="6" t="str">
        <f>IFERROR(__xludf.DUMMYFUNCTION("MAX(FILTER($H$2:$H427,$E$2:$E427=F289))"),"#N/A")</f>
        <v>#N/A</v>
      </c>
    </row>
    <row r="290">
      <c r="A290" s="4"/>
      <c r="C290" s="4" t="s">
        <v>1190</v>
      </c>
      <c r="D290" s="4" t="str">
        <f t="shared" si="1"/>
        <v>{"valorA":"geladeira","valorB":1.0}</v>
      </c>
      <c r="E290" s="8" t="str">
        <f t="shared" si="2"/>
        <v>geladeira</v>
      </c>
      <c r="F290" s="8"/>
      <c r="G290" s="8" t="str">
        <f t="shared" si="3"/>
        <v>1.0</v>
      </c>
      <c r="H290" s="9">
        <f t="shared" si="4"/>
        <v>1</v>
      </c>
      <c r="I290" s="6" t="str">
        <f>IFERROR(__xludf.DUMMYFUNCTION("MAX(FILTER($H$2:$H427,$E$2:$E427=F290))"),"#N/A")</f>
        <v>#N/A</v>
      </c>
    </row>
    <row r="291">
      <c r="A291" s="4"/>
      <c r="C291" s="4" t="s">
        <v>195</v>
      </c>
      <c r="D291" s="4" t="str">
        <f t="shared" si="1"/>
        <v>{"valorA":"desse","valorB":1.0}</v>
      </c>
      <c r="E291" s="8" t="str">
        <f t="shared" si="2"/>
        <v>desse</v>
      </c>
      <c r="F291" s="8"/>
      <c r="G291" s="8" t="str">
        <f t="shared" si="3"/>
        <v>1.0</v>
      </c>
      <c r="H291" s="9">
        <f t="shared" si="4"/>
        <v>1</v>
      </c>
      <c r="I291" s="6" t="str">
        <f>IFERROR(__xludf.DUMMYFUNCTION("MAX(FILTER($H$2:$H427,$E$2:$E427=F291))"),"#N/A")</f>
        <v>#N/A</v>
      </c>
    </row>
    <row r="292">
      <c r="A292" s="4"/>
      <c r="C292" s="4" t="s">
        <v>590</v>
      </c>
      <c r="D292" s="4" t="str">
        <f t="shared" si="1"/>
        <v>{"valorA":"preço","valorB":3.0}</v>
      </c>
      <c r="E292" s="8" t="str">
        <f t="shared" si="2"/>
        <v>preço</v>
      </c>
      <c r="F292" s="8"/>
      <c r="G292" s="8" t="str">
        <f t="shared" si="3"/>
        <v>3.0</v>
      </c>
      <c r="H292" s="9">
        <f t="shared" si="4"/>
        <v>3</v>
      </c>
      <c r="I292" s="6" t="str">
        <f>IFERROR(__xludf.DUMMYFUNCTION("MAX(FILTER($H$2:$H427,$E$2:$E427=F292))"),"#N/A")</f>
        <v>#N/A</v>
      </c>
    </row>
    <row r="293">
      <c r="A293" s="4"/>
      <c r="C293" s="4" t="s">
        <v>720</v>
      </c>
      <c r="D293" s="4" t="str">
        <f t="shared" si="1"/>
        <v>{"valorA":"para","valorB":10.0}</v>
      </c>
      <c r="E293" s="8" t="str">
        <f t="shared" si="2"/>
        <v>para</v>
      </c>
      <c r="F293" s="8"/>
      <c r="G293" s="8" t="str">
        <f t="shared" si="3"/>
        <v>10.0</v>
      </c>
      <c r="H293" s="9">
        <f t="shared" si="4"/>
        <v>10</v>
      </c>
      <c r="I293" s="6" t="str">
        <f>IFERROR(__xludf.DUMMYFUNCTION("MAX(FILTER($H$2:$H427,$E$2:$E427=F293))"),"#N/A")</f>
        <v>#N/A</v>
      </c>
    </row>
    <row r="294">
      <c r="A294" s="4"/>
      <c r="C294" s="4" t="s">
        <v>1448</v>
      </c>
      <c r="D294" s="4" t="str">
        <f t="shared" si="1"/>
        <v>{"valorA":"máquina","valorB":1.0}</v>
      </c>
      <c r="E294" s="8" t="str">
        <f t="shared" si="2"/>
        <v>máquina</v>
      </c>
      <c r="F294" s="8"/>
      <c r="G294" s="8" t="str">
        <f t="shared" si="3"/>
        <v>1.0</v>
      </c>
      <c r="H294" s="9">
        <f t="shared" si="4"/>
        <v>1</v>
      </c>
      <c r="I294" s="6" t="str">
        <f>IFERROR(__xludf.DUMMYFUNCTION("MAX(FILTER($H$2:$H427,$E$2:$E427=F294))"),"#N/A")</f>
        <v>#N/A</v>
      </c>
    </row>
    <row r="295">
      <c r="A295" s="4"/>
      <c r="C295" s="4" t="s">
        <v>1449</v>
      </c>
      <c r="D295" s="4" t="str">
        <f t="shared" si="1"/>
        <v>{"valorA":"lazer","valorB":1.0}</v>
      </c>
      <c r="E295" s="8" t="str">
        <f t="shared" si="2"/>
        <v>lazer</v>
      </c>
      <c r="F295" s="8"/>
      <c r="G295" s="8" t="str">
        <f t="shared" si="3"/>
        <v>1.0</v>
      </c>
      <c r="H295" s="9">
        <f t="shared" si="4"/>
        <v>1</v>
      </c>
      <c r="I295" s="6" t="str">
        <f>IFERROR(__xludf.DUMMYFUNCTION("MAX(FILTER($H$2:$H427,$E$2:$E427=F295))"),"#N/A")</f>
        <v>#N/A</v>
      </c>
    </row>
    <row r="296">
      <c r="A296" s="4"/>
      <c r="C296" s="4" t="s">
        <v>1450</v>
      </c>
      <c r="D296" s="4" t="str">
        <f t="shared" si="1"/>
        <v>{"valorA":"quem","valorB":5.0}</v>
      </c>
      <c r="E296" s="8" t="str">
        <f t="shared" si="2"/>
        <v>quem</v>
      </c>
      <c r="F296" s="8"/>
      <c r="G296" s="8" t="str">
        <f t="shared" si="3"/>
        <v>5.0</v>
      </c>
      <c r="H296" s="9">
        <f t="shared" si="4"/>
        <v>5</v>
      </c>
      <c r="I296" s="6" t="str">
        <f>IFERROR(__xludf.DUMMYFUNCTION("MAX(FILTER($H$2:$H427,$E$2:$E427=F296))"),"#N/A")</f>
        <v>#N/A</v>
      </c>
    </row>
    <row r="297">
      <c r="A297" s="4"/>
      <c r="C297" s="4" t="s">
        <v>862</v>
      </c>
      <c r="D297" s="4" t="str">
        <f t="shared" si="1"/>
        <v>{"valorA":"de","valorB":16.0}</v>
      </c>
      <c r="E297" s="8" t="str">
        <f t="shared" si="2"/>
        <v>de</v>
      </c>
      <c r="F297" s="8"/>
      <c r="G297" s="8" t="str">
        <f t="shared" si="3"/>
        <v>16.0</v>
      </c>
      <c r="H297" s="9">
        <f t="shared" si="4"/>
        <v>16</v>
      </c>
      <c r="I297" s="6" t="str">
        <f>IFERROR(__xludf.DUMMYFUNCTION("MAX(FILTER($H$2:$H427,$E$2:$E427=F297))"),"#N/A")</f>
        <v>#N/A</v>
      </c>
    </row>
    <row r="298">
      <c r="A298" s="4"/>
      <c r="C298" s="4" t="s">
        <v>611</v>
      </c>
      <c r="D298" s="4" t="str">
        <f t="shared" si="1"/>
        <v>{"valorA":"procura","valorB":1.0}</v>
      </c>
      <c r="E298" s="8" t="str">
        <f t="shared" si="2"/>
        <v>procura</v>
      </c>
      <c r="F298" s="8"/>
      <c r="G298" s="8" t="str">
        <f t="shared" si="3"/>
        <v>1.0</v>
      </c>
      <c r="H298" s="9">
        <f t="shared" si="4"/>
        <v>1</v>
      </c>
      <c r="I298" s="6" t="str">
        <f>IFERROR(__xludf.DUMMYFUNCTION("MAX(FILTER($H$2:$H427,$E$2:$E427=F298))"),"#N/A")</f>
        <v>#N/A</v>
      </c>
    </row>
    <row r="299">
      <c r="A299" s="4"/>
      <c r="C299" s="4" t="s">
        <v>353</v>
      </c>
      <c r="D299" s="4" t="str">
        <f t="shared" si="1"/>
        <v>{"valorA":"produto","valorB":19.0}</v>
      </c>
      <c r="E299" s="8" t="str">
        <f t="shared" si="2"/>
        <v>produto</v>
      </c>
      <c r="F299" s="8"/>
      <c r="G299" s="8" t="str">
        <f t="shared" si="3"/>
        <v>19.0</v>
      </c>
      <c r="H299" s="9">
        <f t="shared" si="4"/>
        <v>19</v>
      </c>
      <c r="I299" s="6" t="str">
        <f>IFERROR(__xludf.DUMMYFUNCTION("MAX(FILTER($H$2:$H427,$E$2:$E427=F299))"),"#N/A")</f>
        <v>#N/A</v>
      </c>
    </row>
    <row r="300">
      <c r="A300" s="4"/>
      <c r="C300" s="4" t="s">
        <v>762</v>
      </c>
      <c r="D300" s="4" t="str">
        <f t="shared" si="1"/>
        <v>{"valorA":"ótimo","valorB":33.0}</v>
      </c>
      <c r="E300" s="8" t="str">
        <f t="shared" si="2"/>
        <v>ótimo</v>
      </c>
      <c r="F300" s="8"/>
      <c r="G300" s="8" t="str">
        <f t="shared" si="3"/>
        <v>33.0</v>
      </c>
      <c r="H300" s="9">
        <f t="shared" si="4"/>
        <v>33</v>
      </c>
      <c r="I300" s="6" t="str">
        <f>IFERROR(__xludf.DUMMYFUNCTION("MAX(FILTER($H$2:$H427,$E$2:$E427=F300))"),"#N/A")</f>
        <v>#N/A</v>
      </c>
    </row>
    <row r="301">
      <c r="A301" s="4"/>
      <c r="C301" s="4" t="s">
        <v>1451</v>
      </c>
      <c r="D301" s="4" t="str">
        <f t="shared" si="1"/>
        <v>{"valorA":"uma","valorB":2.0}</v>
      </c>
      <c r="E301" s="8" t="str">
        <f t="shared" si="2"/>
        <v>uma</v>
      </c>
      <c r="F301" s="8"/>
      <c r="G301" s="8" t="str">
        <f t="shared" si="3"/>
        <v>2.0</v>
      </c>
      <c r="H301" s="9">
        <f t="shared" si="4"/>
        <v>2</v>
      </c>
      <c r="I301" s="6" t="str">
        <f>IFERROR(__xludf.DUMMYFUNCTION("MAX(FILTER($H$2:$H427,$E$2:$E427=F301))"),"#N/A")</f>
        <v>#N/A</v>
      </c>
    </row>
    <row r="302">
      <c r="A302" s="4"/>
      <c r="C302" s="4" t="s">
        <v>1088</v>
      </c>
      <c r="D302" s="4" t="str">
        <f t="shared" si="1"/>
        <v>{"valorA":"barata","valorB":1.0}</v>
      </c>
      <c r="E302" s="8" t="str">
        <f t="shared" si="2"/>
        <v>barata</v>
      </c>
      <c r="F302" s="8"/>
      <c r="G302" s="8" t="str">
        <f t="shared" si="3"/>
        <v>1.0</v>
      </c>
      <c r="H302" s="9">
        <f t="shared" si="4"/>
        <v>1</v>
      </c>
      <c r="I302" s="6" t="str">
        <f>IFERROR(__xludf.DUMMYFUNCTION("MAX(FILTER($H$2:$H427,$E$2:$E427=F302))"),"#N/A")</f>
        <v>#N/A</v>
      </c>
    </row>
    <row r="303">
      <c r="A303" s="4"/>
      <c r="C303" s="4" t="s">
        <v>764</v>
      </c>
      <c r="D303" s="4" t="str">
        <f t="shared" si="1"/>
        <v>{"valorA":"valeu","valorB":5.0}</v>
      </c>
      <c r="E303" s="8" t="str">
        <f t="shared" si="2"/>
        <v>valeu</v>
      </c>
      <c r="F303" s="8"/>
      <c r="G303" s="8" t="str">
        <f t="shared" si="3"/>
        <v>5.0</v>
      </c>
      <c r="H303" s="9">
        <f t="shared" si="4"/>
        <v>5</v>
      </c>
      <c r="I303" s="6" t="str">
        <f>IFERROR(__xludf.DUMMYFUNCTION("MAX(FILTER($H$2:$H427,$E$2:$E427=F303))"),"#N/A")</f>
        <v>#N/A</v>
      </c>
    </row>
    <row r="304">
      <c r="A304" s="4"/>
      <c r="C304" s="4" t="s">
        <v>1452</v>
      </c>
      <c r="D304" s="4" t="str">
        <f t="shared" si="1"/>
        <v>{"valorA":"despendei","valorB":1.0}</v>
      </c>
      <c r="E304" s="8" t="str">
        <f t="shared" si="2"/>
        <v>despendei</v>
      </c>
      <c r="F304" s="8"/>
      <c r="G304" s="8" t="str">
        <f t="shared" si="3"/>
        <v>1.0</v>
      </c>
      <c r="H304" s="9">
        <f t="shared" si="4"/>
        <v>1</v>
      </c>
      <c r="I304" s="6" t="str">
        <f>IFERROR(__xludf.DUMMYFUNCTION("MAX(FILTER($H$2:$H427,$E$2:$E427=F304))"),"#N/A")</f>
        <v>#N/A</v>
      </c>
    </row>
    <row r="305">
      <c r="A305" s="4"/>
      <c r="C305" s="4" t="s">
        <v>409</v>
      </c>
      <c r="D305" s="4" t="str">
        <f t="shared" si="1"/>
        <v>{"valorA":"o","valorB":6.0}</v>
      </c>
      <c r="E305" s="8" t="str">
        <f t="shared" si="2"/>
        <v>o</v>
      </c>
      <c r="F305" s="8"/>
      <c r="G305" s="8" t="str">
        <f t="shared" si="3"/>
        <v>6.0</v>
      </c>
      <c r="H305" s="9">
        <f t="shared" si="4"/>
        <v>6</v>
      </c>
      <c r="I305" s="6" t="str">
        <f>IFERROR(__xludf.DUMMYFUNCTION("MAX(FILTER($H$2:$H427,$E$2:$E427=F305))"),"#N/A")</f>
        <v>#N/A</v>
      </c>
    </row>
    <row r="306">
      <c r="A306" s="4"/>
      <c r="C306" s="4" t="s">
        <v>787</v>
      </c>
      <c r="D306" s="4" t="str">
        <f t="shared" si="1"/>
        <v>{"valorA":"e","valorB":14.0}</v>
      </c>
      <c r="E306" s="8" t="str">
        <f t="shared" si="2"/>
        <v>e</v>
      </c>
      <c r="F306" s="8"/>
      <c r="G306" s="8" t="str">
        <f t="shared" si="3"/>
        <v>14.0</v>
      </c>
      <c r="H306" s="9">
        <f t="shared" si="4"/>
        <v>14</v>
      </c>
      <c r="I306" s="6" t="str">
        <f>IFERROR(__xludf.DUMMYFUNCTION("MAX(FILTER($H$2:$H427,$E$2:$E427=F306))"),"#N/A")</f>
        <v>#N/A</v>
      </c>
    </row>
    <row r="307">
      <c r="A307" s="4"/>
      <c r="C307" s="4" t="s">
        <v>1453</v>
      </c>
      <c r="D307" s="4" t="str">
        <f t="shared" si="1"/>
        <v>{"valorA":"dinheiro","valorB":2.0}</v>
      </c>
      <c r="E307" s="8" t="str">
        <f t="shared" si="2"/>
        <v>dinheiro</v>
      </c>
      <c r="F307" s="8"/>
      <c r="G307" s="8" t="str">
        <f t="shared" si="3"/>
        <v>2.0</v>
      </c>
      <c r="H307" s="9">
        <f t="shared" si="4"/>
        <v>2</v>
      </c>
      <c r="I307" s="6" t="str">
        <f>IFERROR(__xludf.DUMMYFUNCTION("MAX(FILTER($H$2:$H427,$E$2:$E427=F307))"),"#N/A")</f>
        <v>#N/A</v>
      </c>
    </row>
    <row r="308">
      <c r="A308" s="4"/>
      <c r="C308" s="4" t="s">
        <v>765</v>
      </c>
      <c r="D308" s="4" t="str">
        <f t="shared" si="1"/>
        <v>{"valorA":"espera","valorB":4.0}</v>
      </c>
      <c r="E308" s="8" t="str">
        <f t="shared" si="2"/>
        <v>espera</v>
      </c>
      <c r="F308" s="8"/>
      <c r="G308" s="8" t="str">
        <f t="shared" si="3"/>
        <v>4.0</v>
      </c>
      <c r="H308" s="9">
        <f t="shared" si="4"/>
        <v>4</v>
      </c>
      <c r="I308" s="6" t="str">
        <f>IFERROR(__xludf.DUMMYFUNCTION("MAX(FILTER($H$2:$H427,$E$2:$E427=F308))"),"#N/A")</f>
        <v>#N/A</v>
      </c>
    </row>
    <row r="309">
      <c r="A309" s="4"/>
      <c r="C309" s="4" t="s">
        <v>481</v>
      </c>
      <c r="D309" s="4" t="str">
        <f t="shared" si="1"/>
        <v>{"valorA":"que","valorB":4.0}</v>
      </c>
      <c r="E309" s="8" t="str">
        <f t="shared" si="2"/>
        <v>que</v>
      </c>
      <c r="F309" s="8"/>
      <c r="G309" s="8" t="str">
        <f t="shared" si="3"/>
        <v>4.0</v>
      </c>
      <c r="H309" s="9">
        <f t="shared" si="4"/>
        <v>4</v>
      </c>
      <c r="I309" s="6" t="str">
        <f>IFERROR(__xludf.DUMMYFUNCTION("MAX(FILTER($H$2:$H427,$E$2:$E427=F309))"),"#N/A")</f>
        <v>#N/A</v>
      </c>
    </row>
    <row r="310">
      <c r="A310" s="4"/>
      <c r="C310" s="4" t="s">
        <v>723</v>
      </c>
      <c r="D310" s="4" t="str">
        <f t="shared" si="1"/>
        <v>{"valorA":"produto","valorB":20.0}</v>
      </c>
      <c r="E310" s="8" t="str">
        <f t="shared" si="2"/>
        <v>produto</v>
      </c>
      <c r="F310" s="8"/>
      <c r="G310" s="8" t="str">
        <f t="shared" si="3"/>
        <v>20.0</v>
      </c>
      <c r="H310" s="9">
        <f t="shared" si="4"/>
        <v>20</v>
      </c>
      <c r="I310" s="6" t="str">
        <f>IFERROR(__xludf.DUMMYFUNCTION("MAX(FILTER($H$2:$H427,$E$2:$E427=F310))"),"#N/A")</f>
        <v>#N/A</v>
      </c>
    </row>
    <row r="311">
      <c r="A311" s="4"/>
      <c r="C311" s="4" t="s">
        <v>394</v>
      </c>
      <c r="D311" s="4" t="str">
        <f t="shared" si="1"/>
        <v>{"valorA":"ótimo","valorB":34.0}</v>
      </c>
      <c r="E311" s="8" t="str">
        <f t="shared" si="2"/>
        <v>ótimo</v>
      </c>
      <c r="F311" s="8"/>
      <c r="G311" s="8" t="str">
        <f t="shared" si="3"/>
        <v>34.0</v>
      </c>
      <c r="H311" s="9">
        <f t="shared" si="4"/>
        <v>34</v>
      </c>
      <c r="I311" s="6" t="str">
        <f>IFERROR(__xludf.DUMMYFUNCTION("MAX(FILTER($H$2:$H427,$E$2:$E427=F311))"),"#N/A")</f>
        <v>#N/A</v>
      </c>
    </row>
    <row r="312">
      <c r="A312" s="4"/>
      <c r="C312" s="4" t="s">
        <v>489</v>
      </c>
      <c r="D312" s="4" t="str">
        <f t="shared" si="1"/>
        <v>{"valorA":"a","valorB":6.0}</v>
      </c>
      <c r="E312" s="8" t="str">
        <f t="shared" si="2"/>
        <v>a</v>
      </c>
      <c r="F312" s="8"/>
      <c r="G312" s="8" t="str">
        <f t="shared" si="3"/>
        <v>6.0</v>
      </c>
      <c r="H312" s="9">
        <f t="shared" si="4"/>
        <v>6</v>
      </c>
      <c r="I312" s="6" t="str">
        <f>IFERROR(__xludf.DUMMYFUNCTION("MAX(FILTER($H$2:$H427,$E$2:$E427=F312))"),"#N/A")</f>
        <v>#N/A</v>
      </c>
    </row>
    <row r="313">
      <c r="A313" s="4"/>
      <c r="C313" s="4" t="s">
        <v>307</v>
      </c>
      <c r="D313" s="4" t="str">
        <f t="shared" si="1"/>
        <v>{"valorA":"pena","valorB":1.0}</v>
      </c>
      <c r="E313" s="8" t="str">
        <f t="shared" si="2"/>
        <v>pena</v>
      </c>
      <c r="F313" s="8"/>
      <c r="G313" s="8" t="str">
        <f t="shared" si="3"/>
        <v>1.0</v>
      </c>
      <c r="H313" s="9">
        <f t="shared" si="4"/>
        <v>1</v>
      </c>
      <c r="I313" s="6" t="str">
        <f>IFERROR(__xludf.DUMMYFUNCTION("MAX(FILTER($H$2:$H427,$E$2:$E427=F313))"),"#N/A")</f>
        <v>#N/A</v>
      </c>
    </row>
    <row r="314">
      <c r="A314" s="4"/>
      <c r="C314" s="4" t="s">
        <v>375</v>
      </c>
      <c r="D314" s="4" t="str">
        <f t="shared" si="1"/>
        <v>{"valorA":"produto","valorB":21.0}</v>
      </c>
      <c r="E314" s="8" t="str">
        <f t="shared" si="2"/>
        <v>produto</v>
      </c>
      <c r="F314" s="8"/>
      <c r="G314" s="8" t="str">
        <f t="shared" si="3"/>
        <v>21.0</v>
      </c>
      <c r="H314" s="9">
        <f t="shared" si="4"/>
        <v>21</v>
      </c>
      <c r="I314" s="6" t="str">
        <f>IFERROR(__xludf.DUMMYFUNCTION("MAX(FILTER($H$2:$H427,$E$2:$E427=F314))"),"#N/A")</f>
        <v>#N/A</v>
      </c>
    </row>
    <row r="315">
      <c r="A315" s="4"/>
      <c r="C315" s="4" t="s">
        <v>768</v>
      </c>
      <c r="D315" s="4" t="str">
        <f t="shared" si="1"/>
        <v>{"valorA":"ótimo","valorB":35.0}</v>
      </c>
      <c r="E315" s="8" t="str">
        <f t="shared" si="2"/>
        <v>ótimo</v>
      </c>
      <c r="F315" s="8"/>
      <c r="G315" s="8" t="str">
        <f t="shared" si="3"/>
        <v>35.0</v>
      </c>
      <c r="H315" s="9">
        <f t="shared" si="4"/>
        <v>35</v>
      </c>
      <c r="I315" s="6" t="str">
        <f>IFERROR(__xludf.DUMMYFUNCTION("MAX(FILTER($H$2:$H427,$E$2:$E427=F315))"),"#N/A")</f>
        <v>#N/A</v>
      </c>
    </row>
    <row r="316">
      <c r="A316" s="4"/>
      <c r="C316" s="4" t="s">
        <v>1454</v>
      </c>
      <c r="D316" s="4" t="str">
        <f t="shared" si="1"/>
        <v>{"valorA":"valera","valorB":1.0}</v>
      </c>
      <c r="E316" s="8" t="str">
        <f t="shared" si="2"/>
        <v>valera</v>
      </c>
      <c r="F316" s="8"/>
      <c r="G316" s="8" t="str">
        <f t="shared" si="3"/>
        <v>1.0</v>
      </c>
      <c r="H316" s="9">
        <f t="shared" si="4"/>
        <v>1</v>
      </c>
      <c r="I316" s="6" t="str">
        <f>IFERROR(__xludf.DUMMYFUNCTION("MAX(FILTER($H$2:$H427,$E$2:$E427=F316))"),"#N/A")</f>
        <v>#N/A</v>
      </c>
    </row>
    <row r="317">
      <c r="A317" s="4"/>
      <c r="C317" s="4" t="s">
        <v>1455</v>
      </c>
      <c r="D317" s="4" t="str">
        <f t="shared" si="1"/>
        <v>{"valorA":"comprálo","valorB":1.0}</v>
      </c>
      <c r="E317" s="8" t="str">
        <f t="shared" si="2"/>
        <v>comprálo</v>
      </c>
      <c r="F317" s="8"/>
      <c r="G317" s="8" t="str">
        <f t="shared" si="3"/>
        <v>1.0</v>
      </c>
      <c r="H317" s="9">
        <f t="shared" si="4"/>
        <v>1</v>
      </c>
      <c r="I317" s="6" t="str">
        <f>IFERROR(__xludf.DUMMYFUNCTION("MAX(FILTER($H$2:$H427,$E$2:$E427=F317))"),"#N/A")</f>
        <v>#N/A</v>
      </c>
    </row>
    <row r="318">
      <c r="A318" s="4"/>
      <c r="C318" s="4" t="s">
        <v>630</v>
      </c>
      <c r="D318" s="4" t="str">
        <f t="shared" si="1"/>
        <v>{"valorA":"a","valorB":7.0}</v>
      </c>
      <c r="E318" s="8" t="str">
        <f t="shared" si="2"/>
        <v>a</v>
      </c>
      <c r="F318" s="8"/>
      <c r="G318" s="8" t="str">
        <f t="shared" si="3"/>
        <v>7.0</v>
      </c>
      <c r="H318" s="9">
        <f t="shared" si="4"/>
        <v>7</v>
      </c>
      <c r="I318" s="6" t="str">
        <f>IFERROR(__xludf.DUMMYFUNCTION("MAX(FILTER($H$2:$H427,$E$2:$E427=F318))"),"#N/A")</f>
        <v>#N/A</v>
      </c>
    </row>
    <row r="319">
      <c r="A319" s="4"/>
      <c r="C319" s="4" t="s">
        <v>326</v>
      </c>
      <c r="D319" s="4" t="str">
        <f t="shared" si="1"/>
        <v>{"valorA":"é","valorB":5.0}</v>
      </c>
      <c r="E319" s="8" t="str">
        <f t="shared" si="2"/>
        <v>é</v>
      </c>
      <c r="F319" s="8"/>
      <c r="G319" s="8" t="str">
        <f t="shared" si="3"/>
        <v>5.0</v>
      </c>
      <c r="H319" s="9">
        <f t="shared" si="4"/>
        <v>5</v>
      </c>
      <c r="I319" s="6" t="str">
        <f>IFERROR(__xludf.DUMMYFUNCTION("MAX(FILTER($H$2:$H427,$E$2:$E427=F319))"),"#N/A")</f>
        <v>#N/A</v>
      </c>
    </row>
    <row r="320">
      <c r="A320" s="4"/>
      <c r="C320" s="4" t="s">
        <v>728</v>
      </c>
      <c r="D320" s="4" t="str">
        <f t="shared" si="1"/>
        <v>{"valorA":"para","valorB":11.0}</v>
      </c>
      <c r="E320" s="8" t="str">
        <f t="shared" si="2"/>
        <v>para</v>
      </c>
      <c r="F320" s="8"/>
      <c r="G320" s="8" t="str">
        <f t="shared" si="3"/>
        <v>11.0</v>
      </c>
      <c r="H320" s="9">
        <f t="shared" si="4"/>
        <v>11</v>
      </c>
      <c r="I320" s="6" t="str">
        <f>IFERROR(__xludf.DUMMYFUNCTION("MAX(FILTER($H$2:$H427,$E$2:$E427=F320))"),"#N/A")</f>
        <v>#N/A</v>
      </c>
    </row>
    <row r="321">
      <c r="A321" s="4"/>
      <c r="C321" s="4" t="s">
        <v>1456</v>
      </c>
      <c r="D321" s="4" t="str">
        <f t="shared" si="1"/>
        <v>{"valorA":"legais","valorB":1.0}</v>
      </c>
      <c r="E321" s="8" t="str">
        <f t="shared" si="2"/>
        <v>legais</v>
      </c>
      <c r="F321" s="8"/>
      <c r="G321" s="8" t="str">
        <f t="shared" si="3"/>
        <v>1.0</v>
      </c>
      <c r="H321" s="9">
        <f t="shared" si="4"/>
        <v>1</v>
      </c>
      <c r="I321" s="6" t="str">
        <f>IFERROR(__xludf.DUMMYFUNCTION("MAX(FILTER($H$2:$H427,$E$2:$E427=F321))"),"#N/A")</f>
        <v>#N/A</v>
      </c>
    </row>
    <row r="322">
      <c r="A322" s="4"/>
      <c r="C322" s="4" t="s">
        <v>831</v>
      </c>
      <c r="D322" s="4" t="str">
        <f t="shared" si="1"/>
        <v>{"valorA":"meu","valorB":5.0}</v>
      </c>
      <c r="E322" s="8" t="str">
        <f t="shared" si="2"/>
        <v>meu</v>
      </c>
      <c r="F322" s="8"/>
      <c r="G322" s="8" t="str">
        <f t="shared" si="3"/>
        <v>5.0</v>
      </c>
      <c r="H322" s="9">
        <f t="shared" si="4"/>
        <v>5</v>
      </c>
      <c r="I322" s="6" t="str">
        <f>IFERROR(__xludf.DUMMYFUNCTION("MAX(FILTER($H$2:$H427,$E$2:$E427=F322))"),"#N/A")</f>
        <v>#N/A</v>
      </c>
    </row>
    <row r="323">
      <c r="A323" s="4"/>
      <c r="C323" s="4" t="s">
        <v>735</v>
      </c>
      <c r="D323" s="4" t="str">
        <f t="shared" si="1"/>
        <v>{"valorA":"fico","valorB":1.0}</v>
      </c>
      <c r="E323" s="8" t="str">
        <f t="shared" si="2"/>
        <v>fico</v>
      </c>
      <c r="F323" s="8"/>
      <c r="G323" s="8" t="str">
        <f t="shared" si="3"/>
        <v>1.0</v>
      </c>
      <c r="H323" s="9">
        <f t="shared" si="4"/>
        <v>1</v>
      </c>
      <c r="I323" s="6" t="str">
        <f>IFERROR(__xludf.DUMMYFUNCTION("MAX(FILTER($H$2:$H427,$E$2:$E427=F323))"),"#N/A")</f>
        <v>#N/A</v>
      </c>
    </row>
    <row r="324">
      <c r="A324" s="4"/>
      <c r="C324" s="4" t="s">
        <v>614</v>
      </c>
      <c r="D324" s="4" t="str">
        <f t="shared" si="1"/>
        <v>{"valorA":"tão","valorB":1.0}</v>
      </c>
      <c r="E324" s="8" t="str">
        <f t="shared" si="2"/>
        <v>tão</v>
      </c>
      <c r="F324" s="8"/>
      <c r="G324" s="8" t="str">
        <f t="shared" si="3"/>
        <v>1.0</v>
      </c>
      <c r="H324" s="9">
        <f t="shared" si="4"/>
        <v>1</v>
      </c>
      <c r="I324" s="6" t="str">
        <f>IFERROR(__xludf.DUMMYFUNCTION("MAX(FILTER($H$2:$H427,$E$2:$E427=F324))"),"#N/A")</f>
        <v>#N/A</v>
      </c>
    </row>
    <row r="325">
      <c r="A325" s="4"/>
      <c r="C325" s="4" t="s">
        <v>1457</v>
      </c>
      <c r="D325" s="4" t="str">
        <f t="shared" si="1"/>
        <v>{"valorA":"tablet","valorB":2.0}</v>
      </c>
      <c r="E325" s="8" t="str">
        <f t="shared" si="2"/>
        <v>tablet</v>
      </c>
      <c r="F325" s="8"/>
      <c r="G325" s="8" t="str">
        <f t="shared" si="3"/>
        <v>2.0</v>
      </c>
      <c r="H325" s="9">
        <f t="shared" si="4"/>
        <v>2</v>
      </c>
      <c r="I325" s="6" t="str">
        <f>IFERROR(__xludf.DUMMYFUNCTION("MAX(FILTER($H$2:$H427,$E$2:$E427=F325))"),"#N/A")</f>
        <v>#N/A</v>
      </c>
    </row>
    <row r="326">
      <c r="A326" s="4"/>
      <c r="C326" s="4" t="s">
        <v>308</v>
      </c>
      <c r="D326" s="4" t="str">
        <f t="shared" si="1"/>
        <v>{"valorA":"bem","valorB":5.0}</v>
      </c>
      <c r="E326" s="8" t="str">
        <f t="shared" si="2"/>
        <v>bem</v>
      </c>
      <c r="F326" s="8"/>
      <c r="G326" s="8" t="str">
        <f t="shared" si="3"/>
        <v>5.0</v>
      </c>
      <c r="H326" s="9">
        <f t="shared" si="4"/>
        <v>5</v>
      </c>
      <c r="I326" s="6" t="str">
        <f>IFERROR(__xludf.DUMMYFUNCTION("MAX(FILTER($H$2:$H427,$E$2:$E427=F326))"),"#N/A")</f>
        <v>#N/A</v>
      </c>
    </row>
    <row r="327">
      <c r="A327" s="4"/>
      <c r="C327" s="4" t="s">
        <v>664</v>
      </c>
      <c r="D327" s="4" t="str">
        <f t="shared" si="1"/>
        <v>{"valorA":"bom","valorB":3.0}</v>
      </c>
      <c r="E327" s="8" t="str">
        <f t="shared" si="2"/>
        <v>bom</v>
      </c>
      <c r="F327" s="8"/>
      <c r="G327" s="8" t="str">
        <f t="shared" si="3"/>
        <v>3.0</v>
      </c>
      <c r="H327" s="9">
        <f t="shared" si="4"/>
        <v>3</v>
      </c>
      <c r="I327" s="6" t="str">
        <f>IFERROR(__xludf.DUMMYFUNCTION("MAX(FILTER($H$2:$H427,$E$2:$E427=F327))"),"#N/A")</f>
        <v>#N/A</v>
      </c>
    </row>
    <row r="328">
      <c r="A328" s="4"/>
      <c r="C328" s="4" t="s">
        <v>732</v>
      </c>
      <c r="D328" s="4" t="str">
        <f t="shared" si="1"/>
        <v>{"valorA":"eu","valorB":1.0}</v>
      </c>
      <c r="E328" s="8" t="str">
        <f t="shared" si="2"/>
        <v>eu</v>
      </c>
      <c r="F328" s="8"/>
      <c r="G328" s="8" t="str">
        <f t="shared" si="3"/>
        <v>1.0</v>
      </c>
      <c r="H328" s="9">
        <f t="shared" si="4"/>
        <v>1</v>
      </c>
      <c r="I328" s="6" t="str">
        <f>IFERROR(__xludf.DUMMYFUNCTION("MAX(FILTER($H$2:$H427,$E$2:$E427=F328))"),"#N/A")</f>
        <v>#N/A</v>
      </c>
    </row>
    <row r="329">
      <c r="A329" s="4"/>
      <c r="C329" s="4" t="s">
        <v>204</v>
      </c>
      <c r="D329" s="4" t="str">
        <f t="shared" si="1"/>
        <v>{"valorA":"pelo","valorB":1.0}</v>
      </c>
      <c r="E329" s="8" t="str">
        <f t="shared" si="2"/>
        <v>pelo</v>
      </c>
      <c r="F329" s="8"/>
      <c r="G329" s="8" t="str">
        <f t="shared" si="3"/>
        <v>1.0</v>
      </c>
      <c r="H329" s="9">
        <f t="shared" si="4"/>
        <v>1</v>
      </c>
      <c r="I329" s="6" t="str">
        <f>IFERROR(__xludf.DUMMYFUNCTION("MAX(FILTER($H$2:$H427,$E$2:$E427=F329))"),"#N/A")</f>
        <v>#N/A</v>
      </c>
    </row>
    <row r="330">
      <c r="A330" s="4"/>
      <c r="C330" s="4" t="s">
        <v>698</v>
      </c>
      <c r="D330" s="4" t="str">
        <f t="shared" si="1"/>
        <v>{"valorA":"que","valorB":5.0}</v>
      </c>
      <c r="E330" s="8" t="str">
        <f t="shared" si="2"/>
        <v>que</v>
      </c>
      <c r="F330" s="8"/>
      <c r="G330" s="8" t="str">
        <f t="shared" si="3"/>
        <v>5.0</v>
      </c>
      <c r="H330" s="9">
        <f t="shared" si="4"/>
        <v>5</v>
      </c>
      <c r="I330" s="6" t="str">
        <f>IFERROR(__xludf.DUMMYFUNCTION("MAX(FILTER($H$2:$H427,$E$2:$E427=F330))"),"#N/A")</f>
        <v>#N/A</v>
      </c>
    </row>
    <row r="331">
      <c r="A331" s="4"/>
      <c r="C331" s="4" t="s">
        <v>741</v>
      </c>
      <c r="D331" s="4" t="str">
        <f t="shared" si="1"/>
        <v>{"valorA":"produto","valorB":22.0}</v>
      </c>
      <c r="E331" s="8" t="str">
        <f t="shared" si="2"/>
        <v>produto</v>
      </c>
      <c r="F331" s="8"/>
      <c r="G331" s="8" t="str">
        <f t="shared" si="3"/>
        <v>22.0</v>
      </c>
      <c r="H331" s="9">
        <f t="shared" si="4"/>
        <v>22</v>
      </c>
      <c r="I331" s="6" t="str">
        <f>IFERROR(__xludf.DUMMYFUNCTION("MAX(FILTER($H$2:$H427,$E$2:$E427=F331))"),"#N/A")</f>
        <v>#N/A</v>
      </c>
    </row>
    <row r="332">
      <c r="A332" s="4"/>
      <c r="C332" s="4" t="s">
        <v>784</v>
      </c>
      <c r="D332" s="4" t="str">
        <f t="shared" si="1"/>
        <v>{"valorA":"ótimo","valorB":37.0}</v>
      </c>
      <c r="E332" s="8" t="str">
        <f t="shared" si="2"/>
        <v>ótimo</v>
      </c>
      <c r="F332" s="8"/>
      <c r="G332" s="8" t="str">
        <f t="shared" si="3"/>
        <v>37.0</v>
      </c>
      <c r="H332" s="9">
        <f t="shared" si="4"/>
        <v>37</v>
      </c>
      <c r="I332" s="6" t="str">
        <f>IFERROR(__xludf.DUMMYFUNCTION("MAX(FILTER($H$2:$H427,$E$2:$E427=F332))"),"#N/A")</f>
        <v>#N/A</v>
      </c>
    </row>
    <row r="333">
      <c r="A333" s="4"/>
      <c r="C333" s="4" t="s">
        <v>595</v>
      </c>
      <c r="D333" s="4" t="str">
        <f t="shared" si="1"/>
        <v>{"valorA":"paguei","valorB":2.0}</v>
      </c>
      <c r="E333" s="8" t="str">
        <f t="shared" si="2"/>
        <v>paguei</v>
      </c>
      <c r="F333" s="8"/>
      <c r="G333" s="8" t="str">
        <f t="shared" si="3"/>
        <v>2.0</v>
      </c>
      <c r="H333" s="9">
        <f t="shared" si="4"/>
        <v>2</v>
      </c>
      <c r="I333" s="6" t="str">
        <f>IFERROR(__xludf.DUMMYFUNCTION("MAX(FILTER($H$2:$H427,$E$2:$E427=F333))"),"#N/A")</f>
        <v>#N/A</v>
      </c>
    </row>
    <row r="334">
      <c r="A334" s="4"/>
      <c r="C334" s="4" t="s">
        <v>829</v>
      </c>
      <c r="D334" s="4" t="str">
        <f t="shared" si="1"/>
        <v>{"valorA":"muito","valorB":13.0}</v>
      </c>
      <c r="E334" s="8" t="str">
        <f t="shared" si="2"/>
        <v>muito</v>
      </c>
      <c r="F334" s="8"/>
      <c r="G334" s="8" t="str">
        <f t="shared" si="3"/>
        <v>13.0</v>
      </c>
      <c r="H334" s="9">
        <f t="shared" si="4"/>
        <v>13</v>
      </c>
      <c r="I334" s="6" t="str">
        <f>IFERROR(__xludf.DUMMYFUNCTION("MAX(FILTER($H$2:$H427,$E$2:$E427=F334))"),"#N/A")</f>
        <v>#N/A</v>
      </c>
    </row>
    <row r="335">
      <c r="A335" s="4"/>
      <c r="C335" s="4" t="s">
        <v>215</v>
      </c>
      <c r="D335" s="4" t="str">
        <f t="shared" si="1"/>
        <v>{"valorA":"satisfeito","valorB":1.0}</v>
      </c>
      <c r="E335" s="8" t="str">
        <f t="shared" si="2"/>
        <v>satisfeito</v>
      </c>
      <c r="F335" s="8"/>
      <c r="G335" s="8" t="str">
        <f t="shared" si="3"/>
        <v>1.0</v>
      </c>
      <c r="H335" s="9">
        <f t="shared" si="4"/>
        <v>1</v>
      </c>
      <c r="I335" s="6" t="str">
        <f>IFERROR(__xludf.DUMMYFUNCTION("MAX(FILTER($H$2:$H427,$E$2:$E427=F335))"),"#N/A")</f>
        <v>#N/A</v>
      </c>
    </row>
    <row r="336">
      <c r="A336" s="4"/>
      <c r="C336" s="4" t="s">
        <v>670</v>
      </c>
      <c r="D336" s="4" t="str">
        <f t="shared" si="1"/>
        <v>{"valorA":"um","valorB":3.0}</v>
      </c>
      <c r="E336" s="8" t="str">
        <f t="shared" si="2"/>
        <v>um</v>
      </c>
      <c r="F336" s="8"/>
      <c r="G336" s="8" t="str">
        <f t="shared" si="3"/>
        <v>3.0</v>
      </c>
      <c r="H336" s="9">
        <f t="shared" si="4"/>
        <v>3</v>
      </c>
      <c r="I336" s="6" t="str">
        <f>IFERROR(__xludf.DUMMYFUNCTION("MAX(FILTER($H$2:$H427,$E$2:$E427=F336))"),"#N/A")</f>
        <v>#N/A</v>
      </c>
    </row>
    <row r="337">
      <c r="A337" s="4"/>
      <c r="C337" s="4" t="s">
        <v>620</v>
      </c>
      <c r="D337" s="4" t="str">
        <f t="shared" si="1"/>
        <v>{"valorA":"preço","valorB":5.0}</v>
      </c>
      <c r="E337" s="8" t="str">
        <f t="shared" si="2"/>
        <v>preço</v>
      </c>
      <c r="F337" s="8"/>
      <c r="G337" s="8" t="str">
        <f t="shared" si="3"/>
        <v>5.0</v>
      </c>
      <c r="H337" s="9">
        <f t="shared" si="4"/>
        <v>5</v>
      </c>
      <c r="I337" s="6" t="str">
        <f>IFERROR(__xludf.DUMMYFUNCTION("MAX(FILTER($H$2:$H427,$E$2:$E427=F337))"),"#N/A")</f>
        <v>#N/A</v>
      </c>
    </row>
    <row r="338">
      <c r="A338" s="4"/>
      <c r="C338" s="4" t="s">
        <v>751</v>
      </c>
      <c r="D338" s="4" t="str">
        <f t="shared" si="1"/>
        <v>{"valorA":"qualidade","valorB":8.0}</v>
      </c>
      <c r="E338" s="8" t="str">
        <f t="shared" si="2"/>
        <v>qualidade</v>
      </c>
      <c r="F338" s="8"/>
      <c r="G338" s="8" t="str">
        <f t="shared" si="3"/>
        <v>8.0</v>
      </c>
      <c r="H338" s="9">
        <f t="shared" si="4"/>
        <v>8</v>
      </c>
      <c r="I338" s="6" t="str">
        <f>IFERROR(__xludf.DUMMYFUNCTION("MAX(FILTER($H$2:$H427,$E$2:$E427=F338))"),"#N/A")</f>
        <v>#N/A</v>
      </c>
    </row>
    <row r="339">
      <c r="A339" s="4"/>
      <c r="C339" s="4" t="s">
        <v>846</v>
      </c>
      <c r="D339" s="4" t="str">
        <f t="shared" si="1"/>
        <v>{"valorA":"e","valorB":15.0}</v>
      </c>
      <c r="E339" s="8" t="str">
        <f t="shared" si="2"/>
        <v>e</v>
      </c>
      <c r="F339" s="8"/>
      <c r="G339" s="8" t="str">
        <f t="shared" si="3"/>
        <v>15.0</v>
      </c>
      <c r="H339" s="9">
        <f t="shared" si="4"/>
        <v>15</v>
      </c>
      <c r="I339" s="6" t="str">
        <f>IFERROR(__xludf.DUMMYFUNCTION("MAX(FILTER($H$2:$H427,$E$2:$E427=F339))"),"#N/A")</f>
        <v>#N/A</v>
      </c>
    </row>
    <row r="340">
      <c r="A340" s="4"/>
      <c r="C340" s="4" t="s">
        <v>1458</v>
      </c>
      <c r="D340" s="4" t="str">
        <f t="shared" si="1"/>
        <v>{"valorA":"gosto","valorB":4.0}</v>
      </c>
      <c r="E340" s="8" t="str">
        <f t="shared" si="2"/>
        <v>gosto</v>
      </c>
      <c r="F340" s="8"/>
      <c r="G340" s="8" t="str">
        <f t="shared" si="3"/>
        <v>4.0</v>
      </c>
      <c r="H340" s="9">
        <f t="shared" si="4"/>
        <v>4</v>
      </c>
      <c r="I340" s="6" t="str">
        <f>IFERROR(__xludf.DUMMYFUNCTION("MAX(FILTER($H$2:$H427,$E$2:$E427=F340))"),"#N/A")</f>
        <v>#N/A</v>
      </c>
    </row>
    <row r="341">
      <c r="A341" s="4"/>
      <c r="C341" s="4" t="s">
        <v>391</v>
      </c>
      <c r="D341" s="4" t="str">
        <f t="shared" si="1"/>
        <v>{"valorA":"produto","valorB":23.0}</v>
      </c>
      <c r="E341" s="8" t="str">
        <f t="shared" si="2"/>
        <v>produto</v>
      </c>
      <c r="F341" s="8"/>
      <c r="G341" s="8" t="str">
        <f t="shared" si="3"/>
        <v>23.0</v>
      </c>
      <c r="H341" s="9">
        <f t="shared" si="4"/>
        <v>23</v>
      </c>
      <c r="I341" s="6" t="str">
        <f>IFERROR(__xludf.DUMMYFUNCTION("MAX(FILTER($H$2:$H427,$E$2:$E427=F341))"),"#N/A")</f>
        <v>#N/A</v>
      </c>
    </row>
    <row r="342">
      <c r="A342" s="4"/>
      <c r="C342" s="4" t="s">
        <v>462</v>
      </c>
      <c r="D342" s="4" t="str">
        <f t="shared" si="1"/>
        <v>{"valorA":"do","valorB":3.0}</v>
      </c>
      <c r="E342" s="8" t="str">
        <f t="shared" si="2"/>
        <v>do</v>
      </c>
      <c r="F342" s="8"/>
      <c r="G342" s="8" t="str">
        <f t="shared" si="3"/>
        <v>3.0</v>
      </c>
      <c r="H342" s="9">
        <f t="shared" si="4"/>
        <v>3</v>
      </c>
      <c r="I342" s="6" t="str">
        <f>IFERROR(__xludf.DUMMYFUNCTION("MAX(FILTER($H$2:$H427,$E$2:$E427=F342))"),"#N/A")</f>
        <v>#N/A</v>
      </c>
    </row>
    <row r="343">
      <c r="A343" s="4"/>
      <c r="C343" s="4" t="s">
        <v>430</v>
      </c>
      <c r="D343" s="4" t="str">
        <f t="shared" si="1"/>
        <v>{"valorA":"ótimo","valorB":38.0}</v>
      </c>
      <c r="E343" s="8" t="str">
        <f t="shared" si="2"/>
        <v>ótimo</v>
      </c>
      <c r="F343" s="8"/>
      <c r="G343" s="8" t="str">
        <f t="shared" si="3"/>
        <v>38.0</v>
      </c>
      <c r="H343" s="9">
        <f t="shared" si="4"/>
        <v>38</v>
      </c>
      <c r="I343" s="6" t="str">
        <f>IFERROR(__xludf.DUMMYFUNCTION("MAX(FILTER($H$2:$H427,$E$2:$E427=F343))"),"#N/A")</f>
        <v>#N/A</v>
      </c>
    </row>
    <row r="344">
      <c r="A344" s="4"/>
      <c r="C344" s="4" t="s">
        <v>397</v>
      </c>
      <c r="D344" s="4" t="str">
        <f t="shared" si="1"/>
        <v>{"valorA":"muito","valorB":14.0}</v>
      </c>
      <c r="E344" s="8" t="str">
        <f t="shared" si="2"/>
        <v>muito</v>
      </c>
      <c r="F344" s="8"/>
      <c r="G344" s="8" t="str">
        <f t="shared" si="3"/>
        <v>14.0</v>
      </c>
      <c r="H344" s="9">
        <f t="shared" si="4"/>
        <v>14</v>
      </c>
      <c r="I344" s="6" t="str">
        <f>IFERROR(__xludf.DUMMYFUNCTION("MAX(FILTER($H$2:$H427,$E$2:$E427=F344))"),"#N/A")</f>
        <v>#N/A</v>
      </c>
    </row>
    <row r="345">
      <c r="A345" s="4"/>
      <c r="C345" s="4" t="s">
        <v>401</v>
      </c>
      <c r="D345" s="4" t="str">
        <f t="shared" si="1"/>
        <v>{"valorA":"design","valorB":1.0}</v>
      </c>
      <c r="E345" s="8" t="str">
        <f t="shared" si="2"/>
        <v>design</v>
      </c>
      <c r="F345" s="8"/>
      <c r="G345" s="8" t="str">
        <f t="shared" si="3"/>
        <v>1.0</v>
      </c>
      <c r="H345" s="9">
        <f t="shared" si="4"/>
        <v>1</v>
      </c>
      <c r="I345" s="6" t="str">
        <f>IFERROR(__xludf.DUMMYFUNCTION("MAX(FILTER($H$2:$H427,$E$2:$E427=F345))"),"#N/A")</f>
        <v>#N/A</v>
      </c>
    </row>
    <row r="346">
      <c r="A346" s="4"/>
      <c r="C346" s="4" t="s">
        <v>402</v>
      </c>
      <c r="D346" s="4" t="str">
        <f t="shared" si="1"/>
        <v>{"valorA":"da","valorB":2.0}</v>
      </c>
      <c r="E346" s="8" t="str">
        <f t="shared" si="2"/>
        <v>da</v>
      </c>
      <c r="F346" s="8"/>
      <c r="G346" s="8" t="str">
        <f t="shared" si="3"/>
        <v>2.0</v>
      </c>
      <c r="H346" s="9">
        <f t="shared" si="4"/>
        <v>2</v>
      </c>
      <c r="I346" s="6" t="str">
        <f>IFERROR(__xludf.DUMMYFUNCTION("MAX(FILTER($H$2:$H427,$E$2:$E427=F346))"),"#N/A")</f>
        <v>#N/A</v>
      </c>
    </row>
    <row r="347">
      <c r="A347" s="4"/>
      <c r="C347" s="4" t="s">
        <v>743</v>
      </c>
      <c r="D347" s="4" t="str">
        <f t="shared" si="1"/>
        <v>{"valorA":"para","valorB":12.0}</v>
      </c>
      <c r="E347" s="8" t="str">
        <f t="shared" si="2"/>
        <v>para</v>
      </c>
      <c r="F347" s="8"/>
      <c r="G347" s="8" t="str">
        <f t="shared" si="3"/>
        <v>12.0</v>
      </c>
      <c r="H347" s="9">
        <f t="shared" si="4"/>
        <v>12</v>
      </c>
      <c r="I347" s="6" t="str">
        <f>IFERROR(__xludf.DUMMYFUNCTION("MAX(FILTER($H$2:$H427,$E$2:$E427=F347))"),"#N/A")</f>
        <v>#N/A</v>
      </c>
    </row>
    <row r="348">
      <c r="A348" s="4"/>
      <c r="C348" s="4" t="s">
        <v>647</v>
      </c>
      <c r="D348" s="4" t="str">
        <f t="shared" si="1"/>
        <v>{"valorA":"tão","valorB":2.0}</v>
      </c>
      <c r="E348" s="8" t="str">
        <f t="shared" si="2"/>
        <v>tão</v>
      </c>
      <c r="F348" s="8"/>
      <c r="G348" s="8" t="str">
        <f t="shared" si="3"/>
        <v>2.0</v>
      </c>
      <c r="H348" s="9">
        <f t="shared" si="4"/>
        <v>2</v>
      </c>
      <c r="I348" s="6" t="str">
        <f>IFERROR(__xludf.DUMMYFUNCTION("MAX(FILTER($H$2:$H427,$E$2:$E427=F348))"),"#N/A")</f>
        <v>#N/A</v>
      </c>
    </row>
    <row r="349">
      <c r="A349" s="4"/>
      <c r="C349" s="4" t="s">
        <v>1459</v>
      </c>
      <c r="D349" s="4" t="str">
        <f t="shared" si="1"/>
        <v>{"valorA":"amooooo","valorB":1.0}</v>
      </c>
      <c r="E349" s="8" t="str">
        <f t="shared" si="2"/>
        <v>amooooo</v>
      </c>
      <c r="F349" s="8"/>
      <c r="G349" s="8" t="str">
        <f t="shared" si="3"/>
        <v>1.0</v>
      </c>
      <c r="H349" s="9">
        <f t="shared" si="4"/>
        <v>1</v>
      </c>
      <c r="I349" s="6" t="str">
        <f>IFERROR(__xludf.DUMMYFUNCTION("MAX(FILTER($H$2:$H427,$E$2:$E427=F349))"),"#N/A")</f>
        <v>#N/A</v>
      </c>
    </row>
    <row r="350">
      <c r="A350" s="4"/>
      <c r="C350" s="4" t="s">
        <v>731</v>
      </c>
      <c r="D350" s="4" t="str">
        <f t="shared" si="1"/>
        <v>{"valorA":"bom","valorB":4.0}</v>
      </c>
      <c r="E350" s="8" t="str">
        <f t="shared" si="2"/>
        <v>bom</v>
      </c>
      <c r="F350" s="8"/>
      <c r="G350" s="8" t="str">
        <f t="shared" si="3"/>
        <v>4.0</v>
      </c>
      <c r="H350" s="9">
        <f t="shared" si="4"/>
        <v>4</v>
      </c>
      <c r="I350" s="6" t="str">
        <f>IFERROR(__xludf.DUMMYFUNCTION("MAX(FILTER($H$2:$H427,$E$2:$E427=F350))"),"#N/A")</f>
        <v>#N/A</v>
      </c>
    </row>
    <row r="351">
      <c r="A351" s="4"/>
      <c r="C351" s="4" t="s">
        <v>413</v>
      </c>
      <c r="D351" s="4" t="str">
        <f t="shared" si="1"/>
        <v>{"valorA":"produto","valorB":24.0}</v>
      </c>
      <c r="E351" s="8" t="str">
        <f t="shared" si="2"/>
        <v>produto</v>
      </c>
      <c r="F351" s="8"/>
      <c r="G351" s="8" t="str">
        <f t="shared" si="3"/>
        <v>24.0</v>
      </c>
      <c r="H351" s="9">
        <f t="shared" si="4"/>
        <v>24</v>
      </c>
      <c r="I351" s="6" t="str">
        <f>IFERROR(__xludf.DUMMYFUNCTION("MAX(FILTER($H$2:$H427,$E$2:$E427=F351))"),"#N/A")</f>
        <v>#N/A</v>
      </c>
    </row>
    <row r="352">
      <c r="A352" s="4"/>
      <c r="C352" s="4" t="s">
        <v>799</v>
      </c>
      <c r="D352" s="4" t="str">
        <f t="shared" si="1"/>
        <v>{"valorA":"ótimo","valorB":39.0}</v>
      </c>
      <c r="E352" s="8" t="str">
        <f t="shared" si="2"/>
        <v>ótimo</v>
      </c>
      <c r="F352" s="8"/>
      <c r="G352" s="8" t="str">
        <f t="shared" si="3"/>
        <v>39.0</v>
      </c>
      <c r="H352" s="9">
        <f t="shared" si="4"/>
        <v>39</v>
      </c>
      <c r="I352" s="6" t="str">
        <f>IFERROR(__xludf.DUMMYFUNCTION("MAX(FILTER($H$2:$H427,$E$2:$E427=F352))"),"#N/A")</f>
        <v>#N/A</v>
      </c>
    </row>
    <row r="353">
      <c r="A353" s="4"/>
      <c r="C353" s="4" t="s">
        <v>686</v>
      </c>
      <c r="D353" s="4" t="str">
        <f t="shared" si="1"/>
        <v>{"valorA":"um","valorB":4.0}</v>
      </c>
      <c r="E353" s="8" t="str">
        <f t="shared" si="2"/>
        <v>um</v>
      </c>
      <c r="F353" s="8"/>
      <c r="G353" s="8" t="str">
        <f t="shared" si="3"/>
        <v>4.0</v>
      </c>
      <c r="H353" s="9">
        <f t="shared" si="4"/>
        <v>4</v>
      </c>
      <c r="I353" s="6" t="str">
        <f>IFERROR(__xludf.DUMMYFUNCTION("MAX(FILTER($H$2:$H427,$E$2:$E427=F353))"),"#N/A")</f>
        <v>#N/A</v>
      </c>
    </row>
    <row r="354">
      <c r="A354" s="4"/>
      <c r="C354" s="4" t="s">
        <v>624</v>
      </c>
      <c r="D354" s="4" t="str">
        <f t="shared" si="1"/>
        <v>{"valorA":"preço","valorB":6.0}</v>
      </c>
      <c r="E354" s="8" t="str">
        <f t="shared" si="2"/>
        <v>preço</v>
      </c>
      <c r="F354" s="8"/>
      <c r="G354" s="8" t="str">
        <f t="shared" si="3"/>
        <v>6.0</v>
      </c>
      <c r="H354" s="9">
        <f t="shared" si="4"/>
        <v>6</v>
      </c>
      <c r="I354" s="6" t="str">
        <f>IFERROR(__xludf.DUMMYFUNCTION("MAX(FILTER($H$2:$H427,$E$2:$E427=F354))"),"#N/A")</f>
        <v>#N/A</v>
      </c>
    </row>
    <row r="355">
      <c r="A355" s="4"/>
      <c r="C355" s="4" t="s">
        <v>757</v>
      </c>
      <c r="D355" s="4" t="str">
        <f t="shared" si="1"/>
        <v>{"valorA":"para","valorB":13.0}</v>
      </c>
      <c r="E355" s="8" t="str">
        <f t="shared" si="2"/>
        <v>para</v>
      </c>
      <c r="F355" s="8"/>
      <c r="G355" s="8" t="str">
        <f t="shared" si="3"/>
        <v>13.0</v>
      </c>
      <c r="H355" s="9">
        <f t="shared" si="4"/>
        <v>13</v>
      </c>
      <c r="I355" s="6" t="str">
        <f>IFERROR(__xludf.DUMMYFUNCTION("MAX(FILTER($H$2:$H427,$E$2:$E427=F355))"),"#N/A")</f>
        <v>#N/A</v>
      </c>
    </row>
    <row r="356">
      <c r="A356" s="4"/>
      <c r="C356" s="4" t="s">
        <v>1460</v>
      </c>
      <c r="D356" s="4" t="str">
        <f t="shared" si="1"/>
        <v>{"valorA":"computador","valorB":2.0}</v>
      </c>
      <c r="E356" s="8" t="str">
        <f t="shared" si="2"/>
        <v>computador</v>
      </c>
      <c r="F356" s="8"/>
      <c r="G356" s="8" t="str">
        <f t="shared" si="3"/>
        <v>2.0</v>
      </c>
      <c r="H356" s="9">
        <f t="shared" si="4"/>
        <v>2</v>
      </c>
      <c r="I356" s="6" t="str">
        <f>IFERROR(__xludf.DUMMYFUNCTION("MAX(FILTER($H$2:$H427,$E$2:$E427=F356))"),"#N/A")</f>
        <v>#N/A</v>
      </c>
    </row>
    <row r="357">
      <c r="A357" s="4"/>
      <c r="C357" s="4" t="s">
        <v>1461</v>
      </c>
      <c r="D357" s="4" t="str">
        <f t="shared" si="1"/>
        <v>{"valorA":"portátil","valorB":3.0}</v>
      </c>
      <c r="E357" s="8" t="str">
        <f t="shared" si="2"/>
        <v>portátil</v>
      </c>
      <c r="F357" s="8"/>
      <c r="G357" s="8" t="str">
        <f t="shared" si="3"/>
        <v>3.0</v>
      </c>
      <c r="H357" s="9">
        <f t="shared" si="4"/>
        <v>3</v>
      </c>
      <c r="I357" s="6" t="str">
        <f>IFERROR(__xludf.DUMMYFUNCTION("MAX(FILTER($H$2:$H427,$E$2:$E427=F357))"),"#N/A")</f>
        <v>#N/A</v>
      </c>
    </row>
    <row r="358">
      <c r="A358" s="4"/>
      <c r="C358" s="4" t="s">
        <v>330</v>
      </c>
      <c r="D358" s="4" t="str">
        <f t="shared" si="1"/>
        <v>{"valorA":"bem","valorB":6.0}</v>
      </c>
      <c r="E358" s="8" t="str">
        <f t="shared" si="2"/>
        <v>bem</v>
      </c>
      <c r="F358" s="8"/>
      <c r="G358" s="8" t="str">
        <f t="shared" si="3"/>
        <v>6.0</v>
      </c>
      <c r="H358" s="9">
        <f t="shared" si="4"/>
        <v>6</v>
      </c>
      <c r="I358" s="6" t="str">
        <f>IFERROR(__xludf.DUMMYFUNCTION("MAX(FILTER($H$2:$H427,$E$2:$E427=F358))"),"#N/A")</f>
        <v>#N/A</v>
      </c>
    </row>
    <row r="359">
      <c r="A359" s="4"/>
      <c r="C359" s="4" t="s">
        <v>1462</v>
      </c>
      <c r="D359" s="4" t="str">
        <f t="shared" si="1"/>
        <v>{"valorA":"quem","valorB":6.0}</v>
      </c>
      <c r="E359" s="8" t="str">
        <f t="shared" si="2"/>
        <v>quem</v>
      </c>
      <c r="F359" s="8"/>
      <c r="G359" s="8" t="str">
        <f t="shared" si="3"/>
        <v>6.0</v>
      </c>
      <c r="H359" s="9">
        <f t="shared" si="4"/>
        <v>6</v>
      </c>
      <c r="I359" s="6" t="str">
        <f>IFERROR(__xludf.DUMMYFUNCTION("MAX(FILTER($H$2:$H427,$E$2:$E427=F359))"),"#N/A")</f>
        <v>#N/A</v>
      </c>
    </row>
    <row r="360">
      <c r="A360" s="4"/>
      <c r="C360" s="4" t="s">
        <v>766</v>
      </c>
      <c r="D360" s="4" t="str">
        <f t="shared" si="1"/>
        <v>{"valorA":"produto","valorB":25.0}</v>
      </c>
      <c r="E360" s="8" t="str">
        <f t="shared" si="2"/>
        <v>produto</v>
      </c>
      <c r="F360" s="8"/>
      <c r="G360" s="8" t="str">
        <f t="shared" si="3"/>
        <v>25.0</v>
      </c>
      <c r="H360" s="9">
        <f t="shared" si="4"/>
        <v>25</v>
      </c>
      <c r="I360" s="6" t="str">
        <f>IFERROR(__xludf.DUMMYFUNCTION("MAX(FILTER($H$2:$H427,$E$2:$E427=F360))"),"#N/A")</f>
        <v>#N/A</v>
      </c>
    </row>
    <row r="361">
      <c r="A361" s="4"/>
      <c r="C361" s="4" t="s">
        <v>806</v>
      </c>
      <c r="D361" s="4" t="str">
        <f t="shared" si="1"/>
        <v>{"valorA":"ótimo","valorB":40.0}</v>
      </c>
      <c r="E361" s="8" t="str">
        <f t="shared" si="2"/>
        <v>ótimo</v>
      </c>
      <c r="F361" s="8"/>
      <c r="G361" s="8" t="str">
        <f t="shared" si="3"/>
        <v>40.0</v>
      </c>
      <c r="H361" s="9">
        <f t="shared" si="4"/>
        <v>40</v>
      </c>
      <c r="I361" s="6" t="str">
        <f>IFERROR(__xludf.DUMMYFUNCTION("MAX(FILTER($H$2:$H427,$E$2:$E427=F361))"),"#N/A")</f>
        <v>#N/A</v>
      </c>
    </row>
    <row r="362">
      <c r="A362" s="4"/>
      <c r="C362" s="4" t="s">
        <v>432</v>
      </c>
      <c r="D362" s="4" t="str">
        <f t="shared" si="1"/>
        <v>{"valorA":"muito","valorB":15.0}</v>
      </c>
      <c r="E362" s="8" t="str">
        <f t="shared" si="2"/>
        <v>muito</v>
      </c>
      <c r="F362" s="8"/>
      <c r="G362" s="8" t="str">
        <f t="shared" si="3"/>
        <v>15.0</v>
      </c>
      <c r="H362" s="9">
        <f t="shared" si="4"/>
        <v>15</v>
      </c>
      <c r="I362" s="6" t="str">
        <f>IFERROR(__xludf.DUMMYFUNCTION("MAX(FILTER($H$2:$H427,$E$2:$E427=F362))"),"#N/A")</f>
        <v>#N/A</v>
      </c>
    </row>
    <row r="363">
      <c r="A363" s="4"/>
      <c r="C363" s="4" t="s">
        <v>343</v>
      </c>
      <c r="D363" s="4" t="str">
        <f t="shared" si="1"/>
        <v>{"valorA":"funciona","valorB":7.0}</v>
      </c>
      <c r="E363" s="8" t="str">
        <f t="shared" si="2"/>
        <v>funciona</v>
      </c>
      <c r="F363" s="8"/>
      <c r="G363" s="8" t="str">
        <f t="shared" si="3"/>
        <v>7.0</v>
      </c>
      <c r="H363" s="9">
        <f t="shared" si="4"/>
        <v>7</v>
      </c>
      <c r="I363" s="6" t="str">
        <f>IFERROR(__xludf.DUMMYFUNCTION("MAX(FILTER($H$2:$H427,$E$2:$E427=F363))"),"#N/A")</f>
        <v>#N/A</v>
      </c>
    </row>
    <row r="364">
      <c r="A364" s="4"/>
      <c r="C364" s="4" t="s">
        <v>1463</v>
      </c>
      <c r="D364" s="4" t="str">
        <f t="shared" si="1"/>
        <v>{"valorA":"busca","valorB":3.0}</v>
      </c>
      <c r="E364" s="8" t="str">
        <f t="shared" si="2"/>
        <v>busca</v>
      </c>
      <c r="F364" s="8"/>
      <c r="G364" s="8" t="str">
        <f t="shared" si="3"/>
        <v>3.0</v>
      </c>
      <c r="H364" s="9">
        <f t="shared" si="4"/>
        <v>3</v>
      </c>
      <c r="I364" s="6" t="str">
        <f>IFERROR(__xludf.DUMMYFUNCTION("MAX(FILTER($H$2:$H427,$E$2:$E427=F364))"),"#N/A")</f>
        <v>#N/A</v>
      </c>
    </row>
    <row r="365">
      <c r="A365" s="4"/>
      <c r="C365" s="4" t="s">
        <v>718</v>
      </c>
      <c r="D365" s="4" t="str">
        <f t="shared" si="1"/>
        <v>{"valorA":"um","valorB":5.0}</v>
      </c>
      <c r="E365" s="8" t="str">
        <f t="shared" si="2"/>
        <v>um</v>
      </c>
      <c r="F365" s="8"/>
      <c r="G365" s="8" t="str">
        <f t="shared" si="3"/>
        <v>5.0</v>
      </c>
      <c r="H365" s="9">
        <f t="shared" si="4"/>
        <v>5</v>
      </c>
      <c r="I365" s="6" t="str">
        <f>IFERROR(__xludf.DUMMYFUNCTION("MAX(FILTER($H$2:$H427,$E$2:$E427=F365))"),"#N/A")</f>
        <v>#N/A</v>
      </c>
    </row>
    <row r="366">
      <c r="A366" s="4"/>
      <c r="C366" s="4" t="s">
        <v>807</v>
      </c>
      <c r="D366" s="4" t="str">
        <f t="shared" si="1"/>
        <v>{"valorA":"valeu","valorB":6.0}</v>
      </c>
      <c r="E366" s="8" t="str">
        <f t="shared" si="2"/>
        <v>valeu</v>
      </c>
      <c r="F366" s="8"/>
      <c r="G366" s="8" t="str">
        <f t="shared" si="3"/>
        <v>6.0</v>
      </c>
      <c r="H366" s="9">
        <f t="shared" si="4"/>
        <v>6</v>
      </c>
      <c r="I366" s="6" t="str">
        <f>IFERROR(__xludf.DUMMYFUNCTION("MAX(FILTER($H$2:$H427,$E$2:$E427=F366))"),"#N/A")</f>
        <v>#N/A</v>
      </c>
    </row>
    <row r="367">
      <c r="A367" s="4"/>
      <c r="C367" s="4" t="s">
        <v>1464</v>
      </c>
      <c r="D367" s="4" t="str">
        <f t="shared" si="1"/>
        <v>{"valorA":"penalidade","valorB":1.0}</v>
      </c>
      <c r="E367" s="8" t="str">
        <f t="shared" si="2"/>
        <v>penalidade</v>
      </c>
      <c r="F367" s="8"/>
      <c r="G367" s="8" t="str">
        <f t="shared" si="3"/>
        <v>1.0</v>
      </c>
      <c r="H367" s="9">
        <f t="shared" si="4"/>
        <v>1</v>
      </c>
      <c r="I367" s="6" t="str">
        <f>IFERROR(__xludf.DUMMYFUNCTION("MAX(FILTER($H$2:$H427,$E$2:$E427=F367))"),"#N/A")</f>
        <v>#N/A</v>
      </c>
    </row>
    <row r="368">
      <c r="A368" s="4"/>
      <c r="C368" s="4" t="s">
        <v>269</v>
      </c>
      <c r="D368" s="4" t="str">
        <f t="shared" si="1"/>
        <v>{"valorA":"me","valorB":1.0}</v>
      </c>
      <c r="E368" s="8" t="str">
        <f t="shared" si="2"/>
        <v>me</v>
      </c>
      <c r="F368" s="8"/>
      <c r="G368" s="8" t="str">
        <f t="shared" si="3"/>
        <v>1.0</v>
      </c>
      <c r="H368" s="9">
        <f t="shared" si="4"/>
        <v>1</v>
      </c>
      <c r="I368" s="6" t="str">
        <f>IFERROR(__xludf.DUMMYFUNCTION("MAX(FILTER($H$2:$H427,$E$2:$E427=F368))"),"#N/A")</f>
        <v>#N/A</v>
      </c>
    </row>
    <row r="369">
      <c r="A369" s="4"/>
      <c r="C369" s="4" t="s">
        <v>808</v>
      </c>
      <c r="D369" s="4" t="str">
        <f t="shared" si="1"/>
        <v>{"valorA":"espera","valorB":5.0}</v>
      </c>
      <c r="E369" s="8" t="str">
        <f t="shared" si="2"/>
        <v>espera</v>
      </c>
      <c r="F369" s="8"/>
      <c r="G369" s="8" t="str">
        <f t="shared" si="3"/>
        <v>5.0</v>
      </c>
      <c r="H369" s="9">
        <f t="shared" si="4"/>
        <v>5</v>
      </c>
      <c r="I369" s="6" t="str">
        <f>IFERROR(__xludf.DUMMYFUNCTION("MAX(FILTER($H$2:$H427,$E$2:$E427=F369))"),"#N/A")</f>
        <v>#N/A</v>
      </c>
    </row>
    <row r="370">
      <c r="A370" s="4"/>
      <c r="C370" s="4" t="s">
        <v>592</v>
      </c>
      <c r="D370" s="4" t="str">
        <f t="shared" si="1"/>
        <v>{"valorA":"valia","valorB":1.0}</v>
      </c>
      <c r="E370" s="8" t="str">
        <f t="shared" si="2"/>
        <v>valia</v>
      </c>
      <c r="F370" s="8"/>
      <c r="G370" s="8" t="str">
        <f t="shared" si="3"/>
        <v>1.0</v>
      </c>
      <c r="H370" s="9">
        <f t="shared" si="4"/>
        <v>1</v>
      </c>
      <c r="I370" s="6" t="str">
        <f>IFERROR(__xludf.DUMMYFUNCTION("MAX(FILTER($H$2:$H427,$E$2:$E427=F370))"),"#N/A")</f>
        <v>#N/A</v>
      </c>
    </row>
    <row r="371">
      <c r="A371" s="4"/>
      <c r="C371" s="4" t="s">
        <v>746</v>
      </c>
      <c r="D371" s="4" t="str">
        <f t="shared" si="1"/>
        <v>{"valorA":"que","valorB":6.0}</v>
      </c>
      <c r="E371" s="8" t="str">
        <f t="shared" si="2"/>
        <v>que</v>
      </c>
      <c r="F371" s="8"/>
      <c r="G371" s="8" t="str">
        <f t="shared" si="3"/>
        <v>6.0</v>
      </c>
      <c r="H371" s="9">
        <f t="shared" si="4"/>
        <v>6</v>
      </c>
      <c r="I371" s="6" t="str">
        <f>IFERROR(__xludf.DUMMYFUNCTION("MAX(FILTER($H$2:$H427,$E$2:$E427=F371))"),"#N/A")</f>
        <v>#N/A</v>
      </c>
    </row>
    <row r="372">
      <c r="A372" s="4"/>
      <c r="C372" s="4" t="s">
        <v>780</v>
      </c>
      <c r="D372" s="4" t="str">
        <f t="shared" si="1"/>
        <v>{"valorA":"produto","valorB":27.0}</v>
      </c>
      <c r="E372" s="8" t="str">
        <f t="shared" si="2"/>
        <v>produto</v>
      </c>
      <c r="F372" s="8"/>
      <c r="G372" s="8" t="str">
        <f t="shared" si="3"/>
        <v>27.0</v>
      </c>
      <c r="H372" s="9">
        <f t="shared" si="4"/>
        <v>27</v>
      </c>
      <c r="I372" s="6" t="str">
        <f>IFERROR(__xludf.DUMMYFUNCTION("MAX(FILTER($H$2:$H427,$E$2:$E427=F372))"),"#N/A")</f>
        <v>#N/A</v>
      </c>
    </row>
    <row r="373">
      <c r="A373" s="4"/>
      <c r="C373" s="4" t="s">
        <v>813</v>
      </c>
      <c r="D373" s="4" t="str">
        <f t="shared" si="1"/>
        <v>{"valorA":"ótimo","valorB":42.0}</v>
      </c>
      <c r="E373" s="8" t="str">
        <f t="shared" si="2"/>
        <v>ótimo</v>
      </c>
      <c r="F373" s="8"/>
      <c r="G373" s="8" t="str">
        <f t="shared" si="3"/>
        <v>42.0</v>
      </c>
      <c r="H373" s="9">
        <f t="shared" si="4"/>
        <v>42</v>
      </c>
      <c r="I373" s="6" t="str">
        <f>IFERROR(__xludf.DUMMYFUNCTION("MAX(FILTER($H$2:$H427,$E$2:$E427=F373))"),"#N/A")</f>
        <v>#N/A</v>
      </c>
    </row>
    <row r="374">
      <c r="A374" s="4"/>
      <c r="C374" s="4" t="s">
        <v>656</v>
      </c>
      <c r="D374" s="4" t="str">
        <f t="shared" si="1"/>
        <v>{"valorA":"paguei","valorB":3.0}</v>
      </c>
      <c r="E374" s="8" t="str">
        <f t="shared" si="2"/>
        <v>paguei</v>
      </c>
      <c r="F374" s="8"/>
      <c r="G374" s="8" t="str">
        <f t="shared" si="3"/>
        <v>3.0</v>
      </c>
      <c r="H374" s="9">
        <f t="shared" si="4"/>
        <v>3</v>
      </c>
      <c r="I374" s="6" t="str">
        <f>IFERROR(__xludf.DUMMYFUNCTION("MAX(FILTER($H$2:$H427,$E$2:$E427=F374))"),"#N/A")</f>
        <v>#N/A</v>
      </c>
    </row>
    <row r="375">
      <c r="A375" s="4"/>
      <c r="C375" s="4" t="s">
        <v>1465</v>
      </c>
      <c r="D375" s="4" t="str">
        <f t="shared" si="1"/>
        <v>{"valorA":"agrada","valorB":1.0}</v>
      </c>
      <c r="E375" s="8" t="str">
        <f t="shared" si="2"/>
        <v>agrada</v>
      </c>
      <c r="F375" s="8"/>
      <c r="G375" s="8" t="str">
        <f t="shared" si="3"/>
        <v>1.0</v>
      </c>
      <c r="H375" s="9">
        <f t="shared" si="4"/>
        <v>1</v>
      </c>
      <c r="I375" s="6" t="str">
        <f>IFERROR(__xludf.DUMMYFUNCTION("MAX(FILTER($H$2:$H427,$E$2:$E427=F375))"),"#N/A")</f>
        <v>#N/A</v>
      </c>
    </row>
    <row r="376">
      <c r="A376" s="4"/>
      <c r="C376" s="4" t="s">
        <v>596</v>
      </c>
      <c r="D376" s="4" t="str">
        <f t="shared" si="1"/>
        <v>{"valorA":"mas","valorB":4.0}</v>
      </c>
      <c r="E376" s="8" t="str">
        <f t="shared" si="2"/>
        <v>mas</v>
      </c>
      <c r="F376" s="8"/>
      <c r="G376" s="8" t="str">
        <f t="shared" si="3"/>
        <v>4.0</v>
      </c>
      <c r="H376" s="9">
        <f t="shared" si="4"/>
        <v>4</v>
      </c>
      <c r="I376" s="6" t="str">
        <f>IFERROR(__xludf.DUMMYFUNCTION("MAX(FILTER($H$2:$H427,$E$2:$E427=F376))"),"#N/A")</f>
        <v>#N/A</v>
      </c>
    </row>
    <row r="377">
      <c r="A377" s="4"/>
      <c r="C377" s="4" t="s">
        <v>449</v>
      </c>
      <c r="D377" s="4" t="str">
        <f t="shared" si="1"/>
        <v>{"valorA":"muito","valorB":16.0}</v>
      </c>
      <c r="E377" s="8" t="str">
        <f t="shared" si="2"/>
        <v>muito</v>
      </c>
      <c r="F377" s="8"/>
      <c r="G377" s="8" t="str">
        <f t="shared" si="3"/>
        <v>16.0</v>
      </c>
      <c r="H377" s="9">
        <f t="shared" si="4"/>
        <v>16</v>
      </c>
      <c r="I377" s="6" t="str">
        <f>IFERROR(__xludf.DUMMYFUNCTION("MAX(FILTER($H$2:$H427,$E$2:$E427=F377))"),"#N/A")</f>
        <v>#N/A</v>
      </c>
    </row>
    <row r="378">
      <c r="A378" s="4"/>
      <c r="C378" s="4" t="s">
        <v>702</v>
      </c>
      <c r="D378" s="4" t="str">
        <f t="shared" si="1"/>
        <v>{"valorA":"a","valorB":9.0}</v>
      </c>
      <c r="E378" s="8" t="str">
        <f t="shared" si="2"/>
        <v>a</v>
      </c>
      <c r="F378" s="8"/>
      <c r="G378" s="8" t="str">
        <f t="shared" si="3"/>
        <v>9.0</v>
      </c>
      <c r="H378" s="9">
        <f t="shared" si="4"/>
        <v>9</v>
      </c>
      <c r="I378" s="6" t="str">
        <f>IFERROR(__xludf.DUMMYFUNCTION("MAX(FILTER($H$2:$H427,$E$2:$E427=F378))"),"#N/A")</f>
        <v>#N/A</v>
      </c>
    </row>
    <row r="379">
      <c r="A379" s="4"/>
      <c r="C379" s="4" t="s">
        <v>703</v>
      </c>
      <c r="D379" s="4" t="str">
        <f t="shared" si="1"/>
        <v>{"valorA":"não","valorB":5.0}</v>
      </c>
      <c r="E379" s="8" t="str">
        <f t="shared" si="2"/>
        <v>não</v>
      </c>
      <c r="F379" s="8"/>
      <c r="G379" s="8" t="str">
        <f t="shared" si="3"/>
        <v>5.0</v>
      </c>
      <c r="H379" s="9">
        <f t="shared" si="4"/>
        <v>5</v>
      </c>
      <c r="I379" s="6" t="str">
        <f>IFERROR(__xludf.DUMMYFUNCTION("MAX(FILTER($H$2:$H427,$E$2:$E427=F379))"),"#N/A")</f>
        <v>#N/A</v>
      </c>
    </row>
    <row r="380">
      <c r="A380" s="4"/>
      <c r="C380" s="4" t="s">
        <v>1466</v>
      </c>
      <c r="D380" s="4" t="str">
        <f t="shared" si="1"/>
        <v>{"valorA":"tablet","valorB":3.0}</v>
      </c>
      <c r="E380" s="8" t="str">
        <f t="shared" si="2"/>
        <v>tablet</v>
      </c>
      <c r="F380" s="8"/>
      <c r="G380" s="8" t="str">
        <f t="shared" si="3"/>
        <v>3.0</v>
      </c>
      <c r="H380" s="9">
        <f t="shared" si="4"/>
        <v>3</v>
      </c>
      <c r="I380" s="6" t="str">
        <f>IFERROR(__xludf.DUMMYFUNCTION("MAX(FILTER($H$2:$H427,$E$2:$E427=F380))"),"#N/A")</f>
        <v>#N/A</v>
      </c>
    </row>
    <row r="381">
      <c r="A381" s="4"/>
      <c r="C381" s="4" t="s">
        <v>819</v>
      </c>
      <c r="D381" s="4" t="str">
        <f t="shared" si="1"/>
        <v>{"valorA":"ótimo","valorB":43.0}</v>
      </c>
      <c r="E381" s="8" t="str">
        <f t="shared" si="2"/>
        <v>ótimo</v>
      </c>
      <c r="F381" s="8"/>
      <c r="G381" s="8" t="str">
        <f t="shared" si="3"/>
        <v>43.0</v>
      </c>
      <c r="H381" s="9">
        <f t="shared" si="4"/>
        <v>43</v>
      </c>
      <c r="I381" s="6" t="str">
        <f>IFERROR(__xludf.DUMMYFUNCTION("MAX(FILTER($H$2:$H427,$E$2:$E427=F381))"),"#N/A")</f>
        <v>#N/A</v>
      </c>
    </row>
    <row r="382">
      <c r="A382" s="4"/>
      <c r="C382" s="4" t="s">
        <v>1467</v>
      </c>
      <c r="D382" s="4" t="str">
        <f t="shared" si="1"/>
        <v>{"valorA":"excelente","valorB":2.0}</v>
      </c>
      <c r="E382" s="8" t="str">
        <f t="shared" si="2"/>
        <v>excelente</v>
      </c>
      <c r="F382" s="8"/>
      <c r="G382" s="8" t="str">
        <f t="shared" si="3"/>
        <v>2.0</v>
      </c>
      <c r="H382" s="9">
        <f t="shared" si="4"/>
        <v>2</v>
      </c>
      <c r="I382" s="6" t="str">
        <f>IFERROR(__xludf.DUMMYFUNCTION("MAX(FILTER($H$2:$H427,$E$2:$E427=F382))"),"#N/A")</f>
        <v>#N/A</v>
      </c>
    </row>
    <row r="383">
      <c r="A383" s="4"/>
      <c r="C383" s="4" t="s">
        <v>1468</v>
      </c>
      <c r="D383" s="4" t="str">
        <f t="shared" si="1"/>
        <v>{"valorA":"custobenefício","valorB":1.0}</v>
      </c>
      <c r="E383" s="8" t="str">
        <f t="shared" si="2"/>
        <v>custobenefício</v>
      </c>
      <c r="F383" s="8"/>
      <c r="G383" s="8" t="str">
        <f t="shared" si="3"/>
        <v>1.0</v>
      </c>
      <c r="H383" s="9">
        <f t="shared" si="4"/>
        <v>1</v>
      </c>
      <c r="I383" s="6" t="str">
        <f>IFERROR(__xludf.DUMMYFUNCTION("MAX(FILTER($H$2:$H427,$E$2:$E427=F383))"),"#N/A")</f>
        <v>#N/A</v>
      </c>
    </row>
    <row r="384">
      <c r="A384" s="4"/>
      <c r="C384" s="4" t="s">
        <v>1469</v>
      </c>
      <c r="D384" s="4" t="str">
        <f t="shared" si="1"/>
        <v>{"valorA":"dores","valorB":1.0}</v>
      </c>
      <c r="E384" s="8" t="str">
        <f t="shared" si="2"/>
        <v>dores</v>
      </c>
      <c r="F384" s="8"/>
      <c r="G384" s="8" t="str">
        <f t="shared" si="3"/>
        <v>1.0</v>
      </c>
      <c r="H384" s="9">
        <f t="shared" si="4"/>
        <v>1</v>
      </c>
      <c r="I384" s="6" t="str">
        <f>IFERROR(__xludf.DUMMYFUNCTION("MAX(FILTER($H$2:$H427,$E$2:$E427=F384))"),"#N/A")</f>
        <v>#N/A</v>
      </c>
    </row>
    <row r="385">
      <c r="A385" s="4"/>
      <c r="C385" s="4" t="s">
        <v>769</v>
      </c>
      <c r="D385" s="4" t="str">
        <f t="shared" si="1"/>
        <v>{"valorA":"para","valorB":14.0}</v>
      </c>
      <c r="E385" s="8" t="str">
        <f t="shared" si="2"/>
        <v>para</v>
      </c>
      <c r="F385" s="8"/>
      <c r="G385" s="8" t="str">
        <f t="shared" si="3"/>
        <v>14.0</v>
      </c>
      <c r="H385" s="9">
        <f t="shared" si="4"/>
        <v>14</v>
      </c>
      <c r="I385" s="6" t="str">
        <f>IFERROR(__xludf.DUMMYFUNCTION("MAX(FILTER($H$2:$H427,$E$2:$E427=F385))"),"#N/A")</f>
        <v>#N/A</v>
      </c>
    </row>
    <row r="386">
      <c r="A386" s="4"/>
      <c r="C386" s="4" t="s">
        <v>1470</v>
      </c>
      <c r="D386" s="4" t="str">
        <f t="shared" si="1"/>
        <v>{"valorA":"quem","valorB":7.0}</v>
      </c>
      <c r="E386" s="8" t="str">
        <f t="shared" si="2"/>
        <v>quem</v>
      </c>
      <c r="F386" s="8"/>
      <c r="G386" s="8" t="str">
        <f t="shared" si="3"/>
        <v>7.0</v>
      </c>
      <c r="H386" s="9">
        <f t="shared" si="4"/>
        <v>7</v>
      </c>
      <c r="I386" s="6" t="str">
        <f>IFERROR(__xludf.DUMMYFUNCTION("MAX(FILTER($H$2:$H427,$E$2:$E427=F386))"),"#N/A")</f>
        <v>#N/A</v>
      </c>
    </row>
    <row r="387">
      <c r="A387" s="4"/>
      <c r="C387" s="4" t="s">
        <v>1471</v>
      </c>
      <c r="D387" s="4" t="str">
        <f t="shared" si="1"/>
        <v>{"valorA":"pescoço","valorB":1.0}</v>
      </c>
      <c r="E387" s="8" t="str">
        <f t="shared" si="2"/>
        <v>pescoço</v>
      </c>
      <c r="F387" s="8"/>
      <c r="G387" s="8" t="str">
        <f t="shared" si="3"/>
        <v>1.0</v>
      </c>
      <c r="H387" s="9">
        <f t="shared" si="4"/>
        <v>1</v>
      </c>
      <c r="I387" s="6" t="str">
        <f>IFERROR(__xludf.DUMMYFUNCTION("MAX(FILTER($H$2:$H427,$E$2:$E427=F387))"),"#N/A")</f>
        <v>#N/A</v>
      </c>
    </row>
    <row r="388">
      <c r="A388" s="4"/>
      <c r="C388" s="4" t="s">
        <v>443</v>
      </c>
      <c r="D388" s="4" t="str">
        <f t="shared" si="1"/>
        <v>{"valorA":"produto","valorB":28.0}</v>
      </c>
      <c r="E388" s="8" t="str">
        <f t="shared" si="2"/>
        <v>produto</v>
      </c>
      <c r="F388" s="8"/>
      <c r="G388" s="8" t="str">
        <f t="shared" si="3"/>
        <v>28.0</v>
      </c>
      <c r="H388" s="9">
        <f t="shared" si="4"/>
        <v>28</v>
      </c>
      <c r="I388" s="6" t="str">
        <f>IFERROR(__xludf.DUMMYFUNCTION("MAX(FILTER($H$2:$H427,$E$2:$E427=F388))"),"#N/A")</f>
        <v>#N/A</v>
      </c>
    </row>
    <row r="389">
      <c r="A389" s="4"/>
      <c r="C389" s="4" t="s">
        <v>429</v>
      </c>
      <c r="D389" s="4" t="str">
        <f t="shared" si="1"/>
        <v>{"valorA":"gostei","valorB":5.0}</v>
      </c>
      <c r="E389" s="8" t="str">
        <f t="shared" si="2"/>
        <v>gostei</v>
      </c>
      <c r="F389" s="8"/>
      <c r="G389" s="8" t="str">
        <f t="shared" si="3"/>
        <v>5.0</v>
      </c>
      <c r="H389" s="9">
        <f t="shared" si="4"/>
        <v>5</v>
      </c>
      <c r="I389" s="6" t="str">
        <f>IFERROR(__xludf.DUMMYFUNCTION("MAX(FILTER($H$2:$H427,$E$2:$E427=F389))"),"#N/A")</f>
        <v>#N/A</v>
      </c>
    </row>
    <row r="390">
      <c r="A390" s="4"/>
      <c r="C390" s="4" t="s">
        <v>464</v>
      </c>
      <c r="D390" s="4" t="str">
        <f t="shared" si="1"/>
        <v>{"valorA":"ótimo","valorB":44.0}</v>
      </c>
      <c r="E390" s="8" t="str">
        <f t="shared" si="2"/>
        <v>ótimo</v>
      </c>
      <c r="F390" s="8"/>
      <c r="G390" s="8" t="str">
        <f t="shared" si="3"/>
        <v>44.0</v>
      </c>
      <c r="H390" s="9">
        <f t="shared" si="4"/>
        <v>44</v>
      </c>
      <c r="I390" s="6" t="str">
        <f>IFERROR(__xludf.DUMMYFUNCTION("MAX(FILTER($H$2:$H427,$E$2:$E427=F390))"),"#N/A")</f>
        <v>#N/A</v>
      </c>
    </row>
    <row r="391">
      <c r="A391" s="4"/>
      <c r="C391" s="4" t="s">
        <v>1160</v>
      </c>
      <c r="D391" s="4" t="str">
        <f t="shared" si="1"/>
        <v>{"valorA":"no","valorB":1.0}</v>
      </c>
      <c r="E391" s="8" t="str">
        <f t="shared" si="2"/>
        <v>no</v>
      </c>
      <c r="F391" s="8"/>
      <c r="G391" s="8" t="str">
        <f t="shared" si="3"/>
        <v>1.0</v>
      </c>
      <c r="H391" s="9">
        <f t="shared" si="4"/>
        <v>1</v>
      </c>
      <c r="I391" s="6" t="str">
        <f>IFERROR(__xludf.DUMMYFUNCTION("MAX(FILTER($H$2:$H427,$E$2:$E427=F391))"),"#N/A")</f>
        <v>#N/A</v>
      </c>
    </row>
    <row r="392">
      <c r="A392" s="4"/>
      <c r="C392" s="4" t="s">
        <v>1027</v>
      </c>
      <c r="D392" s="4" t="str">
        <f t="shared" si="1"/>
        <v>{"valorA":"tem","valorB":1.0}</v>
      </c>
      <c r="E392" s="8" t="str">
        <f t="shared" si="2"/>
        <v>tem</v>
      </c>
      <c r="F392" s="8"/>
      <c r="G392" s="8" t="str">
        <f t="shared" si="3"/>
        <v>1.0</v>
      </c>
      <c r="H392" s="9">
        <f t="shared" si="4"/>
        <v>1</v>
      </c>
      <c r="I392" s="6" t="str">
        <f>IFERROR(__xludf.DUMMYFUNCTION("MAX(FILTER($H$2:$H427,$E$2:$E427=F392))"),"#N/A")</f>
        <v>#N/A</v>
      </c>
    </row>
    <row r="393">
      <c r="A393" s="4"/>
      <c r="C393" s="4" t="s">
        <v>1323</v>
      </c>
      <c r="D393" s="4" t="str">
        <f t="shared" si="1"/>
        <v>{"valorA":"muito","valorB":17.0}</v>
      </c>
      <c r="E393" s="8" t="str">
        <f t="shared" si="2"/>
        <v>muito</v>
      </c>
      <c r="F393" s="8"/>
      <c r="G393" s="8" t="str">
        <f t="shared" si="3"/>
        <v>17.0</v>
      </c>
      <c r="H393" s="9">
        <f t="shared" si="4"/>
        <v>17</v>
      </c>
      <c r="I393" s="6" t="str">
        <f>IFERROR(__xludf.DUMMYFUNCTION("MAX(FILTER($H$2:$H427,$E$2:$E427=F393))"),"#N/A")</f>
        <v>#N/A</v>
      </c>
    </row>
    <row r="394">
      <c r="A394" s="4"/>
      <c r="C394" s="4" t="s">
        <v>1472</v>
      </c>
      <c r="D394" s="4" t="str">
        <f t="shared" si="1"/>
        <v>{"valorA":"ele","valorB":3.0}</v>
      </c>
      <c r="E394" s="8" t="str">
        <f t="shared" si="2"/>
        <v>ele</v>
      </c>
      <c r="F394" s="8"/>
      <c r="G394" s="8" t="str">
        <f t="shared" si="3"/>
        <v>3.0</v>
      </c>
      <c r="H394" s="9">
        <f t="shared" si="4"/>
        <v>3</v>
      </c>
      <c r="I394" s="6" t="str">
        <f>IFERROR(__xludf.DUMMYFUNCTION("MAX(FILTER($H$2:$H427,$E$2:$E427=F394))"),"#N/A")</f>
        <v>#N/A</v>
      </c>
    </row>
    <row r="395">
      <c r="A395" s="4"/>
      <c r="C395" s="4" t="s">
        <v>1473</v>
      </c>
      <c r="D395" s="4" t="str">
        <f t="shared" si="1"/>
        <v>{"valorA":"nunca","valorB":2.0}</v>
      </c>
      <c r="E395" s="8" t="str">
        <f t="shared" si="2"/>
        <v>nunca</v>
      </c>
      <c r="F395" s="8"/>
      <c r="G395" s="8" t="str">
        <f t="shared" si="3"/>
        <v>2.0</v>
      </c>
      <c r="H395" s="9">
        <f t="shared" si="4"/>
        <v>2</v>
      </c>
      <c r="I395" s="6" t="str">
        <f>IFERROR(__xludf.DUMMYFUNCTION("MAX(FILTER($H$2:$H427,$E$2:$E427=F395))"),"#N/A")</f>
        <v>#N/A</v>
      </c>
    </row>
    <row r="396">
      <c r="A396" s="4"/>
      <c r="C396" s="4" t="s">
        <v>404</v>
      </c>
      <c r="D396" s="4" t="str">
        <f t="shared" si="1"/>
        <v>{"valorA":"com","valorB":3.0}</v>
      </c>
      <c r="E396" s="8" t="str">
        <f t="shared" si="2"/>
        <v>com</v>
      </c>
      <c r="F396" s="8"/>
      <c r="G396" s="8" t="str">
        <f t="shared" si="3"/>
        <v>3.0</v>
      </c>
      <c r="H396" s="9">
        <f t="shared" si="4"/>
        <v>3</v>
      </c>
      <c r="I396" s="6" t="str">
        <f>IFERROR(__xludf.DUMMYFUNCTION("MAX(FILTER($H$2:$H427,$E$2:$E427=F396))"),"#N/A")</f>
        <v>#N/A</v>
      </c>
    </row>
    <row r="397">
      <c r="A397" s="4"/>
      <c r="C397" s="4" t="s">
        <v>1474</v>
      </c>
      <c r="D397" s="4" t="str">
        <f t="shared" si="1"/>
        <v>{"valorA":"tive","valorB":2.0}</v>
      </c>
      <c r="E397" s="8" t="str">
        <f t="shared" si="2"/>
        <v>tive</v>
      </c>
      <c r="F397" s="8"/>
      <c r="G397" s="8" t="str">
        <f t="shared" si="3"/>
        <v>2.0</v>
      </c>
      <c r="H397" s="9">
        <f t="shared" si="4"/>
        <v>2</v>
      </c>
      <c r="I397" s="6" t="str">
        <f>IFERROR(__xludf.DUMMYFUNCTION("MAX(FILTER($H$2:$H427,$E$2:$E427=F397))"),"#N/A")</f>
        <v>#N/A</v>
      </c>
    </row>
    <row r="398">
      <c r="A398" s="4"/>
      <c r="C398" s="4" t="s">
        <v>1475</v>
      </c>
      <c r="D398" s="4" t="str">
        <f t="shared" si="1"/>
        <v>{"valorA":"gosto","valorB":5.0}</v>
      </c>
      <c r="E398" s="8" t="str">
        <f t="shared" si="2"/>
        <v>gosto</v>
      </c>
      <c r="F398" s="8"/>
      <c r="G398" s="8" t="str">
        <f t="shared" si="3"/>
        <v>5.0</v>
      </c>
      <c r="H398" s="9">
        <f t="shared" si="4"/>
        <v>5</v>
      </c>
      <c r="I398" s="6" t="str">
        <f>IFERROR(__xludf.DUMMYFUNCTION("MAX(FILTER($H$2:$H427,$E$2:$E427=F398))"),"#N/A")</f>
        <v>#N/A</v>
      </c>
    </row>
    <row r="399">
      <c r="A399" s="4"/>
      <c r="C399" s="4" t="s">
        <v>374</v>
      </c>
      <c r="D399" s="4" t="str">
        <f t="shared" si="1"/>
        <v>{"valorA":"carro","valorB":2.0}</v>
      </c>
      <c r="E399" s="8" t="str">
        <f t="shared" si="2"/>
        <v>carro</v>
      </c>
      <c r="F399" s="8"/>
      <c r="G399" s="8" t="str">
        <f t="shared" si="3"/>
        <v>2.0</v>
      </c>
      <c r="H399" s="9">
        <f t="shared" si="4"/>
        <v>2</v>
      </c>
      <c r="I399" s="6" t="str">
        <f>IFERROR(__xludf.DUMMYFUNCTION("MAX(FILTER($H$2:$H427,$E$2:$E427=F399))"),"#N/A")</f>
        <v>#N/A</v>
      </c>
    </row>
    <row r="400">
      <c r="A400" s="4"/>
      <c r="C400" s="4" t="s">
        <v>830</v>
      </c>
      <c r="D400" s="4" t="str">
        <f t="shared" si="1"/>
        <v>{"valorA":"ótimo","valorB":45.0}</v>
      </c>
      <c r="E400" s="8" t="str">
        <f t="shared" si="2"/>
        <v>ótimo</v>
      </c>
      <c r="F400" s="8"/>
      <c r="G400" s="8" t="str">
        <f t="shared" si="3"/>
        <v>45.0</v>
      </c>
      <c r="H400" s="9">
        <f t="shared" si="4"/>
        <v>45</v>
      </c>
      <c r="I400" s="6" t="str">
        <f>IFERROR(__xludf.DUMMYFUNCTION("MAX(FILTER($H$2:$H427,$E$2:$E427=F400))"),"#N/A")</f>
        <v>#N/A</v>
      </c>
    </row>
    <row r="401">
      <c r="A401" s="4"/>
      <c r="C401" s="4" t="s">
        <v>1333</v>
      </c>
      <c r="D401" s="4" t="str">
        <f t="shared" si="1"/>
        <v>{"valorA":"muito","valorB":18.0}</v>
      </c>
      <c r="E401" s="8" t="str">
        <f t="shared" si="2"/>
        <v>muito</v>
      </c>
      <c r="F401" s="8"/>
      <c r="G401" s="8" t="str">
        <f t="shared" si="3"/>
        <v>18.0</v>
      </c>
      <c r="H401" s="9">
        <f t="shared" si="4"/>
        <v>18</v>
      </c>
      <c r="I401" s="6" t="str">
        <f>IFERROR(__xludf.DUMMYFUNCTION("MAX(FILTER($H$2:$H427,$E$2:$E427=F401))"),"#N/A")</f>
        <v>#N/A</v>
      </c>
    </row>
    <row r="402">
      <c r="A402" s="4"/>
      <c r="C402" s="4" t="s">
        <v>1112</v>
      </c>
      <c r="D402" s="4" t="str">
        <f t="shared" si="1"/>
        <v>{"valorA":"problemas","valorB":2.0}</v>
      </c>
      <c r="E402" s="8" t="str">
        <f t="shared" si="2"/>
        <v>problemas</v>
      </c>
      <c r="F402" s="8"/>
      <c r="G402" s="8" t="str">
        <f t="shared" si="3"/>
        <v>2.0</v>
      </c>
      <c r="H402" s="9">
        <f t="shared" si="4"/>
        <v>2</v>
      </c>
      <c r="I402" s="6" t="str">
        <f>IFERROR(__xludf.DUMMYFUNCTION("MAX(FILTER($H$2:$H427,$E$2:$E427=F402))"),"#N/A")</f>
        <v>#N/A</v>
      </c>
    </row>
    <row r="403">
      <c r="A403" s="4"/>
      <c r="C403" s="4" t="s">
        <v>1476</v>
      </c>
      <c r="D403" s="4" t="str">
        <f t="shared" si="1"/>
        <v>{"valorA":"horas","valorB":1.0}</v>
      </c>
      <c r="E403" s="8" t="str">
        <f t="shared" si="2"/>
        <v>horas</v>
      </c>
      <c r="F403" s="8"/>
      <c r="G403" s="8" t="str">
        <f t="shared" si="3"/>
        <v>1.0</v>
      </c>
      <c r="H403" s="9">
        <f t="shared" si="4"/>
        <v>1</v>
      </c>
      <c r="I403" s="6" t="str">
        <f>IFERROR(__xludf.DUMMYFUNCTION("MAX(FILTER($H$2:$H427,$E$2:$E427=F403))"),"#N/A")</f>
        <v>#N/A</v>
      </c>
    </row>
    <row r="404">
      <c r="A404" s="4"/>
      <c r="C404" s="4" t="s">
        <v>1477</v>
      </c>
      <c r="D404" s="4" t="str">
        <f t="shared" si="1"/>
        <v>{"valorA":"tablet","valorB":4.0}</v>
      </c>
      <c r="E404" s="8" t="str">
        <f t="shared" si="2"/>
        <v>tablet</v>
      </c>
      <c r="F404" s="8"/>
      <c r="G404" s="8" t="str">
        <f t="shared" si="3"/>
        <v>4.0</v>
      </c>
      <c r="H404" s="9">
        <f t="shared" si="4"/>
        <v>4</v>
      </c>
      <c r="I404" s="6" t="str">
        <f>IFERROR(__xludf.DUMMYFUNCTION("MAX(FILTER($H$2:$H427,$E$2:$E427=F404))"),"#N/A")</f>
        <v>#N/A</v>
      </c>
    </row>
    <row r="405">
      <c r="A405" s="4"/>
      <c r="C405" s="4" t="s">
        <v>1478</v>
      </c>
      <c r="D405" s="4" t="str">
        <f t="shared" si="1"/>
        <v>{"valorA":"assistindo","valorB":1.0}</v>
      </c>
      <c r="E405" s="8" t="str">
        <f t="shared" si="2"/>
        <v>assistindo</v>
      </c>
      <c r="F405" s="8"/>
      <c r="G405" s="8" t="str">
        <f t="shared" si="3"/>
        <v>1.0</v>
      </c>
      <c r="H405" s="9">
        <f t="shared" si="4"/>
        <v>1</v>
      </c>
      <c r="I405" s="6" t="str">
        <f>IFERROR(__xludf.DUMMYFUNCTION("MAX(FILTER($H$2:$H427,$E$2:$E427=F405))"),"#N/A")</f>
        <v>#N/A</v>
      </c>
    </row>
    <row r="406">
      <c r="A406" s="4"/>
      <c r="C406" s="4" t="s">
        <v>1479</v>
      </c>
      <c r="D406" s="4" t="str">
        <f t="shared" si="1"/>
        <v>{"valorA":"filmes","valorB":2.0}</v>
      </c>
      <c r="E406" s="8" t="str">
        <f t="shared" si="2"/>
        <v>filmes</v>
      </c>
      <c r="F406" s="8"/>
      <c r="G406" s="8" t="str">
        <f t="shared" si="3"/>
        <v>2.0</v>
      </c>
      <c r="H406" s="9">
        <f t="shared" si="4"/>
        <v>2</v>
      </c>
      <c r="I406" s="6" t="str">
        <f>IFERROR(__xludf.DUMMYFUNCTION("MAX(FILTER($H$2:$H427,$E$2:$E427=F406))"),"#N/A")</f>
        <v>#N/A</v>
      </c>
    </row>
    <row r="407">
      <c r="A407" s="4"/>
      <c r="C407" s="4" t="s">
        <v>1480</v>
      </c>
      <c r="D407" s="4" t="str">
        <f t="shared" si="1"/>
        <v>{"valorA":"jogando","valorB":1.0}</v>
      </c>
      <c r="E407" s="8" t="str">
        <f t="shared" si="2"/>
        <v>jogando</v>
      </c>
      <c r="F407" s="8"/>
      <c r="G407" s="8" t="str">
        <f t="shared" si="3"/>
        <v>1.0</v>
      </c>
      <c r="H407" s="9">
        <f t="shared" si="4"/>
        <v>1</v>
      </c>
      <c r="I407" s="6" t="str">
        <f>IFERROR(__xludf.DUMMYFUNCTION("MAX(FILTER($H$2:$H427,$E$2:$E427=F407))"),"#N/A")</f>
        <v>#N/A</v>
      </c>
    </row>
    <row r="408">
      <c r="A408" s="4"/>
      <c r="C408" s="4" t="s">
        <v>861</v>
      </c>
      <c r="D408" s="4" t="str">
        <f t="shared" si="1"/>
        <v>{"valorA":"e","valorB":16.0}</v>
      </c>
      <c r="E408" s="8" t="str">
        <f t="shared" si="2"/>
        <v>e</v>
      </c>
      <c r="F408" s="8"/>
      <c r="G408" s="8" t="str">
        <f t="shared" si="3"/>
        <v>16.0</v>
      </c>
      <c r="H408" s="9">
        <f t="shared" si="4"/>
        <v>16</v>
      </c>
      <c r="I408" s="6" t="str">
        <f>IFERROR(__xludf.DUMMYFUNCTION("MAX(FILTER($H$2:$H427,$E$2:$E427=F408))"),"#N/A")</f>
        <v>#N/A</v>
      </c>
    </row>
    <row r="409">
      <c r="A409" s="4"/>
      <c r="C409" s="4" t="s">
        <v>1481</v>
      </c>
      <c r="D409" s="4" t="str">
        <f t="shared" si="1"/>
        <v>{"valorA":"games","valorB":1.0}</v>
      </c>
      <c r="E409" s="8" t="str">
        <f t="shared" si="2"/>
        <v>games</v>
      </c>
      <c r="F409" s="8"/>
      <c r="G409" s="8" t="str">
        <f t="shared" si="3"/>
        <v>1.0</v>
      </c>
      <c r="H409" s="9">
        <f t="shared" si="4"/>
        <v>1</v>
      </c>
      <c r="I409" s="6" t="str">
        <f>IFERROR(__xludf.DUMMYFUNCTION("MAX(FILTER($H$2:$H427,$E$2:$E427=F409))"),"#N/A")</f>
        <v>#N/A</v>
      </c>
    </row>
    <row r="410">
      <c r="A410" s="4"/>
      <c r="C410" s="4" t="s">
        <v>257</v>
      </c>
      <c r="D410" s="4" t="str">
        <f t="shared" si="1"/>
        <v>{"valorA":"sem","valorB":1.0}</v>
      </c>
      <c r="E410" s="8" t="str">
        <f t="shared" si="2"/>
        <v>sem</v>
      </c>
      <c r="F410" s="8"/>
      <c r="G410" s="8" t="str">
        <f t="shared" si="3"/>
        <v>1.0</v>
      </c>
      <c r="H410" s="9">
        <f t="shared" si="4"/>
        <v>1</v>
      </c>
      <c r="I410" s="6" t="str">
        <f>IFERROR(__xludf.DUMMYFUNCTION("MAX(FILTER($H$2:$H427,$E$2:$E427=F410))"),"#N/A")</f>
        <v>#N/A</v>
      </c>
    </row>
    <row r="411">
      <c r="A411" s="4"/>
      <c r="C411" s="4" t="s">
        <v>835</v>
      </c>
      <c r="D411" s="4" t="str">
        <f t="shared" si="1"/>
        <v>{"valorA":"ótimo","valorB":46.0}</v>
      </c>
      <c r="E411" s="8" t="str">
        <f t="shared" si="2"/>
        <v>ótimo</v>
      </c>
      <c r="F411" s="8"/>
      <c r="G411" s="8" t="str">
        <f t="shared" si="3"/>
        <v>46.0</v>
      </c>
      <c r="H411" s="9">
        <f t="shared" si="4"/>
        <v>46</v>
      </c>
      <c r="I411" s="6" t="str">
        <f>IFERROR(__xludf.DUMMYFUNCTION("MAX(FILTER($H$2:$H427,$E$2:$E427=F411))"),"#N/A")</f>
        <v>#N/A</v>
      </c>
    </row>
    <row r="412">
      <c r="A412" s="4"/>
      <c r="C412" s="4" t="s">
        <v>1482</v>
      </c>
      <c r="D412" s="4" t="str">
        <f t="shared" si="1"/>
        <v>{"valorA":"gastei","valorB":1.0}</v>
      </c>
      <c r="E412" s="8" t="str">
        <f t="shared" si="2"/>
        <v>gastei</v>
      </c>
      <c r="F412" s="8"/>
      <c r="G412" s="8" t="str">
        <f t="shared" si="3"/>
        <v>1.0</v>
      </c>
      <c r="H412" s="9">
        <f t="shared" si="4"/>
        <v>1</v>
      </c>
      <c r="I412" s="6" t="str">
        <f>IFERROR(__xludf.DUMMYFUNCTION("MAX(FILTER($H$2:$H427,$E$2:$E427=F412))"),"#N/A")</f>
        <v>#N/A</v>
      </c>
    </row>
    <row r="413">
      <c r="A413" s="4"/>
      <c r="C413" s="4" t="s">
        <v>1483</v>
      </c>
      <c r="D413" s="4" t="str">
        <f t="shared" si="1"/>
        <v>{"valorA":"problemas","valorB":3.0}</v>
      </c>
      <c r="E413" s="8" t="str">
        <f t="shared" si="2"/>
        <v>problemas</v>
      </c>
      <c r="F413" s="8"/>
      <c r="G413" s="8" t="str">
        <f t="shared" si="3"/>
        <v>3.0</v>
      </c>
      <c r="H413" s="9">
        <f t="shared" si="4"/>
        <v>3</v>
      </c>
      <c r="I413" s="6" t="str">
        <f>IFERROR(__xludf.DUMMYFUNCTION("MAX(FILTER($H$2:$H427,$E$2:$E427=F413))"),"#N/A")</f>
        <v>#N/A</v>
      </c>
    </row>
    <row r="414">
      <c r="A414" s="4"/>
      <c r="C414" s="4" t="s">
        <v>344</v>
      </c>
      <c r="D414" s="4" t="str">
        <f t="shared" si="1"/>
        <v>{"valorA":"é","valorB":6.0}</v>
      </c>
      <c r="E414" s="8" t="str">
        <f t="shared" si="2"/>
        <v>é</v>
      </c>
      <c r="F414" s="8"/>
      <c r="G414" s="8" t="str">
        <f t="shared" si="3"/>
        <v>6.0</v>
      </c>
      <c r="H414" s="9">
        <f t="shared" si="4"/>
        <v>6</v>
      </c>
      <c r="I414" s="6" t="str">
        <f>IFERROR(__xludf.DUMMYFUNCTION("MAX(FILTER($H$2:$H427,$E$2:$E427=F414))"),"#N/A")</f>
        <v>#N/A</v>
      </c>
    </row>
    <row r="415">
      <c r="A415" s="4"/>
      <c r="C415" s="4" t="s">
        <v>1484</v>
      </c>
      <c r="D415" s="4" t="str">
        <f t="shared" si="1"/>
        <v>{"valorA":"qualidade","valorB":9.0}</v>
      </c>
      <c r="E415" s="8" t="str">
        <f t="shared" si="2"/>
        <v>qualidade</v>
      </c>
      <c r="F415" s="8"/>
      <c r="G415" s="8" t="str">
        <f t="shared" si="3"/>
        <v>9.0</v>
      </c>
      <c r="H415" s="9">
        <f t="shared" si="4"/>
        <v>9</v>
      </c>
      <c r="I415" s="6" t="str">
        <f>IFERROR(__xludf.DUMMYFUNCTION("MAX(FILTER($H$2:$H427,$E$2:$E427=F415))"),"#N/A")</f>
        <v>#N/A</v>
      </c>
    </row>
    <row r="416">
      <c r="A416" s="4"/>
      <c r="C416" s="4" t="s">
        <v>730</v>
      </c>
      <c r="D416" s="4" t="str">
        <f t="shared" si="1"/>
        <v>{"valorA":"tão","valorB":3.0}</v>
      </c>
      <c r="E416" s="8" t="str">
        <f t="shared" si="2"/>
        <v>tão</v>
      </c>
      <c r="F416" s="8"/>
      <c r="G416" s="8" t="str">
        <f t="shared" si="3"/>
        <v>3.0</v>
      </c>
      <c r="H416" s="9">
        <f t="shared" si="4"/>
        <v>3</v>
      </c>
      <c r="I416" s="6" t="str">
        <f>IFERROR(__xludf.DUMMYFUNCTION("MAX(FILTER($H$2:$H427,$E$2:$E427=F416))"),"#N/A")</f>
        <v>#N/A</v>
      </c>
    </row>
    <row r="417">
      <c r="A417" s="4"/>
      <c r="C417" s="4" t="s">
        <v>1485</v>
      </c>
      <c r="D417" s="4" t="str">
        <f t="shared" si="1"/>
        <v>{"valorA":"boa","valorB":2.0}</v>
      </c>
      <c r="E417" s="8" t="str">
        <f t="shared" si="2"/>
        <v>boa</v>
      </c>
      <c r="F417" s="8"/>
      <c r="G417" s="8" t="str">
        <f t="shared" si="3"/>
        <v>2.0</v>
      </c>
      <c r="H417" s="9">
        <f t="shared" si="4"/>
        <v>2</v>
      </c>
      <c r="I417" s="6" t="str">
        <f>IFERROR(__xludf.DUMMYFUNCTION("MAX(FILTER($H$2:$H427,$E$2:$E427=F417))"),"#N/A")</f>
        <v>#N/A</v>
      </c>
    </row>
    <row r="418">
      <c r="A418" s="4"/>
      <c r="C418" s="4" t="s">
        <v>1486</v>
      </c>
      <c r="D418" s="4" t="str">
        <f t="shared" si="1"/>
        <v>{"valorA":"gostando","valorB":1.0}</v>
      </c>
      <c r="E418" s="8" t="str">
        <f t="shared" si="2"/>
        <v>gostando</v>
      </c>
      <c r="F418" s="8"/>
      <c r="G418" s="8" t="str">
        <f t="shared" si="3"/>
        <v>1.0</v>
      </c>
      <c r="H418" s="9">
        <f t="shared" si="4"/>
        <v>1</v>
      </c>
      <c r="I418" s="6" t="str">
        <f>IFERROR(__xludf.DUMMYFUNCTION("MAX(FILTER($H$2:$H427,$E$2:$E427=F418))"),"#N/A")</f>
        <v>#N/A</v>
      </c>
    </row>
    <row r="419">
      <c r="A419" s="4"/>
      <c r="C419" s="4" t="s">
        <v>1487</v>
      </c>
      <c r="D419" s="4" t="str">
        <f t="shared" si="1"/>
        <v>{"valorA":"esperava","valorB":1.0}</v>
      </c>
      <c r="E419" s="8" t="str">
        <f t="shared" si="2"/>
        <v>esperava</v>
      </c>
      <c r="F419" s="8"/>
      <c r="G419" s="8" t="str">
        <f t="shared" si="3"/>
        <v>1.0</v>
      </c>
      <c r="H419" s="9">
        <f t="shared" si="4"/>
        <v>1</v>
      </c>
      <c r="I419" s="6" t="str">
        <f>IFERROR(__xludf.DUMMYFUNCTION("MAX(FILTER($H$2:$H427,$E$2:$E427=F419))"),"#N/A")</f>
        <v>#N/A</v>
      </c>
    </row>
    <row r="420">
      <c r="A420" s="4"/>
      <c r="C420" s="4" t="s">
        <v>858</v>
      </c>
      <c r="D420" s="4" t="str">
        <f t="shared" si="1"/>
        <v>{"valorA":"ótimo","valorB":48.0}</v>
      </c>
      <c r="E420" s="8" t="str">
        <f t="shared" si="2"/>
        <v>ótimo</v>
      </c>
      <c r="F420" s="8"/>
      <c r="G420" s="8" t="str">
        <f t="shared" si="3"/>
        <v>48.0</v>
      </c>
      <c r="H420" s="9">
        <f t="shared" si="4"/>
        <v>48</v>
      </c>
      <c r="I420" s="6" t="str">
        <f>IFERROR(__xludf.DUMMYFUNCTION("MAX(FILTER($H$2:$H427,$E$2:$E427=F420))"),"#N/A")</f>
        <v>#N/A</v>
      </c>
    </row>
    <row r="421">
      <c r="A421" s="4"/>
      <c r="C421" s="4" t="s">
        <v>809</v>
      </c>
      <c r="D421" s="4" t="str">
        <f t="shared" si="1"/>
        <v>{"valorA":"produto","valorB":29.0}</v>
      </c>
      <c r="E421" s="8" t="str">
        <f t="shared" si="2"/>
        <v>produto</v>
      </c>
      <c r="F421" s="8"/>
      <c r="G421" s="8" t="str">
        <f t="shared" si="3"/>
        <v>29.0</v>
      </c>
      <c r="H421" s="9">
        <f t="shared" si="4"/>
        <v>29</v>
      </c>
      <c r="I421" s="6" t="str">
        <f>IFERROR(__xludf.DUMMYFUNCTION("MAX(FILTER($H$2:$H427,$E$2:$E427=F421))"),"#N/A")</f>
        <v>#N/A</v>
      </c>
    </row>
    <row r="422">
      <c r="A422" s="4"/>
      <c r="C422" s="4" t="s">
        <v>699</v>
      </c>
      <c r="D422" s="4" t="str">
        <f t="shared" si="1"/>
        <v>{"valorA":"televisor","valorB":3.0}</v>
      </c>
      <c r="E422" s="8" t="str">
        <f t="shared" si="2"/>
        <v>televisor</v>
      </c>
      <c r="F422" s="8"/>
      <c r="G422" s="8" t="str">
        <f t="shared" si="3"/>
        <v>3.0</v>
      </c>
      <c r="H422" s="9">
        <f t="shared" si="4"/>
        <v>3</v>
      </c>
      <c r="I422" s="6" t="str">
        <f>IFERROR(__xludf.DUMMYFUNCTION("MAX(FILTER($H$2:$H427,$E$2:$E427=F422))"),"#N/A")</f>
        <v>#N/A</v>
      </c>
    </row>
    <row r="423">
      <c r="A423" s="4"/>
      <c r="C423" s="4" t="s">
        <v>701</v>
      </c>
      <c r="D423" s="4" t="str">
        <f t="shared" si="1"/>
        <v>{"valorA":"mas","valorB":5.0}</v>
      </c>
      <c r="E423" s="8" t="str">
        <f t="shared" si="2"/>
        <v>mas</v>
      </c>
      <c r="F423" s="8"/>
      <c r="G423" s="8" t="str">
        <f t="shared" si="3"/>
        <v>5.0</v>
      </c>
      <c r="H423" s="9">
        <f t="shared" si="4"/>
        <v>5</v>
      </c>
      <c r="I423" s="6" t="str">
        <f>IFERROR(__xludf.DUMMYFUNCTION("MAX(FILTER($H$2:$H427,$E$2:$E427=F423))"),"#N/A")</f>
        <v>#N/A</v>
      </c>
    </row>
    <row r="424">
      <c r="A424" s="4"/>
      <c r="C424" s="4" t="s">
        <v>1488</v>
      </c>
      <c r="D424" s="4" t="str">
        <f t="shared" si="1"/>
        <v>{"valorA":"muito","valorB":19.0}</v>
      </c>
      <c r="E424" s="8" t="str">
        <f t="shared" si="2"/>
        <v>muito</v>
      </c>
      <c r="F424" s="8"/>
      <c r="G424" s="8" t="str">
        <f t="shared" si="3"/>
        <v>19.0</v>
      </c>
      <c r="H424" s="9">
        <f t="shared" si="4"/>
        <v>19</v>
      </c>
      <c r="I424" s="6" t="str">
        <f>IFERROR(__xludf.DUMMYFUNCTION("MAX(FILTER($H$2:$H427,$E$2:$E427=F424))"),"#N/A")</f>
        <v>#N/A</v>
      </c>
    </row>
    <row r="425">
      <c r="A425" s="4"/>
      <c r="C425" s="4" t="s">
        <v>359</v>
      </c>
      <c r="D425" s="4" t="str">
        <f t="shared" si="1"/>
        <v>{"valorA":"como","valorB":1.0}</v>
      </c>
      <c r="E425" s="8" t="str">
        <f t="shared" si="2"/>
        <v>como</v>
      </c>
      <c r="F425" s="8"/>
      <c r="G425" s="8" t="str">
        <f t="shared" si="3"/>
        <v>1.0</v>
      </c>
      <c r="H425" s="9">
        <f t="shared" si="4"/>
        <v>1</v>
      </c>
      <c r="I425" s="6" t="str">
        <f>IFERROR(__xludf.DUMMYFUNCTION("MAX(FILTER($H$2:$H427,$E$2:$E427=F425))"),"#N/A")</f>
        <v>#N/A</v>
      </c>
    </row>
    <row r="426">
      <c r="A426" s="4"/>
      <c r="C426" s="4" t="s">
        <v>726</v>
      </c>
      <c r="D426" s="4" t="str">
        <f t="shared" si="1"/>
        <v>{"valorA":"a","valorB":10.0}</v>
      </c>
      <c r="E426" s="8" t="str">
        <f t="shared" si="2"/>
        <v>a</v>
      </c>
      <c r="F426" s="8"/>
      <c r="G426" s="8" t="str">
        <f t="shared" si="3"/>
        <v>10.0</v>
      </c>
      <c r="H426" s="9">
        <f t="shared" si="4"/>
        <v>10</v>
      </c>
      <c r="I426" s="6" t="str">
        <f>IFERROR(__xludf.DUMMYFUNCTION("MAX(FILTER($H$2:$H427,$E$2:$E427=F426))"),"#N/A")</f>
        <v>#N/A</v>
      </c>
    </row>
    <row r="427">
      <c r="A427" s="4"/>
      <c r="C427" s="4" t="s">
        <v>1489</v>
      </c>
      <c r="D427" s="4" t="str">
        <f t="shared" si="1"/>
        <v>{"valorA":"não","valorB":6.0}</v>
      </c>
      <c r="E427" s="8" t="str">
        <f t="shared" si="2"/>
        <v>não</v>
      </c>
      <c r="F427" s="8"/>
      <c r="G427" s="8" t="str">
        <f t="shared" si="3"/>
        <v>6.0</v>
      </c>
      <c r="H427" s="9">
        <f t="shared" si="4"/>
        <v>6</v>
      </c>
      <c r="I427" s="6" t="str">
        <f>IFERROR(__xludf.DUMMYFUNCTION("MAX(FILTER($H$2:$H427,$E$2:$E427=F427))"),"#N/A")</f>
        <v>#N/A</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c r="A2" s="4" t="s">
        <v>1490</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553</v>
      </c>
    </row>
    <row r="3">
      <c r="A3" s="4" t="s">
        <v>925</v>
      </c>
    </row>
    <row r="4">
      <c r="A4" s="4" t="s">
        <v>525</v>
      </c>
    </row>
    <row r="5">
      <c r="A5" s="4" t="s">
        <v>39</v>
      </c>
    </row>
    <row r="6">
      <c r="A6" s="4" t="s">
        <v>40</v>
      </c>
    </row>
    <row r="7">
      <c r="A7" s="4" t="s">
        <v>1491</v>
      </c>
    </row>
    <row r="8">
      <c r="A8" s="4" t="s">
        <v>553</v>
      </c>
    </row>
    <row r="9">
      <c r="A9" s="4" t="s">
        <v>1492</v>
      </c>
    </row>
    <row r="10">
      <c r="A10" s="4" t="s">
        <v>1493</v>
      </c>
    </row>
    <row r="11">
      <c r="A11" s="4" t="s">
        <v>521</v>
      </c>
    </row>
    <row r="12">
      <c r="A12" s="4" t="s">
        <v>34</v>
      </c>
    </row>
    <row r="13">
      <c r="A13" s="4" t="s">
        <v>90</v>
      </c>
    </row>
    <row r="14">
      <c r="A14" s="4" t="s">
        <v>92</v>
      </c>
    </row>
    <row r="15">
      <c r="A15" s="4" t="s">
        <v>522</v>
      </c>
    </row>
    <row r="16">
      <c r="A16" s="4" t="s">
        <v>33</v>
      </c>
    </row>
    <row r="17">
      <c r="A17" s="4" t="s">
        <v>943</v>
      </c>
    </row>
    <row r="18">
      <c r="A18" s="4" t="s">
        <v>41</v>
      </c>
    </row>
    <row r="19">
      <c r="A19" s="4" t="s">
        <v>944</v>
      </c>
    </row>
    <row r="20">
      <c r="A20" s="4" t="s">
        <v>94</v>
      </c>
    </row>
    <row r="21">
      <c r="A21" s="4" t="s">
        <v>1494</v>
      </c>
    </row>
    <row r="22">
      <c r="A22" s="4" t="s">
        <v>119</v>
      </c>
    </row>
    <row r="23">
      <c r="A23" s="4" t="s">
        <v>535</v>
      </c>
    </row>
    <row r="24">
      <c r="A24" s="4" t="s">
        <v>35</v>
      </c>
    </row>
    <row r="25">
      <c r="A25" s="4" t="s">
        <v>140</v>
      </c>
    </row>
    <row r="26">
      <c r="A26" s="4" t="s">
        <v>33</v>
      </c>
    </row>
    <row r="27">
      <c r="A27" s="4" t="s">
        <v>1495</v>
      </c>
    </row>
    <row r="28">
      <c r="A28" s="4" t="s">
        <v>109</v>
      </c>
    </row>
    <row r="29">
      <c r="A29" s="4" t="s">
        <v>110</v>
      </c>
    </row>
    <row r="30">
      <c r="A30" s="4" t="s">
        <v>111</v>
      </c>
    </row>
    <row r="31">
      <c r="A31" s="4" t="s">
        <v>1496</v>
      </c>
    </row>
    <row r="32">
      <c r="A32" s="4" t="s">
        <v>40</v>
      </c>
    </row>
    <row r="33">
      <c r="A33" s="4" t="s">
        <v>1497</v>
      </c>
    </row>
    <row r="34">
      <c r="A34" s="4" t="s">
        <v>1498</v>
      </c>
    </row>
    <row r="35">
      <c r="A35" s="4" t="s">
        <v>970</v>
      </c>
    </row>
    <row r="36">
      <c r="A36" s="4" t="s">
        <v>33</v>
      </c>
    </row>
    <row r="37">
      <c r="A37" s="4" t="s">
        <v>939</v>
      </c>
    </row>
    <row r="38">
      <c r="A38" s="4" t="s">
        <v>41</v>
      </c>
    </row>
    <row r="39">
      <c r="A39" s="4" t="s">
        <v>867</v>
      </c>
    </row>
    <row r="40">
      <c r="A40" s="4" t="s">
        <v>88</v>
      </c>
    </row>
    <row r="41">
      <c r="A41" s="4" t="s">
        <v>40</v>
      </c>
    </row>
    <row r="42">
      <c r="A42" s="4" t="s">
        <v>75</v>
      </c>
    </row>
    <row r="43">
      <c r="A43" s="4" t="s">
        <v>33</v>
      </c>
    </row>
    <row r="44">
      <c r="A44" s="4" t="s">
        <v>891</v>
      </c>
    </row>
    <row r="45">
      <c r="A45" s="4" t="s">
        <v>41</v>
      </c>
    </row>
    <row r="46">
      <c r="A46" s="4" t="s">
        <v>971</v>
      </c>
    </row>
    <row r="47">
      <c r="A47" s="4" t="s">
        <v>1499</v>
      </c>
    </row>
    <row r="48">
      <c r="A48" s="4" t="s">
        <v>119</v>
      </c>
    </row>
    <row r="49">
      <c r="A49" s="4" t="s">
        <v>120</v>
      </c>
    </row>
    <row r="50">
      <c r="A50" s="4" t="s">
        <v>1500</v>
      </c>
    </row>
    <row r="51">
      <c r="A51" s="4" t="s">
        <v>33</v>
      </c>
    </row>
    <row r="52">
      <c r="A52" s="4" t="s">
        <v>897</v>
      </c>
    </row>
    <row r="53">
      <c r="A53" s="4" t="s">
        <v>41</v>
      </c>
    </row>
    <row r="54">
      <c r="A54" s="4" t="s">
        <v>913</v>
      </c>
    </row>
    <row r="55">
      <c r="A55" s="4" t="s">
        <v>96</v>
      </c>
    </row>
    <row r="56">
      <c r="A56" s="4" t="s">
        <v>509</v>
      </c>
    </row>
    <row r="57">
      <c r="A57" s="4" t="s">
        <v>92</v>
      </c>
    </row>
    <row r="58">
      <c r="A58" s="4" t="s">
        <v>122</v>
      </c>
    </row>
    <row r="59">
      <c r="A59" s="4" t="s">
        <v>873</v>
      </c>
    </row>
    <row r="60">
      <c r="A60" s="4" t="s">
        <v>34</v>
      </c>
    </row>
    <row r="61">
      <c r="A61" s="4" t="s">
        <v>40</v>
      </c>
    </row>
    <row r="62">
      <c r="A62" s="4" t="s">
        <v>921</v>
      </c>
    </row>
    <row r="63">
      <c r="A63" s="4" t="s">
        <v>115</v>
      </c>
    </row>
    <row r="64">
      <c r="A64" s="4" t="s">
        <v>92</v>
      </c>
    </row>
    <row r="65">
      <c r="A65" s="4" t="s">
        <v>93</v>
      </c>
    </row>
    <row r="66">
      <c r="A66" s="4" t="s">
        <v>33</v>
      </c>
    </row>
    <row r="67">
      <c r="A67" s="4" t="s">
        <v>534</v>
      </c>
    </row>
    <row r="68">
      <c r="A68" s="4" t="s">
        <v>41</v>
      </c>
    </row>
    <row r="69">
      <c r="A69" s="4" t="s">
        <v>535</v>
      </c>
    </row>
    <row r="70">
      <c r="A70" s="4" t="s">
        <v>44</v>
      </c>
    </row>
    <row r="71">
      <c r="A71" s="4" t="s">
        <v>119</v>
      </c>
    </row>
    <row r="72">
      <c r="A72" s="4" t="s">
        <v>939</v>
      </c>
    </row>
    <row r="73">
      <c r="A73" s="4" t="s">
        <v>90</v>
      </c>
    </row>
    <row r="74">
      <c r="A74" s="4" t="s">
        <v>159</v>
      </c>
    </row>
    <row r="75">
      <c r="A75" s="4" t="s">
        <v>553</v>
      </c>
    </row>
    <row r="76">
      <c r="A76" s="4" t="s">
        <v>1501</v>
      </c>
    </row>
    <row r="77">
      <c r="A77" s="4" t="s">
        <v>107</v>
      </c>
    </row>
    <row r="78">
      <c r="A78" s="4" t="s">
        <v>41</v>
      </c>
    </row>
    <row r="79">
      <c r="A79" s="4" t="s">
        <v>892</v>
      </c>
    </row>
    <row r="80">
      <c r="A80" s="4" t="s">
        <v>48</v>
      </c>
    </row>
    <row r="81">
      <c r="A81" s="4" t="s">
        <v>919</v>
      </c>
    </row>
    <row r="82">
      <c r="A82" s="4" t="s">
        <v>1502</v>
      </c>
    </row>
    <row r="83">
      <c r="A83" s="4" t="s">
        <v>33</v>
      </c>
    </row>
    <row r="84">
      <c r="A84" s="4" t="s">
        <v>880</v>
      </c>
    </row>
    <row r="85">
      <c r="A85" s="4" t="s">
        <v>41</v>
      </c>
    </row>
    <row r="86">
      <c r="A86" s="4" t="s">
        <v>1503</v>
      </c>
    </row>
    <row r="87">
      <c r="A87" s="4" t="s">
        <v>126</v>
      </c>
    </row>
    <row r="88">
      <c r="A88" s="4" t="s">
        <v>98</v>
      </c>
    </row>
    <row r="89">
      <c r="A89" s="4" t="s">
        <v>527</v>
      </c>
    </row>
    <row r="90">
      <c r="A90" s="4" t="s">
        <v>1504</v>
      </c>
    </row>
    <row r="91">
      <c r="A91" s="4" t="s">
        <v>33</v>
      </c>
    </row>
    <row r="92">
      <c r="A92" s="4" t="s">
        <v>119</v>
      </c>
    </row>
    <row r="93">
      <c r="A93" s="4" t="s">
        <v>1505</v>
      </c>
    </row>
    <row r="94">
      <c r="A94" s="4" t="s">
        <v>109</v>
      </c>
    </row>
    <row r="95">
      <c r="A95" s="4" t="s">
        <v>968</v>
      </c>
    </row>
    <row r="96">
      <c r="A96" s="4" t="s">
        <v>110</v>
      </c>
    </row>
    <row r="97">
      <c r="A97" s="4" t="s">
        <v>1367</v>
      </c>
    </row>
    <row r="98">
      <c r="A98" s="4" t="s">
        <v>99</v>
      </c>
    </row>
    <row r="99">
      <c r="A99" s="4" t="s">
        <v>33</v>
      </c>
    </row>
    <row r="100">
      <c r="A100" s="4" t="s">
        <v>48</v>
      </c>
    </row>
    <row r="101">
      <c r="A101" s="4" t="s">
        <v>101</v>
      </c>
    </row>
    <row r="102">
      <c r="A102" s="4" t="s">
        <v>36</v>
      </c>
    </row>
    <row r="103">
      <c r="A103" s="4" t="s">
        <v>938</v>
      </c>
    </row>
    <row r="104">
      <c r="A104" s="4" t="s">
        <v>44</v>
      </c>
    </row>
    <row r="105">
      <c r="A105" s="4" t="s">
        <v>939</v>
      </c>
    </row>
    <row r="106">
      <c r="A106" s="4" t="s">
        <v>90</v>
      </c>
    </row>
    <row r="107">
      <c r="A107" s="4" t="s">
        <v>33</v>
      </c>
    </row>
    <row r="108">
      <c r="A108" s="4" t="s">
        <v>1506</v>
      </c>
    </row>
    <row r="109">
      <c r="A109" s="4" t="s">
        <v>41</v>
      </c>
    </row>
    <row r="110">
      <c r="A110" s="4" t="s">
        <v>1507</v>
      </c>
    </row>
    <row r="111">
      <c r="A111" s="4" t="s">
        <v>107</v>
      </c>
    </row>
    <row r="112">
      <c r="A112" s="4" t="s">
        <v>41</v>
      </c>
    </row>
    <row r="113">
      <c r="A113" s="4" t="s">
        <v>42</v>
      </c>
    </row>
    <row r="114">
      <c r="A114" s="4" t="s">
        <v>48</v>
      </c>
    </row>
    <row r="115">
      <c r="A115" s="4" t="s">
        <v>899</v>
      </c>
    </row>
    <row r="116">
      <c r="A116" s="4" t="s">
        <v>553</v>
      </c>
    </row>
    <row r="117">
      <c r="A117" s="4" t="s">
        <v>1501</v>
      </c>
    </row>
    <row r="118">
      <c r="A118" s="4" t="s">
        <v>44</v>
      </c>
    </row>
    <row r="119">
      <c r="A119" s="4" t="s">
        <v>1508</v>
      </c>
    </row>
    <row r="120">
      <c r="A120" s="4" t="s">
        <v>895</v>
      </c>
    </row>
    <row r="121">
      <c r="A121" s="4" t="s">
        <v>40</v>
      </c>
    </row>
    <row r="122">
      <c r="A122" s="4" t="s">
        <v>1509</v>
      </c>
    </row>
    <row r="123">
      <c r="A123" s="4" t="s">
        <v>33</v>
      </c>
    </row>
    <row r="124">
      <c r="A124" s="4" t="s">
        <v>946</v>
      </c>
    </row>
    <row r="125">
      <c r="A125" s="4" t="s">
        <v>41</v>
      </c>
    </row>
    <row r="126">
      <c r="A126" s="4" t="s">
        <v>516</v>
      </c>
    </row>
    <row r="127">
      <c r="A127" s="4" t="s">
        <v>90</v>
      </c>
    </row>
    <row r="128">
      <c r="A128" s="4" t="s">
        <v>1510</v>
      </c>
    </row>
    <row r="129">
      <c r="A129" s="4" t="s">
        <v>33</v>
      </c>
    </row>
    <row r="130">
      <c r="A130" s="4" t="s">
        <v>567</v>
      </c>
    </row>
    <row r="131">
      <c r="A131" s="4" t="s">
        <v>44</v>
      </c>
    </row>
    <row r="132">
      <c r="A132" s="4" t="s">
        <v>869</v>
      </c>
    </row>
    <row r="133">
      <c r="A133" s="4" t="s">
        <v>107</v>
      </c>
    </row>
    <row r="134">
      <c r="A134" s="4" t="s">
        <v>41</v>
      </c>
    </row>
    <row r="135">
      <c r="A135" s="4" t="s">
        <v>42</v>
      </c>
    </row>
    <row r="136">
      <c r="A136" s="4" t="s">
        <v>553</v>
      </c>
    </row>
    <row r="137">
      <c r="A137" s="4" t="s">
        <v>1378</v>
      </c>
    </row>
    <row r="138">
      <c r="A138" s="4" t="s">
        <v>41</v>
      </c>
    </row>
    <row r="139">
      <c r="A139" s="4" t="s">
        <v>912</v>
      </c>
    </row>
    <row r="140">
      <c r="A140" s="4" t="s">
        <v>896</v>
      </c>
    </row>
    <row r="141">
      <c r="A141" s="4" t="s">
        <v>88</v>
      </c>
    </row>
    <row r="142">
      <c r="A142" s="4" t="s">
        <v>40</v>
      </c>
    </row>
    <row r="143">
      <c r="A143" s="4" t="s">
        <v>75</v>
      </c>
    </row>
    <row r="144">
      <c r="A144" s="4" t="s">
        <v>33</v>
      </c>
    </row>
    <row r="145">
      <c r="A145" s="4" t="s">
        <v>113</v>
      </c>
    </row>
    <row r="146">
      <c r="A146" s="4" t="s">
        <v>1511</v>
      </c>
    </row>
    <row r="147">
      <c r="A147" s="4" t="s">
        <v>895</v>
      </c>
    </row>
    <row r="148">
      <c r="A148" s="4" t="s">
        <v>109</v>
      </c>
    </row>
    <row r="149">
      <c r="A149" s="4" t="s">
        <v>121</v>
      </c>
    </row>
    <row r="150">
      <c r="A150" s="4" t="s">
        <v>92</v>
      </c>
    </row>
    <row r="151">
      <c r="A151" s="4" t="s">
        <v>122</v>
      </c>
    </row>
    <row r="152">
      <c r="A152" s="4" t="s">
        <v>537</v>
      </c>
    </row>
    <row r="153">
      <c r="A153" s="4" t="s">
        <v>33</v>
      </c>
    </row>
    <row r="154">
      <c r="A154" s="4" t="s">
        <v>540</v>
      </c>
    </row>
    <row r="155">
      <c r="A155" s="4" t="s">
        <v>44</v>
      </c>
    </row>
    <row r="156">
      <c r="A156" s="4" t="s">
        <v>1512</v>
      </c>
    </row>
    <row r="157">
      <c r="A157" s="4" t="s">
        <v>48</v>
      </c>
    </row>
    <row r="158">
      <c r="A158" s="4" t="s">
        <v>1513</v>
      </c>
    </row>
    <row r="159">
      <c r="A159" s="4" t="s">
        <v>33</v>
      </c>
    </row>
    <row r="160">
      <c r="A160" s="4" t="s">
        <v>534</v>
      </c>
    </row>
    <row r="161">
      <c r="A161" s="4" t="s">
        <v>874</v>
      </c>
    </row>
    <row r="162">
      <c r="A162" s="4" t="s">
        <v>109</v>
      </c>
    </row>
    <row r="163">
      <c r="A163" s="4" t="s">
        <v>110</v>
      </c>
    </row>
    <row r="164">
      <c r="A164" s="4" t="s">
        <v>111</v>
      </c>
    </row>
    <row r="165">
      <c r="A165" s="4" t="s">
        <v>33</v>
      </c>
    </row>
    <row r="166">
      <c r="A166" s="4" t="s">
        <v>119</v>
      </c>
    </row>
    <row r="167">
      <c r="A167" s="4" t="s">
        <v>1514</v>
      </c>
    </row>
    <row r="168">
      <c r="A168" s="4" t="s">
        <v>109</v>
      </c>
    </row>
    <row r="169">
      <c r="A169" s="4" t="s">
        <v>951</v>
      </c>
    </row>
    <row r="170">
      <c r="A170" s="4" t="s">
        <v>1504</v>
      </c>
    </row>
    <row r="171">
      <c r="A171" s="4" t="s">
        <v>119</v>
      </c>
    </row>
    <row r="172">
      <c r="A172" s="4" t="s">
        <v>880</v>
      </c>
    </row>
    <row r="173">
      <c r="A173" s="4" t="s">
        <v>947</v>
      </c>
    </row>
    <row r="174">
      <c r="A174" s="4" t="s">
        <v>140</v>
      </c>
    </row>
    <row r="175">
      <c r="A175" s="4" t="s">
        <v>1362</v>
      </c>
    </row>
    <row r="176">
      <c r="A176" s="4" t="s">
        <v>33</v>
      </c>
    </row>
    <row r="177">
      <c r="A177" s="4" t="s">
        <v>36</v>
      </c>
    </row>
    <row r="178">
      <c r="A178" s="4" t="s">
        <v>938</v>
      </c>
    </row>
    <row r="179">
      <c r="A179" s="4" t="s">
        <v>549</v>
      </c>
    </row>
    <row r="180">
      <c r="A180" s="4" t="s">
        <v>1515</v>
      </c>
    </row>
    <row r="181">
      <c r="A181" s="4" t="s">
        <v>1516</v>
      </c>
    </row>
    <row r="182">
      <c r="A182" s="4" t="s">
        <v>1517</v>
      </c>
    </row>
    <row r="183">
      <c r="A183" s="4" t="s">
        <v>1518</v>
      </c>
    </row>
    <row r="184">
      <c r="A184" s="4" t="s">
        <v>1519</v>
      </c>
    </row>
    <row r="185">
      <c r="A185" s="4" t="s">
        <v>939</v>
      </c>
    </row>
    <row r="186">
      <c r="A186" s="4" t="s">
        <v>94</v>
      </c>
    </row>
    <row r="187">
      <c r="A187" s="4" t="s">
        <v>901</v>
      </c>
    </row>
    <row r="188">
      <c r="A188" s="4" t="s">
        <v>961</v>
      </c>
    </row>
    <row r="189">
      <c r="A189" s="4" t="s">
        <v>553</v>
      </c>
    </row>
    <row r="190">
      <c r="A190" s="4" t="s">
        <v>1520</v>
      </c>
    </row>
    <row r="191">
      <c r="A191" s="4" t="s">
        <v>107</v>
      </c>
    </row>
    <row r="192">
      <c r="A192" s="4" t="s">
        <v>41</v>
      </c>
    </row>
    <row r="193">
      <c r="A193" s="4" t="s">
        <v>42</v>
      </c>
    </row>
    <row r="194">
      <c r="A194" s="4" t="s">
        <v>48</v>
      </c>
    </row>
    <row r="195">
      <c r="A195" s="4" t="s">
        <v>40</v>
      </c>
    </row>
    <row r="196">
      <c r="A196" s="4" t="s">
        <v>1509</v>
      </c>
    </row>
    <row r="197">
      <c r="A197" s="4" t="s">
        <v>33</v>
      </c>
    </row>
    <row r="198">
      <c r="A198" s="4" t="s">
        <v>946</v>
      </c>
    </row>
    <row r="199">
      <c r="A199" s="4" t="s">
        <v>51</v>
      </c>
    </row>
    <row r="200">
      <c r="A200" s="4" t="s">
        <v>540</v>
      </c>
    </row>
    <row r="201">
      <c r="A201" s="4" t="s">
        <v>960</v>
      </c>
    </row>
    <row r="202">
      <c r="A202" s="4" t="s">
        <v>40</v>
      </c>
    </row>
    <row r="203">
      <c r="A203" s="4" t="s">
        <v>520</v>
      </c>
    </row>
    <row r="204">
      <c r="A204" s="4" t="s">
        <v>33</v>
      </c>
    </row>
    <row r="205">
      <c r="A205" s="4" t="s">
        <v>48</v>
      </c>
    </row>
    <row r="206">
      <c r="A206" s="4" t="s">
        <v>101</v>
      </c>
    </row>
    <row r="207">
      <c r="A207" s="4" t="s">
        <v>36</v>
      </c>
    </row>
    <row r="208">
      <c r="A208" s="4" t="s">
        <v>938</v>
      </c>
    </row>
    <row r="209">
      <c r="A209" s="4" t="s">
        <v>41</v>
      </c>
    </row>
    <row r="210">
      <c r="A210" s="4" t="s">
        <v>1521</v>
      </c>
    </row>
    <row r="211">
      <c r="A211" s="4" t="s">
        <v>33</v>
      </c>
    </row>
    <row r="212">
      <c r="A212" s="4" t="s">
        <v>44</v>
      </c>
    </row>
    <row r="213">
      <c r="A213" s="4" t="s">
        <v>892</v>
      </c>
    </row>
    <row r="214">
      <c r="A214" s="4" t="s">
        <v>119</v>
      </c>
    </row>
    <row r="215">
      <c r="A215" s="4" t="s">
        <v>1522</v>
      </c>
    </row>
    <row r="216">
      <c r="A216" s="4" t="s">
        <v>115</v>
      </c>
    </row>
    <row r="217">
      <c r="A217" s="4" t="s">
        <v>1523</v>
      </c>
    </row>
    <row r="218">
      <c r="A218" s="4" t="s">
        <v>50</v>
      </c>
    </row>
    <row r="219">
      <c r="A219" s="4" t="s">
        <v>40</v>
      </c>
    </row>
    <row r="220">
      <c r="A220" s="4" t="s">
        <v>873</v>
      </c>
    </row>
    <row r="221">
      <c r="A221" s="4" t="s">
        <v>946</v>
      </c>
    </row>
    <row r="222">
      <c r="A222" s="4" t="s">
        <v>41</v>
      </c>
    </row>
    <row r="223">
      <c r="A223" s="4" t="s">
        <v>978</v>
      </c>
    </row>
    <row r="224">
      <c r="A224" s="4" t="s">
        <v>44</v>
      </c>
    </row>
    <row r="225">
      <c r="A225" s="4" t="s">
        <v>98</v>
      </c>
    </row>
    <row r="226">
      <c r="A226" s="4" t="s">
        <v>527</v>
      </c>
    </row>
    <row r="227">
      <c r="A227" s="4" t="s">
        <v>509</v>
      </c>
    </row>
    <row r="228">
      <c r="A228" s="4" t="s">
        <v>92</v>
      </c>
    </row>
    <row r="229">
      <c r="A229" s="4" t="s">
        <v>122</v>
      </c>
    </row>
    <row r="230">
      <c r="A230" s="4" t="s">
        <v>33</v>
      </c>
    </row>
    <row r="231">
      <c r="A231" s="4" t="s">
        <v>897</v>
      </c>
    </row>
    <row r="232">
      <c r="A232" s="4" t="s">
        <v>41</v>
      </c>
    </row>
    <row r="233">
      <c r="A233" s="4" t="s">
        <v>971</v>
      </c>
    </row>
    <row r="234">
      <c r="A234" s="4" t="s">
        <v>871</v>
      </c>
    </row>
    <row r="235">
      <c r="A235" s="4" t="s">
        <v>88</v>
      </c>
    </row>
    <row r="236">
      <c r="A236" s="4" t="s">
        <v>89</v>
      </c>
    </row>
    <row r="237">
      <c r="A237" s="4" t="s">
        <v>553</v>
      </c>
    </row>
    <row r="238">
      <c r="A238" s="4" t="s">
        <v>1340</v>
      </c>
    </row>
    <row r="239">
      <c r="A239" s="4" t="s">
        <v>90</v>
      </c>
    </row>
    <row r="240">
      <c r="A240" s="4" t="s">
        <v>1510</v>
      </c>
    </row>
    <row r="241">
      <c r="A241" s="4" t="s">
        <v>33</v>
      </c>
    </row>
    <row r="242">
      <c r="A242" s="4" t="s">
        <v>876</v>
      </c>
    </row>
    <row r="243">
      <c r="A243" s="4" t="s">
        <v>88</v>
      </c>
    </row>
    <row r="244">
      <c r="A244" s="4" t="s">
        <v>40</v>
      </c>
    </row>
    <row r="245">
      <c r="A245" s="4" t="s">
        <v>75</v>
      </c>
    </row>
    <row r="246">
      <c r="A246" s="4" t="s">
        <v>877</v>
      </c>
    </row>
    <row r="247">
      <c r="A247" s="4" t="s">
        <v>119</v>
      </c>
    </row>
    <row r="248">
      <c r="A248" s="4" t="s">
        <v>878</v>
      </c>
    </row>
    <row r="249">
      <c r="A249" s="4" t="s">
        <v>879</v>
      </c>
    </row>
    <row r="250">
      <c r="A250" s="4" t="s">
        <v>553</v>
      </c>
    </row>
    <row r="251">
      <c r="A251" s="4" t="s">
        <v>891</v>
      </c>
    </row>
    <row r="252">
      <c r="A252" s="4" t="s">
        <v>88</v>
      </c>
    </row>
    <row r="253">
      <c r="A253" s="4" t="s">
        <v>89</v>
      </c>
    </row>
    <row r="254">
      <c r="A254" s="4" t="s">
        <v>877</v>
      </c>
    </row>
    <row r="255">
      <c r="A255" s="4" t="s">
        <v>119</v>
      </c>
    </row>
    <row r="256">
      <c r="A256" s="4" t="s">
        <v>878</v>
      </c>
    </row>
    <row r="257">
      <c r="A257" s="4" t="s">
        <v>923</v>
      </c>
    </row>
    <row r="258">
      <c r="A258" s="4" t="s">
        <v>33</v>
      </c>
    </row>
    <row r="259">
      <c r="A259" s="4" t="s">
        <v>876</v>
      </c>
    </row>
    <row r="260">
      <c r="A260" s="4" t="s">
        <v>44</v>
      </c>
    </row>
    <row r="261">
      <c r="A261" s="4" t="s">
        <v>1503</v>
      </c>
    </row>
    <row r="262">
      <c r="A262" s="4" t="s">
        <v>107</v>
      </c>
    </row>
    <row r="263">
      <c r="A263" s="4" t="s">
        <v>41</v>
      </c>
    </row>
    <row r="264">
      <c r="A264" s="4" t="s">
        <v>42</v>
      </c>
    </row>
    <row r="265">
      <c r="A265" s="4" t="s">
        <v>873</v>
      </c>
    </row>
    <row r="266">
      <c r="A266" s="4" t="s">
        <v>44</v>
      </c>
    </row>
    <row r="267">
      <c r="A267" s="4" t="s">
        <v>1524</v>
      </c>
    </row>
    <row r="268">
      <c r="A268" s="4" t="s">
        <v>115</v>
      </c>
    </row>
    <row r="269">
      <c r="A269" s="4" t="s">
        <v>901</v>
      </c>
    </row>
    <row r="270">
      <c r="A270" s="4" t="s">
        <v>1525</v>
      </c>
    </row>
    <row r="271">
      <c r="A271" s="4" t="s">
        <v>553</v>
      </c>
    </row>
    <row r="272">
      <c r="A272" s="4" t="s">
        <v>925</v>
      </c>
    </row>
    <row r="273">
      <c r="A273" s="4" t="s">
        <v>525</v>
      </c>
    </row>
    <row r="274">
      <c r="A274" s="4" t="s">
        <v>40</v>
      </c>
    </row>
    <row r="275">
      <c r="A275" s="4" t="s">
        <v>1526</v>
      </c>
    </row>
    <row r="276">
      <c r="A276" s="4" t="s">
        <v>48</v>
      </c>
    </row>
    <row r="277">
      <c r="A277" s="4" t="s">
        <v>1527</v>
      </c>
    </row>
    <row r="278">
      <c r="A278" s="4" t="s">
        <v>1227</v>
      </c>
    </row>
    <row r="279">
      <c r="A279" s="4" t="s">
        <v>33</v>
      </c>
    </row>
    <row r="280">
      <c r="A280" s="4" t="s">
        <v>880</v>
      </c>
    </row>
    <row r="281">
      <c r="A281" s="4" t="s">
        <v>564</v>
      </c>
    </row>
    <row r="282">
      <c r="A282" s="4" t="s">
        <v>1504</v>
      </c>
    </row>
    <row r="283">
      <c r="A283" s="4" t="s">
        <v>40</v>
      </c>
    </row>
    <row r="284">
      <c r="A284" s="4" t="s">
        <v>1528</v>
      </c>
    </row>
    <row r="285">
      <c r="A285" s="4" t="s">
        <v>119</v>
      </c>
    </row>
    <row r="286">
      <c r="A286" s="4" t="s">
        <v>885</v>
      </c>
    </row>
    <row r="287">
      <c r="A287" s="4" t="s">
        <v>947</v>
      </c>
    </row>
    <row r="288">
      <c r="A288" s="4" t="s">
        <v>49</v>
      </c>
    </row>
    <row r="289">
      <c r="A289" s="4" t="s">
        <v>48</v>
      </c>
    </row>
    <row r="290">
      <c r="A290" s="4" t="s">
        <v>1529</v>
      </c>
    </row>
    <row r="291">
      <c r="A291" s="4" t="s">
        <v>33</v>
      </c>
    </row>
    <row r="292">
      <c r="A292" s="4" t="s">
        <v>876</v>
      </c>
    </row>
    <row r="293">
      <c r="A293" s="4" t="s">
        <v>44</v>
      </c>
    </row>
    <row r="294">
      <c r="A294" s="4" t="s">
        <v>1524</v>
      </c>
    </row>
    <row r="295">
      <c r="A295" s="4" t="s">
        <v>109</v>
      </c>
    </row>
    <row r="296">
      <c r="A296" s="4" t="s">
        <v>1530</v>
      </c>
    </row>
    <row r="297">
      <c r="A297" s="4" t="s">
        <v>1531</v>
      </c>
    </row>
    <row r="298">
      <c r="A298" s="4" t="s">
        <v>166</v>
      </c>
    </row>
    <row r="299">
      <c r="A299" s="4" t="s">
        <v>33</v>
      </c>
    </row>
    <row r="300">
      <c r="A300" s="4" t="s">
        <v>113</v>
      </c>
    </row>
    <row r="301">
      <c r="A301" s="4" t="s">
        <v>41</v>
      </c>
    </row>
    <row r="302">
      <c r="A302" s="4" t="s">
        <v>866</v>
      </c>
    </row>
    <row r="303">
      <c r="A303" s="4" t="s">
        <v>40</v>
      </c>
    </row>
    <row r="304">
      <c r="A304" s="4" t="s">
        <v>147</v>
      </c>
    </row>
    <row r="305">
      <c r="A305" s="4" t="s">
        <v>33</v>
      </c>
    </row>
    <row r="306">
      <c r="A306" s="4" t="s">
        <v>1532</v>
      </c>
    </row>
    <row r="307">
      <c r="A307" s="4" t="s">
        <v>44</v>
      </c>
    </row>
    <row r="308">
      <c r="A308" s="4" t="s">
        <v>1533</v>
      </c>
    </row>
    <row r="309">
      <c r="A309" s="4" t="s">
        <v>107</v>
      </c>
    </row>
    <row r="310">
      <c r="A310" s="4" t="s">
        <v>41</v>
      </c>
    </row>
    <row r="311">
      <c r="A311" s="4" t="s">
        <v>42</v>
      </c>
    </row>
    <row r="312">
      <c r="A312" s="4" t="s">
        <v>48</v>
      </c>
    </row>
    <row r="313">
      <c r="A313" s="4" t="s">
        <v>1534</v>
      </c>
    </row>
    <row r="314">
      <c r="A314" s="4" t="s">
        <v>553</v>
      </c>
    </row>
    <row r="315">
      <c r="A315" s="4" t="s">
        <v>139</v>
      </c>
    </row>
    <row r="316">
      <c r="A316" s="4" t="s">
        <v>44</v>
      </c>
    </row>
    <row r="317">
      <c r="A317" s="4" t="s">
        <v>973</v>
      </c>
    </row>
    <row r="318">
      <c r="A318" s="4" t="s">
        <v>1535</v>
      </c>
    </row>
    <row r="319">
      <c r="A319" s="4" t="s">
        <v>1536</v>
      </c>
    </row>
    <row r="320">
      <c r="A320" s="4" t="s">
        <v>873</v>
      </c>
    </row>
    <row r="321">
      <c r="A321" s="4" t="s">
        <v>1537</v>
      </c>
    </row>
    <row r="322">
      <c r="A322" s="4" t="s">
        <v>44</v>
      </c>
    </row>
    <row r="323">
      <c r="A323" s="4" t="s">
        <v>513</v>
      </c>
    </row>
    <row r="324">
      <c r="A324" s="4" t="s">
        <v>902</v>
      </c>
    </row>
    <row r="325">
      <c r="A325" s="4" t="s">
        <v>901</v>
      </c>
    </row>
    <row r="326">
      <c r="A326" s="4" t="s">
        <v>115</v>
      </c>
    </row>
    <row r="327">
      <c r="A327" s="4" t="s">
        <v>119</v>
      </c>
    </row>
    <row r="328">
      <c r="A328" s="4" t="s">
        <v>1538</v>
      </c>
    </row>
    <row r="329">
      <c r="A329" s="4" t="s">
        <v>90</v>
      </c>
    </row>
    <row r="330">
      <c r="A330" s="4" t="s">
        <v>1510</v>
      </c>
    </row>
    <row r="331">
      <c r="A331" s="4" t="s">
        <v>33</v>
      </c>
    </row>
    <row r="332">
      <c r="A332" s="4" t="s">
        <v>48</v>
      </c>
    </row>
    <row r="333">
      <c r="A333" s="4" t="s">
        <v>101</v>
      </c>
    </row>
    <row r="334">
      <c r="A334" s="4" t="s">
        <v>36</v>
      </c>
    </row>
    <row r="335">
      <c r="A335" s="4" t="s">
        <v>978</v>
      </c>
    </row>
    <row r="336">
      <c r="A336" s="4" t="s">
        <v>90</v>
      </c>
    </row>
    <row r="337">
      <c r="A337" s="4" t="s">
        <v>33</v>
      </c>
    </row>
    <row r="338">
      <c r="A338" s="4" t="s">
        <v>113</v>
      </c>
    </row>
    <row r="339">
      <c r="A339" s="4" t="s">
        <v>1539</v>
      </c>
    </row>
    <row r="340">
      <c r="A340" s="4" t="s">
        <v>62</v>
      </c>
    </row>
    <row r="341">
      <c r="A341" s="4" t="s">
        <v>113</v>
      </c>
    </row>
    <row r="342">
      <c r="A342" s="4" t="s">
        <v>1540</v>
      </c>
    </row>
    <row r="343">
      <c r="A343" s="4" t="s">
        <v>40</v>
      </c>
    </row>
    <row r="344">
      <c r="A344" s="4" t="s">
        <v>520</v>
      </c>
    </row>
    <row r="345">
      <c r="A345" s="4" t="s">
        <v>115</v>
      </c>
    </row>
    <row r="346">
      <c r="A346" s="4" t="s">
        <v>80</v>
      </c>
    </row>
    <row r="347">
      <c r="A347" s="4" t="s">
        <v>1541</v>
      </c>
    </row>
    <row r="348">
      <c r="A348" s="4" t="s">
        <v>539</v>
      </c>
    </row>
    <row r="349">
      <c r="A349" s="4" t="s">
        <v>41</v>
      </c>
    </row>
    <row r="350">
      <c r="A350" s="4" t="s">
        <v>1542</v>
      </c>
    </row>
    <row r="351">
      <c r="A351" s="4" t="s">
        <v>33</v>
      </c>
    </row>
    <row r="352">
      <c r="A352" s="4" t="s">
        <v>36</v>
      </c>
    </row>
    <row r="353">
      <c r="A353" s="4" t="s">
        <v>876</v>
      </c>
    </row>
    <row r="354">
      <c r="A354" s="4" t="s">
        <v>44</v>
      </c>
    </row>
    <row r="355">
      <c r="A355" s="4" t="s">
        <v>1369</v>
      </c>
    </row>
    <row r="356">
      <c r="A356" s="4" t="s">
        <v>1543</v>
      </c>
    </row>
    <row r="357">
      <c r="A357" s="4" t="s">
        <v>1544</v>
      </c>
    </row>
    <row r="358">
      <c r="A358" s="4" t="s">
        <v>90</v>
      </c>
    </row>
    <row r="359">
      <c r="A359" s="4" t="s">
        <v>159</v>
      </c>
    </row>
    <row r="360">
      <c r="A360" s="4" t="s">
        <v>115</v>
      </c>
    </row>
    <row r="361">
      <c r="A361" s="4" t="s">
        <v>553</v>
      </c>
    </row>
    <row r="362">
      <c r="A362" s="4" t="s">
        <v>1340</v>
      </c>
    </row>
    <row r="363">
      <c r="A363" s="4" t="s">
        <v>109</v>
      </c>
    </row>
    <row r="364">
      <c r="A364" s="4" t="s">
        <v>110</v>
      </c>
    </row>
    <row r="365">
      <c r="A365" s="4" t="s">
        <v>111</v>
      </c>
    </row>
    <row r="366">
      <c r="A366" s="4" t="s">
        <v>947</v>
      </c>
    </row>
    <row r="367">
      <c r="A367" s="4" t="s">
        <v>40</v>
      </c>
    </row>
    <row r="368">
      <c r="A368" s="4" t="s">
        <v>107</v>
      </c>
    </row>
    <row r="369">
      <c r="A369" s="4" t="s">
        <v>41</v>
      </c>
    </row>
    <row r="370">
      <c r="A370" s="4" t="s">
        <v>1545</v>
      </c>
    </row>
    <row r="371">
      <c r="A371" s="4" t="s">
        <v>48</v>
      </c>
    </row>
    <row r="372">
      <c r="A372" s="4" t="s">
        <v>88</v>
      </c>
    </row>
    <row r="373">
      <c r="A373" s="4" t="s">
        <v>89</v>
      </c>
    </row>
    <row r="374">
      <c r="A374" s="4" t="s">
        <v>33</v>
      </c>
    </row>
    <row r="375">
      <c r="A375" s="4" t="s">
        <v>119</v>
      </c>
    </row>
    <row r="376">
      <c r="A376" s="4" t="s">
        <v>63</v>
      </c>
    </row>
    <row r="377">
      <c r="A377" s="4" t="s">
        <v>1546</v>
      </c>
    </row>
    <row r="378">
      <c r="A378" s="4" t="s">
        <v>126</v>
      </c>
    </row>
    <row r="379">
      <c r="A379" s="4" t="s">
        <v>1547</v>
      </c>
    </row>
    <row r="380">
      <c r="A380" s="4" t="s">
        <v>90</v>
      </c>
    </row>
    <row r="381">
      <c r="A381" s="4" t="s">
        <v>40</v>
      </c>
    </row>
    <row r="382">
      <c r="A382" s="4" t="s">
        <v>553</v>
      </c>
    </row>
    <row r="383">
      <c r="A383" s="4" t="s">
        <v>1548</v>
      </c>
    </row>
    <row r="384">
      <c r="A384" s="4" t="s">
        <v>1549</v>
      </c>
    </row>
    <row r="385">
      <c r="A385" s="4" t="s">
        <v>44</v>
      </c>
    </row>
    <row r="386">
      <c r="A386" s="4" t="s">
        <v>939</v>
      </c>
    </row>
    <row r="387">
      <c r="A387" s="4" t="s">
        <v>90</v>
      </c>
    </row>
    <row r="388">
      <c r="A388" s="4" t="s">
        <v>33</v>
      </c>
    </row>
    <row r="389">
      <c r="A389" s="4" t="s">
        <v>113</v>
      </c>
    </row>
    <row r="390">
      <c r="A390" s="4" t="s">
        <v>44</v>
      </c>
    </row>
    <row r="391">
      <c r="A391" s="4" t="s">
        <v>92</v>
      </c>
    </row>
    <row r="392">
      <c r="A392" s="4" t="s">
        <v>1550</v>
      </c>
    </row>
    <row r="393">
      <c r="A393" s="4" t="s">
        <v>518</v>
      </c>
    </row>
    <row r="394">
      <c r="A394" s="4" t="s">
        <v>1551</v>
      </c>
    </row>
    <row r="395">
      <c r="A395" s="4" t="s">
        <v>1552</v>
      </c>
    </row>
    <row r="396">
      <c r="A396" s="4" t="s">
        <v>109</v>
      </c>
    </row>
    <row r="397">
      <c r="A397" s="4" t="s">
        <v>968</v>
      </c>
    </row>
    <row r="398">
      <c r="A398" s="4" t="s">
        <v>110</v>
      </c>
    </row>
    <row r="399">
      <c r="A399" s="4" t="s">
        <v>33</v>
      </c>
    </row>
    <row r="400">
      <c r="A400" s="4" t="s">
        <v>34</v>
      </c>
    </row>
    <row r="401">
      <c r="A401" s="4" t="s">
        <v>40</v>
      </c>
    </row>
    <row r="402">
      <c r="A402" s="4" t="s">
        <v>1230</v>
      </c>
    </row>
    <row r="403">
      <c r="A403" s="4" t="s">
        <v>33</v>
      </c>
    </row>
    <row r="404">
      <c r="A404" s="4" t="s">
        <v>34</v>
      </c>
    </row>
    <row r="405">
      <c r="A405" s="4" t="s">
        <v>88</v>
      </c>
    </row>
    <row r="406">
      <c r="A406" s="4" t="s">
        <v>40</v>
      </c>
    </row>
    <row r="407">
      <c r="A407" s="4" t="s">
        <v>75</v>
      </c>
    </row>
    <row r="408">
      <c r="A408" s="4" t="s">
        <v>976</v>
      </c>
    </row>
    <row r="409">
      <c r="A409" s="4" t="s">
        <v>115</v>
      </c>
    </row>
    <row r="410">
      <c r="A410" s="4" t="s">
        <v>900</v>
      </c>
    </row>
    <row r="411">
      <c r="A411" s="4" t="s">
        <v>1553</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750</v>
      </c>
      <c r="D2" s="4" t="str">
        <f t="shared" ref="D2:D388" si="1">C2</f>
        <v>{"valorA":"ótima","valorB":1.0}</v>
      </c>
      <c r="E2" s="8" t="str">
        <f t="shared" ref="E2:E388" si="2">SUBSTITUTE(MID(C2,FIND(":",C2)+1,FIND(",",C2)-FIND(":",C2)-1),"""","")</f>
        <v>ótima</v>
      </c>
      <c r="F2" s="8" t="str">
        <f>IFERROR(__xludf.DUMMYFUNCTION("UNIQUE(E2:E1388)"),"ótima")</f>
        <v>ótima</v>
      </c>
      <c r="G2" s="8" t="str">
        <f t="shared" ref="G2:G388" si="3">MID(C2,FIND("valorB",C2)+8,FIND("}",C2)-FIND("valorB",C2)-8)</f>
        <v>1.0</v>
      </c>
      <c r="H2" s="9">
        <f t="shared" ref="H2:H388" si="4">VALUE(SUBSTITUTE(G2,".",","))</f>
        <v>1</v>
      </c>
      <c r="I2" s="10">
        <f>IFERROR(__xludf.DUMMYFUNCTION("MAX(FILTER($H$2:$H1388,$E$2:$E1388=F2))"),12.0)</f>
        <v>12</v>
      </c>
    </row>
    <row r="3">
      <c r="A3" s="4"/>
      <c r="C3" s="4" t="s">
        <v>177</v>
      </c>
      <c r="D3" s="4" t="str">
        <f t="shared" si="1"/>
        <v>{"valorA":"é","valorB":1.0}</v>
      </c>
      <c r="E3" s="8" t="str">
        <f t="shared" si="2"/>
        <v>é</v>
      </c>
      <c r="F3" s="8" t="str">
        <f>IFERROR(__xludf.DUMMYFUNCTION("""COMPUTED_VALUE"""),"é")</f>
        <v>é</v>
      </c>
      <c r="G3" s="8" t="str">
        <f t="shared" si="3"/>
        <v>1.0</v>
      </c>
      <c r="H3" s="9">
        <f t="shared" si="4"/>
        <v>1</v>
      </c>
      <c r="I3" s="10">
        <f>IFERROR(__xludf.DUMMYFUNCTION("MAX(FILTER($H$2:$H1388,$E$2:$E1388=F3))"),1.0)</f>
        <v>1</v>
      </c>
    </row>
    <row r="4">
      <c r="A4" s="4"/>
      <c r="C4" s="4" t="s">
        <v>235</v>
      </c>
      <c r="D4" s="4" t="str">
        <f t="shared" si="1"/>
        <v>{"valorA":"recomendo","valorB":1.0}</v>
      </c>
      <c r="E4" s="8" t="str">
        <f t="shared" si="2"/>
        <v>recomendo</v>
      </c>
      <c r="F4" s="8" t="str">
        <f>IFERROR(__xludf.DUMMYFUNCTION("""COMPUTED_VALUE"""),"recomendo")</f>
        <v>recomendo</v>
      </c>
      <c r="G4" s="8" t="str">
        <f t="shared" si="3"/>
        <v>1.0</v>
      </c>
      <c r="H4" s="9">
        <f t="shared" si="4"/>
        <v>1</v>
      </c>
      <c r="I4" s="10">
        <f>IFERROR(__xludf.DUMMYFUNCTION("MAX(FILTER($H$2:$H1388,$E$2:$E1388=F4))"),10.0)</f>
        <v>10</v>
      </c>
    </row>
    <row r="5">
      <c r="A5" s="4"/>
      <c r="C5" s="4" t="s">
        <v>1063</v>
      </c>
      <c r="D5" s="4" t="str">
        <f t="shared" si="1"/>
        <v>{"valorA":"lâmpada","valorB":1.0}</v>
      </c>
      <c r="E5" s="8" t="str">
        <f t="shared" si="2"/>
        <v>lâmpada</v>
      </c>
      <c r="F5" s="8" t="str">
        <f>IFERROR(__xludf.DUMMYFUNCTION("""COMPUTED_VALUE"""),"lâmpada")</f>
        <v>lâmpada</v>
      </c>
      <c r="G5" s="8" t="str">
        <f t="shared" si="3"/>
        <v>1.0</v>
      </c>
      <c r="H5" s="9">
        <f t="shared" si="4"/>
        <v>1</v>
      </c>
      <c r="I5" s="10">
        <f>IFERROR(__xludf.DUMMYFUNCTION("MAX(FILTER($H$2:$H1388,$E$2:$E1388=F5))"),2.0)</f>
        <v>2</v>
      </c>
    </row>
    <row r="6">
      <c r="A6" s="4"/>
      <c r="C6" s="4" t="s">
        <v>844</v>
      </c>
      <c r="D6" s="4" t="str">
        <f t="shared" si="1"/>
        <v>{"valorA":"ótima","valorB":2.0}</v>
      </c>
      <c r="E6" s="8" t="str">
        <f t="shared" si="2"/>
        <v>ótima</v>
      </c>
      <c r="F6" s="8" t="str">
        <f>IFERROR(__xludf.DUMMYFUNCTION("""COMPUTED_VALUE"""),"dela")</f>
        <v>dela</v>
      </c>
      <c r="G6" s="8" t="str">
        <f t="shared" si="3"/>
        <v>2.0</v>
      </c>
      <c r="H6" s="9">
        <f t="shared" si="4"/>
        <v>2</v>
      </c>
      <c r="I6" s="10">
        <f>IFERROR(__xludf.DUMMYFUNCTION("MAX(FILTER($H$2:$H1388,$E$2:$E1388=F6))"),1.0)</f>
        <v>1</v>
      </c>
    </row>
    <row r="7">
      <c r="A7" s="4"/>
      <c r="C7" s="4" t="s">
        <v>1554</v>
      </c>
      <c r="D7" s="4" t="str">
        <f t="shared" si="1"/>
        <v>{"valorA":"dela","valorB":1.0}</v>
      </c>
      <c r="E7" s="8" t="str">
        <f t="shared" si="2"/>
        <v>dela</v>
      </c>
      <c r="F7" s="8" t="str">
        <f>IFERROR(__xludf.DUMMYFUNCTION("""COMPUTED_VALUE"""),"o")</f>
        <v>o</v>
      </c>
      <c r="G7" s="8" t="str">
        <f t="shared" si="3"/>
        <v>1.0</v>
      </c>
      <c r="H7" s="9">
        <f t="shared" si="4"/>
        <v>1</v>
      </c>
      <c r="I7" s="10">
        <f>IFERROR(__xludf.DUMMYFUNCTION("MAX(FILTER($H$2:$H1388,$E$2:$E1388=F7))"),12.0)</f>
        <v>12</v>
      </c>
    </row>
    <row r="8">
      <c r="A8" s="4"/>
      <c r="C8" s="4" t="s">
        <v>310</v>
      </c>
      <c r="D8" s="4" t="str">
        <f t="shared" si="1"/>
        <v>{"valorA":"o","valorB":1.0}</v>
      </c>
      <c r="E8" s="8" t="str">
        <f t="shared" si="2"/>
        <v>o</v>
      </c>
      <c r="F8" s="8" t="str">
        <f>IFERROR(__xludf.DUMMYFUNCTION("""COMPUTED_VALUE"""),"de")</f>
        <v>de</v>
      </c>
      <c r="G8" s="8" t="str">
        <f t="shared" si="3"/>
        <v>1.0</v>
      </c>
      <c r="H8" s="9">
        <f t="shared" si="4"/>
        <v>1</v>
      </c>
      <c r="I8" s="10">
        <f>IFERROR(__xludf.DUMMYFUNCTION("MAX(FILTER($H$2:$H1388,$E$2:$E1388=F8))"),21.0)</f>
        <v>21</v>
      </c>
    </row>
    <row r="9">
      <c r="A9" s="4"/>
      <c r="C9" s="4" t="s">
        <v>642</v>
      </c>
      <c r="D9" s="4" t="str">
        <f t="shared" si="1"/>
        <v>{"valorA":"de","valorB":1.0}</v>
      </c>
      <c r="E9" s="8" t="str">
        <f t="shared" si="2"/>
        <v>de</v>
      </c>
      <c r="F9" s="8" t="str">
        <f>IFERROR(__xludf.DUMMYFUNCTION("""COMPUTED_VALUE"""),"ouvido")</f>
        <v>ouvido</v>
      </c>
      <c r="G9" s="8" t="str">
        <f t="shared" si="3"/>
        <v>1.0</v>
      </c>
      <c r="H9" s="9">
        <f t="shared" si="4"/>
        <v>1</v>
      </c>
      <c r="I9" s="10">
        <f>IFERROR(__xludf.DUMMYFUNCTION("MAX(FILTER($H$2:$H1388,$E$2:$E1388=F9))"),1.0)</f>
        <v>1</v>
      </c>
    </row>
    <row r="10">
      <c r="A10" s="4"/>
      <c r="C10" s="4" t="s">
        <v>1093</v>
      </c>
      <c r="D10" s="4" t="str">
        <f t="shared" si="1"/>
        <v>{"valorA":"ouvido","valorB":1.0}</v>
      </c>
      <c r="E10" s="8" t="str">
        <f t="shared" si="2"/>
        <v>ouvido</v>
      </c>
      <c r="F10" s="8" t="str">
        <f>IFERROR(__xludf.DUMMYFUNCTION("""COMPUTED_VALUE"""),"gosto")</f>
        <v>gosto</v>
      </c>
      <c r="G10" s="8" t="str">
        <f t="shared" si="3"/>
        <v>1.0</v>
      </c>
      <c r="H10" s="9">
        <f t="shared" si="4"/>
        <v>1</v>
      </c>
      <c r="I10" s="10">
        <f>IFERROR(__xludf.DUMMYFUNCTION("MAX(FILTER($H$2:$H1388,$E$2:$E1388=F10))"),1.0)</f>
        <v>1</v>
      </c>
    </row>
    <row r="11">
      <c r="A11" s="4"/>
      <c r="C11" s="4" t="s">
        <v>187</v>
      </c>
      <c r="D11" s="4" t="str">
        <f t="shared" si="1"/>
        <v>{"valorA":"gosto","valorB":1.0}</v>
      </c>
      <c r="E11" s="8" t="str">
        <f t="shared" si="2"/>
        <v>gosto</v>
      </c>
      <c r="F11" s="8" t="str">
        <f>IFERROR(__xludf.DUMMYFUNCTION("""COMPUTED_VALUE"""),"fone")</f>
        <v>fone</v>
      </c>
      <c r="G11" s="8" t="str">
        <f t="shared" si="3"/>
        <v>1.0</v>
      </c>
      <c r="H11" s="9">
        <f t="shared" si="4"/>
        <v>1</v>
      </c>
      <c r="I11" s="10">
        <f>IFERROR(__xludf.DUMMYFUNCTION("MAX(FILTER($H$2:$H1388,$E$2:$E1388=F11))"),1.0)</f>
        <v>1</v>
      </c>
    </row>
    <row r="12">
      <c r="A12" s="4"/>
      <c r="C12" s="4" t="s">
        <v>1094</v>
      </c>
      <c r="D12" s="4" t="str">
        <f t="shared" si="1"/>
        <v>{"valorA":"fone","valorB":1.0}</v>
      </c>
      <c r="E12" s="8" t="str">
        <f t="shared" si="2"/>
        <v>fone</v>
      </c>
      <c r="F12" s="8" t="str">
        <f>IFERROR(__xludf.DUMMYFUNCTION("""COMPUTED_VALUE"""),"sem")</f>
        <v>sem</v>
      </c>
      <c r="G12" s="8" t="str">
        <f t="shared" si="3"/>
        <v>1.0</v>
      </c>
      <c r="H12" s="9">
        <f t="shared" si="4"/>
        <v>1</v>
      </c>
      <c r="I12" s="10">
        <f>IFERROR(__xludf.DUMMYFUNCTION("MAX(FILTER($H$2:$H1388,$E$2:$E1388=F12))"),2.0)</f>
        <v>2</v>
      </c>
    </row>
    <row r="13">
      <c r="A13" s="4"/>
      <c r="C13" s="4" t="s">
        <v>257</v>
      </c>
      <c r="D13" s="4" t="str">
        <f t="shared" si="1"/>
        <v>{"valorA":"sem","valorB":1.0}</v>
      </c>
      <c r="E13" s="8" t="str">
        <f t="shared" si="2"/>
        <v>sem</v>
      </c>
      <c r="F13" s="8" t="str">
        <f>IFERROR(__xludf.DUMMYFUNCTION("""COMPUTED_VALUE"""),"led")</f>
        <v>led</v>
      </c>
      <c r="G13" s="8" t="str">
        <f t="shared" si="3"/>
        <v>1.0</v>
      </c>
      <c r="H13" s="9">
        <f t="shared" si="4"/>
        <v>1</v>
      </c>
      <c r="I13" s="10">
        <f>IFERROR(__xludf.DUMMYFUNCTION("MAX(FILTER($H$2:$H1388,$E$2:$E1388=F13))"),2.0)</f>
        <v>2</v>
      </c>
    </row>
    <row r="14">
      <c r="A14" s="4"/>
      <c r="C14" s="4" t="s">
        <v>635</v>
      </c>
      <c r="D14" s="4" t="str">
        <f t="shared" si="1"/>
        <v>{"valorA":"led","valorB":1.0}</v>
      </c>
      <c r="E14" s="8" t="str">
        <f t="shared" si="2"/>
        <v>led</v>
      </c>
      <c r="F14" s="8" t="str">
        <f>IFERROR(__xludf.DUMMYFUNCTION("""COMPUTED_VALUE"""),"comprando")</f>
        <v>comprando</v>
      </c>
      <c r="G14" s="8" t="str">
        <f t="shared" si="3"/>
        <v>1.0</v>
      </c>
      <c r="H14" s="9">
        <f t="shared" si="4"/>
        <v>1</v>
      </c>
      <c r="I14" s="10">
        <f>IFERROR(__xludf.DUMMYFUNCTION("MAX(FILTER($H$2:$H1388,$E$2:$E1388=F14))"),1.0)</f>
        <v>1</v>
      </c>
    </row>
    <row r="15">
      <c r="A15" s="4"/>
      <c r="C15" s="4" t="s">
        <v>1555</v>
      </c>
      <c r="D15" s="4" t="str">
        <f t="shared" si="1"/>
        <v>{"valorA":"comprando","valorB":1.0}</v>
      </c>
      <c r="E15" s="8" t="str">
        <f t="shared" si="2"/>
        <v>comprando</v>
      </c>
      <c r="F15" s="8" t="str">
        <f>IFERROR(__xludf.DUMMYFUNCTION("""COMPUTED_VALUE"""),"produto")</f>
        <v>produto</v>
      </c>
      <c r="G15" s="8" t="str">
        <f t="shared" si="3"/>
        <v>1.0</v>
      </c>
      <c r="H15" s="9">
        <f t="shared" si="4"/>
        <v>1</v>
      </c>
      <c r="I15" s="10">
        <f>IFERROR(__xludf.DUMMYFUNCTION("MAX(FILTER($H$2:$H1388,$E$2:$E1388=F15))"),4.0)</f>
        <v>4</v>
      </c>
    </row>
    <row r="16">
      <c r="A16" s="4"/>
      <c r="C16" s="4" t="s">
        <v>1001</v>
      </c>
      <c r="D16" s="4" t="str">
        <f t="shared" si="1"/>
        <v>{"valorA":"produto","valorB":1.0}</v>
      </c>
      <c r="E16" s="8" t="str">
        <f t="shared" si="2"/>
        <v>produto</v>
      </c>
      <c r="F16" s="8" t="str">
        <f>IFERROR(__xludf.DUMMYFUNCTION("""COMPUTED_VALUE"""),"ótimo")</f>
        <v>ótimo</v>
      </c>
      <c r="G16" s="8" t="str">
        <f t="shared" si="3"/>
        <v>1.0</v>
      </c>
      <c r="H16" s="9">
        <f t="shared" si="4"/>
        <v>1</v>
      </c>
      <c r="I16" s="10">
        <f>IFERROR(__xludf.DUMMYFUNCTION("MAX(FILTER($H$2:$H1388,$E$2:$E1388=F16))"),34.0)</f>
        <v>34</v>
      </c>
    </row>
    <row r="17">
      <c r="A17" s="4"/>
      <c r="C17" s="4" t="s">
        <v>175</v>
      </c>
      <c r="D17" s="4" t="str">
        <f t="shared" si="1"/>
        <v>{"valorA":"ótimo","valorB":1.0}</v>
      </c>
      <c r="E17" s="8" t="str">
        <f t="shared" si="2"/>
        <v>ótimo</v>
      </c>
      <c r="F17" s="8" t="str">
        <f>IFERROR(__xludf.DUMMYFUNCTION("""COMPUTED_VALUE"""),"som")</f>
        <v>som</v>
      </c>
      <c r="G17" s="8" t="str">
        <f t="shared" si="3"/>
        <v>1.0</v>
      </c>
      <c r="H17" s="9">
        <f t="shared" si="4"/>
        <v>1</v>
      </c>
      <c r="I17" s="10">
        <f>IFERROR(__xludf.DUMMYFUNCTION("MAX(FILTER($H$2:$H1388,$E$2:$E1388=F17))"),2.0)</f>
        <v>2</v>
      </c>
    </row>
    <row r="18">
      <c r="A18" s="4"/>
      <c r="C18" s="4" t="s">
        <v>667</v>
      </c>
      <c r="D18" s="4" t="str">
        <f t="shared" si="1"/>
        <v>{"valorA":"som","valorB":1.0}</v>
      </c>
      <c r="E18" s="8" t="str">
        <f t="shared" si="2"/>
        <v>som</v>
      </c>
      <c r="F18" s="8" t="str">
        <f>IFERROR(__xludf.DUMMYFUNCTION("""COMPUTED_VALUE"""),"excelente")</f>
        <v>excelente</v>
      </c>
      <c r="G18" s="8" t="str">
        <f t="shared" si="3"/>
        <v>1.0</v>
      </c>
      <c r="H18" s="9">
        <f t="shared" si="4"/>
        <v>1</v>
      </c>
      <c r="I18" s="10">
        <f>IFERROR(__xludf.DUMMYFUNCTION("MAX(FILTER($H$2:$H1388,$E$2:$E1388=F18))"),2.0)</f>
        <v>2</v>
      </c>
    </row>
    <row r="19">
      <c r="A19" s="4"/>
      <c r="C19" s="4" t="s">
        <v>357</v>
      </c>
      <c r="D19" s="4" t="str">
        <f t="shared" si="1"/>
        <v>{"valorA":"excelente","valorB":1.0}</v>
      </c>
      <c r="E19" s="8" t="str">
        <f t="shared" si="2"/>
        <v>excelente</v>
      </c>
      <c r="F19" s="8" t="str">
        <f>IFERROR(__xludf.DUMMYFUNCTION("""COMPUTED_VALUE"""),"experiência")</f>
        <v>experiência</v>
      </c>
      <c r="G19" s="8" t="str">
        <f t="shared" si="3"/>
        <v>1.0</v>
      </c>
      <c r="H19" s="9">
        <f t="shared" si="4"/>
        <v>1</v>
      </c>
      <c r="I19" s="10">
        <f>IFERROR(__xludf.DUMMYFUNCTION("MAX(FILTER($H$2:$H1388,$E$2:$E1388=F19))"),1.0)</f>
        <v>1</v>
      </c>
    </row>
    <row r="20">
      <c r="A20" s="4"/>
      <c r="C20" s="4" t="s">
        <v>1556</v>
      </c>
      <c r="D20" s="4" t="str">
        <f t="shared" si="1"/>
        <v>{"valorA":"experiência","valorB":1.0}</v>
      </c>
      <c r="E20" s="8" t="str">
        <f t="shared" si="2"/>
        <v>experiência</v>
      </c>
      <c r="F20" s="8" t="str">
        <f>IFERROR(__xludf.DUMMYFUNCTION("""COMPUTED_VALUE"""),"muito")</f>
        <v>muito</v>
      </c>
      <c r="G20" s="8" t="str">
        <f t="shared" si="3"/>
        <v>1.0</v>
      </c>
      <c r="H20" s="9">
        <f t="shared" si="4"/>
        <v>1</v>
      </c>
      <c r="I20" s="10">
        <f>IFERROR(__xludf.DUMMYFUNCTION("MAX(FILTER($H$2:$H1388,$E$2:$E1388=F20))"),18.0)</f>
        <v>18</v>
      </c>
    </row>
    <row r="21">
      <c r="A21" s="4"/>
      <c r="C21" s="4" t="s">
        <v>579</v>
      </c>
      <c r="D21" s="4" t="str">
        <f t="shared" si="1"/>
        <v>{"valorA":"muito","valorB":1.0}</v>
      </c>
      <c r="E21" s="8" t="str">
        <f t="shared" si="2"/>
        <v>muito</v>
      </c>
      <c r="F21" s="8" t="str">
        <f>IFERROR(__xludf.DUMMYFUNCTION("""COMPUTED_VALUE"""),"todos")</f>
        <v>todos</v>
      </c>
      <c r="G21" s="8" t="str">
        <f t="shared" si="3"/>
        <v>1.0</v>
      </c>
      <c r="H21" s="9">
        <f t="shared" si="4"/>
        <v>1</v>
      </c>
      <c r="I21" s="10">
        <f>IFERROR(__xludf.DUMMYFUNCTION("MAX(FILTER($H$2:$H1388,$E$2:$E1388=F21))"),1.0)</f>
        <v>1</v>
      </c>
    </row>
    <row r="22">
      <c r="A22" s="4"/>
      <c r="C22" s="4" t="s">
        <v>617</v>
      </c>
      <c r="D22" s="4" t="str">
        <f t="shared" si="1"/>
        <v>{"valorA":"todos","valorB":1.0}</v>
      </c>
      <c r="E22" s="8" t="str">
        <f t="shared" si="2"/>
        <v>todos</v>
      </c>
      <c r="F22" s="8" t="str">
        <f>IFERROR(__xludf.DUMMYFUNCTION("""COMPUTED_VALUE"""),"este")</f>
        <v>este</v>
      </c>
      <c r="G22" s="8" t="str">
        <f t="shared" si="3"/>
        <v>1.0</v>
      </c>
      <c r="H22" s="9">
        <f t="shared" si="4"/>
        <v>1</v>
      </c>
      <c r="I22" s="10">
        <f>IFERROR(__xludf.DUMMYFUNCTION("MAX(FILTER($H$2:$H1388,$E$2:$E1388=F22))"),1.0)</f>
        <v>1</v>
      </c>
    </row>
    <row r="23">
      <c r="A23" s="4"/>
      <c r="C23" s="4" t="s">
        <v>618</v>
      </c>
      <c r="D23" s="4" t="str">
        <f t="shared" si="1"/>
        <v>{"valorA":"este","valorB":1.0}</v>
      </c>
      <c r="E23" s="8" t="str">
        <f t="shared" si="2"/>
        <v>este</v>
      </c>
      <c r="F23" s="8" t="str">
        <f>IFERROR(__xludf.DUMMYFUNCTION("""COMPUTED_VALUE"""),"a")</f>
        <v>a</v>
      </c>
      <c r="G23" s="8" t="str">
        <f t="shared" si="3"/>
        <v>1.0</v>
      </c>
      <c r="H23" s="9">
        <f t="shared" si="4"/>
        <v>1</v>
      </c>
      <c r="I23" s="10">
        <f>IFERROR(__xludf.DUMMYFUNCTION("MAX(FILTER($H$2:$H1388,$E$2:$E1388=F23))"),6.0)</f>
        <v>6</v>
      </c>
    </row>
    <row r="24">
      <c r="A24" s="4"/>
      <c r="C24" s="4" t="s">
        <v>580</v>
      </c>
      <c r="D24" s="4" t="str">
        <f t="shared" si="1"/>
        <v>{"valorA":"a","valorB":1.0}</v>
      </c>
      <c r="E24" s="8" t="str">
        <f t="shared" si="2"/>
        <v>a</v>
      </c>
      <c r="F24" s="8" t="str">
        <f>IFERROR(__xludf.DUMMYFUNCTION("""COMPUTED_VALUE"""),"fio")</f>
        <v>fio</v>
      </c>
      <c r="G24" s="8" t="str">
        <f t="shared" si="3"/>
        <v>1.0</v>
      </c>
      <c r="H24" s="9">
        <f t="shared" si="4"/>
        <v>1</v>
      </c>
      <c r="I24" s="10">
        <f>IFERROR(__xludf.DUMMYFUNCTION("MAX(FILTER($H$2:$H1388,$E$2:$E1388=F24))"),1.0)</f>
        <v>1</v>
      </c>
    </row>
    <row r="25">
      <c r="A25" s="4"/>
      <c r="C25" s="4" t="s">
        <v>1557</v>
      </c>
      <c r="D25" s="4" t="str">
        <f t="shared" si="1"/>
        <v>{"valorA":"fio","valorB":1.0}</v>
      </c>
      <c r="E25" s="8" t="str">
        <f t="shared" si="2"/>
        <v>fio</v>
      </c>
      <c r="F25" s="8" t="str">
        <f>IFERROR(__xludf.DUMMYFUNCTION("""COMPUTED_VALUE"""),"ontem")</f>
        <v>ontem</v>
      </c>
      <c r="G25" s="8" t="str">
        <f t="shared" si="3"/>
        <v>1.0</v>
      </c>
      <c r="H25" s="9">
        <f t="shared" si="4"/>
        <v>1</v>
      </c>
      <c r="I25" s="10">
        <f>IFERROR(__xludf.DUMMYFUNCTION("MAX(FILTER($H$2:$H1388,$E$2:$E1388=F25))"),3.0)</f>
        <v>3</v>
      </c>
    </row>
    <row r="26">
      <c r="A26" s="4"/>
      <c r="C26" s="4" t="s">
        <v>289</v>
      </c>
      <c r="D26" s="4" t="str">
        <f t="shared" si="1"/>
        <v>{"valorA":"ontem","valorB":1.0}</v>
      </c>
      <c r="E26" s="8" t="str">
        <f t="shared" si="2"/>
        <v>ontem</v>
      </c>
      <c r="F26" s="8" t="str">
        <f>IFERROR(__xludf.DUMMYFUNCTION("""COMPUTED_VALUE"""),"ele")</f>
        <v>ele</v>
      </c>
      <c r="G26" s="8" t="str">
        <f t="shared" si="3"/>
        <v>1.0</v>
      </c>
      <c r="H26" s="9">
        <f t="shared" si="4"/>
        <v>1</v>
      </c>
      <c r="I26" s="10">
        <f>IFERROR(__xludf.DUMMYFUNCTION("MAX(FILTER($H$2:$H1388,$E$2:$E1388=F26))"),1.0)</f>
        <v>1</v>
      </c>
    </row>
    <row r="27">
      <c r="A27" s="4"/>
      <c r="C27" s="4" t="s">
        <v>1149</v>
      </c>
      <c r="D27" s="4" t="str">
        <f t="shared" si="1"/>
        <v>{"valorA":"ele","valorB":1.0}</v>
      </c>
      <c r="E27" s="8" t="str">
        <f t="shared" si="2"/>
        <v>ele</v>
      </c>
      <c r="F27" s="8" t="str">
        <f>IFERROR(__xludf.DUMMYFUNCTION("""COMPUTED_VALUE"""),"computador")</f>
        <v>computador</v>
      </c>
      <c r="G27" s="8" t="str">
        <f t="shared" si="3"/>
        <v>1.0</v>
      </c>
      <c r="H27" s="9">
        <f t="shared" si="4"/>
        <v>1</v>
      </c>
      <c r="I27" s="10">
        <f>IFERROR(__xludf.DUMMYFUNCTION("MAX(FILTER($H$2:$H1388,$E$2:$E1388=F27))"),5.0)</f>
        <v>5</v>
      </c>
    </row>
    <row r="28">
      <c r="A28" s="4"/>
      <c r="C28" s="4" t="s">
        <v>1081</v>
      </c>
      <c r="D28" s="4" t="str">
        <f t="shared" si="1"/>
        <v>{"valorA":"computador","valorB":1.0}</v>
      </c>
      <c r="E28" s="8" t="str">
        <f t="shared" si="2"/>
        <v>computador</v>
      </c>
      <c r="F28" s="8" t="str">
        <f>IFERROR(__xludf.DUMMYFUNCTION("""COMPUTED_VALUE"""),"comprei")</f>
        <v>comprei</v>
      </c>
      <c r="G28" s="8" t="str">
        <f t="shared" si="3"/>
        <v>1.0</v>
      </c>
      <c r="H28" s="9">
        <f t="shared" si="4"/>
        <v>1</v>
      </c>
      <c r="I28" s="10">
        <f>IFERROR(__xludf.DUMMYFUNCTION("MAX(FILTER($H$2:$H1388,$E$2:$E1388=F28))"),5.0)</f>
        <v>5</v>
      </c>
    </row>
    <row r="29">
      <c r="A29" s="4"/>
      <c r="C29" s="4" t="s">
        <v>291</v>
      </c>
      <c r="D29" s="4" t="str">
        <f t="shared" si="1"/>
        <v>{"valorA":"comprei","valorB":1.0}</v>
      </c>
      <c r="E29" s="8" t="str">
        <f t="shared" si="2"/>
        <v>comprei</v>
      </c>
      <c r="F29" s="8" t="str">
        <f>IFERROR(__xludf.DUMMYFUNCTION("""COMPUTED_VALUE"""),"trago")</f>
        <v>trago</v>
      </c>
      <c r="G29" s="8" t="str">
        <f t="shared" si="3"/>
        <v>1.0</v>
      </c>
      <c r="H29" s="9">
        <f t="shared" si="4"/>
        <v>1</v>
      </c>
      <c r="I29" s="10">
        <f>IFERROR(__xludf.DUMMYFUNCTION("MAX(FILTER($H$2:$H1388,$E$2:$E1388=F29))"),1.0)</f>
        <v>1</v>
      </c>
    </row>
    <row r="30">
      <c r="A30" s="4"/>
      <c r="C30" s="4" t="s">
        <v>1558</v>
      </c>
      <c r="D30" s="4" t="str">
        <f t="shared" si="1"/>
        <v>{"valorA":"trago","valorB":1.0}</v>
      </c>
      <c r="E30" s="8" t="str">
        <f t="shared" si="2"/>
        <v>trago</v>
      </c>
      <c r="F30" s="8" t="str">
        <f>IFERROR(__xludf.DUMMYFUNCTION("""COMPUTED_VALUE"""),"prazer")</f>
        <v>prazer</v>
      </c>
      <c r="G30" s="8" t="str">
        <f t="shared" si="3"/>
        <v>1.0</v>
      </c>
      <c r="H30" s="9">
        <f t="shared" si="4"/>
        <v>1</v>
      </c>
      <c r="I30" s="10">
        <f>IFERROR(__xludf.DUMMYFUNCTION("MAX(FILTER($H$2:$H1388,$E$2:$E1388=F30))"),1.0)</f>
        <v>1</v>
      </c>
    </row>
    <row r="31">
      <c r="A31" s="4"/>
      <c r="C31" s="4" t="s">
        <v>1559</v>
      </c>
      <c r="D31" s="4" t="str">
        <f t="shared" si="1"/>
        <v>{"valorA":"prazer","valorB":1.0}</v>
      </c>
      <c r="E31" s="8" t="str">
        <f t="shared" si="2"/>
        <v>prazer</v>
      </c>
      <c r="F31" s="8" t="str">
        <f>IFERROR(__xludf.DUMMYFUNCTION("""COMPUTED_VALUE"""),"bem")</f>
        <v>bem</v>
      </c>
      <c r="G31" s="8" t="str">
        <f t="shared" si="3"/>
        <v>1.0</v>
      </c>
      <c r="H31" s="9">
        <f t="shared" si="4"/>
        <v>1</v>
      </c>
      <c r="I31" s="10">
        <f>IFERROR(__xludf.DUMMYFUNCTION("MAX(FILTER($H$2:$H1388,$E$2:$E1388=F31))"),4.0)</f>
        <v>4</v>
      </c>
    </row>
    <row r="32">
      <c r="A32" s="4"/>
      <c r="C32" s="4" t="s">
        <v>220</v>
      </c>
      <c r="D32" s="4" t="str">
        <f t="shared" si="1"/>
        <v>{"valorA":"bem","valorB":1.0}</v>
      </c>
      <c r="E32" s="8" t="str">
        <f t="shared" si="2"/>
        <v>bem</v>
      </c>
      <c r="F32" s="8" t="str">
        <f>IFERROR(__xludf.DUMMYFUNCTION("""COMPUTED_VALUE"""),"usando")</f>
        <v>usando</v>
      </c>
      <c r="G32" s="8" t="str">
        <f t="shared" si="3"/>
        <v>1.0</v>
      </c>
      <c r="H32" s="9">
        <f t="shared" si="4"/>
        <v>1</v>
      </c>
      <c r="I32" s="10">
        <f>IFERROR(__xludf.DUMMYFUNCTION("MAX(FILTER($H$2:$H1388,$E$2:$E1388=F32))"),1.0)</f>
        <v>1</v>
      </c>
    </row>
    <row r="33">
      <c r="A33" s="4"/>
      <c r="C33" s="4" t="s">
        <v>1560</v>
      </c>
      <c r="D33" s="4" t="str">
        <f t="shared" si="1"/>
        <v>{"valorA":"usando","valorB":1.0}</v>
      </c>
      <c r="E33" s="8" t="str">
        <f t="shared" si="2"/>
        <v>usando</v>
      </c>
      <c r="F33" s="8" t="str">
        <f>IFERROR(__xludf.DUMMYFUNCTION("""COMPUTED_VALUE"""),"escritório")</f>
        <v>escritório</v>
      </c>
      <c r="G33" s="8" t="str">
        <f t="shared" si="3"/>
        <v>1.0</v>
      </c>
      <c r="H33" s="9">
        <f t="shared" si="4"/>
        <v>1</v>
      </c>
      <c r="I33" s="10">
        <f>IFERROR(__xludf.DUMMYFUNCTION("MAX(FILTER($H$2:$H1388,$E$2:$E1388=F33))"),1.0)</f>
        <v>1</v>
      </c>
    </row>
    <row r="34">
      <c r="A34" s="4"/>
      <c r="C34" s="4" t="s">
        <v>986</v>
      </c>
      <c r="D34" s="4" t="str">
        <f t="shared" si="1"/>
        <v>{"valorA":"escritório","valorB":1.0}</v>
      </c>
      <c r="E34" s="8" t="str">
        <f t="shared" si="2"/>
        <v>escritório</v>
      </c>
      <c r="F34" s="8" t="str">
        <f>IFERROR(__xludf.DUMMYFUNCTION("""COMPUTED_VALUE"""),"que")</f>
        <v>que</v>
      </c>
      <c r="G34" s="8" t="str">
        <f t="shared" si="3"/>
        <v>1.0</v>
      </c>
      <c r="H34" s="9">
        <f t="shared" si="4"/>
        <v>1</v>
      </c>
      <c r="I34" s="10">
        <f>IFERROR(__xludf.DUMMYFUNCTION("MAX(FILTER($H$2:$H1388,$E$2:$E1388=F34))"),8.0)</f>
        <v>8</v>
      </c>
    </row>
    <row r="35">
      <c r="A35" s="4"/>
      <c r="C35" s="4" t="s">
        <v>186</v>
      </c>
      <c r="D35" s="4" t="str">
        <f t="shared" si="1"/>
        <v>{"valorA":"de","valorB":2.0}</v>
      </c>
      <c r="E35" s="8" t="str">
        <f t="shared" si="2"/>
        <v>de</v>
      </c>
      <c r="F35" s="8" t="str">
        <f>IFERROR(__xludf.DUMMYFUNCTION("""COMPUTED_VALUE"""),"funciona")</f>
        <v>funciona</v>
      </c>
      <c r="G35" s="8" t="str">
        <f t="shared" si="3"/>
        <v>2.0</v>
      </c>
      <c r="H35" s="9">
        <f t="shared" si="4"/>
        <v>2</v>
      </c>
      <c r="I35" s="10">
        <f>IFERROR(__xludf.DUMMYFUNCTION("MAX(FILTER($H$2:$H1388,$E$2:$E1388=F35))"),7.0)</f>
        <v>7</v>
      </c>
    </row>
    <row r="36">
      <c r="A36" s="4"/>
      <c r="C36" s="4" t="s">
        <v>295</v>
      </c>
      <c r="D36" s="4" t="str">
        <f t="shared" si="1"/>
        <v>{"valorA":"que","valorB":1.0}</v>
      </c>
      <c r="E36" s="8" t="str">
        <f t="shared" si="2"/>
        <v>que</v>
      </c>
      <c r="F36" s="8" t="str">
        <f>IFERROR(__xludf.DUMMYFUNCTION("""COMPUTED_VALUE"""),"blitzador")</f>
        <v>blitzador</v>
      </c>
      <c r="G36" s="8" t="str">
        <f t="shared" si="3"/>
        <v>1.0</v>
      </c>
      <c r="H36" s="9">
        <f t="shared" si="4"/>
        <v>1</v>
      </c>
      <c r="I36" s="10">
        <f>IFERROR(__xludf.DUMMYFUNCTION("MAX(FILTER($H$2:$H1388,$E$2:$E1388=F36))"),1.0)</f>
        <v>1</v>
      </c>
    </row>
    <row r="37">
      <c r="A37" s="4"/>
      <c r="C37" s="4" t="s">
        <v>191</v>
      </c>
      <c r="D37" s="4" t="str">
        <f t="shared" si="1"/>
        <v>{"valorA":"ótimo","valorB":3.0}</v>
      </c>
      <c r="E37" s="8" t="str">
        <f t="shared" si="2"/>
        <v>ótimo</v>
      </c>
      <c r="F37" s="8" t="str">
        <f>IFERROR(__xludf.DUMMYFUNCTION("""COMPUTED_VALUE"""),"valeu")</f>
        <v>valeu</v>
      </c>
      <c r="G37" s="8" t="str">
        <f t="shared" si="3"/>
        <v>3.0</v>
      </c>
      <c r="H37" s="9">
        <f t="shared" si="4"/>
        <v>3</v>
      </c>
      <c r="I37" s="10">
        <f>IFERROR(__xludf.DUMMYFUNCTION("MAX(FILTER($H$2:$H1388,$E$2:$E1388=F37))"),2.0)</f>
        <v>2</v>
      </c>
    </row>
    <row r="38">
      <c r="A38" s="4"/>
      <c r="C38" s="4" t="s">
        <v>212</v>
      </c>
      <c r="D38" s="4" t="str">
        <f t="shared" si="1"/>
        <v>{"valorA":"muito","valorB":3.0}</v>
      </c>
      <c r="E38" s="8" t="str">
        <f t="shared" si="2"/>
        <v>muito</v>
      </c>
      <c r="F38" s="8" t="str">
        <f>IFERROR(__xludf.DUMMYFUNCTION("""COMPUTED_VALUE"""),"pena")</f>
        <v>pena</v>
      </c>
      <c r="G38" s="8" t="str">
        <f t="shared" si="3"/>
        <v>3.0</v>
      </c>
      <c r="H38" s="9">
        <f t="shared" si="4"/>
        <v>3</v>
      </c>
      <c r="I38" s="10">
        <f>IFERROR(__xludf.DUMMYFUNCTION("MAX(FILTER($H$2:$H1388,$E$2:$E1388=F38))"),3.0)</f>
        <v>3</v>
      </c>
    </row>
    <row r="39">
      <c r="A39" s="4"/>
      <c r="C39" s="4" t="s">
        <v>248</v>
      </c>
      <c r="D39" s="4" t="str">
        <f t="shared" si="1"/>
        <v>{"valorA":"funciona","valorB":1.0}</v>
      </c>
      <c r="E39" s="8" t="str">
        <f t="shared" si="2"/>
        <v>funciona</v>
      </c>
      <c r="F39" s="8" t="str">
        <f>IFERROR(__xludf.DUMMYFUNCTION("""COMPUTED_VALUE"""),"pratos")</f>
        <v>pratos</v>
      </c>
      <c r="G39" s="8" t="str">
        <f t="shared" si="3"/>
        <v>1.0</v>
      </c>
      <c r="H39" s="9">
        <f t="shared" si="4"/>
        <v>1</v>
      </c>
      <c r="I39" s="10">
        <f>IFERROR(__xludf.DUMMYFUNCTION("MAX(FILTER($H$2:$H1388,$E$2:$E1388=F39))"),1.0)</f>
        <v>1</v>
      </c>
    </row>
    <row r="40">
      <c r="A40" s="4"/>
      <c r="C40" s="4" t="s">
        <v>1561</v>
      </c>
      <c r="D40" s="4" t="str">
        <f t="shared" si="1"/>
        <v>{"valorA":"blitzador","valorB":1.0}</v>
      </c>
      <c r="E40" s="8" t="str">
        <f t="shared" si="2"/>
        <v>blitzador</v>
      </c>
      <c r="F40" s="8" t="str">
        <f>IFERROR(__xludf.DUMMYFUNCTION("""COMPUTED_VALUE"""),"lavador")</f>
        <v>lavador</v>
      </c>
      <c r="G40" s="8" t="str">
        <f t="shared" si="3"/>
        <v>1.0</v>
      </c>
      <c r="H40" s="9">
        <f t="shared" si="4"/>
        <v>1</v>
      </c>
      <c r="I40" s="10">
        <f>IFERROR(__xludf.DUMMYFUNCTION("MAX(FILTER($H$2:$H1388,$E$2:$E1388=F40))"),2.0)</f>
        <v>2</v>
      </c>
    </row>
    <row r="41">
      <c r="A41" s="4"/>
      <c r="C41" s="4" t="s">
        <v>600</v>
      </c>
      <c r="D41" s="4" t="str">
        <f t="shared" si="1"/>
        <v>{"valorA":"valeu","valorB":1.0}</v>
      </c>
      <c r="E41" s="8" t="str">
        <f t="shared" si="2"/>
        <v>valeu</v>
      </c>
      <c r="F41" s="8" t="str">
        <f>IFERROR(__xludf.DUMMYFUNCTION("""COMPUTED_VALUE"""),"lavadora")</f>
        <v>lavadora</v>
      </c>
      <c r="G41" s="8" t="str">
        <f t="shared" si="3"/>
        <v>1.0</v>
      </c>
      <c r="H41" s="9">
        <f t="shared" si="4"/>
        <v>1</v>
      </c>
      <c r="I41" s="10">
        <f>IFERROR(__xludf.DUMMYFUNCTION("MAX(FILTER($H$2:$H1388,$E$2:$E1388=F41))"),2.0)</f>
        <v>2</v>
      </c>
    </row>
    <row r="42">
      <c r="A42" s="4"/>
      <c r="C42" s="4" t="s">
        <v>307</v>
      </c>
      <c r="D42" s="4" t="str">
        <f t="shared" si="1"/>
        <v>{"valorA":"pena","valorB":1.0}</v>
      </c>
      <c r="E42" s="8" t="str">
        <f t="shared" si="2"/>
        <v>pena</v>
      </c>
      <c r="F42" s="8" t="str">
        <f>IFERROR(__xludf.DUMMYFUNCTION("""COMPUTED_VALUE"""),"resultado")</f>
        <v>resultado</v>
      </c>
      <c r="G42" s="8" t="str">
        <f t="shared" si="3"/>
        <v>1.0</v>
      </c>
      <c r="H42" s="9">
        <f t="shared" si="4"/>
        <v>1</v>
      </c>
      <c r="I42" s="10">
        <f>IFERROR(__xludf.DUMMYFUNCTION("MAX(FILTER($H$2:$H1388,$E$2:$E1388=F42))"),1.0)</f>
        <v>1</v>
      </c>
    </row>
    <row r="43">
      <c r="A43" s="4"/>
      <c r="C43" s="4" t="s">
        <v>281</v>
      </c>
      <c r="D43" s="4" t="str">
        <f t="shared" si="1"/>
        <v>{"valorA":"de","valorB":4.0}</v>
      </c>
      <c r="E43" s="8" t="str">
        <f t="shared" si="2"/>
        <v>de</v>
      </c>
      <c r="F43" s="8" t="str">
        <f>IFERROR(__xludf.DUMMYFUNCTION("""COMPUTED_VALUE"""),"realmente")</f>
        <v>realmente</v>
      </c>
      <c r="G43" s="8" t="str">
        <f t="shared" si="3"/>
        <v>4.0</v>
      </c>
      <c r="H43" s="9">
        <f t="shared" si="4"/>
        <v>4</v>
      </c>
      <c r="I43" s="10">
        <f>IFERROR(__xludf.DUMMYFUNCTION("MAX(FILTER($H$2:$H1388,$E$2:$E1388=F43))"),1.0)</f>
        <v>1</v>
      </c>
    </row>
    <row r="44">
      <c r="A44" s="4"/>
      <c r="C44" s="4" t="s">
        <v>332</v>
      </c>
      <c r="D44" s="4" t="str">
        <f t="shared" si="1"/>
        <v>{"valorA":"o","valorB":2.0}</v>
      </c>
      <c r="E44" s="8" t="str">
        <f t="shared" si="2"/>
        <v>o</v>
      </c>
      <c r="F44" s="8" t="str">
        <f>IFERROR(__xludf.DUMMYFUNCTION("""COMPUTED_VALUE"""),"prataria")</f>
        <v>prataria</v>
      </c>
      <c r="G44" s="8" t="str">
        <f t="shared" si="3"/>
        <v>2.0</v>
      </c>
      <c r="H44" s="9">
        <f t="shared" si="4"/>
        <v>2</v>
      </c>
      <c r="I44" s="10">
        <f>IFERROR(__xludf.DUMMYFUNCTION("MAX(FILTER($H$2:$H1388,$E$2:$E1388=F44))"),2.0)</f>
        <v>2</v>
      </c>
    </row>
    <row r="45">
      <c r="A45" s="4"/>
      <c r="C45" s="4" t="s">
        <v>1039</v>
      </c>
      <c r="D45" s="4" t="str">
        <f t="shared" si="1"/>
        <v>{"valorA":"pratos","valorB":1.0}</v>
      </c>
      <c r="E45" s="8" t="str">
        <f t="shared" si="2"/>
        <v>pratos</v>
      </c>
      <c r="F45" s="8" t="str">
        <f>IFERROR(__xludf.DUMMYFUNCTION("""COMPUTED_VALUE"""),"traga")</f>
        <v>traga</v>
      </c>
      <c r="G45" s="8" t="str">
        <f t="shared" si="3"/>
        <v>1.0</v>
      </c>
      <c r="H45" s="9">
        <f t="shared" si="4"/>
        <v>1</v>
      </c>
      <c r="I45" s="10">
        <f>IFERROR(__xludf.DUMMYFUNCTION("MAX(FILTER($H$2:$H1388,$E$2:$E1388=F45))"),1.0)</f>
        <v>1</v>
      </c>
    </row>
    <row r="46">
      <c r="A46" s="4"/>
      <c r="C46" s="4" t="s">
        <v>1018</v>
      </c>
      <c r="D46" s="4" t="str">
        <f t="shared" si="1"/>
        <v>{"valorA":"lavador","valorB":1.0}</v>
      </c>
      <c r="E46" s="8" t="str">
        <f t="shared" si="2"/>
        <v>lavador</v>
      </c>
      <c r="F46" s="8" t="str">
        <f>IFERROR(__xludf.DUMMYFUNCTION("""COMPUTED_VALUE"""),"esperado")</f>
        <v>esperado</v>
      </c>
      <c r="G46" s="8" t="str">
        <f t="shared" si="3"/>
        <v>1.0</v>
      </c>
      <c r="H46" s="9">
        <f t="shared" si="4"/>
        <v>1</v>
      </c>
      <c r="I46" s="10">
        <f>IFERROR(__xludf.DUMMYFUNCTION("MAX(FILTER($H$2:$H1388,$E$2:$E1388=F46))"),1.0)</f>
        <v>1</v>
      </c>
    </row>
    <row r="47">
      <c r="A47" s="4"/>
      <c r="C47" s="4" t="s">
        <v>1008</v>
      </c>
      <c r="D47" s="4" t="str">
        <f t="shared" si="1"/>
        <v>{"valorA":"lavadora","valorB":1.0}</v>
      </c>
      <c r="E47" s="8" t="str">
        <f t="shared" si="2"/>
        <v>lavadora</v>
      </c>
      <c r="F47" s="8" t="str">
        <f>IFERROR(__xludf.DUMMYFUNCTION("""COMPUTED_VALUE"""),"satisfeita")</f>
        <v>satisfeita</v>
      </c>
      <c r="G47" s="8" t="str">
        <f t="shared" si="3"/>
        <v>1.0</v>
      </c>
      <c r="H47" s="9">
        <f t="shared" si="4"/>
        <v>1</v>
      </c>
      <c r="I47" s="10">
        <f>IFERROR(__xludf.DUMMYFUNCTION("MAX(FILTER($H$2:$H1388,$E$2:$E1388=F47))"),1.0)</f>
        <v>1</v>
      </c>
    </row>
    <row r="48">
      <c r="A48" s="4"/>
      <c r="C48" s="4" t="s">
        <v>314</v>
      </c>
      <c r="D48" s="4" t="str">
        <f t="shared" si="1"/>
        <v>{"valorA":"resultado","valorB":1.0}</v>
      </c>
      <c r="E48" s="8" t="str">
        <f t="shared" si="2"/>
        <v>resultado</v>
      </c>
      <c r="F48" s="8" t="str">
        <f>IFERROR(__xludf.DUMMYFUNCTION("""COMPUTED_VALUE"""),"para")</f>
        <v>para</v>
      </c>
      <c r="G48" s="8" t="str">
        <f t="shared" si="3"/>
        <v>1.0</v>
      </c>
      <c r="H48" s="9">
        <f t="shared" si="4"/>
        <v>1</v>
      </c>
      <c r="I48" s="10">
        <f>IFERROR(__xludf.DUMMYFUNCTION("MAX(FILTER($H$2:$H1388,$E$2:$E1388=F48))"),16.0)</f>
        <v>16</v>
      </c>
    </row>
    <row r="49">
      <c r="A49" s="4"/>
      <c r="C49" s="4" t="s">
        <v>210</v>
      </c>
      <c r="D49" s="4" t="str">
        <f t="shared" si="1"/>
        <v>{"valorA":"ótimo","valorB":5.0}</v>
      </c>
      <c r="E49" s="8" t="str">
        <f t="shared" si="2"/>
        <v>ótimo</v>
      </c>
      <c r="F49" s="8" t="str">
        <f>IFERROR(__xludf.DUMMYFUNCTION("""COMPUTED_VALUE"""),"com")</f>
        <v>com</v>
      </c>
      <c r="G49" s="8" t="str">
        <f t="shared" si="3"/>
        <v>5.0</v>
      </c>
      <c r="H49" s="9">
        <f t="shared" si="4"/>
        <v>5</v>
      </c>
      <c r="I49" s="10">
        <f>IFERROR(__xludf.DUMMYFUNCTION("MAX(FILTER($H$2:$H1388,$E$2:$E1388=F49))"),7.0)</f>
        <v>7</v>
      </c>
    </row>
    <row r="50">
      <c r="A50" s="4"/>
      <c r="C50" s="4" t="s">
        <v>261</v>
      </c>
      <c r="D50" s="4" t="str">
        <f t="shared" si="1"/>
        <v>{"valorA":"realmente","valorB":1.0}</v>
      </c>
      <c r="E50" s="8" t="str">
        <f t="shared" si="2"/>
        <v>realmente</v>
      </c>
      <c r="F50" s="8" t="str">
        <f>IFERROR(__xludf.DUMMYFUNCTION("""COMPUTED_VALUE"""),"bastante")</f>
        <v>bastante</v>
      </c>
      <c r="G50" s="8" t="str">
        <f t="shared" si="3"/>
        <v>1.0</v>
      </c>
      <c r="H50" s="9">
        <f t="shared" si="4"/>
        <v>1</v>
      </c>
      <c r="I50" s="10">
        <f>IFERROR(__xludf.DUMMYFUNCTION("MAX(FILTER($H$2:$H1388,$E$2:$E1388=F50))"),2.0)</f>
        <v>2</v>
      </c>
    </row>
    <row r="51">
      <c r="A51" s="4"/>
      <c r="C51" s="4" t="s">
        <v>1162</v>
      </c>
      <c r="D51" s="4" t="str">
        <f t="shared" si="1"/>
        <v>{"valorA":"prataria","valorB":1.0}</v>
      </c>
      <c r="E51" s="8" t="str">
        <f t="shared" si="2"/>
        <v>prataria</v>
      </c>
      <c r="F51" s="8" t="str">
        <f>IFERROR(__xludf.DUMMYFUNCTION("""COMPUTED_VALUE"""),"óptimo")</f>
        <v>óptimo</v>
      </c>
      <c r="G51" s="8" t="str">
        <f t="shared" si="3"/>
        <v>1.0</v>
      </c>
      <c r="H51" s="9">
        <f t="shared" si="4"/>
        <v>1</v>
      </c>
      <c r="I51" s="10">
        <f>IFERROR(__xludf.DUMMYFUNCTION("MAX(FILTER($H$2:$H1388,$E$2:$E1388=F51))"),4.0)</f>
        <v>4</v>
      </c>
    </row>
    <row r="52">
      <c r="A52" s="4"/>
      <c r="C52" s="4" t="s">
        <v>264</v>
      </c>
      <c r="D52" s="4" t="str">
        <f t="shared" si="1"/>
        <v>{"valorA":"a","valorB":2.0}</v>
      </c>
      <c r="E52" s="8" t="str">
        <f t="shared" si="2"/>
        <v>a</v>
      </c>
      <c r="F52" s="8" t="str">
        <f>IFERROR(__xludf.DUMMYFUNCTION("""COMPUTED_VALUE"""),"compra")</f>
        <v>compra</v>
      </c>
      <c r="G52" s="8" t="str">
        <f t="shared" si="3"/>
        <v>2.0</v>
      </c>
      <c r="H52" s="9">
        <f t="shared" si="4"/>
        <v>2</v>
      </c>
      <c r="I52" s="10">
        <f>IFERROR(__xludf.DUMMYFUNCTION("MAX(FILTER($H$2:$H1388,$E$2:$E1388=F52))"),1.0)</f>
        <v>1</v>
      </c>
    </row>
    <row r="53">
      <c r="A53" s="4"/>
      <c r="C53" s="4" t="s">
        <v>1562</v>
      </c>
      <c r="D53" s="4" t="str">
        <f t="shared" si="1"/>
        <v>{"valorA":"traga","valorB":1.0}</v>
      </c>
      <c r="E53" s="8" t="str">
        <f t="shared" si="2"/>
        <v>traga</v>
      </c>
      <c r="F53" s="8" t="str">
        <f>IFERROR(__xludf.DUMMYFUNCTION("""COMPUTED_VALUE"""),"sistema")</f>
        <v>sistema</v>
      </c>
      <c r="G53" s="8" t="str">
        <f t="shared" si="3"/>
        <v>1.0</v>
      </c>
      <c r="H53" s="9">
        <f t="shared" si="4"/>
        <v>1</v>
      </c>
      <c r="I53" s="10">
        <f>IFERROR(__xludf.DUMMYFUNCTION("MAX(FILTER($H$2:$H1388,$E$2:$E1388=F53))"),2.0)</f>
        <v>2</v>
      </c>
    </row>
    <row r="54">
      <c r="A54" s="4"/>
      <c r="C54" s="4" t="s">
        <v>1563</v>
      </c>
      <c r="D54" s="4" t="str">
        <f t="shared" si="1"/>
        <v>{"valorA":"esperado","valorB":1.0}</v>
      </c>
      <c r="E54" s="8" t="str">
        <f t="shared" si="2"/>
        <v>esperado</v>
      </c>
      <c r="F54" s="8" t="str">
        <f>IFERROR(__xludf.DUMMYFUNCTION("""COMPUTED_VALUE"""),"muita")</f>
        <v>muita</v>
      </c>
      <c r="G54" s="8" t="str">
        <f t="shared" si="3"/>
        <v>1.0</v>
      </c>
      <c r="H54" s="9">
        <f t="shared" si="4"/>
        <v>1</v>
      </c>
      <c r="I54" s="10">
        <f>IFERROR(__xludf.DUMMYFUNCTION("MAX(FILTER($H$2:$H1388,$E$2:$E1388=F54))"),1.0)</f>
        <v>1</v>
      </c>
    </row>
    <row r="55">
      <c r="A55" s="4"/>
      <c r="C55" s="4" t="s">
        <v>1053</v>
      </c>
      <c r="D55" s="4" t="str">
        <f t="shared" si="1"/>
        <v>{"valorA":"satisfeita","valorB":1.0}</v>
      </c>
      <c r="E55" s="8" t="str">
        <f t="shared" si="2"/>
        <v>satisfeita</v>
      </c>
      <c r="F55" s="8" t="str">
        <f>IFERROR(__xludf.DUMMYFUNCTION("""COMPUTED_VALUE"""),"limpeza")</f>
        <v>limpeza</v>
      </c>
      <c r="G55" s="8" t="str">
        <f t="shared" si="3"/>
        <v>1.0</v>
      </c>
      <c r="H55" s="9">
        <f t="shared" si="4"/>
        <v>1</v>
      </c>
      <c r="I55" s="10">
        <f>IFERROR(__xludf.DUMMYFUNCTION("MAX(FILTER($H$2:$H1388,$E$2:$E1388=F55))"),2.0)</f>
        <v>2</v>
      </c>
    </row>
    <row r="56">
      <c r="A56" s="4"/>
      <c r="C56" s="4" t="s">
        <v>178</v>
      </c>
      <c r="D56" s="4" t="str">
        <f t="shared" si="1"/>
        <v>{"valorA":"para","valorB":1.0}</v>
      </c>
      <c r="E56" s="8" t="str">
        <f t="shared" si="2"/>
        <v>para</v>
      </c>
      <c r="F56" s="8" t="str">
        <f>IFERROR(__xludf.DUMMYFUNCTION("""COMPUTED_VALUE"""),"serviço")</f>
        <v>serviço</v>
      </c>
      <c r="G56" s="8" t="str">
        <f t="shared" si="3"/>
        <v>1.0</v>
      </c>
      <c r="H56" s="9">
        <f t="shared" si="4"/>
        <v>1</v>
      </c>
      <c r="I56" s="10">
        <f>IFERROR(__xludf.DUMMYFUNCTION("MAX(FILTER($H$2:$H1388,$E$2:$E1388=F56))"),3.0)</f>
        <v>3</v>
      </c>
    </row>
    <row r="57">
      <c r="A57" s="4"/>
      <c r="C57" s="4" t="s">
        <v>277</v>
      </c>
      <c r="D57" s="4" t="str">
        <f t="shared" si="1"/>
        <v>{"valorA":"recomendo","valorB":2.0}</v>
      </c>
      <c r="E57" s="8" t="str">
        <f t="shared" si="2"/>
        <v>recomendo</v>
      </c>
      <c r="F57" s="8" t="str">
        <f>IFERROR(__xludf.DUMMYFUNCTION("""COMPUTED_VALUE"""),"toalha")</f>
        <v>toalha</v>
      </c>
      <c r="G57" s="8" t="str">
        <f t="shared" si="3"/>
        <v>2.0</v>
      </c>
      <c r="H57" s="9">
        <f t="shared" si="4"/>
        <v>2</v>
      </c>
      <c r="I57" s="10">
        <f>IFERROR(__xludf.DUMMYFUNCTION("MAX(FILTER($H$2:$H1388,$E$2:$E1388=F57))"),2.0)</f>
        <v>2</v>
      </c>
    </row>
    <row r="58">
      <c r="A58" s="4"/>
      <c r="C58" s="4" t="s">
        <v>290</v>
      </c>
      <c r="D58" s="4" t="str">
        <f t="shared" si="1"/>
        <v>{"valorA":"com","valorB":1.0}</v>
      </c>
      <c r="E58" s="8" t="str">
        <f t="shared" si="2"/>
        <v>com</v>
      </c>
      <c r="F58" s="8" t="str">
        <f>IFERROR(__xludf.DUMMYFUNCTION("""COMPUTED_VALUE"""),"e")</f>
        <v>e</v>
      </c>
      <c r="G58" s="8" t="str">
        <f t="shared" si="3"/>
        <v>1.0</v>
      </c>
      <c r="H58" s="9">
        <f t="shared" si="4"/>
        <v>1</v>
      </c>
      <c r="I58" s="10">
        <f>IFERROR(__xludf.DUMMYFUNCTION("MAX(FILTER($H$2:$H1388,$E$2:$E1388=F58))"),11.0)</f>
        <v>11</v>
      </c>
    </row>
    <row r="59">
      <c r="A59" s="4"/>
      <c r="C59" s="4" t="s">
        <v>1460</v>
      </c>
      <c r="D59" s="4" t="str">
        <f t="shared" si="1"/>
        <v>{"valorA":"computador","valorB":2.0}</v>
      </c>
      <c r="E59" s="8" t="str">
        <f t="shared" si="2"/>
        <v>computador</v>
      </c>
      <c r="F59" s="8" t="str">
        <f>IFERROR(__xludf.DUMMYFUNCTION("""COMPUTED_VALUE"""),"limpar")</f>
        <v>limpar</v>
      </c>
      <c r="G59" s="8" t="str">
        <f t="shared" si="3"/>
        <v>2.0</v>
      </c>
      <c r="H59" s="9">
        <f t="shared" si="4"/>
        <v>2</v>
      </c>
      <c r="I59" s="10">
        <f>IFERROR(__xludf.DUMMYFUNCTION("MAX(FILTER($H$2:$H1388,$E$2:$E1388=F59))"),2.0)</f>
        <v>2</v>
      </c>
    </row>
    <row r="60">
      <c r="A60" s="4"/>
      <c r="C60" s="4" t="s">
        <v>456</v>
      </c>
      <c r="D60" s="4" t="str">
        <f t="shared" si="1"/>
        <v>{"valorA":"bastante","valorB":1.0}</v>
      </c>
      <c r="E60" s="8" t="str">
        <f t="shared" si="2"/>
        <v>bastante</v>
      </c>
      <c r="F60" s="8" t="str">
        <f>IFERROR(__xludf.DUMMYFUNCTION("""COMPUTED_VALUE"""),"lã")</f>
        <v>lã</v>
      </c>
      <c r="G60" s="8" t="str">
        <f t="shared" si="3"/>
        <v>1.0</v>
      </c>
      <c r="H60" s="9">
        <f t="shared" si="4"/>
        <v>1</v>
      </c>
      <c r="I60" s="10">
        <f>IFERROR(__xludf.DUMMYFUNCTION("MAX(FILTER($H$2:$H1388,$E$2:$E1388=F60))"),1.0)</f>
        <v>1</v>
      </c>
    </row>
    <row r="61">
      <c r="A61" s="4"/>
      <c r="C61" s="4" t="s">
        <v>351</v>
      </c>
      <c r="D61" s="4" t="str">
        <f t="shared" si="1"/>
        <v>{"valorA":"o","valorB":3.0}</v>
      </c>
      <c r="E61" s="8" t="str">
        <f t="shared" si="2"/>
        <v>o</v>
      </c>
      <c r="F61" s="8" t="str">
        <f>IFERROR(__xludf.DUMMYFUNCTION("""COMPUTED_VALUE"""),"fácil")</f>
        <v>fácil</v>
      </c>
      <c r="G61" s="8" t="str">
        <f t="shared" si="3"/>
        <v>3.0</v>
      </c>
      <c r="H61" s="9">
        <f t="shared" si="4"/>
        <v>3</v>
      </c>
      <c r="I61" s="10">
        <f>IFERROR(__xludf.DUMMYFUNCTION("MAX(FILTER($H$2:$H1388,$E$2:$E1388=F61))"),7.0)</f>
        <v>7</v>
      </c>
    </row>
    <row r="62">
      <c r="A62" s="4"/>
      <c r="C62" s="4" t="s">
        <v>681</v>
      </c>
      <c r="D62" s="4" t="str">
        <f t="shared" si="1"/>
        <v>{"valorA":"de","valorB":5.0}</v>
      </c>
      <c r="E62" s="8" t="str">
        <f t="shared" si="2"/>
        <v>de</v>
      </c>
      <c r="F62" s="8" t="str">
        <f>IFERROR(__xludf.DUMMYFUNCTION("""COMPUTED_VALUE"""),"hoje")</f>
        <v>hoje</v>
      </c>
      <c r="G62" s="8" t="str">
        <f t="shared" si="3"/>
        <v>5.0</v>
      </c>
      <c r="H62" s="9">
        <f t="shared" si="4"/>
        <v>5</v>
      </c>
      <c r="I62" s="10">
        <f>IFERROR(__xludf.DUMMYFUNCTION("MAX(FILTER($H$2:$H1388,$E$2:$E1388=F62))"),3.0)</f>
        <v>3</v>
      </c>
    </row>
    <row r="63">
      <c r="A63" s="4"/>
      <c r="C63" s="4" t="s">
        <v>987</v>
      </c>
      <c r="D63" s="4" t="str">
        <f t="shared" si="1"/>
        <v>{"valorA":"óptimo","valorB":1.0}</v>
      </c>
      <c r="E63" s="8" t="str">
        <f t="shared" si="2"/>
        <v>óptimo</v>
      </c>
      <c r="F63" s="8" t="str">
        <f>IFERROR(__xludf.DUMMYFUNCTION("""COMPUTED_VALUE"""),"casa")</f>
        <v>casa</v>
      </c>
      <c r="G63" s="8" t="str">
        <f t="shared" si="3"/>
        <v>1.0</v>
      </c>
      <c r="H63" s="9">
        <f t="shared" si="4"/>
        <v>1</v>
      </c>
      <c r="I63" s="10">
        <f>IFERROR(__xludf.DUMMYFUNCTION("MAX(FILTER($H$2:$H1388,$E$2:$E1388=F63))"),2.0)</f>
        <v>2</v>
      </c>
    </row>
    <row r="64">
      <c r="A64" s="4"/>
      <c r="C64" s="4" t="s">
        <v>189</v>
      </c>
      <c r="D64" s="4" t="str">
        <f t="shared" si="1"/>
        <v>{"valorA":"produto","valorB":2.0}</v>
      </c>
      <c r="E64" s="8" t="str">
        <f t="shared" si="2"/>
        <v>produto</v>
      </c>
      <c r="F64" s="8" t="str">
        <f>IFERROR(__xludf.DUMMYFUNCTION("""COMPUTED_VALUE"""),"da")</f>
        <v>da</v>
      </c>
      <c r="G64" s="8" t="str">
        <f t="shared" si="3"/>
        <v>2.0</v>
      </c>
      <c r="H64" s="9">
        <f t="shared" si="4"/>
        <v>2</v>
      </c>
      <c r="I64" s="10">
        <f>IFERROR(__xludf.DUMMYFUNCTION("MAX(FILTER($H$2:$H1388,$E$2:$E1388=F64))"),2.0)</f>
        <v>2</v>
      </c>
    </row>
    <row r="65">
      <c r="A65" s="4"/>
      <c r="C65" s="4" t="s">
        <v>594</v>
      </c>
      <c r="D65" s="4" t="str">
        <f t="shared" si="1"/>
        <v>{"valorA":"ótimo","valorB":6.0}</v>
      </c>
      <c r="E65" s="8" t="str">
        <f t="shared" si="2"/>
        <v>ótimo</v>
      </c>
      <c r="F65" s="8" t="str">
        <f>IFERROR(__xludf.DUMMYFUNCTION("""COMPUTED_VALUE"""),"minha")</f>
        <v>minha</v>
      </c>
      <c r="G65" s="8" t="str">
        <f t="shared" si="3"/>
        <v>6.0</v>
      </c>
      <c r="H65" s="9">
        <f t="shared" si="4"/>
        <v>6</v>
      </c>
      <c r="I65" s="10">
        <f>IFERROR(__xludf.DUMMYFUNCTION("MAX(FILTER($H$2:$H1388,$E$2:$E1388=F65))"),2.0)</f>
        <v>2</v>
      </c>
    </row>
    <row r="66">
      <c r="A66" s="4"/>
      <c r="C66" s="4" t="s">
        <v>1401</v>
      </c>
      <c r="D66" s="4" t="str">
        <f t="shared" si="1"/>
        <v>{"valorA":"som","valorB":2.0}</v>
      </c>
      <c r="E66" s="8" t="str">
        <f t="shared" si="2"/>
        <v>som</v>
      </c>
      <c r="F66" s="8" t="str">
        <f>IFERROR(__xludf.DUMMYFUNCTION("""COMPUTED_VALUE"""),"barato")</f>
        <v>barato</v>
      </c>
      <c r="G66" s="8" t="str">
        <f t="shared" si="3"/>
        <v>2.0</v>
      </c>
      <c r="H66" s="9">
        <f t="shared" si="4"/>
        <v>2</v>
      </c>
      <c r="I66" s="10">
        <f>IFERROR(__xludf.DUMMYFUNCTION("MAX(FILTER($H$2:$H1388,$E$2:$E1388=F66))"),3.0)</f>
        <v>3</v>
      </c>
    </row>
    <row r="67">
      <c r="A67" s="4"/>
      <c r="C67" s="4" t="s">
        <v>246</v>
      </c>
      <c r="D67" s="4" t="str">
        <f t="shared" si="1"/>
        <v>{"valorA":"muito","valorB":4.0}</v>
      </c>
      <c r="E67" s="8" t="str">
        <f t="shared" si="2"/>
        <v>muito</v>
      </c>
      <c r="F67" s="8" t="str">
        <f>IFERROR(__xludf.DUMMYFUNCTION("""COMPUTED_VALUE"""),"vida")</f>
        <v>vida</v>
      </c>
      <c r="G67" s="8" t="str">
        <f t="shared" si="3"/>
        <v>4.0</v>
      </c>
      <c r="H67" s="9">
        <f t="shared" si="4"/>
        <v>4</v>
      </c>
      <c r="I67" s="10">
        <f>IFERROR(__xludf.DUMMYFUNCTION("MAX(FILTER($H$2:$H1388,$E$2:$E1388=F67))"),1.0)</f>
        <v>1</v>
      </c>
    </row>
    <row r="68">
      <c r="A68" s="4"/>
      <c r="C68" s="4" t="s">
        <v>263</v>
      </c>
      <c r="D68" s="4" t="str">
        <f t="shared" si="1"/>
        <v>{"valorA":"compra","valorB":1.0}</v>
      </c>
      <c r="E68" s="8" t="str">
        <f t="shared" si="2"/>
        <v>compra</v>
      </c>
      <c r="F68" s="8" t="str">
        <f>IFERROR(__xludf.DUMMYFUNCTION("""COMPUTED_VALUE"""),"processador")</f>
        <v>processador</v>
      </c>
      <c r="G68" s="8" t="str">
        <f t="shared" si="3"/>
        <v>1.0</v>
      </c>
      <c r="H68" s="9">
        <f t="shared" si="4"/>
        <v>1</v>
      </c>
      <c r="I68" s="10">
        <f>IFERROR(__xludf.DUMMYFUNCTION("MAX(FILTER($H$2:$H1388,$E$2:$E1388=F68))"),3.0)</f>
        <v>3</v>
      </c>
    </row>
    <row r="69">
      <c r="A69" s="4"/>
      <c r="C69" s="4" t="s">
        <v>668</v>
      </c>
      <c r="D69" s="4" t="str">
        <f t="shared" si="1"/>
        <v>{"valorA":"sistema","valorB":1.0}</v>
      </c>
      <c r="E69" s="8" t="str">
        <f t="shared" si="2"/>
        <v>sistema</v>
      </c>
      <c r="F69" s="8" t="str">
        <f>IFERROR(__xludf.DUMMYFUNCTION("""COMPUTED_VALUE"""),"já")</f>
        <v>já</v>
      </c>
      <c r="G69" s="8" t="str">
        <f t="shared" si="3"/>
        <v>1.0</v>
      </c>
      <c r="H69" s="9">
        <f t="shared" si="4"/>
        <v>1</v>
      </c>
      <c r="I69" s="10">
        <f>IFERROR(__xludf.DUMMYFUNCTION("MAX(FILTER($H$2:$H1388,$E$2:$E1388=F69))"),2.0)</f>
        <v>2</v>
      </c>
    </row>
    <row r="70">
      <c r="A70" s="4"/>
      <c r="C70" s="4" t="s">
        <v>320</v>
      </c>
      <c r="D70" s="4" t="str">
        <f t="shared" si="1"/>
        <v>{"valorA":"a","valorB":3.0}</v>
      </c>
      <c r="E70" s="8" t="str">
        <f t="shared" si="2"/>
        <v>a</v>
      </c>
      <c r="F70" s="8" t="str">
        <f>IFERROR(__xludf.DUMMYFUNCTION("""COMPUTED_VALUE"""),"esse")</f>
        <v>esse</v>
      </c>
      <c r="G70" s="8" t="str">
        <f t="shared" si="3"/>
        <v>3.0</v>
      </c>
      <c r="H70" s="9">
        <f t="shared" si="4"/>
        <v>3</v>
      </c>
      <c r="I70" s="10">
        <f>IFERROR(__xludf.DUMMYFUNCTION("MAX(FILTER($H$2:$H1388,$E$2:$E1388=F70))"),5.0)</f>
        <v>5</v>
      </c>
    </row>
    <row r="71">
      <c r="A71" s="4"/>
      <c r="C71" s="4" t="s">
        <v>1044</v>
      </c>
      <c r="D71" s="4" t="str">
        <f t="shared" si="1"/>
        <v>{"valorA":"muita","valorB":1.0}</v>
      </c>
      <c r="E71" s="8" t="str">
        <f t="shared" si="2"/>
        <v>muita</v>
      </c>
      <c r="F71" s="8" t="str">
        <f>IFERROR(__xludf.DUMMYFUNCTION("""COMPUTED_VALUE"""),"melhor")</f>
        <v>melhor</v>
      </c>
      <c r="G71" s="8" t="str">
        <f t="shared" si="3"/>
        <v>1.0</v>
      </c>
      <c r="H71" s="9">
        <f t="shared" si="4"/>
        <v>1</v>
      </c>
      <c r="I71" s="10">
        <f>IFERROR(__xludf.DUMMYFUNCTION("MAX(FILTER($H$2:$H1388,$E$2:$E1388=F71))"),1.0)</f>
        <v>1</v>
      </c>
    </row>
    <row r="72">
      <c r="A72" s="4"/>
      <c r="C72" s="4" t="s">
        <v>1564</v>
      </c>
      <c r="D72" s="4" t="str">
        <f t="shared" si="1"/>
        <v>{"valorA":"limpeza","valorB":1.0}</v>
      </c>
      <c r="E72" s="8" t="str">
        <f t="shared" si="2"/>
        <v>limpeza</v>
      </c>
      <c r="F72" s="8" t="str">
        <f>IFERROR(__xludf.DUMMYFUNCTION("""COMPUTED_VALUE"""),"na")</f>
        <v>na</v>
      </c>
      <c r="G72" s="8" t="str">
        <f t="shared" si="3"/>
        <v>1.0</v>
      </c>
      <c r="H72" s="9">
        <f t="shared" si="4"/>
        <v>1</v>
      </c>
      <c r="I72" s="10">
        <f>IFERROR(__xludf.DUMMYFUNCTION("MAX(FILTER($H$2:$H1388,$E$2:$E1388=F72))"),1.0)</f>
        <v>1</v>
      </c>
    </row>
    <row r="73">
      <c r="A73" s="4"/>
      <c r="C73" s="4" t="s">
        <v>992</v>
      </c>
      <c r="D73" s="4" t="str">
        <f t="shared" si="1"/>
        <v>{"valorA":"serviço","valorB":1.0}</v>
      </c>
      <c r="E73" s="8" t="str">
        <f t="shared" si="2"/>
        <v>serviço</v>
      </c>
      <c r="F73" s="8" t="str">
        <f>IFERROR(__xludf.DUMMYFUNCTION("""COMPUTED_VALUE"""),"cebola")</f>
        <v>cebola</v>
      </c>
      <c r="G73" s="8" t="str">
        <f t="shared" si="3"/>
        <v>1.0</v>
      </c>
      <c r="H73" s="9">
        <f t="shared" si="4"/>
        <v>1</v>
      </c>
      <c r="I73" s="10">
        <f>IFERROR(__xludf.DUMMYFUNCTION("MAX(FILTER($H$2:$H1388,$E$2:$E1388=F73))"),1.0)</f>
        <v>1</v>
      </c>
    </row>
    <row r="74">
      <c r="A74" s="4"/>
      <c r="C74" s="4" t="s">
        <v>1031</v>
      </c>
      <c r="D74" s="4" t="str">
        <f t="shared" si="1"/>
        <v>{"valorA":"ótima","valorB":3.0}</v>
      </c>
      <c r="E74" s="8" t="str">
        <f t="shared" si="2"/>
        <v>ótima</v>
      </c>
      <c r="F74" s="8" t="str">
        <f>IFERROR(__xludf.DUMMYFUNCTION("""COMPUTED_VALUE"""),"usar")</f>
        <v>usar</v>
      </c>
      <c r="G74" s="8" t="str">
        <f t="shared" si="3"/>
        <v>3.0</v>
      </c>
      <c r="H74" s="9">
        <f t="shared" si="4"/>
        <v>3</v>
      </c>
      <c r="I74" s="10">
        <f>IFERROR(__xludf.DUMMYFUNCTION("MAX(FILTER($H$2:$H1388,$E$2:$E1388=F74))"),5.0)</f>
        <v>5</v>
      </c>
    </row>
    <row r="75">
      <c r="A75" s="4"/>
      <c r="C75" s="4" t="s">
        <v>1565</v>
      </c>
      <c r="D75" s="4" t="str">
        <f t="shared" si="1"/>
        <v>{"valorA":"toalha","valorB":1.0}</v>
      </c>
      <c r="E75" s="8" t="str">
        <f t="shared" si="2"/>
        <v>toalha</v>
      </c>
      <c r="F75" s="8" t="str">
        <f>IFERROR(__xludf.DUMMYFUNCTION("""COMPUTED_VALUE"""),"banho")</f>
        <v>banho</v>
      </c>
      <c r="G75" s="8" t="str">
        <f t="shared" si="3"/>
        <v>1.0</v>
      </c>
      <c r="H75" s="9">
        <f t="shared" si="4"/>
        <v>1</v>
      </c>
      <c r="I75" s="10">
        <f>IFERROR(__xludf.DUMMYFUNCTION("MAX(FILTER($H$2:$H1388,$E$2:$E1388=F75))"),1.0)</f>
        <v>1</v>
      </c>
    </row>
    <row r="76">
      <c r="A76" s="4"/>
      <c r="C76" s="4" t="s">
        <v>184</v>
      </c>
      <c r="D76" s="4" t="str">
        <f t="shared" si="1"/>
        <v>{"valorA":"e","valorB":1.0}</v>
      </c>
      <c r="E76" s="8" t="str">
        <f t="shared" si="2"/>
        <v>e</v>
      </c>
      <c r="F76" s="8" t="str">
        <f>IFERROR(__xludf.DUMMYFUNCTION("""COMPUTED_VALUE"""),"limpo")</f>
        <v>limpo</v>
      </c>
      <c r="G76" s="8" t="str">
        <f t="shared" si="3"/>
        <v>1.0</v>
      </c>
      <c r="H76" s="9">
        <f t="shared" si="4"/>
        <v>1</v>
      </c>
      <c r="I76" s="10">
        <f>IFERROR(__xludf.DUMMYFUNCTION("MAX(FILTER($H$2:$H1388,$E$2:$E1388=F76))"),1.0)</f>
        <v>1</v>
      </c>
    </row>
    <row r="77">
      <c r="A77" s="4"/>
      <c r="C77" s="4" t="s">
        <v>350</v>
      </c>
      <c r="D77" s="4" t="str">
        <f t="shared" si="1"/>
        <v>{"valorA":"de","valorB":7.0}</v>
      </c>
      <c r="E77" s="8" t="str">
        <f t="shared" si="2"/>
        <v>de</v>
      </c>
      <c r="F77" s="8" t="str">
        <f>IFERROR(__xludf.DUMMYFUNCTION("""COMPUTED_VALUE"""),"útil")</f>
        <v>útil</v>
      </c>
      <c r="G77" s="8" t="str">
        <f t="shared" si="3"/>
        <v>7.0</v>
      </c>
      <c r="H77" s="9">
        <f t="shared" si="4"/>
        <v>7</v>
      </c>
      <c r="I77" s="10">
        <f>IFERROR(__xludf.DUMMYFUNCTION("MAX(FILTER($H$2:$H1388,$E$2:$E1388=F77))"),2.0)</f>
        <v>2</v>
      </c>
    </row>
    <row r="78">
      <c r="A78" s="4"/>
      <c r="C78" s="4" t="s">
        <v>1007</v>
      </c>
      <c r="D78" s="4" t="str">
        <f t="shared" si="1"/>
        <v>{"valorA":"limpar","valorB":1.0}</v>
      </c>
      <c r="E78" s="8" t="str">
        <f t="shared" si="2"/>
        <v>limpar</v>
      </c>
      <c r="F78" s="8" t="str">
        <f>IFERROR(__xludf.DUMMYFUNCTION("""COMPUTED_VALUE"""),"raspador")</f>
        <v>raspador</v>
      </c>
      <c r="G78" s="8" t="str">
        <f t="shared" si="3"/>
        <v>1.0</v>
      </c>
      <c r="H78" s="9">
        <f t="shared" si="4"/>
        <v>1</v>
      </c>
      <c r="I78" s="10">
        <f>IFERROR(__xludf.DUMMYFUNCTION("MAX(FILTER($H$2:$H1388,$E$2:$E1388=F78))"),1.0)</f>
        <v>1</v>
      </c>
    </row>
    <row r="79">
      <c r="A79" s="4"/>
      <c r="C79" s="4" t="s">
        <v>1566</v>
      </c>
      <c r="D79" s="4" t="str">
        <f t="shared" si="1"/>
        <v>{"valorA":"lã","valorB":1.0}</v>
      </c>
      <c r="E79" s="8" t="str">
        <f t="shared" si="2"/>
        <v>lã</v>
      </c>
      <c r="F79" s="8" t="str">
        <f>IFERROR(__xludf.DUMMYFUNCTION("""COMPUTED_VALUE"""),"acho")</f>
        <v>acho</v>
      </c>
      <c r="G79" s="8" t="str">
        <f t="shared" si="3"/>
        <v>1.0</v>
      </c>
      <c r="H79" s="9">
        <f t="shared" si="4"/>
        <v>1</v>
      </c>
      <c r="I79" s="10">
        <f>IFERROR(__xludf.DUMMYFUNCTION("MAX(FILTER($H$2:$H1388,$E$2:$E1388=F79))"),2.0)</f>
        <v>2</v>
      </c>
    </row>
    <row r="80">
      <c r="A80" s="4"/>
      <c r="C80" s="4" t="s">
        <v>227</v>
      </c>
      <c r="D80" s="4" t="str">
        <f t="shared" si="1"/>
        <v>{"valorA":"ótimo","valorB":7.0}</v>
      </c>
      <c r="E80" s="8" t="str">
        <f t="shared" si="2"/>
        <v>ótimo</v>
      </c>
      <c r="F80" s="8" t="str">
        <f>IFERROR(__xludf.DUMMYFUNCTION("""COMPUTED_VALUE"""),"modelo")</f>
        <v>modelo</v>
      </c>
      <c r="G80" s="8" t="str">
        <f t="shared" si="3"/>
        <v>7.0</v>
      </c>
      <c r="H80" s="9">
        <f t="shared" si="4"/>
        <v>7</v>
      </c>
      <c r="I80" s="10">
        <f>IFERROR(__xludf.DUMMYFUNCTION("MAX(FILTER($H$2:$H1388,$E$2:$E1388=F80))"),3.0)</f>
        <v>3</v>
      </c>
    </row>
    <row r="81">
      <c r="A81" s="4"/>
      <c r="C81" s="4" t="s">
        <v>285</v>
      </c>
      <c r="D81" s="4" t="str">
        <f t="shared" si="1"/>
        <v>{"valorA":"fácil","valorB":1.0}</v>
      </c>
      <c r="E81" s="8" t="str">
        <f t="shared" si="2"/>
        <v>fácil</v>
      </c>
      <c r="F81" s="8" t="str">
        <f>IFERROR(__xludf.DUMMYFUNCTION("""COMPUTED_VALUE"""),"tv")</f>
        <v>tv</v>
      </c>
      <c r="G81" s="8" t="str">
        <f t="shared" si="3"/>
        <v>1.0</v>
      </c>
      <c r="H81" s="9">
        <f t="shared" si="4"/>
        <v>1</v>
      </c>
      <c r="I81" s="10">
        <f>IFERROR(__xludf.DUMMYFUNCTION("MAX(FILTER($H$2:$H1388,$E$2:$E1388=F81))"),1.0)</f>
        <v>1</v>
      </c>
    </row>
    <row r="82">
      <c r="A82" s="4"/>
      <c r="C82" s="4" t="s">
        <v>1567</v>
      </c>
      <c r="D82" s="4" t="str">
        <f t="shared" si="1"/>
        <v>{"valorA":"hoje","valorB":1.0}</v>
      </c>
      <c r="E82" s="8" t="str">
        <f t="shared" si="2"/>
        <v>hoje</v>
      </c>
      <c r="F82" s="8" t="str">
        <f>IFERROR(__xludf.DUMMYFUNCTION("""COMPUTED_VALUE"""),"celular")</f>
        <v>celular</v>
      </c>
      <c r="G82" s="8" t="str">
        <f t="shared" si="3"/>
        <v>1.0</v>
      </c>
      <c r="H82" s="9">
        <f t="shared" si="4"/>
        <v>1</v>
      </c>
      <c r="I82" s="10">
        <f>IFERROR(__xludf.DUMMYFUNCTION("MAX(FILTER($H$2:$H1388,$E$2:$E1388=F82))"),1.0)</f>
        <v>1</v>
      </c>
    </row>
    <row r="83">
      <c r="A83" s="4"/>
      <c r="C83" s="4" t="s">
        <v>644</v>
      </c>
      <c r="D83" s="4" t="str">
        <f t="shared" si="1"/>
        <v>{"valorA":"casa","valorB":1.0}</v>
      </c>
      <c r="E83" s="8" t="str">
        <f t="shared" si="2"/>
        <v>casa</v>
      </c>
      <c r="F83" s="8" t="str">
        <f>IFERROR(__xludf.DUMMYFUNCTION("""COMPUTED_VALUE"""),"fortemente")</f>
        <v>fortemente</v>
      </c>
      <c r="G83" s="8" t="str">
        <f t="shared" si="3"/>
        <v>1.0</v>
      </c>
      <c r="H83" s="9">
        <f t="shared" si="4"/>
        <v>1</v>
      </c>
      <c r="I83" s="10">
        <f>IFERROR(__xludf.DUMMYFUNCTION("MAX(FILTER($H$2:$H1388,$E$2:$E1388=F83))"),3.0)</f>
        <v>3</v>
      </c>
    </row>
    <row r="84">
      <c r="A84" s="4"/>
      <c r="C84" s="4" t="s">
        <v>323</v>
      </c>
      <c r="D84" s="4" t="str">
        <f t="shared" si="1"/>
        <v>{"valorA":"da","valorB":1.0}</v>
      </c>
      <c r="E84" s="8" t="str">
        <f t="shared" si="2"/>
        <v>da</v>
      </c>
      <c r="F84" s="8" t="str">
        <f>IFERROR(__xludf.DUMMYFUNCTION("""COMPUTED_VALUE"""),"leitor")</f>
        <v>leitor</v>
      </c>
      <c r="G84" s="8" t="str">
        <f t="shared" si="3"/>
        <v>1.0</v>
      </c>
      <c r="H84" s="9">
        <f t="shared" si="4"/>
        <v>1</v>
      </c>
      <c r="I84" s="10">
        <f>IFERROR(__xludf.DUMMYFUNCTION("MAX(FILTER($H$2:$H1388,$E$2:$E1388=F84))"),1.0)</f>
        <v>1</v>
      </c>
    </row>
    <row r="85">
      <c r="A85" s="4"/>
      <c r="C85" s="4" t="s">
        <v>265</v>
      </c>
      <c r="D85" s="4" t="str">
        <f t="shared" si="1"/>
        <v>{"valorA":"minha","valorB":1.0}</v>
      </c>
      <c r="E85" s="8" t="str">
        <f t="shared" si="2"/>
        <v>minha</v>
      </c>
      <c r="F85" s="8" t="str">
        <f>IFERROR(__xludf.DUMMYFUNCTION("""COMPUTED_VALUE"""),"comprar")</f>
        <v>comprar</v>
      </c>
      <c r="G85" s="8" t="str">
        <f t="shared" si="3"/>
        <v>1.0</v>
      </c>
      <c r="H85" s="9">
        <f t="shared" si="4"/>
        <v>1</v>
      </c>
      <c r="I85" s="10">
        <f>IFERROR(__xludf.DUMMYFUNCTION("MAX(FILTER($H$2:$H1388,$E$2:$E1388=F85))"),1.0)</f>
        <v>1</v>
      </c>
    </row>
    <row r="86">
      <c r="A86" s="4"/>
      <c r="C86" s="4" t="s">
        <v>325</v>
      </c>
      <c r="D86" s="4" t="str">
        <f t="shared" si="1"/>
        <v>{"valorA":"recomendo","valorB":3.0}</v>
      </c>
      <c r="E86" s="8" t="str">
        <f t="shared" si="2"/>
        <v>recomendo</v>
      </c>
      <c r="F86" s="8" t="str">
        <f>IFERROR(__xludf.DUMMYFUNCTION("""COMPUTED_VALUE"""),"roupa")</f>
        <v>roupa</v>
      </c>
      <c r="G86" s="8" t="str">
        <f t="shared" si="3"/>
        <v>3.0</v>
      </c>
      <c r="H86" s="9">
        <f t="shared" si="4"/>
        <v>3</v>
      </c>
      <c r="I86" s="10">
        <f>IFERROR(__xludf.DUMMYFUNCTION("MAX(FILTER($H$2:$H1388,$E$2:$E1388=F86))"),1.0)</f>
        <v>1</v>
      </c>
    </row>
    <row r="87">
      <c r="A87" s="4"/>
      <c r="C87" s="4" t="s">
        <v>613</v>
      </c>
      <c r="D87" s="4" t="str">
        <f t="shared" si="1"/>
        <v>{"valorA":"para","valorB":2.0}</v>
      </c>
      <c r="E87" s="8" t="str">
        <f t="shared" si="2"/>
        <v>para</v>
      </c>
      <c r="F87" s="8" t="str">
        <f>IFERROR(__xludf.DUMMYFUNCTION("""COMPUTED_VALUE"""),"máquina")</f>
        <v>máquina</v>
      </c>
      <c r="G87" s="8" t="str">
        <f t="shared" si="3"/>
        <v>2.0</v>
      </c>
      <c r="H87" s="9">
        <f t="shared" si="4"/>
        <v>2</v>
      </c>
      <c r="I87" s="10">
        <f>IFERROR(__xludf.DUMMYFUNCTION("MAX(FILTER($H$2:$H1388,$E$2:$E1388=F87))"),1.0)</f>
        <v>1</v>
      </c>
    </row>
    <row r="88">
      <c r="A88" s="4"/>
      <c r="C88" s="4" t="s">
        <v>1568</v>
      </c>
      <c r="D88" s="4" t="str">
        <f t="shared" si="1"/>
        <v>{"valorA":"computador","valorB":3.0}</v>
      </c>
      <c r="E88" s="8" t="str">
        <f t="shared" si="2"/>
        <v>computador</v>
      </c>
      <c r="F88" s="8" t="str">
        <f>IFERROR(__xludf.DUMMYFUNCTION("""COMPUTED_VALUE"""),"hidrátil")</f>
        <v>hidrátil</v>
      </c>
      <c r="G88" s="8" t="str">
        <f t="shared" si="3"/>
        <v>3.0</v>
      </c>
      <c r="H88" s="9">
        <f t="shared" si="4"/>
        <v>3</v>
      </c>
      <c r="I88" s="10">
        <f>IFERROR(__xludf.DUMMYFUNCTION("MAX(FILTER($H$2:$H1388,$E$2:$E1388=F88))"),1.0)</f>
        <v>1</v>
      </c>
    </row>
    <row r="89">
      <c r="A89" s="4"/>
      <c r="C89" s="4" t="s">
        <v>266</v>
      </c>
      <c r="D89" s="4" t="str">
        <f t="shared" si="1"/>
        <v>{"valorA":"barato","valorB":1.0}</v>
      </c>
      <c r="E89" s="8" t="str">
        <f t="shared" si="2"/>
        <v>barato</v>
      </c>
      <c r="F89" s="8" t="str">
        <f>IFERROR(__xludf.DUMMYFUNCTION("""COMPUTED_VALUE"""),"vale")</f>
        <v>vale</v>
      </c>
      <c r="G89" s="8" t="str">
        <f t="shared" si="3"/>
        <v>1.0</v>
      </c>
      <c r="H89" s="9">
        <f t="shared" si="4"/>
        <v>1</v>
      </c>
      <c r="I89" s="10">
        <f>IFERROR(__xludf.DUMMYFUNCTION("MAX(FILTER($H$2:$H1388,$E$2:$E1388=F89))"),1.0)</f>
        <v>1</v>
      </c>
    </row>
    <row r="90">
      <c r="A90" s="4"/>
      <c r="C90" s="4" t="s">
        <v>251</v>
      </c>
      <c r="D90" s="4" t="str">
        <f t="shared" si="1"/>
        <v>{"valorA":"vida","valorB":1.0}</v>
      </c>
      <c r="E90" s="8" t="str">
        <f t="shared" si="2"/>
        <v>vida</v>
      </c>
      <c r="F90" s="8" t="str">
        <f>IFERROR(__xludf.DUMMYFUNCTION("""COMPUTED_VALUE"""),"cabelo")</f>
        <v>cabelo</v>
      </c>
      <c r="G90" s="8" t="str">
        <f t="shared" si="3"/>
        <v>1.0</v>
      </c>
      <c r="H90" s="9">
        <f t="shared" si="4"/>
        <v>1</v>
      </c>
      <c r="I90" s="10">
        <f>IFERROR(__xludf.DUMMYFUNCTION("MAX(FILTER($H$2:$H1388,$E$2:$E1388=F90))"),5.0)</f>
        <v>5</v>
      </c>
    </row>
    <row r="91">
      <c r="A91" s="4"/>
      <c r="C91" s="4" t="s">
        <v>470</v>
      </c>
      <c r="D91" s="4" t="str">
        <f t="shared" si="1"/>
        <v>{"valorA":"comprei","valorB":2.0}</v>
      </c>
      <c r="E91" s="8" t="str">
        <f t="shared" si="2"/>
        <v>comprei</v>
      </c>
      <c r="F91" s="8" t="str">
        <f>IFERROR(__xludf.DUMMYFUNCTION("""COMPUTED_VALUE"""),"lavar")</f>
        <v>lavar</v>
      </c>
      <c r="G91" s="8" t="str">
        <f t="shared" si="3"/>
        <v>2.0</v>
      </c>
      <c r="H91" s="9">
        <f t="shared" si="4"/>
        <v>2</v>
      </c>
      <c r="I91" s="10">
        <f>IFERROR(__xludf.DUMMYFUNCTION("MAX(FILTER($H$2:$H1388,$E$2:$E1388=F91))"),1.0)</f>
        <v>1</v>
      </c>
    </row>
    <row r="92">
      <c r="A92" s="4"/>
      <c r="C92" s="4" t="s">
        <v>372</v>
      </c>
      <c r="D92" s="4" t="str">
        <f t="shared" si="1"/>
        <v>{"valorA":"o","valorB":4.0}</v>
      </c>
      <c r="E92" s="8" t="str">
        <f t="shared" si="2"/>
        <v>o</v>
      </c>
      <c r="F92" s="8" t="str">
        <f>IFERROR(__xludf.DUMMYFUNCTION("""COMPUTED_VALUE"""),"operacional")</f>
        <v>operacional</v>
      </c>
      <c r="G92" s="8" t="str">
        <f t="shared" si="3"/>
        <v>4.0</v>
      </c>
      <c r="H92" s="9">
        <f t="shared" si="4"/>
        <v>4</v>
      </c>
      <c r="I92" s="10">
        <f>IFERROR(__xludf.DUMMYFUNCTION("MAX(FILTER($H$2:$H1388,$E$2:$E1388=F92))"),1.0)</f>
        <v>1</v>
      </c>
    </row>
    <row r="93">
      <c r="A93" s="4"/>
      <c r="C93" s="4" t="s">
        <v>223</v>
      </c>
      <c r="D93" s="4" t="str">
        <f t="shared" si="1"/>
        <v>{"valorA":"e","valorB":2.0}</v>
      </c>
      <c r="E93" s="8" t="str">
        <f t="shared" si="2"/>
        <v>e</v>
      </c>
      <c r="F93" s="8" t="str">
        <f>IFERROR(__xludf.DUMMYFUNCTION("""COMPUTED_VALUE"""),"monitor")</f>
        <v>monitor</v>
      </c>
      <c r="G93" s="8" t="str">
        <f t="shared" si="3"/>
        <v>2.0</v>
      </c>
      <c r="H93" s="9">
        <f t="shared" si="4"/>
        <v>2</v>
      </c>
      <c r="I93" s="10">
        <f>IFERROR(__xludf.DUMMYFUNCTION("MAX(FILTER($H$2:$H1388,$E$2:$E1388=F93))"),2.0)</f>
        <v>2</v>
      </c>
    </row>
    <row r="94">
      <c r="A94" s="4"/>
      <c r="C94" s="4" t="s">
        <v>1083</v>
      </c>
      <c r="D94" s="4" t="str">
        <f t="shared" si="1"/>
        <v>{"valorA":"processador","valorB":1.0}</v>
      </c>
      <c r="E94" s="8" t="str">
        <f t="shared" si="2"/>
        <v>processador</v>
      </c>
      <c r="F94" s="8" t="str">
        <f>IFERROR(__xludf.DUMMYFUNCTION("""COMPUTED_VALUE"""),"trabalho")</f>
        <v>trabalho</v>
      </c>
      <c r="G94" s="8" t="str">
        <f t="shared" si="3"/>
        <v>1.0</v>
      </c>
      <c r="H94" s="9">
        <f t="shared" si="4"/>
        <v>1</v>
      </c>
      <c r="I94" s="10">
        <f>IFERROR(__xludf.DUMMYFUNCTION("MAX(FILTER($H$2:$H1388,$E$2:$E1388=F94))"),1.0)</f>
        <v>1</v>
      </c>
    </row>
    <row r="95">
      <c r="A95" s="4"/>
      <c r="C95" s="4" t="s">
        <v>1159</v>
      </c>
      <c r="D95" s="4" t="str">
        <f t="shared" si="1"/>
        <v>{"valorA":"já","valorB":1.0}</v>
      </c>
      <c r="E95" s="8" t="str">
        <f t="shared" si="2"/>
        <v>já</v>
      </c>
      <c r="F95" s="8" t="str">
        <f>IFERROR(__xludf.DUMMYFUNCTION("""COMPUTED_VALUE"""),"jogo")</f>
        <v>jogo</v>
      </c>
      <c r="G95" s="8" t="str">
        <f t="shared" si="3"/>
        <v>1.0</v>
      </c>
      <c r="H95" s="9">
        <f t="shared" si="4"/>
        <v>1</v>
      </c>
      <c r="I95" s="10">
        <f>IFERROR(__xludf.DUMMYFUNCTION("MAX(FILTER($H$2:$H1388,$E$2:$E1388=F95))"),1.0)</f>
        <v>1</v>
      </c>
    </row>
    <row r="96">
      <c r="A96" s="4"/>
      <c r="C96" s="4" t="s">
        <v>333</v>
      </c>
      <c r="D96" s="4" t="str">
        <f t="shared" si="1"/>
        <v>{"valorA":"que","valorB":2.0}</v>
      </c>
      <c r="E96" s="8" t="str">
        <f t="shared" si="2"/>
        <v>que</v>
      </c>
      <c r="F96" s="8" t="str">
        <f>IFERROR(__xludf.DUMMYFUNCTION("""COMPUTED_VALUE"""),"coment")</f>
        <v>coment</v>
      </c>
      <c r="G96" s="8" t="str">
        <f t="shared" si="3"/>
        <v>2.0</v>
      </c>
      <c r="H96" s="9">
        <f t="shared" si="4"/>
        <v>2</v>
      </c>
      <c r="I96" s="10">
        <f>IFERROR(__xludf.DUMMYFUNCTION("MAX(FILTER($H$2:$H1388,$E$2:$E1388=F96))"),1.0)</f>
        <v>1</v>
      </c>
    </row>
    <row r="97">
      <c r="A97" s="4"/>
      <c r="C97" s="4" t="s">
        <v>242</v>
      </c>
      <c r="D97" s="4" t="str">
        <f t="shared" si="1"/>
        <v>{"valorA":"ótimo","valorB":9.0}</v>
      </c>
      <c r="E97" s="8" t="str">
        <f t="shared" si="2"/>
        <v>ótimo</v>
      </c>
      <c r="F97" s="8" t="str">
        <f>IFERROR(__xludf.DUMMYFUNCTION("""COMPUTED_VALUE"""),"nesse")</f>
        <v>nesse</v>
      </c>
      <c r="G97" s="8" t="str">
        <f t="shared" si="3"/>
        <v>9.0</v>
      </c>
      <c r="H97" s="9">
        <f t="shared" si="4"/>
        <v>9</v>
      </c>
      <c r="I97" s="10">
        <f>IFERROR(__xludf.DUMMYFUNCTION("MAX(FILTER($H$2:$H1388,$E$2:$E1388=F97))"),1.0)</f>
        <v>1</v>
      </c>
    </row>
    <row r="98">
      <c r="A98" s="4"/>
      <c r="C98" s="4" t="s">
        <v>192</v>
      </c>
      <c r="D98" s="4" t="str">
        <f t="shared" si="1"/>
        <v>{"valorA":"esse","valorB":1.0}</v>
      </c>
      <c r="E98" s="8" t="str">
        <f t="shared" si="2"/>
        <v>esse</v>
      </c>
      <c r="F98" s="8" t="str">
        <f>IFERROR(__xludf.DUMMYFUNCTION("""COMPUTED_VALUE"""),"qualquer")</f>
        <v>qualquer</v>
      </c>
      <c r="G98" s="8" t="str">
        <f t="shared" si="3"/>
        <v>1.0</v>
      </c>
      <c r="H98" s="9">
        <f t="shared" si="4"/>
        <v>1</v>
      </c>
      <c r="I98" s="10">
        <f>IFERROR(__xludf.DUMMYFUNCTION("MAX(FILTER($H$2:$H1388,$E$2:$E1388=F98))"),1.0)</f>
        <v>1</v>
      </c>
    </row>
    <row r="99">
      <c r="A99" s="4"/>
      <c r="C99" s="4" t="s">
        <v>1569</v>
      </c>
      <c r="D99" s="4" t="str">
        <f t="shared" si="1"/>
        <v>{"valorA":"melhor","valorB":1.0}</v>
      </c>
      <c r="E99" s="8" t="str">
        <f t="shared" si="2"/>
        <v>melhor</v>
      </c>
      <c r="F99" s="8" t="str">
        <f>IFERROR(__xludf.DUMMYFUNCTION("""COMPUTED_VALUE"""),"tive")</f>
        <v>tive</v>
      </c>
      <c r="G99" s="8" t="str">
        <f t="shared" si="3"/>
        <v>1.0</v>
      </c>
      <c r="H99" s="9">
        <f t="shared" si="4"/>
        <v>1</v>
      </c>
      <c r="I99" s="10">
        <f>IFERROR(__xludf.DUMMYFUNCTION("MAX(FILTER($H$2:$H1388,$E$2:$E1388=F99))"),1.0)</f>
        <v>1</v>
      </c>
    </row>
    <row r="100">
      <c r="A100" s="4"/>
      <c r="C100" s="4" t="s">
        <v>1440</v>
      </c>
      <c r="D100" s="4" t="str">
        <f t="shared" si="1"/>
        <v>{"valorA":"na","valorB":1.0}</v>
      </c>
      <c r="E100" s="8" t="str">
        <f t="shared" si="2"/>
        <v>na</v>
      </c>
      <c r="F100" s="8" t="str">
        <f>IFERROR(__xludf.DUMMYFUNCTION("""COMPUTED_VALUE"""),"coisa")</f>
        <v>coisa</v>
      </c>
      <c r="G100" s="8" t="str">
        <f t="shared" si="3"/>
        <v>1.0</v>
      </c>
      <c r="H100" s="9">
        <f t="shared" si="4"/>
        <v>1</v>
      </c>
      <c r="I100" s="10">
        <f>IFERROR(__xludf.DUMMYFUNCTION("MAX(FILTER($H$2:$H1388,$E$2:$E1388=F100))"),1.0)</f>
        <v>1</v>
      </c>
    </row>
    <row r="101">
      <c r="A101" s="4"/>
      <c r="C101" s="4" t="s">
        <v>218</v>
      </c>
      <c r="D101" s="4" t="str">
        <f t="shared" si="1"/>
        <v>{"valorA":"para","valorB":3.0}</v>
      </c>
      <c r="E101" s="8" t="str">
        <f t="shared" si="2"/>
        <v>para</v>
      </c>
      <c r="F101" s="8" t="str">
        <f>IFERROR(__xludf.DUMMYFUNCTION("""COMPUTED_VALUE"""),"foi")</f>
        <v>foi</v>
      </c>
      <c r="G101" s="8" t="str">
        <f t="shared" si="3"/>
        <v>3.0</v>
      </c>
      <c r="H101" s="9">
        <f t="shared" si="4"/>
        <v>3</v>
      </c>
      <c r="I101" s="10">
        <f>IFERROR(__xludf.DUMMYFUNCTION("MAX(FILTER($H$2:$H1388,$E$2:$E1388=F101))"),3.0)</f>
        <v>3</v>
      </c>
    </row>
    <row r="102">
      <c r="A102" s="4"/>
      <c r="C102" s="4" t="s">
        <v>1570</v>
      </c>
      <c r="D102" s="4" t="str">
        <f t="shared" si="1"/>
        <v>{"valorA":"cebola","valorB":1.0}</v>
      </c>
      <c r="E102" s="8" t="str">
        <f t="shared" si="2"/>
        <v>cebola</v>
      </c>
      <c r="F102" s="8" t="str">
        <f>IFERROR(__xludf.DUMMYFUNCTION("""COMPUTED_VALUE"""),"eu")</f>
        <v>eu</v>
      </c>
      <c r="G102" s="8" t="str">
        <f t="shared" si="3"/>
        <v>1.0</v>
      </c>
      <c r="H102" s="9">
        <f t="shared" si="4"/>
        <v>1</v>
      </c>
      <c r="I102" s="10">
        <f>IFERROR(__xludf.DUMMYFUNCTION("MAX(FILTER($H$2:$H1388,$E$2:$E1388=F102))"),1.0)</f>
        <v>1</v>
      </c>
    </row>
    <row r="103">
      <c r="A103" s="4"/>
      <c r="C103" s="4" t="s">
        <v>1037</v>
      </c>
      <c r="D103" s="4" t="str">
        <f t="shared" si="1"/>
        <v>{"valorA":"ótima","valorB":4.0}</v>
      </c>
      <c r="E103" s="8" t="str">
        <f t="shared" si="2"/>
        <v>ótima</v>
      </c>
      <c r="F103" s="8" t="str">
        <f>IFERROR(__xludf.DUMMYFUNCTION("""COMPUTED_VALUE"""),"jantar")</f>
        <v>jantar</v>
      </c>
      <c r="G103" s="8" t="str">
        <f t="shared" si="3"/>
        <v>4.0</v>
      </c>
      <c r="H103" s="9">
        <f t="shared" si="4"/>
        <v>4</v>
      </c>
      <c r="I103" s="10">
        <f>IFERROR(__xludf.DUMMYFUNCTION("MAX(FILTER($H$2:$H1388,$E$2:$E1388=F103))"),1.0)</f>
        <v>1</v>
      </c>
    </row>
    <row r="104">
      <c r="A104" s="4"/>
      <c r="C104" s="4" t="s">
        <v>1571</v>
      </c>
      <c r="D104" s="4" t="str">
        <f t="shared" si="1"/>
        <v>{"valorA":"toalha","valorB":2.0}</v>
      </c>
      <c r="E104" s="8" t="str">
        <f t="shared" si="2"/>
        <v>toalha</v>
      </c>
      <c r="F104" s="8" t="str">
        <f>IFERROR(__xludf.DUMMYFUNCTION("""COMPUTED_VALUE"""),"jogar")</f>
        <v>jogar</v>
      </c>
      <c r="G104" s="8" t="str">
        <f t="shared" si="3"/>
        <v>2.0</v>
      </c>
      <c r="H104" s="9">
        <f t="shared" si="4"/>
        <v>2</v>
      </c>
      <c r="I104" s="10">
        <f>IFERROR(__xludf.DUMMYFUNCTION("MAX(FILTER($H$2:$H1388,$E$2:$E1388=F104))"),1.0)</f>
        <v>1</v>
      </c>
    </row>
    <row r="105">
      <c r="A105" s="4"/>
      <c r="C105" s="4" t="s">
        <v>640</v>
      </c>
      <c r="D105" s="4" t="str">
        <f t="shared" si="1"/>
        <v>{"valorA":"usar","valorB":1.0}</v>
      </c>
      <c r="E105" s="8" t="str">
        <f t="shared" si="2"/>
        <v>usar</v>
      </c>
      <c r="F105" s="8" t="str">
        <f>IFERROR(__xludf.DUMMYFUNCTION("""COMPUTED_VALUE"""),"também")</f>
        <v>também</v>
      </c>
      <c r="G105" s="8" t="str">
        <f t="shared" si="3"/>
        <v>1.0</v>
      </c>
      <c r="H105" s="9">
        <f t="shared" si="4"/>
        <v>1</v>
      </c>
      <c r="I105" s="10">
        <f>IFERROR(__xludf.DUMMYFUNCTION("MAX(FILTER($H$2:$H1388,$E$2:$E1388=F105))"),1.0)</f>
        <v>1</v>
      </c>
    </row>
    <row r="106">
      <c r="A106" s="4"/>
      <c r="C106" s="4" t="s">
        <v>270</v>
      </c>
      <c r="D106" s="4" t="str">
        <f t="shared" si="1"/>
        <v>{"valorA":"e","valorB":3.0}</v>
      </c>
      <c r="E106" s="8" t="str">
        <f t="shared" si="2"/>
        <v>e</v>
      </c>
      <c r="F106" s="8" t="str">
        <f>IFERROR(__xludf.DUMMYFUNCTION("""COMPUTED_VALUE"""),"consigo")</f>
        <v>consigo</v>
      </c>
      <c r="G106" s="8" t="str">
        <f t="shared" si="3"/>
        <v>3.0</v>
      </c>
      <c r="H106" s="9">
        <f t="shared" si="4"/>
        <v>3</v>
      </c>
      <c r="I106" s="10">
        <f>IFERROR(__xludf.DUMMYFUNCTION("MAX(FILTER($H$2:$H1388,$E$2:$E1388=F106))"),1.0)</f>
        <v>1</v>
      </c>
    </row>
    <row r="107">
      <c r="A107" s="4"/>
      <c r="C107" s="4" t="s">
        <v>1572</v>
      </c>
      <c r="D107" s="4" t="str">
        <f t="shared" si="1"/>
        <v>{"valorA":"banho","valorB":1.0}</v>
      </c>
      <c r="E107" s="8" t="str">
        <f t="shared" si="2"/>
        <v>banho</v>
      </c>
      <c r="F107" s="8" t="str">
        <f>IFERROR(__xludf.DUMMYFUNCTION("""COMPUTED_VALUE"""),"problemas")</f>
        <v>problemas</v>
      </c>
      <c r="G107" s="8" t="str">
        <f t="shared" si="3"/>
        <v>1.0</v>
      </c>
      <c r="H107" s="9">
        <f t="shared" si="4"/>
        <v>1</v>
      </c>
      <c r="I107" s="10">
        <f>IFERROR(__xludf.DUMMYFUNCTION("MAX(FILTER($H$2:$H1388,$E$2:$E1388=F107))"),3.0)</f>
        <v>3</v>
      </c>
    </row>
    <row r="108">
      <c r="A108" s="4"/>
      <c r="C108" s="4" t="s">
        <v>410</v>
      </c>
      <c r="D108" s="4" t="str">
        <f t="shared" si="1"/>
        <v>{"valorA":"de","valorB":9.0}</v>
      </c>
      <c r="E108" s="8" t="str">
        <f t="shared" si="2"/>
        <v>de</v>
      </c>
      <c r="F108" s="8" t="str">
        <f>IFERROR(__xludf.DUMMYFUNCTION("""COMPUTED_VALUE"""),"limpavas")</f>
        <v>limpavas</v>
      </c>
      <c r="G108" s="8" t="str">
        <f t="shared" si="3"/>
        <v>9.0</v>
      </c>
      <c r="H108" s="9">
        <f t="shared" si="4"/>
        <v>9</v>
      </c>
      <c r="I108" s="10">
        <f>IFERROR(__xludf.DUMMYFUNCTION("MAX(FILTER($H$2:$H1388,$E$2:$E1388=F108))"),1.0)</f>
        <v>1</v>
      </c>
    </row>
    <row r="109">
      <c r="A109" s="4"/>
      <c r="C109" s="4" t="s">
        <v>1017</v>
      </c>
      <c r="D109" s="4" t="str">
        <f t="shared" si="1"/>
        <v>{"valorA":"limpo","valorB":1.0}</v>
      </c>
      <c r="E109" s="8" t="str">
        <f t="shared" si="2"/>
        <v>limpo</v>
      </c>
      <c r="F109" s="8" t="str">
        <f>IFERROR(__xludf.DUMMYFUNCTION("""COMPUTED_VALUE"""),"bom")</f>
        <v>bom</v>
      </c>
      <c r="G109" s="8" t="str">
        <f t="shared" si="3"/>
        <v>1.0</v>
      </c>
      <c r="H109" s="9">
        <f t="shared" si="4"/>
        <v>1</v>
      </c>
      <c r="I109" s="10">
        <f>IFERROR(__xludf.DUMMYFUNCTION("MAX(FILTER($H$2:$H1388,$E$2:$E1388=F109))"),2.0)</f>
        <v>2</v>
      </c>
    </row>
    <row r="110">
      <c r="A110" s="4"/>
      <c r="C110" s="4" t="s">
        <v>1573</v>
      </c>
      <c r="D110" s="4" t="str">
        <f t="shared" si="1"/>
        <v>{"valorA":"útil","valorB":1.0}</v>
      </c>
      <c r="E110" s="8" t="str">
        <f t="shared" si="2"/>
        <v>útil</v>
      </c>
      <c r="F110" s="8" t="str">
        <f>IFERROR(__xludf.DUMMYFUNCTION("""COMPUTED_VALUE"""),"achei")</f>
        <v>achei</v>
      </c>
      <c r="G110" s="8" t="str">
        <f t="shared" si="3"/>
        <v>1.0</v>
      </c>
      <c r="H110" s="9">
        <f t="shared" si="4"/>
        <v>1</v>
      </c>
      <c r="I110" s="10">
        <f>IFERROR(__xludf.DUMMYFUNCTION("MAX(FILTER($H$2:$H1388,$E$2:$E1388=F110))"),1.0)</f>
        <v>1</v>
      </c>
    </row>
    <row r="111">
      <c r="A111" s="4"/>
      <c r="C111" s="4" t="s">
        <v>1574</v>
      </c>
      <c r="D111" s="4" t="str">
        <f t="shared" si="1"/>
        <v>{"valorA":"raspador","valorB":1.0}</v>
      </c>
      <c r="E111" s="8" t="str">
        <f t="shared" si="2"/>
        <v>raspador</v>
      </c>
      <c r="F111" s="8" t="str">
        <f>IFERROR(__xludf.DUMMYFUNCTION("""COMPUTED_VALUE"""),"desse")</f>
        <v>desse</v>
      </c>
      <c r="G111" s="8" t="str">
        <f t="shared" si="3"/>
        <v>1.0</v>
      </c>
      <c r="H111" s="9">
        <f t="shared" si="4"/>
        <v>1</v>
      </c>
      <c r="I111" s="10">
        <f>IFERROR(__xludf.DUMMYFUNCTION("MAX(FILTER($H$2:$H1388,$E$2:$E1388=F111))"),1.0)</f>
        <v>1</v>
      </c>
    </row>
    <row r="112">
      <c r="A112" s="4"/>
      <c r="C112" s="4" t="s">
        <v>612</v>
      </c>
      <c r="D112" s="4" t="str">
        <f t="shared" si="1"/>
        <v>{"valorA":"ótimo","valorB":10.0}</v>
      </c>
      <c r="E112" s="8" t="str">
        <f t="shared" si="2"/>
        <v>ótimo</v>
      </c>
      <c r="F112" s="8" t="str">
        <f>IFERROR(__xludf.DUMMYFUNCTION("""COMPUTED_VALUE"""),"rapidez")</f>
        <v>rapidez</v>
      </c>
      <c r="G112" s="8" t="str">
        <f t="shared" si="3"/>
        <v>10.0</v>
      </c>
      <c r="H112" s="9">
        <f t="shared" si="4"/>
        <v>10</v>
      </c>
      <c r="I112" s="10">
        <f>IFERROR(__xludf.DUMMYFUNCTION("MAX(FILTER($H$2:$H1388,$E$2:$E1388=F112))"),1.0)</f>
        <v>1</v>
      </c>
    </row>
    <row r="113">
      <c r="A113" s="4"/>
      <c r="C113" s="4" t="s">
        <v>396</v>
      </c>
      <c r="D113" s="4" t="str">
        <f t="shared" si="1"/>
        <v>{"valorA":"fácil","valorB":2.0}</v>
      </c>
      <c r="E113" s="8" t="str">
        <f t="shared" si="2"/>
        <v>fácil</v>
      </c>
      <c r="F113" s="8" t="str">
        <f>IFERROR(__xludf.DUMMYFUNCTION("""COMPUTED_VALUE"""),"comida")</f>
        <v>comida</v>
      </c>
      <c r="G113" s="8" t="str">
        <f t="shared" si="3"/>
        <v>2.0</v>
      </c>
      <c r="H113" s="9">
        <f t="shared" si="4"/>
        <v>2</v>
      </c>
      <c r="I113" s="10">
        <f>IFERROR(__xludf.DUMMYFUNCTION("MAX(FILTER($H$2:$H1388,$E$2:$E1388=F113))"),1.0)</f>
        <v>1</v>
      </c>
    </row>
    <row r="114">
      <c r="A114" s="4"/>
      <c r="C114" s="4" t="s">
        <v>262</v>
      </c>
      <c r="D114" s="4" t="str">
        <f t="shared" si="1"/>
        <v>{"valorA":"muito","valorB":5.0}</v>
      </c>
      <c r="E114" s="8" t="str">
        <f t="shared" si="2"/>
        <v>muito</v>
      </c>
      <c r="F114" s="8" t="str">
        <f>IFERROR(__xludf.DUMMYFUNCTION("""COMPUTED_VALUE"""),"gostei")</f>
        <v>gostei</v>
      </c>
      <c r="G114" s="8" t="str">
        <f t="shared" si="3"/>
        <v>5.0</v>
      </c>
      <c r="H114" s="9">
        <f t="shared" si="4"/>
        <v>5</v>
      </c>
      <c r="I114" s="10">
        <f>IFERROR(__xludf.DUMMYFUNCTION("MAX(FILTER($H$2:$H1388,$E$2:$E1388=F114))"),1.0)</f>
        <v>1</v>
      </c>
    </row>
    <row r="115">
      <c r="A115" s="4"/>
      <c r="C115" s="4" t="s">
        <v>1015</v>
      </c>
      <c r="D115" s="4" t="str">
        <f t="shared" si="1"/>
        <v>{"valorA":"acho","valorB":1.0}</v>
      </c>
      <c r="E115" s="8" t="str">
        <f t="shared" si="2"/>
        <v>acho</v>
      </c>
      <c r="F115" s="8" t="str">
        <f>IFERROR(__xludf.DUMMYFUNCTION("""COMPUTED_VALUE"""),"chão")</f>
        <v>chão</v>
      </c>
      <c r="G115" s="8" t="str">
        <f t="shared" si="3"/>
        <v>1.0</v>
      </c>
      <c r="H115" s="9">
        <f t="shared" si="4"/>
        <v>1</v>
      </c>
      <c r="I115" s="10">
        <f>IFERROR(__xludf.DUMMYFUNCTION("MAX(FILTER($H$2:$H1388,$E$2:$E1388=F115))"),1.0)</f>
        <v>1</v>
      </c>
    </row>
    <row r="116">
      <c r="A116" s="4"/>
      <c r="C116" s="4" t="s">
        <v>234</v>
      </c>
      <c r="D116" s="4" t="str">
        <f t="shared" si="1"/>
        <v>{"valorA":"para","valorB":4.0}</v>
      </c>
      <c r="E116" s="8" t="str">
        <f t="shared" si="2"/>
        <v>para</v>
      </c>
      <c r="F116" s="8" t="str">
        <f>IFERROR(__xludf.DUMMYFUNCTION("""COMPUTED_VALUE"""),"perfeitamente")</f>
        <v>perfeitamente</v>
      </c>
      <c r="G116" s="8" t="str">
        <f t="shared" si="3"/>
        <v>4.0</v>
      </c>
      <c r="H116" s="9">
        <f t="shared" si="4"/>
        <v>4</v>
      </c>
      <c r="I116" s="10">
        <f>IFERROR(__xludf.DUMMYFUNCTION("MAX(FILTER($H$2:$H1388,$E$2:$E1388=F116))"),3.0)</f>
        <v>3</v>
      </c>
    </row>
    <row r="117">
      <c r="A117" s="4"/>
      <c r="C117" s="4" t="s">
        <v>345</v>
      </c>
      <c r="D117" s="4" t="str">
        <f t="shared" si="1"/>
        <v>{"valorA":"recomendo","valorB":4.0}</v>
      </c>
      <c r="E117" s="8" t="str">
        <f t="shared" si="2"/>
        <v>recomendo</v>
      </c>
      <c r="F117" s="8" t="str">
        <f>IFERROR(__xludf.DUMMYFUNCTION("""COMPUTED_VALUE"""),"tudo")</f>
        <v>tudo</v>
      </c>
      <c r="G117" s="8" t="str">
        <f t="shared" si="3"/>
        <v>4.0</v>
      </c>
      <c r="H117" s="9">
        <f t="shared" si="4"/>
        <v>4</v>
      </c>
      <c r="I117" s="10">
        <f>IFERROR(__xludf.DUMMYFUNCTION("MAX(FILTER($H$2:$H1388,$E$2:$E1388=F117))"),1.0)</f>
        <v>1</v>
      </c>
    </row>
    <row r="118">
      <c r="A118" s="4"/>
      <c r="C118" s="4" t="s">
        <v>1091</v>
      </c>
      <c r="D118" s="4" t="str">
        <f t="shared" si="1"/>
        <v>{"valorA":"modelo","valorB":1.0}</v>
      </c>
      <c r="E118" s="8" t="str">
        <f t="shared" si="2"/>
        <v>modelo</v>
      </c>
      <c r="F118" s="8" t="str">
        <f>IFERROR(__xludf.DUMMYFUNCTION("""COMPUTED_VALUE"""),"geladeira")</f>
        <v>geladeira</v>
      </c>
      <c r="G118" s="8" t="str">
        <f t="shared" si="3"/>
        <v>1.0</v>
      </c>
      <c r="H118" s="9">
        <f t="shared" si="4"/>
        <v>1</v>
      </c>
      <c r="I118" s="10">
        <f>IFERROR(__xludf.DUMMYFUNCTION("MAX(FILTER($H$2:$H1388,$E$2:$E1388=F118))"),2.0)</f>
        <v>2</v>
      </c>
    </row>
    <row r="119">
      <c r="A119" s="4"/>
      <c r="C119" s="4" t="s">
        <v>607</v>
      </c>
      <c r="D119" s="4" t="str">
        <f t="shared" si="1"/>
        <v>{"valorA":"tv","valorB":1.0}</v>
      </c>
      <c r="E119" s="8" t="str">
        <f t="shared" si="2"/>
        <v>tv</v>
      </c>
      <c r="F119" s="8" t="str">
        <f>IFERROR(__xludf.DUMMYFUNCTION("""COMPUTED_VALUE"""),"primeiro")</f>
        <v>primeiro</v>
      </c>
      <c r="G119" s="8" t="str">
        <f t="shared" si="3"/>
        <v>1.0</v>
      </c>
      <c r="H119" s="9">
        <f t="shared" si="4"/>
        <v>1</v>
      </c>
      <c r="I119" s="10">
        <f>IFERROR(__xludf.DUMMYFUNCTION("MAX(FILTER($H$2:$H1388,$E$2:$E1388=F119))"),2.0)</f>
        <v>2</v>
      </c>
    </row>
    <row r="120">
      <c r="A120" s="4"/>
      <c r="C120" s="4" t="s">
        <v>182</v>
      </c>
      <c r="D120" s="4" t="str">
        <f t="shared" si="1"/>
        <v>{"valorA":"usar","valorB":2.0}</v>
      </c>
      <c r="E120" s="8" t="str">
        <f t="shared" si="2"/>
        <v>usar</v>
      </c>
      <c r="F120" s="8" t="str">
        <f>IFERROR(__xludf.DUMMYFUNCTION("""COMPUTED_VALUE"""),"aparelho")</f>
        <v>aparelho</v>
      </c>
      <c r="G120" s="8" t="str">
        <f t="shared" si="3"/>
        <v>2.0</v>
      </c>
      <c r="H120" s="9">
        <f t="shared" si="4"/>
        <v>2</v>
      </c>
      <c r="I120" s="10">
        <f>IFERROR(__xludf.DUMMYFUNCTION("MAX(FILTER($H$2:$H1388,$E$2:$E1388=F120))"),4.0)</f>
        <v>4</v>
      </c>
    </row>
    <row r="121">
      <c r="A121" s="4"/>
      <c r="C121" s="4" t="s">
        <v>985</v>
      </c>
      <c r="D121" s="4" t="str">
        <f t="shared" si="1"/>
        <v>{"valorA":"celular","valorB":1.0}</v>
      </c>
      <c r="E121" s="8" t="str">
        <f t="shared" si="2"/>
        <v>celular</v>
      </c>
      <c r="F121" s="8" t="str">
        <f>IFERROR(__xludf.DUMMYFUNCTION("""COMPUTED_VALUE"""),"desde")</f>
        <v>desde</v>
      </c>
      <c r="G121" s="8" t="str">
        <f t="shared" si="3"/>
        <v>1.0</v>
      </c>
      <c r="H121" s="9">
        <f t="shared" si="4"/>
        <v>1</v>
      </c>
      <c r="I121" s="10">
        <f>IFERROR(__xludf.DUMMYFUNCTION("MAX(FILTER($H$2:$H1388,$E$2:$E1388=F121))"),2.0)</f>
        <v>2</v>
      </c>
    </row>
    <row r="122">
      <c r="A122" s="4"/>
      <c r="C122" s="4" t="s">
        <v>441</v>
      </c>
      <c r="D122" s="4" t="str">
        <f t="shared" si="1"/>
        <v>{"valorA":"de","valorB":11.0}</v>
      </c>
      <c r="E122" s="8" t="str">
        <f t="shared" si="2"/>
        <v>de</v>
      </c>
      <c r="F122" s="8" t="str">
        <f>IFERROR(__xludf.DUMMYFUNCTION("""COMPUTED_VALUE"""),"momento")</f>
        <v>momento</v>
      </c>
      <c r="G122" s="8" t="str">
        <f t="shared" si="3"/>
        <v>11.0</v>
      </c>
      <c r="H122" s="9">
        <f t="shared" si="4"/>
        <v>11</v>
      </c>
      <c r="I122" s="10">
        <f>IFERROR(__xludf.DUMMYFUNCTION("MAX(FILTER($H$2:$H1388,$E$2:$E1388=F122))"),1.0)</f>
        <v>1</v>
      </c>
    </row>
    <row r="123">
      <c r="A123" s="4"/>
      <c r="C123" s="4" t="s">
        <v>1575</v>
      </c>
      <c r="D123" s="4" t="str">
        <f t="shared" si="1"/>
        <v>{"valorA":"fortemente","valorB":1.0}</v>
      </c>
      <c r="E123" s="8" t="str">
        <f t="shared" si="2"/>
        <v>fortemente</v>
      </c>
      <c r="F123" s="8" t="str">
        <f>IFERROR(__xludf.DUMMYFUNCTION("""COMPUTED_VALUE"""),"impressora")</f>
        <v>impressora</v>
      </c>
      <c r="G123" s="8" t="str">
        <f t="shared" si="3"/>
        <v>1.0</v>
      </c>
      <c r="H123" s="9">
        <f t="shared" si="4"/>
        <v>1</v>
      </c>
      <c r="I123" s="10">
        <f>IFERROR(__xludf.DUMMYFUNCTION("MAX(FILTER($H$2:$H1388,$E$2:$E1388=F123))"),2.0)</f>
        <v>2</v>
      </c>
    </row>
    <row r="124">
      <c r="A124" s="4"/>
      <c r="C124" s="4" t="s">
        <v>833</v>
      </c>
      <c r="D124" s="4" t="str">
        <f t="shared" si="1"/>
        <v>{"valorA":"leitor","valorB":1.0}</v>
      </c>
      <c r="E124" s="8" t="str">
        <f t="shared" si="2"/>
        <v>leitor</v>
      </c>
      <c r="F124" s="8" t="str">
        <f>IFERROR(__xludf.DUMMYFUNCTION("""COMPUTED_VALUE"""),"dia")</f>
        <v>dia</v>
      </c>
      <c r="G124" s="8" t="str">
        <f t="shared" si="3"/>
        <v>1.0</v>
      </c>
      <c r="H124" s="9">
        <f t="shared" si="4"/>
        <v>1</v>
      </c>
      <c r="I124" s="10">
        <f>IFERROR(__xludf.DUMMYFUNCTION("MAX(FILTER($H$2:$H1388,$E$2:$E1388=F124))"),1.0)</f>
        <v>1</v>
      </c>
    </row>
    <row r="125">
      <c r="A125" s="4"/>
      <c r="C125" s="4" t="s">
        <v>259</v>
      </c>
      <c r="D125" s="4" t="str">
        <f t="shared" si="1"/>
        <v>{"valorA":"ótimo","valorB":12.0}</v>
      </c>
      <c r="E125" s="8" t="str">
        <f t="shared" si="2"/>
        <v>ótimo</v>
      </c>
      <c r="F125" s="8" t="str">
        <f>IFERROR(__xludf.DUMMYFUNCTION("""COMPUTED_VALUE"""),"respiratórios")</f>
        <v>respiratórios</v>
      </c>
      <c r="G125" s="8" t="str">
        <f t="shared" si="3"/>
        <v>12.0</v>
      </c>
      <c r="H125" s="9">
        <f t="shared" si="4"/>
        <v>12</v>
      </c>
      <c r="I125" s="10">
        <f>IFERROR(__xludf.DUMMYFUNCTION("MAX(FILTER($H$2:$H1388,$E$2:$E1388=F125))"),1.0)</f>
        <v>1</v>
      </c>
    </row>
    <row r="126">
      <c r="A126" s="4"/>
      <c r="C126" s="4" t="s">
        <v>431</v>
      </c>
      <c r="D126" s="4" t="str">
        <f t="shared" si="1"/>
        <v>{"valorA":"fácil","valorB":3.0}</v>
      </c>
      <c r="E126" s="8" t="str">
        <f t="shared" si="2"/>
        <v>fácil</v>
      </c>
      <c r="F126" s="8" t="str">
        <f>IFERROR(__xludf.DUMMYFUNCTION("""COMPUTED_VALUE"""),"brilhante")</f>
        <v>brilhante</v>
      </c>
      <c r="G126" s="8" t="str">
        <f t="shared" si="3"/>
        <v>3.0</v>
      </c>
      <c r="H126" s="9">
        <f t="shared" si="4"/>
        <v>3</v>
      </c>
      <c r="I126" s="10">
        <f>IFERROR(__xludf.DUMMYFUNCTION("MAX(FILTER($H$2:$H1388,$E$2:$E1388=F126))"),1.0)</f>
        <v>1</v>
      </c>
    </row>
    <row r="127">
      <c r="A127" s="4"/>
      <c r="C127" s="4" t="s">
        <v>672</v>
      </c>
      <c r="D127" s="4" t="str">
        <f t="shared" si="1"/>
        <v>{"valorA":"comprar","valorB":1.0}</v>
      </c>
      <c r="E127" s="8" t="str">
        <f t="shared" si="2"/>
        <v>comprar</v>
      </c>
      <c r="F127" s="8" t="str">
        <f>IFERROR(__xludf.DUMMYFUNCTION("""COMPUTED_VALUE"""),"aqueles")</f>
        <v>aqueles</v>
      </c>
      <c r="G127" s="8" t="str">
        <f t="shared" si="3"/>
        <v>1.0</v>
      </c>
      <c r="H127" s="9">
        <f t="shared" si="4"/>
        <v>1</v>
      </c>
      <c r="I127" s="10">
        <f>IFERROR(__xludf.DUMMYFUNCTION("MAX(FILTER($H$2:$H1388,$E$2:$E1388=F127))"),2.0)</f>
        <v>2</v>
      </c>
    </row>
    <row r="128">
      <c r="A128" s="4"/>
      <c r="C128" s="4" t="s">
        <v>1011</v>
      </c>
      <c r="D128" s="4" t="str">
        <f t="shared" si="1"/>
        <v>{"valorA":"roupa","valorB":1.0}</v>
      </c>
      <c r="E128" s="8" t="str">
        <f t="shared" si="2"/>
        <v>roupa</v>
      </c>
      <c r="F128" s="8" t="str">
        <f>IFERROR(__xludf.DUMMYFUNCTION("""COMPUTED_VALUE"""),"consumidora")</f>
        <v>consumidora</v>
      </c>
      <c r="G128" s="8" t="str">
        <f t="shared" si="3"/>
        <v>1.0</v>
      </c>
      <c r="H128" s="9">
        <f t="shared" si="4"/>
        <v>1</v>
      </c>
      <c r="I128" s="10">
        <f>IFERROR(__xludf.DUMMYFUNCTION("MAX(FILTER($H$2:$H1388,$E$2:$E1388=F128))"),1.0)</f>
        <v>1</v>
      </c>
    </row>
    <row r="129">
      <c r="A129" s="4"/>
      <c r="C129" s="4" t="s">
        <v>1448</v>
      </c>
      <c r="D129" s="4" t="str">
        <f t="shared" si="1"/>
        <v>{"valorA":"máquina","valorB":1.0}</v>
      </c>
      <c r="E129" s="8" t="str">
        <f t="shared" si="2"/>
        <v>máquina</v>
      </c>
      <c r="F129" s="8" t="str">
        <f>IFERROR(__xludf.DUMMYFUNCTION("""COMPUTED_VALUE"""),"pouco")</f>
        <v>pouco</v>
      </c>
      <c r="G129" s="8" t="str">
        <f t="shared" si="3"/>
        <v>1.0</v>
      </c>
      <c r="H129" s="9">
        <f t="shared" si="4"/>
        <v>1</v>
      </c>
      <c r="I129" s="10">
        <f>IFERROR(__xludf.DUMMYFUNCTION("MAX(FILTER($H$2:$H1388,$E$2:$E1388=F129))"),1.0)</f>
        <v>1</v>
      </c>
    </row>
    <row r="130">
      <c r="A130" s="4"/>
      <c r="C130" s="4" t="s">
        <v>473</v>
      </c>
      <c r="D130" s="4" t="str">
        <f t="shared" si="1"/>
        <v>{"valorA":"pena","valorB":2.0}</v>
      </c>
      <c r="E130" s="8" t="str">
        <f t="shared" si="2"/>
        <v>pena</v>
      </c>
      <c r="F130" s="8" t="str">
        <f>IFERROR(__xludf.DUMMYFUNCTION("""COMPUTED_VALUE"""),"salvar")</f>
        <v>salvar</v>
      </c>
      <c r="G130" s="8" t="str">
        <f t="shared" si="3"/>
        <v>2.0</v>
      </c>
      <c r="H130" s="9">
        <f t="shared" si="4"/>
        <v>2</v>
      </c>
      <c r="I130" s="10">
        <f>IFERROR(__xludf.DUMMYFUNCTION("MAX(FILTER($H$2:$H1388,$E$2:$E1388=F130))"),1.0)</f>
        <v>1</v>
      </c>
    </row>
    <row r="131">
      <c r="A131" s="4"/>
      <c r="C131" s="4" t="s">
        <v>1056</v>
      </c>
      <c r="D131" s="4" t="str">
        <f t="shared" si="1"/>
        <v>{"valorA":"ótima","valorB":5.0}</v>
      </c>
      <c r="E131" s="8" t="str">
        <f t="shared" si="2"/>
        <v>ótima</v>
      </c>
      <c r="F131" s="8" t="str">
        <f>IFERROR(__xludf.DUMMYFUNCTION("""COMPUTED_VALUE"""),"agradavel")</f>
        <v>agradavel</v>
      </c>
      <c r="G131" s="8" t="str">
        <f t="shared" si="3"/>
        <v>5.0</v>
      </c>
      <c r="H131" s="9">
        <f t="shared" si="4"/>
        <v>5</v>
      </c>
      <c r="I131" s="10">
        <f>IFERROR(__xludf.DUMMYFUNCTION("MAX(FILTER($H$2:$H1388,$E$2:$E1388=F131))"),1.0)</f>
        <v>1</v>
      </c>
    </row>
    <row r="132">
      <c r="A132" s="4"/>
      <c r="C132" s="4" t="s">
        <v>634</v>
      </c>
      <c r="D132" s="4" t="str">
        <f t="shared" si="1"/>
        <v>{"valorA":"bem","valorB":2.0}</v>
      </c>
      <c r="E132" s="8" t="str">
        <f t="shared" si="2"/>
        <v>bem</v>
      </c>
      <c r="F132" s="8" t="str">
        <f>IFERROR(__xludf.DUMMYFUNCTION("""COMPUTED_VALUE"""),"dinheiro")</f>
        <v>dinheiro</v>
      </c>
      <c r="G132" s="8" t="str">
        <f t="shared" si="3"/>
        <v>2.0</v>
      </c>
      <c r="H132" s="9">
        <f t="shared" si="4"/>
        <v>2</v>
      </c>
      <c r="I132" s="10">
        <f>IFERROR(__xludf.DUMMYFUNCTION("MAX(FILTER($H$2:$H1388,$E$2:$E1388=F132))"),1.0)</f>
        <v>1</v>
      </c>
    </row>
    <row r="133">
      <c r="A133" s="4"/>
      <c r="C133" s="4" t="s">
        <v>788</v>
      </c>
      <c r="D133" s="4" t="str">
        <f t="shared" si="1"/>
        <v>{"valorA":"de","valorB":12.0}</v>
      </c>
      <c r="E133" s="8" t="str">
        <f t="shared" si="2"/>
        <v>de</v>
      </c>
      <c r="F133" s="8" t="str">
        <f>IFERROR(__xludf.DUMMYFUNCTION("""COMPUTED_VALUE"""),"quiserem")</f>
        <v>quiserem</v>
      </c>
      <c r="G133" s="8" t="str">
        <f t="shared" si="3"/>
        <v>12.0</v>
      </c>
      <c r="H133" s="9">
        <f t="shared" si="4"/>
        <v>12</v>
      </c>
      <c r="I133" s="10">
        <f>IFERROR(__xludf.DUMMYFUNCTION("MAX(FILTER($H$2:$H1388,$E$2:$E1388=F133))"),1.0)</f>
        <v>1</v>
      </c>
    </row>
    <row r="134">
      <c r="A134" s="4"/>
      <c r="C134" s="4" t="s">
        <v>1576</v>
      </c>
      <c r="D134" s="4" t="str">
        <f t="shared" si="1"/>
        <v>{"valorA":"hidrátil","valorB":1.0}</v>
      </c>
      <c r="E134" s="8" t="str">
        <f t="shared" si="2"/>
        <v>hidrátil</v>
      </c>
      <c r="F134" s="8" t="str">
        <f>IFERROR(__xludf.DUMMYFUNCTION("""COMPUTED_VALUE"""),"rápido")</f>
        <v>rápido</v>
      </c>
      <c r="G134" s="8" t="str">
        <f t="shared" si="3"/>
        <v>1.0</v>
      </c>
      <c r="H134" s="9">
        <f t="shared" si="4"/>
        <v>1</v>
      </c>
      <c r="I134" s="10">
        <f>IFERROR(__xludf.DUMMYFUNCTION("MAX(FILTER($H$2:$H1388,$E$2:$E1388=F134))"),1.0)</f>
        <v>1</v>
      </c>
    </row>
    <row r="135">
      <c r="A135" s="4"/>
      <c r="C135" s="4" t="s">
        <v>312</v>
      </c>
      <c r="D135" s="4" t="str">
        <f t="shared" si="1"/>
        <v>{"valorA":"vale","valorB":1.0}</v>
      </c>
      <c r="E135" s="8" t="str">
        <f t="shared" si="2"/>
        <v>vale</v>
      </c>
      <c r="F135" s="8" t="str">
        <f>IFERROR(__xludf.DUMMYFUNCTION("""COMPUTED_VALUE"""),"aqui")</f>
        <v>aqui</v>
      </c>
      <c r="G135" s="8" t="str">
        <f t="shared" si="3"/>
        <v>1.0</v>
      </c>
      <c r="H135" s="9">
        <f t="shared" si="4"/>
        <v>1</v>
      </c>
      <c r="I135" s="10">
        <f>IFERROR(__xludf.DUMMYFUNCTION("MAX(FILTER($H$2:$H1388,$E$2:$E1388=F135))"),1.0)</f>
        <v>1</v>
      </c>
    </row>
    <row r="136">
      <c r="A136" s="4"/>
      <c r="C136" s="4" t="s">
        <v>593</v>
      </c>
      <c r="D136" s="4" t="str">
        <f t="shared" si="1"/>
        <v>{"valorA":"que","valorB":3.0}</v>
      </c>
      <c r="E136" s="8" t="str">
        <f t="shared" si="2"/>
        <v>que</v>
      </c>
      <c r="F136" s="8" t="str">
        <f>IFERROR(__xludf.DUMMYFUNCTION("""COMPUTED_VALUE"""),"atendimento")</f>
        <v>atendimento</v>
      </c>
      <c r="G136" s="8" t="str">
        <f t="shared" si="3"/>
        <v>3.0</v>
      </c>
      <c r="H136" s="9">
        <f t="shared" si="4"/>
        <v>3</v>
      </c>
      <c r="I136" s="10">
        <f>IFERROR(__xludf.DUMMYFUNCTION("MAX(FILTER($H$2:$H1388,$E$2:$E1388=F136))"),1.0)</f>
        <v>1</v>
      </c>
    </row>
    <row r="137">
      <c r="A137" s="4"/>
      <c r="C137" s="4" t="s">
        <v>628</v>
      </c>
      <c r="D137" s="4" t="str">
        <f t="shared" si="1"/>
        <v>{"valorA":"ótimo","valorB":13.0}</v>
      </c>
      <c r="E137" s="8" t="str">
        <f t="shared" si="2"/>
        <v>ótimo</v>
      </c>
      <c r="F137" s="8" t="str">
        <f>IFERROR(__xludf.DUMMYFUNCTION("""COMPUTED_VALUE"""),"amigável")</f>
        <v>amigável</v>
      </c>
      <c r="G137" s="8" t="str">
        <f t="shared" si="3"/>
        <v>13.0</v>
      </c>
      <c r="H137" s="9">
        <f t="shared" si="4"/>
        <v>13</v>
      </c>
      <c r="I137" s="10">
        <f>IFERROR(__xludf.DUMMYFUNCTION("MAX(FILTER($H$2:$H1388,$E$2:$E1388=F137))"),1.0)</f>
        <v>1</v>
      </c>
    </row>
    <row r="138">
      <c r="A138" s="4"/>
      <c r="C138" s="4" t="s">
        <v>299</v>
      </c>
      <c r="D138" s="4" t="str">
        <f t="shared" si="1"/>
        <v>{"valorA":"cabelo","valorB":1.0}</v>
      </c>
      <c r="E138" s="8" t="str">
        <f t="shared" si="2"/>
        <v>cabelo</v>
      </c>
      <c r="F138" s="8" t="str">
        <f>IFERROR(__xludf.DUMMYFUNCTION("""COMPUTED_VALUE"""),"armazenamento")</f>
        <v>armazenamento</v>
      </c>
      <c r="G138" s="8" t="str">
        <f t="shared" si="3"/>
        <v>1.0</v>
      </c>
      <c r="H138" s="9">
        <f t="shared" si="4"/>
        <v>1</v>
      </c>
      <c r="I138" s="10">
        <f>IFERROR(__xludf.DUMMYFUNCTION("MAX(FILTER($H$2:$H1388,$E$2:$E1388=F138))"),1.0)</f>
        <v>1</v>
      </c>
    </row>
    <row r="139">
      <c r="A139" s="4"/>
      <c r="C139" s="4" t="s">
        <v>662</v>
      </c>
      <c r="D139" s="4" t="str">
        <f t="shared" si="1"/>
        <v>{"valorA":"muito","valorB":6.0}</v>
      </c>
      <c r="E139" s="8" t="str">
        <f t="shared" si="2"/>
        <v>muito</v>
      </c>
      <c r="F139" s="8" t="str">
        <f>IFERROR(__xludf.DUMMYFUNCTION("""COMPUTED_VALUE"""),"mochilas")</f>
        <v>mochilas</v>
      </c>
      <c r="G139" s="8" t="str">
        <f t="shared" si="3"/>
        <v>6.0</v>
      </c>
      <c r="H139" s="9">
        <f t="shared" si="4"/>
        <v>6</v>
      </c>
      <c r="I139" s="10">
        <f>IFERROR(__xludf.DUMMYFUNCTION("MAX(FILTER($H$2:$H1388,$E$2:$E1388=F139))"),1.0)</f>
        <v>1</v>
      </c>
    </row>
    <row r="140">
      <c r="A140" s="4"/>
      <c r="C140" s="4" t="s">
        <v>1043</v>
      </c>
      <c r="D140" s="4" t="str">
        <f t="shared" si="1"/>
        <v>{"valorA":"lavar","valorB":1.0}</v>
      </c>
      <c r="E140" s="8" t="str">
        <f t="shared" si="2"/>
        <v>lavar</v>
      </c>
      <c r="F140" s="8" t="str">
        <f>IFERROR(__xludf.DUMMYFUNCTION("""COMPUTED_VALUE"""),"seguro")</f>
        <v>seguro</v>
      </c>
      <c r="G140" s="8" t="str">
        <f t="shared" si="3"/>
        <v>1.0</v>
      </c>
      <c r="H140" s="9">
        <f t="shared" si="4"/>
        <v>1</v>
      </c>
      <c r="I140" s="10">
        <f>IFERROR(__xludf.DUMMYFUNCTION("MAX(FILTER($H$2:$H1388,$E$2:$E1388=F140))"),1.0)</f>
        <v>1</v>
      </c>
    </row>
    <row r="141">
      <c r="A141" s="4"/>
      <c r="C141" s="4" t="s">
        <v>342</v>
      </c>
      <c r="D141" s="4" t="str">
        <f t="shared" si="1"/>
        <v>{"valorA":"a","valorB":4.0}</v>
      </c>
      <c r="E141" s="8" t="str">
        <f t="shared" si="2"/>
        <v>a</v>
      </c>
      <c r="F141" s="8" t="str">
        <f>IFERROR(__xludf.DUMMYFUNCTION("""COMPUTED_VALUE"""),"confortável")</f>
        <v>confortável</v>
      </c>
      <c r="G141" s="8" t="str">
        <f t="shared" si="3"/>
        <v>4.0</v>
      </c>
      <c r="H141" s="9">
        <f t="shared" si="4"/>
        <v>4</v>
      </c>
      <c r="I141" s="10">
        <f>IFERROR(__xludf.DUMMYFUNCTION("MAX(FILTER($H$2:$H1388,$E$2:$E1388=F141))"),1.0)</f>
        <v>1</v>
      </c>
    </row>
    <row r="142">
      <c r="A142" s="4"/>
      <c r="C142" s="4" t="s">
        <v>1577</v>
      </c>
      <c r="D142" s="4" t="str">
        <f t="shared" si="1"/>
        <v>{"valorA":"acho","valorB":2.0}</v>
      </c>
      <c r="E142" s="8" t="str">
        <f t="shared" si="2"/>
        <v>acho</v>
      </c>
      <c r="F142" s="8" t="str">
        <f>IFERROR(__xludf.DUMMYFUNCTION("""COMPUTED_VALUE"""),"cadeira")</f>
        <v>cadeira</v>
      </c>
      <c r="G142" s="8" t="str">
        <f t="shared" si="3"/>
        <v>2.0</v>
      </c>
      <c r="H142" s="9">
        <f t="shared" si="4"/>
        <v>2</v>
      </c>
      <c r="I142" s="10">
        <f>IFERROR(__xludf.DUMMYFUNCTION("MAX(FILTER($H$2:$H1388,$E$2:$E1388=F142))"),1.0)</f>
        <v>1</v>
      </c>
    </row>
    <row r="143">
      <c r="A143" s="4"/>
      <c r="C143" s="4" t="s">
        <v>631</v>
      </c>
      <c r="D143" s="4" t="str">
        <f t="shared" si="1"/>
        <v>{"valorA":"funciona","valorB":2.0}</v>
      </c>
      <c r="E143" s="8" t="str">
        <f t="shared" si="2"/>
        <v>funciona</v>
      </c>
      <c r="F143" s="8" t="str">
        <f>IFERROR(__xludf.DUMMYFUNCTION("""COMPUTED_VALUE"""),"qualidade")</f>
        <v>qualidade</v>
      </c>
      <c r="G143" s="8" t="str">
        <f t="shared" si="3"/>
        <v>2.0</v>
      </c>
      <c r="H143" s="9">
        <f t="shared" si="4"/>
        <v>2</v>
      </c>
      <c r="I143" s="10">
        <f>IFERROR(__xludf.DUMMYFUNCTION("MAX(FILTER($H$2:$H1388,$E$2:$E1388=F143))"),1.0)</f>
        <v>1</v>
      </c>
    </row>
    <row r="144">
      <c r="A144" s="4"/>
      <c r="C144" s="4" t="s">
        <v>403</v>
      </c>
      <c r="D144" s="4" t="str">
        <f t="shared" si="1"/>
        <v>{"valorA":"para","valorB":5.0}</v>
      </c>
      <c r="E144" s="8" t="str">
        <f t="shared" si="2"/>
        <v>para</v>
      </c>
      <c r="F144" s="8" t="str">
        <f>IFERROR(__xludf.DUMMYFUNCTION("""COMPUTED_VALUE"""),"aplicativo")</f>
        <v>aplicativo</v>
      </c>
      <c r="G144" s="8" t="str">
        <f t="shared" si="3"/>
        <v>5.0</v>
      </c>
      <c r="H144" s="9">
        <f t="shared" si="4"/>
        <v>5</v>
      </c>
      <c r="I144" s="10">
        <f>IFERROR(__xludf.DUMMYFUNCTION("MAX(FILTER($H$2:$H1388,$E$2:$E1388=F144))"),1.0)</f>
        <v>1</v>
      </c>
    </row>
    <row r="145">
      <c r="A145" s="4"/>
      <c r="C145" s="4" t="s">
        <v>1578</v>
      </c>
      <c r="D145" s="4" t="str">
        <f t="shared" si="1"/>
        <v>{"valorA":"ontem","valorB":2.0}</v>
      </c>
      <c r="E145" s="8" t="str">
        <f t="shared" si="2"/>
        <v>ontem</v>
      </c>
      <c r="F145" s="8" t="str">
        <f>IFERROR(__xludf.DUMMYFUNCTION("""COMPUTED_VALUE"""),"quem")</f>
        <v>quem</v>
      </c>
      <c r="G145" s="8" t="str">
        <f t="shared" si="3"/>
        <v>2.0</v>
      </c>
      <c r="H145" s="9">
        <f t="shared" si="4"/>
        <v>2</v>
      </c>
      <c r="I145" s="10">
        <f>IFERROR(__xludf.DUMMYFUNCTION("MAX(FILTER($H$2:$H1388,$E$2:$E1388=F145))"),1.0)</f>
        <v>1</v>
      </c>
    </row>
    <row r="146">
      <c r="A146" s="4"/>
      <c r="C146" s="4" t="s">
        <v>1431</v>
      </c>
      <c r="D146" s="4" t="str">
        <f t="shared" si="1"/>
        <v>{"valorA":"comprei","valorB":3.0}</v>
      </c>
      <c r="E146" s="8" t="str">
        <f t="shared" si="2"/>
        <v>comprei</v>
      </c>
      <c r="F146" s="8" t="str">
        <f>IFERROR(__xludf.DUMMYFUNCTION("""COMPUTED_VALUE"""),"os")</f>
        <v>os</v>
      </c>
      <c r="G146" s="8" t="str">
        <f t="shared" si="3"/>
        <v>3.0</v>
      </c>
      <c r="H146" s="9">
        <f t="shared" si="4"/>
        <v>3</v>
      </c>
      <c r="I146" s="10">
        <f>IFERROR(__xludf.DUMMYFUNCTION("MAX(FILTER($H$2:$H1388,$E$2:$E1388=F146))"),1.0)</f>
        <v>1</v>
      </c>
    </row>
    <row r="147">
      <c r="A147" s="4"/>
      <c r="C147" s="4" t="s">
        <v>983</v>
      </c>
      <c r="D147" s="4" t="str">
        <f t="shared" si="1"/>
        <v>{"valorA":"operacional","valorB":1.0}</v>
      </c>
      <c r="E147" s="8" t="str">
        <f t="shared" si="2"/>
        <v>operacional</v>
      </c>
      <c r="F147" s="8" t="str">
        <f>IFERROR(__xludf.DUMMYFUNCTION("""COMPUTED_VALUE"""),"valorável")</f>
        <v>valorável</v>
      </c>
      <c r="G147" s="8" t="str">
        <f t="shared" si="3"/>
        <v>1.0</v>
      </c>
      <c r="H147" s="9">
        <f t="shared" si="4"/>
        <v>1</v>
      </c>
      <c r="I147" s="10">
        <f>IFERROR(__xludf.DUMMYFUNCTION("MAX(FILTER($H$2:$H1388,$E$2:$E1388=F147))"),1.0)</f>
        <v>1</v>
      </c>
    </row>
    <row r="148">
      <c r="A148" s="4"/>
      <c r="C148" s="4" t="s">
        <v>280</v>
      </c>
      <c r="D148" s="4" t="str">
        <f t="shared" si="1"/>
        <v>{"valorA":"e","valorB":4.0}</v>
      </c>
      <c r="E148" s="8" t="str">
        <f t="shared" si="2"/>
        <v>e</v>
      </c>
      <c r="F148" s="8" t="str">
        <f>IFERROR(__xludf.DUMMYFUNCTION("""COMPUTED_VALUE"""),"sapatos")</f>
        <v>sapatos</v>
      </c>
      <c r="G148" s="8" t="str">
        <f t="shared" si="3"/>
        <v>4.0</v>
      </c>
      <c r="H148" s="9">
        <f t="shared" si="4"/>
        <v>4</v>
      </c>
      <c r="I148" s="10">
        <f>IFERROR(__xludf.DUMMYFUNCTION("MAX(FILTER($H$2:$H1388,$E$2:$E1388=F148))"),1.0)</f>
        <v>1</v>
      </c>
    </row>
    <row r="149">
      <c r="A149" s="4"/>
      <c r="C149" s="4" t="s">
        <v>682</v>
      </c>
      <c r="D149" s="4" t="str">
        <f t="shared" si="1"/>
        <v>{"valorA":"monitor","valorB":1.0}</v>
      </c>
      <c r="E149" s="8" t="str">
        <f t="shared" si="2"/>
        <v>monitor</v>
      </c>
      <c r="F149" s="8" t="str">
        <f>IFERROR(__xludf.DUMMYFUNCTION("""COMPUTED_VALUE"""),"tem")</f>
        <v>tem</v>
      </c>
      <c r="G149" s="8" t="str">
        <f t="shared" si="3"/>
        <v>1.0</v>
      </c>
      <c r="H149" s="9">
        <f t="shared" si="4"/>
        <v>1</v>
      </c>
      <c r="I149" s="10">
        <f>IFERROR(__xludf.DUMMYFUNCTION("MAX(FILTER($H$2:$H1388,$E$2:$E1388=F149))"),1.0)</f>
        <v>1</v>
      </c>
    </row>
    <row r="150">
      <c r="A150" s="4"/>
      <c r="C150" s="4" t="s">
        <v>481</v>
      </c>
      <c r="D150" s="4" t="str">
        <f t="shared" si="1"/>
        <v>{"valorA":"que","valorB":4.0}</v>
      </c>
      <c r="E150" s="8" t="str">
        <f t="shared" si="2"/>
        <v>que</v>
      </c>
      <c r="F150" s="8" t="str">
        <f>IFERROR(__xludf.DUMMYFUNCTION("""COMPUTED_VALUE"""),"sono")</f>
        <v>sono</v>
      </c>
      <c r="G150" s="8" t="str">
        <f t="shared" si="3"/>
        <v>4.0</v>
      </c>
      <c r="H150" s="9">
        <f t="shared" si="4"/>
        <v>4</v>
      </c>
      <c r="I150" s="10">
        <f>IFERROR(__xludf.DUMMYFUNCTION("MAX(FILTER($H$2:$H1388,$E$2:$E1388=F150))"),1.0)</f>
        <v>1</v>
      </c>
    </row>
    <row r="151">
      <c r="A151" s="4"/>
      <c r="C151" s="4" t="s">
        <v>1579</v>
      </c>
      <c r="D151" s="4" t="str">
        <f t="shared" si="1"/>
        <v>{"valorA":"trabalho","valorB":1.0}</v>
      </c>
      <c r="E151" s="8" t="str">
        <f t="shared" si="2"/>
        <v>trabalho</v>
      </c>
      <c r="F151" s="8" t="str">
        <f>IFERROR(__xludf.DUMMYFUNCTION("""COMPUTED_VALUE"""),"nova")</f>
        <v>nova</v>
      </c>
      <c r="G151" s="8" t="str">
        <f t="shared" si="3"/>
        <v>1.0</v>
      </c>
      <c r="H151" s="9">
        <f t="shared" si="4"/>
        <v>1</v>
      </c>
      <c r="I151" s="10">
        <f>IFERROR(__xludf.DUMMYFUNCTION("MAX(FILTER($H$2:$H1388,$E$2:$E1388=F151))"),1.0)</f>
        <v>1</v>
      </c>
    </row>
    <row r="152">
      <c r="A152" s="4"/>
      <c r="C152" s="4" t="s">
        <v>1580</v>
      </c>
      <c r="D152" s="4" t="str">
        <f t="shared" si="1"/>
        <v>{"valorA":"jogo","valorB":1.0}</v>
      </c>
      <c r="E152" s="8" t="str">
        <f t="shared" si="2"/>
        <v>jogo</v>
      </c>
      <c r="F152" s="8" t="str">
        <f>IFERROR(__xludf.DUMMYFUNCTION("""COMPUTED_VALUE"""),"prod")</f>
        <v>prod</v>
      </c>
      <c r="G152" s="8" t="str">
        <f t="shared" si="3"/>
        <v>1.0</v>
      </c>
      <c r="H152" s="9">
        <f t="shared" si="4"/>
        <v>1</v>
      </c>
      <c r="I152" s="10">
        <f>IFERROR(__xludf.DUMMYFUNCTION("MAX(FILTER($H$2:$H1388,$E$2:$E1388=F152))"),1.0)</f>
        <v>1</v>
      </c>
    </row>
    <row r="153">
      <c r="A153" s="4"/>
      <c r="C153" s="4" t="s">
        <v>638</v>
      </c>
      <c r="D153" s="4" t="str">
        <f t="shared" si="1"/>
        <v>{"valorA":"ótimo","valorB":15.0}</v>
      </c>
      <c r="E153" s="8" t="str">
        <f t="shared" si="2"/>
        <v>ótimo</v>
      </c>
      <c r="F153" s="8" t="str">
        <f>IFERROR(__xludf.DUMMYFUNCTION("""COMPUTED_VALUE"""),"meu")</f>
        <v>meu</v>
      </c>
      <c r="G153" s="8" t="str">
        <f t="shared" si="3"/>
        <v>15.0</v>
      </c>
      <c r="H153" s="9">
        <f t="shared" si="4"/>
        <v>15</v>
      </c>
      <c r="I153" s="10">
        <f>IFERROR(__xludf.DUMMYFUNCTION("MAX(FILTER($H$2:$H1388,$E$2:$E1388=F153))"),1.0)</f>
        <v>1</v>
      </c>
    </row>
    <row r="154">
      <c r="A154" s="4"/>
      <c r="C154" s="4" t="s">
        <v>1071</v>
      </c>
      <c r="D154" s="4" t="str">
        <f t="shared" si="1"/>
        <v>{"valorA":"sistema","valorB":2.0}</v>
      </c>
      <c r="E154" s="8" t="str">
        <f t="shared" si="2"/>
        <v>sistema</v>
      </c>
      <c r="F154" s="8" t="str">
        <f>IFERROR(__xludf.DUMMYFUNCTION("""COMPUTED_VALUE"""),"eletricista")</f>
        <v>eletricista</v>
      </c>
      <c r="G154" s="8" t="str">
        <f t="shared" si="3"/>
        <v>2.0</v>
      </c>
      <c r="H154" s="9">
        <f t="shared" si="4"/>
        <v>2</v>
      </c>
      <c r="I154" s="10">
        <f>IFERROR(__xludf.DUMMYFUNCTION("MAX(FILTER($H$2:$H1388,$E$2:$E1388=F154))"),1.0)</f>
        <v>1</v>
      </c>
    </row>
    <row r="155">
      <c r="A155" s="4"/>
      <c r="C155" s="4" t="s">
        <v>1127</v>
      </c>
      <c r="D155" s="4" t="str">
        <f t="shared" si="1"/>
        <v>{"valorA":"coment","valorB":1.0}</v>
      </c>
      <c r="E155" s="8" t="str">
        <f t="shared" si="2"/>
        <v>coment</v>
      </c>
      <c r="F155" s="8" t="str">
        <f>IFERROR(__xludf.DUMMYFUNCTION("""COMPUTED_VALUE"""),"ficou")</f>
        <v>ficou</v>
      </c>
      <c r="G155" s="8" t="str">
        <f t="shared" si="3"/>
        <v>1.0</v>
      </c>
      <c r="H155" s="9">
        <f t="shared" si="4"/>
        <v>1</v>
      </c>
      <c r="I155" s="10">
        <f>IFERROR(__xludf.DUMMYFUNCTION("MAX(FILTER($H$2:$H1388,$E$2:$E1388=F155))"),1.0)</f>
        <v>1</v>
      </c>
    </row>
    <row r="156">
      <c r="A156" s="4"/>
      <c r="C156" s="4" t="s">
        <v>1581</v>
      </c>
      <c r="D156" s="4" t="str">
        <f t="shared" si="1"/>
        <v>{"valorA":"nesse","valorB":1.0}</v>
      </c>
      <c r="E156" s="8" t="str">
        <f t="shared" si="2"/>
        <v>nesse</v>
      </c>
      <c r="F156" s="8" t="str">
        <f>IFERROR(__xludf.DUMMYFUNCTION("""COMPUTED_VALUE"""),"essa")</f>
        <v>essa</v>
      </c>
      <c r="G156" s="8" t="str">
        <f t="shared" si="3"/>
        <v>1.0</v>
      </c>
      <c r="H156" s="9">
        <f t="shared" si="4"/>
        <v>1</v>
      </c>
      <c r="I156" s="10">
        <f>IFERROR(__xludf.DUMMYFUNCTION("MAX(FILTER($H$2:$H1388,$E$2:$E1388=F156))"),1.0)</f>
        <v>1</v>
      </c>
    </row>
    <row r="157">
      <c r="A157" s="4"/>
      <c r="C157" s="4" t="s">
        <v>1582</v>
      </c>
      <c r="D157" s="4" t="str">
        <f t="shared" si="1"/>
        <v>{"valorA":"qualquer","valorB":1.0}</v>
      </c>
      <c r="E157" s="8" t="str">
        <f t="shared" si="2"/>
        <v>qualquer</v>
      </c>
      <c r="F157" s="8" t="str">
        <f>IFERROR(__xludf.DUMMYFUNCTION("""COMPUTED_VALUE"""),"marca")</f>
        <v>marca</v>
      </c>
      <c r="G157" s="8" t="str">
        <f t="shared" si="3"/>
        <v>1.0</v>
      </c>
      <c r="H157" s="9">
        <f t="shared" si="4"/>
        <v>1</v>
      </c>
      <c r="I157" s="10">
        <f>IFERROR(__xludf.DUMMYFUNCTION("MAX(FILTER($H$2:$H1388,$E$2:$E1388=F157))"),1.0)</f>
        <v>1</v>
      </c>
    </row>
    <row r="158">
      <c r="A158" s="4"/>
      <c r="C158" s="4" t="s">
        <v>1099</v>
      </c>
      <c r="D158" s="4" t="str">
        <f t="shared" si="1"/>
        <v>{"valorA":"serviço","valorB":2.0}</v>
      </c>
      <c r="E158" s="8" t="str">
        <f t="shared" si="2"/>
        <v>serviço</v>
      </c>
      <c r="F158" s="8" t="str">
        <f>IFERROR(__xludf.DUMMYFUNCTION("""COMPUTED_VALUE"""),"configurar")</f>
        <v>configurar</v>
      </c>
      <c r="G158" s="8" t="str">
        <f t="shared" si="3"/>
        <v>2.0</v>
      </c>
      <c r="H158" s="9">
        <f t="shared" si="4"/>
        <v>2</v>
      </c>
      <c r="I158" s="10">
        <f>IFERROR(__xludf.DUMMYFUNCTION("MAX(FILTER($H$2:$H1388,$E$2:$E1388=F158))"),1.0)</f>
        <v>1</v>
      </c>
    </row>
    <row r="159">
      <c r="A159" s="4"/>
      <c r="C159" s="4" t="s">
        <v>1583</v>
      </c>
      <c r="D159" s="4" t="str">
        <f t="shared" si="1"/>
        <v>{"valorA":"computador","valorB":4.0}</v>
      </c>
      <c r="E159" s="8" t="str">
        <f t="shared" si="2"/>
        <v>computador</v>
      </c>
      <c r="F159" s="8" t="str">
        <f>IFERROR(__xludf.DUMMYFUNCTION("""COMPUTED_VALUE"""),"refeições")</f>
        <v>refeições</v>
      </c>
      <c r="G159" s="8" t="str">
        <f t="shared" si="3"/>
        <v>4.0</v>
      </c>
      <c r="H159" s="9">
        <f t="shared" si="4"/>
        <v>4</v>
      </c>
      <c r="I159" s="10">
        <f>IFERROR(__xludf.DUMMYFUNCTION("MAX(FILTER($H$2:$H1388,$E$2:$E1388=F159))"),1.0)</f>
        <v>1</v>
      </c>
    </row>
    <row r="160">
      <c r="A160" s="4"/>
      <c r="C160" s="4" t="s">
        <v>1101</v>
      </c>
      <c r="D160" s="4" t="str">
        <f t="shared" si="1"/>
        <v>{"valorA":"tive","valorB":1.0}</v>
      </c>
      <c r="E160" s="8" t="str">
        <f t="shared" si="2"/>
        <v>tive</v>
      </c>
      <c r="F160" s="8" t="str">
        <f>IFERROR(__xludf.DUMMYFUNCTION("""COMPUTED_VALUE"""),"rápidas")</f>
        <v>rápidas</v>
      </c>
      <c r="G160" s="8" t="str">
        <f t="shared" si="3"/>
        <v>1.0</v>
      </c>
      <c r="H160" s="9">
        <f t="shared" si="4"/>
        <v>1</v>
      </c>
      <c r="I160" s="10">
        <f>IFERROR(__xludf.DUMMYFUNCTION("MAX(FILTER($H$2:$H1388,$E$2:$E1388=F160))"),1.0)</f>
        <v>1</v>
      </c>
    </row>
    <row r="161">
      <c r="A161" s="4"/>
      <c r="C161" s="4" t="s">
        <v>1584</v>
      </c>
      <c r="D161" s="4" t="str">
        <f t="shared" si="1"/>
        <v>{"valorA":"coisa","valorB":1.0}</v>
      </c>
      <c r="E161" s="8" t="str">
        <f t="shared" si="2"/>
        <v>coisa</v>
      </c>
      <c r="F161" s="8" t="str">
        <f>IFERROR(__xludf.DUMMYFUNCTION("""COMPUTED_VALUE"""),"fazer")</f>
        <v>fazer</v>
      </c>
      <c r="G161" s="8" t="str">
        <f t="shared" si="3"/>
        <v>1.0</v>
      </c>
      <c r="H161" s="9">
        <f t="shared" si="4"/>
        <v>1</v>
      </c>
      <c r="I161" s="10">
        <f>IFERROR(__xludf.DUMMYFUNCTION("MAX(FILTER($H$2:$H1388,$E$2:$E1388=F161))"),1.0)</f>
        <v>1</v>
      </c>
    </row>
    <row r="162">
      <c r="A162" s="4"/>
      <c r="C162" s="4" t="s">
        <v>1105</v>
      </c>
      <c r="D162" s="4" t="str">
        <f t="shared" si="1"/>
        <v>{"valorA":"foi","valorB":1.0}</v>
      </c>
      <c r="E162" s="8" t="str">
        <f t="shared" si="2"/>
        <v>foi</v>
      </c>
      <c r="F162" s="8" t="str">
        <f>IFERROR(__xludf.DUMMYFUNCTION("""COMPUTED_VALUE"""),"laminado")</f>
        <v>laminado</v>
      </c>
      <c r="G162" s="8" t="str">
        <f t="shared" si="3"/>
        <v>1.0</v>
      </c>
      <c r="H162" s="9">
        <f t="shared" si="4"/>
        <v>1</v>
      </c>
      <c r="I162" s="10">
        <f>IFERROR(__xludf.DUMMYFUNCTION("MAX(FILTER($H$2:$H1388,$E$2:$E1388=F162))"),1.0)</f>
        <v>1</v>
      </c>
    </row>
    <row r="163">
      <c r="A163" s="4"/>
      <c r="C163" s="4" t="s">
        <v>409</v>
      </c>
      <c r="D163" s="4" t="str">
        <f t="shared" si="1"/>
        <v>{"valorA":"o","valorB":6.0}</v>
      </c>
      <c r="E163" s="8" t="str">
        <f t="shared" si="2"/>
        <v>o</v>
      </c>
      <c r="F163" s="8" t="str">
        <f>IFERROR(__xludf.DUMMYFUNCTION("""COMPUTED_VALUE"""),"lcd")</f>
        <v>lcd</v>
      </c>
      <c r="G163" s="8" t="str">
        <f t="shared" si="3"/>
        <v>6.0</v>
      </c>
      <c r="H163" s="9">
        <f t="shared" si="4"/>
        <v>6</v>
      </c>
      <c r="I163" s="10">
        <f>IFERROR(__xludf.DUMMYFUNCTION("MAX(FILTER($H$2:$H1388,$E$2:$E1388=F163))"),1.0)</f>
        <v>1</v>
      </c>
    </row>
    <row r="164">
      <c r="A164" s="4"/>
      <c r="C164" s="4" t="s">
        <v>732</v>
      </c>
      <c r="D164" s="4" t="str">
        <f t="shared" si="1"/>
        <v>{"valorA":"eu","valorB":1.0}</v>
      </c>
      <c r="E164" s="8" t="str">
        <f t="shared" si="2"/>
        <v>eu</v>
      </c>
      <c r="F164" s="8" t="str">
        <f>IFERROR(__xludf.DUMMYFUNCTION("""COMPUTED_VALUE"""),"tela")</f>
        <v>tela</v>
      </c>
      <c r="G164" s="8" t="str">
        <f t="shared" si="3"/>
        <v>1.0</v>
      </c>
      <c r="H164" s="9">
        <f t="shared" si="4"/>
        <v>1</v>
      </c>
      <c r="I164" s="10">
        <f>IFERROR(__xludf.DUMMYFUNCTION("MAX(FILTER($H$2:$H1388,$E$2:$E1388=F164))"),1.0)</f>
        <v>1</v>
      </c>
    </row>
    <row r="165">
      <c r="A165" s="4"/>
      <c r="C165" s="4" t="s">
        <v>1585</v>
      </c>
      <c r="D165" s="4" t="str">
        <f t="shared" si="1"/>
        <v>{"valorA":"processador","valorB":2.0}</v>
      </c>
      <c r="E165" s="8" t="str">
        <f t="shared" si="2"/>
        <v>processador</v>
      </c>
      <c r="F165" s="8" t="str">
        <f>IFERROR(__xludf.DUMMYFUNCTION("""COMPUTED_VALUE"""),"cozinha")</f>
        <v>cozinha</v>
      </c>
      <c r="G165" s="8" t="str">
        <f t="shared" si="3"/>
        <v>2.0</v>
      </c>
      <c r="H165" s="9">
        <f t="shared" si="4"/>
        <v>2</v>
      </c>
      <c r="I165" s="10">
        <f>IFERROR(__xludf.DUMMYFUNCTION("MAX(FILTER($H$2:$H1388,$E$2:$E1388=F165))"),1.0)</f>
        <v>1</v>
      </c>
    </row>
    <row r="166">
      <c r="A166" s="4"/>
      <c r="C166" s="4" t="s">
        <v>1586</v>
      </c>
      <c r="D166" s="4" t="str">
        <f t="shared" si="1"/>
        <v>{"valorA":"jantar","valorB":1.0}</v>
      </c>
      <c r="E166" s="8" t="str">
        <f t="shared" si="2"/>
        <v>jantar</v>
      </c>
      <c r="F166" s="8" t="str">
        <f>IFERROR(__xludf.DUMMYFUNCTION("""COMPUTED_VALUE"""),"novo")</f>
        <v>novo</v>
      </c>
      <c r="G166" s="8" t="str">
        <f t="shared" si="3"/>
        <v>1.0</v>
      </c>
      <c r="H166" s="9">
        <f t="shared" si="4"/>
        <v>1</v>
      </c>
      <c r="I166" s="10">
        <f>IFERROR(__xludf.DUMMYFUNCTION("MAX(FILTER($H$2:$H1388,$E$2:$E1388=F166))"),1.0)</f>
        <v>1</v>
      </c>
    </row>
    <row r="167">
      <c r="A167" s="4"/>
      <c r="C167" s="4" t="s">
        <v>1587</v>
      </c>
      <c r="D167" s="4" t="str">
        <f t="shared" si="1"/>
        <v>{"valorA":"sem","valorB":2.0}</v>
      </c>
      <c r="E167" s="8" t="str">
        <f t="shared" si="2"/>
        <v>sem</v>
      </c>
      <c r="F167" s="8" t="str">
        <f>IFERROR(__xludf.DUMMYFUNCTION("""COMPUTED_VALUE"""),"confiável")</f>
        <v>confiável</v>
      </c>
      <c r="G167" s="8" t="str">
        <f t="shared" si="3"/>
        <v>2.0</v>
      </c>
      <c r="H167" s="9">
        <f t="shared" si="4"/>
        <v>2</v>
      </c>
      <c r="I167" s="10">
        <f>IFERROR(__xludf.DUMMYFUNCTION("MAX(FILTER($H$2:$H1388,$E$2:$E1388=F167))"),1.0)</f>
        <v>1</v>
      </c>
    </row>
    <row r="168">
      <c r="A168" s="4"/>
      <c r="C168" s="4" t="s">
        <v>698</v>
      </c>
      <c r="D168" s="4" t="str">
        <f t="shared" si="1"/>
        <v>{"valorA":"que","valorB":5.0}</v>
      </c>
      <c r="E168" s="8" t="str">
        <f t="shared" si="2"/>
        <v>que</v>
      </c>
      <c r="F168" s="8" t="str">
        <f>IFERROR(__xludf.DUMMYFUNCTION("""COMPUTED_VALUE"""),"banheira")</f>
        <v>banheira</v>
      </c>
      <c r="G168" s="8" t="str">
        <f t="shared" si="3"/>
        <v>5.0</v>
      </c>
      <c r="H168" s="9">
        <f t="shared" si="4"/>
        <v>5</v>
      </c>
      <c r="I168" s="10">
        <f>IFERROR(__xludf.DUMMYFUNCTION("MAX(FILTER($H$2:$H1388,$E$2:$E1388=F168))"),1.0)</f>
        <v>1</v>
      </c>
    </row>
    <row r="169">
      <c r="A169" s="4"/>
      <c r="C169" s="4" t="s">
        <v>284</v>
      </c>
      <c r="D169" s="4" t="str">
        <f t="shared" si="1"/>
        <v>{"valorA":"ótimo","valorB":17.0}</v>
      </c>
      <c r="E169" s="8" t="str">
        <f t="shared" si="2"/>
        <v>ótimo</v>
      </c>
      <c r="F169" s="8" t="str">
        <f>IFERROR(__xludf.DUMMYFUNCTION("""COMPUTED_VALUE"""),"melhores")</f>
        <v>melhores</v>
      </c>
      <c r="G169" s="8" t="str">
        <f t="shared" si="3"/>
        <v>17.0</v>
      </c>
      <c r="H169" s="9">
        <f t="shared" si="4"/>
        <v>17</v>
      </c>
      <c r="I169" s="10">
        <f>IFERROR(__xludf.DUMMYFUNCTION("MAX(FILTER($H$2:$H1388,$E$2:$E1388=F169))"),1.0)</f>
        <v>1</v>
      </c>
    </row>
    <row r="170">
      <c r="A170" s="4"/>
      <c r="C170" s="4" t="s">
        <v>1588</v>
      </c>
      <c r="D170" s="4" t="str">
        <f t="shared" si="1"/>
        <v>{"valorA":"jogar","valorB":1.0}</v>
      </c>
      <c r="E170" s="8" t="str">
        <f t="shared" si="2"/>
        <v>jogar</v>
      </c>
      <c r="F170" s="8" t="str">
        <f>IFERROR(__xludf.DUMMYFUNCTION("""COMPUTED_VALUE"""),"dos")</f>
        <v>dos</v>
      </c>
      <c r="G170" s="8" t="str">
        <f t="shared" si="3"/>
        <v>1.0</v>
      </c>
      <c r="H170" s="9">
        <f t="shared" si="4"/>
        <v>1</v>
      </c>
      <c r="I170" s="10">
        <f>IFERROR(__xludf.DUMMYFUNCTION("MAX(FILTER($H$2:$H1388,$E$2:$E1388=F170))"),1.0)</f>
        <v>1</v>
      </c>
    </row>
    <row r="171">
      <c r="A171" s="4"/>
      <c r="C171" s="4" t="s">
        <v>228</v>
      </c>
      <c r="D171" s="4" t="str">
        <f t="shared" si="1"/>
        <v>{"valorA":"esse","valorB":2.0}</v>
      </c>
      <c r="E171" s="8" t="str">
        <f t="shared" si="2"/>
        <v>esse</v>
      </c>
      <c r="F171" s="8" t="str">
        <f>IFERROR(__xludf.DUMMYFUNCTION("""COMPUTED_VALUE"""),"um")</f>
        <v>um</v>
      </c>
      <c r="G171" s="8" t="str">
        <f t="shared" si="3"/>
        <v>2.0</v>
      </c>
      <c r="H171" s="9">
        <f t="shared" si="4"/>
        <v>2</v>
      </c>
      <c r="I171" s="10">
        <f>IFERROR(__xludf.DUMMYFUNCTION("MAX(FILTER($H$2:$H1388,$E$2:$E1388=F171))"),1.0)</f>
        <v>1</v>
      </c>
    </row>
    <row r="172">
      <c r="A172" s="4"/>
      <c r="C172" s="4" t="s">
        <v>1467</v>
      </c>
      <c r="D172" s="4" t="str">
        <f t="shared" si="1"/>
        <v>{"valorA":"excelente","valorB":2.0}</v>
      </c>
      <c r="E172" s="8" t="str">
        <f t="shared" si="2"/>
        <v>excelente</v>
      </c>
      <c r="F172" s="8" t="str">
        <f>IFERROR(__xludf.DUMMYFUNCTION("""COMPUTED_VALUE"""),"recursos")</f>
        <v>recursos</v>
      </c>
      <c r="G172" s="8" t="str">
        <f t="shared" si="3"/>
        <v>2.0</v>
      </c>
      <c r="H172" s="9">
        <f t="shared" si="4"/>
        <v>2</v>
      </c>
      <c r="I172" s="10">
        <f>IFERROR(__xludf.DUMMYFUNCTION("MAX(FILTER($H$2:$H1388,$E$2:$E1388=F172))"),1.0)</f>
        <v>1</v>
      </c>
    </row>
    <row r="173">
      <c r="A173" s="4"/>
      <c r="C173" s="4" t="s">
        <v>1430</v>
      </c>
      <c r="D173" s="4" t="str">
        <f t="shared" si="1"/>
        <v>{"valorA":"também","valorB":1.0}</v>
      </c>
      <c r="E173" s="8" t="str">
        <f t="shared" si="2"/>
        <v>também</v>
      </c>
      <c r="F173" s="8" t="str">
        <f>IFERROR(__xludf.DUMMYFUNCTION("""COMPUTED_VALUE"""),"poucos")</f>
        <v>poucos</v>
      </c>
      <c r="G173" s="8" t="str">
        <f t="shared" si="3"/>
        <v>1.0</v>
      </c>
      <c r="H173" s="9">
        <f t="shared" si="4"/>
        <v>1</v>
      </c>
      <c r="I173" s="10">
        <f>IFERROR(__xludf.DUMMYFUNCTION("MAX(FILTER($H$2:$H1388,$E$2:$E1388=F173))"),1.0)</f>
        <v>1</v>
      </c>
    </row>
    <row r="174">
      <c r="A174" s="4"/>
      <c r="C174" s="4" t="s">
        <v>1589</v>
      </c>
      <c r="D174" s="4" t="str">
        <f t="shared" si="1"/>
        <v>{"valorA":"hoje","valorB":2.0}</v>
      </c>
      <c r="E174" s="8" t="str">
        <f t="shared" si="2"/>
        <v>hoje</v>
      </c>
      <c r="F174" s="8" t="str">
        <f>IFERROR(__xludf.DUMMYFUNCTION("""COMPUTED_VALUE"""),"mesmo")</f>
        <v>mesmo</v>
      </c>
      <c r="G174" s="8" t="str">
        <f t="shared" si="3"/>
        <v>2.0</v>
      </c>
      <c r="H174" s="9">
        <f t="shared" si="4"/>
        <v>2</v>
      </c>
      <c r="I174" s="10">
        <f>IFERROR(__xludf.DUMMYFUNCTION("MAX(FILTER($H$2:$H1388,$E$2:$E1388=F174))"),1.0)</f>
        <v>1</v>
      </c>
    </row>
    <row r="175">
      <c r="A175" s="4"/>
      <c r="C175" s="4" t="s">
        <v>1590</v>
      </c>
      <c r="D175" s="4" t="str">
        <f t="shared" si="1"/>
        <v>{"valorA":"consigo","valorB":1.0}</v>
      </c>
      <c r="E175" s="8" t="str">
        <f t="shared" si="2"/>
        <v>consigo</v>
      </c>
      <c r="F175" s="8"/>
      <c r="G175" s="8" t="str">
        <f t="shared" si="3"/>
        <v>1.0</v>
      </c>
      <c r="H175" s="9">
        <f t="shared" si="4"/>
        <v>1</v>
      </c>
      <c r="I175" s="10">
        <f>IFERROR(__xludf.DUMMYFUNCTION("MAX(FILTER($H$2:$H1388,$E$2:$E1388=F175))"),0.0)</f>
        <v>0</v>
      </c>
    </row>
    <row r="176">
      <c r="A176" s="4"/>
      <c r="C176" s="4" t="s">
        <v>1020</v>
      </c>
      <c r="D176" s="4" t="str">
        <f t="shared" si="1"/>
        <v>{"valorA":"problemas","valorB":1.0}</v>
      </c>
      <c r="E176" s="8" t="str">
        <f t="shared" si="2"/>
        <v>problemas</v>
      </c>
      <c r="F176" s="8"/>
      <c r="G176" s="8" t="str">
        <f t="shared" si="3"/>
        <v>1.0</v>
      </c>
      <c r="H176" s="9">
        <f t="shared" si="4"/>
        <v>1</v>
      </c>
      <c r="I176" s="10">
        <f>IFERROR(__xludf.DUMMYFUNCTION("MAX(FILTER($H$2:$H1388,$E$2:$E1388=F176))"),0.0)</f>
        <v>0</v>
      </c>
    </row>
    <row r="177">
      <c r="A177" s="4"/>
      <c r="C177" s="4" t="s">
        <v>1102</v>
      </c>
      <c r="D177" s="4" t="str">
        <f t="shared" si="1"/>
        <v>{"valorA":"modelo","valorB":2.0}</v>
      </c>
      <c r="E177" s="8" t="str">
        <f t="shared" si="2"/>
        <v>modelo</v>
      </c>
      <c r="F177" s="8"/>
      <c r="G177" s="8" t="str">
        <f t="shared" si="3"/>
        <v>2.0</v>
      </c>
      <c r="H177" s="9">
        <f t="shared" si="4"/>
        <v>2</v>
      </c>
      <c r="I177" s="10">
        <f>IFERROR(__xludf.DUMMYFUNCTION("MAX(FILTER($H$2:$H1388,$E$2:$E1388=F177))"),0.0)</f>
        <v>0</v>
      </c>
    </row>
    <row r="178">
      <c r="A178" s="4"/>
      <c r="C178" s="4" t="s">
        <v>1591</v>
      </c>
      <c r="D178" s="4" t="str">
        <f t="shared" si="1"/>
        <v>{"valorA":"limpavas","valorB":1.0}</v>
      </c>
      <c r="E178" s="8" t="str">
        <f t="shared" si="2"/>
        <v>limpavas</v>
      </c>
      <c r="F178" s="8"/>
      <c r="G178" s="8" t="str">
        <f t="shared" si="3"/>
        <v>1.0</v>
      </c>
      <c r="H178" s="9">
        <f t="shared" si="4"/>
        <v>1</v>
      </c>
      <c r="I178" s="10">
        <f>IFERROR(__xludf.DUMMYFUNCTION("MAX(FILTER($H$2:$H1388,$E$2:$E1388=F178))"),0.0)</f>
        <v>0</v>
      </c>
    </row>
    <row r="179">
      <c r="A179" s="4"/>
      <c r="C179" s="4" t="s">
        <v>1067</v>
      </c>
      <c r="D179" s="4" t="str">
        <f t="shared" si="1"/>
        <v>{"valorA":"ótima","valorB":6.0}</v>
      </c>
      <c r="E179" s="8" t="str">
        <f t="shared" si="2"/>
        <v>ótima</v>
      </c>
      <c r="F179" s="8"/>
      <c r="G179" s="8" t="str">
        <f t="shared" si="3"/>
        <v>6.0</v>
      </c>
      <c r="H179" s="9">
        <f t="shared" si="4"/>
        <v>6</v>
      </c>
      <c r="I179" s="10">
        <f>IFERROR(__xludf.DUMMYFUNCTION("MAX(FILTER($H$2:$H1388,$E$2:$E1388=F179))"),0.0)</f>
        <v>0</v>
      </c>
    </row>
    <row r="180">
      <c r="A180" s="4"/>
      <c r="C180" s="4" t="s">
        <v>279</v>
      </c>
      <c r="D180" s="4" t="str">
        <f t="shared" si="1"/>
        <v>{"valorA":"usar","valorB":3.0}</v>
      </c>
      <c r="E180" s="8" t="str">
        <f t="shared" si="2"/>
        <v>usar</v>
      </c>
      <c r="F180" s="8"/>
      <c r="G180" s="8" t="str">
        <f t="shared" si="3"/>
        <v>3.0</v>
      </c>
      <c r="H180" s="9">
        <f t="shared" si="4"/>
        <v>3</v>
      </c>
      <c r="I180" s="10">
        <f>IFERROR(__xludf.DUMMYFUNCTION("MAX(FILTER($H$2:$H1388,$E$2:$E1388=F180))"),0.0)</f>
        <v>0</v>
      </c>
    </row>
    <row r="181">
      <c r="A181" s="4"/>
      <c r="C181" s="4" t="s">
        <v>615</v>
      </c>
      <c r="D181" s="4" t="str">
        <f t="shared" si="1"/>
        <v>{"valorA":"bom","valorB":1.0}</v>
      </c>
      <c r="E181" s="8" t="str">
        <f t="shared" si="2"/>
        <v>bom</v>
      </c>
      <c r="F181" s="8"/>
      <c r="G181" s="8" t="str">
        <f t="shared" si="3"/>
        <v>1.0</v>
      </c>
      <c r="H181" s="9">
        <f t="shared" si="4"/>
        <v>1</v>
      </c>
      <c r="I181" s="10">
        <f>IFERROR(__xludf.DUMMYFUNCTION("MAX(FILTER($H$2:$H1388,$E$2:$E1388=F181))"),0.0)</f>
        <v>0</v>
      </c>
    </row>
    <row r="182">
      <c r="A182" s="4"/>
      <c r="C182" s="4" t="s">
        <v>832</v>
      </c>
      <c r="D182" s="4" t="str">
        <f t="shared" si="1"/>
        <v>{"valorA":"de","valorB":13.0}</v>
      </c>
      <c r="E182" s="8" t="str">
        <f t="shared" si="2"/>
        <v>de</v>
      </c>
      <c r="F182" s="8"/>
      <c r="G182" s="8" t="str">
        <f t="shared" si="3"/>
        <v>13.0</v>
      </c>
      <c r="H182" s="9">
        <f t="shared" si="4"/>
        <v>13</v>
      </c>
      <c r="I182" s="10">
        <f>IFERROR(__xludf.DUMMYFUNCTION("MAX(FILTER($H$2:$H1388,$E$2:$E1388=F182))"),0.0)</f>
        <v>0</v>
      </c>
    </row>
    <row r="183">
      <c r="A183" s="4"/>
      <c r="C183" s="4" t="s">
        <v>331</v>
      </c>
      <c r="D183" s="4" t="str">
        <f t="shared" si="1"/>
        <v>{"valorA":"e","valorB":5.0}</v>
      </c>
      <c r="E183" s="8" t="str">
        <f t="shared" si="2"/>
        <v>e</v>
      </c>
      <c r="F183" s="8"/>
      <c r="G183" s="8" t="str">
        <f t="shared" si="3"/>
        <v>5.0</v>
      </c>
      <c r="H183" s="9">
        <f t="shared" si="4"/>
        <v>5</v>
      </c>
      <c r="I183" s="10">
        <f>IFERROR(__xludf.DUMMYFUNCTION("MAX(FILTER($H$2:$H1388,$E$2:$E1388=F183))"),0.0)</f>
        <v>0</v>
      </c>
    </row>
    <row r="184">
      <c r="A184" s="4"/>
      <c r="C184" s="4" t="s">
        <v>709</v>
      </c>
      <c r="D184" s="4" t="str">
        <f t="shared" si="1"/>
        <v>{"valorA":"monitor","valorB":2.0}</v>
      </c>
      <c r="E184" s="8" t="str">
        <f t="shared" si="2"/>
        <v>monitor</v>
      </c>
      <c r="F184" s="8"/>
      <c r="G184" s="8" t="str">
        <f t="shared" si="3"/>
        <v>2.0</v>
      </c>
      <c r="H184" s="9">
        <f t="shared" si="4"/>
        <v>2</v>
      </c>
      <c r="I184" s="10">
        <f>IFERROR(__xludf.DUMMYFUNCTION("MAX(FILTER($H$2:$H1388,$E$2:$E1388=F184))"),0.0)</f>
        <v>0</v>
      </c>
    </row>
    <row r="185">
      <c r="A185" s="4"/>
      <c r="C185" s="4" t="s">
        <v>1592</v>
      </c>
      <c r="D185" s="4" t="str">
        <f t="shared" si="1"/>
        <v>{"valorA":"útil","valorB":2.0}</v>
      </c>
      <c r="E185" s="8" t="str">
        <f t="shared" si="2"/>
        <v>útil</v>
      </c>
      <c r="F185" s="8"/>
      <c r="G185" s="8" t="str">
        <f t="shared" si="3"/>
        <v>2.0</v>
      </c>
      <c r="H185" s="9">
        <f t="shared" si="4"/>
        <v>2</v>
      </c>
      <c r="I185" s="10">
        <f>IFERROR(__xludf.DUMMYFUNCTION("MAX(FILTER($H$2:$H1388,$E$2:$E1388=F185))"),0.0)</f>
        <v>0</v>
      </c>
    </row>
    <row r="186">
      <c r="A186" s="4"/>
      <c r="C186" s="4" t="s">
        <v>658</v>
      </c>
      <c r="D186" s="4" t="str">
        <f t="shared" si="1"/>
        <v>{"valorA":"ótimo","valorB":18.0}</v>
      </c>
      <c r="E186" s="8" t="str">
        <f t="shared" si="2"/>
        <v>ótimo</v>
      </c>
      <c r="F186" s="8"/>
      <c r="G186" s="8" t="str">
        <f t="shared" si="3"/>
        <v>18.0</v>
      </c>
      <c r="H186" s="9">
        <f t="shared" si="4"/>
        <v>18</v>
      </c>
      <c r="I186" s="10">
        <f>IFERROR(__xludf.DUMMYFUNCTION("MAX(FILTER($H$2:$H1388,$E$2:$E1388=F186))"),0.0)</f>
        <v>0</v>
      </c>
    </row>
    <row r="187">
      <c r="A187" s="4"/>
      <c r="C187" s="4" t="s">
        <v>445</v>
      </c>
      <c r="D187" s="4" t="str">
        <f t="shared" si="1"/>
        <v>{"valorA":"fácil","valorB":4.0}</v>
      </c>
      <c r="E187" s="8" t="str">
        <f t="shared" si="2"/>
        <v>fácil</v>
      </c>
      <c r="F187" s="8"/>
      <c r="G187" s="8" t="str">
        <f t="shared" si="3"/>
        <v>4.0</v>
      </c>
      <c r="H187" s="9">
        <f t="shared" si="4"/>
        <v>4</v>
      </c>
      <c r="I187" s="10">
        <f>IFERROR(__xludf.DUMMYFUNCTION("MAX(FILTER($H$2:$H1388,$E$2:$E1388=F187))"),0.0)</f>
        <v>0</v>
      </c>
    </row>
    <row r="188">
      <c r="A188" s="4"/>
      <c r="C188" s="4" t="s">
        <v>300</v>
      </c>
      <c r="D188" s="4" t="str">
        <f t="shared" si="1"/>
        <v>{"valorA":"muito","valorB":8.0}</v>
      </c>
      <c r="E188" s="8" t="str">
        <f t="shared" si="2"/>
        <v>muito</v>
      </c>
      <c r="F188" s="8"/>
      <c r="G188" s="8" t="str">
        <f t="shared" si="3"/>
        <v>8.0</v>
      </c>
      <c r="H188" s="9">
        <f t="shared" si="4"/>
        <v>8</v>
      </c>
      <c r="I188" s="10">
        <f>IFERROR(__xludf.DUMMYFUNCTION("MAX(FILTER($H$2:$H1388,$E$2:$E1388=F188))"),0.0)</f>
        <v>0</v>
      </c>
    </row>
    <row r="189">
      <c r="A189" s="4"/>
      <c r="C189" s="4" t="s">
        <v>1137</v>
      </c>
      <c r="D189" s="4" t="str">
        <f t="shared" si="1"/>
        <v>{"valorA":"achei","valorB":1.0}</v>
      </c>
      <c r="E189" s="8" t="str">
        <f t="shared" si="2"/>
        <v>achei</v>
      </c>
      <c r="F189" s="8"/>
      <c r="G189" s="8" t="str">
        <f t="shared" si="3"/>
        <v>1.0</v>
      </c>
      <c r="H189" s="9">
        <f t="shared" si="4"/>
        <v>1</v>
      </c>
      <c r="I189" s="10">
        <f>IFERROR(__xludf.DUMMYFUNCTION("MAX(FILTER($H$2:$H1388,$E$2:$E1388=F189))"),0.0)</f>
        <v>0</v>
      </c>
    </row>
    <row r="190">
      <c r="A190" s="4"/>
      <c r="C190" s="4" t="s">
        <v>195</v>
      </c>
      <c r="D190" s="4" t="str">
        <f t="shared" si="1"/>
        <v>{"valorA":"desse","valorB":1.0}</v>
      </c>
      <c r="E190" s="8" t="str">
        <f t="shared" si="2"/>
        <v>desse</v>
      </c>
      <c r="F190" s="8"/>
      <c r="G190" s="8" t="str">
        <f t="shared" si="3"/>
        <v>1.0</v>
      </c>
      <c r="H190" s="9">
        <f t="shared" si="4"/>
        <v>1</v>
      </c>
      <c r="I190" s="10">
        <f>IFERROR(__xludf.DUMMYFUNCTION("MAX(FILTER($H$2:$H1388,$E$2:$E1388=F190))"),0.0)</f>
        <v>0</v>
      </c>
    </row>
    <row r="191">
      <c r="A191" s="4"/>
      <c r="C191" s="4" t="s">
        <v>419</v>
      </c>
      <c r="D191" s="4" t="str">
        <f t="shared" si="1"/>
        <v>{"valorA":"para","valorB":6.0}</v>
      </c>
      <c r="E191" s="8" t="str">
        <f t="shared" si="2"/>
        <v>para</v>
      </c>
      <c r="F191" s="8"/>
      <c r="G191" s="8" t="str">
        <f t="shared" si="3"/>
        <v>6.0</v>
      </c>
      <c r="H191" s="9">
        <f t="shared" si="4"/>
        <v>6</v>
      </c>
      <c r="I191" s="10">
        <f>IFERROR(__xludf.DUMMYFUNCTION("MAX(FILTER($H$2:$H1388,$E$2:$E1388=F191))"),0.0)</f>
        <v>0</v>
      </c>
    </row>
    <row r="192">
      <c r="A192" s="4"/>
      <c r="C192" s="4" t="s">
        <v>327</v>
      </c>
      <c r="D192" s="4" t="str">
        <f t="shared" si="1"/>
        <v>{"valorA":"barato","valorB":2.0}</v>
      </c>
      <c r="E192" s="8" t="str">
        <f t="shared" si="2"/>
        <v>barato</v>
      </c>
      <c r="F192" s="8"/>
      <c r="G192" s="8" t="str">
        <f t="shared" si="3"/>
        <v>2.0</v>
      </c>
      <c r="H192" s="9">
        <f t="shared" si="4"/>
        <v>2</v>
      </c>
      <c r="I192" s="10">
        <f>IFERROR(__xludf.DUMMYFUNCTION("MAX(FILTER($H$2:$H1388,$E$2:$E1388=F192))"),0.0)</f>
        <v>0</v>
      </c>
    </row>
    <row r="193">
      <c r="A193" s="4"/>
      <c r="C193" s="4" t="s">
        <v>328</v>
      </c>
      <c r="D193" s="4" t="str">
        <f t="shared" si="1"/>
        <v>{"valorA":"com","valorB":2.0}</v>
      </c>
      <c r="E193" s="8" t="str">
        <f t="shared" si="2"/>
        <v>com</v>
      </c>
      <c r="F193" s="8"/>
      <c r="G193" s="8" t="str">
        <f t="shared" si="3"/>
        <v>2.0</v>
      </c>
      <c r="H193" s="9">
        <f t="shared" si="4"/>
        <v>2</v>
      </c>
      <c r="I193" s="10">
        <f>IFERROR(__xludf.DUMMYFUNCTION("MAX(FILTER($H$2:$H1388,$E$2:$E1388=F193))"),0.0)</f>
        <v>0</v>
      </c>
    </row>
    <row r="194">
      <c r="A194" s="4"/>
      <c r="C194" s="4" t="s">
        <v>1593</v>
      </c>
      <c r="D194" s="4" t="str">
        <f t="shared" si="1"/>
        <v>{"valorA":"rapidez","valorB":1.0}</v>
      </c>
      <c r="E194" s="8" t="str">
        <f t="shared" si="2"/>
        <v>rapidez</v>
      </c>
      <c r="F194" s="8"/>
      <c r="G194" s="8" t="str">
        <f t="shared" si="3"/>
        <v>1.0</v>
      </c>
      <c r="H194" s="9">
        <f t="shared" si="4"/>
        <v>1</v>
      </c>
      <c r="I194" s="10">
        <f>IFERROR(__xludf.DUMMYFUNCTION("MAX(FILTER($H$2:$H1388,$E$2:$E1388=F194))"),0.0)</f>
        <v>0</v>
      </c>
    </row>
    <row r="195">
      <c r="A195" s="4"/>
      <c r="C195" s="4" t="s">
        <v>371</v>
      </c>
      <c r="D195" s="4" t="str">
        <f t="shared" si="1"/>
        <v>{"valorA":"e","valorB":6.0}</v>
      </c>
      <c r="E195" s="8" t="str">
        <f t="shared" si="2"/>
        <v>e</v>
      </c>
      <c r="F195" s="8"/>
      <c r="G195" s="8" t="str">
        <f t="shared" si="3"/>
        <v>6.0</v>
      </c>
      <c r="H195" s="9">
        <f t="shared" si="4"/>
        <v>6</v>
      </c>
      <c r="I195" s="10">
        <f>IFERROR(__xludf.DUMMYFUNCTION("MAX(FILTER($H$2:$H1388,$E$2:$E1388=F195))"),0.0)</f>
        <v>0</v>
      </c>
    </row>
    <row r="196">
      <c r="A196" s="4"/>
      <c r="C196" s="4" t="s">
        <v>841</v>
      </c>
      <c r="D196" s="4" t="str">
        <f t="shared" si="1"/>
        <v>{"valorA":"de","valorB":14.0}</v>
      </c>
      <c r="E196" s="8" t="str">
        <f t="shared" si="2"/>
        <v>de</v>
      </c>
      <c r="F196" s="8"/>
      <c r="G196" s="8" t="str">
        <f t="shared" si="3"/>
        <v>14.0</v>
      </c>
      <c r="H196" s="9">
        <f t="shared" si="4"/>
        <v>14</v>
      </c>
      <c r="I196" s="10">
        <f>IFERROR(__xludf.DUMMYFUNCTION("MAX(FILTER($H$2:$H1388,$E$2:$E1388=F196))"),0.0)</f>
        <v>0</v>
      </c>
    </row>
    <row r="197">
      <c r="A197" s="4"/>
      <c r="C197" s="4" t="s">
        <v>745</v>
      </c>
      <c r="D197" s="4" t="str">
        <f t="shared" si="1"/>
        <v>{"valorA":"o","valorB":7.0}</v>
      </c>
      <c r="E197" s="8" t="str">
        <f t="shared" si="2"/>
        <v>o</v>
      </c>
      <c r="F197" s="8"/>
      <c r="G197" s="8" t="str">
        <f t="shared" si="3"/>
        <v>7.0</v>
      </c>
      <c r="H197" s="9">
        <f t="shared" si="4"/>
        <v>7</v>
      </c>
      <c r="I197" s="10">
        <f>IFERROR(__xludf.DUMMYFUNCTION("MAX(FILTER($H$2:$H1388,$E$2:$E1388=F197))"),0.0)</f>
        <v>0</v>
      </c>
    </row>
    <row r="198">
      <c r="A198" s="4"/>
      <c r="C198" s="4" t="s">
        <v>1012</v>
      </c>
      <c r="D198" s="4" t="str">
        <f t="shared" si="1"/>
        <v>{"valorA":"limpar","valorB":2.0}</v>
      </c>
      <c r="E198" s="8" t="str">
        <f t="shared" si="2"/>
        <v>limpar</v>
      </c>
      <c r="F198" s="8"/>
      <c r="G198" s="8" t="str">
        <f t="shared" si="3"/>
        <v>2.0</v>
      </c>
      <c r="H198" s="9">
        <f t="shared" si="4"/>
        <v>2</v>
      </c>
      <c r="I198" s="10">
        <f>IFERROR(__xludf.DUMMYFUNCTION("MAX(FILTER($H$2:$H1388,$E$2:$E1388=F198))"),0.0)</f>
        <v>0</v>
      </c>
    </row>
    <row r="199">
      <c r="A199" s="4"/>
      <c r="C199" s="4" t="s">
        <v>1594</v>
      </c>
      <c r="D199" s="4" t="str">
        <f t="shared" si="1"/>
        <v>{"valorA":"processador","valorB":3.0}</v>
      </c>
      <c r="E199" s="8" t="str">
        <f t="shared" si="2"/>
        <v>processador</v>
      </c>
      <c r="F199" s="8"/>
      <c r="G199" s="8" t="str">
        <f t="shared" si="3"/>
        <v>3.0</v>
      </c>
      <c r="H199" s="9">
        <f t="shared" si="4"/>
        <v>3</v>
      </c>
      <c r="I199" s="10">
        <f>IFERROR(__xludf.DUMMYFUNCTION("MAX(FILTER($H$2:$H1388,$E$2:$E1388=F199))"),0.0)</f>
        <v>0</v>
      </c>
    </row>
    <row r="200">
      <c r="A200" s="4"/>
      <c r="C200" s="4" t="s">
        <v>1595</v>
      </c>
      <c r="D200" s="4" t="str">
        <f t="shared" si="1"/>
        <v>{"valorA":"comida","valorB":1.0}</v>
      </c>
      <c r="E200" s="8" t="str">
        <f t="shared" si="2"/>
        <v>comida</v>
      </c>
      <c r="F200" s="8"/>
      <c r="G200" s="8" t="str">
        <f t="shared" si="3"/>
        <v>1.0</v>
      </c>
      <c r="H200" s="9">
        <f t="shared" si="4"/>
        <v>1</v>
      </c>
      <c r="I200" s="10">
        <f>IFERROR(__xludf.DUMMYFUNCTION("MAX(FILTER($H$2:$H1388,$E$2:$E1388=F200))"),0.0)</f>
        <v>0</v>
      </c>
    </row>
    <row r="201">
      <c r="A201" s="4"/>
      <c r="C201" s="4" t="s">
        <v>190</v>
      </c>
      <c r="D201" s="4" t="str">
        <f t="shared" si="1"/>
        <v>{"valorA":"gostei","valorB":1.0}</v>
      </c>
      <c r="E201" s="8" t="str">
        <f t="shared" si="2"/>
        <v>gostei</v>
      </c>
      <c r="F201" s="8"/>
      <c r="G201" s="8" t="str">
        <f t="shared" si="3"/>
        <v>1.0</v>
      </c>
      <c r="H201" s="9">
        <f t="shared" si="4"/>
        <v>1</v>
      </c>
      <c r="I201" s="10">
        <f>IFERROR(__xludf.DUMMYFUNCTION("MAX(FILTER($H$2:$H1388,$E$2:$E1388=F201))"),0.0)</f>
        <v>0</v>
      </c>
    </row>
    <row r="202">
      <c r="A202" s="4"/>
      <c r="C202" s="4" t="s">
        <v>671</v>
      </c>
      <c r="D202" s="4" t="str">
        <f t="shared" si="1"/>
        <v>{"valorA":"ótimo","valorB":20.0}</v>
      </c>
      <c r="E202" s="8" t="str">
        <f t="shared" si="2"/>
        <v>ótimo</v>
      </c>
      <c r="F202" s="8"/>
      <c r="G202" s="8" t="str">
        <f t="shared" si="3"/>
        <v>20.0</v>
      </c>
      <c r="H202" s="9">
        <f t="shared" si="4"/>
        <v>20</v>
      </c>
      <c r="I202" s="10">
        <f>IFERROR(__xludf.DUMMYFUNCTION("MAX(FILTER($H$2:$H1388,$E$2:$E1388=F202))"),0.0)</f>
        <v>0</v>
      </c>
    </row>
    <row r="203">
      <c r="A203" s="4"/>
      <c r="C203" s="4" t="s">
        <v>1596</v>
      </c>
      <c r="D203" s="4" t="str">
        <f t="shared" si="1"/>
        <v>{"valorA":"chão","valorB":1.0}</v>
      </c>
      <c r="E203" s="8" t="str">
        <f t="shared" si="2"/>
        <v>chão</v>
      </c>
      <c r="F203" s="8"/>
      <c r="G203" s="8" t="str">
        <f t="shared" si="3"/>
        <v>1.0</v>
      </c>
      <c r="H203" s="9">
        <f t="shared" si="4"/>
        <v>1</v>
      </c>
      <c r="I203" s="10">
        <f>IFERROR(__xludf.DUMMYFUNCTION("MAX(FILTER($H$2:$H1388,$E$2:$E1388=F203))"),0.0)</f>
        <v>0</v>
      </c>
    </row>
    <row r="204">
      <c r="A204" s="4"/>
      <c r="C204" s="4" t="s">
        <v>243</v>
      </c>
      <c r="D204" s="4" t="str">
        <f t="shared" si="1"/>
        <v>{"valorA":"esse","valorB":3.0}</v>
      </c>
      <c r="E204" s="8" t="str">
        <f t="shared" si="2"/>
        <v>esse</v>
      </c>
      <c r="F204" s="8"/>
      <c r="G204" s="8" t="str">
        <f t="shared" si="3"/>
        <v>3.0</v>
      </c>
      <c r="H204" s="9">
        <f t="shared" si="4"/>
        <v>3</v>
      </c>
      <c r="I204" s="10">
        <f>IFERROR(__xludf.DUMMYFUNCTION("MAX(FILTER($H$2:$H1388,$E$2:$E1388=F204))"),0.0)</f>
        <v>0</v>
      </c>
    </row>
    <row r="205">
      <c r="A205" s="4"/>
      <c r="C205" s="4" t="s">
        <v>319</v>
      </c>
      <c r="D205" s="4" t="str">
        <f t="shared" si="1"/>
        <v>{"valorA":"muito","valorB":9.0}</v>
      </c>
      <c r="E205" s="8" t="str">
        <f t="shared" si="2"/>
        <v>muito</v>
      </c>
      <c r="F205" s="8"/>
      <c r="G205" s="8" t="str">
        <f t="shared" si="3"/>
        <v>9.0</v>
      </c>
      <c r="H205" s="9">
        <f t="shared" si="4"/>
        <v>9</v>
      </c>
      <c r="I205" s="10">
        <f>IFERROR(__xludf.DUMMYFUNCTION("MAX(FILTER($H$2:$H1388,$E$2:$E1388=F205))"),0.0)</f>
        <v>0</v>
      </c>
    </row>
    <row r="206">
      <c r="A206" s="4"/>
      <c r="C206" s="4" t="s">
        <v>469</v>
      </c>
      <c r="D206" s="4" t="str">
        <f t="shared" si="1"/>
        <v>{"valorA":"para","valorB":7.0}</v>
      </c>
      <c r="E206" s="8" t="str">
        <f t="shared" si="2"/>
        <v>para</v>
      </c>
      <c r="F206" s="8"/>
      <c r="G206" s="8" t="str">
        <f t="shared" si="3"/>
        <v>7.0</v>
      </c>
      <c r="H206" s="9">
        <f t="shared" si="4"/>
        <v>7</v>
      </c>
      <c r="I206" s="10">
        <f>IFERROR(__xludf.DUMMYFUNCTION("MAX(FILTER($H$2:$H1388,$E$2:$E1388=F206))"),0.0)</f>
        <v>0</v>
      </c>
    </row>
    <row r="207">
      <c r="A207" s="4"/>
      <c r="C207" s="4" t="s">
        <v>1597</v>
      </c>
      <c r="D207" s="4" t="str">
        <f t="shared" si="1"/>
        <v>{"valorA":"modelo","valorB":3.0}</v>
      </c>
      <c r="E207" s="8" t="str">
        <f t="shared" si="2"/>
        <v>modelo</v>
      </c>
      <c r="F207" s="8"/>
      <c r="G207" s="8" t="str">
        <f t="shared" si="3"/>
        <v>3.0</v>
      </c>
      <c r="H207" s="9">
        <f t="shared" si="4"/>
        <v>3</v>
      </c>
      <c r="I207" s="10">
        <f>IFERROR(__xludf.DUMMYFUNCTION("MAX(FILTER($H$2:$H1388,$E$2:$E1388=F207))"),0.0)</f>
        <v>0</v>
      </c>
    </row>
    <row r="208">
      <c r="A208" s="4"/>
      <c r="C208" s="4" t="s">
        <v>625</v>
      </c>
      <c r="D208" s="4" t="str">
        <f t="shared" si="1"/>
        <v>{"valorA":"valeu","valorB":2.0}</v>
      </c>
      <c r="E208" s="8" t="str">
        <f t="shared" si="2"/>
        <v>valeu</v>
      </c>
      <c r="F208" s="8"/>
      <c r="G208" s="8" t="str">
        <f t="shared" si="3"/>
        <v>2.0</v>
      </c>
      <c r="H208" s="9">
        <f t="shared" si="4"/>
        <v>2</v>
      </c>
      <c r="I208" s="10">
        <f>IFERROR(__xludf.DUMMYFUNCTION("MAX(FILTER($H$2:$H1388,$E$2:$E1388=F208))"),0.0)</f>
        <v>0</v>
      </c>
    </row>
    <row r="209">
      <c r="A209" s="4"/>
      <c r="C209" s="4" t="s">
        <v>1140</v>
      </c>
      <c r="D209" s="4" t="str">
        <f t="shared" si="1"/>
        <v>{"valorA":"pena","valorB":3.0}</v>
      </c>
      <c r="E209" s="8" t="str">
        <f t="shared" si="2"/>
        <v>pena</v>
      </c>
      <c r="F209" s="8"/>
      <c r="G209" s="8" t="str">
        <f t="shared" si="3"/>
        <v>3.0</v>
      </c>
      <c r="H209" s="9">
        <f t="shared" si="4"/>
        <v>3</v>
      </c>
      <c r="I209" s="10">
        <f>IFERROR(__xludf.DUMMYFUNCTION("MAX(FILTER($H$2:$H1388,$E$2:$E1388=F209))"),0.0)</f>
        <v>0</v>
      </c>
    </row>
    <row r="210">
      <c r="A210" s="4"/>
      <c r="C210" s="4" t="s">
        <v>862</v>
      </c>
      <c r="D210" s="4" t="str">
        <f t="shared" si="1"/>
        <v>{"valorA":"de","valorB":16.0}</v>
      </c>
      <c r="E210" s="8" t="str">
        <f t="shared" si="2"/>
        <v>de</v>
      </c>
      <c r="F210" s="8"/>
      <c r="G210" s="8" t="str">
        <f t="shared" si="3"/>
        <v>16.0</v>
      </c>
      <c r="H210" s="9">
        <f t="shared" si="4"/>
        <v>16</v>
      </c>
      <c r="I210" s="10">
        <f>IFERROR(__xludf.DUMMYFUNCTION("MAX(FILTER($H$2:$H1388,$E$2:$E1388=F210))"),0.0)</f>
        <v>0</v>
      </c>
    </row>
    <row r="211">
      <c r="A211" s="4"/>
      <c r="C211" s="4" t="s">
        <v>1033</v>
      </c>
      <c r="D211" s="4" t="str">
        <f t="shared" si="1"/>
        <v>{"valorA":"lavador","valorB":2.0}</v>
      </c>
      <c r="E211" s="8" t="str">
        <f t="shared" si="2"/>
        <v>lavador</v>
      </c>
      <c r="F211" s="8"/>
      <c r="G211" s="8" t="str">
        <f t="shared" si="3"/>
        <v>2.0</v>
      </c>
      <c r="H211" s="9">
        <f t="shared" si="4"/>
        <v>2</v>
      </c>
      <c r="I211" s="10">
        <f>IFERROR(__xludf.DUMMYFUNCTION("MAX(FILTER($H$2:$H1388,$E$2:$E1388=F211))"),0.0)</f>
        <v>0</v>
      </c>
    </row>
    <row r="212">
      <c r="A212" s="4"/>
      <c r="C212" s="4" t="s">
        <v>1026</v>
      </c>
      <c r="D212" s="4" t="str">
        <f t="shared" si="1"/>
        <v>{"valorA":"óptimo","valorB":2.0}</v>
      </c>
      <c r="E212" s="8" t="str">
        <f t="shared" si="2"/>
        <v>óptimo</v>
      </c>
      <c r="F212" s="8"/>
      <c r="G212" s="8" t="str">
        <f t="shared" si="3"/>
        <v>2.0</v>
      </c>
      <c r="H212" s="9">
        <f t="shared" si="4"/>
        <v>2</v>
      </c>
      <c r="I212" s="10">
        <f>IFERROR(__xludf.DUMMYFUNCTION("MAX(FILTER($H$2:$H1388,$E$2:$E1388=F212))"),0.0)</f>
        <v>0</v>
      </c>
    </row>
    <row r="213">
      <c r="A213" s="4"/>
      <c r="C213" s="4" t="s">
        <v>677</v>
      </c>
      <c r="D213" s="4" t="str">
        <f t="shared" si="1"/>
        <v>{"valorA":"ótimo","valorB":21.0}</v>
      </c>
      <c r="E213" s="8" t="str">
        <f t="shared" si="2"/>
        <v>ótimo</v>
      </c>
      <c r="F213" s="8"/>
      <c r="G213" s="8" t="str">
        <f t="shared" si="3"/>
        <v>21.0</v>
      </c>
      <c r="H213" s="9">
        <f t="shared" si="4"/>
        <v>21</v>
      </c>
      <c r="I213" s="10">
        <f>IFERROR(__xludf.DUMMYFUNCTION("MAX(FILTER($H$2:$H1388,$E$2:$E1388=F213))"),0.0)</f>
        <v>0</v>
      </c>
    </row>
    <row r="214">
      <c r="A214" s="4"/>
      <c r="C214" s="4" t="s">
        <v>245</v>
      </c>
      <c r="D214" s="4" t="str">
        <f t="shared" si="1"/>
        <v>{"valorA":"perfeitamente","valorB":1.0}</v>
      </c>
      <c r="E214" s="8" t="str">
        <f t="shared" si="2"/>
        <v>perfeitamente</v>
      </c>
      <c r="F214" s="8"/>
      <c r="G214" s="8" t="str">
        <f t="shared" si="3"/>
        <v>1.0</v>
      </c>
      <c r="H214" s="9">
        <f t="shared" si="4"/>
        <v>1</v>
      </c>
      <c r="I214" s="10">
        <f>IFERROR(__xludf.DUMMYFUNCTION("MAX(FILTER($H$2:$H1388,$E$2:$E1388=F214))"),0.0)</f>
        <v>0</v>
      </c>
    </row>
    <row r="215">
      <c r="A215" s="4"/>
      <c r="C215" s="4" t="s">
        <v>1174</v>
      </c>
      <c r="D215" s="4" t="str">
        <f t="shared" si="1"/>
        <v>{"valorA":"prataria","valorB":2.0}</v>
      </c>
      <c r="E215" s="8" t="str">
        <f t="shared" si="2"/>
        <v>prataria</v>
      </c>
      <c r="F215" s="8"/>
      <c r="G215" s="8" t="str">
        <f t="shared" si="3"/>
        <v>2.0</v>
      </c>
      <c r="H215" s="9">
        <f t="shared" si="4"/>
        <v>2</v>
      </c>
      <c r="I215" s="10">
        <f>IFERROR(__xludf.DUMMYFUNCTION("MAX(FILTER($H$2:$H1388,$E$2:$E1388=F215))"),0.0)</f>
        <v>0</v>
      </c>
    </row>
    <row r="216">
      <c r="A216" s="4"/>
      <c r="C216" s="4" t="s">
        <v>725</v>
      </c>
      <c r="D216" s="4" t="str">
        <f t="shared" si="1"/>
        <v>{"valorA":"casa","valorB":2.0}</v>
      </c>
      <c r="E216" s="8" t="str">
        <f t="shared" si="2"/>
        <v>casa</v>
      </c>
      <c r="F216" s="8"/>
      <c r="G216" s="8" t="str">
        <f t="shared" si="3"/>
        <v>2.0</v>
      </c>
      <c r="H216" s="9">
        <f t="shared" si="4"/>
        <v>2</v>
      </c>
      <c r="I216" s="10">
        <f>IFERROR(__xludf.DUMMYFUNCTION("MAX(FILTER($H$2:$H1388,$E$2:$E1388=F216))"),0.0)</f>
        <v>0</v>
      </c>
    </row>
    <row r="217">
      <c r="A217" s="4"/>
      <c r="C217" s="4" t="s">
        <v>452</v>
      </c>
      <c r="D217" s="4" t="str">
        <f t="shared" si="1"/>
        <v>{"valorA":"a","valorB":5.0}</v>
      </c>
      <c r="E217" s="8" t="str">
        <f t="shared" si="2"/>
        <v>a</v>
      </c>
      <c r="F217" s="8"/>
      <c r="G217" s="8" t="str">
        <f t="shared" si="3"/>
        <v>5.0</v>
      </c>
      <c r="H217" s="9">
        <f t="shared" si="4"/>
        <v>5</v>
      </c>
      <c r="I217" s="10">
        <f>IFERROR(__xludf.DUMMYFUNCTION("MAX(FILTER($H$2:$H1388,$E$2:$E1388=F217))"),0.0)</f>
        <v>0</v>
      </c>
    </row>
    <row r="218">
      <c r="A218" s="4"/>
      <c r="C218" s="4" t="s">
        <v>989</v>
      </c>
      <c r="D218" s="4" t="str">
        <f t="shared" si="1"/>
        <v>{"valorA":"tudo","valorB":1.0}</v>
      </c>
      <c r="E218" s="8" t="str">
        <f t="shared" si="2"/>
        <v>tudo</v>
      </c>
      <c r="F218" s="8"/>
      <c r="G218" s="8" t="str">
        <f t="shared" si="3"/>
        <v>1.0</v>
      </c>
      <c r="H218" s="9">
        <f t="shared" si="4"/>
        <v>1</v>
      </c>
      <c r="I218" s="10">
        <f>IFERROR(__xludf.DUMMYFUNCTION("MAX(FILTER($H$2:$H1388,$E$2:$E1388=F218))"),0.0)</f>
        <v>0</v>
      </c>
    </row>
    <row r="219">
      <c r="A219" s="4"/>
      <c r="C219" s="4" t="s">
        <v>1190</v>
      </c>
      <c r="D219" s="4" t="str">
        <f t="shared" si="1"/>
        <v>{"valorA":"geladeira","valorB":1.0}</v>
      </c>
      <c r="E219" s="8" t="str">
        <f t="shared" si="2"/>
        <v>geladeira</v>
      </c>
      <c r="F219" s="8"/>
      <c r="G219" s="8" t="str">
        <f t="shared" si="3"/>
        <v>1.0</v>
      </c>
      <c r="H219" s="9">
        <f t="shared" si="4"/>
        <v>1</v>
      </c>
      <c r="I219" s="10">
        <f>IFERROR(__xludf.DUMMYFUNCTION("MAX(FILTER($H$2:$H1388,$E$2:$E1388=F219))"),0.0)</f>
        <v>0</v>
      </c>
    </row>
    <row r="220">
      <c r="A220" s="4"/>
      <c r="C220" s="4" t="s">
        <v>636</v>
      </c>
      <c r="D220" s="4" t="str">
        <f t="shared" si="1"/>
        <v>{"valorA":"funciona","valorB":3.0}</v>
      </c>
      <c r="E220" s="8" t="str">
        <f t="shared" si="2"/>
        <v>funciona</v>
      </c>
      <c r="F220" s="8"/>
      <c r="G220" s="8" t="str">
        <f t="shared" si="3"/>
        <v>3.0</v>
      </c>
      <c r="H220" s="9">
        <f t="shared" si="4"/>
        <v>3</v>
      </c>
      <c r="I220" s="10">
        <f>IFERROR(__xludf.DUMMYFUNCTION("MAX(FILTER($H$2:$H1388,$E$2:$E1388=F220))"),0.0)</f>
        <v>0</v>
      </c>
    </row>
    <row r="221">
      <c r="A221" s="4"/>
      <c r="C221" s="4" t="s">
        <v>1272</v>
      </c>
      <c r="D221" s="4" t="str">
        <f t="shared" si="1"/>
        <v>{"valorA":"minha","valorB":2.0}</v>
      </c>
      <c r="E221" s="8" t="str">
        <f t="shared" si="2"/>
        <v>minha</v>
      </c>
      <c r="F221" s="8"/>
      <c r="G221" s="8" t="str">
        <f t="shared" si="3"/>
        <v>2.0</v>
      </c>
      <c r="H221" s="9">
        <f t="shared" si="4"/>
        <v>2</v>
      </c>
      <c r="I221" s="10">
        <f>IFERROR(__xludf.DUMMYFUNCTION("MAX(FILTER($H$2:$H1388,$E$2:$E1388=F221))"),0.0)</f>
        <v>0</v>
      </c>
    </row>
    <row r="222">
      <c r="A222" s="4"/>
      <c r="C222" s="4" t="s">
        <v>383</v>
      </c>
      <c r="D222" s="4" t="str">
        <f t="shared" si="1"/>
        <v>{"valorA":"recomendo","valorB":5.0}</v>
      </c>
      <c r="E222" s="8" t="str">
        <f t="shared" si="2"/>
        <v>recomendo</v>
      </c>
      <c r="F222" s="8"/>
      <c r="G222" s="8" t="str">
        <f t="shared" si="3"/>
        <v>5.0</v>
      </c>
      <c r="H222" s="9">
        <f t="shared" si="4"/>
        <v>5</v>
      </c>
      <c r="I222" s="10">
        <f>IFERROR(__xludf.DUMMYFUNCTION("MAX(FILTER($H$2:$H1388,$E$2:$E1388=F222))"),0.0)</f>
        <v>0</v>
      </c>
    </row>
    <row r="223">
      <c r="A223" s="4"/>
      <c r="C223" s="4" t="s">
        <v>1128</v>
      </c>
      <c r="D223" s="4" t="str">
        <f t="shared" si="1"/>
        <v>{"valorA":"ótima","valorB":7.0}</v>
      </c>
      <c r="E223" s="8" t="str">
        <f t="shared" si="2"/>
        <v>ótima</v>
      </c>
      <c r="F223" s="8"/>
      <c r="G223" s="8" t="str">
        <f t="shared" si="3"/>
        <v>7.0</v>
      </c>
      <c r="H223" s="9">
        <f t="shared" si="4"/>
        <v>7</v>
      </c>
      <c r="I223" s="10">
        <f>IFERROR(__xludf.DUMMYFUNCTION("MAX(FILTER($H$2:$H1388,$E$2:$E1388=F223))"),0.0)</f>
        <v>0</v>
      </c>
    </row>
    <row r="224">
      <c r="A224" s="4"/>
      <c r="C224" s="4" t="s">
        <v>268</v>
      </c>
      <c r="D224" s="4" t="str">
        <f t="shared" si="1"/>
        <v>{"valorA":"bem","valorB":3.0}</v>
      </c>
      <c r="E224" s="8" t="str">
        <f t="shared" si="2"/>
        <v>bem</v>
      </c>
      <c r="F224" s="8"/>
      <c r="G224" s="8" t="str">
        <f t="shared" si="3"/>
        <v>3.0</v>
      </c>
      <c r="H224" s="9">
        <f t="shared" si="4"/>
        <v>3</v>
      </c>
      <c r="I224" s="10">
        <f>IFERROR(__xludf.DUMMYFUNCTION("MAX(FILTER($H$2:$H1388,$E$2:$E1388=F224))"),0.0)</f>
        <v>0</v>
      </c>
    </row>
    <row r="225">
      <c r="A225" s="4"/>
      <c r="C225" s="4" t="s">
        <v>996</v>
      </c>
      <c r="D225" s="4" t="str">
        <f t="shared" si="1"/>
        <v>{"valorA":"primeiro","valorB":1.0}</v>
      </c>
      <c r="E225" s="8" t="str">
        <f t="shared" si="2"/>
        <v>primeiro</v>
      </c>
      <c r="F225" s="8"/>
      <c r="G225" s="8" t="str">
        <f t="shared" si="3"/>
        <v>1.0</v>
      </c>
      <c r="H225" s="9">
        <f t="shared" si="4"/>
        <v>1</v>
      </c>
      <c r="I225" s="10">
        <f>IFERROR(__xludf.DUMMYFUNCTION("MAX(FILTER($H$2:$H1388,$E$2:$E1388=F225))"),0.0)</f>
        <v>0</v>
      </c>
    </row>
    <row r="226">
      <c r="A226" s="4"/>
      <c r="C226" s="4" t="s">
        <v>476</v>
      </c>
      <c r="D226" s="4" t="str">
        <f t="shared" si="1"/>
        <v>{"valorA":"o","valorB":8.0}</v>
      </c>
      <c r="E226" s="8" t="str">
        <f t="shared" si="2"/>
        <v>o</v>
      </c>
      <c r="F226" s="8"/>
      <c r="G226" s="8" t="str">
        <f t="shared" si="3"/>
        <v>8.0</v>
      </c>
      <c r="H226" s="9">
        <f t="shared" si="4"/>
        <v>8</v>
      </c>
      <c r="I226" s="10">
        <f>IFERROR(__xludf.DUMMYFUNCTION("MAX(FILTER($H$2:$H1388,$E$2:$E1388=F226))"),0.0)</f>
        <v>0</v>
      </c>
    </row>
    <row r="227">
      <c r="A227" s="4"/>
      <c r="C227" s="4" t="s">
        <v>998</v>
      </c>
      <c r="D227" s="4" t="str">
        <f t="shared" si="1"/>
        <v>{"valorA":"aparelho","valorB":1.0}</v>
      </c>
      <c r="E227" s="8" t="str">
        <f t="shared" si="2"/>
        <v>aparelho</v>
      </c>
      <c r="F227" s="8"/>
      <c r="G227" s="8" t="str">
        <f t="shared" si="3"/>
        <v>1.0</v>
      </c>
      <c r="H227" s="9">
        <f t="shared" si="4"/>
        <v>1</v>
      </c>
      <c r="I227" s="10">
        <f>IFERROR(__xludf.DUMMYFUNCTION("MAX(FILTER($H$2:$H1388,$E$2:$E1388=F227))"),0.0)</f>
        <v>0</v>
      </c>
    </row>
    <row r="228">
      <c r="A228" s="4"/>
      <c r="C228" s="4" t="s">
        <v>997</v>
      </c>
      <c r="D228" s="4" t="str">
        <f t="shared" si="1"/>
        <v>{"valorA":"desde","valorB":1.0}</v>
      </c>
      <c r="E228" s="8" t="str">
        <f t="shared" si="2"/>
        <v>desde</v>
      </c>
      <c r="F228" s="8"/>
      <c r="G228" s="8" t="str">
        <f t="shared" si="3"/>
        <v>1.0</v>
      </c>
      <c r="H228" s="9">
        <f t="shared" si="4"/>
        <v>1</v>
      </c>
      <c r="I228" s="10">
        <f>IFERROR(__xludf.DUMMYFUNCTION("MAX(FILTER($H$2:$H1388,$E$2:$E1388=F228))"),0.0)</f>
        <v>0</v>
      </c>
    </row>
    <row r="229">
      <c r="A229" s="4"/>
      <c r="C229" s="4" t="s">
        <v>999</v>
      </c>
      <c r="D229" s="4" t="str">
        <f t="shared" si="1"/>
        <v>{"valorA":"momento","valorB":1.0}</v>
      </c>
      <c r="E229" s="8" t="str">
        <f t="shared" si="2"/>
        <v>momento</v>
      </c>
      <c r="F229" s="8"/>
      <c r="G229" s="8" t="str">
        <f t="shared" si="3"/>
        <v>1.0</v>
      </c>
      <c r="H229" s="9">
        <f t="shared" si="4"/>
        <v>1</v>
      </c>
      <c r="I229" s="10">
        <f>IFERROR(__xludf.DUMMYFUNCTION("MAX(FILTER($H$2:$H1388,$E$2:$E1388=F229))"),0.0)</f>
        <v>0</v>
      </c>
    </row>
    <row r="230">
      <c r="A230" s="4"/>
      <c r="C230" s="4" t="s">
        <v>1598</v>
      </c>
      <c r="D230" s="4" t="str">
        <f t="shared" si="1"/>
        <v>{"valorA":"fortemente","valorB":2.0}</v>
      </c>
      <c r="E230" s="8" t="str">
        <f t="shared" si="2"/>
        <v>fortemente</v>
      </c>
      <c r="F230" s="8"/>
      <c r="G230" s="8" t="str">
        <f t="shared" si="3"/>
        <v>2.0</v>
      </c>
      <c r="H230" s="9">
        <f t="shared" si="4"/>
        <v>2</v>
      </c>
      <c r="I230" s="10">
        <f>IFERROR(__xludf.DUMMYFUNCTION("MAX(FILTER($H$2:$H1388,$E$2:$E1388=F230))"),0.0)</f>
        <v>0</v>
      </c>
    </row>
    <row r="231">
      <c r="A231" s="4"/>
      <c r="C231" s="4" t="s">
        <v>315</v>
      </c>
      <c r="D231" s="4" t="str">
        <f t="shared" si="1"/>
        <v>{"valorA":"ótimo","valorB":22.0}</v>
      </c>
      <c r="E231" s="8" t="str">
        <f t="shared" si="2"/>
        <v>ótimo</v>
      </c>
      <c r="F231" s="8"/>
      <c r="G231" s="8" t="str">
        <f t="shared" si="3"/>
        <v>22.0</v>
      </c>
      <c r="H231" s="9">
        <f t="shared" si="4"/>
        <v>22</v>
      </c>
      <c r="I231" s="10">
        <f>IFERROR(__xludf.DUMMYFUNCTION("MAX(FILTER($H$2:$H1388,$E$2:$E1388=F231))"),0.0)</f>
        <v>0</v>
      </c>
    </row>
    <row r="232">
      <c r="A232" s="4"/>
      <c r="C232" s="4" t="s">
        <v>339</v>
      </c>
      <c r="D232" s="4" t="str">
        <f t="shared" si="1"/>
        <v>{"valorA":"muito","valorB":10.0}</v>
      </c>
      <c r="E232" s="8" t="str">
        <f t="shared" si="2"/>
        <v>muito</v>
      </c>
      <c r="F232" s="8"/>
      <c r="G232" s="8" t="str">
        <f t="shared" si="3"/>
        <v>10.0</v>
      </c>
      <c r="H232" s="9">
        <f t="shared" si="4"/>
        <v>10</v>
      </c>
      <c r="I232" s="10">
        <f>IFERROR(__xludf.DUMMYFUNCTION("MAX(FILTER($H$2:$H1388,$E$2:$E1388=F232))"),0.0)</f>
        <v>0</v>
      </c>
    </row>
    <row r="233">
      <c r="A233" s="4"/>
      <c r="C233" s="4" t="s">
        <v>288</v>
      </c>
      <c r="D233" s="4" t="str">
        <f t="shared" si="1"/>
        <v>{"valorA":"funciona","valorB":4.0}</v>
      </c>
      <c r="E233" s="8" t="str">
        <f t="shared" si="2"/>
        <v>funciona</v>
      </c>
      <c r="F233" s="8"/>
      <c r="G233" s="8" t="str">
        <f t="shared" si="3"/>
        <v>4.0</v>
      </c>
      <c r="H233" s="9">
        <f t="shared" si="4"/>
        <v>4</v>
      </c>
      <c r="I233" s="10">
        <f>IFERROR(__xludf.DUMMYFUNCTION("MAX(FILTER($H$2:$H1388,$E$2:$E1388=F233))"),0.0)</f>
        <v>0</v>
      </c>
    </row>
    <row r="234">
      <c r="A234" s="4"/>
      <c r="C234" s="4" t="s">
        <v>1399</v>
      </c>
      <c r="D234" s="4" t="str">
        <f t="shared" si="1"/>
        <v>{"valorA":"impressora","valorB":1.0}</v>
      </c>
      <c r="E234" s="8" t="str">
        <f t="shared" si="2"/>
        <v>impressora</v>
      </c>
      <c r="F234" s="8"/>
      <c r="G234" s="8" t="str">
        <f t="shared" si="3"/>
        <v>1.0</v>
      </c>
      <c r="H234" s="9">
        <f t="shared" si="4"/>
        <v>1</v>
      </c>
      <c r="I234" s="10">
        <f>IFERROR(__xludf.DUMMYFUNCTION("MAX(FILTER($H$2:$H1388,$E$2:$E1388=F234))"),0.0)</f>
        <v>0</v>
      </c>
    </row>
    <row r="235">
      <c r="A235" s="4"/>
      <c r="C235" s="4" t="s">
        <v>678</v>
      </c>
      <c r="D235" s="4" t="str">
        <f t="shared" si="1"/>
        <v>{"valorA":"para","valorB":8.0}</v>
      </c>
      <c r="E235" s="8" t="str">
        <f t="shared" si="2"/>
        <v>para</v>
      </c>
      <c r="F235" s="8"/>
      <c r="G235" s="8" t="str">
        <f t="shared" si="3"/>
        <v>8.0</v>
      </c>
      <c r="H235" s="9">
        <f t="shared" si="4"/>
        <v>8</v>
      </c>
      <c r="I235" s="10">
        <f>IFERROR(__xludf.DUMMYFUNCTION("MAX(FILTER($H$2:$H1388,$E$2:$E1388=F235))"),0.0)</f>
        <v>0</v>
      </c>
    </row>
    <row r="236">
      <c r="A236" s="4"/>
      <c r="C236" s="4" t="s">
        <v>1599</v>
      </c>
      <c r="D236" s="4" t="str">
        <f t="shared" si="1"/>
        <v>{"valorA":"limpeza","valorB":2.0}</v>
      </c>
      <c r="E236" s="8" t="str">
        <f t="shared" si="2"/>
        <v>limpeza</v>
      </c>
      <c r="F236" s="8"/>
      <c r="G236" s="8" t="str">
        <f t="shared" si="3"/>
        <v>2.0</v>
      </c>
      <c r="H236" s="9">
        <f t="shared" si="4"/>
        <v>2</v>
      </c>
      <c r="I236" s="10">
        <f>IFERROR(__xludf.DUMMYFUNCTION("MAX(FILTER($H$2:$H1388,$E$2:$E1388=F236))"),0.0)</f>
        <v>0</v>
      </c>
    </row>
    <row r="237">
      <c r="A237" s="4"/>
      <c r="C237" s="4" t="s">
        <v>1055</v>
      </c>
      <c r="D237" s="4" t="str">
        <f t="shared" si="1"/>
        <v>{"valorA":"dia","valorB":1.0}</v>
      </c>
      <c r="E237" s="8" t="str">
        <f t="shared" si="2"/>
        <v>dia</v>
      </c>
      <c r="F237" s="8"/>
      <c r="G237" s="8" t="str">
        <f t="shared" si="3"/>
        <v>1.0</v>
      </c>
      <c r="H237" s="9">
        <f t="shared" si="4"/>
        <v>1</v>
      </c>
      <c r="I237" s="10">
        <f>IFERROR(__xludf.DUMMYFUNCTION("MAX(FILTER($H$2:$H1388,$E$2:$E1388=F237))"),0.0)</f>
        <v>0</v>
      </c>
    </row>
    <row r="238">
      <c r="A238" s="4"/>
      <c r="C238" s="4" t="s">
        <v>1168</v>
      </c>
      <c r="D238" s="4" t="str">
        <f t="shared" si="1"/>
        <v>{"valorA":"ótima","valorB":8.0}</v>
      </c>
      <c r="E238" s="8" t="str">
        <f t="shared" si="2"/>
        <v>ótima</v>
      </c>
      <c r="F238" s="8"/>
      <c r="G238" s="8" t="str">
        <f t="shared" si="3"/>
        <v>8.0</v>
      </c>
      <c r="H238" s="9">
        <f t="shared" si="4"/>
        <v>8</v>
      </c>
      <c r="I238" s="10">
        <f>IFERROR(__xludf.DUMMYFUNCTION("MAX(FILTER($H$2:$H1388,$E$2:$E1388=F238))"),0.0)</f>
        <v>0</v>
      </c>
    </row>
    <row r="239">
      <c r="A239" s="4"/>
      <c r="C239" s="4" t="s">
        <v>386</v>
      </c>
      <c r="D239" s="4" t="str">
        <f t="shared" si="1"/>
        <v>{"valorA":"usar","valorB":4.0}</v>
      </c>
      <c r="E239" s="8" t="str">
        <f t="shared" si="2"/>
        <v>usar</v>
      </c>
      <c r="F239" s="8"/>
      <c r="G239" s="8" t="str">
        <f t="shared" si="3"/>
        <v>4.0</v>
      </c>
      <c r="H239" s="9">
        <f t="shared" si="4"/>
        <v>4</v>
      </c>
      <c r="I239" s="10">
        <f>IFERROR(__xludf.DUMMYFUNCTION("MAX(FILTER($H$2:$H1388,$E$2:$E1388=F239))"),0.0)</f>
        <v>0</v>
      </c>
    </row>
    <row r="240">
      <c r="A240" s="4"/>
      <c r="C240" s="4" t="s">
        <v>1038</v>
      </c>
      <c r="D240" s="4" t="str">
        <f t="shared" si="1"/>
        <v>{"valorA":"primeiro","valorB":2.0}</v>
      </c>
      <c r="E240" s="8" t="str">
        <f t="shared" si="2"/>
        <v>primeiro</v>
      </c>
      <c r="F240" s="8"/>
      <c r="G240" s="8" t="str">
        <f t="shared" si="3"/>
        <v>2.0</v>
      </c>
      <c r="H240" s="9">
        <f t="shared" si="4"/>
        <v>2</v>
      </c>
      <c r="I240" s="10">
        <f>IFERROR(__xludf.DUMMYFUNCTION("MAX(FILTER($H$2:$H1388,$E$2:$E1388=F240))"),0.0)</f>
        <v>0</v>
      </c>
    </row>
    <row r="241">
      <c r="A241" s="4"/>
      <c r="C241" s="4" t="s">
        <v>1154</v>
      </c>
      <c r="D241" s="4" t="str">
        <f t="shared" si="1"/>
        <v>{"valorA":"de","valorB":17.0}</v>
      </c>
      <c r="E241" s="8" t="str">
        <f t="shared" si="2"/>
        <v>de</v>
      </c>
      <c r="F241" s="8"/>
      <c r="G241" s="8" t="str">
        <f t="shared" si="3"/>
        <v>17.0</v>
      </c>
      <c r="H241" s="9">
        <f t="shared" si="4"/>
        <v>17</v>
      </c>
      <c r="I241" s="10">
        <f>IFERROR(__xludf.DUMMYFUNCTION("MAX(FILTER($H$2:$H1388,$E$2:$E1388=F241))"),0.0)</f>
        <v>0</v>
      </c>
    </row>
    <row r="242">
      <c r="A242" s="4"/>
      <c r="C242" s="4" t="s">
        <v>791</v>
      </c>
      <c r="D242" s="4" t="str">
        <f t="shared" si="1"/>
        <v>{"valorA":"o","valorB":9.0}</v>
      </c>
      <c r="E242" s="8" t="str">
        <f t="shared" si="2"/>
        <v>o</v>
      </c>
      <c r="F242" s="8"/>
      <c r="G242" s="8" t="str">
        <f t="shared" si="3"/>
        <v>9.0</v>
      </c>
      <c r="H242" s="9">
        <f t="shared" si="4"/>
        <v>9</v>
      </c>
      <c r="I242" s="10">
        <f>IFERROR(__xludf.DUMMYFUNCTION("MAX(FILTER($H$2:$H1388,$E$2:$E1388=F242))"),0.0)</f>
        <v>0</v>
      </c>
    </row>
    <row r="243">
      <c r="A243" s="4"/>
      <c r="C243" s="4" t="s">
        <v>1041</v>
      </c>
      <c r="D243" s="4" t="str">
        <f t="shared" si="1"/>
        <v>{"valorA":"desde","valorB":2.0}</v>
      </c>
      <c r="E243" s="8" t="str">
        <f t="shared" si="2"/>
        <v>desde</v>
      </c>
      <c r="F243" s="8"/>
      <c r="G243" s="8" t="str">
        <f t="shared" si="3"/>
        <v>2.0</v>
      </c>
      <c r="H243" s="9">
        <f t="shared" si="4"/>
        <v>2</v>
      </c>
      <c r="I243" s="10">
        <f>IFERROR(__xludf.DUMMYFUNCTION("MAX(FILTER($H$2:$H1388,$E$2:$E1388=F243))"),0.0)</f>
        <v>0</v>
      </c>
    </row>
    <row r="244">
      <c r="A244" s="4"/>
      <c r="C244" s="4" t="s">
        <v>1014</v>
      </c>
      <c r="D244" s="4" t="str">
        <f t="shared" si="1"/>
        <v>{"valorA":"lavadora","valorB":2.0}</v>
      </c>
      <c r="E244" s="8" t="str">
        <f t="shared" si="2"/>
        <v>lavadora</v>
      </c>
      <c r="F244" s="8"/>
      <c r="G244" s="8" t="str">
        <f t="shared" si="3"/>
        <v>2.0</v>
      </c>
      <c r="H244" s="9">
        <f t="shared" si="4"/>
        <v>2</v>
      </c>
      <c r="I244" s="10">
        <f>IFERROR(__xludf.DUMMYFUNCTION("MAX(FILTER($H$2:$H1388,$E$2:$E1388=F244))"),0.0)</f>
        <v>0</v>
      </c>
    </row>
    <row r="245">
      <c r="A245" s="4"/>
      <c r="C245" s="4" t="s">
        <v>1025</v>
      </c>
      <c r="D245" s="4" t="str">
        <f t="shared" si="1"/>
        <v>{"valorA":"aparelho","valorB":2.0}</v>
      </c>
      <c r="E245" s="8" t="str">
        <f t="shared" si="2"/>
        <v>aparelho</v>
      </c>
      <c r="F245" s="8"/>
      <c r="G245" s="8" t="str">
        <f t="shared" si="3"/>
        <v>2.0</v>
      </c>
      <c r="H245" s="9">
        <f t="shared" si="4"/>
        <v>2</v>
      </c>
      <c r="I245" s="10">
        <f>IFERROR(__xludf.DUMMYFUNCTION("MAX(FILTER($H$2:$H1388,$E$2:$E1388=F245))"),0.0)</f>
        <v>0</v>
      </c>
    </row>
    <row r="246">
      <c r="A246" s="4"/>
      <c r="C246" s="4" t="s">
        <v>690</v>
      </c>
      <c r="D246" s="4" t="str">
        <f t="shared" si="1"/>
        <v>{"valorA":"ótimo","valorB":23.0}</v>
      </c>
      <c r="E246" s="8" t="str">
        <f t="shared" si="2"/>
        <v>ótimo</v>
      </c>
      <c r="F246" s="8"/>
      <c r="G246" s="8" t="str">
        <f t="shared" si="3"/>
        <v>23.0</v>
      </c>
      <c r="H246" s="9">
        <f t="shared" si="4"/>
        <v>23</v>
      </c>
      <c r="I246" s="10">
        <f>IFERROR(__xludf.DUMMYFUNCTION("MAX(FILTER($H$2:$H1388,$E$2:$E1388=F246))"),0.0)</f>
        <v>0</v>
      </c>
    </row>
    <row r="247">
      <c r="A247" s="4"/>
      <c r="C247" s="4" t="s">
        <v>724</v>
      </c>
      <c r="D247" s="4" t="str">
        <f t="shared" si="1"/>
        <v>{"valorA":"fácil","valorB":5.0}</v>
      </c>
      <c r="E247" s="8" t="str">
        <f t="shared" si="2"/>
        <v>fácil</v>
      </c>
      <c r="F247" s="8"/>
      <c r="G247" s="8" t="str">
        <f t="shared" si="3"/>
        <v>5.0</v>
      </c>
      <c r="H247" s="9">
        <f t="shared" si="4"/>
        <v>5</v>
      </c>
      <c r="I247" s="10">
        <f>IFERROR(__xludf.DUMMYFUNCTION("MAX(FILTER($H$2:$H1388,$E$2:$E1388=F247))"),0.0)</f>
        <v>0</v>
      </c>
    </row>
    <row r="248">
      <c r="A248" s="4"/>
      <c r="C248" s="4" t="s">
        <v>689</v>
      </c>
      <c r="D248" s="4" t="str">
        <f t="shared" si="1"/>
        <v>{"valorA":"perfeitamente","valorB":2.0}</v>
      </c>
      <c r="E248" s="8" t="str">
        <f t="shared" si="2"/>
        <v>perfeitamente</v>
      </c>
      <c r="F248" s="8"/>
      <c r="G248" s="8" t="str">
        <f t="shared" si="3"/>
        <v>2.0</v>
      </c>
      <c r="H248" s="9">
        <f t="shared" si="4"/>
        <v>2</v>
      </c>
      <c r="I248" s="10">
        <f>IFERROR(__xludf.DUMMYFUNCTION("MAX(FILTER($H$2:$H1388,$E$2:$E1388=F248))"),0.0)</f>
        <v>0</v>
      </c>
    </row>
    <row r="249">
      <c r="A249" s="4"/>
      <c r="C249" s="4" t="s">
        <v>303</v>
      </c>
      <c r="D249" s="4" t="str">
        <f t="shared" si="1"/>
        <v>{"valorA":"funciona","valorB":5.0}</v>
      </c>
      <c r="E249" s="8" t="str">
        <f t="shared" si="2"/>
        <v>funciona</v>
      </c>
      <c r="F249" s="8"/>
      <c r="G249" s="8" t="str">
        <f t="shared" si="3"/>
        <v>5.0</v>
      </c>
      <c r="H249" s="9">
        <f t="shared" si="4"/>
        <v>5</v>
      </c>
      <c r="I249" s="10">
        <f>IFERROR(__xludf.DUMMYFUNCTION("MAX(FILTER($H$2:$H1388,$E$2:$E1388=F249))"),0.0)</f>
        <v>0</v>
      </c>
    </row>
    <row r="250">
      <c r="A250" s="4"/>
      <c r="C250" s="4" t="s">
        <v>691</v>
      </c>
      <c r="D250" s="4" t="str">
        <f t="shared" si="1"/>
        <v>{"valorA":"para","valorB":9.0}</v>
      </c>
      <c r="E250" s="8" t="str">
        <f t="shared" si="2"/>
        <v>para</v>
      </c>
      <c r="F250" s="8"/>
      <c r="G250" s="8" t="str">
        <f t="shared" si="3"/>
        <v>9.0</v>
      </c>
      <c r="H250" s="9">
        <f t="shared" si="4"/>
        <v>9</v>
      </c>
      <c r="I250" s="10">
        <f>IFERROR(__xludf.DUMMYFUNCTION("MAX(FILTER($H$2:$H1388,$E$2:$E1388=F250))"),0.0)</f>
        <v>0</v>
      </c>
    </row>
    <row r="251">
      <c r="A251" s="4"/>
      <c r="C251" s="4" t="s">
        <v>404</v>
      </c>
      <c r="D251" s="4" t="str">
        <f t="shared" si="1"/>
        <v>{"valorA":"com","valorB":3.0}</v>
      </c>
      <c r="E251" s="8" t="str">
        <f t="shared" si="2"/>
        <v>com</v>
      </c>
      <c r="F251" s="8"/>
      <c r="G251" s="8" t="str">
        <f t="shared" si="3"/>
        <v>3.0</v>
      </c>
      <c r="H251" s="9">
        <f t="shared" si="4"/>
        <v>3</v>
      </c>
      <c r="I251" s="10">
        <f>IFERROR(__xludf.DUMMYFUNCTION("MAX(FILTER($H$2:$H1388,$E$2:$E1388=F251))"),0.0)</f>
        <v>0</v>
      </c>
    </row>
    <row r="252">
      <c r="A252" s="4"/>
      <c r="C252" s="4" t="s">
        <v>1600</v>
      </c>
      <c r="D252" s="4" t="str">
        <f t="shared" si="1"/>
        <v>{"valorA":"lâmpada","valorB":2.0}</v>
      </c>
      <c r="E252" s="8" t="str">
        <f t="shared" si="2"/>
        <v>lâmpada</v>
      </c>
      <c r="F252" s="8"/>
      <c r="G252" s="8" t="str">
        <f t="shared" si="3"/>
        <v>2.0</v>
      </c>
      <c r="H252" s="9">
        <f t="shared" si="4"/>
        <v>2</v>
      </c>
      <c r="I252" s="10">
        <f>IFERROR(__xludf.DUMMYFUNCTION("MAX(FILTER($H$2:$H1388,$E$2:$E1388=F252))"),0.0)</f>
        <v>0</v>
      </c>
    </row>
    <row r="253">
      <c r="A253" s="4"/>
      <c r="C253" s="4" t="s">
        <v>1601</v>
      </c>
      <c r="D253" s="4" t="str">
        <f t="shared" si="1"/>
        <v>{"valorA":"respiratórios","valorB":1.0}</v>
      </c>
      <c r="E253" s="8" t="str">
        <f t="shared" si="2"/>
        <v>respiratórios</v>
      </c>
      <c r="F253" s="8"/>
      <c r="G253" s="8" t="str">
        <f t="shared" si="3"/>
        <v>1.0</v>
      </c>
      <c r="H253" s="9">
        <f t="shared" si="4"/>
        <v>1</v>
      </c>
      <c r="I253" s="10">
        <f>IFERROR(__xludf.DUMMYFUNCTION("MAX(FILTER($H$2:$H1388,$E$2:$E1388=F253))"),0.0)</f>
        <v>0</v>
      </c>
    </row>
    <row r="254">
      <c r="A254" s="4"/>
      <c r="C254" s="4" t="s">
        <v>1602</v>
      </c>
      <c r="D254" s="4" t="str">
        <f t="shared" si="1"/>
        <v>{"valorA":"ótima","valorB":9.0}</v>
      </c>
      <c r="E254" s="8" t="str">
        <f t="shared" si="2"/>
        <v>ótima</v>
      </c>
      <c r="F254" s="8"/>
      <c r="G254" s="8" t="str">
        <f t="shared" si="3"/>
        <v>9.0</v>
      </c>
      <c r="H254" s="9">
        <f t="shared" si="4"/>
        <v>9</v>
      </c>
      <c r="I254" s="10">
        <f>IFERROR(__xludf.DUMMYFUNCTION("MAX(FILTER($H$2:$H1388,$E$2:$E1388=F254))"),0.0)</f>
        <v>0</v>
      </c>
    </row>
    <row r="255">
      <c r="A255" s="4"/>
      <c r="C255" s="4" t="s">
        <v>1603</v>
      </c>
      <c r="D255" s="4" t="str">
        <f t="shared" si="1"/>
        <v>{"valorA":"brilhante","valorB":1.0}</v>
      </c>
      <c r="E255" s="8" t="str">
        <f t="shared" si="2"/>
        <v>brilhante</v>
      </c>
      <c r="F255" s="8"/>
      <c r="G255" s="8" t="str">
        <f t="shared" si="3"/>
        <v>1.0</v>
      </c>
      <c r="H255" s="9">
        <f t="shared" si="4"/>
        <v>1</v>
      </c>
      <c r="I255" s="10">
        <f>IFERROR(__xludf.DUMMYFUNCTION("MAX(FILTER($H$2:$H1388,$E$2:$E1388=F255))"),0.0)</f>
        <v>0</v>
      </c>
    </row>
    <row r="256">
      <c r="A256" s="4"/>
      <c r="C256" s="4" t="s">
        <v>666</v>
      </c>
      <c r="D256" s="4" t="str">
        <f t="shared" si="1"/>
        <v>{"valorA":"e","valorB":7.0}</v>
      </c>
      <c r="E256" s="8" t="str">
        <f t="shared" si="2"/>
        <v>e</v>
      </c>
      <c r="F256" s="8"/>
      <c r="G256" s="8" t="str">
        <f t="shared" si="3"/>
        <v>7.0</v>
      </c>
      <c r="H256" s="9">
        <f t="shared" si="4"/>
        <v>7</v>
      </c>
      <c r="I256" s="10">
        <f>IFERROR(__xludf.DUMMYFUNCTION("MAX(FILTER($H$2:$H1388,$E$2:$E1388=F256))"),0.0)</f>
        <v>0</v>
      </c>
    </row>
    <row r="257">
      <c r="A257" s="4"/>
      <c r="C257" s="4" t="s">
        <v>1070</v>
      </c>
      <c r="D257" s="4" t="str">
        <f t="shared" si="1"/>
        <v>{"valorA":"óptimo","valorB":3.0}</v>
      </c>
      <c r="E257" s="8" t="str">
        <f t="shared" si="2"/>
        <v>óptimo</v>
      </c>
      <c r="F257" s="8"/>
      <c r="G257" s="8" t="str">
        <f t="shared" si="3"/>
        <v>3.0</v>
      </c>
      <c r="H257" s="9">
        <f t="shared" si="4"/>
        <v>3</v>
      </c>
      <c r="I257" s="10">
        <f>IFERROR(__xludf.DUMMYFUNCTION("MAX(FILTER($H$2:$H1388,$E$2:$E1388=F257))"),0.0)</f>
        <v>0</v>
      </c>
    </row>
    <row r="258">
      <c r="A258" s="4"/>
      <c r="C258" s="4" t="s">
        <v>1604</v>
      </c>
      <c r="D258" s="4" t="str">
        <f t="shared" si="1"/>
        <v>{"valorA":"aqueles","valorB":1.0}</v>
      </c>
      <c r="E258" s="8" t="str">
        <f t="shared" si="2"/>
        <v>aqueles</v>
      </c>
      <c r="F258" s="8"/>
      <c r="G258" s="8" t="str">
        <f t="shared" si="3"/>
        <v>1.0</v>
      </c>
      <c r="H258" s="9">
        <f t="shared" si="4"/>
        <v>1</v>
      </c>
      <c r="I258" s="10">
        <f>IFERROR(__xludf.DUMMYFUNCTION("MAX(FILTER($H$2:$H1388,$E$2:$E1388=F258))"),0.0)</f>
        <v>0</v>
      </c>
    </row>
    <row r="259">
      <c r="A259" s="4"/>
      <c r="C259" s="4" t="s">
        <v>1420</v>
      </c>
      <c r="D259" s="4" t="str">
        <f t="shared" si="1"/>
        <v>{"valorA":"led","valorB":2.0}</v>
      </c>
      <c r="E259" s="8" t="str">
        <f t="shared" si="2"/>
        <v>led</v>
      </c>
      <c r="F259" s="8"/>
      <c r="G259" s="8" t="str">
        <f t="shared" si="3"/>
        <v>2.0</v>
      </c>
      <c r="H259" s="9">
        <f t="shared" si="4"/>
        <v>2</v>
      </c>
      <c r="I259" s="10">
        <f>IFERROR(__xludf.DUMMYFUNCTION("MAX(FILTER($H$2:$H1388,$E$2:$E1388=F259))"),0.0)</f>
        <v>0</v>
      </c>
    </row>
    <row r="260">
      <c r="A260" s="4"/>
      <c r="C260" s="4" t="s">
        <v>1605</v>
      </c>
      <c r="D260" s="4" t="str">
        <f t="shared" si="1"/>
        <v>{"valorA":"consumidora","valorB":1.0}</v>
      </c>
      <c r="E260" s="8" t="str">
        <f t="shared" si="2"/>
        <v>consumidora</v>
      </c>
      <c r="F260" s="8"/>
      <c r="G260" s="8" t="str">
        <f t="shared" si="3"/>
        <v>1.0</v>
      </c>
      <c r="H260" s="9">
        <f t="shared" si="4"/>
        <v>1</v>
      </c>
      <c r="I260" s="10">
        <f>IFERROR(__xludf.DUMMYFUNCTION("MAX(FILTER($H$2:$H1388,$E$2:$E1388=F260))"),0.0)</f>
        <v>0</v>
      </c>
    </row>
    <row r="261">
      <c r="A261" s="4"/>
      <c r="C261" s="4" t="s">
        <v>1262</v>
      </c>
      <c r="D261" s="4" t="str">
        <f t="shared" si="1"/>
        <v>{"valorA":"pouco","valorB":1.0}</v>
      </c>
      <c r="E261" s="8" t="str">
        <f t="shared" si="2"/>
        <v>pouco</v>
      </c>
      <c r="F261" s="8"/>
      <c r="G261" s="8" t="str">
        <f t="shared" si="3"/>
        <v>1.0</v>
      </c>
      <c r="H261" s="9">
        <f t="shared" si="4"/>
        <v>1</v>
      </c>
      <c r="I261" s="10">
        <f>IFERROR(__xludf.DUMMYFUNCTION("MAX(FILTER($H$2:$H1388,$E$2:$E1388=F261))"),0.0)</f>
        <v>0</v>
      </c>
    </row>
    <row r="262">
      <c r="A262" s="4"/>
      <c r="C262" s="4" t="s">
        <v>358</v>
      </c>
      <c r="D262" s="4" t="str">
        <f t="shared" si="1"/>
        <v>{"valorA":"muito","valorB":11.0}</v>
      </c>
      <c r="E262" s="8" t="str">
        <f t="shared" si="2"/>
        <v>muito</v>
      </c>
      <c r="F262" s="8"/>
      <c r="G262" s="8" t="str">
        <f t="shared" si="3"/>
        <v>11.0</v>
      </c>
      <c r="H262" s="9">
        <f t="shared" si="4"/>
        <v>11</v>
      </c>
      <c r="I262" s="10">
        <f>IFERROR(__xludf.DUMMYFUNCTION("MAX(FILTER($H$2:$H1388,$E$2:$E1388=F262))"),0.0)</f>
        <v>0</v>
      </c>
    </row>
    <row r="263">
      <c r="A263" s="4"/>
      <c r="C263" s="4" t="s">
        <v>1112</v>
      </c>
      <c r="D263" s="4" t="str">
        <f t="shared" si="1"/>
        <v>{"valorA":"problemas","valorB":2.0}</v>
      </c>
      <c r="E263" s="8" t="str">
        <f t="shared" si="2"/>
        <v>problemas</v>
      </c>
      <c r="F263" s="8"/>
      <c r="G263" s="8" t="str">
        <f t="shared" si="3"/>
        <v>2.0</v>
      </c>
      <c r="H263" s="9">
        <f t="shared" si="4"/>
        <v>2</v>
      </c>
      <c r="I263" s="10">
        <f>IFERROR(__xludf.DUMMYFUNCTION("MAX(FILTER($H$2:$H1388,$E$2:$E1388=F263))"),0.0)</f>
        <v>0</v>
      </c>
    </row>
    <row r="264">
      <c r="A264" s="4"/>
      <c r="C264" s="4" t="s">
        <v>720</v>
      </c>
      <c r="D264" s="4" t="str">
        <f t="shared" si="1"/>
        <v>{"valorA":"para","valorB":10.0}</v>
      </c>
      <c r="E264" s="8" t="str">
        <f t="shared" si="2"/>
        <v>para</v>
      </c>
      <c r="F264" s="8"/>
      <c r="G264" s="8" t="str">
        <f t="shared" si="3"/>
        <v>10.0</v>
      </c>
      <c r="H264" s="9">
        <f t="shared" si="4"/>
        <v>10</v>
      </c>
      <c r="I264" s="10">
        <f>IFERROR(__xludf.DUMMYFUNCTION("MAX(FILTER($H$2:$H1388,$E$2:$E1388=F264))"),0.0)</f>
        <v>0</v>
      </c>
    </row>
    <row r="265">
      <c r="A265" s="4"/>
      <c r="C265" s="4" t="s">
        <v>1606</v>
      </c>
      <c r="D265" s="4" t="str">
        <f t="shared" si="1"/>
        <v>{"valorA":"serviço","valorB":3.0}</v>
      </c>
      <c r="E265" s="8" t="str">
        <f t="shared" si="2"/>
        <v>serviço</v>
      </c>
      <c r="F265" s="8"/>
      <c r="G265" s="8" t="str">
        <f t="shared" si="3"/>
        <v>3.0</v>
      </c>
      <c r="H265" s="9">
        <f t="shared" si="4"/>
        <v>3</v>
      </c>
      <c r="I265" s="10">
        <f>IFERROR(__xludf.DUMMYFUNCTION("MAX(FILTER($H$2:$H1388,$E$2:$E1388=F265))"),0.0)</f>
        <v>0</v>
      </c>
    </row>
    <row r="266">
      <c r="A266" s="4"/>
      <c r="C266" s="4" t="s">
        <v>1607</v>
      </c>
      <c r="D266" s="4" t="str">
        <f t="shared" si="1"/>
        <v>{"valorA":"salvar","valorB":1.0}</v>
      </c>
      <c r="E266" s="8" t="str">
        <f t="shared" si="2"/>
        <v>salvar</v>
      </c>
      <c r="F266" s="8"/>
      <c r="G266" s="8" t="str">
        <f t="shared" si="3"/>
        <v>1.0</v>
      </c>
      <c r="H266" s="9">
        <f t="shared" si="4"/>
        <v>1</v>
      </c>
      <c r="I266" s="10">
        <f>IFERROR(__xludf.DUMMYFUNCTION("MAX(FILTER($H$2:$H1388,$E$2:$E1388=F266))"),0.0)</f>
        <v>0</v>
      </c>
    </row>
    <row r="267">
      <c r="A267" s="4"/>
      <c r="C267" s="4" t="s">
        <v>1608</v>
      </c>
      <c r="D267" s="4" t="str">
        <f t="shared" si="1"/>
        <v>{"valorA":"agradavel","valorB":1.0}</v>
      </c>
      <c r="E267" s="8" t="str">
        <f t="shared" si="2"/>
        <v>agradavel</v>
      </c>
      <c r="F267" s="8"/>
      <c r="G267" s="8" t="str">
        <f t="shared" si="3"/>
        <v>1.0</v>
      </c>
      <c r="H267" s="9">
        <f t="shared" si="4"/>
        <v>1</v>
      </c>
      <c r="I267" s="10">
        <f>IFERROR(__xludf.DUMMYFUNCTION("MAX(FILTER($H$2:$H1388,$E$2:$E1388=F267))"),0.0)</f>
        <v>0</v>
      </c>
    </row>
    <row r="268">
      <c r="A268" s="4"/>
      <c r="C268" s="4" t="s">
        <v>1609</v>
      </c>
      <c r="D268" s="4" t="str">
        <f t="shared" si="1"/>
        <v>{"valorA":"foi","valorB":2.0}</v>
      </c>
      <c r="E268" s="8" t="str">
        <f t="shared" si="2"/>
        <v>foi</v>
      </c>
      <c r="F268" s="8"/>
      <c r="G268" s="8" t="str">
        <f t="shared" si="3"/>
        <v>2.0</v>
      </c>
      <c r="H268" s="9">
        <f t="shared" si="4"/>
        <v>2</v>
      </c>
      <c r="I268" s="10">
        <f>IFERROR(__xludf.DUMMYFUNCTION("MAX(FILTER($H$2:$H1388,$E$2:$E1388=F268))"),0.0)</f>
        <v>0</v>
      </c>
    </row>
    <row r="269">
      <c r="A269" s="4"/>
      <c r="C269" s="4" t="s">
        <v>815</v>
      </c>
      <c r="D269" s="4" t="str">
        <f t="shared" si="1"/>
        <v>{"valorA":"o","valorB":10.0}</v>
      </c>
      <c r="E269" s="8" t="str">
        <f t="shared" si="2"/>
        <v>o</v>
      </c>
      <c r="F269" s="8"/>
      <c r="G269" s="8" t="str">
        <f t="shared" si="3"/>
        <v>10.0</v>
      </c>
      <c r="H269" s="9">
        <f t="shared" si="4"/>
        <v>10</v>
      </c>
      <c r="I269" s="10">
        <f>IFERROR(__xludf.DUMMYFUNCTION("MAX(FILTER($H$2:$H1388,$E$2:$E1388=F269))"),0.0)</f>
        <v>0</v>
      </c>
    </row>
    <row r="270">
      <c r="A270" s="4"/>
      <c r="C270" s="4" t="s">
        <v>387</v>
      </c>
      <c r="D270" s="4" t="str">
        <f t="shared" si="1"/>
        <v>{"valorA":"e","valorB":8.0}</v>
      </c>
      <c r="E270" s="8" t="str">
        <f t="shared" si="2"/>
        <v>e</v>
      </c>
      <c r="F270" s="8"/>
      <c r="G270" s="8" t="str">
        <f t="shared" si="3"/>
        <v>8.0</v>
      </c>
      <c r="H270" s="9">
        <f t="shared" si="4"/>
        <v>8</v>
      </c>
      <c r="I270" s="10">
        <f>IFERROR(__xludf.DUMMYFUNCTION("MAX(FILTER($H$2:$H1388,$E$2:$E1388=F270))"),0.0)</f>
        <v>0</v>
      </c>
    </row>
    <row r="271">
      <c r="A271" s="4"/>
      <c r="C271" s="4" t="s">
        <v>478</v>
      </c>
      <c r="D271" s="4" t="str">
        <f t="shared" si="1"/>
        <v>{"valorA":"dinheiro","valorB":1.0}</v>
      </c>
      <c r="E271" s="8" t="str">
        <f t="shared" si="2"/>
        <v>dinheiro</v>
      </c>
      <c r="F271" s="8"/>
      <c r="G271" s="8" t="str">
        <f t="shared" si="3"/>
        <v>1.0</v>
      </c>
      <c r="H271" s="9">
        <f t="shared" si="4"/>
        <v>1</v>
      </c>
      <c r="I271" s="10">
        <f>IFERROR(__xludf.DUMMYFUNCTION("MAX(FILTER($H$2:$H1388,$E$2:$E1388=F271))"),0.0)</f>
        <v>0</v>
      </c>
    </row>
    <row r="272">
      <c r="A272" s="4"/>
      <c r="C272" s="4" t="s">
        <v>1610</v>
      </c>
      <c r="D272" s="4" t="str">
        <f t="shared" si="1"/>
        <v>{"valorA":"quiserem","valorB":1.0}</v>
      </c>
      <c r="E272" s="8" t="str">
        <f t="shared" si="2"/>
        <v>quiserem</v>
      </c>
      <c r="F272" s="8"/>
      <c r="G272" s="8" t="str">
        <f t="shared" si="3"/>
        <v>1.0</v>
      </c>
      <c r="H272" s="9">
        <f t="shared" si="4"/>
        <v>1</v>
      </c>
      <c r="I272" s="10">
        <f>IFERROR(__xludf.DUMMYFUNCTION("MAX(FILTER($H$2:$H1388,$E$2:$E1388=F272))"),0.0)</f>
        <v>0</v>
      </c>
    </row>
    <row r="273">
      <c r="A273" s="4"/>
      <c r="C273" s="4" t="s">
        <v>188</v>
      </c>
      <c r="D273" s="4" t="str">
        <f t="shared" si="1"/>
        <v>{"valorA":"rápido","valorB":1.0}</v>
      </c>
      <c r="E273" s="8" t="str">
        <f t="shared" si="2"/>
        <v>rápido</v>
      </c>
      <c r="F273" s="8"/>
      <c r="G273" s="8" t="str">
        <f t="shared" si="3"/>
        <v>1.0</v>
      </c>
      <c r="H273" s="9">
        <f t="shared" si="4"/>
        <v>1</v>
      </c>
      <c r="I273" s="10">
        <f>IFERROR(__xludf.DUMMYFUNCTION("MAX(FILTER($H$2:$H1388,$E$2:$E1388=F273))"),0.0)</f>
        <v>0</v>
      </c>
    </row>
    <row r="274">
      <c r="A274" s="4"/>
      <c r="C274" s="4" t="s">
        <v>1084</v>
      </c>
      <c r="D274" s="4" t="str">
        <f t="shared" si="1"/>
        <v>{"valorA":"aparelho","valorB":3.0}</v>
      </c>
      <c r="E274" s="8" t="str">
        <f t="shared" si="2"/>
        <v>aparelho</v>
      </c>
      <c r="F274" s="8"/>
      <c r="G274" s="8" t="str">
        <f t="shared" si="3"/>
        <v>3.0</v>
      </c>
      <c r="H274" s="9">
        <f t="shared" si="4"/>
        <v>3</v>
      </c>
      <c r="I274" s="10">
        <f>IFERROR(__xludf.DUMMYFUNCTION("MAX(FILTER($H$2:$H1388,$E$2:$E1388=F274))"),0.0)</f>
        <v>0</v>
      </c>
    </row>
    <row r="275">
      <c r="A275" s="4"/>
      <c r="C275" s="4" t="s">
        <v>746</v>
      </c>
      <c r="D275" s="4" t="str">
        <f t="shared" si="1"/>
        <v>{"valorA":"que","valorB":6.0}</v>
      </c>
      <c r="E275" s="8" t="str">
        <f t="shared" si="2"/>
        <v>que</v>
      </c>
      <c r="F275" s="8"/>
      <c r="G275" s="8" t="str">
        <f t="shared" si="3"/>
        <v>6.0</v>
      </c>
      <c r="H275" s="9">
        <f t="shared" si="4"/>
        <v>6</v>
      </c>
      <c r="I275" s="10">
        <f>IFERROR(__xludf.DUMMYFUNCTION("MAX(FILTER($H$2:$H1388,$E$2:$E1388=F275))"),0.0)</f>
        <v>0</v>
      </c>
    </row>
    <row r="276">
      <c r="A276" s="4"/>
      <c r="C276" s="4" t="s">
        <v>1611</v>
      </c>
      <c r="D276" s="4" t="str">
        <f t="shared" si="1"/>
        <v>{"valorA":"aqueles","valorB":2.0}</v>
      </c>
      <c r="E276" s="8" t="str">
        <f t="shared" si="2"/>
        <v>aqueles</v>
      </c>
      <c r="F276" s="8"/>
      <c r="G276" s="8" t="str">
        <f t="shared" si="3"/>
        <v>2.0</v>
      </c>
      <c r="H276" s="9">
        <f t="shared" si="4"/>
        <v>2</v>
      </c>
      <c r="I276" s="10">
        <f>IFERROR(__xludf.DUMMYFUNCTION("MAX(FILTER($H$2:$H1388,$E$2:$E1388=F276))"),0.0)</f>
        <v>0</v>
      </c>
    </row>
    <row r="277">
      <c r="A277" s="4"/>
      <c r="C277" s="4" t="s">
        <v>795</v>
      </c>
      <c r="D277" s="4" t="str">
        <f t="shared" si="1"/>
        <v>{"valorA":"aqui","valorB":1.0}</v>
      </c>
      <c r="E277" s="8" t="str">
        <f t="shared" si="2"/>
        <v>aqui</v>
      </c>
      <c r="F277" s="8"/>
      <c r="G277" s="8" t="str">
        <f t="shared" si="3"/>
        <v>1.0</v>
      </c>
      <c r="H277" s="9">
        <f t="shared" si="4"/>
        <v>1</v>
      </c>
      <c r="I277" s="10">
        <f>IFERROR(__xludf.DUMMYFUNCTION("MAX(FILTER($H$2:$H1388,$E$2:$E1388=F277))"),0.0)</f>
        <v>0</v>
      </c>
    </row>
    <row r="278">
      <c r="A278" s="4"/>
      <c r="C278" s="4" t="s">
        <v>336</v>
      </c>
      <c r="D278" s="4" t="str">
        <f t="shared" si="1"/>
        <v>{"valorA":"ótimo","valorB":25.0}</v>
      </c>
      <c r="E278" s="8" t="str">
        <f t="shared" si="2"/>
        <v>ótimo</v>
      </c>
      <c r="F278" s="8"/>
      <c r="G278" s="8" t="str">
        <f t="shared" si="3"/>
        <v>25.0</v>
      </c>
      <c r="H278" s="9">
        <f t="shared" si="4"/>
        <v>25</v>
      </c>
      <c r="I278" s="10">
        <f>IFERROR(__xludf.DUMMYFUNCTION("MAX(FILTER($H$2:$H1388,$E$2:$E1388=F278))"),0.0)</f>
        <v>0</v>
      </c>
    </row>
    <row r="279">
      <c r="A279" s="4"/>
      <c r="C279" s="4" t="s">
        <v>1002</v>
      </c>
      <c r="D279" s="4" t="str">
        <f t="shared" si="1"/>
        <v>{"valorA":"atendimento","valorB":1.0}</v>
      </c>
      <c r="E279" s="8" t="str">
        <f t="shared" si="2"/>
        <v>atendimento</v>
      </c>
      <c r="F279" s="8"/>
      <c r="G279" s="8" t="str">
        <f t="shared" si="3"/>
        <v>1.0</v>
      </c>
      <c r="H279" s="9">
        <f t="shared" si="4"/>
        <v>1</v>
      </c>
      <c r="I279" s="10">
        <f>IFERROR(__xludf.DUMMYFUNCTION("MAX(FILTER($H$2:$H1388,$E$2:$E1388=F279))"),0.0)</f>
        <v>0</v>
      </c>
    </row>
    <row r="280">
      <c r="A280" s="4"/>
      <c r="C280" s="4" t="s">
        <v>377</v>
      </c>
      <c r="D280" s="4" t="str">
        <f t="shared" si="1"/>
        <v>{"valorA":"muito","valorB":12.0}</v>
      </c>
      <c r="E280" s="8" t="str">
        <f t="shared" si="2"/>
        <v>muito</v>
      </c>
      <c r="F280" s="8"/>
      <c r="G280" s="8" t="str">
        <f t="shared" si="3"/>
        <v>12.0</v>
      </c>
      <c r="H280" s="9">
        <f t="shared" si="4"/>
        <v>12</v>
      </c>
      <c r="I280" s="10">
        <f>IFERROR(__xludf.DUMMYFUNCTION("MAX(FILTER($H$2:$H1388,$E$2:$E1388=F280))"),0.0)</f>
        <v>0</v>
      </c>
    </row>
    <row r="281">
      <c r="A281" s="4"/>
      <c r="C281" s="4" t="s">
        <v>1612</v>
      </c>
      <c r="D281" s="4" t="str">
        <f t="shared" si="1"/>
        <v>{"valorA":"hoje","valorB":3.0}</v>
      </c>
      <c r="E281" s="8" t="str">
        <f t="shared" si="2"/>
        <v>hoje</v>
      </c>
      <c r="F281" s="8"/>
      <c r="G281" s="8" t="str">
        <f t="shared" si="3"/>
        <v>3.0</v>
      </c>
      <c r="H281" s="9">
        <f t="shared" si="4"/>
        <v>3</v>
      </c>
      <c r="I281" s="10">
        <f>IFERROR(__xludf.DUMMYFUNCTION("MAX(FILTER($H$2:$H1388,$E$2:$E1388=F281))"),0.0)</f>
        <v>0</v>
      </c>
    </row>
    <row r="282">
      <c r="A282" s="4"/>
      <c r="C282" s="4" t="s">
        <v>1613</v>
      </c>
      <c r="D282" s="4" t="str">
        <f t="shared" si="1"/>
        <v>{"valorA":"amigável","valorB":1.0}</v>
      </c>
      <c r="E282" s="8" t="str">
        <f t="shared" si="2"/>
        <v>amigável</v>
      </c>
      <c r="F282" s="8"/>
      <c r="G282" s="8" t="str">
        <f t="shared" si="3"/>
        <v>1.0</v>
      </c>
      <c r="H282" s="9">
        <f t="shared" si="4"/>
        <v>1</v>
      </c>
      <c r="I282" s="10">
        <f>IFERROR(__xludf.DUMMYFUNCTION("MAX(FILTER($H$2:$H1388,$E$2:$E1388=F282))"),0.0)</f>
        <v>0</v>
      </c>
    </row>
    <row r="283">
      <c r="A283" s="4"/>
      <c r="C283" s="4" t="s">
        <v>728</v>
      </c>
      <c r="D283" s="4" t="str">
        <f t="shared" si="1"/>
        <v>{"valorA":"para","valorB":11.0}</v>
      </c>
      <c r="E283" s="8" t="str">
        <f t="shared" si="2"/>
        <v>para</v>
      </c>
      <c r="F283" s="8"/>
      <c r="G283" s="8" t="str">
        <f t="shared" si="3"/>
        <v>11.0</v>
      </c>
      <c r="H283" s="9">
        <f t="shared" si="4"/>
        <v>11</v>
      </c>
      <c r="I283" s="10">
        <f>IFERROR(__xludf.DUMMYFUNCTION("MAX(FILTER($H$2:$H1388,$E$2:$E1388=F283))"),0.0)</f>
        <v>0</v>
      </c>
    </row>
    <row r="284">
      <c r="A284" s="4"/>
      <c r="C284" s="4" t="s">
        <v>1614</v>
      </c>
      <c r="D284" s="4" t="str">
        <f t="shared" si="1"/>
        <v>{"valorA":"armazenamento","valorB":1.0}</v>
      </c>
      <c r="E284" s="8" t="str">
        <f t="shared" si="2"/>
        <v>armazenamento</v>
      </c>
      <c r="F284" s="8"/>
      <c r="G284" s="8" t="str">
        <f t="shared" si="3"/>
        <v>1.0</v>
      </c>
      <c r="H284" s="9">
        <f t="shared" si="4"/>
        <v>1</v>
      </c>
      <c r="I284" s="10">
        <f>IFERROR(__xludf.DUMMYFUNCTION("MAX(FILTER($H$2:$H1388,$E$2:$E1388=F284))"),0.0)</f>
        <v>0</v>
      </c>
    </row>
    <row r="285">
      <c r="A285" s="4"/>
      <c r="C285" s="4" t="s">
        <v>439</v>
      </c>
      <c r="D285" s="4" t="str">
        <f t="shared" si="1"/>
        <v>{"valorA":"usar","valorB":5.0}</v>
      </c>
      <c r="E285" s="8" t="str">
        <f t="shared" si="2"/>
        <v>usar</v>
      </c>
      <c r="F285" s="8"/>
      <c r="G285" s="8" t="str">
        <f t="shared" si="3"/>
        <v>5.0</v>
      </c>
      <c r="H285" s="9">
        <f t="shared" si="4"/>
        <v>5</v>
      </c>
      <c r="I285" s="10">
        <f>IFERROR(__xludf.DUMMYFUNCTION("MAX(FILTER($H$2:$H1388,$E$2:$E1388=F285))"),0.0)</f>
        <v>0</v>
      </c>
    </row>
    <row r="286">
      <c r="A286" s="4"/>
      <c r="C286" s="4" t="s">
        <v>425</v>
      </c>
      <c r="D286" s="4" t="str">
        <f t="shared" si="1"/>
        <v>{"valorA":"e","valorB":9.0}</v>
      </c>
      <c r="E286" s="8" t="str">
        <f t="shared" si="2"/>
        <v>e</v>
      </c>
      <c r="F286" s="8"/>
      <c r="G286" s="8" t="str">
        <f t="shared" si="3"/>
        <v>9.0</v>
      </c>
      <c r="H286" s="9">
        <f t="shared" si="4"/>
        <v>9</v>
      </c>
      <c r="I286" s="10">
        <f>IFERROR(__xludf.DUMMYFUNCTION("MAX(FILTER($H$2:$H1388,$E$2:$E1388=F286))"),0.0)</f>
        <v>0</v>
      </c>
    </row>
    <row r="287">
      <c r="A287" s="4"/>
      <c r="C287" s="4" t="s">
        <v>1169</v>
      </c>
      <c r="D287" s="4" t="str">
        <f t="shared" si="1"/>
        <v>{"valorA":"de","valorB":19.0}</v>
      </c>
      <c r="E287" s="8" t="str">
        <f t="shared" si="2"/>
        <v>de</v>
      </c>
      <c r="F287" s="8"/>
      <c r="G287" s="8" t="str">
        <f t="shared" si="3"/>
        <v>19.0</v>
      </c>
      <c r="H287" s="9">
        <f t="shared" si="4"/>
        <v>19</v>
      </c>
      <c r="I287" s="10">
        <f>IFERROR(__xludf.DUMMYFUNCTION("MAX(FILTER($H$2:$H1388,$E$2:$E1388=F287))"),0.0)</f>
        <v>0</v>
      </c>
    </row>
    <row r="288">
      <c r="A288" s="4"/>
      <c r="C288" s="4" t="s">
        <v>1615</v>
      </c>
      <c r="D288" s="4" t="str">
        <f t="shared" si="1"/>
        <v>{"valorA":"mochilas","valorB":1.0}</v>
      </c>
      <c r="E288" s="8" t="str">
        <f t="shared" si="2"/>
        <v>mochilas</v>
      </c>
      <c r="F288" s="8"/>
      <c r="G288" s="8" t="str">
        <f t="shared" si="3"/>
        <v>1.0</v>
      </c>
      <c r="H288" s="9">
        <f t="shared" si="4"/>
        <v>1</v>
      </c>
      <c r="I288" s="10">
        <f>IFERROR(__xludf.DUMMYFUNCTION("MAX(FILTER($H$2:$H1388,$E$2:$E1388=F288))"),0.0)</f>
        <v>0</v>
      </c>
    </row>
    <row r="289">
      <c r="A289" s="4"/>
      <c r="C289" s="4" t="s">
        <v>1616</v>
      </c>
      <c r="D289" s="4" t="str">
        <f t="shared" si="1"/>
        <v>{"valorA":"seguro","valorB":1.0}</v>
      </c>
      <c r="E289" s="8" t="str">
        <f t="shared" si="2"/>
        <v>seguro</v>
      </c>
      <c r="F289" s="8"/>
      <c r="G289" s="8" t="str">
        <f t="shared" si="3"/>
        <v>1.0</v>
      </c>
      <c r="H289" s="9">
        <f t="shared" si="4"/>
        <v>1</v>
      </c>
      <c r="I289" s="10">
        <f>IFERROR(__xludf.DUMMYFUNCTION("MAX(FILTER($H$2:$H1388,$E$2:$E1388=F289))"),0.0)</f>
        <v>0</v>
      </c>
    </row>
    <row r="290">
      <c r="A290" s="4"/>
      <c r="C290" s="4" t="s">
        <v>355</v>
      </c>
      <c r="D290" s="4" t="str">
        <f t="shared" si="1"/>
        <v>{"valorA":"ótimo","valorB":27.0}</v>
      </c>
      <c r="E290" s="8" t="str">
        <f t="shared" si="2"/>
        <v>ótimo</v>
      </c>
      <c r="F290" s="8"/>
      <c r="G290" s="8" t="str">
        <f t="shared" si="3"/>
        <v>27.0</v>
      </c>
      <c r="H290" s="9">
        <f t="shared" si="4"/>
        <v>27</v>
      </c>
      <c r="I290" s="10">
        <f>IFERROR(__xludf.DUMMYFUNCTION("MAX(FILTER($H$2:$H1388,$E$2:$E1388=F290))"),0.0)</f>
        <v>0</v>
      </c>
    </row>
    <row r="291">
      <c r="A291" s="4"/>
      <c r="C291" s="4" t="s">
        <v>755</v>
      </c>
      <c r="D291" s="4" t="str">
        <f t="shared" si="1"/>
        <v>{"valorA":"fácil","valorB":6.0}</v>
      </c>
      <c r="E291" s="8" t="str">
        <f t="shared" si="2"/>
        <v>fácil</v>
      </c>
      <c r="F291" s="8"/>
      <c r="G291" s="8" t="str">
        <f t="shared" si="3"/>
        <v>6.0</v>
      </c>
      <c r="H291" s="9">
        <f t="shared" si="4"/>
        <v>6</v>
      </c>
      <c r="I291" s="10">
        <f>IFERROR(__xludf.DUMMYFUNCTION("MAX(FILTER($H$2:$H1388,$E$2:$E1388=F291))"),0.0)</f>
        <v>0</v>
      </c>
    </row>
    <row r="292">
      <c r="A292" s="4"/>
      <c r="C292" s="4" t="s">
        <v>1617</v>
      </c>
      <c r="D292" s="4" t="str">
        <f t="shared" si="1"/>
        <v>{"valorA":"cabelo","valorB":2.0}</v>
      </c>
      <c r="E292" s="8" t="str">
        <f t="shared" si="2"/>
        <v>cabelo</v>
      </c>
      <c r="F292" s="8"/>
      <c r="G292" s="8" t="str">
        <f t="shared" si="3"/>
        <v>2.0</v>
      </c>
      <c r="H292" s="9">
        <f t="shared" si="4"/>
        <v>2</v>
      </c>
      <c r="I292" s="10">
        <f>IFERROR(__xludf.DUMMYFUNCTION("MAX(FILTER($H$2:$H1388,$E$2:$E1388=F292))"),0.0)</f>
        <v>0</v>
      </c>
    </row>
    <row r="293">
      <c r="A293" s="4"/>
      <c r="C293" s="4" t="s">
        <v>829</v>
      </c>
      <c r="D293" s="4" t="str">
        <f t="shared" si="1"/>
        <v>{"valorA":"muito","valorB":13.0}</v>
      </c>
      <c r="E293" s="8" t="str">
        <f t="shared" si="2"/>
        <v>muito</v>
      </c>
      <c r="F293" s="8"/>
      <c r="G293" s="8" t="str">
        <f t="shared" si="3"/>
        <v>13.0</v>
      </c>
      <c r="H293" s="9">
        <f t="shared" si="4"/>
        <v>13</v>
      </c>
      <c r="I293" s="10">
        <f>IFERROR(__xludf.DUMMYFUNCTION("MAX(FILTER($H$2:$H1388,$E$2:$E1388=F293))"),0.0)</f>
        <v>0</v>
      </c>
    </row>
    <row r="294">
      <c r="A294" s="4"/>
      <c r="C294" s="4" t="s">
        <v>398</v>
      </c>
      <c r="D294" s="4" t="str">
        <f t="shared" si="1"/>
        <v>{"valorA":"confortável","valorB":1.0}</v>
      </c>
      <c r="E294" s="8" t="str">
        <f t="shared" si="2"/>
        <v>confortável</v>
      </c>
      <c r="F294" s="8"/>
      <c r="G294" s="8" t="str">
        <f t="shared" si="3"/>
        <v>1.0</v>
      </c>
      <c r="H294" s="9">
        <f t="shared" si="4"/>
        <v>1</v>
      </c>
      <c r="I294" s="10">
        <f>IFERROR(__xludf.DUMMYFUNCTION("MAX(FILTER($H$2:$H1388,$E$2:$E1388=F294))"),0.0)</f>
        <v>0</v>
      </c>
    </row>
    <row r="295">
      <c r="A295" s="4"/>
      <c r="C295" s="4" t="s">
        <v>990</v>
      </c>
      <c r="D295" s="4" t="str">
        <f t="shared" si="1"/>
        <v>{"valorA":"cadeira","valorB":1.0}</v>
      </c>
      <c r="E295" s="8" t="str">
        <f t="shared" si="2"/>
        <v>cadeira</v>
      </c>
      <c r="F295" s="8"/>
      <c r="G295" s="8" t="str">
        <f t="shared" si="3"/>
        <v>1.0</v>
      </c>
      <c r="H295" s="9">
        <f t="shared" si="4"/>
        <v>1</v>
      </c>
      <c r="I295" s="10">
        <f>IFERROR(__xludf.DUMMYFUNCTION("MAX(FILTER($H$2:$H1388,$E$2:$E1388=F295))"),0.0)</f>
        <v>0</v>
      </c>
    </row>
    <row r="296">
      <c r="A296" s="4"/>
      <c r="C296" s="4" t="s">
        <v>757</v>
      </c>
      <c r="D296" s="4" t="str">
        <f t="shared" si="1"/>
        <v>{"valorA":"para","valorB":13.0}</v>
      </c>
      <c r="E296" s="8" t="str">
        <f t="shared" si="2"/>
        <v>para</v>
      </c>
      <c r="F296" s="8"/>
      <c r="G296" s="8" t="str">
        <f t="shared" si="3"/>
        <v>13.0</v>
      </c>
      <c r="H296" s="9">
        <f t="shared" si="4"/>
        <v>13</v>
      </c>
      <c r="I296" s="10">
        <f>IFERROR(__xludf.DUMMYFUNCTION("MAX(FILTER($H$2:$H1388,$E$2:$E1388=F296))"),0.0)</f>
        <v>0</v>
      </c>
    </row>
    <row r="297">
      <c r="A297" s="4"/>
      <c r="C297" s="4" t="s">
        <v>422</v>
      </c>
      <c r="D297" s="4" t="str">
        <f t="shared" si="1"/>
        <v>{"valorA":"recomendo","valorB":6.0}</v>
      </c>
      <c r="E297" s="8" t="str">
        <f t="shared" si="2"/>
        <v>recomendo</v>
      </c>
      <c r="F297" s="8"/>
      <c r="G297" s="8" t="str">
        <f t="shared" si="3"/>
        <v>6.0</v>
      </c>
      <c r="H297" s="9">
        <f t="shared" si="4"/>
        <v>6</v>
      </c>
      <c r="I297" s="10">
        <f>IFERROR(__xludf.DUMMYFUNCTION("MAX(FILTER($H$2:$H1388,$E$2:$E1388=F297))"),0.0)</f>
        <v>0</v>
      </c>
    </row>
    <row r="298">
      <c r="A298" s="4"/>
      <c r="C298" s="4" t="s">
        <v>436</v>
      </c>
      <c r="D298" s="4" t="str">
        <f t="shared" si="1"/>
        <v>{"valorA":"com","valorB":4.0}</v>
      </c>
      <c r="E298" s="8" t="str">
        <f t="shared" si="2"/>
        <v>com</v>
      </c>
      <c r="F298" s="8"/>
      <c r="G298" s="8" t="str">
        <f t="shared" si="3"/>
        <v>4.0</v>
      </c>
      <c r="H298" s="9">
        <f t="shared" si="4"/>
        <v>4</v>
      </c>
      <c r="I298" s="10">
        <f>IFERROR(__xludf.DUMMYFUNCTION("MAX(FILTER($H$2:$H1388,$E$2:$E1388=F298))"),0.0)</f>
        <v>0</v>
      </c>
    </row>
    <row r="299">
      <c r="A299" s="4"/>
      <c r="C299" s="4" t="s">
        <v>346</v>
      </c>
      <c r="D299" s="4" t="str">
        <f t="shared" si="1"/>
        <v>{"valorA":"qualidade","valorB":1.0}</v>
      </c>
      <c r="E299" s="8" t="str">
        <f t="shared" si="2"/>
        <v>qualidade</v>
      </c>
      <c r="F299" s="8"/>
      <c r="G299" s="8" t="str">
        <f t="shared" si="3"/>
        <v>1.0</v>
      </c>
      <c r="H299" s="9">
        <f t="shared" si="4"/>
        <v>1</v>
      </c>
      <c r="I299" s="10">
        <f>IFERROR(__xludf.DUMMYFUNCTION("MAX(FILTER($H$2:$H1388,$E$2:$E1388=F299))"),0.0)</f>
        <v>0</v>
      </c>
    </row>
    <row r="300">
      <c r="A300" s="4"/>
      <c r="C300" s="4" t="s">
        <v>1618</v>
      </c>
      <c r="D300" s="4" t="str">
        <f t="shared" si="1"/>
        <v>{"valorA":"aplicativo","valorB":1.0}</v>
      </c>
      <c r="E300" s="8" t="str">
        <f t="shared" si="2"/>
        <v>aplicativo</v>
      </c>
      <c r="F300" s="8"/>
      <c r="G300" s="8" t="str">
        <f t="shared" si="3"/>
        <v>1.0</v>
      </c>
      <c r="H300" s="9">
        <f t="shared" si="4"/>
        <v>1</v>
      </c>
      <c r="I300" s="10">
        <f>IFERROR(__xludf.DUMMYFUNCTION("MAX(FILTER($H$2:$H1388,$E$2:$E1388=F300))"),0.0)</f>
        <v>0</v>
      </c>
    </row>
    <row r="301">
      <c r="A301" s="4"/>
      <c r="C301" s="4" t="s">
        <v>1619</v>
      </c>
      <c r="D301" s="4" t="str">
        <f t="shared" si="1"/>
        <v>{"valorA":"ótima","valorB":10.0}</v>
      </c>
      <c r="E301" s="8" t="str">
        <f t="shared" si="2"/>
        <v>ótima</v>
      </c>
      <c r="F301" s="8"/>
      <c r="G301" s="8" t="str">
        <f t="shared" si="3"/>
        <v>10.0</v>
      </c>
      <c r="H301" s="9">
        <f t="shared" si="4"/>
        <v>10</v>
      </c>
      <c r="I301" s="10">
        <f>IFERROR(__xludf.DUMMYFUNCTION("MAX(FILTER($H$2:$H1388,$E$2:$E1388=F301))"),0.0)</f>
        <v>0</v>
      </c>
    </row>
    <row r="302">
      <c r="A302" s="4"/>
      <c r="C302" s="4" t="s">
        <v>610</v>
      </c>
      <c r="D302" s="4" t="str">
        <f t="shared" si="1"/>
        <v>{"valorA":"quem","valorB":1.0}</v>
      </c>
      <c r="E302" s="8" t="str">
        <f t="shared" si="2"/>
        <v>quem</v>
      </c>
      <c r="F302" s="8"/>
      <c r="G302" s="8" t="str">
        <f t="shared" si="3"/>
        <v>1.0</v>
      </c>
      <c r="H302" s="9">
        <f t="shared" si="4"/>
        <v>1</v>
      </c>
      <c r="I302" s="10">
        <f>IFERROR(__xludf.DUMMYFUNCTION("MAX(FILTER($H$2:$H1388,$E$2:$E1388=F302))"),0.0)</f>
        <v>0</v>
      </c>
    </row>
    <row r="303">
      <c r="A303" s="4"/>
      <c r="C303" s="4" t="s">
        <v>826</v>
      </c>
      <c r="D303" s="4" t="str">
        <f t="shared" si="1"/>
        <v>{"valorA":"o","valorB":11.0}</v>
      </c>
      <c r="E303" s="8" t="str">
        <f t="shared" si="2"/>
        <v>o</v>
      </c>
      <c r="F303" s="8"/>
      <c r="G303" s="8" t="str">
        <f t="shared" si="3"/>
        <v>11.0</v>
      </c>
      <c r="H303" s="9">
        <f t="shared" si="4"/>
        <v>11</v>
      </c>
      <c r="I303" s="10">
        <f>IFERROR(__xludf.DUMMYFUNCTION("MAX(FILTER($H$2:$H1388,$E$2:$E1388=F303))"),0.0)</f>
        <v>0</v>
      </c>
    </row>
    <row r="304">
      <c r="A304" s="4"/>
      <c r="C304" s="4" t="s">
        <v>1076</v>
      </c>
      <c r="D304" s="4" t="str">
        <f t="shared" si="1"/>
        <v>{"valorA":"óptimo","valorB":4.0}</v>
      </c>
      <c r="E304" s="8" t="str">
        <f t="shared" si="2"/>
        <v>óptimo</v>
      </c>
      <c r="F304" s="8"/>
      <c r="G304" s="8" t="str">
        <f t="shared" si="3"/>
        <v>4.0</v>
      </c>
      <c r="H304" s="9">
        <f t="shared" si="4"/>
        <v>4</v>
      </c>
      <c r="I304" s="10">
        <f>IFERROR(__xludf.DUMMYFUNCTION("MAX(FILTER($H$2:$H1388,$E$2:$E1388=F304))"),0.0)</f>
        <v>0</v>
      </c>
    </row>
    <row r="305">
      <c r="A305" s="4"/>
      <c r="C305" s="4" t="s">
        <v>1620</v>
      </c>
      <c r="D305" s="4" t="str">
        <f t="shared" si="1"/>
        <v>{"valorA":"fortemente","valorB":3.0}</v>
      </c>
      <c r="E305" s="8" t="str">
        <f t="shared" si="2"/>
        <v>fortemente</v>
      </c>
      <c r="F305" s="8"/>
      <c r="G305" s="8" t="str">
        <f t="shared" si="3"/>
        <v>3.0</v>
      </c>
      <c r="H305" s="9">
        <f t="shared" si="4"/>
        <v>3</v>
      </c>
      <c r="I305" s="10">
        <f>IFERROR(__xludf.DUMMYFUNCTION("MAX(FILTER($H$2:$H1388,$E$2:$E1388=F305))"),0.0)</f>
        <v>0</v>
      </c>
    </row>
    <row r="306">
      <c r="A306" s="4"/>
      <c r="C306" s="4" t="s">
        <v>1172</v>
      </c>
      <c r="D306" s="4" t="str">
        <f t="shared" si="1"/>
        <v>{"valorA":"os","valorB":1.0}</v>
      </c>
      <c r="E306" s="8" t="str">
        <f t="shared" si="2"/>
        <v>os</v>
      </c>
      <c r="F306" s="8"/>
      <c r="G306" s="8" t="str">
        <f t="shared" si="3"/>
        <v>1.0</v>
      </c>
      <c r="H306" s="9">
        <f t="shared" si="4"/>
        <v>1</v>
      </c>
      <c r="I306" s="10">
        <f>IFERROR(__xludf.DUMMYFUNCTION("MAX(FILTER($H$2:$H1388,$E$2:$E1388=F306))"),0.0)</f>
        <v>0</v>
      </c>
    </row>
    <row r="307">
      <c r="A307" s="4"/>
      <c r="C307" s="4" t="s">
        <v>1621</v>
      </c>
      <c r="D307" s="4" t="str">
        <f t="shared" si="1"/>
        <v>{"valorA":"valorável","valorB":1.0}</v>
      </c>
      <c r="E307" s="8" t="str">
        <f t="shared" si="2"/>
        <v>valorável</v>
      </c>
      <c r="F307" s="8"/>
      <c r="G307" s="8" t="str">
        <f t="shared" si="3"/>
        <v>1.0</v>
      </c>
      <c r="H307" s="9">
        <f t="shared" si="4"/>
        <v>1</v>
      </c>
      <c r="I307" s="10">
        <f>IFERROR(__xludf.DUMMYFUNCTION("MAX(FILTER($H$2:$H1388,$E$2:$E1388=F307))"),0.0)</f>
        <v>0</v>
      </c>
    </row>
    <row r="308">
      <c r="A308" s="4"/>
      <c r="C308" s="4" t="s">
        <v>1622</v>
      </c>
      <c r="D308" s="4" t="str">
        <f t="shared" si="1"/>
        <v>{"valorA":"sapatos","valorB":1.0}</v>
      </c>
      <c r="E308" s="8" t="str">
        <f t="shared" si="2"/>
        <v>sapatos</v>
      </c>
      <c r="F308" s="8"/>
      <c r="G308" s="8" t="str">
        <f t="shared" si="3"/>
        <v>1.0</v>
      </c>
      <c r="H308" s="9">
        <f t="shared" si="4"/>
        <v>1</v>
      </c>
      <c r="I308" s="10">
        <f>IFERROR(__xludf.DUMMYFUNCTION("MAX(FILTER($H$2:$H1388,$E$2:$E1388=F308))"),0.0)</f>
        <v>0</v>
      </c>
    </row>
    <row r="309">
      <c r="A309" s="4"/>
      <c r="C309" s="4" t="s">
        <v>1027</v>
      </c>
      <c r="D309" s="4" t="str">
        <f t="shared" si="1"/>
        <v>{"valorA":"tem","valorB":1.0}</v>
      </c>
      <c r="E309" s="8" t="str">
        <f t="shared" si="2"/>
        <v>tem</v>
      </c>
      <c r="F309" s="8"/>
      <c r="G309" s="8" t="str">
        <f t="shared" si="3"/>
        <v>1.0</v>
      </c>
      <c r="H309" s="9">
        <f t="shared" si="4"/>
        <v>1</v>
      </c>
      <c r="I309" s="10">
        <f>IFERROR(__xludf.DUMMYFUNCTION("MAX(FILTER($H$2:$H1388,$E$2:$E1388=F309))"),0.0)</f>
        <v>0</v>
      </c>
    </row>
    <row r="310">
      <c r="A310" s="4"/>
      <c r="C310" s="4" t="s">
        <v>1483</v>
      </c>
      <c r="D310" s="4" t="str">
        <f t="shared" si="1"/>
        <v>{"valorA":"problemas","valorB":3.0}</v>
      </c>
      <c r="E310" s="8" t="str">
        <f t="shared" si="2"/>
        <v>problemas</v>
      </c>
      <c r="F310" s="8"/>
      <c r="G310" s="8" t="str">
        <f t="shared" si="3"/>
        <v>3.0</v>
      </c>
      <c r="H310" s="9">
        <f t="shared" si="4"/>
        <v>3</v>
      </c>
      <c r="I310" s="10">
        <f>IFERROR(__xludf.DUMMYFUNCTION("MAX(FILTER($H$2:$H1388,$E$2:$E1388=F310))"),0.0)</f>
        <v>0</v>
      </c>
    </row>
    <row r="311">
      <c r="A311" s="4"/>
      <c r="C311" s="4" t="s">
        <v>1623</v>
      </c>
      <c r="D311" s="4" t="str">
        <f t="shared" si="1"/>
        <v>{"valorA":"sono","valorB":1.0}</v>
      </c>
      <c r="E311" s="8" t="str">
        <f t="shared" si="2"/>
        <v>sono</v>
      </c>
      <c r="F311" s="8"/>
      <c r="G311" s="8" t="str">
        <f t="shared" si="3"/>
        <v>1.0</v>
      </c>
      <c r="H311" s="9">
        <f t="shared" si="4"/>
        <v>1</v>
      </c>
      <c r="I311" s="10">
        <f>IFERROR(__xludf.DUMMYFUNCTION("MAX(FILTER($H$2:$H1388,$E$2:$E1388=F311))"),0.0)</f>
        <v>0</v>
      </c>
    </row>
    <row r="312">
      <c r="A312" s="4"/>
      <c r="C312" s="4" t="s">
        <v>491</v>
      </c>
      <c r="D312" s="4" t="str">
        <f t="shared" si="1"/>
        <v>{"valorA":"recomendo","valorB":7.0}</v>
      </c>
      <c r="E312" s="8" t="str">
        <f t="shared" si="2"/>
        <v>recomendo</v>
      </c>
      <c r="F312" s="8"/>
      <c r="G312" s="8" t="str">
        <f t="shared" si="3"/>
        <v>7.0</v>
      </c>
      <c r="H312" s="9">
        <f t="shared" si="4"/>
        <v>7</v>
      </c>
      <c r="I312" s="10">
        <f>IFERROR(__xludf.DUMMYFUNCTION("MAX(FILTER($H$2:$H1388,$E$2:$E1388=F312))"),0.0)</f>
        <v>0</v>
      </c>
    </row>
    <row r="313">
      <c r="A313" s="4"/>
      <c r="C313" s="4" t="s">
        <v>1624</v>
      </c>
      <c r="D313" s="4" t="str">
        <f t="shared" si="1"/>
        <v>{"valorA":"nova","valorB":1.0}</v>
      </c>
      <c r="E313" s="8" t="str">
        <f t="shared" si="2"/>
        <v>nova</v>
      </c>
      <c r="F313" s="8"/>
      <c r="G313" s="8" t="str">
        <f t="shared" si="3"/>
        <v>1.0</v>
      </c>
      <c r="H313" s="9">
        <f t="shared" si="4"/>
        <v>1</v>
      </c>
      <c r="I313" s="10">
        <f>IFERROR(__xludf.DUMMYFUNCTION("MAX(FILTER($H$2:$H1388,$E$2:$E1388=F313))"),0.0)</f>
        <v>0</v>
      </c>
    </row>
    <row r="314">
      <c r="A314" s="4"/>
      <c r="C314" s="4" t="s">
        <v>471</v>
      </c>
      <c r="D314" s="4" t="str">
        <f t="shared" si="1"/>
        <v>{"valorA":"barato","valorB":3.0}</v>
      </c>
      <c r="E314" s="8" t="str">
        <f t="shared" si="2"/>
        <v>barato</v>
      </c>
      <c r="F314" s="8"/>
      <c r="G314" s="8" t="str">
        <f t="shared" si="3"/>
        <v>3.0</v>
      </c>
      <c r="H314" s="9">
        <f t="shared" si="4"/>
        <v>3</v>
      </c>
      <c r="I314" s="10">
        <f>IFERROR(__xludf.DUMMYFUNCTION("MAX(FILTER($H$2:$H1388,$E$2:$E1388=F314))"),0.0)</f>
        <v>0</v>
      </c>
    </row>
    <row r="315">
      <c r="A315" s="4"/>
      <c r="C315" s="4" t="s">
        <v>1022</v>
      </c>
      <c r="D315" s="4" t="str">
        <f t="shared" si="1"/>
        <v>{"valorA":"com","valorB":5.0}</v>
      </c>
      <c r="E315" s="8" t="str">
        <f t="shared" si="2"/>
        <v>com</v>
      </c>
      <c r="F315" s="8"/>
      <c r="G315" s="8" t="str">
        <f t="shared" si="3"/>
        <v>5.0</v>
      </c>
      <c r="H315" s="9">
        <f t="shared" si="4"/>
        <v>5</v>
      </c>
      <c r="I315" s="10">
        <f>IFERROR(__xludf.DUMMYFUNCTION("MAX(FILTER($H$2:$H1388,$E$2:$E1388=F315))"),0.0)</f>
        <v>0</v>
      </c>
    </row>
    <row r="316">
      <c r="A316" s="4"/>
      <c r="C316" s="4" t="s">
        <v>1625</v>
      </c>
      <c r="D316" s="4" t="str">
        <f t="shared" si="1"/>
        <v>{"valorA":"prod","valorB":1.0}</v>
      </c>
      <c r="E316" s="8" t="str">
        <f t="shared" si="2"/>
        <v>prod</v>
      </c>
      <c r="F316" s="8"/>
      <c r="G316" s="8" t="str">
        <f t="shared" si="3"/>
        <v>1.0</v>
      </c>
      <c r="H316" s="9">
        <f t="shared" si="4"/>
        <v>1</v>
      </c>
      <c r="I316" s="10">
        <f>IFERROR(__xludf.DUMMYFUNCTION("MAX(FILTER($H$2:$H1388,$E$2:$E1388=F316))"),0.0)</f>
        <v>0</v>
      </c>
    </row>
    <row r="317">
      <c r="A317" s="4"/>
      <c r="C317" s="4" t="s">
        <v>200</v>
      </c>
      <c r="D317" s="4" t="str">
        <f t="shared" si="1"/>
        <v>{"valorA":"meu","valorB":1.0}</v>
      </c>
      <c r="E317" s="8" t="str">
        <f t="shared" si="2"/>
        <v>meu</v>
      </c>
      <c r="F317" s="8"/>
      <c r="G317" s="8" t="str">
        <f t="shared" si="3"/>
        <v>1.0</v>
      </c>
      <c r="H317" s="9">
        <f t="shared" si="4"/>
        <v>1</v>
      </c>
      <c r="I317" s="10">
        <f>IFERROR(__xludf.DUMMYFUNCTION("MAX(FILTER($H$2:$H1388,$E$2:$E1388=F317))"),0.0)</f>
        <v>0</v>
      </c>
    </row>
    <row r="318">
      <c r="A318" s="4"/>
      <c r="C318" s="4" t="s">
        <v>1626</v>
      </c>
      <c r="D318" s="4" t="str">
        <f t="shared" si="1"/>
        <v>{"valorA":"eletricista","valorB":1.0}</v>
      </c>
      <c r="E318" s="8" t="str">
        <f t="shared" si="2"/>
        <v>eletricista</v>
      </c>
      <c r="F318" s="8"/>
      <c r="G318" s="8" t="str">
        <f t="shared" si="3"/>
        <v>1.0</v>
      </c>
      <c r="H318" s="9">
        <f t="shared" si="4"/>
        <v>1</v>
      </c>
      <c r="I318" s="10">
        <f>IFERROR(__xludf.DUMMYFUNCTION("MAX(FILTER($H$2:$H1388,$E$2:$E1388=F318))"),0.0)</f>
        <v>0</v>
      </c>
    </row>
    <row r="319">
      <c r="A319" s="4"/>
      <c r="C319" s="4" t="s">
        <v>1627</v>
      </c>
      <c r="D319" s="4" t="str">
        <f t="shared" si="1"/>
        <v>{"valorA":"ficou","valorB":1.0}</v>
      </c>
      <c r="E319" s="8" t="str">
        <f t="shared" si="2"/>
        <v>ficou</v>
      </c>
      <c r="F319" s="8"/>
      <c r="G319" s="8" t="str">
        <f t="shared" si="3"/>
        <v>1.0</v>
      </c>
      <c r="H319" s="9">
        <f t="shared" si="4"/>
        <v>1</v>
      </c>
      <c r="I319" s="10">
        <f>IFERROR(__xludf.DUMMYFUNCTION("MAX(FILTER($H$2:$H1388,$E$2:$E1388=F319))"),0.0)</f>
        <v>0</v>
      </c>
    </row>
    <row r="320">
      <c r="A320" s="4"/>
      <c r="C320" s="4" t="s">
        <v>648</v>
      </c>
      <c r="D320" s="4" t="str">
        <f t="shared" si="1"/>
        <v>{"valorA":"bom","valorB":2.0}</v>
      </c>
      <c r="E320" s="8" t="str">
        <f t="shared" si="2"/>
        <v>bom</v>
      </c>
      <c r="F320" s="8"/>
      <c r="G320" s="8" t="str">
        <f t="shared" si="3"/>
        <v>2.0</v>
      </c>
      <c r="H320" s="9">
        <f t="shared" si="4"/>
        <v>2</v>
      </c>
      <c r="I320" s="10">
        <f>IFERROR(__xludf.DUMMYFUNCTION("MAX(FILTER($H$2:$H1388,$E$2:$E1388=F320))"),0.0)</f>
        <v>0</v>
      </c>
    </row>
    <row r="321">
      <c r="A321" s="4"/>
      <c r="C321" s="4" t="s">
        <v>440</v>
      </c>
      <c r="D321" s="4" t="str">
        <f t="shared" si="1"/>
        <v>{"valorA":"e","valorB":10.0}</v>
      </c>
      <c r="E321" s="8" t="str">
        <f t="shared" si="2"/>
        <v>e</v>
      </c>
      <c r="F321" s="8"/>
      <c r="G321" s="8" t="str">
        <f t="shared" si="3"/>
        <v>10.0</v>
      </c>
      <c r="H321" s="9">
        <f t="shared" si="4"/>
        <v>10</v>
      </c>
      <c r="I321" s="10">
        <f>IFERROR(__xludf.DUMMYFUNCTION("MAX(FILTER($H$2:$H1388,$E$2:$E1388=F321))"),0.0)</f>
        <v>0</v>
      </c>
    </row>
    <row r="322">
      <c r="A322" s="4"/>
      <c r="C322" s="4" t="s">
        <v>1628</v>
      </c>
      <c r="D322" s="4" t="str">
        <f t="shared" si="1"/>
        <v>{"valorA":"de","valorB":20.0}</v>
      </c>
      <c r="E322" s="8" t="str">
        <f t="shared" si="2"/>
        <v>de</v>
      </c>
      <c r="F322" s="8"/>
      <c r="G322" s="8" t="str">
        <f t="shared" si="3"/>
        <v>20.0</v>
      </c>
      <c r="H322" s="9">
        <f t="shared" si="4"/>
        <v>20</v>
      </c>
      <c r="I322" s="10">
        <f>IFERROR(__xludf.DUMMYFUNCTION("MAX(FILTER($H$2:$H1388,$E$2:$E1388=F322))"),0.0)</f>
        <v>0</v>
      </c>
    </row>
    <row r="323">
      <c r="A323" s="4"/>
      <c r="C323" s="4" t="s">
        <v>727</v>
      </c>
      <c r="D323" s="4" t="str">
        <f t="shared" si="1"/>
        <v>{"valorA":"ótimo","valorB":29.0}</v>
      </c>
      <c r="E323" s="8" t="str">
        <f t="shared" si="2"/>
        <v>ótimo</v>
      </c>
      <c r="F323" s="8"/>
      <c r="G323" s="8" t="str">
        <f t="shared" si="3"/>
        <v>29.0</v>
      </c>
      <c r="H323" s="9">
        <f t="shared" si="4"/>
        <v>29</v>
      </c>
      <c r="I323" s="10">
        <f>IFERROR(__xludf.DUMMYFUNCTION("MAX(FILTER($H$2:$H1388,$E$2:$E1388=F323))"),0.0)</f>
        <v>0</v>
      </c>
    </row>
    <row r="324">
      <c r="A324" s="4"/>
      <c r="C324" s="4" t="s">
        <v>286</v>
      </c>
      <c r="D324" s="4" t="str">
        <f t="shared" si="1"/>
        <v>{"valorA":"esse","valorB":4.0}</v>
      </c>
      <c r="E324" s="8" t="str">
        <f t="shared" si="2"/>
        <v>esse</v>
      </c>
      <c r="F324" s="8"/>
      <c r="G324" s="8" t="str">
        <f t="shared" si="3"/>
        <v>4.0</v>
      </c>
      <c r="H324" s="9">
        <f t="shared" si="4"/>
        <v>4</v>
      </c>
      <c r="I324" s="10">
        <f>IFERROR(__xludf.DUMMYFUNCTION("MAX(FILTER($H$2:$H1388,$E$2:$E1388=F324))"),0.0)</f>
        <v>0</v>
      </c>
    </row>
    <row r="325">
      <c r="A325" s="4"/>
      <c r="C325" s="4" t="s">
        <v>1629</v>
      </c>
      <c r="D325" s="4" t="str">
        <f t="shared" si="1"/>
        <v>{"valorA":"cabelo","valorB":4.0}</v>
      </c>
      <c r="E325" s="8" t="str">
        <f t="shared" si="2"/>
        <v>cabelo</v>
      </c>
      <c r="F325" s="8"/>
      <c r="G325" s="8" t="str">
        <f t="shared" si="3"/>
        <v>4.0</v>
      </c>
      <c r="H325" s="9">
        <f t="shared" si="4"/>
        <v>4</v>
      </c>
      <c r="I325" s="10">
        <f>IFERROR(__xludf.DUMMYFUNCTION("MAX(FILTER($H$2:$H1388,$E$2:$E1388=F325))"),0.0)</f>
        <v>0</v>
      </c>
    </row>
    <row r="326">
      <c r="A326" s="4"/>
      <c r="C326" s="4" t="s">
        <v>244</v>
      </c>
      <c r="D326" s="4" t="str">
        <f t="shared" si="1"/>
        <v>{"valorA":"essa","valorB":1.0}</v>
      </c>
      <c r="E326" s="8" t="str">
        <f t="shared" si="2"/>
        <v>essa</v>
      </c>
      <c r="F326" s="8"/>
      <c r="G326" s="8" t="str">
        <f t="shared" si="3"/>
        <v>1.0</v>
      </c>
      <c r="H326" s="9">
        <f t="shared" si="4"/>
        <v>1</v>
      </c>
      <c r="I326" s="10">
        <f>IFERROR(__xludf.DUMMYFUNCTION("MAX(FILTER($H$2:$H1388,$E$2:$E1388=F326))"),0.0)</f>
        <v>0</v>
      </c>
    </row>
    <row r="327">
      <c r="A327" s="4"/>
      <c r="C327" s="4" t="s">
        <v>397</v>
      </c>
      <c r="D327" s="4" t="str">
        <f t="shared" si="1"/>
        <v>{"valorA":"muito","valorB":14.0}</v>
      </c>
      <c r="E327" s="8" t="str">
        <f t="shared" si="2"/>
        <v>muito</v>
      </c>
      <c r="F327" s="8"/>
      <c r="G327" s="8" t="str">
        <f t="shared" si="3"/>
        <v>14.0</v>
      </c>
      <c r="H327" s="9">
        <f t="shared" si="4"/>
        <v>14</v>
      </c>
      <c r="I327" s="10">
        <f>IFERROR(__xludf.DUMMYFUNCTION("MAX(FILTER($H$2:$H1388,$E$2:$E1388=F327))"),0.0)</f>
        <v>0</v>
      </c>
    </row>
    <row r="328">
      <c r="A328" s="4"/>
      <c r="C328" s="4" t="s">
        <v>675</v>
      </c>
      <c r="D328" s="4" t="str">
        <f t="shared" si="1"/>
        <v>{"valorA":"marca","valorB":1.0}</v>
      </c>
      <c r="E328" s="8" t="str">
        <f t="shared" si="2"/>
        <v>marca</v>
      </c>
      <c r="F328" s="8"/>
      <c r="G328" s="8" t="str">
        <f t="shared" si="3"/>
        <v>1.0</v>
      </c>
      <c r="H328" s="9">
        <f t="shared" si="4"/>
        <v>1</v>
      </c>
      <c r="I328" s="10">
        <f>IFERROR(__xludf.DUMMYFUNCTION("MAX(FILTER($H$2:$H1388,$E$2:$E1388=F328))"),0.0)</f>
        <v>0</v>
      </c>
    </row>
    <row r="329">
      <c r="A329" s="4"/>
      <c r="C329" s="4" t="s">
        <v>1630</v>
      </c>
      <c r="D329" s="4" t="str">
        <f t="shared" si="1"/>
        <v>{"valorA":"geladeira","valorB":2.0}</v>
      </c>
      <c r="E329" s="8" t="str">
        <f t="shared" si="2"/>
        <v>geladeira</v>
      </c>
      <c r="F329" s="8"/>
      <c r="G329" s="8" t="str">
        <f t="shared" si="3"/>
        <v>2.0</v>
      </c>
      <c r="H329" s="9">
        <f t="shared" si="4"/>
        <v>2</v>
      </c>
      <c r="I329" s="10">
        <f>IFERROR(__xludf.DUMMYFUNCTION("MAX(FILTER($H$2:$H1388,$E$2:$E1388=F329))"),0.0)</f>
        <v>0</v>
      </c>
    </row>
    <row r="330">
      <c r="A330" s="4"/>
      <c r="C330" s="4" t="s">
        <v>1631</v>
      </c>
      <c r="D330" s="4" t="str">
        <f t="shared" si="1"/>
        <v>{"valorA":"ontem","valorB":3.0}</v>
      </c>
      <c r="E330" s="8" t="str">
        <f t="shared" si="2"/>
        <v>ontem</v>
      </c>
      <c r="F330" s="8"/>
      <c r="G330" s="8" t="str">
        <f t="shared" si="3"/>
        <v>3.0</v>
      </c>
      <c r="H330" s="9">
        <f t="shared" si="4"/>
        <v>3</v>
      </c>
      <c r="I330" s="10">
        <f>IFERROR(__xludf.DUMMYFUNCTION("MAX(FILTER($H$2:$H1388,$E$2:$E1388=F330))"),0.0)</f>
        <v>0</v>
      </c>
    </row>
    <row r="331">
      <c r="A331" s="4"/>
      <c r="C331" s="4" t="s">
        <v>1097</v>
      </c>
      <c r="D331" s="4" t="str">
        <f t="shared" si="1"/>
        <v>{"valorA":"recomendo","valorB":8.0}</v>
      </c>
      <c r="E331" s="8" t="str">
        <f t="shared" si="2"/>
        <v>recomendo</v>
      </c>
      <c r="F331" s="8"/>
      <c r="G331" s="8" t="str">
        <f t="shared" si="3"/>
        <v>8.0</v>
      </c>
      <c r="H331" s="9">
        <f t="shared" si="4"/>
        <v>8</v>
      </c>
      <c r="I331" s="10">
        <f>IFERROR(__xludf.DUMMYFUNCTION("MAX(FILTER($H$2:$H1388,$E$2:$E1388=F331))"),0.0)</f>
        <v>0</v>
      </c>
    </row>
    <row r="332">
      <c r="A332" s="4"/>
      <c r="C332" s="4" t="s">
        <v>769</v>
      </c>
      <c r="D332" s="4" t="str">
        <f t="shared" si="1"/>
        <v>{"valorA":"para","valorB":14.0}</v>
      </c>
      <c r="E332" s="8" t="str">
        <f t="shared" si="2"/>
        <v>para</v>
      </c>
      <c r="F332" s="8"/>
      <c r="G332" s="8" t="str">
        <f t="shared" si="3"/>
        <v>14.0</v>
      </c>
      <c r="H332" s="9">
        <f t="shared" si="4"/>
        <v>14</v>
      </c>
      <c r="I332" s="10">
        <f>IFERROR(__xludf.DUMMYFUNCTION("MAX(FILTER($H$2:$H1388,$E$2:$E1388=F332))"),0.0)</f>
        <v>0</v>
      </c>
    </row>
    <row r="333">
      <c r="A333" s="4"/>
      <c r="C333" s="4" t="s">
        <v>1632</v>
      </c>
      <c r="D333" s="4" t="str">
        <f t="shared" si="1"/>
        <v>{"valorA":"comprei","valorB":4.0}</v>
      </c>
      <c r="E333" s="8" t="str">
        <f t="shared" si="2"/>
        <v>comprei</v>
      </c>
      <c r="F333" s="8"/>
      <c r="G333" s="8" t="str">
        <f t="shared" si="3"/>
        <v>4.0</v>
      </c>
      <c r="H333" s="9">
        <f t="shared" si="4"/>
        <v>4</v>
      </c>
      <c r="I333" s="10">
        <f>IFERROR(__xludf.DUMMYFUNCTION("MAX(FILTER($H$2:$H1388,$E$2:$E1388=F333))"),0.0)</f>
        <v>0</v>
      </c>
    </row>
    <row r="334">
      <c r="A334" s="4"/>
      <c r="C334" s="4" t="s">
        <v>1045</v>
      </c>
      <c r="D334" s="4" t="str">
        <f t="shared" si="1"/>
        <v>{"valorA":"com","valorB":6.0}</v>
      </c>
      <c r="E334" s="8" t="str">
        <f t="shared" si="2"/>
        <v>com</v>
      </c>
      <c r="F334" s="8"/>
      <c r="G334" s="8" t="str">
        <f t="shared" si="3"/>
        <v>6.0</v>
      </c>
      <c r="H334" s="9">
        <f t="shared" si="4"/>
        <v>6</v>
      </c>
      <c r="I334" s="10">
        <f>IFERROR(__xludf.DUMMYFUNCTION("MAX(FILTER($H$2:$H1388,$E$2:$E1388=F334))"),0.0)</f>
        <v>0</v>
      </c>
    </row>
    <row r="335">
      <c r="A335" s="4"/>
      <c r="C335" s="4" t="s">
        <v>1633</v>
      </c>
      <c r="D335" s="4" t="str">
        <f t="shared" si="1"/>
        <v>{"valorA":"bastante","valorB":2.0}</v>
      </c>
      <c r="E335" s="8" t="str">
        <f t="shared" si="2"/>
        <v>bastante</v>
      </c>
      <c r="F335" s="8"/>
      <c r="G335" s="8" t="str">
        <f t="shared" si="3"/>
        <v>2.0</v>
      </c>
      <c r="H335" s="9">
        <f t="shared" si="4"/>
        <v>2</v>
      </c>
      <c r="I335" s="10">
        <f>IFERROR(__xludf.DUMMYFUNCTION("MAX(FILTER($H$2:$H1388,$E$2:$E1388=F335))"),0.0)</f>
        <v>0</v>
      </c>
    </row>
    <row r="336">
      <c r="A336" s="4"/>
      <c r="C336" s="4" t="s">
        <v>1634</v>
      </c>
      <c r="D336" s="4" t="str">
        <f t="shared" si="1"/>
        <v>{"valorA":"ótima","valorB":11.0}</v>
      </c>
      <c r="E336" s="8" t="str">
        <f t="shared" si="2"/>
        <v>ótima</v>
      </c>
      <c r="F336" s="8"/>
      <c r="G336" s="8" t="str">
        <f t="shared" si="3"/>
        <v>11.0</v>
      </c>
      <c r="H336" s="9">
        <f t="shared" si="4"/>
        <v>11</v>
      </c>
      <c r="I336" s="10">
        <f>IFERROR(__xludf.DUMMYFUNCTION("MAX(FILTER($H$2:$H1388,$E$2:$E1388=F336))"),0.0)</f>
        <v>0</v>
      </c>
    </row>
    <row r="337">
      <c r="A337" s="4"/>
      <c r="C337" s="4" t="s">
        <v>1635</v>
      </c>
      <c r="D337" s="4" t="str">
        <f t="shared" si="1"/>
        <v>{"valorA":"foi","valorB":3.0}</v>
      </c>
      <c r="E337" s="8" t="str">
        <f t="shared" si="2"/>
        <v>foi</v>
      </c>
      <c r="F337" s="8"/>
      <c r="G337" s="8" t="str">
        <f t="shared" si="3"/>
        <v>3.0</v>
      </c>
      <c r="H337" s="9">
        <f t="shared" si="4"/>
        <v>3</v>
      </c>
      <c r="I337" s="10">
        <f>IFERROR(__xludf.DUMMYFUNCTION("MAX(FILTER($H$2:$H1388,$E$2:$E1388=F337))"),0.0)</f>
        <v>0</v>
      </c>
    </row>
    <row r="338">
      <c r="A338" s="4"/>
      <c r="C338" s="4" t="s">
        <v>477</v>
      </c>
      <c r="D338" s="4" t="str">
        <f t="shared" si="1"/>
        <v>{"valorA":"e","valorB":11.0}</v>
      </c>
      <c r="E338" s="8" t="str">
        <f t="shared" si="2"/>
        <v>e</v>
      </c>
      <c r="F338" s="8"/>
      <c r="G338" s="8" t="str">
        <f t="shared" si="3"/>
        <v>11.0</v>
      </c>
      <c r="H338" s="9">
        <f t="shared" si="4"/>
        <v>11</v>
      </c>
      <c r="I338" s="10">
        <f>IFERROR(__xludf.DUMMYFUNCTION("MAX(FILTER($H$2:$H1388,$E$2:$E1388=F338))"),0.0)</f>
        <v>0</v>
      </c>
    </row>
    <row r="339">
      <c r="A339" s="4"/>
      <c r="C339" s="4" t="s">
        <v>1636</v>
      </c>
      <c r="D339" s="4" t="str">
        <f t="shared" si="1"/>
        <v>{"valorA":"de","valorB":21.0}</v>
      </c>
      <c r="E339" s="8" t="str">
        <f t="shared" si="2"/>
        <v>de</v>
      </c>
      <c r="F339" s="8"/>
      <c r="G339" s="8" t="str">
        <f t="shared" si="3"/>
        <v>21.0</v>
      </c>
      <c r="H339" s="9">
        <f t="shared" si="4"/>
        <v>21</v>
      </c>
      <c r="I339" s="10">
        <f>IFERROR(__xludf.DUMMYFUNCTION("MAX(FILTER($H$2:$H1388,$E$2:$E1388=F339))"),0.0)</f>
        <v>0</v>
      </c>
    </row>
    <row r="340">
      <c r="A340" s="4"/>
      <c r="C340" s="4" t="s">
        <v>1637</v>
      </c>
      <c r="D340" s="4" t="str">
        <f t="shared" si="1"/>
        <v>{"valorA":"configurar","valorB":1.0}</v>
      </c>
      <c r="E340" s="8" t="str">
        <f t="shared" si="2"/>
        <v>configurar</v>
      </c>
      <c r="F340" s="8"/>
      <c r="G340" s="8" t="str">
        <f t="shared" si="3"/>
        <v>1.0</v>
      </c>
      <c r="H340" s="9">
        <f t="shared" si="4"/>
        <v>1</v>
      </c>
      <c r="I340" s="10">
        <f>IFERROR(__xludf.DUMMYFUNCTION("MAX(FILTER($H$2:$H1388,$E$2:$E1388=F340))"),0.0)</f>
        <v>0</v>
      </c>
    </row>
    <row r="341">
      <c r="A341" s="4"/>
      <c r="C341" s="4" t="s">
        <v>1141</v>
      </c>
      <c r="D341" s="4" t="str">
        <f t="shared" si="1"/>
        <v>{"valorA":"aparelho","valorB":4.0}</v>
      </c>
      <c r="E341" s="8" t="str">
        <f t="shared" si="2"/>
        <v>aparelho</v>
      </c>
      <c r="F341" s="8"/>
      <c r="G341" s="8" t="str">
        <f t="shared" si="3"/>
        <v>4.0</v>
      </c>
      <c r="H341" s="9">
        <f t="shared" si="4"/>
        <v>4</v>
      </c>
      <c r="I341" s="10">
        <f>IFERROR(__xludf.DUMMYFUNCTION("MAX(FILTER($H$2:$H1388,$E$2:$E1388=F341))"),0.0)</f>
        <v>0</v>
      </c>
    </row>
    <row r="342">
      <c r="A342" s="4"/>
      <c r="C342" s="4" t="s">
        <v>1638</v>
      </c>
      <c r="D342" s="4" t="str">
        <f t="shared" si="1"/>
        <v>{"valorA":"refeições","valorB":1.0}</v>
      </c>
      <c r="E342" s="8" t="str">
        <f t="shared" si="2"/>
        <v>refeições</v>
      </c>
      <c r="F342" s="8"/>
      <c r="G342" s="8" t="str">
        <f t="shared" si="3"/>
        <v>1.0</v>
      </c>
      <c r="H342" s="9">
        <f t="shared" si="4"/>
        <v>1</v>
      </c>
      <c r="I342" s="10">
        <f>IFERROR(__xludf.DUMMYFUNCTION("MAX(FILTER($H$2:$H1388,$E$2:$E1388=F342))"),0.0)</f>
        <v>0</v>
      </c>
    </row>
    <row r="343">
      <c r="A343" s="4"/>
      <c r="C343" s="4" t="s">
        <v>760</v>
      </c>
      <c r="D343" s="4" t="str">
        <f t="shared" si="1"/>
        <v>{"valorA":"que","valorB":7.0}</v>
      </c>
      <c r="E343" s="8" t="str">
        <f t="shared" si="2"/>
        <v>que</v>
      </c>
      <c r="F343" s="8"/>
      <c r="G343" s="8" t="str">
        <f t="shared" si="3"/>
        <v>7.0</v>
      </c>
      <c r="H343" s="9">
        <f t="shared" si="4"/>
        <v>7</v>
      </c>
      <c r="I343" s="10">
        <f>IFERROR(__xludf.DUMMYFUNCTION("MAX(FILTER($H$2:$H1388,$E$2:$E1388=F343))"),0.0)</f>
        <v>0</v>
      </c>
    </row>
    <row r="344">
      <c r="A344" s="4"/>
      <c r="C344" s="4" t="s">
        <v>1639</v>
      </c>
      <c r="D344" s="4" t="str">
        <f t="shared" si="1"/>
        <v>{"valorA":"rápidas","valorB":1.0}</v>
      </c>
      <c r="E344" s="8" t="str">
        <f t="shared" si="2"/>
        <v>rápidas</v>
      </c>
      <c r="F344" s="8"/>
      <c r="G344" s="8" t="str">
        <f t="shared" si="3"/>
        <v>1.0</v>
      </c>
      <c r="H344" s="9">
        <f t="shared" si="4"/>
        <v>1</v>
      </c>
      <c r="I344" s="10">
        <f>IFERROR(__xludf.DUMMYFUNCTION("MAX(FILTER($H$2:$H1388,$E$2:$E1388=F344))"),0.0)</f>
        <v>0</v>
      </c>
    </row>
    <row r="345">
      <c r="A345" s="4"/>
      <c r="C345" s="4" t="s">
        <v>376</v>
      </c>
      <c r="D345" s="4" t="str">
        <f t="shared" si="1"/>
        <v>{"valorA":"ótimo","valorB":30.0}</v>
      </c>
      <c r="E345" s="8" t="str">
        <f t="shared" si="2"/>
        <v>ótimo</v>
      </c>
      <c r="F345" s="8"/>
      <c r="G345" s="8" t="str">
        <f t="shared" si="3"/>
        <v>30.0</v>
      </c>
      <c r="H345" s="9">
        <f t="shared" si="4"/>
        <v>30</v>
      </c>
      <c r="I345" s="10">
        <f>IFERROR(__xludf.DUMMYFUNCTION("MAX(FILTER($H$2:$H1388,$E$2:$E1388=F345))"),0.0)</f>
        <v>0</v>
      </c>
    </row>
    <row r="346">
      <c r="A346" s="4"/>
      <c r="C346" s="4" t="s">
        <v>1438</v>
      </c>
      <c r="D346" s="4" t="str">
        <f t="shared" si="1"/>
        <v>{"valorA":"fazer","valorB":1.0}</v>
      </c>
      <c r="E346" s="8" t="str">
        <f t="shared" si="2"/>
        <v>fazer</v>
      </c>
      <c r="F346" s="8"/>
      <c r="G346" s="8" t="str">
        <f t="shared" si="3"/>
        <v>1.0</v>
      </c>
      <c r="H346" s="9">
        <f t="shared" si="4"/>
        <v>1</v>
      </c>
      <c r="I346" s="10">
        <f>IFERROR(__xludf.DUMMYFUNCTION("MAX(FILTER($H$2:$H1388,$E$2:$E1388=F346))"),0.0)</f>
        <v>0</v>
      </c>
    </row>
    <row r="347">
      <c r="A347" s="4"/>
      <c r="C347" s="4" t="s">
        <v>789</v>
      </c>
      <c r="D347" s="4" t="str">
        <f t="shared" si="1"/>
        <v>{"valorA":"fácil","valorB":7.0}</v>
      </c>
      <c r="E347" s="8" t="str">
        <f t="shared" si="2"/>
        <v>fácil</v>
      </c>
      <c r="F347" s="8"/>
      <c r="G347" s="8" t="str">
        <f t="shared" si="3"/>
        <v>7.0</v>
      </c>
      <c r="H347" s="9">
        <f t="shared" si="4"/>
        <v>7</v>
      </c>
      <c r="I347" s="10">
        <f>IFERROR(__xludf.DUMMYFUNCTION("MAX(FILTER($H$2:$H1388,$E$2:$E1388=F347))"),0.0)</f>
        <v>0</v>
      </c>
    </row>
    <row r="348">
      <c r="A348" s="4"/>
      <c r="C348" s="4" t="s">
        <v>317</v>
      </c>
      <c r="D348" s="4" t="str">
        <f t="shared" si="1"/>
        <v>{"valorA":"esse","valorB":5.0}</v>
      </c>
      <c r="E348" s="8" t="str">
        <f t="shared" si="2"/>
        <v>esse</v>
      </c>
      <c r="F348" s="8"/>
      <c r="G348" s="8" t="str">
        <f t="shared" si="3"/>
        <v>5.0</v>
      </c>
      <c r="H348" s="9">
        <f t="shared" si="4"/>
        <v>5</v>
      </c>
      <c r="I348" s="10">
        <f>IFERROR(__xludf.DUMMYFUNCTION("MAX(FILTER($H$2:$H1388,$E$2:$E1388=F348))"),0.0)</f>
        <v>0</v>
      </c>
    </row>
    <row r="349">
      <c r="A349" s="4"/>
      <c r="C349" s="4" t="s">
        <v>803</v>
      </c>
      <c r="D349" s="4" t="str">
        <f t="shared" si="1"/>
        <v>{"valorA":"perfeitamente","valorB":3.0}</v>
      </c>
      <c r="E349" s="8" t="str">
        <f t="shared" si="2"/>
        <v>perfeitamente</v>
      </c>
      <c r="F349" s="8"/>
      <c r="G349" s="8" t="str">
        <f t="shared" si="3"/>
        <v>3.0</v>
      </c>
      <c r="H349" s="9">
        <f t="shared" si="4"/>
        <v>3</v>
      </c>
      <c r="I349" s="10">
        <f>IFERROR(__xludf.DUMMYFUNCTION("MAX(FILTER($H$2:$H1388,$E$2:$E1388=F349))"),0.0)</f>
        <v>0</v>
      </c>
    </row>
    <row r="350">
      <c r="A350" s="4"/>
      <c r="C350" s="4" t="s">
        <v>432</v>
      </c>
      <c r="D350" s="4" t="str">
        <f t="shared" si="1"/>
        <v>{"valorA":"muito","valorB":15.0}</v>
      </c>
      <c r="E350" s="8" t="str">
        <f t="shared" si="2"/>
        <v>muito</v>
      </c>
      <c r="F350" s="8"/>
      <c r="G350" s="8" t="str">
        <f t="shared" si="3"/>
        <v>15.0</v>
      </c>
      <c r="H350" s="9">
        <f t="shared" si="4"/>
        <v>15</v>
      </c>
      <c r="I350" s="10">
        <f>IFERROR(__xludf.DUMMYFUNCTION("MAX(FILTER($H$2:$H1388,$E$2:$E1388=F350))"),0.0)</f>
        <v>0</v>
      </c>
    </row>
    <row r="351">
      <c r="A351" s="4"/>
      <c r="C351" s="4" t="s">
        <v>324</v>
      </c>
      <c r="D351" s="4" t="str">
        <f t="shared" si="1"/>
        <v>{"valorA":"funciona","valorB":6.0}</v>
      </c>
      <c r="E351" s="8" t="str">
        <f t="shared" si="2"/>
        <v>funciona</v>
      </c>
      <c r="F351" s="8"/>
      <c r="G351" s="8" t="str">
        <f t="shared" si="3"/>
        <v>6.0</v>
      </c>
      <c r="H351" s="9">
        <f t="shared" si="4"/>
        <v>6</v>
      </c>
      <c r="I351" s="10">
        <f>IFERROR(__xludf.DUMMYFUNCTION("MAX(FILTER($H$2:$H1388,$E$2:$E1388=F351))"),0.0)</f>
        <v>0</v>
      </c>
    </row>
    <row r="352">
      <c r="A352" s="4"/>
      <c r="C352" s="4" t="s">
        <v>1640</v>
      </c>
      <c r="D352" s="4" t="str">
        <f t="shared" si="1"/>
        <v>{"valorA":"impressora","valorB":2.0}</v>
      </c>
      <c r="E352" s="8" t="str">
        <f t="shared" si="2"/>
        <v>impressora</v>
      </c>
      <c r="F352" s="8"/>
      <c r="G352" s="8" t="str">
        <f t="shared" si="3"/>
        <v>2.0</v>
      </c>
      <c r="H352" s="9">
        <f t="shared" si="4"/>
        <v>2</v>
      </c>
      <c r="I352" s="10">
        <f>IFERROR(__xludf.DUMMYFUNCTION("MAX(FILTER($H$2:$H1388,$E$2:$E1388=F352))"),0.0)</f>
        <v>0</v>
      </c>
    </row>
    <row r="353">
      <c r="A353" s="4"/>
      <c r="C353" s="4" t="s">
        <v>1181</v>
      </c>
      <c r="D353" s="4" t="str">
        <f t="shared" si="1"/>
        <v>{"valorA":"recomendo","valorB":10.0}</v>
      </c>
      <c r="E353" s="8" t="str">
        <f t="shared" si="2"/>
        <v>recomendo</v>
      </c>
      <c r="F353" s="8"/>
      <c r="G353" s="8" t="str">
        <f t="shared" si="3"/>
        <v>10.0</v>
      </c>
      <c r="H353" s="9">
        <f t="shared" si="4"/>
        <v>10</v>
      </c>
      <c r="I353" s="10">
        <f>IFERROR(__xludf.DUMMYFUNCTION("MAX(FILTER($H$2:$H1388,$E$2:$E1388=F353))"),0.0)</f>
        <v>0</v>
      </c>
    </row>
    <row r="354">
      <c r="A354" s="4"/>
      <c r="C354" s="4" t="s">
        <v>1641</v>
      </c>
      <c r="D354" s="4" t="str">
        <f t="shared" si="1"/>
        <v>{"valorA":"laminado","valorB":1.0}</v>
      </c>
      <c r="E354" s="8" t="str">
        <f t="shared" si="2"/>
        <v>laminado</v>
      </c>
      <c r="F354" s="8"/>
      <c r="G354" s="8" t="str">
        <f t="shared" si="3"/>
        <v>1.0</v>
      </c>
      <c r="H354" s="9">
        <f t="shared" si="4"/>
        <v>1</v>
      </c>
      <c r="I354" s="10">
        <f>IFERROR(__xludf.DUMMYFUNCTION("MAX(FILTER($H$2:$H1388,$E$2:$E1388=F354))"),0.0)</f>
        <v>0</v>
      </c>
    </row>
    <row r="355">
      <c r="A355" s="4"/>
      <c r="C355" s="4" t="s">
        <v>790</v>
      </c>
      <c r="D355" s="4" t="str">
        <f t="shared" si="1"/>
        <v>{"valorA":"para","valorB":15.0}</v>
      </c>
      <c r="E355" s="8" t="str">
        <f t="shared" si="2"/>
        <v>para</v>
      </c>
      <c r="F355" s="8"/>
      <c r="G355" s="8" t="str">
        <f t="shared" si="3"/>
        <v>15.0</v>
      </c>
      <c r="H355" s="9">
        <f t="shared" si="4"/>
        <v>15</v>
      </c>
      <c r="I355" s="10">
        <f>IFERROR(__xludf.DUMMYFUNCTION("MAX(FILTER($H$2:$H1388,$E$2:$E1388=F355))"),0.0)</f>
        <v>0</v>
      </c>
    </row>
    <row r="356">
      <c r="A356" s="4"/>
      <c r="C356" s="4" t="s">
        <v>1642</v>
      </c>
      <c r="D356" s="4" t="str">
        <f t="shared" si="1"/>
        <v>{"valorA":"computador","valorB":5.0}</v>
      </c>
      <c r="E356" s="8" t="str">
        <f t="shared" si="2"/>
        <v>computador</v>
      </c>
      <c r="F356" s="8"/>
      <c r="G356" s="8" t="str">
        <f t="shared" si="3"/>
        <v>5.0</v>
      </c>
      <c r="H356" s="9">
        <f t="shared" si="4"/>
        <v>5</v>
      </c>
      <c r="I356" s="10">
        <f>IFERROR(__xludf.DUMMYFUNCTION("MAX(FILTER($H$2:$H1388,$E$2:$E1388=F356))"),0.0)</f>
        <v>0</v>
      </c>
    </row>
    <row r="357">
      <c r="A357" s="4"/>
      <c r="C357" s="4" t="s">
        <v>1643</v>
      </c>
      <c r="D357" s="4" t="str">
        <f t="shared" si="1"/>
        <v>{"valorA":"ótima","valorB":12.0}</v>
      </c>
      <c r="E357" s="8" t="str">
        <f t="shared" si="2"/>
        <v>ótima</v>
      </c>
      <c r="F357" s="8"/>
      <c r="G357" s="8" t="str">
        <f t="shared" si="3"/>
        <v>12.0</v>
      </c>
      <c r="H357" s="9">
        <f t="shared" si="4"/>
        <v>12</v>
      </c>
      <c r="I357" s="10">
        <f>IFERROR(__xludf.DUMMYFUNCTION("MAX(FILTER($H$2:$H1388,$E$2:$E1388=F357))"),0.0)</f>
        <v>0</v>
      </c>
    </row>
    <row r="358">
      <c r="A358" s="4"/>
      <c r="C358" s="4" t="s">
        <v>855</v>
      </c>
      <c r="D358" s="4" t="str">
        <f t="shared" si="1"/>
        <v>{"valorA":"o","valorB":12.0}</v>
      </c>
      <c r="E358" s="8" t="str">
        <f t="shared" si="2"/>
        <v>o</v>
      </c>
      <c r="F358" s="8"/>
      <c r="G358" s="8" t="str">
        <f t="shared" si="3"/>
        <v>12.0</v>
      </c>
      <c r="H358" s="9">
        <f t="shared" si="4"/>
        <v>12</v>
      </c>
      <c r="I358" s="10">
        <f>IFERROR(__xludf.DUMMYFUNCTION("MAX(FILTER($H$2:$H1388,$E$2:$E1388=F358))"),0.0)</f>
        <v>0</v>
      </c>
    </row>
    <row r="359">
      <c r="A359" s="4"/>
      <c r="C359" s="4" t="s">
        <v>1644</v>
      </c>
      <c r="D359" s="4" t="str">
        <f t="shared" si="1"/>
        <v>{"valorA":"lcd","valorB":1.0}</v>
      </c>
      <c r="E359" s="8" t="str">
        <f t="shared" si="2"/>
        <v>lcd</v>
      </c>
      <c r="F359" s="8"/>
      <c r="G359" s="8" t="str">
        <f t="shared" si="3"/>
        <v>1.0</v>
      </c>
      <c r="H359" s="9">
        <f t="shared" si="4"/>
        <v>1</v>
      </c>
      <c r="I359" s="10">
        <f>IFERROR(__xludf.DUMMYFUNCTION("MAX(FILTER($H$2:$H1388,$E$2:$E1388=F359))"),0.0)</f>
        <v>0</v>
      </c>
    </row>
    <row r="360">
      <c r="A360" s="4"/>
      <c r="C360" s="4" t="s">
        <v>1645</v>
      </c>
      <c r="D360" s="4" t="str">
        <f t="shared" si="1"/>
        <v>{"valorA":"tela","valorB":1.0}</v>
      </c>
      <c r="E360" s="8" t="str">
        <f t="shared" si="2"/>
        <v>tela</v>
      </c>
      <c r="F360" s="8"/>
      <c r="G360" s="8" t="str">
        <f t="shared" si="3"/>
        <v>1.0</v>
      </c>
      <c r="H360" s="9">
        <f t="shared" si="4"/>
        <v>1</v>
      </c>
      <c r="I360" s="10">
        <f>IFERROR(__xludf.DUMMYFUNCTION("MAX(FILTER($H$2:$H1388,$E$2:$E1388=F360))"),0.0)</f>
        <v>0</v>
      </c>
    </row>
    <row r="361">
      <c r="A361" s="4"/>
      <c r="C361" s="4" t="s">
        <v>1646</v>
      </c>
      <c r="D361" s="4" t="str">
        <f t="shared" si="1"/>
        <v>{"valorA":"cozinha","valorB":1.0}</v>
      </c>
      <c r="E361" s="8" t="str">
        <f t="shared" si="2"/>
        <v>cozinha</v>
      </c>
      <c r="F361" s="8"/>
      <c r="G361" s="8" t="str">
        <f t="shared" si="3"/>
        <v>1.0</v>
      </c>
      <c r="H361" s="9">
        <f t="shared" si="4"/>
        <v>1</v>
      </c>
      <c r="I361" s="10">
        <f>IFERROR(__xludf.DUMMYFUNCTION("MAX(FILTER($H$2:$H1388,$E$2:$E1388=F361))"),0.0)</f>
        <v>0</v>
      </c>
    </row>
    <row r="362">
      <c r="A362" s="4"/>
      <c r="C362" s="4" t="s">
        <v>739</v>
      </c>
      <c r="D362" s="4" t="str">
        <f t="shared" si="1"/>
        <v>{"valorA":"ótimo","valorB":31.0}</v>
      </c>
      <c r="E362" s="8" t="str">
        <f t="shared" si="2"/>
        <v>ótimo</v>
      </c>
      <c r="F362" s="8"/>
      <c r="G362" s="8" t="str">
        <f t="shared" si="3"/>
        <v>31.0</v>
      </c>
      <c r="H362" s="9">
        <f t="shared" si="4"/>
        <v>31</v>
      </c>
      <c r="I362" s="10">
        <f>IFERROR(__xludf.DUMMYFUNCTION("MAX(FILTER($H$2:$H1388,$E$2:$E1388=F362))"),0.0)</f>
        <v>0</v>
      </c>
    </row>
    <row r="363">
      <c r="A363" s="4"/>
      <c r="C363" s="4" t="s">
        <v>449</v>
      </c>
      <c r="D363" s="4" t="str">
        <f t="shared" si="1"/>
        <v>{"valorA":"muito","valorB":16.0}</v>
      </c>
      <c r="E363" s="8" t="str">
        <f t="shared" si="2"/>
        <v>muito</v>
      </c>
      <c r="F363" s="8"/>
      <c r="G363" s="8" t="str">
        <f t="shared" si="3"/>
        <v>16.0</v>
      </c>
      <c r="H363" s="9">
        <f t="shared" si="4"/>
        <v>16</v>
      </c>
      <c r="I363" s="10">
        <f>IFERROR(__xludf.DUMMYFUNCTION("MAX(FILTER($H$2:$H1388,$E$2:$E1388=F363))"),0.0)</f>
        <v>0</v>
      </c>
    </row>
    <row r="364">
      <c r="A364" s="4"/>
      <c r="C364" s="4" t="s">
        <v>216</v>
      </c>
      <c r="D364" s="4" t="str">
        <f t="shared" si="1"/>
        <v>{"valorA":"novo","valorB":1.0}</v>
      </c>
      <c r="E364" s="8" t="str">
        <f t="shared" si="2"/>
        <v>novo</v>
      </c>
      <c r="F364" s="8"/>
      <c r="G364" s="8" t="str">
        <f t="shared" si="3"/>
        <v>1.0</v>
      </c>
      <c r="H364" s="9">
        <f t="shared" si="4"/>
        <v>1</v>
      </c>
      <c r="I364" s="10">
        <f>IFERROR(__xludf.DUMMYFUNCTION("MAX(FILTER($H$2:$H1388,$E$2:$E1388=F364))"),0.0)</f>
        <v>0</v>
      </c>
    </row>
    <row r="365">
      <c r="A365" s="4"/>
      <c r="C365" s="4" t="s">
        <v>402</v>
      </c>
      <c r="D365" s="4" t="str">
        <f t="shared" si="1"/>
        <v>{"valorA":"da","valorB":2.0}</v>
      </c>
      <c r="E365" s="8" t="str">
        <f t="shared" si="2"/>
        <v>da</v>
      </c>
      <c r="F365" s="8"/>
      <c r="G365" s="8" t="str">
        <f t="shared" si="3"/>
        <v>2.0</v>
      </c>
      <c r="H365" s="9">
        <f t="shared" si="4"/>
        <v>2</v>
      </c>
      <c r="I365" s="10">
        <f>IFERROR(__xludf.DUMMYFUNCTION("MAX(FILTER($H$2:$H1388,$E$2:$E1388=F365))"),0.0)</f>
        <v>0</v>
      </c>
    </row>
    <row r="366">
      <c r="A366" s="4"/>
      <c r="C366" s="4" t="s">
        <v>1647</v>
      </c>
      <c r="D366" s="4" t="str">
        <f t="shared" si="1"/>
        <v>{"valorA":"para","valorB":16.0}</v>
      </c>
      <c r="E366" s="8" t="str">
        <f t="shared" si="2"/>
        <v>para</v>
      </c>
      <c r="F366" s="8"/>
      <c r="G366" s="8" t="str">
        <f t="shared" si="3"/>
        <v>16.0</v>
      </c>
      <c r="H366" s="9">
        <f t="shared" si="4"/>
        <v>16</v>
      </c>
      <c r="I366" s="10">
        <f>IFERROR(__xludf.DUMMYFUNCTION("MAX(FILTER($H$2:$H1388,$E$2:$E1388=F366))"),0.0)</f>
        <v>0</v>
      </c>
    </row>
    <row r="367">
      <c r="A367" s="4"/>
      <c r="C367" s="4" t="s">
        <v>1269</v>
      </c>
      <c r="D367" s="4" t="str">
        <f t="shared" si="1"/>
        <v>{"valorA":"confiável","valorB":1.0}</v>
      </c>
      <c r="E367" s="8" t="str">
        <f t="shared" si="2"/>
        <v>confiável</v>
      </c>
      <c r="F367" s="8"/>
      <c r="G367" s="8" t="str">
        <f t="shared" si="3"/>
        <v>1.0</v>
      </c>
      <c r="H367" s="9">
        <f t="shared" si="4"/>
        <v>1</v>
      </c>
      <c r="I367" s="10">
        <f>IFERROR(__xludf.DUMMYFUNCTION("MAX(FILTER($H$2:$H1388,$E$2:$E1388=F367))"),0.0)</f>
        <v>0</v>
      </c>
    </row>
    <row r="368">
      <c r="A368" s="4"/>
      <c r="C368" s="4" t="s">
        <v>1648</v>
      </c>
      <c r="D368" s="4" t="str">
        <f t="shared" si="1"/>
        <v>{"valorA":"comprei","valorB":5.0}</v>
      </c>
      <c r="E368" s="8" t="str">
        <f t="shared" si="2"/>
        <v>comprei</v>
      </c>
      <c r="F368" s="8"/>
      <c r="G368" s="8" t="str">
        <f t="shared" si="3"/>
        <v>5.0</v>
      </c>
      <c r="H368" s="9">
        <f t="shared" si="4"/>
        <v>5</v>
      </c>
      <c r="I368" s="10">
        <f>IFERROR(__xludf.DUMMYFUNCTION("MAX(FILTER($H$2:$H1388,$E$2:$E1388=F368))"),0.0)</f>
        <v>0</v>
      </c>
    </row>
    <row r="369">
      <c r="A369" s="4"/>
      <c r="C369" s="4" t="s">
        <v>1649</v>
      </c>
      <c r="D369" s="4" t="str">
        <f t="shared" si="1"/>
        <v>{"valorA":"banheira","valorB":1.0}</v>
      </c>
      <c r="E369" s="8" t="str">
        <f t="shared" si="2"/>
        <v>banheira</v>
      </c>
      <c r="F369" s="8"/>
      <c r="G369" s="8" t="str">
        <f t="shared" si="3"/>
        <v>1.0</v>
      </c>
      <c r="H369" s="9">
        <f t="shared" si="4"/>
        <v>1</v>
      </c>
      <c r="I369" s="10">
        <f>IFERROR(__xludf.DUMMYFUNCTION("MAX(FILTER($H$2:$H1388,$E$2:$E1388=F369))"),0.0)</f>
        <v>0</v>
      </c>
    </row>
    <row r="370">
      <c r="A370" s="4"/>
      <c r="C370" s="4" t="s">
        <v>1650</v>
      </c>
      <c r="D370" s="4" t="str">
        <f t="shared" si="1"/>
        <v>{"valorA":"já","valorB":2.0}</v>
      </c>
      <c r="E370" s="8" t="str">
        <f t="shared" si="2"/>
        <v>já</v>
      </c>
      <c r="F370" s="8"/>
      <c r="G370" s="8" t="str">
        <f t="shared" si="3"/>
        <v>2.0</v>
      </c>
      <c r="H370" s="9">
        <f t="shared" si="4"/>
        <v>2</v>
      </c>
      <c r="I370" s="10">
        <f>IFERROR(__xludf.DUMMYFUNCTION("MAX(FILTER($H$2:$H1388,$E$2:$E1388=F370))"),0.0)</f>
        <v>0</v>
      </c>
    </row>
    <row r="371">
      <c r="A371" s="4"/>
      <c r="C371" s="4" t="s">
        <v>793</v>
      </c>
      <c r="D371" s="4" t="str">
        <f t="shared" si="1"/>
        <v>{"valorA":"que","valorB":8.0}</v>
      </c>
      <c r="E371" s="8" t="str">
        <f t="shared" si="2"/>
        <v>que</v>
      </c>
      <c r="F371" s="8"/>
      <c r="G371" s="8" t="str">
        <f t="shared" si="3"/>
        <v>8.0</v>
      </c>
      <c r="H371" s="9">
        <f t="shared" si="4"/>
        <v>8</v>
      </c>
      <c r="I371" s="10">
        <f>IFERROR(__xludf.DUMMYFUNCTION("MAX(FILTER($H$2:$H1388,$E$2:$E1388=F371))"),0.0)</f>
        <v>0</v>
      </c>
    </row>
    <row r="372">
      <c r="A372" s="4"/>
      <c r="C372" s="4" t="s">
        <v>585</v>
      </c>
      <c r="D372" s="4" t="str">
        <f t="shared" si="1"/>
        <v>{"valorA":"produto","valorB":3.0}</v>
      </c>
      <c r="E372" s="8" t="str">
        <f t="shared" si="2"/>
        <v>produto</v>
      </c>
      <c r="F372" s="8"/>
      <c r="G372" s="8" t="str">
        <f t="shared" si="3"/>
        <v>3.0</v>
      </c>
      <c r="H372" s="9">
        <f t="shared" si="4"/>
        <v>3</v>
      </c>
      <c r="I372" s="10">
        <f>IFERROR(__xludf.DUMMYFUNCTION("MAX(FILTER($H$2:$H1388,$E$2:$E1388=F372))"),0.0)</f>
        <v>0</v>
      </c>
    </row>
    <row r="373">
      <c r="A373" s="4"/>
      <c r="C373" s="4" t="s">
        <v>762</v>
      </c>
      <c r="D373" s="4" t="str">
        <f t="shared" si="1"/>
        <v>{"valorA":"ótimo","valorB":33.0}</v>
      </c>
      <c r="E373" s="8" t="str">
        <f t="shared" si="2"/>
        <v>ótimo</v>
      </c>
      <c r="F373" s="8"/>
      <c r="G373" s="8" t="str">
        <f t="shared" si="3"/>
        <v>33.0</v>
      </c>
      <c r="H373" s="9">
        <f t="shared" si="4"/>
        <v>33</v>
      </c>
      <c r="I373" s="10">
        <f>IFERROR(__xludf.DUMMYFUNCTION("MAX(FILTER($H$2:$H1388,$E$2:$E1388=F373))"),0.0)</f>
        <v>0</v>
      </c>
    </row>
    <row r="374">
      <c r="A374" s="4"/>
      <c r="C374" s="4" t="s">
        <v>1651</v>
      </c>
      <c r="D374" s="4" t="str">
        <f t="shared" si="1"/>
        <v>{"valorA":"cabelo","valorB":5.0}</v>
      </c>
      <c r="E374" s="8" t="str">
        <f t="shared" si="2"/>
        <v>cabelo</v>
      </c>
      <c r="F374" s="8"/>
      <c r="G374" s="8" t="str">
        <f t="shared" si="3"/>
        <v>5.0</v>
      </c>
      <c r="H374" s="9">
        <f t="shared" si="4"/>
        <v>5</v>
      </c>
      <c r="I374" s="10">
        <f>IFERROR(__xludf.DUMMYFUNCTION("MAX(FILTER($H$2:$H1388,$E$2:$E1388=F374))"),0.0)</f>
        <v>0</v>
      </c>
    </row>
    <row r="375">
      <c r="A375" s="4"/>
      <c r="C375" s="4" t="s">
        <v>1652</v>
      </c>
      <c r="D375" s="4" t="str">
        <f t="shared" si="1"/>
        <v>{"valorA":"melhores","valorB":1.0}</v>
      </c>
      <c r="E375" s="8" t="str">
        <f t="shared" si="2"/>
        <v>melhores</v>
      </c>
      <c r="F375" s="8"/>
      <c r="G375" s="8" t="str">
        <f t="shared" si="3"/>
        <v>1.0</v>
      </c>
      <c r="H375" s="9">
        <f t="shared" si="4"/>
        <v>1</v>
      </c>
      <c r="I375" s="10">
        <f>IFERROR(__xludf.DUMMYFUNCTION("MAX(FILTER($H$2:$H1388,$E$2:$E1388=F375))"),0.0)</f>
        <v>0</v>
      </c>
    </row>
    <row r="376">
      <c r="A376" s="4"/>
      <c r="C376" s="4" t="s">
        <v>1323</v>
      </c>
      <c r="D376" s="4" t="str">
        <f t="shared" si="1"/>
        <v>{"valorA":"muito","valorB":17.0}</v>
      </c>
      <c r="E376" s="8" t="str">
        <f t="shared" si="2"/>
        <v>muito</v>
      </c>
      <c r="F376" s="8"/>
      <c r="G376" s="8" t="str">
        <f t="shared" si="3"/>
        <v>17.0</v>
      </c>
      <c r="H376" s="9">
        <f t="shared" si="4"/>
        <v>17</v>
      </c>
      <c r="I376" s="10">
        <f>IFERROR(__xludf.DUMMYFUNCTION("MAX(FILTER($H$2:$H1388,$E$2:$E1388=F376))"),0.0)</f>
        <v>0</v>
      </c>
    </row>
    <row r="377">
      <c r="A377" s="4"/>
      <c r="C377" s="4" t="s">
        <v>489</v>
      </c>
      <c r="D377" s="4" t="str">
        <f t="shared" si="1"/>
        <v>{"valorA":"a","valorB":6.0}</v>
      </c>
      <c r="E377" s="8" t="str">
        <f t="shared" si="2"/>
        <v>a</v>
      </c>
      <c r="F377" s="8"/>
      <c r="G377" s="8" t="str">
        <f t="shared" si="3"/>
        <v>6.0</v>
      </c>
      <c r="H377" s="9">
        <f t="shared" si="4"/>
        <v>6</v>
      </c>
      <c r="I377" s="10">
        <f>IFERROR(__xludf.DUMMYFUNCTION("MAX(FILTER($H$2:$H1388,$E$2:$E1388=F377))"),0.0)</f>
        <v>0</v>
      </c>
    </row>
    <row r="378">
      <c r="A378" s="4"/>
      <c r="C378" s="4" t="s">
        <v>1653</v>
      </c>
      <c r="D378" s="4" t="str">
        <f t="shared" si="1"/>
        <v>{"valorA":"dos","valorB":1.0}</v>
      </c>
      <c r="E378" s="8" t="str">
        <f t="shared" si="2"/>
        <v>dos</v>
      </c>
      <c r="F378" s="8"/>
      <c r="G378" s="8" t="str">
        <f t="shared" si="3"/>
        <v>1.0</v>
      </c>
      <c r="H378" s="9">
        <f t="shared" si="4"/>
        <v>1</v>
      </c>
      <c r="I378" s="10">
        <f>IFERROR(__xludf.DUMMYFUNCTION("MAX(FILTER($H$2:$H1388,$E$2:$E1388=F378))"),0.0)</f>
        <v>0</v>
      </c>
    </row>
    <row r="379">
      <c r="A379" s="4"/>
      <c r="C379" s="4" t="s">
        <v>619</v>
      </c>
      <c r="D379" s="4" t="str">
        <f t="shared" si="1"/>
        <v>{"valorA":"um","valorB":1.0}</v>
      </c>
      <c r="E379" s="8" t="str">
        <f t="shared" si="2"/>
        <v>um</v>
      </c>
      <c r="F379" s="8"/>
      <c r="G379" s="8" t="str">
        <f t="shared" si="3"/>
        <v>1.0</v>
      </c>
      <c r="H379" s="9">
        <f t="shared" si="4"/>
        <v>1</v>
      </c>
      <c r="I379" s="10">
        <f>IFERROR(__xludf.DUMMYFUNCTION("MAX(FILTER($H$2:$H1388,$E$2:$E1388=F379))"),0.0)</f>
        <v>0</v>
      </c>
    </row>
    <row r="380">
      <c r="A380" s="4"/>
      <c r="C380" s="4" t="s">
        <v>1054</v>
      </c>
      <c r="D380" s="4" t="str">
        <f t="shared" si="1"/>
        <v>{"valorA":"com","valorB":7.0}</v>
      </c>
      <c r="E380" s="8" t="str">
        <f t="shared" si="2"/>
        <v>com</v>
      </c>
      <c r="F380" s="8"/>
      <c r="G380" s="8" t="str">
        <f t="shared" si="3"/>
        <v>7.0</v>
      </c>
      <c r="H380" s="9">
        <f t="shared" si="4"/>
        <v>7</v>
      </c>
      <c r="I380" s="10">
        <f>IFERROR(__xludf.DUMMYFUNCTION("MAX(FILTER($H$2:$H1388,$E$2:$E1388=F380))"),0.0)</f>
        <v>0</v>
      </c>
    </row>
    <row r="381">
      <c r="A381" s="4"/>
      <c r="C381" s="4" t="s">
        <v>293</v>
      </c>
      <c r="D381" s="4" t="str">
        <f t="shared" si="1"/>
        <v>{"valorA":"bem","valorB":4.0}</v>
      </c>
      <c r="E381" s="8" t="str">
        <f t="shared" si="2"/>
        <v>bem</v>
      </c>
      <c r="F381" s="8"/>
      <c r="G381" s="8" t="str">
        <f t="shared" si="3"/>
        <v>4.0</v>
      </c>
      <c r="H381" s="9">
        <f t="shared" si="4"/>
        <v>4</v>
      </c>
      <c r="I381" s="10">
        <f>IFERROR(__xludf.DUMMYFUNCTION("MAX(FILTER($H$2:$H1388,$E$2:$E1388=F381))"),0.0)</f>
        <v>0</v>
      </c>
    </row>
    <row r="382">
      <c r="A382" s="4"/>
      <c r="C382" s="4" t="s">
        <v>1654</v>
      </c>
      <c r="D382" s="4" t="str">
        <f t="shared" si="1"/>
        <v>{"valorA":"recursos","valorB":1.0}</v>
      </c>
      <c r="E382" s="8" t="str">
        <f t="shared" si="2"/>
        <v>recursos</v>
      </c>
      <c r="F382" s="8"/>
      <c r="G382" s="8" t="str">
        <f t="shared" si="3"/>
        <v>1.0</v>
      </c>
      <c r="H382" s="9">
        <f t="shared" si="4"/>
        <v>1</v>
      </c>
      <c r="I382" s="10">
        <f>IFERROR(__xludf.DUMMYFUNCTION("MAX(FILTER($H$2:$H1388,$E$2:$E1388=F382))"),0.0)</f>
        <v>0</v>
      </c>
    </row>
    <row r="383">
      <c r="A383" s="4"/>
      <c r="C383" s="4" t="s">
        <v>209</v>
      </c>
      <c r="D383" s="4" t="str">
        <f t="shared" si="1"/>
        <v>{"valorA":"produto","valorB":4.0}</v>
      </c>
      <c r="E383" s="8" t="str">
        <f t="shared" si="2"/>
        <v>produto</v>
      </c>
      <c r="F383" s="8"/>
      <c r="G383" s="8" t="str">
        <f t="shared" si="3"/>
        <v>4.0</v>
      </c>
      <c r="H383" s="9">
        <f t="shared" si="4"/>
        <v>4</v>
      </c>
      <c r="I383" s="10">
        <f>IFERROR(__xludf.DUMMYFUNCTION("MAX(FILTER($H$2:$H1388,$E$2:$E1388=F383))"),0.0)</f>
        <v>0</v>
      </c>
    </row>
    <row r="384">
      <c r="A384" s="4"/>
      <c r="C384" s="4" t="s">
        <v>394</v>
      </c>
      <c r="D384" s="4" t="str">
        <f t="shared" si="1"/>
        <v>{"valorA":"ótimo","valorB":34.0}</v>
      </c>
      <c r="E384" s="8" t="str">
        <f t="shared" si="2"/>
        <v>ótimo</v>
      </c>
      <c r="F384" s="8"/>
      <c r="G384" s="8" t="str">
        <f t="shared" si="3"/>
        <v>34.0</v>
      </c>
      <c r="H384" s="9">
        <f t="shared" si="4"/>
        <v>34</v>
      </c>
      <c r="I384" s="10">
        <f>IFERROR(__xludf.DUMMYFUNCTION("MAX(FILTER($H$2:$H1388,$E$2:$E1388=F384))"),0.0)</f>
        <v>0</v>
      </c>
    </row>
    <row r="385">
      <c r="A385" s="4"/>
      <c r="C385" s="4" t="s">
        <v>1333</v>
      </c>
      <c r="D385" s="4" t="str">
        <f t="shared" si="1"/>
        <v>{"valorA":"muito","valorB":18.0}</v>
      </c>
      <c r="E385" s="8" t="str">
        <f t="shared" si="2"/>
        <v>muito</v>
      </c>
      <c r="F385" s="8"/>
      <c r="G385" s="8" t="str">
        <f t="shared" si="3"/>
        <v>18.0</v>
      </c>
      <c r="H385" s="9">
        <f t="shared" si="4"/>
        <v>18</v>
      </c>
      <c r="I385" s="10">
        <f>IFERROR(__xludf.DUMMYFUNCTION("MAX(FILTER($H$2:$H1388,$E$2:$E1388=F385))"),0.0)</f>
        <v>0</v>
      </c>
    </row>
    <row r="386">
      <c r="A386" s="4"/>
      <c r="C386" s="4" t="s">
        <v>1019</v>
      </c>
      <c r="D386" s="4" t="str">
        <f t="shared" si="1"/>
        <v>{"valorA":"poucos","valorB":1.0}</v>
      </c>
      <c r="E386" s="8" t="str">
        <f t="shared" si="2"/>
        <v>poucos</v>
      </c>
      <c r="F386" s="8"/>
      <c r="G386" s="8" t="str">
        <f t="shared" si="3"/>
        <v>1.0</v>
      </c>
      <c r="H386" s="9">
        <f t="shared" si="4"/>
        <v>1</v>
      </c>
      <c r="I386" s="10">
        <f>IFERROR(__xludf.DUMMYFUNCTION("MAX(FILTER($H$2:$H1388,$E$2:$E1388=F386))"),0.0)</f>
        <v>0</v>
      </c>
    </row>
    <row r="387">
      <c r="A387" s="4"/>
      <c r="C387" s="4" t="s">
        <v>1176</v>
      </c>
      <c r="D387" s="4" t="str">
        <f t="shared" si="1"/>
        <v>{"valorA":"mesmo","valorB":1.0}</v>
      </c>
      <c r="E387" s="8" t="str">
        <f t="shared" si="2"/>
        <v>mesmo</v>
      </c>
      <c r="F387" s="8"/>
      <c r="G387" s="8" t="str">
        <f t="shared" si="3"/>
        <v>1.0</v>
      </c>
      <c r="H387" s="9">
        <f t="shared" si="4"/>
        <v>1</v>
      </c>
      <c r="I387" s="10">
        <f>IFERROR(__xludf.DUMMYFUNCTION("MAX(FILTER($H$2:$H1388,$E$2:$E1388=F387))"),0.0)</f>
        <v>0</v>
      </c>
    </row>
    <row r="388">
      <c r="A388" s="4"/>
      <c r="C388" s="4" t="s">
        <v>343</v>
      </c>
      <c r="D388" s="4" t="str">
        <f t="shared" si="1"/>
        <v>{"valorA":"funciona","valorB":7.0}</v>
      </c>
      <c r="E388" s="8" t="str">
        <f t="shared" si="2"/>
        <v>funciona</v>
      </c>
      <c r="F388" s="8"/>
      <c r="G388" s="8" t="str">
        <f t="shared" si="3"/>
        <v>7.0</v>
      </c>
      <c r="H388" s="9">
        <f t="shared" si="4"/>
        <v>7</v>
      </c>
      <c r="I388" s="10">
        <f>IFERROR(__xludf.DUMMYFUNCTION("MAX(FILTER($H$2:$H1388,$E$2:$E1388=F388))"),0.0)</f>
        <v>0</v>
      </c>
    </row>
    <row r="389">
      <c r="A389" s="4"/>
      <c r="C389" s="4"/>
      <c r="D389" s="4"/>
      <c r="E389" s="8"/>
      <c r="F389" s="8"/>
      <c r="G389" s="8"/>
      <c r="H389" s="9"/>
    </row>
    <row r="390">
      <c r="A390" s="4"/>
      <c r="C390" s="4"/>
      <c r="D390" s="4"/>
      <c r="E390" s="8"/>
      <c r="F390" s="8"/>
      <c r="G390" s="8"/>
      <c r="H390" s="9"/>
    </row>
    <row r="391">
      <c r="A391" s="4"/>
      <c r="C391" s="4"/>
      <c r="D391" s="4"/>
      <c r="E391" s="8"/>
      <c r="F391" s="8"/>
      <c r="G391" s="8"/>
      <c r="H391" s="9"/>
    </row>
    <row r="392">
      <c r="A392" s="4"/>
      <c r="C392" s="4"/>
      <c r="D392" s="4"/>
      <c r="E392" s="8"/>
      <c r="F392" s="8"/>
      <c r="G392" s="8"/>
      <c r="H392" s="9"/>
    </row>
    <row r="393">
      <c r="A393" s="4"/>
      <c r="C393" s="4"/>
      <c r="D393" s="4"/>
      <c r="E393" s="8"/>
      <c r="F393" s="8"/>
      <c r="G393" s="8"/>
      <c r="H393" s="9"/>
    </row>
    <row r="394">
      <c r="A394" s="4"/>
      <c r="C394" s="4"/>
      <c r="D394" s="4"/>
      <c r="E394" s="8"/>
      <c r="F394" s="8"/>
      <c r="G394" s="8"/>
      <c r="H394" s="9"/>
    </row>
    <row r="395">
      <c r="A395" s="4"/>
      <c r="C395" s="4"/>
      <c r="D395" s="4"/>
      <c r="E395" s="8"/>
      <c r="F395" s="8"/>
      <c r="G395" s="8"/>
      <c r="H395" s="9"/>
    </row>
    <row r="396">
      <c r="A396" s="4"/>
      <c r="C396" s="4"/>
      <c r="D396" s="4"/>
      <c r="E396" s="8"/>
      <c r="F396" s="8"/>
      <c r="G396" s="8"/>
      <c r="H396" s="9"/>
    </row>
    <row r="397">
      <c r="A397" s="4"/>
      <c r="C397" s="4"/>
      <c r="D397" s="4"/>
      <c r="E397" s="8"/>
      <c r="F397" s="8"/>
      <c r="G397" s="8"/>
      <c r="H397" s="9"/>
    </row>
    <row r="398">
      <c r="A398" s="4"/>
      <c r="C398" s="4"/>
      <c r="D398" s="4"/>
      <c r="E398" s="8"/>
      <c r="F398" s="8"/>
      <c r="G398" s="8"/>
      <c r="H398" s="9"/>
    </row>
    <row r="399">
      <c r="A399" s="4"/>
      <c r="C399" s="4"/>
      <c r="D399" s="4"/>
      <c r="E399" s="8"/>
      <c r="F399" s="8"/>
      <c r="G399" s="8"/>
      <c r="H399" s="9"/>
    </row>
    <row r="400">
      <c r="A400" s="4"/>
      <c r="C400" s="4"/>
      <c r="D400" s="4"/>
      <c r="E400" s="8"/>
      <c r="F400" s="8"/>
      <c r="G400" s="8"/>
      <c r="H400" s="9"/>
    </row>
    <row r="401">
      <c r="A401" s="4"/>
      <c r="C401" s="4"/>
      <c r="D401" s="4"/>
      <c r="E401" s="8"/>
      <c r="F401" s="8"/>
      <c r="G401" s="8"/>
      <c r="H401" s="9"/>
    </row>
    <row r="402">
      <c r="A402" s="4"/>
      <c r="C402" s="4"/>
      <c r="D402" s="4"/>
      <c r="E402" s="8"/>
      <c r="F402" s="8"/>
      <c r="G402" s="8"/>
      <c r="H402" s="9"/>
    </row>
    <row r="403">
      <c r="A403" s="4"/>
      <c r="C403" s="4"/>
      <c r="D403" s="4"/>
      <c r="E403" s="8"/>
      <c r="F403" s="8"/>
      <c r="G403" s="8"/>
      <c r="H403" s="9"/>
    </row>
    <row r="404">
      <c r="A404" s="4"/>
      <c r="C404" s="4"/>
      <c r="D404" s="4"/>
      <c r="E404" s="8"/>
      <c r="F404" s="8"/>
      <c r="G404" s="8"/>
      <c r="H404" s="9"/>
    </row>
    <row r="405">
      <c r="A405" s="4"/>
      <c r="C405" s="4"/>
      <c r="D405" s="4"/>
      <c r="E405" s="8"/>
      <c r="F405" s="8"/>
      <c r="G405" s="8"/>
      <c r="H405" s="9"/>
    </row>
    <row r="406">
      <c r="A406" s="4"/>
      <c r="C406" s="4"/>
      <c r="D406" s="4"/>
      <c r="E406" s="8"/>
      <c r="F406" s="8"/>
      <c r="G406" s="8"/>
      <c r="H406" s="9"/>
    </row>
    <row r="407">
      <c r="A407" s="4"/>
      <c r="C407" s="4"/>
      <c r="D407" s="4"/>
      <c r="E407" s="8"/>
      <c r="F407" s="8"/>
      <c r="G407" s="8"/>
      <c r="H407" s="9"/>
    </row>
    <row r="408">
      <c r="A408" s="4"/>
      <c r="C408" s="4"/>
      <c r="D408" s="4"/>
      <c r="E408" s="8"/>
      <c r="F408" s="8"/>
      <c r="G408" s="8"/>
      <c r="H408" s="9"/>
    </row>
    <row r="409">
      <c r="A409" s="4"/>
      <c r="C409" s="4"/>
      <c r="D409" s="4"/>
      <c r="E409" s="8"/>
      <c r="F409" s="8"/>
      <c r="G409" s="8"/>
      <c r="H409" s="9"/>
    </row>
    <row r="410">
      <c r="A410" s="4"/>
      <c r="C410" s="4"/>
      <c r="D410" s="4"/>
      <c r="E410" s="8"/>
      <c r="F410" s="8"/>
      <c r="G410" s="8"/>
      <c r="H410" s="9"/>
    </row>
    <row r="411">
      <c r="A411" s="4"/>
      <c r="C411" s="4"/>
      <c r="D411" s="4"/>
      <c r="E411" s="8"/>
      <c r="F411" s="8"/>
      <c r="G411" s="8"/>
      <c r="H411" s="9"/>
    </row>
    <row r="412">
      <c r="A412" s="4"/>
      <c r="C412" s="4"/>
      <c r="D412" s="4"/>
      <c r="E412" s="8"/>
      <c r="F412" s="8"/>
      <c r="G412" s="8"/>
      <c r="H412" s="9"/>
    </row>
    <row r="413">
      <c r="A413" s="4"/>
      <c r="C413" s="4"/>
      <c r="D413" s="4"/>
      <c r="E413" s="8"/>
      <c r="F413" s="8"/>
      <c r="G413" s="8"/>
      <c r="H413" s="9"/>
    </row>
    <row r="414">
      <c r="A414" s="4"/>
      <c r="C414" s="4"/>
      <c r="D414" s="4"/>
      <c r="E414" s="8"/>
      <c r="F414" s="8"/>
      <c r="G414" s="8"/>
      <c r="H414" s="9"/>
    </row>
    <row r="415">
      <c r="A415" s="4"/>
      <c r="C415" s="4"/>
      <c r="D415" s="4"/>
      <c r="E415" s="8"/>
      <c r="F415" s="8"/>
      <c r="G415" s="8"/>
      <c r="H415" s="9"/>
    </row>
    <row r="416">
      <c r="A416" s="4"/>
      <c r="C416" s="4"/>
      <c r="D416" s="4"/>
      <c r="E416" s="8"/>
      <c r="F416" s="8"/>
      <c r="G416" s="8"/>
      <c r="H416" s="9"/>
    </row>
    <row r="417">
      <c r="A417" s="4"/>
      <c r="C417" s="4"/>
      <c r="D417" s="4"/>
      <c r="E417" s="8"/>
      <c r="F417" s="8"/>
      <c r="G417" s="8"/>
      <c r="H417" s="9"/>
    </row>
    <row r="418">
      <c r="A418" s="4"/>
      <c r="C418" s="4"/>
      <c r="D418" s="4"/>
      <c r="E418" s="8"/>
      <c r="F418" s="8"/>
      <c r="G418" s="8"/>
      <c r="H418" s="9"/>
    </row>
    <row r="419">
      <c r="A419" s="4"/>
      <c r="C419" s="4"/>
      <c r="D419" s="4"/>
      <c r="E419" s="8"/>
      <c r="F419" s="8"/>
      <c r="G419" s="8"/>
      <c r="H419" s="9"/>
    </row>
    <row r="420">
      <c r="A420" s="4"/>
      <c r="C420" s="4"/>
      <c r="D420" s="4"/>
      <c r="E420" s="8"/>
      <c r="F420" s="8"/>
      <c r="G420" s="8"/>
      <c r="H420" s="9"/>
    </row>
    <row r="421">
      <c r="A421" s="4"/>
      <c r="C421" s="4"/>
      <c r="D421" s="4"/>
      <c r="E421" s="8"/>
      <c r="F421" s="8"/>
      <c r="G421" s="8"/>
      <c r="H421" s="9"/>
    </row>
    <row r="422">
      <c r="A422" s="4"/>
      <c r="C422" s="4"/>
      <c r="D422" s="4"/>
      <c r="E422" s="8"/>
      <c r="F422" s="8"/>
      <c r="G422" s="8"/>
      <c r="H422" s="9"/>
    </row>
    <row r="423">
      <c r="A423" s="4"/>
      <c r="C423" s="4"/>
      <c r="D423" s="4"/>
      <c r="E423" s="8"/>
      <c r="F423" s="8"/>
      <c r="G423" s="8"/>
      <c r="H423" s="9"/>
    </row>
    <row r="424">
      <c r="A424" s="4"/>
      <c r="C424" s="4"/>
      <c r="D424" s="4"/>
      <c r="E424" s="8"/>
      <c r="F424" s="8"/>
      <c r="G424" s="8"/>
      <c r="H424" s="9"/>
    </row>
    <row r="425">
      <c r="A425" s="4"/>
      <c r="C425" s="4"/>
      <c r="D425" s="4"/>
      <c r="E425" s="8"/>
      <c r="F425" s="8"/>
      <c r="G425" s="8"/>
      <c r="H425" s="9"/>
    </row>
    <row r="426">
      <c r="A426" s="4"/>
      <c r="C426" s="4"/>
      <c r="D426" s="4"/>
      <c r="E426" s="8"/>
      <c r="F426" s="8"/>
      <c r="G426" s="8"/>
      <c r="H426" s="9"/>
    </row>
    <row r="427">
      <c r="A427" s="4"/>
      <c r="C427" s="4"/>
      <c r="D427" s="4"/>
      <c r="E427" s="8"/>
      <c r="F427" s="8"/>
      <c r="G427" s="8"/>
      <c r="H427" s="9"/>
    </row>
    <row r="428">
      <c r="A428" s="4"/>
      <c r="C428" s="4"/>
      <c r="D428" s="4"/>
      <c r="E428" s="8"/>
      <c r="F428" s="8"/>
      <c r="G428" s="8"/>
      <c r="H428" s="9"/>
    </row>
    <row r="429">
      <c r="A429" s="4"/>
      <c r="C429" s="4"/>
      <c r="D429" s="4"/>
      <c r="E429" s="8"/>
      <c r="F429" s="8"/>
      <c r="G429" s="8"/>
      <c r="H429" s="9"/>
    </row>
    <row r="430">
      <c r="A430" s="4"/>
      <c r="C430" s="4"/>
      <c r="D430" s="4"/>
      <c r="E430" s="8"/>
      <c r="F430" s="8"/>
      <c r="G430" s="8"/>
      <c r="H430" s="9"/>
    </row>
    <row r="431">
      <c r="A431" s="4"/>
      <c r="C431" s="4"/>
      <c r="D431" s="4"/>
      <c r="E431" s="8"/>
      <c r="F431" s="8"/>
      <c r="G431" s="8"/>
      <c r="H431" s="9"/>
    </row>
    <row r="432">
      <c r="A432" s="4"/>
      <c r="C432" s="4"/>
      <c r="D432" s="4"/>
      <c r="E432" s="8"/>
      <c r="F432" s="8"/>
      <c r="G432" s="8"/>
      <c r="H432" s="9"/>
    </row>
    <row r="433">
      <c r="A433" s="4"/>
      <c r="C433" s="4"/>
      <c r="D433" s="4"/>
      <c r="E433" s="8"/>
      <c r="F433" s="8"/>
      <c r="G433" s="8"/>
      <c r="H433" s="9"/>
    </row>
    <row r="434">
      <c r="A434" s="4"/>
      <c r="C434" s="4"/>
      <c r="D434" s="4"/>
      <c r="E434" s="8"/>
      <c r="F434" s="8"/>
      <c r="G434" s="8"/>
      <c r="H434" s="9"/>
    </row>
    <row r="435">
      <c r="A435" s="4"/>
      <c r="C435" s="4"/>
      <c r="D435" s="4"/>
      <c r="E435" s="8"/>
      <c r="F435" s="8"/>
      <c r="G435" s="8"/>
      <c r="H435" s="9"/>
    </row>
    <row r="436">
      <c r="A436" s="4"/>
      <c r="C436" s="4"/>
      <c r="D436" s="4"/>
      <c r="E436" s="8"/>
      <c r="F436" s="8"/>
      <c r="G436" s="8"/>
      <c r="H436" s="9"/>
    </row>
    <row r="437">
      <c r="A437" s="4"/>
      <c r="C437" s="4"/>
      <c r="D437" s="4"/>
      <c r="E437" s="8"/>
      <c r="F437" s="8"/>
      <c r="G437" s="8"/>
      <c r="H437" s="9"/>
    </row>
    <row r="438">
      <c r="A438" s="4"/>
      <c r="C438" s="4"/>
      <c r="D438" s="4"/>
      <c r="E438" s="8"/>
      <c r="F438" s="8"/>
      <c r="G438" s="8"/>
      <c r="H438" s="9"/>
    </row>
    <row r="439">
      <c r="A439" s="4"/>
      <c r="C439" s="4"/>
      <c r="D439" s="4"/>
      <c r="E439" s="8"/>
      <c r="F439" s="8"/>
      <c r="G439" s="8"/>
      <c r="H439" s="9"/>
    </row>
    <row r="440">
      <c r="A440" s="4"/>
      <c r="C440" s="4"/>
      <c r="D440" s="4"/>
      <c r="E440" s="8"/>
      <c r="F440" s="8"/>
      <c r="G440" s="8"/>
      <c r="H440" s="9"/>
    </row>
    <row r="441">
      <c r="A441" s="4"/>
      <c r="C441" s="4"/>
      <c r="D441" s="4"/>
      <c r="E441" s="8"/>
      <c r="F441" s="8"/>
      <c r="G441" s="8"/>
      <c r="H441" s="9"/>
    </row>
    <row r="442">
      <c r="A442" s="4"/>
      <c r="C442" s="4"/>
      <c r="D442" s="4"/>
      <c r="E442" s="8"/>
      <c r="F442" s="8"/>
      <c r="G442" s="8"/>
      <c r="H442" s="9"/>
    </row>
    <row r="443">
      <c r="A443" s="4"/>
      <c r="C443" s="4"/>
      <c r="D443" s="4"/>
      <c r="E443" s="8"/>
      <c r="F443" s="8"/>
      <c r="G443" s="8"/>
      <c r="H443" s="9"/>
    </row>
    <row r="444">
      <c r="A444" s="4"/>
      <c r="C444" s="4"/>
      <c r="D444" s="4"/>
      <c r="E444" s="8"/>
      <c r="F444" s="8"/>
      <c r="G444" s="8"/>
      <c r="H444" s="9"/>
    </row>
    <row r="445">
      <c r="A445" s="4"/>
      <c r="C445" s="4"/>
      <c r="D445" s="4"/>
      <c r="E445" s="8"/>
      <c r="F445" s="8"/>
      <c r="G445" s="8"/>
      <c r="H445" s="9"/>
    </row>
    <row r="446">
      <c r="A446" s="4"/>
      <c r="C446" s="4"/>
      <c r="D446" s="4"/>
      <c r="E446" s="8"/>
      <c r="F446" s="8"/>
      <c r="G446" s="8"/>
      <c r="H446" s="9"/>
    </row>
    <row r="447">
      <c r="A447" s="4"/>
      <c r="C447" s="4"/>
      <c r="D447" s="4"/>
      <c r="E447" s="8"/>
      <c r="F447" s="8"/>
      <c r="G447" s="8"/>
      <c r="H447" s="9"/>
    </row>
    <row r="448">
      <c r="A448" s="4"/>
      <c r="C448" s="4"/>
      <c r="D448" s="4"/>
      <c r="E448" s="8"/>
      <c r="F448" s="8"/>
      <c r="G448" s="8"/>
      <c r="H448" s="9"/>
    </row>
    <row r="449">
      <c r="A449" s="4"/>
      <c r="C449" s="4"/>
      <c r="D449" s="4"/>
      <c r="E449" s="8"/>
      <c r="F449" s="8"/>
      <c r="G449" s="8"/>
      <c r="H449" s="9"/>
    </row>
    <row r="450">
      <c r="A450" s="4"/>
      <c r="C450" s="4"/>
      <c r="D450" s="4"/>
      <c r="E450" s="8"/>
      <c r="F450" s="8"/>
      <c r="G450" s="8"/>
      <c r="H450" s="9"/>
    </row>
    <row r="451">
      <c r="A451" s="4"/>
      <c r="C451" s="4"/>
      <c r="D451" s="4"/>
      <c r="E451" s="8"/>
      <c r="F451" s="8"/>
      <c r="G451" s="8"/>
      <c r="H451" s="9"/>
    </row>
    <row r="452">
      <c r="A452" s="4"/>
      <c r="C452" s="4"/>
      <c r="D452" s="4"/>
      <c r="E452" s="8"/>
      <c r="F452" s="8"/>
      <c r="G452" s="8"/>
      <c r="H452" s="9"/>
    </row>
    <row r="453">
      <c r="A453" s="4"/>
      <c r="C453" s="4"/>
      <c r="D453" s="4"/>
      <c r="E453" s="8"/>
      <c r="F453" s="8"/>
      <c r="G453" s="8"/>
      <c r="H453" s="9"/>
    </row>
    <row r="454">
      <c r="A454" s="4"/>
      <c r="C454" s="4"/>
      <c r="D454" s="4"/>
      <c r="E454" s="8"/>
      <c r="F454" s="8"/>
      <c r="G454" s="8"/>
      <c r="H454" s="9"/>
    </row>
    <row r="455">
      <c r="A455" s="4"/>
      <c r="C455" s="4"/>
      <c r="D455" s="4"/>
      <c r="E455" s="8"/>
      <c r="F455" s="8"/>
      <c r="G455" s="8"/>
      <c r="H455" s="9"/>
    </row>
    <row r="456">
      <c r="A456" s="4"/>
      <c r="C456" s="4"/>
      <c r="D456" s="4"/>
      <c r="E456" s="8"/>
      <c r="F456" s="8"/>
      <c r="G456" s="8"/>
      <c r="H456" s="9"/>
    </row>
    <row r="457">
      <c r="A457" s="4"/>
      <c r="C457" s="4"/>
      <c r="D457" s="4"/>
      <c r="E457" s="8"/>
      <c r="F457" s="8"/>
      <c r="G457" s="8"/>
      <c r="H457" s="9"/>
    </row>
    <row r="458">
      <c r="A458" s="4"/>
      <c r="C458" s="4"/>
      <c r="D458" s="4"/>
      <c r="E458" s="8"/>
      <c r="F458" s="8"/>
      <c r="G458" s="8"/>
      <c r="H458" s="9"/>
    </row>
    <row r="459">
      <c r="A459" s="4"/>
      <c r="C459" s="4"/>
      <c r="D459" s="4"/>
      <c r="E459" s="8"/>
      <c r="F459" s="8"/>
      <c r="G459" s="8"/>
      <c r="H459" s="9"/>
    </row>
    <row r="460">
      <c r="A460" s="4"/>
      <c r="C460" s="4"/>
      <c r="D460" s="4"/>
      <c r="E460" s="8"/>
      <c r="F460" s="8"/>
      <c r="G460" s="8"/>
      <c r="H460" s="9"/>
    </row>
    <row r="461">
      <c r="A461" s="4"/>
      <c r="C461" s="4"/>
      <c r="D461" s="4"/>
      <c r="E461" s="8"/>
      <c r="F461" s="8"/>
      <c r="G461" s="8"/>
      <c r="H461" s="9"/>
    </row>
    <row r="462">
      <c r="A462" s="4"/>
      <c r="C462" s="4"/>
      <c r="D462" s="4"/>
      <c r="E462" s="8"/>
      <c r="F462" s="8"/>
      <c r="G462" s="8"/>
      <c r="H462" s="9"/>
    </row>
    <row r="463">
      <c r="A463" s="4"/>
      <c r="C463" s="4"/>
      <c r="D463" s="4"/>
      <c r="E463" s="8"/>
      <c r="F463" s="8"/>
      <c r="G463" s="8"/>
      <c r="H463" s="9"/>
    </row>
    <row r="464">
      <c r="A464" s="4"/>
      <c r="C464" s="4"/>
      <c r="D464" s="4"/>
      <c r="E464" s="8"/>
      <c r="F464" s="8"/>
      <c r="G464" s="8"/>
      <c r="H464" s="9"/>
    </row>
    <row r="465">
      <c r="A465" s="4"/>
      <c r="C465" s="4"/>
      <c r="D465" s="4"/>
      <c r="E465" s="8"/>
      <c r="F465" s="8"/>
      <c r="G465" s="8"/>
      <c r="H465" s="9"/>
    </row>
    <row r="466">
      <c r="A466" s="4"/>
      <c r="C466" s="4"/>
      <c r="D466" s="4"/>
      <c r="E466" s="8"/>
      <c r="F466" s="8"/>
      <c r="G466" s="8"/>
      <c r="H466" s="9"/>
    </row>
    <row r="467">
      <c r="A467" s="4"/>
      <c r="C467" s="4"/>
      <c r="D467" s="4"/>
      <c r="E467" s="8"/>
      <c r="F467" s="8"/>
      <c r="G467" s="8"/>
      <c r="H467" s="9"/>
    </row>
    <row r="468">
      <c r="A468" s="4"/>
      <c r="C468" s="4"/>
      <c r="D468" s="4"/>
      <c r="E468" s="8"/>
      <c r="F468" s="8"/>
      <c r="G468" s="8"/>
      <c r="H468" s="9"/>
    </row>
    <row r="469">
      <c r="A469" s="4"/>
      <c r="C469" s="4"/>
      <c r="D469" s="4"/>
      <c r="E469" s="8"/>
      <c r="F469" s="8"/>
      <c r="G469" s="8"/>
      <c r="H469" s="9"/>
    </row>
    <row r="470">
      <c r="A470" s="4"/>
      <c r="C470" s="4"/>
      <c r="D470" s="4"/>
      <c r="E470" s="8"/>
      <c r="F470" s="8"/>
      <c r="G470" s="8"/>
      <c r="H470" s="9"/>
    </row>
    <row r="471">
      <c r="A471" s="4"/>
      <c r="C471" s="4"/>
      <c r="D471" s="4"/>
      <c r="E471" s="8"/>
      <c r="F471" s="8"/>
      <c r="G471" s="8"/>
      <c r="H471" s="9"/>
    </row>
    <row r="472">
      <c r="A472" s="4"/>
      <c r="C472" s="4"/>
      <c r="D472" s="4"/>
      <c r="E472" s="8"/>
      <c r="F472" s="8"/>
      <c r="G472" s="8"/>
      <c r="H472" s="9"/>
    </row>
    <row r="473">
      <c r="A473" s="4"/>
      <c r="C473" s="4"/>
      <c r="D473" s="4"/>
      <c r="E473" s="8"/>
      <c r="F473" s="8"/>
      <c r="G473" s="8"/>
      <c r="H473" s="9"/>
    </row>
    <row r="474">
      <c r="A474" s="4"/>
      <c r="C474" s="4"/>
      <c r="D474" s="4"/>
      <c r="E474" s="8"/>
      <c r="F474" s="8"/>
      <c r="G474" s="8"/>
      <c r="H474" s="9"/>
    </row>
    <row r="475">
      <c r="A475" s="4"/>
      <c r="C475" s="4"/>
      <c r="D475" s="4"/>
      <c r="E475" s="8"/>
      <c r="F475" s="8"/>
      <c r="G475" s="8"/>
      <c r="H475" s="9"/>
    </row>
    <row r="476">
      <c r="A476" s="4"/>
      <c r="C476" s="4"/>
      <c r="D476" s="4"/>
      <c r="E476" s="8"/>
      <c r="F476" s="8"/>
      <c r="G476" s="8"/>
      <c r="H476" s="9"/>
    </row>
    <row r="477">
      <c r="A477" s="4"/>
      <c r="C477" s="4"/>
      <c r="D477" s="4"/>
      <c r="E477" s="8"/>
      <c r="F477" s="8"/>
      <c r="G477" s="8"/>
      <c r="H477" s="9"/>
    </row>
    <row r="478">
      <c r="A478" s="4"/>
      <c r="C478" s="4"/>
      <c r="D478" s="4"/>
      <c r="E478" s="8"/>
      <c r="F478" s="8"/>
      <c r="G478" s="8"/>
      <c r="H478" s="9"/>
    </row>
    <row r="479">
      <c r="A479" s="4"/>
      <c r="C479" s="4"/>
      <c r="D479" s="4"/>
      <c r="E479" s="8"/>
      <c r="F479" s="8"/>
      <c r="G479" s="8"/>
      <c r="H479" s="9"/>
    </row>
    <row r="480">
      <c r="A480" s="4"/>
      <c r="C480" s="4"/>
      <c r="D480" s="4"/>
      <c r="E480" s="8"/>
      <c r="F480" s="8"/>
      <c r="G480" s="8"/>
      <c r="H480" s="9"/>
    </row>
    <row r="481">
      <c r="A481" s="4"/>
      <c r="C481" s="4"/>
      <c r="D481" s="4"/>
      <c r="E481" s="8"/>
      <c r="F481" s="8"/>
      <c r="G481" s="8"/>
      <c r="H481" s="9"/>
    </row>
    <row r="482">
      <c r="A482" s="4"/>
      <c r="C482" s="4"/>
      <c r="D482" s="4"/>
      <c r="E482" s="8"/>
      <c r="F482" s="8"/>
      <c r="G482" s="8"/>
      <c r="H482" s="9"/>
    </row>
    <row r="483">
      <c r="A483" s="4"/>
      <c r="C483" s="4"/>
      <c r="D483" s="4"/>
      <c r="E483" s="8"/>
      <c r="F483" s="8"/>
      <c r="G483" s="8"/>
      <c r="H483" s="9"/>
    </row>
    <row r="484">
      <c r="A484" s="4"/>
      <c r="C484" s="4"/>
      <c r="D484" s="4"/>
      <c r="E484" s="8"/>
      <c r="F484" s="8"/>
      <c r="G484" s="8"/>
      <c r="H484" s="9"/>
    </row>
    <row r="485">
      <c r="A485" s="4"/>
      <c r="C485" s="4"/>
      <c r="D485" s="4"/>
      <c r="E485" s="8"/>
      <c r="F485" s="8"/>
      <c r="G485" s="8"/>
      <c r="H485" s="9"/>
    </row>
    <row r="486">
      <c r="A486" s="4"/>
      <c r="C486" s="4"/>
      <c r="D486" s="4"/>
      <c r="E486" s="8"/>
      <c r="F486" s="8"/>
      <c r="G486" s="8"/>
      <c r="H486" s="9"/>
    </row>
    <row r="487">
      <c r="A487" s="4"/>
      <c r="C487" s="4"/>
      <c r="D487" s="4"/>
      <c r="E487" s="8"/>
      <c r="F487" s="8"/>
      <c r="G487" s="8"/>
      <c r="H487" s="9"/>
    </row>
    <row r="488">
      <c r="A488" s="4"/>
      <c r="C488" s="4"/>
      <c r="D488" s="4"/>
      <c r="E488" s="8"/>
      <c r="F488" s="8"/>
      <c r="G488" s="8"/>
      <c r="H488" s="9"/>
    </row>
    <row r="489">
      <c r="A489" s="4"/>
      <c r="C489" s="4"/>
      <c r="D489" s="4"/>
      <c r="E489" s="8"/>
      <c r="F489" s="8"/>
      <c r="G489" s="8"/>
      <c r="H489" s="9"/>
    </row>
    <row r="490">
      <c r="A490" s="4"/>
      <c r="C490" s="4"/>
      <c r="D490" s="4"/>
      <c r="E490" s="8"/>
      <c r="F490" s="8"/>
      <c r="G490" s="8"/>
      <c r="H490" s="9"/>
    </row>
    <row r="491">
      <c r="A491" s="4"/>
      <c r="C491" s="4"/>
      <c r="D491" s="4"/>
      <c r="E491" s="8"/>
      <c r="F491" s="8"/>
      <c r="G491" s="8"/>
      <c r="H491" s="9"/>
    </row>
    <row r="492">
      <c r="A492" s="4"/>
      <c r="C492" s="4"/>
      <c r="D492" s="4"/>
      <c r="E492" s="8"/>
      <c r="F492" s="8"/>
      <c r="G492" s="8"/>
      <c r="H492" s="9"/>
    </row>
    <row r="493">
      <c r="A493" s="4"/>
      <c r="C493" s="4"/>
      <c r="D493" s="4"/>
      <c r="E493" s="8"/>
      <c r="F493" s="8"/>
      <c r="G493" s="8"/>
      <c r="H493" s="9"/>
    </row>
    <row r="494">
      <c r="A494" s="4"/>
      <c r="C494" s="4"/>
      <c r="D494" s="4"/>
      <c r="E494" s="8"/>
      <c r="F494" s="8"/>
      <c r="G494" s="8"/>
      <c r="H494" s="9"/>
    </row>
    <row r="495">
      <c r="A495" s="4"/>
      <c r="C495" s="4"/>
      <c r="D495" s="4"/>
      <c r="E495" s="8"/>
      <c r="F495" s="8"/>
      <c r="G495" s="8"/>
      <c r="H495" s="9"/>
    </row>
    <row r="496">
      <c r="A496" s="4"/>
      <c r="C496" s="4"/>
      <c r="D496" s="4"/>
      <c r="E496" s="8"/>
      <c r="F496" s="8"/>
      <c r="G496" s="8"/>
      <c r="H496" s="9"/>
    </row>
    <row r="497">
      <c r="A497" s="4"/>
      <c r="C497" s="4"/>
      <c r="D497" s="4"/>
      <c r="E497" s="8"/>
      <c r="F497" s="8"/>
      <c r="G497" s="8"/>
      <c r="H497" s="9"/>
    </row>
    <row r="498">
      <c r="A498" s="4"/>
      <c r="C498" s="4"/>
      <c r="D498" s="4"/>
      <c r="E498" s="8"/>
      <c r="F498" s="8"/>
      <c r="G498" s="8"/>
      <c r="H498" s="9"/>
    </row>
    <row r="499">
      <c r="A499" s="4"/>
      <c r="C499" s="4"/>
      <c r="D499" s="4"/>
      <c r="E499" s="8"/>
      <c r="F499" s="8"/>
      <c r="G499" s="8"/>
      <c r="H499" s="9"/>
    </row>
    <row r="500">
      <c r="A500" s="4"/>
      <c r="C500" s="4"/>
      <c r="D500" s="4"/>
      <c r="E500" s="8"/>
      <c r="F500" s="8"/>
      <c r="G500" s="8"/>
      <c r="H500" s="9"/>
    </row>
    <row r="501">
      <c r="A501" s="4"/>
      <c r="C501" s="4"/>
      <c r="D501" s="4"/>
      <c r="E501" s="8"/>
      <c r="F501" s="8"/>
      <c r="G501" s="8"/>
      <c r="H501" s="9"/>
    </row>
    <row r="502">
      <c r="A502" s="4"/>
      <c r="C502" s="4"/>
      <c r="D502" s="4"/>
      <c r="E502" s="8"/>
      <c r="F502" s="8"/>
      <c r="G502" s="8"/>
      <c r="H502" s="9"/>
    </row>
    <row r="503">
      <c r="A503" s="4"/>
      <c r="C503" s="4"/>
      <c r="D503" s="4"/>
      <c r="E503" s="8"/>
      <c r="F503" s="8"/>
      <c r="G503" s="8"/>
      <c r="H503" s="9"/>
    </row>
    <row r="504">
      <c r="A504" s="4"/>
      <c r="C504" s="4"/>
      <c r="D504" s="4"/>
      <c r="E504" s="8"/>
      <c r="F504" s="8"/>
      <c r="G504" s="8"/>
      <c r="H504" s="9"/>
    </row>
    <row r="505">
      <c r="A505" s="4"/>
      <c r="C505" s="4"/>
      <c r="D505" s="4"/>
      <c r="E505" s="8"/>
      <c r="F505" s="8"/>
      <c r="G505" s="8"/>
      <c r="H505" s="9"/>
    </row>
    <row r="506">
      <c r="A506" s="4"/>
      <c r="C506" s="4"/>
      <c r="D506" s="4"/>
      <c r="E506" s="8"/>
      <c r="F506" s="8"/>
      <c r="G506" s="8"/>
      <c r="H506" s="9"/>
    </row>
    <row r="507">
      <c r="A507" s="4"/>
      <c r="C507" s="4"/>
      <c r="D507" s="4"/>
      <c r="E507" s="8"/>
      <c r="F507" s="8"/>
      <c r="G507" s="8"/>
      <c r="H507" s="9"/>
    </row>
    <row r="508">
      <c r="A508" s="4"/>
      <c r="C508" s="4"/>
      <c r="D508" s="4"/>
      <c r="E508" s="8"/>
      <c r="F508" s="8"/>
      <c r="G508" s="8"/>
      <c r="H508" s="9"/>
    </row>
    <row r="509">
      <c r="A509" s="4"/>
      <c r="C509" s="4"/>
      <c r="D509" s="4"/>
      <c r="E509" s="8"/>
      <c r="F509" s="8"/>
      <c r="G509" s="8"/>
      <c r="H509" s="9"/>
    </row>
    <row r="510">
      <c r="A510" s="4"/>
      <c r="C510" s="4"/>
      <c r="D510" s="4"/>
      <c r="E510" s="8"/>
      <c r="F510" s="8"/>
      <c r="G510" s="8"/>
      <c r="H510" s="9"/>
    </row>
    <row r="511">
      <c r="A511" s="4"/>
      <c r="C511" s="4"/>
      <c r="D511" s="4"/>
      <c r="E511" s="8"/>
      <c r="F511" s="8"/>
      <c r="G511" s="8"/>
      <c r="H511" s="9"/>
    </row>
    <row r="512">
      <c r="A512" s="4"/>
      <c r="C512" s="4"/>
      <c r="D512" s="4"/>
      <c r="E512" s="8"/>
      <c r="F512" s="8"/>
      <c r="G512" s="8"/>
      <c r="H512" s="9"/>
    </row>
    <row r="513">
      <c r="A513" s="4"/>
      <c r="C513" s="4"/>
      <c r="D513" s="4"/>
      <c r="E513" s="8"/>
      <c r="F513" s="8"/>
      <c r="G513" s="8"/>
      <c r="H513" s="9"/>
    </row>
    <row r="514">
      <c r="A514" s="4"/>
      <c r="C514" s="4"/>
      <c r="D514" s="4"/>
      <c r="E514" s="8"/>
      <c r="F514" s="8"/>
      <c r="G514" s="8"/>
      <c r="H514" s="9"/>
    </row>
    <row r="515">
      <c r="A515" s="4"/>
      <c r="C515" s="4"/>
      <c r="D515" s="4"/>
      <c r="E515" s="8"/>
      <c r="F515" s="8"/>
      <c r="G515" s="8"/>
      <c r="H515" s="9"/>
    </row>
    <row r="516">
      <c r="A516" s="4"/>
      <c r="C516" s="4"/>
      <c r="D516" s="4"/>
      <c r="E516" s="8"/>
      <c r="F516" s="8"/>
      <c r="G516" s="8"/>
      <c r="H516" s="9"/>
    </row>
    <row r="517">
      <c r="A517" s="4"/>
      <c r="C517" s="4"/>
      <c r="D517" s="4"/>
      <c r="E517" s="8"/>
      <c r="F517" s="8"/>
      <c r="G517" s="8"/>
      <c r="H517" s="9"/>
    </row>
    <row r="518">
      <c r="A518" s="4"/>
      <c r="C518" s="4"/>
      <c r="D518" s="4"/>
      <c r="E518" s="8"/>
      <c r="F518" s="8"/>
      <c r="G518" s="8"/>
      <c r="H518" s="9"/>
    </row>
    <row r="519">
      <c r="A519" s="4"/>
      <c r="C519" s="4"/>
      <c r="D519" s="4"/>
      <c r="E519" s="8"/>
      <c r="F519" s="8"/>
      <c r="G519" s="8"/>
      <c r="H519" s="9"/>
    </row>
    <row r="520">
      <c r="A520" s="4"/>
      <c r="C520" s="4"/>
      <c r="D520" s="4"/>
      <c r="E520" s="8"/>
      <c r="F520" s="8"/>
      <c r="G520" s="8"/>
      <c r="H520" s="9"/>
    </row>
    <row r="521">
      <c r="A521" s="4"/>
      <c r="C521" s="4"/>
      <c r="D521" s="4"/>
      <c r="E521" s="8"/>
      <c r="F521" s="8"/>
      <c r="G521" s="8"/>
      <c r="H521" s="9"/>
    </row>
    <row r="522">
      <c r="A522" s="4"/>
      <c r="C522" s="4"/>
      <c r="D522" s="4"/>
      <c r="E522" s="8"/>
      <c r="F522" s="8"/>
      <c r="G522" s="8"/>
      <c r="H522" s="9"/>
    </row>
    <row r="523">
      <c r="A523" s="4"/>
      <c r="C523" s="4"/>
      <c r="D523" s="4"/>
      <c r="E523" s="8"/>
      <c r="F523" s="8"/>
      <c r="G523" s="8"/>
      <c r="H523" s="9"/>
    </row>
    <row r="524">
      <c r="A524" s="4"/>
      <c r="C524" s="4"/>
      <c r="D524" s="4"/>
      <c r="E524" s="8"/>
      <c r="F524" s="8"/>
      <c r="G524" s="8"/>
      <c r="H524" s="9"/>
    </row>
    <row r="525">
      <c r="A525" s="4"/>
      <c r="C525" s="4"/>
      <c r="D525" s="4"/>
      <c r="E525" s="8"/>
      <c r="F525" s="8"/>
      <c r="G525" s="8"/>
      <c r="H525" s="9"/>
    </row>
    <row r="526">
      <c r="A526" s="4"/>
      <c r="C526" s="4"/>
      <c r="D526" s="4"/>
      <c r="E526" s="8"/>
      <c r="F526" s="8"/>
      <c r="G526" s="8"/>
      <c r="H526" s="9"/>
    </row>
    <row r="527">
      <c r="A527" s="4"/>
      <c r="C527" s="4"/>
      <c r="D527" s="4"/>
      <c r="E527" s="8"/>
      <c r="F527" s="8"/>
      <c r="G527" s="8"/>
      <c r="H527" s="9"/>
    </row>
    <row r="528">
      <c r="A528" s="4"/>
      <c r="C528" s="4"/>
      <c r="D528" s="4"/>
      <c r="E528" s="8"/>
      <c r="F528" s="8"/>
      <c r="G528" s="8"/>
      <c r="H528" s="9"/>
    </row>
    <row r="529">
      <c r="A529" s="4"/>
      <c r="C529" s="4"/>
      <c r="D529" s="4"/>
      <c r="E529" s="8"/>
      <c r="F529" s="8"/>
      <c r="G529" s="8"/>
      <c r="H529" s="9"/>
    </row>
    <row r="530">
      <c r="A530" s="4"/>
      <c r="C530" s="4"/>
      <c r="D530" s="4"/>
      <c r="E530" s="8"/>
      <c r="F530" s="8"/>
      <c r="G530" s="8"/>
      <c r="H530" s="9"/>
    </row>
    <row r="531">
      <c r="A531" s="4"/>
      <c r="C531" s="4"/>
      <c r="D531" s="4"/>
      <c r="E531" s="8"/>
      <c r="F531" s="8"/>
      <c r="G531" s="8"/>
      <c r="H531" s="9"/>
    </row>
    <row r="532">
      <c r="A532" s="4"/>
      <c r="C532" s="4"/>
      <c r="D532" s="4"/>
      <c r="E532" s="8"/>
      <c r="F532" s="8"/>
      <c r="G532" s="8"/>
      <c r="H532" s="9"/>
    </row>
    <row r="533">
      <c r="A533" s="4"/>
      <c r="C533" s="4"/>
      <c r="D533" s="4"/>
      <c r="E533" s="8"/>
      <c r="F533" s="8"/>
      <c r="G533" s="8"/>
      <c r="H533" s="9"/>
    </row>
    <row r="534">
      <c r="A534" s="4"/>
      <c r="C534" s="4"/>
      <c r="D534" s="4"/>
      <c r="E534" s="8"/>
      <c r="F534" s="8"/>
      <c r="G534" s="8"/>
      <c r="H534" s="9"/>
    </row>
    <row r="535">
      <c r="A535" s="4"/>
      <c r="C535" s="4"/>
      <c r="D535" s="4"/>
      <c r="E535" s="8"/>
      <c r="F535" s="8"/>
      <c r="G535" s="8"/>
      <c r="H535" s="9"/>
    </row>
    <row r="536">
      <c r="A536" s="4"/>
      <c r="C536" s="4"/>
      <c r="D536" s="4"/>
      <c r="E536" s="8"/>
      <c r="F536" s="8"/>
      <c r="G536" s="8"/>
      <c r="H536" s="9"/>
    </row>
    <row r="537">
      <c r="A537" s="4"/>
      <c r="C537" s="4"/>
      <c r="D537" s="4"/>
      <c r="E537" s="8"/>
      <c r="F537" s="8"/>
      <c r="G537" s="8"/>
      <c r="H537" s="9"/>
    </row>
    <row r="538">
      <c r="A538" s="4"/>
      <c r="C538" s="4"/>
      <c r="D538" s="4"/>
      <c r="E538" s="8"/>
      <c r="F538" s="8"/>
      <c r="G538" s="8"/>
      <c r="H538" s="9"/>
    </row>
    <row r="539">
      <c r="A539" s="4"/>
      <c r="C539" s="4"/>
      <c r="D539" s="4"/>
      <c r="E539" s="8"/>
      <c r="F539" s="8"/>
      <c r="G539" s="8"/>
      <c r="H539" s="9"/>
    </row>
    <row r="540">
      <c r="A540" s="4"/>
      <c r="C540" s="4"/>
      <c r="D540" s="4"/>
      <c r="E540" s="8"/>
      <c r="F540" s="8"/>
      <c r="G540" s="8"/>
      <c r="H540" s="9"/>
    </row>
    <row r="541">
      <c r="A541" s="4"/>
      <c r="C541" s="4"/>
      <c r="D541" s="4"/>
      <c r="E541" s="8"/>
      <c r="F541" s="8"/>
      <c r="G541" s="8"/>
      <c r="H541" s="9"/>
    </row>
    <row r="542">
      <c r="A542" s="4"/>
      <c r="C542" s="4"/>
      <c r="D542" s="4"/>
      <c r="E542" s="8"/>
      <c r="F542" s="8"/>
      <c r="G542" s="8"/>
      <c r="H542" s="9"/>
    </row>
    <row r="543">
      <c r="A543" s="4"/>
      <c r="C543" s="4"/>
      <c r="D543" s="4"/>
      <c r="E543" s="8"/>
      <c r="F543" s="8"/>
      <c r="G543" s="8"/>
      <c r="H543" s="9"/>
    </row>
    <row r="544">
      <c r="A544" s="4"/>
      <c r="C544" s="4"/>
      <c r="D544" s="4"/>
      <c r="E544" s="8"/>
      <c r="F544" s="8"/>
      <c r="G544" s="8"/>
      <c r="H544" s="9"/>
    </row>
    <row r="545">
      <c r="A545" s="4"/>
      <c r="C545" s="4"/>
      <c r="D545" s="4"/>
      <c r="E545" s="8"/>
      <c r="F545" s="8"/>
      <c r="G545" s="8"/>
      <c r="H545" s="9"/>
    </row>
    <row r="546">
      <c r="A546" s="4"/>
      <c r="C546" s="4"/>
      <c r="D546" s="4"/>
      <c r="E546" s="8"/>
      <c r="F546" s="8"/>
      <c r="G546" s="8"/>
      <c r="H546" s="9"/>
    </row>
    <row r="547">
      <c r="A547" s="4"/>
      <c r="C547" s="4"/>
      <c r="D547" s="4"/>
      <c r="E547" s="8"/>
      <c r="F547" s="8"/>
      <c r="G547" s="8"/>
      <c r="H547" s="9"/>
    </row>
    <row r="548">
      <c r="A548" s="4"/>
      <c r="C548" s="4"/>
      <c r="D548" s="4"/>
      <c r="E548" s="8"/>
      <c r="F548" s="8"/>
      <c r="G548" s="8"/>
      <c r="H548" s="9"/>
    </row>
    <row r="549">
      <c r="A549" s="4"/>
      <c r="C549" s="4"/>
      <c r="D549" s="4"/>
      <c r="E549" s="8"/>
      <c r="F549" s="8"/>
      <c r="G549" s="8"/>
      <c r="H549" s="9"/>
    </row>
    <row r="550">
      <c r="A550" s="4"/>
      <c r="C550" s="4"/>
      <c r="D550" s="4"/>
      <c r="E550" s="8"/>
      <c r="F550" s="8"/>
      <c r="G550" s="8"/>
      <c r="H550" s="9"/>
    </row>
    <row r="551">
      <c r="A551" s="4"/>
      <c r="C551" s="4"/>
      <c r="D551" s="4"/>
      <c r="E551" s="8"/>
      <c r="F551" s="8"/>
      <c r="G551" s="8"/>
      <c r="H551" s="9"/>
    </row>
    <row r="552">
      <c r="A552" s="4"/>
      <c r="C552" s="4"/>
      <c r="D552" s="4"/>
      <c r="E552" s="8"/>
      <c r="F552" s="8"/>
      <c r="G552" s="8"/>
      <c r="H552" s="9"/>
    </row>
    <row r="553">
      <c r="A553" s="4"/>
      <c r="C553" s="4"/>
      <c r="D553" s="4"/>
      <c r="E553" s="8"/>
      <c r="F553" s="8"/>
      <c r="G553" s="8"/>
      <c r="H553" s="9"/>
    </row>
    <row r="554">
      <c r="A554" s="4"/>
      <c r="C554" s="4"/>
      <c r="D554" s="4"/>
      <c r="E554" s="8"/>
      <c r="F554" s="8"/>
      <c r="G554" s="8"/>
      <c r="H554" s="9"/>
    </row>
    <row r="555">
      <c r="A555" s="4"/>
      <c r="C555" s="4"/>
      <c r="D555" s="4"/>
      <c r="E555" s="8"/>
      <c r="F555" s="8"/>
      <c r="G555" s="8"/>
      <c r="H555" s="9"/>
    </row>
    <row r="556">
      <c r="A556" s="4"/>
      <c r="C556" s="4"/>
      <c r="D556" s="4"/>
      <c r="E556" s="8"/>
      <c r="F556" s="8"/>
      <c r="G556" s="8"/>
      <c r="H556" s="9"/>
    </row>
    <row r="557">
      <c r="A557" s="4"/>
      <c r="C557" s="4"/>
      <c r="D557" s="4"/>
      <c r="E557" s="8"/>
      <c r="F557" s="8"/>
      <c r="G557" s="8"/>
      <c r="H557" s="9"/>
    </row>
    <row r="558">
      <c r="A558" s="4"/>
      <c r="C558" s="4"/>
      <c r="D558" s="4"/>
      <c r="E558" s="8"/>
      <c r="F558" s="8"/>
      <c r="G558" s="8"/>
      <c r="H558" s="9"/>
    </row>
    <row r="559">
      <c r="A559" s="4"/>
      <c r="C559" s="4"/>
      <c r="D559" s="4"/>
      <c r="E559" s="8"/>
      <c r="F559" s="8"/>
      <c r="G559" s="8"/>
      <c r="H559" s="9"/>
    </row>
    <row r="560">
      <c r="A560" s="4"/>
      <c r="C560" s="4"/>
      <c r="D560" s="4"/>
      <c r="E560" s="8"/>
      <c r="F560" s="8"/>
      <c r="G560" s="8"/>
      <c r="H560" s="9"/>
    </row>
    <row r="561">
      <c r="A561" s="4"/>
      <c r="C561" s="4"/>
      <c r="D561" s="4"/>
      <c r="E561" s="8"/>
      <c r="F561" s="8"/>
      <c r="G561" s="8"/>
      <c r="H561" s="9"/>
    </row>
    <row r="562">
      <c r="A562" s="4"/>
      <c r="C562" s="4"/>
      <c r="D562" s="4"/>
      <c r="E562" s="8"/>
      <c r="F562" s="8"/>
      <c r="G562" s="8"/>
      <c r="H562" s="9"/>
    </row>
    <row r="563">
      <c r="A563" s="4"/>
      <c r="C563" s="4"/>
      <c r="D563" s="4"/>
      <c r="E563" s="8"/>
      <c r="F563" s="8"/>
      <c r="G563" s="8"/>
      <c r="H563" s="9"/>
    </row>
    <row r="564">
      <c r="A564" s="4"/>
      <c r="C564" s="4"/>
      <c r="D564" s="4"/>
      <c r="E564" s="8"/>
      <c r="F564" s="8"/>
      <c r="G564" s="8"/>
      <c r="H564" s="9"/>
    </row>
    <row r="565">
      <c r="A565" s="4"/>
      <c r="C565" s="4"/>
      <c r="D565" s="4"/>
      <c r="E565" s="8"/>
      <c r="F565" s="8"/>
      <c r="G565" s="8"/>
      <c r="H565" s="9"/>
    </row>
    <row r="566">
      <c r="A566" s="4"/>
      <c r="C566" s="4"/>
      <c r="D566" s="4"/>
      <c r="E566" s="8"/>
      <c r="F566" s="8"/>
      <c r="G566" s="8"/>
      <c r="H566" s="9"/>
    </row>
    <row r="567">
      <c r="A567" s="4"/>
      <c r="C567" s="4"/>
      <c r="D567" s="4"/>
      <c r="E567" s="8"/>
      <c r="F567" s="8"/>
      <c r="G567" s="8"/>
      <c r="H567" s="9"/>
    </row>
    <row r="568">
      <c r="A568" s="4"/>
      <c r="C568" s="4"/>
      <c r="D568" s="4"/>
      <c r="E568" s="8"/>
      <c r="F568" s="8"/>
      <c r="G568" s="8"/>
      <c r="H568" s="9"/>
    </row>
    <row r="569">
      <c r="A569" s="4"/>
      <c r="C569" s="4"/>
      <c r="D569" s="4"/>
      <c r="E569" s="8"/>
      <c r="F569" s="8"/>
      <c r="G569" s="8"/>
      <c r="H569" s="9"/>
    </row>
    <row r="570">
      <c r="A570" s="4"/>
      <c r="C570" s="4"/>
      <c r="D570" s="4"/>
      <c r="E570" s="8"/>
      <c r="F570" s="8"/>
      <c r="G570" s="8"/>
      <c r="H570" s="9"/>
    </row>
    <row r="571">
      <c r="A571" s="4"/>
      <c r="C571" s="4"/>
      <c r="D571" s="4"/>
      <c r="E571" s="8"/>
      <c r="F571" s="8"/>
      <c r="G571" s="8"/>
      <c r="H571" s="9"/>
    </row>
    <row r="572">
      <c r="A572" s="4"/>
      <c r="C572" s="4"/>
      <c r="D572" s="4"/>
      <c r="E572" s="8"/>
      <c r="F572" s="8"/>
      <c r="G572" s="8"/>
      <c r="H572" s="9"/>
    </row>
    <row r="573">
      <c r="A573" s="4"/>
      <c r="C573" s="4"/>
      <c r="D573" s="4"/>
      <c r="E573" s="8"/>
      <c r="F573" s="8"/>
      <c r="G573" s="8"/>
      <c r="H573" s="9"/>
    </row>
    <row r="574">
      <c r="A574" s="4"/>
      <c r="C574" s="4"/>
      <c r="D574" s="4"/>
      <c r="E574" s="8"/>
      <c r="F574" s="8"/>
      <c r="G574" s="8"/>
      <c r="H574" s="9"/>
    </row>
    <row r="575">
      <c r="A575" s="4"/>
      <c r="C575" s="4"/>
      <c r="D575" s="4"/>
      <c r="E575" s="8"/>
      <c r="F575" s="8"/>
      <c r="G575" s="8"/>
      <c r="H575" s="9"/>
    </row>
    <row r="576">
      <c r="A576" s="4"/>
      <c r="C576" s="4"/>
      <c r="D576" s="4"/>
      <c r="E576" s="8"/>
      <c r="F576" s="8"/>
      <c r="G576" s="8"/>
      <c r="H576" s="9"/>
    </row>
    <row r="577">
      <c r="A577" s="4"/>
      <c r="C577" s="4"/>
      <c r="D577" s="4"/>
      <c r="E577" s="8"/>
      <c r="F577" s="8"/>
      <c r="G577" s="8"/>
      <c r="H577" s="9"/>
    </row>
    <row r="578">
      <c r="A578" s="4"/>
      <c r="C578" s="4"/>
      <c r="D578" s="4"/>
      <c r="E578" s="8"/>
      <c r="F578" s="8"/>
      <c r="G578" s="8"/>
      <c r="H578" s="9"/>
    </row>
    <row r="579">
      <c r="A579" s="4"/>
      <c r="C579" s="4"/>
      <c r="D579" s="4"/>
      <c r="E579" s="8"/>
      <c r="F579" s="8"/>
      <c r="G579" s="8"/>
      <c r="H579" s="9"/>
    </row>
    <row r="580">
      <c r="A580" s="4"/>
      <c r="C580" s="4"/>
      <c r="D580" s="4"/>
      <c r="E580" s="8"/>
      <c r="F580" s="8"/>
      <c r="G580" s="8"/>
      <c r="H580" s="9"/>
    </row>
    <row r="581">
      <c r="A581" s="4"/>
      <c r="C581" s="4"/>
      <c r="D581" s="4"/>
      <c r="E581" s="8"/>
      <c r="F581" s="8"/>
      <c r="G581" s="8"/>
      <c r="H581" s="9"/>
    </row>
    <row r="582">
      <c r="A582" s="4"/>
      <c r="C582" s="4"/>
      <c r="D582" s="4"/>
      <c r="E582" s="8"/>
      <c r="F582" s="8"/>
      <c r="G582" s="8"/>
      <c r="H582" s="9"/>
    </row>
    <row r="583">
      <c r="A583" s="4"/>
      <c r="C583" s="4"/>
      <c r="D583" s="4"/>
      <c r="E583" s="8"/>
      <c r="F583" s="8"/>
      <c r="G583" s="8"/>
      <c r="H583" s="9"/>
    </row>
    <row r="584">
      <c r="A584" s="4"/>
      <c r="C584" s="4"/>
      <c r="D584" s="4"/>
      <c r="E584" s="8"/>
      <c r="F584" s="8"/>
      <c r="G584" s="8"/>
      <c r="H584" s="9"/>
    </row>
    <row r="585">
      <c r="A585" s="4"/>
      <c r="C585" s="4"/>
      <c r="D585" s="4"/>
      <c r="E585" s="8"/>
      <c r="F585" s="8"/>
      <c r="G585" s="8"/>
      <c r="H585" s="9"/>
    </row>
    <row r="586">
      <c r="A586" s="4"/>
      <c r="C586" s="4"/>
      <c r="D586" s="4"/>
      <c r="E586" s="8"/>
      <c r="F586" s="8"/>
      <c r="G586" s="8"/>
      <c r="H586" s="9"/>
    </row>
    <row r="587">
      <c r="A587" s="4"/>
      <c r="C587" s="4"/>
      <c r="D587" s="4"/>
      <c r="E587" s="8"/>
      <c r="F587" s="8"/>
      <c r="G587" s="8"/>
      <c r="H587" s="9"/>
    </row>
    <row r="588">
      <c r="A588" s="4"/>
      <c r="C588" s="4"/>
      <c r="D588" s="4"/>
      <c r="E588" s="8"/>
      <c r="F588" s="8"/>
      <c r="G588" s="8"/>
      <c r="H588" s="9"/>
    </row>
    <row r="589">
      <c r="A589" s="4"/>
      <c r="C589" s="4"/>
      <c r="D589" s="4"/>
      <c r="E589" s="8"/>
      <c r="F589" s="8"/>
      <c r="G589" s="8"/>
      <c r="H589" s="9"/>
    </row>
    <row r="590">
      <c r="A590" s="4"/>
      <c r="C590" s="4"/>
      <c r="D590" s="4"/>
      <c r="E590" s="8"/>
      <c r="F590" s="8"/>
      <c r="G590" s="8"/>
      <c r="H590" s="9"/>
    </row>
    <row r="591">
      <c r="A591" s="4"/>
      <c r="C591" s="4"/>
      <c r="D591" s="4"/>
      <c r="E591" s="8"/>
      <c r="F591" s="8"/>
      <c r="G591" s="8"/>
      <c r="H591" s="9"/>
    </row>
    <row r="592">
      <c r="A592" s="4"/>
      <c r="C592" s="4"/>
      <c r="D592" s="4"/>
      <c r="E592" s="8"/>
      <c r="F592" s="8"/>
      <c r="G592" s="8"/>
      <c r="H592" s="9"/>
    </row>
    <row r="593">
      <c r="A593" s="4"/>
      <c r="C593" s="4"/>
      <c r="D593" s="4"/>
      <c r="E593" s="8"/>
      <c r="F593" s="8"/>
      <c r="G593" s="8"/>
      <c r="H593" s="9"/>
    </row>
    <row r="594">
      <c r="A594" s="4"/>
      <c r="C594" s="4"/>
      <c r="D594" s="4"/>
      <c r="E594" s="8"/>
      <c r="F594" s="8"/>
      <c r="G594" s="8"/>
      <c r="H594" s="9"/>
    </row>
    <row r="595">
      <c r="A595" s="4"/>
      <c r="C595" s="4"/>
      <c r="D595" s="4"/>
      <c r="E595" s="8"/>
      <c r="F595" s="8"/>
      <c r="G595" s="8"/>
      <c r="H595" s="9"/>
    </row>
    <row r="596">
      <c r="A596" s="4"/>
      <c r="C596" s="4"/>
      <c r="D596" s="4"/>
      <c r="E596" s="8"/>
      <c r="F596" s="8"/>
      <c r="G596" s="8"/>
      <c r="H596" s="9"/>
    </row>
    <row r="597">
      <c r="A597" s="4"/>
      <c r="C597" s="4"/>
      <c r="D597" s="4"/>
      <c r="E597" s="8"/>
      <c r="F597" s="8"/>
      <c r="G597" s="8"/>
      <c r="H597" s="9"/>
    </row>
    <row r="598">
      <c r="A598" s="4"/>
      <c r="C598" s="4"/>
      <c r="D598" s="4"/>
      <c r="E598" s="8"/>
      <c r="F598" s="8"/>
      <c r="G598" s="8"/>
      <c r="H598" s="9"/>
    </row>
    <row r="599">
      <c r="A599" s="4"/>
      <c r="C599" s="4"/>
      <c r="D599" s="4"/>
      <c r="E599" s="8"/>
      <c r="F599" s="8"/>
      <c r="G599" s="8"/>
      <c r="H599" s="9"/>
    </row>
    <row r="600">
      <c r="A600" s="4"/>
      <c r="C600" s="4"/>
      <c r="D600" s="4"/>
      <c r="E600" s="8"/>
      <c r="F600" s="8"/>
      <c r="G600" s="8"/>
      <c r="H600" s="9"/>
    </row>
    <row r="601">
      <c r="A601" s="4"/>
      <c r="C601" s="4"/>
      <c r="D601" s="4"/>
      <c r="E601" s="8"/>
      <c r="F601" s="8"/>
      <c r="G601" s="8"/>
      <c r="H601" s="9"/>
    </row>
    <row r="602">
      <c r="A602" s="4"/>
      <c r="C602" s="4"/>
      <c r="D602" s="4"/>
      <c r="E602" s="8"/>
      <c r="F602" s="8"/>
      <c r="G602" s="8"/>
      <c r="H602" s="9"/>
    </row>
    <row r="603">
      <c r="A603" s="4"/>
      <c r="C603" s="4"/>
      <c r="D603" s="4"/>
      <c r="E603" s="8"/>
      <c r="F603" s="8"/>
      <c r="G603" s="8"/>
      <c r="H603" s="9"/>
    </row>
    <row r="604">
      <c r="A604" s="4"/>
      <c r="C604" s="4"/>
      <c r="D604" s="4"/>
      <c r="E604" s="8"/>
      <c r="F604" s="8"/>
      <c r="G604" s="8"/>
      <c r="H604" s="9"/>
    </row>
    <row r="605">
      <c r="A605" s="4"/>
      <c r="C605" s="4"/>
      <c r="D605" s="4"/>
      <c r="E605" s="8"/>
      <c r="F605" s="8"/>
      <c r="G605" s="8"/>
      <c r="H605" s="9"/>
    </row>
    <row r="606">
      <c r="A606" s="4"/>
      <c r="C606" s="4"/>
      <c r="D606" s="4"/>
      <c r="E606" s="8"/>
      <c r="F606" s="8"/>
      <c r="G606" s="8"/>
      <c r="H606" s="9"/>
    </row>
    <row r="607">
      <c r="A607" s="4"/>
      <c r="C607" s="4"/>
      <c r="D607" s="4"/>
      <c r="E607" s="8"/>
      <c r="F607" s="8"/>
      <c r="G607" s="8"/>
      <c r="H607" s="9"/>
    </row>
    <row r="608">
      <c r="A608" s="4"/>
      <c r="C608" s="4"/>
      <c r="D608" s="4"/>
      <c r="E608" s="8"/>
      <c r="F608" s="8"/>
      <c r="G608" s="8"/>
      <c r="H608" s="9"/>
    </row>
    <row r="609">
      <c r="A609" s="4"/>
      <c r="C609" s="4"/>
      <c r="D609" s="4"/>
      <c r="E609" s="8"/>
      <c r="F609" s="8"/>
      <c r="G609" s="8"/>
      <c r="H609" s="9"/>
    </row>
    <row r="610">
      <c r="A610" s="4"/>
      <c r="C610" s="4"/>
      <c r="D610" s="4"/>
      <c r="E610" s="8"/>
      <c r="F610" s="8"/>
      <c r="G610" s="8"/>
      <c r="H610" s="9"/>
    </row>
    <row r="611">
      <c r="A611" s="4"/>
      <c r="C611" s="4"/>
      <c r="D611" s="4"/>
      <c r="E611" s="8"/>
      <c r="F611" s="8"/>
      <c r="G611" s="8"/>
      <c r="H611" s="9"/>
    </row>
    <row r="612">
      <c r="A612" s="4"/>
      <c r="C612" s="4"/>
      <c r="D612" s="4"/>
      <c r="E612" s="8"/>
      <c r="F612" s="8"/>
      <c r="G612" s="8"/>
      <c r="H612" s="9"/>
    </row>
    <row r="613">
      <c r="A613" s="4"/>
      <c r="C613" s="4"/>
      <c r="D613" s="4"/>
      <c r="E613" s="8"/>
      <c r="F613" s="8"/>
      <c r="G613" s="8"/>
      <c r="H613" s="9"/>
    </row>
    <row r="614">
      <c r="A614" s="4"/>
      <c r="C614" s="4"/>
      <c r="D614" s="4"/>
      <c r="E614" s="8"/>
      <c r="F614" s="8"/>
      <c r="G614" s="8"/>
      <c r="H614" s="9"/>
    </row>
    <row r="615">
      <c r="A615" s="4"/>
      <c r="C615" s="4"/>
      <c r="D615" s="4"/>
      <c r="E615" s="8"/>
      <c r="F615" s="8"/>
      <c r="G615" s="8"/>
      <c r="H615" s="9"/>
    </row>
    <row r="616">
      <c r="A616" s="4"/>
      <c r="C616" s="4"/>
      <c r="D616" s="4"/>
      <c r="E616" s="8"/>
      <c r="F616" s="8"/>
      <c r="G616" s="8"/>
      <c r="H616" s="9"/>
    </row>
    <row r="617">
      <c r="A617" s="4"/>
      <c r="C617" s="4"/>
      <c r="D617" s="4"/>
      <c r="E617" s="8"/>
      <c r="F617" s="8"/>
      <c r="G617" s="8"/>
      <c r="H617" s="9"/>
    </row>
    <row r="618">
      <c r="A618" s="4"/>
      <c r="C618" s="4"/>
      <c r="D618" s="4"/>
      <c r="E618" s="8"/>
      <c r="F618" s="8"/>
      <c r="G618" s="8"/>
      <c r="H618" s="9"/>
    </row>
    <row r="619">
      <c r="A619" s="4"/>
      <c r="C619" s="4"/>
      <c r="D619" s="4"/>
      <c r="E619" s="8"/>
      <c r="F619" s="8"/>
      <c r="G619" s="8"/>
      <c r="H619" s="9"/>
    </row>
    <row r="620">
      <c r="A620" s="4"/>
      <c r="C620" s="4"/>
      <c r="D620" s="4"/>
      <c r="E620" s="8"/>
      <c r="F620" s="8"/>
      <c r="G620" s="8"/>
      <c r="H620" s="9"/>
    </row>
    <row r="621">
      <c r="A621" s="4"/>
      <c r="C621" s="4"/>
      <c r="D621" s="4"/>
      <c r="E621" s="8"/>
      <c r="F621" s="8"/>
      <c r="G621" s="8"/>
      <c r="H621" s="9"/>
    </row>
    <row r="622">
      <c r="A622" s="4"/>
      <c r="C622" s="4"/>
      <c r="D622" s="4"/>
      <c r="E622" s="8"/>
      <c r="F622" s="8"/>
      <c r="G622" s="8"/>
      <c r="H622" s="9"/>
    </row>
    <row r="623">
      <c r="A623" s="4"/>
      <c r="C623" s="4"/>
      <c r="D623" s="4"/>
      <c r="E623" s="8"/>
      <c r="F623" s="8"/>
      <c r="G623" s="8"/>
      <c r="H623" s="9"/>
    </row>
    <row r="624">
      <c r="A624" s="4"/>
      <c r="C624" s="4"/>
      <c r="D624" s="4"/>
      <c r="E624" s="8"/>
      <c r="F624" s="8"/>
      <c r="G624" s="8"/>
      <c r="H624" s="9"/>
    </row>
    <row r="625">
      <c r="A625" s="4"/>
      <c r="C625" s="4"/>
      <c r="D625" s="4"/>
      <c r="E625" s="8"/>
      <c r="F625" s="8"/>
      <c r="G625" s="8"/>
      <c r="H625" s="9"/>
    </row>
    <row r="626">
      <c r="A626" s="4"/>
      <c r="C626" s="4"/>
      <c r="D626" s="4"/>
      <c r="E626" s="8"/>
      <c r="F626" s="8"/>
      <c r="G626" s="8"/>
      <c r="H626" s="9"/>
    </row>
    <row r="627">
      <c r="A627" s="4"/>
      <c r="C627" s="4"/>
      <c r="D627" s="4"/>
      <c r="E627" s="8"/>
      <c r="F627" s="8"/>
      <c r="G627" s="8"/>
      <c r="H627" s="9"/>
    </row>
    <row r="628">
      <c r="A628" s="4"/>
      <c r="C628" s="4"/>
      <c r="D628" s="4"/>
      <c r="E628" s="8"/>
      <c r="F628" s="8"/>
      <c r="G628" s="8"/>
      <c r="H628" s="9"/>
    </row>
    <row r="629">
      <c r="A629" s="4"/>
      <c r="C629" s="4"/>
      <c r="D629" s="4"/>
      <c r="E629" s="8"/>
      <c r="F629" s="8"/>
      <c r="G629" s="8"/>
      <c r="H629" s="9"/>
    </row>
    <row r="630">
      <c r="A630" s="4"/>
      <c r="C630" s="4"/>
      <c r="D630" s="4"/>
      <c r="E630" s="8"/>
      <c r="F630" s="8"/>
      <c r="G630" s="8"/>
      <c r="H630" s="9"/>
    </row>
    <row r="631">
      <c r="A631" s="4"/>
      <c r="C631" s="4"/>
      <c r="D631" s="4"/>
      <c r="E631" s="8"/>
      <c r="F631" s="8"/>
      <c r="G631" s="8"/>
      <c r="H631" s="9"/>
    </row>
    <row r="632">
      <c r="A632" s="4"/>
      <c r="C632" s="4"/>
      <c r="D632" s="4"/>
      <c r="E632" s="8"/>
      <c r="F632" s="8"/>
      <c r="G632" s="8"/>
      <c r="H632" s="9"/>
    </row>
    <row r="633">
      <c r="A633" s="4"/>
      <c r="C633" s="4"/>
      <c r="D633" s="4"/>
      <c r="E633" s="8"/>
      <c r="F633" s="8"/>
      <c r="G633" s="8"/>
      <c r="H633" s="9"/>
    </row>
    <row r="634">
      <c r="A634" s="4"/>
      <c r="C634" s="4"/>
      <c r="D634" s="4"/>
      <c r="E634" s="8"/>
      <c r="F634" s="8"/>
      <c r="G634" s="8"/>
      <c r="H634" s="9"/>
    </row>
    <row r="635">
      <c r="A635" s="4"/>
      <c r="C635" s="4"/>
      <c r="D635" s="4"/>
      <c r="E635" s="8"/>
      <c r="F635" s="8"/>
      <c r="G635" s="8"/>
      <c r="H635" s="9"/>
    </row>
    <row r="636">
      <c r="A636" s="4"/>
      <c r="C636" s="4"/>
      <c r="D636" s="4"/>
      <c r="E636" s="8"/>
      <c r="F636" s="8"/>
      <c r="G636" s="8"/>
      <c r="H636" s="9"/>
    </row>
    <row r="637">
      <c r="A637" s="4"/>
      <c r="C637" s="4"/>
      <c r="D637" s="4"/>
      <c r="E637" s="8"/>
      <c r="F637" s="8"/>
      <c r="G637" s="8"/>
      <c r="H637" s="9"/>
    </row>
    <row r="638">
      <c r="A638" s="4"/>
      <c r="C638" s="4"/>
      <c r="D638" s="4"/>
      <c r="E638" s="8"/>
      <c r="F638" s="8"/>
      <c r="G638" s="8"/>
      <c r="H638" s="9"/>
    </row>
    <row r="639">
      <c r="A639" s="4"/>
      <c r="C639" s="4"/>
      <c r="D639" s="4"/>
      <c r="E639" s="8"/>
      <c r="F639" s="8"/>
      <c r="G639" s="8"/>
      <c r="H639" s="9"/>
    </row>
    <row r="640">
      <c r="A640" s="4"/>
      <c r="C640" s="4"/>
      <c r="D640" s="4"/>
      <c r="E640" s="8"/>
      <c r="F640" s="8"/>
      <c r="G640" s="8"/>
      <c r="H640" s="9"/>
    </row>
    <row r="641">
      <c r="A641" s="4"/>
      <c r="C641" s="4"/>
      <c r="D641" s="4"/>
      <c r="E641" s="8"/>
      <c r="F641" s="8"/>
      <c r="G641" s="8"/>
      <c r="H641" s="9"/>
    </row>
    <row r="642">
      <c r="A642" s="4"/>
      <c r="C642" s="4"/>
      <c r="D642" s="4"/>
      <c r="E642" s="8"/>
      <c r="F642" s="8"/>
      <c r="G642" s="8"/>
      <c r="H642" s="9"/>
    </row>
    <row r="643">
      <c r="A643" s="4"/>
      <c r="C643" s="4"/>
      <c r="D643" s="4"/>
      <c r="E643" s="8"/>
      <c r="F643" s="8"/>
      <c r="G643" s="8"/>
      <c r="H643" s="9"/>
    </row>
    <row r="644">
      <c r="A644" s="4"/>
      <c r="C644" s="4"/>
      <c r="D644" s="4"/>
      <c r="E644" s="8"/>
      <c r="F644" s="8"/>
      <c r="G644" s="8"/>
      <c r="H644" s="9"/>
    </row>
    <row r="645">
      <c r="A645" s="4"/>
      <c r="C645" s="4"/>
      <c r="D645" s="4"/>
      <c r="E645" s="8"/>
      <c r="F645" s="8"/>
      <c r="G645" s="8"/>
      <c r="H645" s="9"/>
    </row>
    <row r="646">
      <c r="A646" s="4"/>
      <c r="C646" s="4"/>
      <c r="D646" s="4"/>
      <c r="E646" s="8"/>
      <c r="F646" s="8"/>
      <c r="G646" s="8"/>
      <c r="H646" s="9"/>
    </row>
    <row r="647">
      <c r="A647" s="4"/>
      <c r="C647" s="4"/>
      <c r="D647" s="4"/>
      <c r="E647" s="8"/>
      <c r="F647" s="8"/>
      <c r="G647" s="8"/>
      <c r="H647" s="9"/>
    </row>
    <row r="648">
      <c r="A648" s="4"/>
      <c r="C648" s="4"/>
      <c r="D648" s="4"/>
      <c r="E648" s="8"/>
      <c r="F648" s="8"/>
      <c r="G648" s="8"/>
      <c r="H648" s="9"/>
    </row>
    <row r="649">
      <c r="A649" s="4"/>
      <c r="C649" s="4"/>
      <c r="D649" s="4"/>
      <c r="E649" s="8"/>
      <c r="F649" s="8"/>
      <c r="G649" s="8"/>
      <c r="H649" s="9"/>
    </row>
    <row r="650">
      <c r="A650" s="4"/>
      <c r="C650" s="4"/>
      <c r="D650" s="4"/>
      <c r="E650" s="8"/>
      <c r="F650" s="8"/>
      <c r="G650" s="8"/>
      <c r="H650" s="9"/>
    </row>
    <row r="651">
      <c r="A651" s="4"/>
      <c r="C651" s="4"/>
      <c r="D651" s="4"/>
      <c r="E651" s="8"/>
      <c r="F651" s="8"/>
      <c r="G651" s="8"/>
      <c r="H651" s="9"/>
    </row>
    <row r="652">
      <c r="A652" s="4"/>
      <c r="C652" s="4"/>
      <c r="D652" s="4"/>
      <c r="E652" s="8"/>
      <c r="F652" s="8"/>
      <c r="G652" s="8"/>
      <c r="H652" s="9"/>
    </row>
    <row r="653">
      <c r="A653" s="4"/>
      <c r="C653" s="4"/>
      <c r="D653" s="4"/>
      <c r="E653" s="8"/>
      <c r="F653" s="8"/>
      <c r="G653" s="8"/>
      <c r="H653" s="9"/>
    </row>
    <row r="654">
      <c r="A654" s="4"/>
      <c r="C654" s="4"/>
      <c r="D654" s="4"/>
      <c r="E654" s="8"/>
      <c r="F654" s="8"/>
      <c r="G654" s="8"/>
      <c r="H654" s="9"/>
    </row>
    <row r="655">
      <c r="A655" s="4"/>
      <c r="C655" s="4"/>
      <c r="D655" s="4"/>
      <c r="E655" s="8"/>
      <c r="F655" s="8"/>
      <c r="G655" s="8"/>
      <c r="H655" s="9"/>
    </row>
    <row r="656">
      <c r="A656" s="4"/>
      <c r="C656" s="4"/>
      <c r="D656" s="4"/>
      <c r="E656" s="8"/>
      <c r="F656" s="8"/>
      <c r="G656" s="8"/>
      <c r="H656" s="9"/>
    </row>
    <row r="657">
      <c r="A657" s="4"/>
      <c r="C657" s="4"/>
      <c r="D657" s="4"/>
      <c r="E657" s="8"/>
      <c r="F657" s="8"/>
      <c r="G657" s="8"/>
      <c r="H657" s="9"/>
    </row>
    <row r="658">
      <c r="A658" s="4"/>
      <c r="C658" s="4"/>
      <c r="D658" s="4"/>
      <c r="E658" s="8"/>
      <c r="F658" s="8"/>
      <c r="G658" s="8"/>
      <c r="H658" s="9"/>
    </row>
    <row r="659">
      <c r="A659" s="4"/>
      <c r="C659" s="4"/>
      <c r="D659" s="4"/>
      <c r="E659" s="8"/>
      <c r="F659" s="8"/>
      <c r="G659" s="8"/>
      <c r="H659" s="9"/>
    </row>
    <row r="660">
      <c r="A660" s="4"/>
      <c r="C660" s="4"/>
      <c r="D660" s="4"/>
      <c r="E660" s="8"/>
      <c r="F660" s="8"/>
      <c r="G660" s="8"/>
      <c r="H660" s="9"/>
    </row>
    <row r="661">
      <c r="A661" s="4"/>
      <c r="C661" s="4"/>
      <c r="D661" s="4"/>
      <c r="E661" s="8"/>
      <c r="F661" s="8"/>
      <c r="G661" s="8"/>
      <c r="H661" s="9"/>
    </row>
    <row r="662">
      <c r="A662" s="4"/>
      <c r="C662" s="4"/>
      <c r="D662" s="4"/>
      <c r="E662" s="8"/>
      <c r="F662" s="8"/>
      <c r="G662" s="8"/>
      <c r="H662" s="9"/>
    </row>
    <row r="663">
      <c r="A663" s="4"/>
      <c r="C663" s="4"/>
      <c r="D663" s="4"/>
      <c r="E663" s="8"/>
      <c r="F663" s="8"/>
      <c r="G663" s="8"/>
      <c r="H663" s="9"/>
    </row>
    <row r="664">
      <c r="A664" s="4"/>
      <c r="C664" s="4"/>
      <c r="D664" s="4"/>
      <c r="E664" s="8"/>
      <c r="F664" s="8"/>
      <c r="G664" s="8"/>
      <c r="H664" s="9"/>
    </row>
    <row r="665">
      <c r="A665" s="4"/>
      <c r="C665" s="4"/>
      <c r="D665" s="4"/>
      <c r="E665" s="8"/>
      <c r="F665" s="8"/>
      <c r="G665" s="8"/>
      <c r="H665" s="9"/>
    </row>
    <row r="666">
      <c r="A666" s="4"/>
      <c r="C666" s="4"/>
      <c r="D666" s="4"/>
      <c r="E666" s="8"/>
      <c r="F666" s="8"/>
      <c r="G666" s="8"/>
      <c r="H666" s="9"/>
    </row>
    <row r="667">
      <c r="A667" s="4"/>
      <c r="C667" s="4"/>
      <c r="D667" s="4"/>
      <c r="E667" s="8"/>
      <c r="F667" s="8"/>
      <c r="G667" s="8"/>
      <c r="H667" s="9"/>
    </row>
    <row r="668">
      <c r="A668" s="4"/>
      <c r="C668" s="4"/>
      <c r="D668" s="4"/>
      <c r="E668" s="8"/>
      <c r="F668" s="8"/>
      <c r="G668" s="8"/>
      <c r="H668" s="9"/>
    </row>
    <row r="669">
      <c r="A669" s="4"/>
      <c r="C669" s="4"/>
      <c r="D669" s="4"/>
      <c r="E669" s="8"/>
      <c r="F669" s="8"/>
      <c r="G669" s="8"/>
      <c r="H669" s="9"/>
    </row>
    <row r="670">
      <c r="A670" s="4"/>
      <c r="C670" s="4"/>
      <c r="D670" s="4"/>
      <c r="E670" s="8"/>
      <c r="F670" s="8"/>
      <c r="G670" s="8"/>
      <c r="H670" s="9"/>
    </row>
    <row r="671">
      <c r="A671" s="4"/>
      <c r="C671" s="4"/>
      <c r="D671" s="4"/>
      <c r="E671" s="8"/>
      <c r="F671" s="8"/>
      <c r="G671" s="8"/>
      <c r="H671" s="9"/>
    </row>
    <row r="672">
      <c r="A672" s="4"/>
      <c r="C672" s="4"/>
      <c r="D672" s="4"/>
      <c r="E672" s="8"/>
      <c r="F672" s="8"/>
      <c r="G672" s="8"/>
      <c r="H672" s="9"/>
    </row>
    <row r="673">
      <c r="A673" s="4"/>
      <c r="C673" s="4"/>
      <c r="D673" s="4"/>
      <c r="E673" s="8"/>
      <c r="F673" s="8"/>
      <c r="G673" s="8"/>
      <c r="H673" s="9"/>
    </row>
    <row r="674">
      <c r="A674" s="4"/>
      <c r="C674" s="4"/>
      <c r="D674" s="4"/>
      <c r="E674" s="8"/>
      <c r="F674" s="8"/>
      <c r="G674" s="8"/>
      <c r="H674" s="9"/>
    </row>
    <row r="675">
      <c r="A675" s="4"/>
      <c r="C675" s="4"/>
      <c r="D675" s="4"/>
      <c r="E675" s="8"/>
      <c r="F675" s="8"/>
      <c r="G675" s="8"/>
      <c r="H675" s="9"/>
    </row>
    <row r="676">
      <c r="A676" s="4"/>
      <c r="C676" s="4"/>
      <c r="D676" s="4"/>
      <c r="E676" s="8"/>
      <c r="F676" s="8"/>
      <c r="G676" s="8"/>
      <c r="H676" s="9"/>
    </row>
    <row r="677">
      <c r="A677" s="4"/>
      <c r="C677" s="4"/>
      <c r="D677" s="4"/>
      <c r="E677" s="8"/>
      <c r="F677" s="8"/>
      <c r="G677" s="8"/>
      <c r="H677" s="9"/>
    </row>
    <row r="678">
      <c r="A678" s="4"/>
      <c r="C678" s="4"/>
      <c r="D678" s="4"/>
      <c r="E678" s="8"/>
      <c r="F678" s="8"/>
      <c r="G678" s="8"/>
      <c r="H678" s="9"/>
    </row>
    <row r="679">
      <c r="A679" s="4"/>
      <c r="C679" s="4"/>
      <c r="D679" s="4"/>
      <c r="E679" s="8"/>
      <c r="F679" s="8"/>
      <c r="G679" s="8"/>
      <c r="H679" s="9"/>
    </row>
    <row r="680">
      <c r="A680" s="4"/>
      <c r="C680" s="4"/>
      <c r="D680" s="4"/>
      <c r="E680" s="8"/>
      <c r="F680" s="8"/>
      <c r="G680" s="8"/>
      <c r="H680" s="9"/>
    </row>
    <row r="681">
      <c r="A681" s="4"/>
      <c r="C681" s="4"/>
      <c r="D681" s="4"/>
      <c r="E681" s="8"/>
      <c r="F681" s="8"/>
      <c r="G681" s="8"/>
      <c r="H681" s="9"/>
    </row>
    <row r="682">
      <c r="A682" s="4"/>
      <c r="C682" s="4"/>
      <c r="D682" s="4"/>
      <c r="E682" s="8"/>
      <c r="F682" s="8"/>
      <c r="G682" s="8"/>
      <c r="H682" s="9"/>
    </row>
    <row r="683">
      <c r="A683" s="4"/>
      <c r="C683" s="4"/>
      <c r="D683" s="4"/>
      <c r="E683" s="8"/>
      <c r="F683" s="8"/>
      <c r="G683" s="8"/>
      <c r="H683" s="9"/>
    </row>
    <row r="684">
      <c r="A684" s="4"/>
      <c r="C684" s="4"/>
      <c r="D684" s="4"/>
      <c r="E684" s="8"/>
      <c r="F684" s="8"/>
      <c r="G684" s="8"/>
      <c r="H684" s="9"/>
    </row>
    <row r="685">
      <c r="A685" s="4"/>
      <c r="C685" s="4"/>
      <c r="D685" s="4"/>
      <c r="E685" s="8"/>
      <c r="F685" s="8"/>
      <c r="G685" s="8"/>
      <c r="H685" s="9"/>
    </row>
    <row r="686">
      <c r="A686" s="4"/>
      <c r="C686" s="4"/>
      <c r="D686" s="4"/>
      <c r="E686" s="8"/>
      <c r="F686" s="8"/>
      <c r="G686" s="8"/>
      <c r="H686" s="9"/>
    </row>
    <row r="687">
      <c r="A687" s="4"/>
      <c r="C687" s="4"/>
      <c r="D687" s="4"/>
      <c r="E687" s="8"/>
      <c r="F687" s="8"/>
      <c r="G687" s="8"/>
      <c r="H687" s="9"/>
    </row>
    <row r="688">
      <c r="A688" s="4"/>
      <c r="C688" s="4"/>
      <c r="D688" s="4"/>
      <c r="E688" s="8"/>
      <c r="F688" s="8"/>
      <c r="G688" s="8"/>
      <c r="H688" s="9"/>
    </row>
    <row r="689">
      <c r="A689" s="4"/>
      <c r="C689" s="4"/>
      <c r="D689" s="4"/>
      <c r="E689" s="8"/>
      <c r="F689" s="8"/>
      <c r="G689" s="8"/>
      <c r="H689" s="9"/>
    </row>
    <row r="690">
      <c r="A690" s="4"/>
      <c r="C690" s="4"/>
      <c r="D690" s="4"/>
      <c r="E690" s="8"/>
      <c r="F690" s="8"/>
      <c r="G690" s="8"/>
      <c r="H690" s="9"/>
    </row>
    <row r="691">
      <c r="A691" s="4"/>
      <c r="C691" s="4"/>
      <c r="D691" s="4"/>
      <c r="E691" s="8"/>
      <c r="F691" s="8"/>
      <c r="G691" s="8"/>
      <c r="H691" s="9"/>
    </row>
    <row r="692">
      <c r="A692" s="4"/>
      <c r="C692" s="4"/>
      <c r="D692" s="4"/>
      <c r="E692" s="8"/>
      <c r="F692" s="8"/>
      <c r="G692" s="8"/>
      <c r="H692" s="9"/>
    </row>
    <row r="693">
      <c r="A693" s="4"/>
      <c r="C693" s="4"/>
      <c r="D693" s="4"/>
      <c r="E693" s="8"/>
      <c r="F693" s="8"/>
      <c r="G693" s="8"/>
      <c r="H693" s="9"/>
    </row>
    <row r="694">
      <c r="A694" s="4"/>
      <c r="C694" s="4"/>
      <c r="D694" s="4"/>
      <c r="E694" s="8"/>
      <c r="F694" s="8"/>
      <c r="G694" s="8"/>
      <c r="H694" s="9"/>
    </row>
    <row r="695">
      <c r="A695" s="4"/>
      <c r="C695" s="4"/>
      <c r="D695" s="4"/>
      <c r="E695" s="8"/>
      <c r="F695" s="8"/>
      <c r="G695" s="8"/>
      <c r="H695" s="9"/>
    </row>
    <row r="696">
      <c r="A696" s="4"/>
      <c r="C696" s="4"/>
      <c r="D696" s="4"/>
      <c r="E696" s="8"/>
      <c r="F696" s="8"/>
      <c r="G696" s="8"/>
      <c r="H696" s="9"/>
    </row>
    <row r="697">
      <c r="A697" s="4"/>
      <c r="C697" s="4"/>
      <c r="D697" s="4"/>
      <c r="E697" s="8"/>
      <c r="F697" s="8"/>
      <c r="G697" s="8"/>
      <c r="H697" s="9"/>
    </row>
    <row r="698">
      <c r="A698" s="4"/>
      <c r="C698" s="4"/>
      <c r="D698" s="4"/>
      <c r="E698" s="8"/>
      <c r="F698" s="8"/>
      <c r="G698" s="8"/>
      <c r="H698" s="9"/>
    </row>
    <row r="699">
      <c r="A699" s="4"/>
      <c r="C699" s="4"/>
      <c r="D699" s="4"/>
      <c r="E699" s="8"/>
      <c r="F699" s="8"/>
      <c r="G699" s="8"/>
      <c r="H699" s="9"/>
    </row>
    <row r="700">
      <c r="A700" s="4"/>
      <c r="C700" s="4"/>
      <c r="D700" s="4"/>
      <c r="E700" s="8"/>
      <c r="F700" s="8"/>
      <c r="G700" s="8"/>
      <c r="H700" s="9"/>
    </row>
    <row r="701">
      <c r="A701" s="4"/>
      <c r="C701" s="4"/>
      <c r="D701" s="4"/>
      <c r="E701" s="8"/>
      <c r="F701" s="8"/>
      <c r="G701" s="8"/>
      <c r="H701" s="9"/>
    </row>
    <row r="702">
      <c r="A702" s="4"/>
      <c r="C702" s="4"/>
      <c r="D702" s="4"/>
      <c r="E702" s="8"/>
      <c r="F702" s="8"/>
      <c r="G702" s="8"/>
      <c r="H702" s="9"/>
    </row>
    <row r="703">
      <c r="A703" s="4"/>
      <c r="C703" s="4"/>
      <c r="D703" s="4"/>
      <c r="E703" s="8"/>
      <c r="F703" s="8"/>
      <c r="G703" s="8"/>
      <c r="H703" s="9"/>
    </row>
    <row r="704">
      <c r="A704" s="4"/>
      <c r="C704" s="4"/>
      <c r="D704" s="4"/>
      <c r="E704" s="8"/>
      <c r="F704" s="8"/>
      <c r="G704" s="8"/>
      <c r="H704" s="9"/>
    </row>
    <row r="705">
      <c r="A705" s="4"/>
      <c r="C705" s="4"/>
      <c r="D705" s="4"/>
      <c r="E705" s="8"/>
      <c r="F705" s="8"/>
      <c r="G705" s="8"/>
      <c r="H705" s="9"/>
    </row>
    <row r="706">
      <c r="A706" s="4"/>
      <c r="C706" s="4"/>
      <c r="D706" s="4"/>
      <c r="E706" s="8"/>
      <c r="F706" s="8"/>
      <c r="G706" s="8"/>
      <c r="H706" s="9"/>
    </row>
    <row r="707">
      <c r="A707" s="4"/>
      <c r="C707" s="4"/>
      <c r="D707" s="4"/>
      <c r="E707" s="8"/>
      <c r="F707" s="8"/>
      <c r="G707" s="8"/>
      <c r="H707" s="9"/>
    </row>
    <row r="708">
      <c r="A708" s="4"/>
      <c r="C708" s="4"/>
      <c r="D708" s="4"/>
      <c r="E708" s="8"/>
      <c r="F708" s="8"/>
      <c r="G708" s="8"/>
      <c r="H708" s="9"/>
    </row>
    <row r="709">
      <c r="A709" s="4"/>
      <c r="C709" s="4"/>
      <c r="D709" s="4"/>
      <c r="E709" s="8"/>
      <c r="F709" s="8"/>
      <c r="G709" s="8"/>
      <c r="H709" s="9"/>
    </row>
    <row r="710">
      <c r="A710" s="4"/>
      <c r="C710" s="4"/>
      <c r="D710" s="4"/>
      <c r="E710" s="8"/>
      <c r="F710" s="8"/>
      <c r="G710" s="8"/>
      <c r="H710" s="9"/>
    </row>
    <row r="711">
      <c r="A711" s="4"/>
      <c r="C711" s="4"/>
      <c r="D711" s="4"/>
      <c r="E711" s="8"/>
      <c r="F711" s="8"/>
      <c r="G711" s="8"/>
      <c r="H711" s="9"/>
    </row>
    <row r="712">
      <c r="A712" s="4"/>
      <c r="C712" s="4"/>
      <c r="D712" s="4"/>
      <c r="E712" s="8"/>
      <c r="F712" s="8"/>
      <c r="G712" s="8"/>
      <c r="H712" s="9"/>
    </row>
    <row r="713">
      <c r="A713" s="4"/>
      <c r="C713" s="4"/>
      <c r="D713" s="4"/>
      <c r="E713" s="8"/>
      <c r="F713" s="8"/>
      <c r="G713" s="8"/>
      <c r="H713" s="9"/>
    </row>
    <row r="714">
      <c r="A714" s="4"/>
      <c r="C714" s="4"/>
      <c r="D714" s="4"/>
      <c r="E714" s="8"/>
      <c r="F714" s="8"/>
      <c r="G714" s="8"/>
      <c r="H714" s="9"/>
    </row>
    <row r="715">
      <c r="A715" s="4"/>
      <c r="C715" s="4"/>
      <c r="D715" s="4"/>
      <c r="E715" s="8"/>
      <c r="F715" s="8"/>
      <c r="G715" s="8"/>
      <c r="H715" s="9"/>
    </row>
    <row r="716">
      <c r="A716" s="4"/>
      <c r="C716" s="4"/>
      <c r="D716" s="4"/>
      <c r="E716" s="8"/>
      <c r="F716" s="8"/>
      <c r="G716" s="8"/>
      <c r="H716" s="9"/>
    </row>
    <row r="717">
      <c r="A717" s="4"/>
      <c r="C717" s="4"/>
      <c r="D717" s="4"/>
      <c r="E717" s="8"/>
      <c r="F717" s="8"/>
      <c r="G717" s="8"/>
      <c r="H717" s="9"/>
    </row>
    <row r="718">
      <c r="A718" s="4"/>
      <c r="C718" s="4"/>
      <c r="D718" s="4"/>
      <c r="E718" s="8"/>
      <c r="F718" s="8"/>
      <c r="G718" s="8"/>
      <c r="H718" s="9"/>
    </row>
    <row r="719">
      <c r="A719" s="4"/>
      <c r="C719" s="4"/>
      <c r="D719" s="4"/>
      <c r="E719" s="8"/>
      <c r="F719" s="8"/>
      <c r="G719" s="8"/>
      <c r="H719" s="9"/>
    </row>
    <row r="720">
      <c r="A720" s="4"/>
      <c r="C720" s="4"/>
      <c r="D720" s="4"/>
      <c r="E720" s="8"/>
      <c r="F720" s="8"/>
      <c r="G720" s="8"/>
      <c r="H720" s="9"/>
    </row>
    <row r="721">
      <c r="A721" s="4"/>
      <c r="C721" s="4"/>
      <c r="D721" s="4"/>
      <c r="E721" s="8"/>
      <c r="F721" s="8"/>
      <c r="G721" s="8"/>
      <c r="H721" s="9"/>
    </row>
    <row r="722">
      <c r="A722" s="4"/>
      <c r="C722" s="4"/>
      <c r="D722" s="4"/>
      <c r="E722" s="8"/>
      <c r="F722" s="8"/>
      <c r="G722" s="8"/>
      <c r="H722" s="9"/>
    </row>
    <row r="723">
      <c r="A723" s="4"/>
      <c r="C723" s="4"/>
      <c r="D723" s="4"/>
      <c r="E723" s="8"/>
      <c r="F723" s="8"/>
      <c r="G723" s="8"/>
      <c r="H723" s="9"/>
    </row>
    <row r="724">
      <c r="A724" s="4"/>
      <c r="C724" s="4"/>
      <c r="D724" s="4"/>
      <c r="E724" s="8"/>
      <c r="F724" s="8"/>
      <c r="G724" s="8"/>
      <c r="H724" s="9"/>
    </row>
    <row r="725">
      <c r="A725" s="4"/>
      <c r="C725" s="4"/>
      <c r="D725" s="4"/>
      <c r="E725" s="8"/>
      <c r="F725" s="8"/>
      <c r="G725" s="8"/>
      <c r="H725" s="9"/>
    </row>
    <row r="726">
      <c r="A726" s="4"/>
      <c r="C726" s="4"/>
      <c r="D726" s="4"/>
      <c r="E726" s="8"/>
      <c r="F726" s="8"/>
      <c r="G726" s="8"/>
      <c r="H726" s="9"/>
    </row>
    <row r="727">
      <c r="A727" s="4"/>
      <c r="C727" s="4"/>
      <c r="D727" s="4"/>
      <c r="E727" s="8"/>
      <c r="F727" s="8"/>
      <c r="G727" s="8"/>
      <c r="H727" s="9"/>
    </row>
    <row r="728">
      <c r="A728" s="4"/>
      <c r="C728" s="4"/>
      <c r="D728" s="4"/>
      <c r="E728" s="8"/>
      <c r="F728" s="8"/>
      <c r="G728" s="8"/>
      <c r="H728" s="9"/>
    </row>
    <row r="729">
      <c r="A729" s="4"/>
      <c r="C729" s="4"/>
      <c r="D729" s="4"/>
      <c r="E729" s="8"/>
      <c r="F729" s="8"/>
      <c r="G729" s="8"/>
      <c r="H729" s="9"/>
    </row>
    <row r="730">
      <c r="A730" s="4"/>
      <c r="C730" s="4"/>
      <c r="D730" s="4"/>
      <c r="E730" s="8"/>
      <c r="F730" s="8"/>
      <c r="G730" s="8"/>
      <c r="H730" s="9"/>
    </row>
    <row r="731">
      <c r="A731" s="4"/>
      <c r="C731" s="4"/>
      <c r="D731" s="4"/>
      <c r="E731" s="8"/>
      <c r="F731" s="8"/>
      <c r="G731" s="8"/>
      <c r="H731" s="9"/>
    </row>
    <row r="732">
      <c r="A732" s="4"/>
      <c r="C732" s="4"/>
      <c r="D732" s="4"/>
      <c r="E732" s="8"/>
      <c r="F732" s="8"/>
      <c r="G732" s="8"/>
      <c r="H732" s="9"/>
    </row>
    <row r="733">
      <c r="A733" s="4"/>
      <c r="C733" s="4"/>
      <c r="D733" s="4"/>
      <c r="E733" s="8"/>
      <c r="F733" s="8"/>
      <c r="G733" s="8"/>
      <c r="H733" s="9"/>
    </row>
    <row r="734">
      <c r="A734" s="4"/>
      <c r="C734" s="4"/>
      <c r="D734" s="4"/>
      <c r="E734" s="8"/>
      <c r="F734" s="8"/>
      <c r="G734" s="8"/>
      <c r="H734" s="9"/>
    </row>
    <row r="735">
      <c r="A735" s="4"/>
      <c r="C735" s="4"/>
      <c r="D735" s="4"/>
      <c r="E735" s="8"/>
      <c r="F735" s="8"/>
      <c r="G735" s="8"/>
      <c r="H735" s="9"/>
    </row>
    <row r="736">
      <c r="A736" s="4"/>
      <c r="C736" s="4"/>
      <c r="D736" s="4"/>
      <c r="E736" s="8"/>
      <c r="F736" s="8"/>
      <c r="G736" s="8"/>
      <c r="H736" s="9"/>
    </row>
    <row r="737">
      <c r="A737" s="4"/>
      <c r="C737" s="4"/>
      <c r="D737" s="4"/>
      <c r="E737" s="8"/>
      <c r="F737" s="8"/>
      <c r="G737" s="8"/>
      <c r="H737" s="9"/>
    </row>
    <row r="738">
      <c r="A738" s="4"/>
      <c r="C738" s="4"/>
      <c r="D738" s="4"/>
      <c r="E738" s="8"/>
      <c r="F738" s="8"/>
      <c r="G738" s="8"/>
      <c r="H738" s="9"/>
    </row>
    <row r="739">
      <c r="A739" s="4"/>
      <c r="C739" s="4"/>
      <c r="D739" s="4"/>
      <c r="E739" s="8"/>
      <c r="F739" s="8"/>
      <c r="G739" s="8"/>
      <c r="H739" s="9"/>
    </row>
    <row r="740">
      <c r="A740" s="4"/>
      <c r="C740" s="4"/>
      <c r="D740" s="4"/>
      <c r="E740" s="8"/>
      <c r="F740" s="8"/>
      <c r="G740" s="8"/>
      <c r="H740" s="9"/>
    </row>
    <row r="741">
      <c r="A741" s="4"/>
      <c r="C741" s="4"/>
      <c r="D741" s="4"/>
      <c r="E741" s="8"/>
      <c r="F741" s="8"/>
      <c r="G741" s="8"/>
      <c r="H741" s="9"/>
    </row>
    <row r="742">
      <c r="A742" s="4"/>
      <c r="C742" s="4"/>
      <c r="D742" s="4"/>
      <c r="E742" s="8"/>
      <c r="F742" s="8"/>
      <c r="G742" s="8"/>
      <c r="H742" s="9"/>
    </row>
    <row r="743">
      <c r="A743" s="4"/>
      <c r="C743" s="4"/>
      <c r="D743" s="4"/>
      <c r="E743" s="8"/>
      <c r="F743" s="8"/>
      <c r="G743" s="8"/>
      <c r="H743" s="9"/>
    </row>
    <row r="744">
      <c r="A744" s="4"/>
      <c r="C744" s="4"/>
      <c r="D744" s="4"/>
      <c r="E744" s="8"/>
      <c r="F744" s="8"/>
      <c r="G744" s="8"/>
      <c r="H744" s="9"/>
    </row>
    <row r="745">
      <c r="A745" s="4"/>
      <c r="C745" s="4"/>
      <c r="D745" s="4"/>
      <c r="E745" s="8"/>
      <c r="F745" s="8"/>
      <c r="G745" s="8"/>
      <c r="H745" s="9"/>
    </row>
    <row r="746">
      <c r="A746" s="4"/>
      <c r="C746" s="4"/>
      <c r="D746" s="4"/>
      <c r="E746" s="8"/>
      <c r="F746" s="8"/>
      <c r="G746" s="8"/>
      <c r="H746" s="9"/>
    </row>
    <row r="747">
      <c r="A747" s="4"/>
      <c r="C747" s="4"/>
      <c r="D747" s="4"/>
      <c r="E747" s="8"/>
      <c r="F747" s="8"/>
      <c r="G747" s="8"/>
      <c r="H747" s="9"/>
    </row>
    <row r="748">
      <c r="A748" s="4"/>
      <c r="C748" s="4"/>
      <c r="D748" s="4"/>
      <c r="E748" s="8"/>
      <c r="F748" s="8"/>
      <c r="G748" s="8"/>
      <c r="H748" s="9"/>
    </row>
    <row r="749">
      <c r="A749" s="4"/>
      <c r="C749" s="4"/>
      <c r="D749" s="4"/>
      <c r="E749" s="8"/>
      <c r="F749" s="8"/>
      <c r="G749" s="8"/>
      <c r="H749" s="9"/>
    </row>
    <row r="750">
      <c r="A750" s="4"/>
      <c r="C750" s="4"/>
      <c r="D750" s="4"/>
      <c r="E750" s="8"/>
      <c r="F750" s="8"/>
      <c r="G750" s="8"/>
      <c r="H750" s="9"/>
    </row>
    <row r="751">
      <c r="A751" s="4"/>
      <c r="C751" s="4"/>
      <c r="D751" s="4"/>
      <c r="E751" s="8"/>
      <c r="F751" s="8"/>
      <c r="G751" s="8"/>
      <c r="H751" s="9"/>
    </row>
    <row r="752">
      <c r="A752" s="4"/>
      <c r="C752" s="4"/>
      <c r="D752" s="4"/>
      <c r="E752" s="8"/>
      <c r="F752" s="8"/>
      <c r="G752" s="8"/>
      <c r="H752" s="9"/>
    </row>
    <row r="753">
      <c r="A753" s="4"/>
      <c r="C753" s="4"/>
      <c r="D753" s="4"/>
      <c r="E753" s="8"/>
      <c r="F753" s="8"/>
      <c r="G753" s="8"/>
      <c r="H753" s="9"/>
    </row>
    <row r="754">
      <c r="A754" s="4"/>
      <c r="C754" s="4"/>
      <c r="D754" s="4"/>
      <c r="E754" s="8"/>
      <c r="F754" s="8"/>
      <c r="G754" s="8"/>
      <c r="H754" s="9"/>
    </row>
    <row r="755">
      <c r="A755" s="4"/>
      <c r="C755" s="4"/>
      <c r="D755" s="4"/>
      <c r="E755" s="8"/>
      <c r="F755" s="8"/>
      <c r="G755" s="8"/>
      <c r="H755" s="9"/>
    </row>
    <row r="756">
      <c r="A756" s="4"/>
      <c r="C756" s="4"/>
      <c r="D756" s="4"/>
      <c r="E756" s="8"/>
      <c r="F756" s="8"/>
      <c r="G756" s="8"/>
      <c r="H756" s="9"/>
    </row>
    <row r="757">
      <c r="A757" s="4"/>
      <c r="C757" s="4"/>
      <c r="D757" s="4"/>
      <c r="E757" s="8"/>
      <c r="F757" s="8"/>
      <c r="G757" s="8"/>
      <c r="H757" s="9"/>
    </row>
    <row r="758">
      <c r="A758" s="4"/>
      <c r="C758" s="4"/>
      <c r="D758" s="4"/>
      <c r="E758" s="8"/>
      <c r="F758" s="8"/>
      <c r="G758" s="8"/>
      <c r="H758" s="9"/>
    </row>
    <row r="759">
      <c r="A759" s="4"/>
      <c r="C759" s="4"/>
      <c r="D759" s="4"/>
      <c r="E759" s="8"/>
      <c r="F759" s="8"/>
      <c r="G759" s="8"/>
      <c r="H759" s="9"/>
    </row>
    <row r="760">
      <c r="A760" s="4"/>
      <c r="C760" s="4"/>
      <c r="D760" s="4"/>
      <c r="E760" s="8"/>
      <c r="F760" s="8"/>
      <c r="G760" s="8"/>
      <c r="H760" s="9"/>
    </row>
    <row r="761">
      <c r="A761" s="4"/>
      <c r="C761" s="4"/>
      <c r="D761" s="4"/>
      <c r="E761" s="8"/>
      <c r="F761" s="8"/>
      <c r="G761" s="8"/>
      <c r="H761" s="9"/>
    </row>
    <row r="762">
      <c r="A762" s="4"/>
      <c r="C762" s="4"/>
      <c r="D762" s="4"/>
      <c r="E762" s="8"/>
      <c r="F762" s="8"/>
      <c r="G762" s="8"/>
      <c r="H762" s="9"/>
    </row>
    <row r="763">
      <c r="A763" s="4"/>
      <c r="C763" s="4"/>
      <c r="D763" s="4"/>
      <c r="E763" s="8"/>
      <c r="F763" s="8"/>
      <c r="G763" s="8"/>
      <c r="H763" s="9"/>
    </row>
    <row r="764">
      <c r="A764" s="4"/>
      <c r="C764" s="4"/>
      <c r="D764" s="4"/>
      <c r="E764" s="8"/>
      <c r="F764" s="8"/>
      <c r="G764" s="8"/>
      <c r="H764" s="9"/>
    </row>
    <row r="765">
      <c r="A765" s="4"/>
      <c r="C765" s="4"/>
      <c r="D765" s="4"/>
      <c r="E765" s="8"/>
      <c r="F765" s="8"/>
      <c r="G765" s="8"/>
      <c r="H765" s="9"/>
    </row>
    <row r="766">
      <c r="A766" s="4"/>
      <c r="C766" s="4"/>
      <c r="D766" s="4"/>
      <c r="E766" s="8"/>
      <c r="F766" s="8"/>
      <c r="G766" s="8"/>
      <c r="H766" s="9"/>
    </row>
    <row r="767">
      <c r="A767" s="4"/>
      <c r="C767" s="4"/>
      <c r="D767" s="4"/>
      <c r="E767" s="8"/>
      <c r="F767" s="8"/>
      <c r="G767" s="8"/>
      <c r="H767" s="9"/>
    </row>
    <row r="768">
      <c r="A768" s="4"/>
      <c r="C768" s="4"/>
      <c r="D768" s="4"/>
      <c r="E768" s="8"/>
      <c r="F768" s="8"/>
      <c r="G768" s="8"/>
      <c r="H768" s="9"/>
    </row>
    <row r="769">
      <c r="A769" s="4"/>
      <c r="C769" s="4"/>
      <c r="D769" s="4"/>
      <c r="E769" s="8"/>
      <c r="F769" s="8"/>
      <c r="G769" s="8"/>
      <c r="H769" s="9"/>
    </row>
    <row r="770">
      <c r="A770" s="4"/>
      <c r="C770" s="4"/>
      <c r="D770" s="4"/>
      <c r="E770" s="8"/>
      <c r="F770" s="8"/>
      <c r="G770" s="8"/>
      <c r="H770" s="9"/>
    </row>
    <row r="771">
      <c r="A771" s="4"/>
      <c r="C771" s="4"/>
      <c r="D771" s="4"/>
      <c r="E771" s="8"/>
      <c r="F771" s="8"/>
      <c r="G771" s="8"/>
      <c r="H771" s="9"/>
    </row>
    <row r="772">
      <c r="A772" s="4"/>
      <c r="C772" s="4"/>
      <c r="D772" s="4"/>
      <c r="E772" s="8"/>
      <c r="F772" s="8"/>
      <c r="G772" s="8"/>
      <c r="H772" s="9"/>
    </row>
    <row r="773">
      <c r="A773" s="4"/>
      <c r="C773" s="4"/>
      <c r="D773" s="4"/>
      <c r="E773" s="8"/>
      <c r="F773" s="8"/>
      <c r="G773" s="8"/>
      <c r="H773" s="9"/>
    </row>
    <row r="774">
      <c r="A774" s="4"/>
      <c r="C774" s="4"/>
      <c r="D774" s="4"/>
      <c r="E774" s="8"/>
      <c r="F774" s="8"/>
      <c r="G774" s="8"/>
      <c r="H774" s="9"/>
    </row>
    <row r="775">
      <c r="A775" s="4"/>
      <c r="C775" s="4"/>
      <c r="D775" s="4"/>
      <c r="E775" s="8"/>
      <c r="F775" s="8"/>
      <c r="G775" s="8"/>
      <c r="H775" s="9"/>
    </row>
    <row r="776">
      <c r="A776" s="4"/>
      <c r="C776" s="4"/>
      <c r="D776" s="4"/>
      <c r="E776" s="8"/>
      <c r="F776" s="8"/>
      <c r="G776" s="8"/>
      <c r="H776" s="9"/>
    </row>
    <row r="777">
      <c r="A777" s="4"/>
      <c r="C777" s="4"/>
      <c r="D777" s="4"/>
      <c r="E777" s="8"/>
      <c r="F777" s="8"/>
      <c r="G777" s="8"/>
      <c r="H777" s="9"/>
    </row>
    <row r="778">
      <c r="A778" s="4"/>
      <c r="C778" s="4"/>
      <c r="D778" s="4"/>
      <c r="E778" s="8"/>
      <c r="F778" s="8"/>
      <c r="G778" s="8"/>
      <c r="H778" s="9"/>
    </row>
    <row r="779">
      <c r="A779" s="4"/>
      <c r="C779" s="4"/>
      <c r="D779" s="4"/>
      <c r="E779" s="8"/>
      <c r="F779" s="8"/>
      <c r="G779" s="8"/>
      <c r="H779" s="9"/>
    </row>
    <row r="780">
      <c r="A780" s="4"/>
      <c r="C780" s="4"/>
      <c r="D780" s="4"/>
      <c r="E780" s="8"/>
      <c r="F780" s="8"/>
      <c r="G780" s="8"/>
      <c r="H780" s="9"/>
    </row>
    <row r="781">
      <c r="A781" s="4"/>
      <c r="C781" s="4"/>
      <c r="D781" s="4"/>
      <c r="E781" s="8"/>
      <c r="F781" s="8"/>
      <c r="G781" s="8"/>
      <c r="H781" s="9"/>
    </row>
    <row r="782">
      <c r="A782" s="4"/>
      <c r="C782" s="4"/>
      <c r="D782" s="4"/>
      <c r="E782" s="8"/>
      <c r="F782" s="8"/>
      <c r="G782" s="8"/>
      <c r="H782" s="9"/>
    </row>
    <row r="783">
      <c r="A783" s="4"/>
      <c r="C783" s="4"/>
      <c r="D783" s="4"/>
      <c r="E783" s="8"/>
      <c r="F783" s="8"/>
      <c r="G783" s="8"/>
      <c r="H783" s="9"/>
    </row>
    <row r="784">
      <c r="A784" s="4"/>
      <c r="C784" s="4"/>
      <c r="D784" s="4"/>
      <c r="E784" s="8"/>
      <c r="F784" s="8"/>
      <c r="G784" s="8"/>
      <c r="H784" s="9"/>
    </row>
    <row r="785">
      <c r="A785" s="4"/>
      <c r="C785" s="4"/>
      <c r="D785" s="4"/>
      <c r="E785" s="8"/>
      <c r="F785" s="8"/>
      <c r="G785" s="8"/>
      <c r="H785" s="9"/>
    </row>
    <row r="786">
      <c r="A786" s="4"/>
      <c r="C786" s="4"/>
      <c r="D786" s="4"/>
      <c r="E786" s="8"/>
      <c r="F786" s="8"/>
      <c r="G786" s="8"/>
      <c r="H786" s="9"/>
    </row>
    <row r="787">
      <c r="A787" s="4"/>
      <c r="C787" s="4"/>
      <c r="D787" s="4"/>
      <c r="E787" s="8"/>
      <c r="F787" s="8"/>
      <c r="G787" s="8"/>
      <c r="H787" s="9"/>
    </row>
    <row r="788">
      <c r="A788" s="4"/>
      <c r="C788" s="4"/>
      <c r="D788" s="4"/>
      <c r="E788" s="8"/>
      <c r="F788" s="8"/>
      <c r="G788" s="8"/>
      <c r="H788" s="9"/>
    </row>
    <row r="789">
      <c r="A789" s="4"/>
      <c r="C789" s="4"/>
      <c r="D789" s="4"/>
      <c r="E789" s="8"/>
      <c r="F789" s="8"/>
      <c r="G789" s="8"/>
      <c r="H789" s="9"/>
    </row>
    <row r="790">
      <c r="A790" s="4"/>
      <c r="C790" s="4"/>
      <c r="D790" s="4"/>
      <c r="E790" s="8"/>
      <c r="F790" s="8"/>
      <c r="G790" s="8"/>
      <c r="H790" s="9"/>
    </row>
    <row r="791">
      <c r="A791" s="4"/>
      <c r="C791" s="4"/>
      <c r="D791" s="4"/>
      <c r="E791" s="8"/>
      <c r="F791" s="8"/>
      <c r="G791" s="8"/>
      <c r="H791" s="9"/>
    </row>
    <row r="792">
      <c r="A792" s="4"/>
      <c r="C792" s="4"/>
      <c r="D792" s="4"/>
      <c r="E792" s="8"/>
      <c r="F792" s="8"/>
      <c r="G792" s="8"/>
      <c r="H792" s="9"/>
    </row>
    <row r="793">
      <c r="A793" s="4"/>
      <c r="C793" s="4"/>
      <c r="D793" s="4"/>
      <c r="E793" s="8"/>
      <c r="F793" s="8"/>
      <c r="G793" s="8"/>
      <c r="H793" s="9"/>
    </row>
    <row r="794">
      <c r="A794" s="4"/>
      <c r="C794" s="4"/>
      <c r="D794" s="4"/>
      <c r="E794" s="8"/>
      <c r="F794" s="8"/>
      <c r="G794" s="8"/>
      <c r="H794" s="9"/>
    </row>
    <row r="795">
      <c r="A795" s="4"/>
      <c r="C795" s="4"/>
      <c r="D795" s="4"/>
      <c r="E795" s="8"/>
      <c r="F795" s="8"/>
      <c r="G795" s="8"/>
      <c r="H795" s="9"/>
    </row>
    <row r="796">
      <c r="A796" s="4"/>
      <c r="C796" s="4"/>
      <c r="D796" s="4"/>
      <c r="E796" s="8"/>
      <c r="F796" s="8"/>
      <c r="G796" s="8"/>
      <c r="H796" s="9"/>
    </row>
    <row r="797">
      <c r="A797" s="4"/>
      <c r="C797" s="4"/>
      <c r="D797" s="4"/>
      <c r="E797" s="8"/>
      <c r="F797" s="8"/>
      <c r="G797" s="8"/>
      <c r="H797" s="9"/>
    </row>
    <row r="798">
      <c r="A798" s="4"/>
      <c r="C798" s="4"/>
      <c r="D798" s="4"/>
      <c r="E798" s="8"/>
      <c r="F798" s="8"/>
      <c r="G798" s="8"/>
      <c r="H798" s="9"/>
    </row>
    <row r="799">
      <c r="A799" s="4"/>
      <c r="C799" s="4"/>
      <c r="D799" s="4"/>
      <c r="E799" s="8"/>
      <c r="F799" s="8"/>
      <c r="G799" s="8"/>
      <c r="H799" s="9"/>
    </row>
    <row r="800">
      <c r="A800" s="4"/>
      <c r="C800" s="4"/>
      <c r="D800" s="4"/>
      <c r="E800" s="8"/>
      <c r="F800" s="8"/>
      <c r="G800" s="8"/>
      <c r="H800" s="9"/>
    </row>
    <row r="801">
      <c r="A801" s="4"/>
      <c r="C801" s="4"/>
      <c r="D801" s="4"/>
      <c r="E801" s="8"/>
      <c r="F801" s="8"/>
      <c r="G801" s="8"/>
      <c r="H801" s="9"/>
    </row>
    <row r="802">
      <c r="A802" s="4"/>
      <c r="C802" s="4"/>
      <c r="D802" s="4"/>
      <c r="E802" s="8"/>
      <c r="F802" s="8"/>
      <c r="G802" s="8"/>
      <c r="H802" s="9"/>
    </row>
    <row r="803">
      <c r="A803" s="4"/>
      <c r="C803" s="4"/>
      <c r="D803" s="4"/>
      <c r="E803" s="8"/>
      <c r="F803" s="8"/>
      <c r="G803" s="8"/>
      <c r="H803" s="9"/>
    </row>
    <row r="804">
      <c r="A804" s="4"/>
      <c r="C804" s="4"/>
      <c r="D804" s="4"/>
      <c r="E804" s="8"/>
      <c r="F804" s="8"/>
      <c r="G804" s="8"/>
      <c r="H804" s="9"/>
    </row>
    <row r="805">
      <c r="A805" s="4"/>
      <c r="C805" s="4"/>
      <c r="D805" s="4"/>
      <c r="E805" s="8"/>
      <c r="F805" s="8"/>
      <c r="G805" s="8"/>
      <c r="H805" s="9"/>
    </row>
    <row r="806">
      <c r="A806" s="4"/>
      <c r="C806" s="4"/>
      <c r="D806" s="4"/>
      <c r="E806" s="8"/>
      <c r="F806" s="8"/>
      <c r="G806" s="8"/>
      <c r="H806" s="9"/>
    </row>
    <row r="807">
      <c r="A807" s="4"/>
      <c r="C807" s="4"/>
      <c r="D807" s="4"/>
      <c r="E807" s="8"/>
      <c r="F807" s="8"/>
      <c r="G807" s="8"/>
      <c r="H807" s="9"/>
    </row>
    <row r="808">
      <c r="A808" s="4"/>
      <c r="C808" s="4"/>
      <c r="D808" s="4"/>
      <c r="E808" s="8"/>
      <c r="F808" s="8"/>
      <c r="G808" s="8"/>
      <c r="H808" s="9"/>
    </row>
    <row r="809">
      <c r="A809" s="4"/>
      <c r="C809" s="4"/>
      <c r="D809" s="4"/>
      <c r="E809" s="8"/>
      <c r="F809" s="8"/>
      <c r="G809" s="8"/>
      <c r="H809" s="9"/>
    </row>
    <row r="810">
      <c r="A810" s="4"/>
      <c r="C810" s="4"/>
      <c r="D810" s="4"/>
      <c r="E810" s="8"/>
      <c r="F810" s="8"/>
      <c r="G810" s="8"/>
      <c r="H810" s="9"/>
    </row>
    <row r="811">
      <c r="A811" s="4"/>
      <c r="C811" s="4"/>
      <c r="D811" s="4"/>
      <c r="E811" s="8"/>
      <c r="F811" s="8"/>
      <c r="G811" s="8"/>
      <c r="H811" s="9"/>
    </row>
    <row r="812">
      <c r="A812" s="4"/>
      <c r="C812" s="4"/>
      <c r="D812" s="4"/>
      <c r="E812" s="8"/>
      <c r="F812" s="8"/>
      <c r="G812" s="8"/>
      <c r="H812" s="9"/>
    </row>
    <row r="813">
      <c r="A813" s="4"/>
      <c r="C813" s="4"/>
      <c r="D813" s="4"/>
      <c r="E813" s="8"/>
      <c r="F813" s="8"/>
      <c r="G813" s="8"/>
      <c r="H813" s="9"/>
    </row>
    <row r="814">
      <c r="A814" s="4"/>
      <c r="C814" s="4"/>
      <c r="D814" s="4"/>
      <c r="E814" s="8"/>
      <c r="F814" s="8"/>
      <c r="G814" s="8"/>
      <c r="H814" s="9"/>
    </row>
    <row r="815">
      <c r="A815" s="4"/>
      <c r="C815" s="4"/>
      <c r="D815" s="4"/>
      <c r="E815" s="8"/>
      <c r="F815" s="8"/>
      <c r="G815" s="8"/>
      <c r="H815" s="9"/>
    </row>
    <row r="816">
      <c r="A816" s="4"/>
      <c r="C816" s="4"/>
      <c r="D816" s="4"/>
      <c r="E816" s="8"/>
      <c r="F816" s="8"/>
      <c r="G816" s="8"/>
      <c r="H816" s="9"/>
    </row>
    <row r="817">
      <c r="A817" s="4"/>
      <c r="C817" s="4"/>
      <c r="D817" s="4"/>
      <c r="E817" s="8"/>
      <c r="F817" s="8"/>
      <c r="G817" s="8"/>
      <c r="H817" s="9"/>
    </row>
    <row r="818">
      <c r="A818" s="4"/>
      <c r="C818" s="4"/>
      <c r="D818" s="4"/>
      <c r="E818" s="8"/>
      <c r="F818" s="8"/>
      <c r="G818" s="8"/>
      <c r="H818" s="9"/>
    </row>
    <row r="819">
      <c r="A819" s="4"/>
      <c r="C819" s="4"/>
      <c r="D819" s="4"/>
      <c r="E819" s="8"/>
      <c r="F819" s="8"/>
      <c r="G819" s="8"/>
      <c r="H819" s="9"/>
    </row>
    <row r="820">
      <c r="A820" s="4"/>
      <c r="C820" s="4"/>
      <c r="D820" s="4"/>
      <c r="E820" s="8"/>
      <c r="F820" s="8"/>
      <c r="G820" s="8"/>
      <c r="H820" s="9"/>
    </row>
    <row r="821">
      <c r="A821" s="4"/>
      <c r="C821" s="4"/>
      <c r="D821" s="4"/>
      <c r="E821" s="8"/>
      <c r="F821" s="8"/>
      <c r="G821" s="8"/>
      <c r="H821" s="9"/>
    </row>
    <row r="822">
      <c r="A822" s="4"/>
      <c r="C822" s="4"/>
      <c r="D822" s="4"/>
      <c r="E822" s="8"/>
      <c r="F822" s="8"/>
      <c r="G822" s="8"/>
      <c r="H822" s="9"/>
    </row>
    <row r="823">
      <c r="A823" s="4"/>
      <c r="C823" s="4"/>
      <c r="D823" s="4"/>
      <c r="E823" s="8"/>
      <c r="F823" s="8"/>
      <c r="G823" s="8"/>
      <c r="H823" s="9"/>
    </row>
    <row r="824">
      <c r="A824" s="4"/>
      <c r="C824" s="4"/>
      <c r="D824" s="4"/>
      <c r="E824" s="8"/>
      <c r="F824" s="8"/>
      <c r="G824" s="8"/>
      <c r="H824" s="9"/>
    </row>
    <row r="825">
      <c r="A825" s="4"/>
      <c r="C825" s="4"/>
      <c r="D825" s="4"/>
      <c r="E825" s="8"/>
      <c r="F825" s="8"/>
      <c r="G825" s="8"/>
      <c r="H825" s="9"/>
    </row>
    <row r="826">
      <c r="A826" s="4"/>
      <c r="C826" s="4"/>
      <c r="D826" s="4"/>
      <c r="E826" s="8"/>
      <c r="F826" s="8"/>
      <c r="G826" s="8"/>
      <c r="H826" s="9"/>
    </row>
    <row r="827">
      <c r="A827" s="4"/>
      <c r="C827" s="4"/>
      <c r="D827" s="4"/>
      <c r="E827" s="8"/>
      <c r="F827" s="8"/>
      <c r="G827" s="8"/>
      <c r="H827" s="9"/>
    </row>
    <row r="828">
      <c r="A828" s="4"/>
      <c r="C828" s="4"/>
      <c r="D828" s="4"/>
      <c r="E828" s="8"/>
      <c r="F828" s="8"/>
      <c r="G828" s="8"/>
      <c r="H828" s="9"/>
    </row>
    <row r="829">
      <c r="A829" s="4"/>
      <c r="C829" s="4"/>
      <c r="D829" s="4"/>
      <c r="E829" s="8"/>
      <c r="F829" s="8"/>
      <c r="G829" s="8"/>
      <c r="H829" s="9"/>
    </row>
    <row r="830">
      <c r="A830" s="4"/>
      <c r="C830" s="4"/>
      <c r="D830" s="4"/>
      <c r="E830" s="8"/>
      <c r="F830" s="8"/>
      <c r="G830" s="8"/>
      <c r="H830" s="9"/>
    </row>
    <row r="831">
      <c r="A831" s="4"/>
      <c r="C831" s="4"/>
      <c r="D831" s="4"/>
      <c r="E831" s="8"/>
      <c r="F831" s="8"/>
      <c r="G831" s="8"/>
      <c r="H831" s="9"/>
    </row>
    <row r="832">
      <c r="A832" s="4"/>
      <c r="C832" s="4"/>
      <c r="D832" s="4"/>
      <c r="E832" s="8"/>
      <c r="F832" s="8"/>
      <c r="G832" s="8"/>
      <c r="H832" s="9"/>
    </row>
    <row r="833">
      <c r="A833" s="4"/>
      <c r="C833" s="4"/>
      <c r="D833" s="4"/>
      <c r="E833" s="8"/>
      <c r="F833" s="8"/>
      <c r="G833" s="8"/>
      <c r="H833" s="9"/>
    </row>
    <row r="834">
      <c r="A834" s="4"/>
      <c r="C834" s="4"/>
      <c r="D834" s="4"/>
      <c r="E834" s="8"/>
      <c r="F834" s="8"/>
      <c r="G834" s="8"/>
      <c r="H834" s="9"/>
    </row>
    <row r="835">
      <c r="A835" s="4"/>
      <c r="C835" s="4"/>
      <c r="D835" s="4"/>
      <c r="E835" s="8"/>
      <c r="F835" s="8"/>
      <c r="G835" s="8"/>
      <c r="H835" s="9"/>
    </row>
    <row r="836">
      <c r="A836" s="4"/>
      <c r="C836" s="4"/>
      <c r="D836" s="4"/>
      <c r="E836" s="8"/>
      <c r="F836" s="8"/>
      <c r="G836" s="8"/>
      <c r="H836" s="9"/>
    </row>
    <row r="837">
      <c r="A837" s="4"/>
      <c r="C837" s="4"/>
      <c r="D837" s="4"/>
      <c r="E837" s="8"/>
      <c r="F837" s="8"/>
      <c r="G837" s="8"/>
      <c r="H837" s="9"/>
    </row>
    <row r="838">
      <c r="A838" s="4"/>
      <c r="C838" s="4"/>
      <c r="D838" s="4"/>
      <c r="E838" s="8"/>
      <c r="F838" s="8"/>
      <c r="G838" s="8"/>
      <c r="H838" s="9"/>
    </row>
    <row r="839">
      <c r="A839" s="4"/>
      <c r="C839" s="4"/>
      <c r="D839" s="4"/>
      <c r="E839" s="8"/>
      <c r="F839" s="8"/>
      <c r="G839" s="8"/>
      <c r="H839" s="9"/>
    </row>
    <row r="840">
      <c r="A840" s="4"/>
      <c r="C840" s="4"/>
      <c r="D840" s="4"/>
      <c r="E840" s="8"/>
      <c r="F840" s="8"/>
      <c r="G840" s="8"/>
      <c r="H840" s="9"/>
    </row>
    <row r="841">
      <c r="A841" s="4"/>
      <c r="C841" s="4"/>
      <c r="D841" s="4"/>
      <c r="E841" s="8"/>
      <c r="F841" s="8"/>
      <c r="G841" s="8"/>
      <c r="H841" s="9"/>
    </row>
    <row r="842">
      <c r="A842" s="4"/>
      <c r="C842" s="4"/>
      <c r="D842" s="4"/>
      <c r="E842" s="8"/>
      <c r="F842" s="8"/>
      <c r="G842" s="8"/>
      <c r="H842" s="9"/>
    </row>
    <row r="843">
      <c r="A843" s="4"/>
      <c r="C843" s="4"/>
      <c r="D843" s="4"/>
      <c r="E843" s="8"/>
      <c r="F843" s="8"/>
      <c r="G843" s="8"/>
      <c r="H843" s="9"/>
    </row>
    <row r="844">
      <c r="A844" s="4"/>
      <c r="C844" s="4"/>
      <c r="D844" s="4"/>
      <c r="E844" s="8"/>
      <c r="F844" s="8"/>
      <c r="G844" s="8"/>
      <c r="H844" s="9"/>
    </row>
    <row r="845">
      <c r="A845" s="4"/>
      <c r="C845" s="4"/>
      <c r="D845" s="4"/>
      <c r="E845" s="8"/>
      <c r="F845" s="8"/>
      <c r="G845" s="8"/>
      <c r="H845" s="9"/>
    </row>
    <row r="846">
      <c r="A846" s="4"/>
      <c r="C846" s="4"/>
      <c r="D846" s="4"/>
      <c r="E846" s="8"/>
      <c r="F846" s="8"/>
      <c r="G846" s="8"/>
      <c r="H846" s="9"/>
    </row>
    <row r="847">
      <c r="A847" s="4"/>
      <c r="C847" s="4"/>
      <c r="D847" s="4"/>
      <c r="E847" s="8"/>
      <c r="F847" s="8"/>
      <c r="G847" s="8"/>
      <c r="H847" s="9"/>
    </row>
    <row r="848">
      <c r="A848" s="4"/>
      <c r="C848" s="4"/>
      <c r="D848" s="4"/>
      <c r="E848" s="8"/>
      <c r="F848" s="8"/>
      <c r="G848" s="8"/>
      <c r="H848" s="9"/>
    </row>
    <row r="849">
      <c r="A849" s="4"/>
      <c r="C849" s="4"/>
      <c r="D849" s="4"/>
      <c r="E849" s="8"/>
      <c r="F849" s="8"/>
      <c r="G849" s="8"/>
      <c r="H849" s="9"/>
    </row>
    <row r="850">
      <c r="A850" s="4"/>
      <c r="C850" s="4"/>
      <c r="D850" s="4"/>
      <c r="E850" s="8"/>
      <c r="F850" s="8"/>
      <c r="G850" s="8"/>
      <c r="H850" s="9"/>
    </row>
    <row r="851">
      <c r="A851" s="4"/>
      <c r="C851" s="4"/>
      <c r="D851" s="4"/>
      <c r="E851" s="8"/>
      <c r="F851" s="8"/>
      <c r="G851" s="8"/>
      <c r="H851" s="9"/>
    </row>
    <row r="852">
      <c r="A852" s="4"/>
      <c r="C852" s="4"/>
      <c r="D852" s="4"/>
      <c r="E852" s="8"/>
      <c r="F852" s="8"/>
      <c r="G852" s="8"/>
      <c r="H852" s="9"/>
    </row>
    <row r="853">
      <c r="A853" s="4"/>
      <c r="C853" s="4"/>
      <c r="D853" s="4"/>
      <c r="E853" s="8"/>
      <c r="F853" s="8"/>
      <c r="G853" s="8"/>
      <c r="H853" s="9"/>
    </row>
    <row r="854">
      <c r="A854" s="4"/>
      <c r="C854" s="4"/>
      <c r="D854" s="4"/>
      <c r="E854" s="8"/>
      <c r="F854" s="8"/>
      <c r="G854" s="8"/>
      <c r="H854" s="9"/>
    </row>
    <row r="855">
      <c r="A855" s="4"/>
      <c r="C855" s="4"/>
      <c r="D855" s="4"/>
      <c r="E855" s="8"/>
      <c r="F855" s="8"/>
      <c r="G855" s="8"/>
      <c r="H855" s="9"/>
    </row>
    <row r="856">
      <c r="A856" s="4"/>
      <c r="C856" s="4"/>
      <c r="D856" s="4"/>
      <c r="E856" s="8"/>
      <c r="F856" s="8"/>
      <c r="G856" s="8"/>
      <c r="H856" s="9"/>
    </row>
    <row r="857">
      <c r="A857" s="4"/>
      <c r="C857" s="4"/>
      <c r="D857" s="4"/>
      <c r="E857" s="8"/>
      <c r="F857" s="8"/>
      <c r="G857" s="8"/>
      <c r="H857" s="9"/>
    </row>
    <row r="858">
      <c r="A858" s="4"/>
      <c r="C858" s="4"/>
      <c r="D858" s="4"/>
      <c r="E858" s="8"/>
      <c r="F858" s="8"/>
      <c r="G858" s="8"/>
      <c r="H858" s="9"/>
    </row>
    <row r="859">
      <c r="A859" s="4"/>
      <c r="C859" s="4"/>
      <c r="D859" s="4"/>
      <c r="E859" s="8"/>
      <c r="F859" s="8"/>
      <c r="G859" s="8"/>
      <c r="H859" s="9"/>
    </row>
    <row r="860">
      <c r="A860" s="4"/>
      <c r="C860" s="4"/>
      <c r="D860" s="4"/>
      <c r="E860" s="8"/>
      <c r="F860" s="8"/>
      <c r="G860" s="8"/>
      <c r="H860" s="9"/>
    </row>
    <row r="861">
      <c r="A861" s="4"/>
      <c r="C861" s="4"/>
      <c r="D861" s="4"/>
      <c r="E861" s="8"/>
      <c r="F861" s="8"/>
      <c r="G861" s="8"/>
      <c r="H861" s="9"/>
    </row>
    <row r="862">
      <c r="A862" s="4"/>
      <c r="C862" s="4"/>
      <c r="D862" s="4"/>
      <c r="E862" s="8"/>
      <c r="F862" s="8"/>
      <c r="G862" s="8"/>
      <c r="H862" s="9"/>
    </row>
    <row r="863">
      <c r="A863" s="4"/>
      <c r="C863" s="4"/>
      <c r="D863" s="4"/>
      <c r="E863" s="8"/>
      <c r="F863" s="8"/>
      <c r="G863" s="8"/>
      <c r="H863" s="9"/>
    </row>
    <row r="864">
      <c r="A864" s="4"/>
      <c r="C864" s="4"/>
      <c r="D864" s="4"/>
      <c r="E864" s="8"/>
      <c r="F864" s="8"/>
      <c r="G864" s="8"/>
      <c r="H864" s="9"/>
    </row>
    <row r="865">
      <c r="A865" s="4"/>
      <c r="C865" s="4"/>
      <c r="D865" s="4"/>
      <c r="E865" s="8"/>
      <c r="F865" s="8"/>
      <c r="G865" s="8"/>
      <c r="H865" s="9"/>
    </row>
    <row r="866">
      <c r="A866" s="4"/>
      <c r="C866" s="4"/>
      <c r="D866" s="4"/>
      <c r="E866" s="8"/>
      <c r="F866" s="8"/>
      <c r="G866" s="8"/>
      <c r="H866" s="9"/>
    </row>
    <row r="867">
      <c r="A867" s="4"/>
      <c r="C867" s="4"/>
      <c r="D867" s="4"/>
      <c r="E867" s="8"/>
      <c r="F867" s="8"/>
      <c r="G867" s="8"/>
      <c r="H867" s="9"/>
    </row>
    <row r="868">
      <c r="A868" s="4"/>
      <c r="C868" s="4"/>
      <c r="D868" s="4"/>
      <c r="E868" s="8"/>
      <c r="F868" s="8"/>
      <c r="G868" s="8"/>
      <c r="H868" s="9"/>
    </row>
    <row r="869">
      <c r="A869" s="4"/>
      <c r="C869" s="4"/>
      <c r="D869" s="4"/>
      <c r="E869" s="8"/>
      <c r="F869" s="8"/>
      <c r="G869" s="8"/>
      <c r="H869" s="9"/>
    </row>
    <row r="870">
      <c r="A870" s="4"/>
      <c r="C870" s="4"/>
      <c r="D870" s="4"/>
      <c r="E870" s="8"/>
      <c r="F870" s="8"/>
      <c r="G870" s="8"/>
      <c r="H870" s="9"/>
    </row>
    <row r="871">
      <c r="A871" s="4"/>
      <c r="C871" s="4"/>
      <c r="D871" s="4"/>
      <c r="E871" s="8"/>
      <c r="F871" s="8"/>
      <c r="G871" s="8"/>
      <c r="H871" s="9"/>
    </row>
    <row r="872">
      <c r="A872" s="4"/>
      <c r="C872" s="4"/>
      <c r="D872" s="4"/>
      <c r="E872" s="8"/>
      <c r="F872" s="8"/>
      <c r="G872" s="8"/>
      <c r="H872" s="9"/>
    </row>
    <row r="873">
      <c r="A873" s="4"/>
      <c r="C873" s="4"/>
      <c r="D873" s="4"/>
      <c r="E873" s="8"/>
      <c r="F873" s="8"/>
      <c r="G873" s="8"/>
      <c r="H873" s="9"/>
    </row>
    <row r="874">
      <c r="A874" s="4"/>
      <c r="C874" s="4"/>
      <c r="D874" s="4"/>
      <c r="E874" s="8"/>
      <c r="F874" s="8"/>
      <c r="G874" s="8"/>
      <c r="H874" s="9"/>
    </row>
    <row r="875">
      <c r="A875" s="4"/>
      <c r="C875" s="4"/>
      <c r="D875" s="4"/>
      <c r="E875" s="8"/>
      <c r="F875" s="8"/>
      <c r="G875" s="8"/>
      <c r="H875" s="9"/>
    </row>
    <row r="876">
      <c r="A876" s="4"/>
      <c r="C876" s="4"/>
      <c r="D876" s="4"/>
      <c r="E876" s="8"/>
      <c r="F876" s="8"/>
      <c r="G876" s="8"/>
      <c r="H876" s="9"/>
    </row>
    <row r="877">
      <c r="A877" s="4"/>
      <c r="C877" s="4"/>
      <c r="D877" s="4"/>
      <c r="E877" s="8"/>
      <c r="F877" s="8"/>
      <c r="G877" s="8"/>
      <c r="H877" s="9"/>
    </row>
    <row r="878">
      <c r="A878" s="4"/>
      <c r="C878" s="4"/>
      <c r="D878" s="4"/>
      <c r="E878" s="8"/>
      <c r="F878" s="8"/>
      <c r="G878" s="8"/>
      <c r="H878" s="9"/>
    </row>
    <row r="879">
      <c r="A879" s="4"/>
      <c r="C879" s="4"/>
      <c r="D879" s="4"/>
      <c r="E879" s="8"/>
      <c r="F879" s="8"/>
      <c r="G879" s="8"/>
      <c r="H879" s="9"/>
    </row>
    <row r="880">
      <c r="A880" s="4"/>
      <c r="C880" s="4"/>
      <c r="D880" s="4"/>
      <c r="E880" s="8"/>
      <c r="F880" s="8"/>
      <c r="G880" s="8"/>
      <c r="H880" s="9"/>
    </row>
    <row r="881">
      <c r="A881" s="4"/>
      <c r="C881" s="4"/>
      <c r="D881" s="4"/>
      <c r="E881" s="8"/>
      <c r="F881" s="8"/>
      <c r="G881" s="8"/>
      <c r="H881" s="9"/>
    </row>
    <row r="882">
      <c r="A882" s="4"/>
      <c r="C882" s="4"/>
      <c r="D882" s="4"/>
      <c r="E882" s="8"/>
      <c r="F882" s="8"/>
      <c r="G882" s="8"/>
      <c r="H882" s="9"/>
    </row>
    <row r="883">
      <c r="A883" s="4"/>
      <c r="C883" s="4"/>
      <c r="D883" s="4"/>
      <c r="E883" s="8"/>
      <c r="F883" s="8"/>
      <c r="G883" s="8"/>
      <c r="H883" s="9"/>
    </row>
    <row r="884">
      <c r="A884" s="4"/>
      <c r="C884" s="4"/>
      <c r="D884" s="4"/>
      <c r="E884" s="8"/>
      <c r="F884" s="8"/>
      <c r="G884" s="8"/>
      <c r="H884" s="9"/>
    </row>
    <row r="885">
      <c r="A885" s="4"/>
      <c r="C885" s="4"/>
      <c r="D885" s="4"/>
      <c r="E885" s="8"/>
      <c r="F885" s="8"/>
      <c r="G885" s="8"/>
      <c r="H885" s="9"/>
    </row>
    <row r="886">
      <c r="A886" s="4"/>
      <c r="C886" s="4"/>
      <c r="D886" s="4"/>
      <c r="E886" s="8"/>
      <c r="F886" s="8"/>
      <c r="G886" s="8"/>
      <c r="H886" s="9"/>
    </row>
    <row r="887">
      <c r="A887" s="4"/>
      <c r="C887" s="4"/>
      <c r="D887" s="4"/>
      <c r="E887" s="8"/>
      <c r="F887" s="8"/>
      <c r="G887" s="8"/>
      <c r="H887" s="9"/>
    </row>
    <row r="888">
      <c r="A888" s="4"/>
      <c r="C888" s="4"/>
      <c r="D888" s="4"/>
      <c r="E888" s="8"/>
      <c r="F888" s="8"/>
      <c r="G888" s="8"/>
      <c r="H888" s="9"/>
    </row>
    <row r="889">
      <c r="A889" s="4"/>
      <c r="C889" s="4"/>
      <c r="D889" s="4"/>
      <c r="E889" s="8"/>
      <c r="F889" s="8"/>
      <c r="G889" s="8"/>
      <c r="H889" s="9"/>
    </row>
    <row r="890">
      <c r="A890" s="4"/>
      <c r="C890" s="4"/>
      <c r="D890" s="4"/>
      <c r="E890" s="8"/>
      <c r="F890" s="8"/>
      <c r="G890" s="8"/>
      <c r="H890" s="9"/>
    </row>
    <row r="891">
      <c r="A891" s="4"/>
      <c r="C891" s="4"/>
      <c r="D891" s="4"/>
      <c r="E891" s="8"/>
      <c r="F891" s="8"/>
      <c r="G891" s="8"/>
      <c r="H891" s="9"/>
    </row>
    <row r="892">
      <c r="A892" s="4"/>
      <c r="C892" s="4"/>
      <c r="D892" s="4"/>
      <c r="E892" s="8"/>
      <c r="F892" s="8"/>
      <c r="G892" s="8"/>
      <c r="H892" s="9"/>
    </row>
    <row r="893">
      <c r="A893" s="4"/>
      <c r="C893" s="4"/>
      <c r="D893" s="4"/>
      <c r="E893" s="8"/>
      <c r="F893" s="8"/>
      <c r="G893" s="8"/>
      <c r="H893" s="9"/>
    </row>
    <row r="894">
      <c r="A894" s="4"/>
      <c r="C894" s="4"/>
      <c r="D894" s="4"/>
      <c r="E894" s="8"/>
      <c r="F894" s="8"/>
      <c r="G894" s="8"/>
      <c r="H894" s="9"/>
    </row>
    <row r="895">
      <c r="A895" s="4"/>
      <c r="C895" s="4"/>
      <c r="D895" s="4"/>
      <c r="E895" s="8"/>
      <c r="F895" s="8"/>
      <c r="G895" s="8"/>
      <c r="H895" s="9"/>
    </row>
    <row r="896">
      <c r="A896" s="4"/>
      <c r="C896" s="4"/>
      <c r="D896" s="4"/>
      <c r="E896" s="8"/>
      <c r="F896" s="8"/>
      <c r="G896" s="8"/>
      <c r="H896" s="9"/>
    </row>
    <row r="897">
      <c r="A897" s="4"/>
      <c r="C897" s="4"/>
      <c r="D897" s="4"/>
      <c r="E897" s="8"/>
      <c r="F897" s="8"/>
      <c r="G897" s="8"/>
      <c r="H897" s="9"/>
    </row>
    <row r="898">
      <c r="A898" s="4"/>
      <c r="C898" s="4"/>
      <c r="D898" s="4"/>
      <c r="E898" s="8"/>
      <c r="F898" s="8"/>
      <c r="G898" s="8"/>
      <c r="H898" s="9"/>
    </row>
    <row r="899">
      <c r="A899" s="4"/>
      <c r="C899" s="4"/>
      <c r="D899" s="4"/>
      <c r="E899" s="8"/>
      <c r="F899" s="8"/>
      <c r="G899" s="8"/>
      <c r="H899" s="9"/>
    </row>
    <row r="900">
      <c r="A900" s="4"/>
      <c r="C900" s="4"/>
      <c r="D900" s="4"/>
      <c r="E900" s="8"/>
      <c r="F900" s="8"/>
      <c r="G900" s="8"/>
      <c r="H900" s="9"/>
    </row>
    <row r="901">
      <c r="A901" s="4"/>
      <c r="C901" s="4"/>
      <c r="D901" s="4"/>
      <c r="E901" s="8"/>
      <c r="F901" s="8"/>
      <c r="G901" s="8"/>
      <c r="H901" s="9"/>
    </row>
    <row r="902">
      <c r="A902" s="4"/>
      <c r="C902" s="4"/>
      <c r="D902" s="4"/>
      <c r="E902" s="8"/>
      <c r="F902" s="8"/>
      <c r="G902" s="8"/>
      <c r="H902" s="9"/>
    </row>
    <row r="903">
      <c r="A903" s="4"/>
      <c r="C903" s="4"/>
      <c r="D903" s="4"/>
      <c r="E903" s="8"/>
      <c r="F903" s="8"/>
      <c r="G903" s="8"/>
      <c r="H903" s="9"/>
    </row>
    <row r="904">
      <c r="A904" s="4"/>
      <c r="C904" s="4"/>
      <c r="D904" s="4"/>
      <c r="E904" s="8"/>
      <c r="F904" s="8"/>
      <c r="G904" s="8"/>
      <c r="H904" s="9"/>
    </row>
    <row r="905">
      <c r="A905" s="4"/>
      <c r="C905" s="4"/>
      <c r="D905" s="4"/>
      <c r="E905" s="8"/>
      <c r="F905" s="8"/>
      <c r="G905" s="8"/>
      <c r="H905" s="9"/>
    </row>
    <row r="906">
      <c r="A906" s="4"/>
      <c r="C906" s="4"/>
      <c r="D906" s="4"/>
      <c r="E906" s="8"/>
      <c r="F906" s="8"/>
      <c r="G906" s="8"/>
      <c r="H906" s="9"/>
    </row>
    <row r="907">
      <c r="A907" s="4"/>
      <c r="C907" s="4"/>
      <c r="D907" s="4"/>
      <c r="E907" s="8"/>
      <c r="F907" s="8"/>
      <c r="G907" s="8"/>
      <c r="H907" s="9"/>
    </row>
    <row r="908">
      <c r="A908" s="4"/>
      <c r="C908" s="4"/>
      <c r="D908" s="4"/>
      <c r="E908" s="8"/>
      <c r="F908" s="8"/>
      <c r="G908" s="8"/>
      <c r="H908" s="9"/>
    </row>
    <row r="909">
      <c r="A909" s="4"/>
      <c r="C909" s="4"/>
      <c r="D909" s="4"/>
      <c r="E909" s="8"/>
      <c r="F909" s="8"/>
      <c r="G909" s="8"/>
      <c r="H909" s="9"/>
    </row>
    <row r="910">
      <c r="A910" s="4"/>
      <c r="C910" s="4"/>
      <c r="D910" s="4"/>
      <c r="E910" s="8"/>
      <c r="F910" s="8"/>
      <c r="G910" s="8"/>
      <c r="H910" s="9"/>
    </row>
    <row r="911">
      <c r="A911" s="4"/>
      <c r="C911" s="4"/>
      <c r="D911" s="4"/>
      <c r="E911" s="8"/>
      <c r="F911" s="8"/>
      <c r="G911" s="8"/>
      <c r="H911" s="9"/>
    </row>
    <row r="912">
      <c r="A912" s="4"/>
      <c r="C912" s="4"/>
      <c r="D912" s="4"/>
      <c r="E912" s="8"/>
      <c r="F912" s="8"/>
      <c r="G912" s="8"/>
      <c r="H912" s="9"/>
    </row>
    <row r="913">
      <c r="A913" s="4"/>
      <c r="C913" s="4"/>
      <c r="D913" s="4"/>
      <c r="E913" s="8"/>
      <c r="F913" s="8"/>
      <c r="G913" s="8"/>
      <c r="H913" s="9"/>
    </row>
    <row r="914">
      <c r="A914" s="4"/>
      <c r="C914" s="4"/>
      <c r="D914" s="4"/>
      <c r="E914" s="8"/>
      <c r="F914" s="8"/>
      <c r="G914" s="8"/>
      <c r="H914" s="9"/>
    </row>
    <row r="915">
      <c r="A915" s="4"/>
      <c r="C915" s="4"/>
      <c r="D915" s="4"/>
      <c r="E915" s="8"/>
      <c r="F915" s="8"/>
      <c r="G915" s="8"/>
      <c r="H915" s="9"/>
    </row>
    <row r="916">
      <c r="A916" s="4"/>
      <c r="C916" s="4"/>
      <c r="D916" s="4"/>
      <c r="E916" s="8"/>
      <c r="F916" s="8"/>
      <c r="G916" s="8"/>
      <c r="H916" s="9"/>
    </row>
    <row r="917">
      <c r="A917" s="4"/>
      <c r="C917" s="4"/>
      <c r="D917" s="4"/>
      <c r="E917" s="8"/>
      <c r="F917" s="8"/>
      <c r="G917" s="8"/>
      <c r="H917" s="9"/>
    </row>
    <row r="918">
      <c r="A918" s="4"/>
      <c r="C918" s="4"/>
      <c r="D918" s="4"/>
      <c r="E918" s="8"/>
      <c r="F918" s="8"/>
      <c r="G918" s="8"/>
      <c r="H918" s="9"/>
    </row>
    <row r="919">
      <c r="A919" s="4"/>
      <c r="C919" s="4"/>
      <c r="D919" s="4"/>
      <c r="E919" s="8"/>
      <c r="F919" s="8"/>
      <c r="G919" s="8"/>
      <c r="H919" s="9"/>
    </row>
    <row r="920">
      <c r="A920" s="4"/>
      <c r="C920" s="4"/>
      <c r="D920" s="4"/>
      <c r="E920" s="8"/>
      <c r="F920" s="8"/>
      <c r="G920" s="8"/>
      <c r="H920" s="9"/>
    </row>
    <row r="921">
      <c r="A921" s="4"/>
      <c r="C921" s="4"/>
      <c r="D921" s="4"/>
      <c r="E921" s="8"/>
      <c r="F921" s="8"/>
      <c r="G921" s="8"/>
      <c r="H921" s="9"/>
    </row>
    <row r="922">
      <c r="A922" s="4"/>
      <c r="C922" s="4"/>
      <c r="D922" s="4"/>
      <c r="E922" s="8"/>
      <c r="F922" s="8"/>
      <c r="G922" s="8"/>
      <c r="H922" s="9"/>
    </row>
    <row r="923">
      <c r="A923" s="4"/>
      <c r="C923" s="4"/>
      <c r="D923" s="4"/>
      <c r="E923" s="8"/>
      <c r="F923" s="8"/>
      <c r="G923" s="8"/>
      <c r="H923" s="9"/>
    </row>
    <row r="924">
      <c r="A924" s="4"/>
      <c r="C924" s="4"/>
      <c r="D924" s="4"/>
      <c r="E924" s="8"/>
      <c r="F924" s="8"/>
      <c r="G924" s="8"/>
      <c r="H924" s="9"/>
    </row>
    <row r="925">
      <c r="A925" s="4"/>
      <c r="C925" s="4"/>
      <c r="D925" s="4"/>
      <c r="E925" s="8"/>
      <c r="F925" s="8"/>
      <c r="G925" s="8"/>
      <c r="H925" s="9"/>
    </row>
    <row r="926">
      <c r="A926" s="4"/>
      <c r="C926" s="4"/>
      <c r="D926" s="4"/>
      <c r="E926" s="8"/>
      <c r="F926" s="8"/>
      <c r="G926" s="8"/>
      <c r="H926" s="9"/>
    </row>
    <row r="927">
      <c r="A927" s="4"/>
      <c r="C927" s="4"/>
      <c r="D927" s="4"/>
      <c r="E927" s="8"/>
      <c r="F927" s="8"/>
      <c r="G927" s="8"/>
      <c r="H927" s="9"/>
    </row>
    <row r="928">
      <c r="A928" s="4"/>
      <c r="C928" s="4"/>
      <c r="D928" s="4"/>
      <c r="E928" s="8"/>
      <c r="F928" s="8"/>
      <c r="G928" s="8"/>
      <c r="H928" s="9"/>
    </row>
    <row r="929">
      <c r="A929" s="4"/>
      <c r="C929" s="4"/>
      <c r="D929" s="4"/>
      <c r="E929" s="8"/>
      <c r="F929" s="8"/>
      <c r="G929" s="8"/>
      <c r="H929" s="9"/>
    </row>
    <row r="930">
      <c r="A930" s="4"/>
      <c r="C930" s="4"/>
      <c r="D930" s="4"/>
      <c r="E930" s="8"/>
      <c r="F930" s="8"/>
      <c r="G930" s="8"/>
      <c r="H930" s="9"/>
    </row>
    <row r="931">
      <c r="A931" s="4"/>
      <c r="C931" s="4"/>
      <c r="D931" s="4"/>
      <c r="E931" s="8"/>
      <c r="F931" s="8"/>
      <c r="G931" s="8"/>
      <c r="H931" s="9"/>
    </row>
    <row r="932">
      <c r="A932" s="4"/>
      <c r="C932" s="4"/>
      <c r="D932" s="4"/>
      <c r="E932" s="8"/>
      <c r="F932" s="8"/>
      <c r="G932" s="8"/>
      <c r="H932" s="9"/>
    </row>
    <row r="933">
      <c r="A933" s="4"/>
      <c r="C933" s="4"/>
      <c r="D933" s="4"/>
      <c r="E933" s="8"/>
      <c r="F933" s="8"/>
      <c r="G933" s="8"/>
      <c r="H933" s="9"/>
    </row>
    <row r="934">
      <c r="A934" s="4"/>
      <c r="C934" s="4"/>
      <c r="D934" s="4"/>
      <c r="E934" s="8"/>
      <c r="F934" s="8"/>
      <c r="G934" s="8"/>
      <c r="H934" s="9"/>
    </row>
    <row r="935">
      <c r="A935" s="4"/>
      <c r="C935" s="4"/>
      <c r="D935" s="4"/>
      <c r="E935" s="8"/>
      <c r="F935" s="8"/>
      <c r="G935" s="8"/>
      <c r="H935" s="9"/>
    </row>
    <row r="936">
      <c r="A936" s="4"/>
      <c r="C936" s="4"/>
      <c r="D936" s="4"/>
      <c r="E936" s="8"/>
      <c r="F936" s="8"/>
      <c r="G936" s="8"/>
      <c r="H936" s="9"/>
    </row>
    <row r="937">
      <c r="A937" s="4"/>
      <c r="C937" s="4"/>
      <c r="D937" s="4"/>
      <c r="E937" s="8"/>
      <c r="F937" s="8"/>
      <c r="G937" s="8"/>
      <c r="H937" s="9"/>
    </row>
    <row r="938">
      <c r="A938" s="4"/>
      <c r="C938" s="4"/>
      <c r="D938" s="4"/>
      <c r="E938" s="8"/>
      <c r="F938" s="8"/>
      <c r="G938" s="8"/>
      <c r="H938" s="9"/>
    </row>
    <row r="939">
      <c r="A939" s="4"/>
      <c r="C939" s="4"/>
      <c r="D939" s="4"/>
      <c r="E939" s="8"/>
      <c r="F939" s="8"/>
      <c r="G939" s="8"/>
      <c r="H939" s="9"/>
    </row>
    <row r="940">
      <c r="A940" s="4"/>
      <c r="C940" s="4"/>
      <c r="D940" s="4"/>
      <c r="E940" s="8"/>
      <c r="F940" s="8"/>
      <c r="G940" s="8"/>
      <c r="H940" s="9"/>
    </row>
    <row r="941">
      <c r="A941" s="4"/>
      <c r="C941" s="4"/>
      <c r="D941" s="4"/>
      <c r="E941" s="8"/>
      <c r="F941" s="8"/>
      <c r="G941" s="8"/>
      <c r="H941" s="9"/>
    </row>
    <row r="942">
      <c r="A942" s="4"/>
      <c r="C942" s="4"/>
      <c r="D942" s="4"/>
      <c r="E942" s="8"/>
      <c r="F942" s="8"/>
      <c r="G942" s="8"/>
      <c r="H942" s="9"/>
    </row>
    <row r="943">
      <c r="A943" s="4"/>
      <c r="C943" s="4"/>
      <c r="D943" s="4"/>
      <c r="E943" s="8"/>
      <c r="F943" s="8"/>
      <c r="G943" s="8"/>
      <c r="H943" s="9"/>
    </row>
    <row r="944">
      <c r="A944" s="4"/>
      <c r="C944" s="4"/>
      <c r="D944" s="4"/>
      <c r="E944" s="8"/>
      <c r="F944" s="8"/>
      <c r="G944" s="8"/>
      <c r="H944" s="9"/>
    </row>
    <row r="945">
      <c r="A945" s="4"/>
      <c r="C945" s="4"/>
      <c r="D945" s="4"/>
      <c r="E945" s="8"/>
      <c r="F945" s="8"/>
      <c r="G945" s="8"/>
      <c r="H945" s="9"/>
    </row>
    <row r="946">
      <c r="A946" s="4"/>
      <c r="C946" s="4"/>
      <c r="D946" s="4"/>
      <c r="E946" s="8"/>
      <c r="F946" s="8"/>
      <c r="G946" s="8"/>
      <c r="H946" s="9"/>
    </row>
    <row r="947">
      <c r="A947" s="4"/>
      <c r="C947" s="4"/>
      <c r="D947" s="4"/>
      <c r="E947" s="8"/>
      <c r="F947" s="8"/>
      <c r="G947" s="8"/>
      <c r="H947" s="9"/>
    </row>
    <row r="948">
      <c r="A948" s="4"/>
      <c r="C948" s="4"/>
      <c r="D948" s="4"/>
      <c r="E948" s="8"/>
      <c r="F948" s="8"/>
      <c r="G948" s="8"/>
      <c r="H948" s="9"/>
    </row>
    <row r="949">
      <c r="A949" s="4"/>
      <c r="C949" s="4"/>
      <c r="D949" s="4"/>
      <c r="E949" s="8"/>
      <c r="F949" s="8"/>
      <c r="G949" s="8"/>
      <c r="H949" s="9"/>
    </row>
    <row r="950">
      <c r="A950" s="4"/>
      <c r="C950" s="4"/>
      <c r="D950" s="4"/>
      <c r="E950" s="8"/>
      <c r="F950" s="8"/>
      <c r="G950" s="8"/>
      <c r="H950" s="9"/>
    </row>
    <row r="951">
      <c r="A951" s="4"/>
      <c r="C951" s="4"/>
      <c r="D951" s="4"/>
      <c r="E951" s="8"/>
      <c r="F951" s="8"/>
      <c r="G951" s="8"/>
      <c r="H951" s="9"/>
    </row>
    <row r="952">
      <c r="A952" s="4"/>
      <c r="C952" s="4"/>
      <c r="D952" s="4"/>
      <c r="E952" s="8"/>
      <c r="F952" s="8"/>
      <c r="G952" s="8"/>
      <c r="H952" s="9"/>
    </row>
    <row r="953">
      <c r="A953" s="4"/>
      <c r="C953" s="4"/>
      <c r="D953" s="4"/>
      <c r="E953" s="8"/>
      <c r="F953" s="8"/>
      <c r="G953" s="8"/>
      <c r="H953" s="9"/>
    </row>
    <row r="954">
      <c r="A954" s="4"/>
      <c r="C954" s="4"/>
      <c r="D954" s="4"/>
      <c r="E954" s="8"/>
      <c r="F954" s="8"/>
      <c r="G954" s="8"/>
      <c r="H954" s="9"/>
    </row>
    <row r="955">
      <c r="A955" s="4"/>
      <c r="C955" s="4"/>
      <c r="D955" s="4"/>
      <c r="E955" s="8"/>
      <c r="F955" s="8"/>
      <c r="G955" s="8"/>
      <c r="H955" s="9"/>
    </row>
    <row r="956">
      <c r="A956" s="4"/>
      <c r="C956" s="4"/>
      <c r="D956" s="4"/>
      <c r="E956" s="8"/>
      <c r="F956" s="8"/>
      <c r="G956" s="8"/>
      <c r="H956" s="9"/>
    </row>
    <row r="957">
      <c r="A957" s="4"/>
      <c r="C957" s="4"/>
      <c r="D957" s="4"/>
      <c r="E957" s="8"/>
      <c r="F957" s="8"/>
      <c r="G957" s="8"/>
      <c r="H957" s="9"/>
    </row>
    <row r="958">
      <c r="A958" s="4"/>
      <c r="C958" s="4"/>
      <c r="D958" s="4"/>
      <c r="E958" s="8"/>
      <c r="F958" s="8"/>
      <c r="G958" s="8"/>
      <c r="H958" s="9"/>
    </row>
    <row r="959">
      <c r="A959" s="4"/>
      <c r="C959" s="4"/>
      <c r="D959" s="4"/>
      <c r="E959" s="8"/>
      <c r="F959" s="8"/>
      <c r="G959" s="8"/>
      <c r="H959" s="9"/>
    </row>
    <row r="960">
      <c r="A960" s="4"/>
      <c r="C960" s="4"/>
      <c r="D960" s="4"/>
      <c r="E960" s="8"/>
      <c r="F960" s="8"/>
      <c r="G960" s="8"/>
      <c r="H960" s="9"/>
    </row>
    <row r="961">
      <c r="A961" s="4"/>
      <c r="C961" s="4"/>
      <c r="D961" s="4"/>
      <c r="E961" s="8"/>
      <c r="F961" s="8"/>
      <c r="G961" s="8"/>
      <c r="H961" s="9"/>
    </row>
    <row r="962">
      <c r="A962" s="4"/>
      <c r="C962" s="4"/>
      <c r="D962" s="4"/>
      <c r="E962" s="8"/>
      <c r="F962" s="8"/>
      <c r="G962" s="8"/>
      <c r="H962" s="9"/>
    </row>
    <row r="963">
      <c r="A963" s="4"/>
      <c r="C963" s="4"/>
      <c r="D963" s="4"/>
      <c r="E963" s="8"/>
      <c r="F963" s="8"/>
      <c r="G963" s="8"/>
      <c r="H963" s="9"/>
    </row>
    <row r="964">
      <c r="A964" s="4"/>
      <c r="C964" s="4"/>
      <c r="D964" s="4"/>
      <c r="E964" s="8"/>
      <c r="F964" s="8"/>
      <c r="G964" s="8"/>
      <c r="H964" s="9"/>
    </row>
    <row r="965">
      <c r="A965" s="4"/>
      <c r="C965" s="4"/>
      <c r="D965" s="4"/>
      <c r="E965" s="8"/>
      <c r="F965" s="8"/>
      <c r="G965" s="8"/>
      <c r="H965" s="9"/>
    </row>
    <row r="966">
      <c r="A966" s="4"/>
      <c r="C966" s="4"/>
      <c r="D966" s="4"/>
      <c r="E966" s="8"/>
      <c r="F966" s="8"/>
      <c r="G966" s="8"/>
      <c r="H966" s="9"/>
    </row>
    <row r="967">
      <c r="A967" s="4"/>
      <c r="C967" s="4"/>
      <c r="D967" s="4"/>
      <c r="E967" s="8"/>
      <c r="F967" s="8"/>
      <c r="G967" s="8"/>
      <c r="H967" s="9"/>
    </row>
    <row r="968">
      <c r="A968" s="4"/>
      <c r="C968" s="4"/>
      <c r="D968" s="4"/>
      <c r="E968" s="8"/>
      <c r="F968" s="8"/>
      <c r="G968" s="8"/>
      <c r="H968" s="9"/>
    </row>
    <row r="969">
      <c r="A969" s="4"/>
      <c r="C969" s="4"/>
      <c r="D969" s="4"/>
      <c r="E969" s="8"/>
      <c r="F969" s="8"/>
      <c r="G969" s="8"/>
      <c r="H969" s="9"/>
    </row>
    <row r="970">
      <c r="A970" s="4"/>
      <c r="C970" s="4"/>
      <c r="D970" s="4"/>
      <c r="E970" s="8"/>
      <c r="F970" s="8"/>
      <c r="G970" s="8"/>
      <c r="H970" s="9"/>
    </row>
    <row r="971">
      <c r="A971" s="4"/>
      <c r="C971" s="4"/>
      <c r="D971" s="4"/>
      <c r="E971" s="8"/>
      <c r="F971" s="8"/>
      <c r="G971" s="8"/>
      <c r="H971" s="9"/>
    </row>
    <row r="972">
      <c r="A972" s="4"/>
      <c r="C972" s="4"/>
      <c r="D972" s="4"/>
      <c r="E972" s="8"/>
      <c r="F972" s="8"/>
      <c r="G972" s="8"/>
      <c r="H972" s="9"/>
    </row>
    <row r="973">
      <c r="A973" s="4"/>
      <c r="C973" s="4"/>
      <c r="D973" s="4"/>
      <c r="E973" s="8"/>
      <c r="F973" s="8"/>
      <c r="G973" s="8"/>
      <c r="H973" s="9"/>
    </row>
    <row r="974">
      <c r="A974" s="4"/>
      <c r="C974" s="4"/>
      <c r="D974" s="4"/>
      <c r="E974" s="8"/>
      <c r="F974" s="8"/>
      <c r="G974" s="8"/>
      <c r="H974" s="9"/>
    </row>
    <row r="975">
      <c r="A975" s="4"/>
      <c r="C975" s="4"/>
      <c r="D975" s="4"/>
      <c r="E975" s="8"/>
      <c r="F975" s="8"/>
      <c r="G975" s="8"/>
      <c r="H975" s="9"/>
    </row>
    <row r="976">
      <c r="A976" s="4"/>
      <c r="C976" s="4"/>
      <c r="D976" s="4"/>
      <c r="E976" s="8"/>
      <c r="F976" s="8"/>
      <c r="G976" s="8"/>
      <c r="H976" s="9"/>
    </row>
    <row r="977">
      <c r="A977" s="4"/>
      <c r="C977" s="4"/>
      <c r="D977" s="4"/>
      <c r="E977" s="8"/>
      <c r="F977" s="8"/>
      <c r="G977" s="8"/>
      <c r="H977" s="9"/>
    </row>
    <row r="978">
      <c r="A978" s="4"/>
      <c r="C978" s="4"/>
      <c r="D978" s="4"/>
      <c r="E978" s="8"/>
      <c r="F978" s="8"/>
      <c r="G978" s="8"/>
      <c r="H978" s="9"/>
    </row>
    <row r="979">
      <c r="A979" s="4"/>
      <c r="C979" s="4"/>
      <c r="D979" s="4"/>
      <c r="E979" s="8"/>
      <c r="F979" s="8"/>
      <c r="G979" s="8"/>
      <c r="H979" s="9"/>
    </row>
    <row r="980">
      <c r="A980" s="4"/>
      <c r="C980" s="4"/>
      <c r="D980" s="4"/>
      <c r="E980" s="8"/>
      <c r="F980" s="8"/>
      <c r="G980" s="8"/>
      <c r="H980" s="9"/>
    </row>
    <row r="981">
      <c r="A981" s="4"/>
      <c r="C981" s="4"/>
      <c r="D981" s="4"/>
      <c r="E981" s="8"/>
      <c r="F981" s="8"/>
      <c r="G981" s="8"/>
      <c r="H981" s="9"/>
    </row>
    <row r="982">
      <c r="A982" s="4"/>
      <c r="C982" s="4"/>
      <c r="D982" s="4"/>
      <c r="E982" s="8"/>
      <c r="F982" s="8"/>
      <c r="G982" s="8"/>
      <c r="H982" s="9"/>
    </row>
    <row r="983">
      <c r="A983" s="4"/>
      <c r="C983" s="4"/>
      <c r="D983" s="4"/>
      <c r="E983" s="8"/>
      <c r="F983" s="8"/>
      <c r="G983" s="8"/>
      <c r="H983" s="9"/>
    </row>
    <row r="984">
      <c r="A984" s="4"/>
      <c r="C984" s="4"/>
      <c r="D984" s="4"/>
      <c r="E984" s="8"/>
      <c r="F984" s="8"/>
      <c r="G984" s="8"/>
      <c r="H984" s="9"/>
    </row>
    <row r="985">
      <c r="A985" s="4"/>
      <c r="C985" s="4"/>
      <c r="D985" s="4"/>
      <c r="E985" s="8"/>
      <c r="F985" s="8"/>
      <c r="G985" s="8"/>
      <c r="H985" s="9"/>
    </row>
    <row r="986">
      <c r="A986" s="4"/>
      <c r="C986" s="4"/>
      <c r="D986" s="4"/>
      <c r="E986" s="8"/>
      <c r="F986" s="8"/>
      <c r="G986" s="8"/>
      <c r="H986" s="9"/>
    </row>
    <row r="987">
      <c r="A987" s="4"/>
      <c r="C987" s="4"/>
      <c r="D987" s="4"/>
      <c r="E987" s="8"/>
      <c r="F987" s="8"/>
      <c r="G987" s="8"/>
      <c r="H987" s="9"/>
    </row>
    <row r="988">
      <c r="A988" s="4"/>
      <c r="C988" s="4"/>
      <c r="D988" s="4"/>
      <c r="E988" s="8"/>
      <c r="F988" s="8"/>
      <c r="G988" s="8"/>
      <c r="H988" s="9"/>
    </row>
    <row r="989">
      <c r="A989" s="4"/>
      <c r="C989" s="4"/>
      <c r="D989" s="4"/>
      <c r="E989" s="8"/>
      <c r="F989" s="8"/>
      <c r="G989" s="8"/>
      <c r="H989" s="9"/>
    </row>
    <row r="990">
      <c r="A990" s="4"/>
      <c r="C990" s="4"/>
      <c r="D990" s="4"/>
      <c r="E990" s="8"/>
      <c r="F990" s="8"/>
      <c r="G990" s="8"/>
      <c r="H990" s="9"/>
    </row>
    <row r="991">
      <c r="A991" s="4"/>
      <c r="C991" s="4"/>
      <c r="D991" s="4"/>
      <c r="E991" s="8"/>
      <c r="F991" s="8"/>
      <c r="G991" s="8"/>
      <c r="H991" s="9"/>
    </row>
    <row r="992">
      <c r="A992" s="4"/>
      <c r="C992" s="4"/>
      <c r="D992" s="4"/>
      <c r="E992" s="8"/>
      <c r="F992" s="8"/>
      <c r="G992" s="8"/>
      <c r="H992" s="9"/>
    </row>
    <row r="993">
      <c r="A993" s="4"/>
      <c r="C993" s="4"/>
      <c r="D993" s="4"/>
      <c r="E993" s="8"/>
      <c r="F993" s="8"/>
      <c r="G993" s="8"/>
      <c r="H993" s="9"/>
    </row>
    <row r="994">
      <c r="A994" s="4"/>
      <c r="C994" s="4"/>
      <c r="D994" s="4"/>
      <c r="E994" s="8"/>
      <c r="F994" s="8"/>
      <c r="G994" s="8"/>
      <c r="H994" s="9"/>
    </row>
    <row r="995">
      <c r="A995" s="4"/>
      <c r="C995" s="4"/>
      <c r="D995" s="4"/>
      <c r="E995" s="8"/>
      <c r="F995" s="8"/>
      <c r="G995" s="8"/>
      <c r="H995" s="9"/>
    </row>
    <row r="996">
      <c r="A996" s="4"/>
      <c r="C996" s="4"/>
      <c r="D996" s="4"/>
      <c r="E996" s="8"/>
      <c r="F996" s="8"/>
      <c r="G996" s="8"/>
      <c r="H996" s="9"/>
    </row>
    <row r="997">
      <c r="A997" s="4"/>
      <c r="C997" s="4"/>
      <c r="D997" s="4"/>
      <c r="E997" s="8"/>
      <c r="F997" s="8"/>
      <c r="G997" s="8"/>
      <c r="H997" s="9"/>
    </row>
    <row r="998">
      <c r="A998" s="4"/>
      <c r="C998" s="4"/>
      <c r="D998" s="4"/>
      <c r="E998" s="8"/>
      <c r="F998" s="8"/>
      <c r="G998" s="8"/>
      <c r="H998" s="9"/>
    </row>
    <row r="999">
      <c r="A999" s="4"/>
      <c r="C999" s="4"/>
      <c r="D999" s="4"/>
      <c r="E999" s="8"/>
      <c r="F999" s="8"/>
      <c r="G999" s="8"/>
      <c r="H999" s="9"/>
    </row>
    <row r="1000">
      <c r="A1000" s="4"/>
      <c r="C1000" s="4"/>
      <c r="D1000" s="4"/>
      <c r="E1000" s="8"/>
      <c r="F1000" s="8"/>
      <c r="G1000" s="8"/>
      <c r="H1000" s="9"/>
    </row>
    <row r="1001">
      <c r="A1001" s="4"/>
      <c r="C1001" s="4"/>
      <c r="D1001" s="4"/>
      <c r="E1001" s="8"/>
      <c r="F1001" s="8"/>
      <c r="G1001" s="8"/>
      <c r="H1001" s="9"/>
    </row>
    <row r="1002">
      <c r="A1002" s="4"/>
      <c r="C1002" s="4"/>
      <c r="D1002" s="4"/>
      <c r="E1002" s="8"/>
      <c r="F1002" s="8"/>
      <c r="G1002" s="8"/>
      <c r="H1002" s="9"/>
    </row>
    <row r="1003">
      <c r="A1003" s="4"/>
      <c r="C1003" s="4"/>
      <c r="D1003" s="4"/>
      <c r="E1003" s="8"/>
      <c r="F1003" s="8"/>
      <c r="G1003" s="8"/>
      <c r="H1003" s="9"/>
    </row>
    <row r="1004">
      <c r="A1004" s="4"/>
      <c r="C1004" s="4"/>
      <c r="D1004" s="4"/>
      <c r="E1004" s="8"/>
      <c r="F1004" s="8"/>
      <c r="G1004" s="8"/>
      <c r="H1004" s="9"/>
    </row>
    <row r="1005">
      <c r="A1005" s="4"/>
      <c r="C1005" s="4"/>
      <c r="D1005" s="4"/>
      <c r="E1005" s="8"/>
      <c r="F1005" s="8"/>
      <c r="G1005" s="8"/>
      <c r="H1005" s="9"/>
    </row>
    <row r="1006">
      <c r="A1006" s="4"/>
      <c r="C1006" s="4"/>
      <c r="D1006" s="4"/>
      <c r="E1006" s="8"/>
      <c r="F1006" s="8"/>
      <c r="G1006" s="8"/>
      <c r="H1006" s="9"/>
    </row>
    <row r="1007">
      <c r="A1007" s="4"/>
      <c r="C1007" s="4"/>
      <c r="D1007" s="4"/>
      <c r="E1007" s="8"/>
      <c r="F1007" s="8"/>
      <c r="G1007" s="8"/>
      <c r="H1007" s="9"/>
    </row>
    <row r="1008">
      <c r="A1008" s="4"/>
      <c r="C1008" s="4"/>
      <c r="D1008" s="4"/>
      <c r="E1008" s="8"/>
      <c r="F1008" s="8"/>
      <c r="G1008" s="8"/>
      <c r="H1008" s="9"/>
    </row>
    <row r="1009">
      <c r="A1009" s="4"/>
      <c r="C1009" s="4"/>
      <c r="D1009" s="4"/>
      <c r="E1009" s="8"/>
      <c r="F1009" s="8"/>
      <c r="G1009" s="8"/>
      <c r="H1009" s="9"/>
    </row>
    <row r="1010">
      <c r="A1010" s="4"/>
      <c r="C1010" s="4"/>
      <c r="D1010" s="4"/>
      <c r="E1010" s="8"/>
      <c r="F1010" s="8"/>
      <c r="G1010" s="8"/>
      <c r="H1010" s="9"/>
    </row>
    <row r="1011">
      <c r="A1011" s="4"/>
      <c r="C1011" s="4"/>
      <c r="D1011" s="4"/>
      <c r="E1011" s="8"/>
      <c r="F1011" s="8"/>
      <c r="G1011" s="8"/>
      <c r="H1011" s="9"/>
    </row>
    <row r="1012">
      <c r="A1012" s="4"/>
      <c r="C1012" s="4"/>
      <c r="D1012" s="4"/>
      <c r="E1012" s="8"/>
      <c r="F1012" s="8"/>
      <c r="G1012" s="8"/>
      <c r="H1012" s="9"/>
    </row>
    <row r="1013">
      <c r="A1013" s="4"/>
      <c r="C1013" s="4"/>
      <c r="D1013" s="4"/>
      <c r="E1013" s="8"/>
      <c r="F1013" s="8"/>
      <c r="G1013" s="8"/>
      <c r="H1013" s="9"/>
    </row>
    <row r="1014">
      <c r="A1014" s="4"/>
      <c r="C1014" s="4"/>
      <c r="D1014" s="4"/>
      <c r="E1014" s="8"/>
      <c r="F1014" s="8"/>
      <c r="G1014" s="8"/>
      <c r="H1014" s="9"/>
    </row>
    <row r="1015">
      <c r="A1015" s="4"/>
      <c r="C1015" s="4"/>
      <c r="D1015" s="4"/>
      <c r="E1015" s="8"/>
      <c r="F1015" s="8"/>
      <c r="G1015" s="8"/>
      <c r="H1015" s="9"/>
    </row>
    <row r="1016">
      <c r="A1016" s="4"/>
      <c r="C1016" s="4"/>
      <c r="D1016" s="4"/>
      <c r="E1016" s="8"/>
      <c r="F1016" s="8"/>
      <c r="G1016" s="8"/>
      <c r="H1016" s="9"/>
    </row>
    <row r="1017">
      <c r="A1017" s="4"/>
      <c r="C1017" s="4"/>
      <c r="D1017" s="4"/>
      <c r="E1017" s="8"/>
      <c r="F1017" s="8"/>
      <c r="G1017" s="8"/>
      <c r="H1017" s="9"/>
    </row>
    <row r="1018">
      <c r="A1018" s="4"/>
      <c r="C1018" s="4"/>
      <c r="D1018" s="4"/>
      <c r="E1018" s="8"/>
      <c r="F1018" s="8"/>
      <c r="G1018" s="8"/>
      <c r="H1018" s="9"/>
    </row>
    <row r="1019">
      <c r="A1019" s="4"/>
      <c r="C1019" s="4"/>
      <c r="D1019" s="4"/>
      <c r="E1019" s="8"/>
      <c r="F1019" s="8"/>
      <c r="G1019" s="8"/>
      <c r="H1019" s="9"/>
    </row>
    <row r="1020">
      <c r="A1020" s="4"/>
      <c r="C1020" s="4"/>
      <c r="D1020" s="4"/>
      <c r="E1020" s="8"/>
      <c r="F1020" s="8"/>
      <c r="G1020" s="8"/>
      <c r="H1020" s="9"/>
    </row>
    <row r="1021">
      <c r="A1021" s="4"/>
      <c r="C1021" s="4"/>
      <c r="D1021" s="4"/>
      <c r="E1021" s="8"/>
      <c r="F1021" s="8"/>
      <c r="G1021" s="8"/>
      <c r="H1021" s="9"/>
    </row>
    <row r="1022">
      <c r="A1022" s="4"/>
      <c r="C1022" s="4"/>
      <c r="D1022" s="4"/>
      <c r="E1022" s="8"/>
      <c r="F1022" s="8"/>
      <c r="G1022" s="8"/>
      <c r="H1022" s="9"/>
    </row>
    <row r="1023">
      <c r="A1023" s="4"/>
      <c r="C1023" s="4"/>
      <c r="D1023" s="4"/>
      <c r="E1023" s="8"/>
      <c r="F1023" s="8"/>
      <c r="G1023" s="8"/>
      <c r="H1023" s="9"/>
    </row>
    <row r="1024">
      <c r="A1024" s="4"/>
      <c r="C1024" s="4"/>
      <c r="D1024" s="4"/>
      <c r="E1024" s="8"/>
      <c r="F1024" s="8"/>
      <c r="G1024" s="8"/>
      <c r="H1024" s="9"/>
    </row>
    <row r="1025">
      <c r="A1025" s="4"/>
      <c r="C1025" s="4"/>
      <c r="D1025" s="4"/>
      <c r="E1025" s="8"/>
      <c r="F1025" s="8"/>
      <c r="G1025" s="8"/>
      <c r="H1025" s="9"/>
    </row>
    <row r="1026">
      <c r="A1026" s="4"/>
      <c r="C1026" s="4"/>
      <c r="D1026" s="4"/>
      <c r="E1026" s="8"/>
      <c r="F1026" s="8"/>
      <c r="G1026" s="8"/>
      <c r="H1026" s="9"/>
    </row>
    <row r="1027">
      <c r="A1027" s="4"/>
      <c r="C1027" s="4"/>
      <c r="D1027" s="4"/>
      <c r="E1027" s="8"/>
      <c r="F1027" s="8"/>
      <c r="G1027" s="8"/>
      <c r="H1027" s="9"/>
    </row>
    <row r="1028">
      <c r="A1028" s="4"/>
      <c r="C1028" s="4"/>
      <c r="D1028" s="4"/>
      <c r="E1028" s="8"/>
      <c r="F1028" s="8"/>
      <c r="G1028" s="8"/>
      <c r="H1028" s="9"/>
    </row>
    <row r="1029">
      <c r="A1029" s="4"/>
      <c r="C1029" s="4"/>
      <c r="D1029" s="4"/>
      <c r="E1029" s="8"/>
      <c r="F1029" s="8"/>
      <c r="G1029" s="8"/>
      <c r="H1029" s="9"/>
    </row>
    <row r="1030">
      <c r="A1030" s="4"/>
      <c r="C1030" s="4"/>
      <c r="D1030" s="4"/>
      <c r="E1030" s="8"/>
      <c r="F1030" s="8"/>
      <c r="G1030" s="8"/>
      <c r="H1030" s="9"/>
    </row>
    <row r="1031">
      <c r="A1031" s="4"/>
      <c r="C1031" s="4"/>
      <c r="D1031" s="4"/>
      <c r="E1031" s="8"/>
      <c r="F1031" s="8"/>
      <c r="G1031" s="8"/>
      <c r="H1031" s="9"/>
    </row>
    <row r="1032">
      <c r="A1032" s="4"/>
      <c r="C1032" s="4"/>
      <c r="D1032" s="4"/>
      <c r="E1032" s="8"/>
      <c r="F1032" s="8"/>
      <c r="G1032" s="8"/>
      <c r="H1032" s="9"/>
    </row>
    <row r="1033">
      <c r="A1033" s="4"/>
      <c r="C1033" s="4"/>
      <c r="D1033" s="4"/>
      <c r="E1033" s="8"/>
      <c r="F1033" s="8"/>
      <c r="G1033" s="8"/>
      <c r="H1033" s="9"/>
    </row>
    <row r="1034">
      <c r="A1034" s="4"/>
      <c r="C1034" s="4"/>
      <c r="D1034" s="4"/>
      <c r="E1034" s="8"/>
      <c r="F1034" s="8"/>
      <c r="G1034" s="8"/>
      <c r="H1034" s="9"/>
    </row>
    <row r="1035">
      <c r="A1035" s="4"/>
      <c r="C1035" s="4"/>
      <c r="D1035" s="4"/>
      <c r="E1035" s="8"/>
      <c r="F1035" s="8"/>
      <c r="G1035" s="8"/>
      <c r="H1035" s="9"/>
    </row>
    <row r="1036">
      <c r="A1036" s="4"/>
      <c r="C1036" s="4"/>
      <c r="D1036" s="4"/>
      <c r="E1036" s="8"/>
      <c r="F1036" s="8"/>
      <c r="G1036" s="8"/>
      <c r="H1036" s="9"/>
    </row>
    <row r="1037">
      <c r="A1037" s="4"/>
      <c r="C1037" s="4"/>
      <c r="D1037" s="4"/>
      <c r="E1037" s="8"/>
      <c r="F1037" s="8"/>
      <c r="G1037" s="8"/>
      <c r="H1037" s="9"/>
    </row>
    <row r="1038">
      <c r="A1038" s="4"/>
      <c r="C1038" s="4"/>
      <c r="D1038" s="4"/>
      <c r="E1038" s="8"/>
      <c r="F1038" s="8"/>
      <c r="G1038" s="8"/>
      <c r="H1038" s="9"/>
    </row>
    <row r="1039">
      <c r="A1039" s="4"/>
      <c r="C1039" s="4"/>
      <c r="D1039" s="4"/>
      <c r="E1039" s="8"/>
      <c r="F1039" s="8"/>
      <c r="G1039" s="8"/>
      <c r="H1039" s="9"/>
    </row>
    <row r="1040">
      <c r="A1040" s="4"/>
      <c r="C1040" s="4"/>
      <c r="D1040" s="4"/>
      <c r="E1040" s="8"/>
      <c r="F1040" s="8"/>
      <c r="G1040" s="8"/>
      <c r="H1040" s="9"/>
    </row>
    <row r="1041">
      <c r="A1041" s="4"/>
      <c r="C1041" s="4"/>
      <c r="D1041" s="4"/>
      <c r="E1041" s="8"/>
      <c r="F1041" s="8"/>
      <c r="G1041" s="8"/>
      <c r="H1041" s="9"/>
    </row>
    <row r="1042">
      <c r="A1042" s="4"/>
      <c r="C1042" s="4"/>
      <c r="D1042" s="4"/>
      <c r="E1042" s="8"/>
      <c r="F1042" s="8"/>
      <c r="G1042" s="8"/>
      <c r="H1042" s="9"/>
    </row>
    <row r="1043">
      <c r="A1043" s="4"/>
      <c r="C1043" s="4"/>
      <c r="D1043" s="4"/>
      <c r="E1043" s="8"/>
      <c r="F1043" s="8"/>
      <c r="G1043" s="8"/>
      <c r="H1043" s="9"/>
    </row>
    <row r="1044">
      <c r="A1044" s="4"/>
      <c r="C1044" s="4"/>
      <c r="D1044" s="4"/>
      <c r="E1044" s="8"/>
      <c r="F1044" s="8"/>
      <c r="G1044" s="8"/>
      <c r="H1044" s="9"/>
    </row>
    <row r="1045">
      <c r="A1045" s="4"/>
      <c r="C1045" s="4"/>
      <c r="D1045" s="4"/>
      <c r="E1045" s="8"/>
      <c r="F1045" s="8"/>
      <c r="G1045" s="8"/>
      <c r="H1045" s="9"/>
    </row>
    <row r="1046">
      <c r="A1046" s="4"/>
      <c r="C1046" s="4"/>
      <c r="D1046" s="4"/>
      <c r="E1046" s="8"/>
      <c r="F1046" s="8"/>
      <c r="G1046" s="8"/>
      <c r="H1046" s="9"/>
    </row>
    <row r="1047">
      <c r="A1047" s="4"/>
      <c r="C1047" s="4"/>
      <c r="D1047" s="4"/>
      <c r="E1047" s="8"/>
      <c r="F1047" s="8"/>
      <c r="G1047" s="8"/>
      <c r="H1047" s="9"/>
    </row>
    <row r="1048">
      <c r="A1048" s="4"/>
      <c r="C1048" s="4"/>
      <c r="D1048" s="4"/>
      <c r="E1048" s="8"/>
      <c r="F1048" s="8"/>
      <c r="G1048" s="8"/>
      <c r="H1048" s="9"/>
    </row>
    <row r="1049">
      <c r="A1049" s="4"/>
      <c r="C1049" s="4"/>
      <c r="D1049" s="4"/>
      <c r="E1049" s="8"/>
      <c r="F1049" s="8"/>
      <c r="G1049" s="8"/>
      <c r="H1049" s="9"/>
    </row>
    <row r="1050">
      <c r="A1050" s="4"/>
      <c r="C1050" s="4"/>
      <c r="D1050" s="4"/>
      <c r="E1050" s="8"/>
      <c r="F1050" s="8"/>
      <c r="G1050" s="8"/>
      <c r="H1050" s="9"/>
    </row>
    <row r="1051">
      <c r="A1051" s="4"/>
      <c r="C1051" s="4"/>
      <c r="D1051" s="4"/>
      <c r="E1051" s="8"/>
      <c r="F1051" s="8"/>
      <c r="G1051" s="8"/>
      <c r="H1051" s="9"/>
    </row>
    <row r="1052">
      <c r="A1052" s="4"/>
      <c r="C1052" s="4"/>
      <c r="D1052" s="4"/>
      <c r="E1052" s="8"/>
      <c r="F1052" s="8"/>
      <c r="G1052" s="8"/>
      <c r="H1052" s="9"/>
    </row>
    <row r="1053">
      <c r="A1053" s="4"/>
      <c r="C1053" s="4"/>
      <c r="D1053" s="4"/>
      <c r="E1053" s="8"/>
      <c r="F1053" s="8"/>
      <c r="G1053" s="8"/>
      <c r="H1053" s="9"/>
    </row>
    <row r="1054">
      <c r="A1054" s="4"/>
      <c r="C1054" s="4"/>
      <c r="D1054" s="4"/>
      <c r="E1054" s="8"/>
      <c r="F1054" s="8"/>
      <c r="G1054" s="8"/>
      <c r="H1054" s="9"/>
    </row>
    <row r="1055">
      <c r="A1055" s="4"/>
      <c r="C1055" s="4"/>
      <c r="D1055" s="4"/>
      <c r="E1055" s="8"/>
      <c r="F1055" s="8"/>
      <c r="G1055" s="8"/>
      <c r="H1055" s="9"/>
    </row>
    <row r="1056">
      <c r="A1056" s="4"/>
      <c r="C1056" s="4"/>
      <c r="D1056" s="4"/>
      <c r="E1056" s="8"/>
      <c r="F1056" s="8"/>
      <c r="G1056" s="8"/>
      <c r="H1056" s="9"/>
    </row>
    <row r="1057">
      <c r="A1057" s="4"/>
      <c r="C1057" s="4"/>
      <c r="D1057" s="4"/>
      <c r="E1057" s="8"/>
      <c r="F1057" s="8"/>
      <c r="G1057" s="8"/>
      <c r="H1057" s="9"/>
    </row>
    <row r="1058">
      <c r="A1058" s="4"/>
      <c r="C1058" s="4"/>
      <c r="D1058" s="4"/>
      <c r="E1058" s="8"/>
      <c r="F1058" s="8"/>
      <c r="G1058" s="8"/>
      <c r="H1058" s="9"/>
    </row>
    <row r="1059">
      <c r="A1059" s="4"/>
      <c r="C1059" s="4"/>
      <c r="D1059" s="4"/>
      <c r="E1059" s="8"/>
      <c r="F1059" s="8"/>
      <c r="G1059" s="8"/>
      <c r="H1059" s="9"/>
    </row>
    <row r="1060">
      <c r="A1060" s="4"/>
      <c r="C1060" s="4"/>
      <c r="D1060" s="4"/>
      <c r="E1060" s="8"/>
      <c r="F1060" s="8"/>
      <c r="G1060" s="8"/>
      <c r="H1060" s="9"/>
    </row>
    <row r="1061">
      <c r="A1061" s="4"/>
      <c r="C1061" s="4"/>
      <c r="D1061" s="4"/>
      <c r="E1061" s="8"/>
      <c r="F1061" s="8"/>
      <c r="G1061" s="8"/>
      <c r="H1061" s="9"/>
    </row>
    <row r="1062">
      <c r="A1062" s="4"/>
      <c r="C1062" s="4"/>
      <c r="D1062" s="4"/>
      <c r="E1062" s="8"/>
      <c r="F1062" s="8"/>
      <c r="G1062" s="8"/>
      <c r="H1062" s="9"/>
    </row>
    <row r="1063">
      <c r="A1063" s="4"/>
      <c r="C1063" s="4"/>
      <c r="D1063" s="4"/>
      <c r="E1063" s="8"/>
      <c r="F1063" s="8"/>
      <c r="G1063" s="8"/>
      <c r="H1063" s="9"/>
    </row>
    <row r="1064">
      <c r="A1064" s="4"/>
      <c r="C1064" s="4"/>
      <c r="D1064" s="4"/>
      <c r="E1064" s="8"/>
      <c r="F1064" s="8"/>
      <c r="G1064" s="8"/>
      <c r="H1064" s="9"/>
    </row>
    <row r="1065">
      <c r="A1065" s="4"/>
      <c r="C1065" s="4"/>
      <c r="D1065" s="4"/>
      <c r="E1065" s="8"/>
      <c r="F1065" s="8"/>
      <c r="G1065" s="8"/>
      <c r="H1065" s="9"/>
    </row>
    <row r="1066">
      <c r="A1066" s="4"/>
      <c r="C1066" s="4"/>
      <c r="D1066" s="4"/>
      <c r="E1066" s="8"/>
      <c r="F1066" s="8"/>
      <c r="G1066" s="8"/>
      <c r="H1066" s="9"/>
    </row>
    <row r="1067">
      <c r="A1067" s="4"/>
      <c r="C1067" s="4"/>
      <c r="D1067" s="4"/>
      <c r="E1067" s="8"/>
      <c r="F1067" s="8"/>
      <c r="G1067" s="8"/>
      <c r="H1067" s="9"/>
    </row>
    <row r="1068">
      <c r="A1068" s="4"/>
      <c r="C1068" s="4"/>
      <c r="D1068" s="4"/>
      <c r="E1068" s="8"/>
      <c r="F1068" s="8"/>
      <c r="G1068" s="8"/>
      <c r="H1068" s="9"/>
    </row>
    <row r="1069">
      <c r="A1069" s="4"/>
      <c r="C1069" s="4"/>
      <c r="D1069" s="4"/>
      <c r="E1069" s="8"/>
      <c r="F1069" s="8"/>
      <c r="G1069" s="8"/>
      <c r="H1069" s="9"/>
    </row>
    <row r="1070">
      <c r="A1070" s="4"/>
      <c r="C1070" s="4"/>
      <c r="D1070" s="4"/>
      <c r="E1070" s="8"/>
      <c r="F1070" s="8"/>
      <c r="G1070" s="8"/>
      <c r="H1070" s="9"/>
    </row>
    <row r="1071">
      <c r="A1071" s="4"/>
      <c r="C1071" s="4"/>
      <c r="D1071" s="4"/>
      <c r="E1071" s="8"/>
      <c r="F1071" s="8"/>
      <c r="G1071" s="8"/>
      <c r="H1071" s="9"/>
    </row>
    <row r="1072">
      <c r="A1072" s="4"/>
      <c r="C1072" s="4"/>
      <c r="D1072" s="4"/>
      <c r="E1072" s="8"/>
      <c r="F1072" s="8"/>
      <c r="G1072" s="8"/>
      <c r="H1072" s="9"/>
    </row>
    <row r="1073">
      <c r="A1073" s="4"/>
      <c r="C1073" s="4"/>
      <c r="D1073" s="4"/>
      <c r="E1073" s="8"/>
      <c r="F1073" s="8"/>
      <c r="G1073" s="8"/>
      <c r="H1073" s="9"/>
    </row>
    <row r="1074">
      <c r="A1074" s="4"/>
      <c r="C1074" s="4"/>
      <c r="D1074" s="4"/>
      <c r="E1074" s="8"/>
      <c r="F1074" s="8"/>
      <c r="G1074" s="8"/>
      <c r="H1074" s="9"/>
    </row>
    <row r="1075">
      <c r="A1075" s="4"/>
      <c r="C1075" s="4"/>
      <c r="D1075" s="4"/>
      <c r="E1075" s="8"/>
      <c r="F1075" s="8"/>
      <c r="G1075" s="8"/>
      <c r="H1075" s="9"/>
    </row>
    <row r="1076">
      <c r="A1076" s="4"/>
      <c r="C1076" s="4"/>
      <c r="D1076" s="4"/>
      <c r="E1076" s="8"/>
      <c r="F1076" s="8"/>
      <c r="G1076" s="8"/>
      <c r="H1076" s="9"/>
    </row>
    <row r="1077">
      <c r="A1077" s="4"/>
      <c r="C1077" s="4"/>
      <c r="D1077" s="4"/>
      <c r="E1077" s="8"/>
      <c r="F1077" s="8"/>
      <c r="G1077" s="8"/>
      <c r="H1077" s="9"/>
    </row>
    <row r="1078">
      <c r="A1078" s="4"/>
      <c r="C1078" s="4"/>
      <c r="D1078" s="4"/>
      <c r="E1078" s="8"/>
      <c r="F1078" s="8"/>
      <c r="G1078" s="8"/>
      <c r="H1078" s="9"/>
    </row>
    <row r="1079">
      <c r="A1079" s="4"/>
      <c r="C1079" s="4"/>
      <c r="D1079" s="4"/>
      <c r="E1079" s="8"/>
      <c r="F1079" s="8"/>
      <c r="G1079" s="8"/>
      <c r="H1079" s="9"/>
    </row>
    <row r="1080">
      <c r="A1080" s="4"/>
      <c r="C1080" s="4"/>
      <c r="D1080" s="4"/>
      <c r="E1080" s="8"/>
      <c r="F1080" s="8"/>
      <c r="G1080" s="8"/>
      <c r="H1080" s="9"/>
    </row>
    <row r="1081">
      <c r="A1081" s="4"/>
      <c r="C1081" s="4"/>
      <c r="D1081" s="4"/>
      <c r="E1081" s="8"/>
      <c r="F1081" s="8"/>
      <c r="G1081" s="8"/>
      <c r="H1081" s="9"/>
    </row>
    <row r="1082">
      <c r="A1082" s="4"/>
      <c r="C1082" s="4"/>
      <c r="D1082" s="4"/>
      <c r="E1082" s="8"/>
      <c r="F1082" s="8"/>
      <c r="G1082" s="8"/>
      <c r="H1082" s="9"/>
    </row>
    <row r="1083">
      <c r="A1083" s="4"/>
      <c r="C1083" s="4"/>
      <c r="D1083" s="4"/>
      <c r="E1083" s="8"/>
      <c r="F1083" s="8"/>
      <c r="G1083" s="8"/>
      <c r="H1083" s="9"/>
    </row>
    <row r="1084">
      <c r="A1084" s="4"/>
      <c r="C1084" s="4"/>
      <c r="D1084" s="4"/>
      <c r="E1084" s="8"/>
      <c r="F1084" s="8"/>
      <c r="G1084" s="8"/>
      <c r="H1084" s="9"/>
    </row>
    <row r="1085">
      <c r="A1085" s="4"/>
      <c r="C1085" s="4"/>
      <c r="D1085" s="4"/>
      <c r="E1085" s="8"/>
      <c r="F1085" s="8"/>
      <c r="G1085" s="8"/>
      <c r="H1085" s="9"/>
    </row>
    <row r="1086">
      <c r="A1086" s="4"/>
      <c r="C1086" s="4"/>
      <c r="D1086" s="4"/>
      <c r="E1086" s="8"/>
      <c r="F1086" s="8"/>
      <c r="G1086" s="8"/>
      <c r="H1086" s="9"/>
    </row>
    <row r="1087">
      <c r="A1087" s="4"/>
      <c r="C1087" s="4"/>
      <c r="D1087" s="4"/>
      <c r="E1087" s="8"/>
      <c r="F1087" s="8"/>
      <c r="G1087" s="8"/>
      <c r="H1087" s="9"/>
    </row>
    <row r="1088">
      <c r="A1088" s="4"/>
      <c r="C1088" s="4"/>
      <c r="D1088" s="4"/>
      <c r="E1088" s="8"/>
      <c r="F1088" s="8"/>
      <c r="G1088" s="8"/>
      <c r="H1088" s="9"/>
    </row>
    <row r="1089">
      <c r="A1089" s="4"/>
      <c r="C1089" s="4"/>
      <c r="D1089" s="4"/>
      <c r="E1089" s="8"/>
      <c r="F1089" s="8"/>
      <c r="G1089" s="8"/>
      <c r="H1089" s="9"/>
    </row>
    <row r="1090">
      <c r="A1090" s="4"/>
      <c r="C1090" s="4"/>
      <c r="D1090" s="4"/>
      <c r="E1090" s="8"/>
      <c r="F1090" s="8"/>
      <c r="G1090" s="8"/>
      <c r="H1090" s="9"/>
    </row>
    <row r="1091">
      <c r="A1091" s="4"/>
      <c r="C1091" s="4"/>
      <c r="D1091" s="4"/>
      <c r="E1091" s="8"/>
      <c r="F1091" s="8"/>
      <c r="G1091" s="8"/>
      <c r="H1091" s="9"/>
    </row>
    <row r="1092">
      <c r="A1092" s="4"/>
      <c r="C1092" s="4"/>
      <c r="D1092" s="4"/>
      <c r="E1092" s="8"/>
      <c r="F1092" s="8"/>
      <c r="G1092" s="8"/>
      <c r="H1092" s="9"/>
    </row>
    <row r="1093">
      <c r="A1093" s="4"/>
      <c r="C1093" s="4"/>
      <c r="D1093" s="4"/>
      <c r="E1093" s="8"/>
      <c r="F1093" s="8"/>
      <c r="G1093" s="8"/>
      <c r="H1093" s="9"/>
    </row>
    <row r="1094">
      <c r="A1094" s="4"/>
      <c r="C1094" s="4"/>
      <c r="D1094" s="4"/>
      <c r="E1094" s="8"/>
      <c r="F1094" s="8"/>
      <c r="G1094" s="8"/>
      <c r="H1094" s="9"/>
    </row>
    <row r="1095">
      <c r="A1095" s="4"/>
      <c r="C1095" s="4"/>
      <c r="D1095" s="4"/>
      <c r="E1095" s="8"/>
      <c r="F1095" s="8"/>
      <c r="G1095" s="8"/>
      <c r="H1095" s="9"/>
    </row>
    <row r="1096">
      <c r="A1096" s="4"/>
      <c r="C1096" s="4"/>
      <c r="D1096" s="4"/>
      <c r="E1096" s="8"/>
      <c r="F1096" s="8"/>
      <c r="G1096" s="8"/>
      <c r="H1096" s="9"/>
    </row>
    <row r="1097">
      <c r="A1097" s="4"/>
      <c r="C1097" s="4"/>
      <c r="D1097" s="4"/>
      <c r="E1097" s="8"/>
      <c r="F1097" s="8"/>
      <c r="G1097" s="8"/>
      <c r="H1097" s="9"/>
    </row>
    <row r="1098">
      <c r="A1098" s="4"/>
      <c r="C1098" s="4"/>
      <c r="D1098" s="4"/>
      <c r="E1098" s="8"/>
      <c r="F1098" s="8"/>
      <c r="G1098" s="8"/>
      <c r="H1098" s="9"/>
    </row>
    <row r="1099">
      <c r="A1099" s="4"/>
      <c r="C1099" s="4"/>
      <c r="D1099" s="4"/>
      <c r="E1099" s="8"/>
      <c r="F1099" s="8"/>
      <c r="G1099" s="8"/>
      <c r="H1099" s="9"/>
    </row>
    <row r="1100">
      <c r="A1100" s="4"/>
      <c r="C1100" s="4"/>
      <c r="D1100" s="4"/>
      <c r="E1100" s="8"/>
      <c r="F1100" s="8"/>
      <c r="G1100" s="8"/>
      <c r="H1100" s="9"/>
    </row>
    <row r="1101">
      <c r="A1101" s="4"/>
      <c r="C1101" s="4"/>
      <c r="D1101" s="4"/>
      <c r="E1101" s="8"/>
      <c r="F1101" s="8"/>
      <c r="G1101" s="8"/>
      <c r="H1101" s="9"/>
    </row>
    <row r="1102">
      <c r="A1102" s="4"/>
      <c r="C1102" s="4"/>
      <c r="D1102" s="4"/>
      <c r="E1102" s="8"/>
      <c r="F1102" s="8"/>
      <c r="G1102" s="8"/>
      <c r="H1102" s="9"/>
    </row>
    <row r="1103">
      <c r="A1103" s="4"/>
      <c r="C1103" s="4"/>
      <c r="D1103" s="4"/>
      <c r="E1103" s="8"/>
      <c r="F1103" s="8"/>
      <c r="G1103" s="8"/>
      <c r="H1103" s="9"/>
    </row>
    <row r="1104">
      <c r="A1104" s="4"/>
      <c r="C1104" s="4"/>
      <c r="D1104" s="4"/>
      <c r="E1104" s="8"/>
      <c r="F1104" s="8"/>
      <c r="G1104" s="8"/>
      <c r="H1104" s="9"/>
    </row>
    <row r="1105">
      <c r="A1105" s="4"/>
      <c r="C1105" s="4"/>
      <c r="D1105" s="4"/>
      <c r="E1105" s="8"/>
      <c r="F1105" s="8"/>
      <c r="G1105" s="8"/>
      <c r="H1105" s="9"/>
    </row>
    <row r="1106">
      <c r="A1106" s="4"/>
      <c r="C1106" s="4"/>
      <c r="D1106" s="4"/>
      <c r="E1106" s="8"/>
      <c r="F1106" s="8"/>
      <c r="G1106" s="8"/>
      <c r="H1106" s="9"/>
    </row>
    <row r="1107">
      <c r="A1107" s="4"/>
      <c r="C1107" s="4"/>
      <c r="D1107" s="4"/>
      <c r="E1107" s="8"/>
      <c r="F1107" s="8"/>
      <c r="G1107" s="8"/>
      <c r="H1107" s="9"/>
    </row>
    <row r="1108">
      <c r="A1108" s="4"/>
      <c r="C1108" s="4"/>
      <c r="D1108" s="4"/>
      <c r="E1108" s="8"/>
      <c r="F1108" s="8"/>
      <c r="G1108" s="8"/>
      <c r="H1108" s="9"/>
    </row>
    <row r="1109">
      <c r="A1109" s="4"/>
      <c r="C1109" s="4"/>
      <c r="D1109" s="4"/>
      <c r="E1109" s="8"/>
      <c r="F1109" s="8"/>
      <c r="G1109" s="8"/>
      <c r="H1109" s="9"/>
    </row>
    <row r="1110">
      <c r="A1110" s="4"/>
      <c r="C1110" s="4"/>
      <c r="D1110" s="4"/>
      <c r="E1110" s="8"/>
      <c r="F1110" s="8"/>
      <c r="G1110" s="8"/>
      <c r="H1110" s="9"/>
    </row>
    <row r="1111">
      <c r="A1111" s="4"/>
      <c r="C1111" s="4"/>
      <c r="D1111" s="4"/>
      <c r="E1111" s="8"/>
      <c r="F1111" s="8"/>
      <c r="G1111" s="8"/>
      <c r="H1111" s="9"/>
    </row>
    <row r="1112">
      <c r="A1112" s="4"/>
      <c r="C1112" s="4"/>
      <c r="D1112" s="4"/>
      <c r="E1112" s="8"/>
      <c r="F1112" s="8"/>
      <c r="G1112" s="8"/>
      <c r="H1112" s="9"/>
    </row>
    <row r="1113">
      <c r="A1113" s="4"/>
      <c r="C1113" s="4"/>
      <c r="D1113" s="4"/>
      <c r="E1113" s="8"/>
      <c r="F1113" s="8"/>
      <c r="G1113" s="8"/>
      <c r="H1113" s="9"/>
    </row>
    <row r="1114">
      <c r="A1114" s="4"/>
      <c r="C1114" s="4"/>
      <c r="D1114" s="4"/>
      <c r="E1114" s="8"/>
      <c r="F1114" s="8"/>
      <c r="G1114" s="8"/>
      <c r="H1114" s="9"/>
    </row>
    <row r="1115">
      <c r="A1115" s="4"/>
      <c r="C1115" s="4"/>
      <c r="D1115" s="4"/>
      <c r="E1115" s="8"/>
      <c r="F1115" s="8"/>
      <c r="G1115" s="8"/>
      <c r="H1115" s="9"/>
    </row>
    <row r="1116">
      <c r="A1116" s="4"/>
      <c r="C1116" s="4"/>
      <c r="D1116" s="4"/>
      <c r="E1116" s="8"/>
      <c r="F1116" s="8"/>
      <c r="G1116" s="8"/>
      <c r="H1116" s="9"/>
    </row>
    <row r="1117">
      <c r="A1117" s="4"/>
      <c r="C1117" s="4"/>
      <c r="D1117" s="4"/>
      <c r="E1117" s="8"/>
      <c r="F1117" s="8"/>
      <c r="G1117" s="8"/>
      <c r="H1117" s="9"/>
    </row>
    <row r="1118">
      <c r="A1118" s="4"/>
      <c r="C1118" s="4"/>
      <c r="D1118" s="4"/>
      <c r="E1118" s="8"/>
      <c r="F1118" s="8"/>
      <c r="G1118" s="8"/>
      <c r="H1118" s="9"/>
    </row>
    <row r="1119">
      <c r="A1119" s="4"/>
      <c r="C1119" s="4"/>
      <c r="D1119" s="4"/>
      <c r="E1119" s="8"/>
      <c r="F1119" s="8"/>
      <c r="G1119" s="8"/>
      <c r="H1119" s="9"/>
    </row>
    <row r="1120">
      <c r="A1120" s="4"/>
      <c r="C1120" s="4"/>
      <c r="D1120" s="4"/>
      <c r="E1120" s="8"/>
      <c r="F1120" s="8"/>
      <c r="G1120" s="8"/>
      <c r="H1120" s="9"/>
    </row>
    <row r="1121">
      <c r="A1121" s="4"/>
      <c r="C1121" s="4"/>
      <c r="D1121" s="4"/>
      <c r="E1121" s="8"/>
      <c r="F1121" s="8"/>
      <c r="G1121" s="8"/>
      <c r="H1121" s="9"/>
    </row>
    <row r="1122">
      <c r="A1122" s="4"/>
      <c r="C1122" s="4"/>
      <c r="D1122" s="4"/>
      <c r="E1122" s="8"/>
      <c r="F1122" s="8"/>
      <c r="G1122" s="8"/>
      <c r="H1122" s="9"/>
    </row>
    <row r="1123">
      <c r="A1123" s="4"/>
      <c r="C1123" s="4"/>
      <c r="D1123" s="4"/>
      <c r="E1123" s="8"/>
      <c r="F1123" s="8"/>
      <c r="G1123" s="8"/>
      <c r="H1123" s="9"/>
    </row>
    <row r="1124">
      <c r="A1124" s="4"/>
      <c r="C1124" s="4"/>
      <c r="D1124" s="4"/>
      <c r="E1124" s="8"/>
      <c r="F1124" s="8"/>
      <c r="G1124" s="8"/>
      <c r="H1124" s="9"/>
    </row>
    <row r="1125">
      <c r="A1125" s="4"/>
      <c r="C1125" s="4"/>
      <c r="D1125" s="4"/>
      <c r="E1125" s="8"/>
      <c r="F1125" s="8"/>
      <c r="G1125" s="8"/>
      <c r="H1125" s="9"/>
    </row>
    <row r="1126">
      <c r="A1126" s="4"/>
      <c r="C1126" s="4"/>
      <c r="D1126" s="4"/>
      <c r="E1126" s="8"/>
      <c r="F1126" s="8"/>
      <c r="G1126" s="8"/>
      <c r="H1126" s="9"/>
    </row>
    <row r="1127">
      <c r="A1127" s="4"/>
      <c r="C1127" s="4"/>
      <c r="D1127" s="4"/>
      <c r="E1127" s="8"/>
      <c r="F1127" s="8"/>
      <c r="G1127" s="8"/>
      <c r="H1127" s="9"/>
    </row>
    <row r="1128">
      <c r="A1128" s="4"/>
      <c r="C1128" s="4"/>
      <c r="D1128" s="4"/>
      <c r="E1128" s="8"/>
      <c r="F1128" s="8"/>
      <c r="G1128" s="8"/>
      <c r="H1128" s="9"/>
    </row>
    <row r="1129">
      <c r="A1129" s="4"/>
      <c r="C1129" s="4"/>
      <c r="D1129" s="4"/>
      <c r="E1129" s="8"/>
      <c r="F1129" s="8"/>
      <c r="G1129" s="8"/>
      <c r="H1129" s="9"/>
    </row>
    <row r="1130">
      <c r="A1130" s="4"/>
      <c r="C1130" s="4"/>
      <c r="D1130" s="4"/>
      <c r="E1130" s="8"/>
      <c r="F1130" s="8"/>
      <c r="G1130" s="8"/>
      <c r="H1130" s="9"/>
    </row>
    <row r="1131">
      <c r="A1131" s="4"/>
      <c r="C1131" s="4"/>
      <c r="D1131" s="4"/>
      <c r="E1131" s="8"/>
      <c r="F1131" s="8"/>
      <c r="G1131" s="8"/>
      <c r="H1131" s="9"/>
    </row>
    <row r="1132">
      <c r="A1132" s="4"/>
      <c r="C1132" s="4"/>
      <c r="D1132" s="4"/>
      <c r="E1132" s="8"/>
      <c r="F1132" s="8"/>
      <c r="G1132" s="8"/>
      <c r="H1132" s="9"/>
    </row>
    <row r="1133">
      <c r="A1133" s="4"/>
      <c r="C1133" s="4"/>
      <c r="D1133" s="4"/>
      <c r="E1133" s="8"/>
      <c r="F1133" s="8"/>
      <c r="G1133" s="8"/>
      <c r="H1133" s="9"/>
    </row>
    <row r="1134">
      <c r="A1134" s="4"/>
      <c r="C1134" s="4"/>
      <c r="D1134" s="4"/>
      <c r="E1134" s="8"/>
      <c r="F1134" s="8"/>
      <c r="G1134" s="8"/>
      <c r="H1134" s="9"/>
    </row>
    <row r="1135">
      <c r="A1135" s="4"/>
      <c r="C1135" s="4"/>
      <c r="D1135" s="4"/>
      <c r="E1135" s="8"/>
      <c r="F1135" s="8"/>
      <c r="G1135" s="8"/>
      <c r="H1135" s="9"/>
    </row>
    <row r="1136">
      <c r="A1136" s="4"/>
      <c r="C1136" s="4"/>
      <c r="D1136" s="4"/>
      <c r="E1136" s="8"/>
      <c r="F1136" s="8"/>
      <c r="G1136" s="8"/>
      <c r="H1136" s="9"/>
    </row>
    <row r="1137">
      <c r="A1137" s="4"/>
      <c r="C1137" s="4"/>
      <c r="D1137" s="4"/>
      <c r="E1137" s="8"/>
      <c r="F1137" s="8"/>
      <c r="G1137" s="8"/>
      <c r="H1137" s="9"/>
    </row>
    <row r="1138">
      <c r="A1138" s="4"/>
      <c r="C1138" s="4"/>
      <c r="D1138" s="4"/>
      <c r="E1138" s="8"/>
      <c r="F1138" s="8"/>
      <c r="G1138" s="8"/>
      <c r="H1138" s="9"/>
    </row>
    <row r="1139">
      <c r="A1139" s="4"/>
      <c r="C1139" s="4"/>
      <c r="D1139" s="4"/>
      <c r="E1139" s="8"/>
      <c r="F1139" s="8"/>
      <c r="G1139" s="8"/>
      <c r="H1139" s="9"/>
    </row>
    <row r="1140">
      <c r="A1140" s="4"/>
      <c r="C1140" s="4"/>
      <c r="D1140" s="4"/>
      <c r="E1140" s="8"/>
      <c r="F1140" s="8"/>
      <c r="G1140" s="8"/>
      <c r="H1140" s="9"/>
    </row>
    <row r="1141">
      <c r="A1141" s="4"/>
      <c r="C1141" s="4"/>
      <c r="D1141" s="4"/>
      <c r="E1141" s="8"/>
      <c r="F1141" s="8"/>
      <c r="G1141" s="8"/>
      <c r="H1141" s="9"/>
    </row>
    <row r="1142">
      <c r="A1142" s="4"/>
      <c r="C1142" s="4"/>
      <c r="D1142" s="4"/>
      <c r="E1142" s="8"/>
      <c r="F1142" s="8"/>
      <c r="G1142" s="8"/>
      <c r="H1142" s="9"/>
    </row>
    <row r="1143">
      <c r="A1143" s="4"/>
      <c r="C1143" s="4"/>
      <c r="D1143" s="4"/>
      <c r="E1143" s="8"/>
      <c r="F1143" s="8"/>
      <c r="G1143" s="8"/>
      <c r="H1143" s="9"/>
    </row>
    <row r="1144">
      <c r="A1144" s="4"/>
      <c r="C1144" s="4"/>
      <c r="D1144" s="4"/>
      <c r="E1144" s="8"/>
      <c r="F1144" s="8"/>
      <c r="G1144" s="8"/>
      <c r="H1144" s="9"/>
    </row>
    <row r="1145">
      <c r="A1145" s="4"/>
      <c r="C1145" s="4"/>
      <c r="D1145" s="4"/>
      <c r="E1145" s="8"/>
      <c r="F1145" s="8"/>
      <c r="G1145" s="8"/>
      <c r="H1145" s="9"/>
    </row>
    <row r="1146">
      <c r="A1146" s="4"/>
      <c r="C1146" s="4"/>
      <c r="D1146" s="4"/>
      <c r="E1146" s="8"/>
      <c r="F1146" s="8"/>
      <c r="G1146" s="8"/>
      <c r="H1146" s="9"/>
    </row>
    <row r="1147">
      <c r="A1147" s="4"/>
      <c r="C1147" s="4"/>
      <c r="D1147" s="4"/>
      <c r="E1147" s="8"/>
      <c r="F1147" s="8"/>
      <c r="G1147" s="8"/>
      <c r="H1147" s="9"/>
    </row>
    <row r="1148">
      <c r="A1148" s="4"/>
      <c r="C1148" s="4"/>
      <c r="D1148" s="4"/>
      <c r="E1148" s="8"/>
      <c r="F1148" s="8"/>
      <c r="G1148" s="8"/>
      <c r="H1148" s="9"/>
    </row>
    <row r="1149">
      <c r="A1149" s="4"/>
      <c r="C1149" s="4"/>
      <c r="D1149" s="4"/>
      <c r="E1149" s="8"/>
      <c r="F1149" s="8"/>
      <c r="G1149" s="8"/>
      <c r="H1149" s="9"/>
    </row>
    <row r="1150">
      <c r="A1150" s="4"/>
      <c r="C1150" s="4"/>
      <c r="D1150" s="4"/>
      <c r="E1150" s="8"/>
      <c r="F1150" s="8"/>
      <c r="G1150" s="8"/>
      <c r="H1150" s="9"/>
    </row>
    <row r="1151">
      <c r="A1151" s="4"/>
      <c r="C1151" s="4"/>
      <c r="D1151" s="4"/>
      <c r="E1151" s="8"/>
      <c r="F1151" s="8"/>
      <c r="G1151" s="8"/>
      <c r="H1151" s="9"/>
    </row>
    <row r="1152">
      <c r="A1152" s="4"/>
      <c r="C1152" s="4"/>
      <c r="D1152" s="4"/>
      <c r="E1152" s="8"/>
      <c r="F1152" s="8"/>
      <c r="G1152" s="8"/>
      <c r="H1152" s="9"/>
    </row>
    <row r="1153">
      <c r="A1153" s="4"/>
      <c r="C1153" s="4"/>
      <c r="D1153" s="4"/>
      <c r="E1153" s="8"/>
      <c r="F1153" s="8"/>
      <c r="G1153" s="8"/>
      <c r="H1153" s="9"/>
    </row>
    <row r="1154">
      <c r="A1154" s="4"/>
      <c r="C1154" s="4"/>
      <c r="D1154" s="4"/>
      <c r="E1154" s="8"/>
      <c r="F1154" s="8"/>
      <c r="G1154" s="8"/>
      <c r="H1154" s="9"/>
    </row>
    <row r="1155">
      <c r="A1155" s="4"/>
      <c r="C1155" s="4"/>
      <c r="D1155" s="4"/>
      <c r="E1155" s="8"/>
      <c r="F1155" s="8"/>
      <c r="G1155" s="8"/>
      <c r="H1155" s="9"/>
    </row>
    <row r="1156">
      <c r="A1156" s="4"/>
      <c r="C1156" s="4"/>
      <c r="D1156" s="4"/>
      <c r="E1156" s="8"/>
      <c r="F1156" s="8"/>
      <c r="G1156" s="8"/>
      <c r="H1156" s="9"/>
    </row>
    <row r="1157">
      <c r="A1157" s="4"/>
      <c r="C1157" s="4"/>
      <c r="D1157" s="4"/>
      <c r="E1157" s="8"/>
      <c r="F1157" s="8"/>
      <c r="G1157" s="8"/>
      <c r="H1157" s="9"/>
    </row>
    <row r="1158">
      <c r="A1158" s="4"/>
      <c r="C1158" s="4"/>
      <c r="D1158" s="4"/>
      <c r="E1158" s="8"/>
      <c r="F1158" s="8"/>
      <c r="G1158" s="8"/>
      <c r="H1158" s="9"/>
    </row>
    <row r="1159">
      <c r="A1159" s="4"/>
      <c r="C1159" s="4"/>
      <c r="D1159" s="4"/>
      <c r="E1159" s="8"/>
      <c r="F1159" s="8"/>
      <c r="G1159" s="8"/>
      <c r="H1159" s="9"/>
    </row>
    <row r="1160">
      <c r="A1160" s="4"/>
      <c r="C1160" s="4"/>
      <c r="D1160" s="4"/>
      <c r="E1160" s="8"/>
      <c r="F1160" s="8"/>
      <c r="G1160" s="8"/>
      <c r="H1160" s="9"/>
    </row>
    <row r="1161">
      <c r="A1161" s="4"/>
      <c r="C1161" s="4"/>
      <c r="D1161" s="4"/>
      <c r="E1161" s="8"/>
      <c r="F1161" s="8"/>
      <c r="G1161" s="8"/>
      <c r="H1161" s="9"/>
    </row>
    <row r="1162">
      <c r="A1162" s="4"/>
      <c r="C1162" s="4"/>
      <c r="D1162" s="4"/>
      <c r="E1162" s="8"/>
      <c r="F1162" s="8"/>
      <c r="G1162" s="8"/>
      <c r="H1162" s="9"/>
    </row>
    <row r="1163">
      <c r="A1163" s="4"/>
      <c r="C1163" s="4"/>
      <c r="D1163" s="4"/>
      <c r="E1163" s="8"/>
      <c r="F1163" s="8"/>
      <c r="G1163" s="8"/>
      <c r="H1163" s="9"/>
    </row>
    <row r="1164">
      <c r="A1164" s="4"/>
      <c r="C1164" s="4"/>
      <c r="D1164" s="4"/>
      <c r="E1164" s="8"/>
      <c r="F1164" s="8"/>
      <c r="G1164" s="8"/>
      <c r="H1164" s="9"/>
    </row>
    <row r="1165">
      <c r="A1165" s="4"/>
      <c r="C1165" s="4"/>
      <c r="D1165" s="4"/>
      <c r="E1165" s="8"/>
      <c r="F1165" s="8"/>
      <c r="G1165" s="8"/>
      <c r="H1165" s="9"/>
    </row>
    <row r="1166">
      <c r="A1166" s="4"/>
      <c r="C1166" s="4"/>
      <c r="D1166" s="4"/>
      <c r="E1166" s="8"/>
      <c r="F1166" s="8"/>
      <c r="G1166" s="8"/>
      <c r="H1166" s="9"/>
    </row>
    <row r="1167">
      <c r="A1167" s="4"/>
      <c r="C1167" s="4"/>
      <c r="D1167" s="4"/>
      <c r="E1167" s="8"/>
      <c r="F1167" s="8"/>
      <c r="G1167" s="8"/>
      <c r="H1167" s="9"/>
    </row>
    <row r="1168">
      <c r="A1168" s="4"/>
      <c r="C1168" s="4"/>
      <c r="D1168" s="4"/>
      <c r="E1168" s="8"/>
      <c r="F1168" s="8"/>
      <c r="G1168" s="8"/>
      <c r="H1168" s="9"/>
    </row>
    <row r="1169">
      <c r="A1169" s="4"/>
      <c r="C1169" s="4"/>
      <c r="D1169" s="4"/>
      <c r="E1169" s="8"/>
      <c r="F1169" s="8"/>
      <c r="G1169" s="8"/>
      <c r="H1169" s="9"/>
    </row>
    <row r="1170">
      <c r="A1170" s="4"/>
      <c r="C1170" s="4"/>
      <c r="D1170" s="4"/>
      <c r="E1170" s="8"/>
      <c r="F1170" s="8"/>
      <c r="G1170" s="8"/>
      <c r="H1170" s="9"/>
    </row>
    <row r="1171">
      <c r="A1171" s="4"/>
      <c r="C1171" s="4"/>
      <c r="D1171" s="4"/>
      <c r="E1171" s="8"/>
      <c r="F1171" s="8"/>
      <c r="G1171" s="8"/>
      <c r="H1171" s="9"/>
    </row>
    <row r="1172">
      <c r="A1172" s="4"/>
      <c r="C1172" s="4"/>
      <c r="D1172" s="4"/>
      <c r="E1172" s="8"/>
      <c r="F1172" s="8"/>
      <c r="G1172" s="8"/>
      <c r="H1172" s="9"/>
    </row>
    <row r="1173">
      <c r="A1173" s="4"/>
      <c r="C1173" s="4"/>
      <c r="D1173" s="4"/>
      <c r="E1173" s="8"/>
      <c r="F1173" s="8"/>
      <c r="G1173" s="8"/>
      <c r="H1173" s="9"/>
    </row>
    <row r="1174">
      <c r="A1174" s="4"/>
      <c r="C1174" s="4"/>
      <c r="D1174" s="4"/>
      <c r="E1174" s="8"/>
      <c r="F1174" s="8"/>
      <c r="G1174" s="8"/>
      <c r="H1174" s="9"/>
    </row>
    <row r="1175">
      <c r="A1175" s="4"/>
      <c r="C1175" s="4"/>
      <c r="D1175" s="4"/>
      <c r="E1175" s="8"/>
      <c r="F1175" s="8"/>
      <c r="G1175" s="8"/>
      <c r="H1175" s="9"/>
    </row>
    <row r="1176">
      <c r="A1176" s="4"/>
      <c r="C1176" s="4"/>
      <c r="D1176" s="4"/>
      <c r="E1176" s="8"/>
      <c r="F1176" s="8"/>
      <c r="G1176" s="8"/>
      <c r="H1176" s="9"/>
    </row>
    <row r="1177">
      <c r="A1177" s="4"/>
      <c r="C1177" s="4"/>
      <c r="D1177" s="4"/>
      <c r="E1177" s="8"/>
      <c r="F1177" s="8"/>
      <c r="G1177" s="8"/>
      <c r="H1177" s="9"/>
    </row>
    <row r="1178">
      <c r="A1178" s="4"/>
      <c r="C1178" s="4"/>
      <c r="D1178" s="4"/>
      <c r="E1178" s="8"/>
      <c r="F1178" s="8"/>
      <c r="G1178" s="8"/>
      <c r="H1178" s="9"/>
    </row>
    <row r="1179">
      <c r="A1179" s="4"/>
      <c r="C1179" s="4"/>
      <c r="D1179" s="4"/>
      <c r="E1179" s="8"/>
      <c r="F1179" s="8"/>
      <c r="G1179" s="8"/>
      <c r="H1179" s="9"/>
    </row>
    <row r="1180">
      <c r="A1180" s="4"/>
      <c r="C1180" s="4"/>
      <c r="D1180" s="4"/>
      <c r="E1180" s="8"/>
      <c r="F1180" s="8"/>
      <c r="G1180" s="8"/>
      <c r="H1180" s="9"/>
    </row>
    <row r="1181">
      <c r="A1181" s="4"/>
      <c r="C1181" s="4"/>
      <c r="D1181" s="4"/>
      <c r="E1181" s="8"/>
      <c r="F1181" s="8"/>
      <c r="G1181" s="8"/>
      <c r="H1181" s="9"/>
    </row>
    <row r="1182">
      <c r="A1182" s="4"/>
      <c r="C1182" s="4"/>
      <c r="D1182" s="4"/>
      <c r="E1182" s="8"/>
      <c r="F1182" s="8"/>
      <c r="G1182" s="8"/>
      <c r="H1182" s="9"/>
    </row>
    <row r="1183">
      <c r="A1183" s="4"/>
      <c r="C1183" s="4"/>
      <c r="D1183" s="4"/>
      <c r="E1183" s="8"/>
      <c r="F1183" s="8"/>
      <c r="G1183" s="8"/>
      <c r="H1183" s="9"/>
    </row>
    <row r="1184">
      <c r="A1184" s="4"/>
      <c r="C1184" s="4"/>
      <c r="D1184" s="4"/>
      <c r="E1184" s="8"/>
      <c r="F1184" s="8"/>
      <c r="G1184" s="8"/>
      <c r="H1184" s="9"/>
    </row>
    <row r="1185">
      <c r="A1185" s="4"/>
      <c r="C1185" s="4"/>
      <c r="D1185" s="4"/>
      <c r="E1185" s="8"/>
      <c r="F1185" s="8"/>
      <c r="G1185" s="8"/>
      <c r="H1185" s="9"/>
    </row>
    <row r="1186">
      <c r="A1186" s="4"/>
      <c r="C1186" s="4"/>
      <c r="D1186" s="4"/>
      <c r="E1186" s="8"/>
      <c r="F1186" s="8"/>
      <c r="G1186" s="8"/>
      <c r="H1186" s="9"/>
    </row>
    <row r="1187">
      <c r="A1187" s="4"/>
      <c r="C1187" s="4"/>
      <c r="D1187" s="4"/>
      <c r="E1187" s="8"/>
      <c r="F1187" s="8"/>
      <c r="G1187" s="8"/>
      <c r="H1187" s="9"/>
    </row>
    <row r="1188">
      <c r="A1188" s="4"/>
      <c r="C1188" s="4"/>
      <c r="D1188" s="4"/>
      <c r="E1188" s="8"/>
      <c r="F1188" s="8"/>
      <c r="G1188" s="8"/>
      <c r="H1188" s="9"/>
    </row>
    <row r="1189">
      <c r="A1189" s="4"/>
      <c r="C1189" s="4"/>
      <c r="D1189" s="4"/>
      <c r="E1189" s="8"/>
      <c r="F1189" s="8"/>
      <c r="G1189" s="8"/>
      <c r="H1189" s="9"/>
    </row>
    <row r="1190">
      <c r="A1190" s="4"/>
      <c r="C1190" s="4"/>
      <c r="D1190" s="4"/>
      <c r="E1190" s="8"/>
      <c r="F1190" s="8"/>
      <c r="G1190" s="8"/>
      <c r="H1190" s="9"/>
    </row>
    <row r="1191">
      <c r="A1191" s="4"/>
      <c r="C1191" s="4"/>
      <c r="D1191" s="4"/>
      <c r="E1191" s="8"/>
      <c r="F1191" s="8"/>
      <c r="G1191" s="8"/>
      <c r="H1191" s="9"/>
    </row>
    <row r="1192">
      <c r="A1192" s="4"/>
      <c r="C1192" s="4"/>
      <c r="D1192" s="4"/>
      <c r="E1192" s="8"/>
      <c r="F1192" s="8"/>
      <c r="G1192" s="8"/>
      <c r="H1192" s="9"/>
    </row>
    <row r="1193">
      <c r="A1193" s="4"/>
      <c r="C1193" s="4"/>
      <c r="D1193" s="4"/>
      <c r="E1193" s="8"/>
      <c r="F1193" s="8"/>
      <c r="G1193" s="8"/>
      <c r="H1193" s="9"/>
    </row>
    <row r="1194">
      <c r="A1194" s="4"/>
      <c r="C1194" s="4"/>
      <c r="D1194" s="4"/>
      <c r="E1194" s="8"/>
      <c r="F1194" s="8"/>
      <c r="G1194" s="8"/>
      <c r="H1194" s="9"/>
    </row>
    <row r="1195">
      <c r="A1195" s="4"/>
      <c r="C1195" s="4"/>
      <c r="D1195" s="4"/>
      <c r="E1195" s="8"/>
      <c r="F1195" s="8"/>
      <c r="G1195" s="8"/>
      <c r="H1195" s="9"/>
    </row>
    <row r="1196">
      <c r="A1196" s="4"/>
      <c r="C1196" s="4"/>
      <c r="D1196" s="4"/>
      <c r="E1196" s="8"/>
      <c r="F1196" s="8"/>
      <c r="G1196" s="8"/>
      <c r="H1196" s="9"/>
    </row>
    <row r="1197">
      <c r="A1197" s="4"/>
      <c r="C1197" s="4"/>
      <c r="D1197" s="4"/>
      <c r="E1197" s="8"/>
      <c r="F1197" s="8"/>
      <c r="G1197" s="8"/>
      <c r="H1197" s="9"/>
    </row>
    <row r="1198">
      <c r="A1198" s="4"/>
      <c r="C1198" s="4"/>
      <c r="D1198" s="4"/>
      <c r="E1198" s="8"/>
      <c r="F1198" s="8"/>
      <c r="G1198" s="8"/>
      <c r="H1198" s="9"/>
    </row>
    <row r="1199">
      <c r="A1199" s="4"/>
      <c r="C1199" s="4"/>
      <c r="D1199" s="4"/>
      <c r="E1199" s="8"/>
      <c r="F1199" s="8"/>
      <c r="G1199" s="8"/>
      <c r="H1199" s="9"/>
    </row>
    <row r="1200">
      <c r="A1200" s="4"/>
      <c r="C1200" s="4"/>
      <c r="D1200" s="4"/>
      <c r="E1200" s="8"/>
      <c r="F1200" s="8"/>
      <c r="G1200" s="8"/>
      <c r="H1200" s="9"/>
    </row>
    <row r="1201">
      <c r="A1201" s="4"/>
      <c r="C1201" s="4"/>
      <c r="D1201" s="4"/>
      <c r="E1201" s="8"/>
      <c r="F1201" s="8"/>
      <c r="G1201" s="8"/>
      <c r="H1201" s="9"/>
    </row>
    <row r="1202">
      <c r="A1202" s="4"/>
      <c r="C1202" s="4"/>
      <c r="D1202" s="4"/>
      <c r="E1202" s="8"/>
      <c r="F1202" s="8"/>
      <c r="G1202" s="8"/>
      <c r="H1202" s="9"/>
    </row>
    <row r="1203">
      <c r="A1203" s="4"/>
      <c r="C1203" s="4"/>
      <c r="D1203" s="4"/>
      <c r="E1203" s="8"/>
      <c r="F1203" s="8"/>
      <c r="G1203" s="8"/>
      <c r="H1203" s="9"/>
    </row>
    <row r="1204">
      <c r="A1204" s="4"/>
      <c r="C1204" s="4"/>
      <c r="D1204" s="4"/>
      <c r="E1204" s="8"/>
      <c r="F1204" s="8"/>
      <c r="G1204" s="8"/>
      <c r="H1204" s="9"/>
    </row>
    <row r="1205">
      <c r="A1205" s="4"/>
      <c r="C1205" s="4"/>
      <c r="D1205" s="4"/>
      <c r="E1205" s="8"/>
      <c r="F1205" s="8"/>
      <c r="G1205" s="8"/>
      <c r="H1205" s="9"/>
    </row>
    <row r="1206">
      <c r="A1206" s="4"/>
      <c r="C1206" s="4"/>
      <c r="D1206" s="4"/>
      <c r="E1206" s="8"/>
      <c r="F1206" s="8"/>
      <c r="G1206" s="8"/>
      <c r="H1206" s="9"/>
    </row>
    <row r="1207">
      <c r="A1207" s="4"/>
      <c r="C1207" s="4"/>
      <c r="D1207" s="4"/>
      <c r="E1207" s="8"/>
      <c r="F1207" s="8"/>
      <c r="G1207" s="8"/>
      <c r="H1207" s="9"/>
    </row>
    <row r="1208">
      <c r="A1208" s="4"/>
      <c r="C1208" s="4"/>
      <c r="D1208" s="4"/>
      <c r="E1208" s="8"/>
      <c r="F1208" s="8"/>
      <c r="G1208" s="8"/>
      <c r="H1208" s="9"/>
    </row>
    <row r="1209">
      <c r="A1209" s="4"/>
      <c r="C1209" s="4"/>
      <c r="D1209" s="4"/>
      <c r="E1209" s="8"/>
      <c r="F1209" s="8"/>
      <c r="G1209" s="8"/>
      <c r="H1209" s="9"/>
    </row>
    <row r="1210">
      <c r="A1210" s="4"/>
      <c r="C1210" s="4"/>
      <c r="D1210" s="4"/>
      <c r="E1210" s="8"/>
      <c r="F1210" s="8"/>
      <c r="G1210" s="8"/>
      <c r="H1210" s="9"/>
    </row>
    <row r="1211">
      <c r="A1211" s="4"/>
      <c r="C1211" s="4"/>
      <c r="D1211" s="4"/>
      <c r="E1211" s="8"/>
      <c r="F1211" s="8"/>
      <c r="G1211" s="8"/>
      <c r="H1211" s="9"/>
    </row>
    <row r="1212">
      <c r="A1212" s="4"/>
      <c r="C1212" s="4"/>
      <c r="D1212" s="4"/>
      <c r="E1212" s="8"/>
      <c r="F1212" s="8"/>
      <c r="G1212" s="8"/>
      <c r="H1212" s="9"/>
    </row>
    <row r="1213">
      <c r="A1213" s="4"/>
      <c r="C1213" s="4"/>
      <c r="D1213" s="4"/>
      <c r="E1213" s="8"/>
      <c r="F1213" s="8"/>
      <c r="G1213" s="8"/>
      <c r="H1213" s="9"/>
    </row>
    <row r="1214">
      <c r="A1214" s="4"/>
      <c r="C1214" s="4"/>
      <c r="D1214" s="4"/>
      <c r="E1214" s="8"/>
      <c r="F1214" s="8"/>
      <c r="G1214" s="8"/>
      <c r="H1214" s="9"/>
    </row>
    <row r="1215">
      <c r="A1215" s="4"/>
      <c r="C1215" s="4"/>
      <c r="D1215" s="4"/>
      <c r="E1215" s="8"/>
      <c r="F1215" s="8"/>
      <c r="G1215" s="8"/>
      <c r="H1215" s="9"/>
    </row>
    <row r="1216">
      <c r="A1216" s="4"/>
      <c r="C1216" s="4"/>
      <c r="D1216" s="4"/>
      <c r="E1216" s="8"/>
      <c r="F1216" s="8"/>
      <c r="G1216" s="8"/>
      <c r="H1216" s="9"/>
    </row>
    <row r="1217">
      <c r="A1217" s="4"/>
      <c r="C1217" s="4"/>
      <c r="D1217" s="4"/>
      <c r="E1217" s="8"/>
      <c r="F1217" s="8"/>
      <c r="G1217" s="8"/>
      <c r="H1217" s="9"/>
    </row>
    <row r="1218">
      <c r="A1218" s="4"/>
      <c r="C1218" s="4"/>
      <c r="D1218" s="4"/>
      <c r="E1218" s="8"/>
      <c r="F1218" s="8"/>
      <c r="G1218" s="8"/>
      <c r="H1218" s="9"/>
    </row>
    <row r="1219">
      <c r="A1219" s="4"/>
      <c r="C1219" s="4"/>
      <c r="D1219" s="4"/>
      <c r="E1219" s="8"/>
      <c r="F1219" s="8"/>
      <c r="G1219" s="8"/>
      <c r="H1219" s="9"/>
    </row>
    <row r="1220">
      <c r="A1220" s="4"/>
      <c r="C1220" s="4"/>
      <c r="D1220" s="4"/>
      <c r="E1220" s="8"/>
      <c r="F1220" s="8"/>
      <c r="G1220" s="8"/>
      <c r="H1220" s="9"/>
    </row>
    <row r="1221">
      <c r="A1221" s="4"/>
      <c r="C1221" s="4"/>
      <c r="D1221" s="4"/>
      <c r="E1221" s="8"/>
      <c r="F1221" s="8"/>
      <c r="G1221" s="8"/>
      <c r="H1221" s="9"/>
    </row>
    <row r="1222">
      <c r="A1222" s="4"/>
      <c r="C1222" s="4"/>
      <c r="D1222" s="4"/>
      <c r="E1222" s="8"/>
      <c r="F1222" s="8"/>
      <c r="G1222" s="8"/>
      <c r="H1222" s="9"/>
    </row>
    <row r="1223">
      <c r="A1223" s="4"/>
      <c r="C1223" s="4"/>
      <c r="D1223" s="4"/>
      <c r="E1223" s="8"/>
      <c r="F1223" s="8"/>
      <c r="G1223" s="8"/>
      <c r="H1223" s="9"/>
    </row>
    <row r="1224">
      <c r="A1224" s="4"/>
      <c r="C1224" s="4"/>
      <c r="D1224" s="4"/>
      <c r="E1224" s="8"/>
      <c r="F1224" s="8"/>
      <c r="G1224" s="8"/>
      <c r="H1224" s="9"/>
    </row>
    <row r="1225">
      <c r="A1225" s="4"/>
      <c r="C1225" s="4"/>
      <c r="D1225" s="4"/>
      <c r="E1225" s="8"/>
      <c r="F1225" s="8"/>
      <c r="G1225" s="8"/>
      <c r="H1225" s="9"/>
    </row>
    <row r="1226">
      <c r="A1226" s="4"/>
      <c r="C1226" s="4"/>
      <c r="D1226" s="4"/>
      <c r="E1226" s="8"/>
      <c r="F1226" s="8"/>
      <c r="G1226" s="8"/>
      <c r="H1226" s="9"/>
    </row>
    <row r="1227">
      <c r="A1227" s="4"/>
      <c r="C1227" s="4"/>
      <c r="D1227" s="4"/>
      <c r="E1227" s="8"/>
      <c r="F1227" s="8"/>
      <c r="G1227" s="8"/>
      <c r="H1227" s="9"/>
    </row>
    <row r="1228">
      <c r="A1228" s="4"/>
      <c r="C1228" s="4"/>
      <c r="D1228" s="4"/>
      <c r="E1228" s="8"/>
      <c r="F1228" s="8"/>
      <c r="G1228" s="8"/>
      <c r="H1228" s="9"/>
    </row>
    <row r="1229">
      <c r="A1229" s="4"/>
      <c r="C1229" s="4"/>
      <c r="D1229" s="4"/>
      <c r="E1229" s="8"/>
      <c r="F1229" s="8"/>
      <c r="G1229" s="8"/>
      <c r="H1229" s="9"/>
    </row>
    <row r="1230">
      <c r="A1230" s="4"/>
      <c r="C1230" s="4"/>
      <c r="D1230" s="4"/>
      <c r="E1230" s="8"/>
      <c r="F1230" s="8"/>
      <c r="G1230" s="8"/>
      <c r="H1230" s="9"/>
    </row>
    <row r="1231">
      <c r="A1231" s="4"/>
      <c r="C1231" s="4"/>
      <c r="D1231" s="4"/>
      <c r="E1231" s="8"/>
      <c r="F1231" s="8"/>
      <c r="G1231" s="8"/>
      <c r="H1231" s="9"/>
    </row>
    <row r="1232">
      <c r="A1232" s="4"/>
      <c r="C1232" s="4"/>
      <c r="D1232" s="4"/>
      <c r="E1232" s="8"/>
      <c r="F1232" s="8"/>
      <c r="G1232" s="8"/>
      <c r="H1232" s="9"/>
    </row>
    <row r="1233">
      <c r="A1233" s="4"/>
      <c r="C1233" s="4"/>
      <c r="D1233" s="4"/>
      <c r="E1233" s="8"/>
      <c r="F1233" s="8"/>
      <c r="G1233" s="8"/>
      <c r="H1233" s="9"/>
    </row>
    <row r="1234">
      <c r="A1234" s="4"/>
      <c r="C1234" s="4"/>
      <c r="D1234" s="4"/>
      <c r="E1234" s="8"/>
      <c r="F1234" s="8"/>
      <c r="G1234" s="8"/>
      <c r="H1234" s="9"/>
    </row>
    <row r="1235">
      <c r="A1235" s="4"/>
      <c r="C1235" s="4"/>
      <c r="D1235" s="4"/>
      <c r="E1235" s="8"/>
      <c r="F1235" s="8"/>
      <c r="G1235" s="8"/>
      <c r="H1235" s="9"/>
    </row>
    <row r="1236">
      <c r="A1236" s="4"/>
      <c r="C1236" s="4"/>
      <c r="D1236" s="4"/>
      <c r="E1236" s="8"/>
      <c r="F1236" s="8"/>
      <c r="G1236" s="8"/>
      <c r="H1236" s="9"/>
    </row>
    <row r="1237">
      <c r="A1237" s="4"/>
      <c r="C1237" s="4"/>
      <c r="D1237" s="4"/>
      <c r="E1237" s="8"/>
      <c r="F1237" s="8"/>
      <c r="G1237" s="8"/>
      <c r="H1237" s="9"/>
    </row>
    <row r="1238">
      <c r="A1238" s="4"/>
      <c r="C1238" s="4"/>
      <c r="D1238" s="4"/>
      <c r="E1238" s="8"/>
      <c r="F1238" s="8"/>
      <c r="G1238" s="8"/>
      <c r="H1238" s="9"/>
    </row>
    <row r="1239">
      <c r="A1239" s="4"/>
      <c r="C1239" s="4"/>
      <c r="D1239" s="4"/>
      <c r="E1239" s="8"/>
      <c r="F1239" s="8"/>
      <c r="G1239" s="8"/>
      <c r="H1239" s="9"/>
    </row>
    <row r="1240">
      <c r="A1240" s="4"/>
      <c r="C1240" s="4"/>
      <c r="D1240" s="4"/>
      <c r="E1240" s="8"/>
      <c r="F1240" s="8"/>
      <c r="G1240" s="8"/>
      <c r="H1240" s="9"/>
    </row>
    <row r="1241">
      <c r="A1241" s="4"/>
      <c r="C1241" s="4"/>
      <c r="D1241" s="4"/>
      <c r="E1241" s="8"/>
      <c r="F1241" s="8"/>
      <c r="G1241" s="8"/>
      <c r="H1241" s="9"/>
    </row>
    <row r="1242">
      <c r="A1242" s="4"/>
      <c r="C1242" s="4"/>
      <c r="D1242" s="4"/>
      <c r="E1242" s="8"/>
      <c r="F1242" s="8"/>
      <c r="G1242" s="8"/>
      <c r="H1242" s="9"/>
    </row>
    <row r="1243">
      <c r="A1243" s="4"/>
      <c r="C1243" s="4"/>
      <c r="D1243" s="4"/>
      <c r="E1243" s="8"/>
      <c r="F1243" s="8"/>
      <c r="G1243" s="8"/>
      <c r="H1243" s="9"/>
    </row>
    <row r="1244">
      <c r="A1244" s="4"/>
      <c r="C1244" s="4"/>
      <c r="D1244" s="4"/>
      <c r="E1244" s="8"/>
      <c r="F1244" s="8"/>
      <c r="G1244" s="8"/>
      <c r="H1244" s="9"/>
    </row>
    <row r="1245">
      <c r="A1245" s="4"/>
      <c r="C1245" s="4"/>
      <c r="D1245" s="4"/>
      <c r="E1245" s="8"/>
      <c r="F1245" s="8"/>
      <c r="G1245" s="8"/>
      <c r="H1245" s="9"/>
    </row>
    <row r="1246">
      <c r="A1246" s="4"/>
      <c r="C1246" s="4"/>
      <c r="D1246" s="4"/>
      <c r="E1246" s="8"/>
      <c r="F1246" s="8"/>
      <c r="G1246" s="8"/>
      <c r="H1246" s="9"/>
    </row>
    <row r="1247">
      <c r="A1247" s="4"/>
      <c r="C1247" s="4"/>
      <c r="D1247" s="4"/>
      <c r="E1247" s="8"/>
      <c r="F1247" s="8"/>
      <c r="G1247" s="8"/>
      <c r="H1247" s="9"/>
    </row>
    <row r="1248">
      <c r="A1248" s="4"/>
      <c r="C1248" s="4"/>
      <c r="D1248" s="4"/>
      <c r="E1248" s="8"/>
      <c r="F1248" s="8"/>
      <c r="G1248" s="8"/>
      <c r="H1248" s="9"/>
    </row>
    <row r="1249">
      <c r="A1249" s="4"/>
      <c r="C1249" s="4"/>
      <c r="D1249" s="4"/>
      <c r="E1249" s="8"/>
      <c r="F1249" s="8"/>
      <c r="G1249" s="8"/>
      <c r="H1249" s="9"/>
    </row>
    <row r="1250">
      <c r="A1250" s="4"/>
      <c r="C1250" s="4"/>
      <c r="D1250" s="4"/>
      <c r="E1250" s="8"/>
      <c r="F1250" s="8"/>
      <c r="G1250" s="8"/>
      <c r="H1250" s="9"/>
    </row>
    <row r="1251">
      <c r="A1251" s="4"/>
      <c r="C1251" s="4"/>
      <c r="D1251" s="4"/>
      <c r="E1251" s="8"/>
      <c r="F1251" s="8"/>
      <c r="G1251" s="8"/>
      <c r="H1251" s="9"/>
    </row>
    <row r="1252">
      <c r="A1252" s="4"/>
      <c r="C1252" s="4"/>
      <c r="D1252" s="4"/>
      <c r="E1252" s="8"/>
      <c r="F1252" s="8"/>
      <c r="G1252" s="8"/>
      <c r="H1252" s="9"/>
    </row>
    <row r="1253">
      <c r="A1253" s="4"/>
      <c r="C1253" s="4"/>
      <c r="D1253" s="4"/>
      <c r="E1253" s="8"/>
      <c r="F1253" s="8"/>
      <c r="G1253" s="8"/>
      <c r="H1253" s="9"/>
    </row>
    <row r="1254">
      <c r="A1254" s="4"/>
      <c r="C1254" s="4"/>
      <c r="D1254" s="4"/>
      <c r="E1254" s="8"/>
      <c r="F1254" s="8"/>
      <c r="G1254" s="8"/>
      <c r="H1254" s="9"/>
    </row>
    <row r="1255">
      <c r="A1255" s="4"/>
      <c r="C1255" s="4"/>
      <c r="D1255" s="4"/>
      <c r="E1255" s="8"/>
      <c r="F1255" s="8"/>
      <c r="G1255" s="8"/>
      <c r="H1255" s="9"/>
    </row>
    <row r="1256">
      <c r="A1256" s="4"/>
      <c r="C1256" s="4"/>
      <c r="D1256" s="4"/>
      <c r="E1256" s="8"/>
      <c r="F1256" s="8"/>
      <c r="G1256" s="8"/>
      <c r="H1256" s="9"/>
    </row>
    <row r="1257">
      <c r="A1257" s="4"/>
      <c r="C1257" s="4"/>
      <c r="D1257" s="4"/>
      <c r="E1257" s="8"/>
      <c r="F1257" s="8"/>
      <c r="G1257" s="8"/>
      <c r="H1257" s="9"/>
    </row>
    <row r="1258">
      <c r="A1258" s="4"/>
      <c r="C1258" s="4"/>
      <c r="D1258" s="4"/>
      <c r="E1258" s="8"/>
      <c r="F1258" s="8"/>
      <c r="G1258" s="8"/>
      <c r="H1258" s="9"/>
    </row>
    <row r="1259">
      <c r="A1259" s="4"/>
      <c r="C1259" s="4"/>
      <c r="D1259" s="4"/>
      <c r="E1259" s="8"/>
      <c r="F1259" s="8"/>
      <c r="G1259" s="8"/>
      <c r="H1259" s="9"/>
    </row>
    <row r="1260">
      <c r="A1260" s="4"/>
      <c r="C1260" s="4"/>
      <c r="D1260" s="4"/>
      <c r="E1260" s="8"/>
      <c r="F1260" s="8"/>
      <c r="G1260" s="8"/>
      <c r="H1260" s="9"/>
    </row>
    <row r="1261">
      <c r="A1261" s="4"/>
      <c r="C1261" s="4"/>
      <c r="D1261" s="4"/>
      <c r="E1261" s="8"/>
      <c r="F1261" s="8"/>
      <c r="G1261" s="8"/>
      <c r="H1261" s="9"/>
    </row>
    <row r="1262">
      <c r="A1262" s="4"/>
      <c r="C1262" s="4"/>
      <c r="D1262" s="4"/>
      <c r="E1262" s="8"/>
      <c r="F1262" s="8"/>
      <c r="G1262" s="8"/>
      <c r="H1262" s="9"/>
    </row>
    <row r="1263">
      <c r="A1263" s="4"/>
      <c r="C1263" s="4"/>
      <c r="D1263" s="4"/>
      <c r="E1263" s="8"/>
      <c r="F1263" s="8"/>
      <c r="G1263" s="8"/>
      <c r="H1263" s="9"/>
    </row>
    <row r="1264">
      <c r="A1264" s="4"/>
      <c r="C1264" s="4"/>
      <c r="D1264" s="4"/>
      <c r="E1264" s="8"/>
      <c r="F1264" s="8"/>
      <c r="G1264" s="8"/>
      <c r="H1264" s="9"/>
    </row>
    <row r="1265">
      <c r="A1265" s="4"/>
      <c r="C1265" s="4"/>
      <c r="D1265" s="4"/>
      <c r="E1265" s="8"/>
      <c r="F1265" s="8"/>
      <c r="G1265" s="8"/>
      <c r="H1265" s="9"/>
    </row>
    <row r="1266">
      <c r="A1266" s="4"/>
      <c r="C1266" s="4"/>
      <c r="D1266" s="4"/>
      <c r="E1266" s="8"/>
      <c r="F1266" s="8"/>
      <c r="G1266" s="8"/>
      <c r="H1266" s="9"/>
    </row>
    <row r="1267">
      <c r="A1267" s="4"/>
      <c r="C1267" s="4"/>
      <c r="D1267" s="4"/>
      <c r="E1267" s="8"/>
      <c r="F1267" s="8"/>
      <c r="G1267" s="8"/>
      <c r="H1267" s="9"/>
    </row>
    <row r="1268">
      <c r="A1268" s="4"/>
      <c r="C1268" s="4"/>
      <c r="D1268" s="4"/>
      <c r="E1268" s="8"/>
      <c r="F1268" s="8"/>
      <c r="G1268" s="8"/>
      <c r="H1268" s="9"/>
    </row>
    <row r="1269">
      <c r="A1269" s="4"/>
      <c r="C1269" s="4"/>
      <c r="D1269" s="4"/>
      <c r="E1269" s="8"/>
      <c r="F1269" s="8"/>
      <c r="G1269" s="8"/>
      <c r="H1269" s="9"/>
    </row>
    <row r="1270">
      <c r="A1270" s="4"/>
      <c r="C1270" s="4"/>
      <c r="D1270" s="4"/>
      <c r="E1270" s="8"/>
      <c r="F1270" s="8"/>
      <c r="G1270" s="8"/>
      <c r="H1270" s="9"/>
    </row>
    <row r="1271">
      <c r="A1271" s="4"/>
      <c r="C1271" s="4"/>
      <c r="D1271" s="4"/>
      <c r="E1271" s="8"/>
      <c r="F1271" s="8"/>
      <c r="G1271" s="8"/>
      <c r="H1271" s="9"/>
    </row>
    <row r="1272">
      <c r="A1272" s="4"/>
      <c r="C1272" s="4"/>
      <c r="D1272" s="4"/>
      <c r="E1272" s="8"/>
      <c r="F1272" s="8"/>
      <c r="G1272" s="8"/>
      <c r="H1272" s="9"/>
    </row>
    <row r="1273">
      <c r="A1273" s="4"/>
      <c r="C1273" s="4"/>
      <c r="D1273" s="4"/>
      <c r="E1273" s="8"/>
      <c r="F1273" s="8"/>
      <c r="G1273" s="8"/>
      <c r="H1273" s="9"/>
    </row>
    <row r="1274">
      <c r="A1274" s="4"/>
      <c r="C1274" s="4"/>
      <c r="D1274" s="4"/>
      <c r="E1274" s="8"/>
      <c r="F1274" s="8"/>
      <c r="G1274" s="8"/>
      <c r="H1274" s="9"/>
    </row>
    <row r="1275">
      <c r="A1275" s="4"/>
      <c r="C1275" s="4"/>
      <c r="D1275" s="4"/>
      <c r="E1275" s="8"/>
      <c r="F1275" s="8"/>
      <c r="G1275" s="8"/>
      <c r="H1275" s="9"/>
    </row>
    <row r="1276">
      <c r="A1276" s="4"/>
      <c r="C1276" s="4"/>
      <c r="D1276" s="4"/>
      <c r="E1276" s="8"/>
      <c r="F1276" s="8"/>
      <c r="G1276" s="8"/>
      <c r="H1276" s="9"/>
    </row>
    <row r="1277">
      <c r="A1277" s="4"/>
      <c r="C1277" s="4"/>
      <c r="D1277" s="4"/>
      <c r="E1277" s="8"/>
      <c r="F1277" s="8"/>
      <c r="G1277" s="8"/>
      <c r="H1277" s="9"/>
    </row>
    <row r="1278">
      <c r="A1278" s="4"/>
      <c r="C1278" s="4"/>
      <c r="D1278" s="4"/>
      <c r="E1278" s="8"/>
      <c r="F1278" s="8"/>
      <c r="G1278" s="8"/>
      <c r="H1278" s="9"/>
    </row>
    <row r="1279">
      <c r="A1279" s="4"/>
      <c r="C1279" s="4"/>
      <c r="D1279" s="4"/>
      <c r="E1279" s="8"/>
      <c r="F1279" s="8"/>
      <c r="G1279" s="8"/>
      <c r="H1279" s="9"/>
    </row>
    <row r="1280">
      <c r="A1280" s="4"/>
      <c r="C1280" s="4"/>
      <c r="D1280" s="4"/>
      <c r="E1280" s="8"/>
      <c r="F1280" s="8"/>
      <c r="G1280" s="8"/>
      <c r="H1280" s="9"/>
    </row>
    <row r="1281">
      <c r="A1281" s="4"/>
      <c r="C1281" s="4"/>
      <c r="D1281" s="4"/>
      <c r="E1281" s="8"/>
      <c r="F1281" s="8"/>
      <c r="G1281" s="8"/>
      <c r="H1281" s="9"/>
    </row>
    <row r="1282">
      <c r="A1282" s="4"/>
      <c r="C1282" s="4"/>
      <c r="D1282" s="4"/>
      <c r="E1282" s="8"/>
      <c r="F1282" s="8"/>
      <c r="G1282" s="8"/>
      <c r="H1282" s="9"/>
    </row>
    <row r="1283">
      <c r="A1283" s="4"/>
      <c r="C1283" s="4"/>
      <c r="D1283" s="4"/>
      <c r="E1283" s="8"/>
      <c r="F1283" s="8"/>
      <c r="G1283" s="8"/>
      <c r="H1283" s="9"/>
    </row>
    <row r="1284">
      <c r="A1284" s="4"/>
      <c r="C1284" s="4"/>
      <c r="D1284" s="4"/>
      <c r="E1284" s="8"/>
      <c r="F1284" s="8"/>
      <c r="G1284" s="8"/>
      <c r="H1284" s="9"/>
    </row>
    <row r="1285">
      <c r="A1285" s="4"/>
      <c r="C1285" s="4"/>
      <c r="D1285" s="4"/>
      <c r="E1285" s="8"/>
      <c r="F1285" s="8"/>
      <c r="G1285" s="8"/>
      <c r="H1285" s="9"/>
    </row>
    <row r="1286">
      <c r="A1286" s="4"/>
      <c r="C1286" s="4"/>
      <c r="D1286" s="4"/>
      <c r="E1286" s="8"/>
      <c r="F1286" s="8"/>
      <c r="G1286" s="8"/>
      <c r="H1286" s="9"/>
    </row>
    <row r="1287">
      <c r="A1287" s="4"/>
      <c r="C1287" s="4"/>
      <c r="D1287" s="4"/>
      <c r="E1287" s="8"/>
      <c r="F1287" s="8"/>
      <c r="G1287" s="8"/>
      <c r="H1287" s="9"/>
    </row>
    <row r="1288">
      <c r="A1288" s="4"/>
      <c r="C1288" s="4"/>
      <c r="D1288" s="4"/>
      <c r="E1288" s="8"/>
      <c r="F1288" s="8"/>
      <c r="G1288" s="8"/>
      <c r="H1288" s="9"/>
    </row>
    <row r="1289">
      <c r="A1289" s="4"/>
      <c r="C1289" s="4"/>
      <c r="D1289" s="4"/>
      <c r="E1289" s="8"/>
      <c r="F1289" s="8"/>
      <c r="G1289" s="8"/>
      <c r="H1289" s="9"/>
    </row>
    <row r="1290">
      <c r="A1290" s="4"/>
      <c r="C1290" s="4"/>
      <c r="D1290" s="4"/>
      <c r="E1290" s="8"/>
      <c r="F1290" s="8"/>
      <c r="G1290" s="8"/>
      <c r="H1290" s="9"/>
    </row>
    <row r="1291">
      <c r="A1291" s="4"/>
      <c r="C1291" s="4"/>
      <c r="D1291" s="4"/>
      <c r="E1291" s="8"/>
      <c r="F1291" s="8"/>
      <c r="G1291" s="8"/>
      <c r="H1291" s="9"/>
    </row>
    <row r="1292">
      <c r="A1292" s="4"/>
      <c r="C1292" s="4"/>
      <c r="D1292" s="4"/>
      <c r="E1292" s="8"/>
      <c r="F1292" s="8"/>
      <c r="G1292" s="8"/>
      <c r="H1292" s="9"/>
    </row>
    <row r="1293">
      <c r="A1293" s="4"/>
      <c r="C1293" s="4"/>
      <c r="D1293" s="4"/>
      <c r="E1293" s="8"/>
      <c r="F1293" s="8"/>
      <c r="G1293" s="8"/>
      <c r="H1293" s="9"/>
    </row>
    <row r="1294">
      <c r="A1294" s="4"/>
      <c r="C1294" s="4"/>
      <c r="D1294" s="4"/>
      <c r="E1294" s="8"/>
      <c r="F1294" s="8"/>
      <c r="G1294" s="8"/>
      <c r="H1294" s="9"/>
    </row>
    <row r="1295">
      <c r="A1295" s="4"/>
      <c r="C1295" s="4"/>
      <c r="D1295" s="4"/>
      <c r="E1295" s="8"/>
      <c r="F1295" s="8"/>
      <c r="G1295" s="8"/>
      <c r="H1295" s="9"/>
    </row>
    <row r="1296">
      <c r="A1296" s="4"/>
      <c r="C1296" s="4"/>
      <c r="D1296" s="4"/>
      <c r="E1296" s="8"/>
      <c r="F1296" s="8"/>
      <c r="G1296" s="8"/>
      <c r="H1296" s="9"/>
    </row>
    <row r="1297">
      <c r="A1297" s="4"/>
      <c r="C1297" s="4"/>
      <c r="D1297" s="4"/>
      <c r="E1297" s="8"/>
      <c r="F1297" s="8"/>
      <c r="G1297" s="8"/>
      <c r="H1297" s="9"/>
    </row>
    <row r="1298">
      <c r="A1298" s="4"/>
      <c r="C1298" s="4"/>
      <c r="D1298" s="4"/>
      <c r="E1298" s="8"/>
      <c r="F1298" s="8"/>
      <c r="G1298" s="8"/>
      <c r="H1298" s="9"/>
    </row>
    <row r="1299">
      <c r="A1299" s="4"/>
      <c r="C1299" s="4"/>
      <c r="D1299" s="4"/>
      <c r="E1299" s="8"/>
      <c r="F1299" s="8"/>
      <c r="G1299" s="8"/>
      <c r="H1299" s="9"/>
    </row>
    <row r="1300">
      <c r="A1300" s="4"/>
      <c r="C1300" s="4"/>
      <c r="D1300" s="4"/>
      <c r="E1300" s="8"/>
      <c r="F1300" s="8"/>
      <c r="G1300" s="8"/>
      <c r="H1300" s="9"/>
    </row>
    <row r="1301">
      <c r="A1301" s="4"/>
      <c r="C1301" s="4"/>
      <c r="D1301" s="4"/>
      <c r="E1301" s="8"/>
      <c r="F1301" s="8"/>
      <c r="G1301" s="8"/>
      <c r="H1301" s="9"/>
    </row>
    <row r="1302">
      <c r="A1302" s="4"/>
      <c r="C1302" s="4"/>
      <c r="D1302" s="4"/>
      <c r="E1302" s="8"/>
      <c r="F1302" s="8"/>
      <c r="G1302" s="8"/>
      <c r="H1302" s="9"/>
    </row>
    <row r="1303">
      <c r="A1303" s="4"/>
      <c r="C1303" s="4"/>
      <c r="D1303" s="4"/>
      <c r="E1303" s="8"/>
      <c r="F1303" s="8"/>
      <c r="G1303" s="8"/>
      <c r="H1303" s="9"/>
    </row>
    <row r="1304">
      <c r="A1304" s="4"/>
      <c r="C1304" s="4"/>
      <c r="D1304" s="4"/>
      <c r="E1304" s="8"/>
      <c r="F1304" s="8"/>
      <c r="G1304" s="8"/>
      <c r="H1304" s="9"/>
    </row>
    <row r="1305">
      <c r="A1305" s="4"/>
      <c r="C1305" s="4"/>
      <c r="D1305" s="4"/>
      <c r="E1305" s="8"/>
      <c r="F1305" s="8"/>
      <c r="G1305" s="8"/>
      <c r="H1305" s="9"/>
    </row>
    <row r="1306">
      <c r="A1306" s="4"/>
      <c r="C1306" s="4"/>
      <c r="D1306" s="4"/>
      <c r="E1306" s="8"/>
      <c r="F1306" s="8"/>
      <c r="G1306" s="8"/>
      <c r="H1306" s="9"/>
    </row>
    <row r="1307">
      <c r="A1307" s="4"/>
      <c r="C1307" s="4"/>
      <c r="D1307" s="4"/>
      <c r="E1307" s="8"/>
      <c r="F1307" s="8"/>
      <c r="G1307" s="8"/>
      <c r="H1307" s="9"/>
    </row>
    <row r="1308">
      <c r="A1308" s="4"/>
      <c r="C1308" s="4"/>
      <c r="D1308" s="4"/>
      <c r="E1308" s="8"/>
      <c r="F1308" s="8"/>
      <c r="G1308" s="8"/>
      <c r="H1308" s="9"/>
    </row>
    <row r="1309">
      <c r="A1309" s="4"/>
      <c r="C1309" s="4"/>
      <c r="D1309" s="4"/>
      <c r="E1309" s="8"/>
      <c r="F1309" s="8"/>
      <c r="G1309" s="8"/>
      <c r="H1309" s="9"/>
    </row>
    <row r="1310">
      <c r="A1310" s="4"/>
      <c r="C1310" s="4"/>
      <c r="D1310" s="4"/>
      <c r="E1310" s="8"/>
      <c r="F1310" s="8"/>
      <c r="G1310" s="8"/>
      <c r="H1310" s="9"/>
    </row>
    <row r="1311">
      <c r="A1311" s="4"/>
      <c r="C1311" s="4"/>
      <c r="D1311" s="4"/>
      <c r="E1311" s="8"/>
      <c r="F1311" s="8"/>
      <c r="G1311" s="8"/>
      <c r="H1311" s="9"/>
    </row>
    <row r="1312">
      <c r="A1312" s="4"/>
      <c r="C1312" s="4"/>
      <c r="D1312" s="4"/>
      <c r="E1312" s="8"/>
      <c r="F1312" s="8"/>
      <c r="G1312" s="8"/>
      <c r="H1312" s="9"/>
    </row>
    <row r="1313">
      <c r="A1313" s="4"/>
      <c r="C1313" s="4"/>
      <c r="D1313" s="4"/>
      <c r="E1313" s="8"/>
      <c r="F1313" s="8"/>
      <c r="G1313" s="8"/>
      <c r="H1313" s="9"/>
    </row>
    <row r="1314">
      <c r="A1314" s="4"/>
      <c r="C1314" s="4"/>
      <c r="D1314" s="4"/>
      <c r="E1314" s="8"/>
      <c r="F1314" s="8"/>
      <c r="G1314" s="8"/>
      <c r="H1314" s="9"/>
    </row>
    <row r="1315">
      <c r="A1315" s="4"/>
      <c r="C1315" s="4"/>
      <c r="D1315" s="4"/>
      <c r="E1315" s="8"/>
      <c r="F1315" s="8"/>
      <c r="G1315" s="8"/>
      <c r="H1315" s="9"/>
    </row>
    <row r="1316">
      <c r="A1316" s="4"/>
      <c r="C1316" s="4"/>
      <c r="D1316" s="4"/>
      <c r="E1316" s="8"/>
      <c r="F1316" s="8"/>
      <c r="G1316" s="8"/>
      <c r="H1316" s="9"/>
    </row>
    <row r="1317">
      <c r="A1317" s="4"/>
      <c r="C1317" s="4"/>
      <c r="D1317" s="4"/>
      <c r="E1317" s="8"/>
      <c r="F1317" s="8"/>
      <c r="G1317" s="8"/>
      <c r="H1317" s="9"/>
    </row>
    <row r="1318">
      <c r="A1318" s="4"/>
      <c r="C1318" s="4"/>
      <c r="D1318" s="4"/>
      <c r="E1318" s="8"/>
      <c r="F1318" s="8"/>
      <c r="G1318" s="8"/>
      <c r="H1318" s="9"/>
    </row>
    <row r="1319">
      <c r="A1319" s="4"/>
      <c r="C1319" s="4"/>
      <c r="D1319" s="4"/>
      <c r="E1319" s="8"/>
      <c r="F1319" s="8"/>
      <c r="G1319" s="8"/>
      <c r="H1319" s="9"/>
    </row>
    <row r="1320">
      <c r="A1320" s="4"/>
      <c r="C1320" s="4"/>
      <c r="D1320" s="4"/>
      <c r="E1320" s="8"/>
      <c r="F1320" s="8"/>
      <c r="G1320" s="8"/>
      <c r="H1320" s="9"/>
    </row>
    <row r="1321">
      <c r="A1321" s="4"/>
      <c r="C1321" s="4"/>
      <c r="D1321" s="4"/>
      <c r="E1321" s="8"/>
      <c r="F1321" s="8"/>
      <c r="G1321" s="8"/>
      <c r="H1321" s="9"/>
    </row>
    <row r="1322">
      <c r="A1322" s="4"/>
      <c r="C1322" s="4"/>
      <c r="D1322" s="4"/>
      <c r="E1322" s="8"/>
      <c r="F1322" s="8"/>
      <c r="G1322" s="8"/>
      <c r="H1322" s="9"/>
    </row>
    <row r="1323">
      <c r="A1323" s="4"/>
      <c r="C1323" s="4"/>
      <c r="D1323" s="4"/>
      <c r="E1323" s="8"/>
      <c r="F1323" s="8"/>
      <c r="G1323" s="8"/>
      <c r="H1323" s="9"/>
    </row>
    <row r="1324">
      <c r="A1324" s="4"/>
      <c r="C1324" s="4"/>
      <c r="D1324" s="4"/>
      <c r="E1324" s="8"/>
      <c r="F1324" s="8"/>
      <c r="G1324" s="8"/>
      <c r="H1324" s="9"/>
    </row>
    <row r="1325">
      <c r="A1325" s="4"/>
      <c r="C1325" s="4"/>
      <c r="D1325" s="4"/>
      <c r="E1325" s="8"/>
      <c r="F1325" s="8"/>
      <c r="G1325" s="8"/>
      <c r="H1325" s="9"/>
    </row>
    <row r="1326">
      <c r="A1326" s="4"/>
      <c r="C1326" s="4"/>
      <c r="D1326" s="4"/>
      <c r="E1326" s="8"/>
      <c r="F1326" s="8"/>
      <c r="G1326" s="8"/>
      <c r="H1326" s="9"/>
    </row>
    <row r="1327">
      <c r="A1327" s="4"/>
      <c r="C1327" s="4"/>
      <c r="D1327" s="4"/>
      <c r="E1327" s="8"/>
      <c r="F1327" s="8"/>
      <c r="G1327" s="8"/>
      <c r="H1327" s="9"/>
    </row>
    <row r="1328">
      <c r="A1328" s="4"/>
      <c r="C1328" s="4"/>
      <c r="D1328" s="4"/>
      <c r="E1328" s="8"/>
      <c r="F1328" s="8"/>
      <c r="G1328" s="8"/>
      <c r="H1328" s="9"/>
    </row>
    <row r="1329">
      <c r="A1329" s="4"/>
      <c r="C1329" s="4"/>
      <c r="D1329" s="4"/>
      <c r="E1329" s="8"/>
      <c r="F1329" s="8"/>
      <c r="G1329" s="8"/>
      <c r="H1329" s="9"/>
    </row>
    <row r="1330">
      <c r="A1330" s="4"/>
      <c r="C1330" s="4"/>
      <c r="D1330" s="4"/>
      <c r="E1330" s="8"/>
      <c r="F1330" s="8"/>
      <c r="G1330" s="8"/>
      <c r="H1330" s="9"/>
    </row>
    <row r="1331">
      <c r="A1331" s="4"/>
      <c r="C1331" s="4"/>
      <c r="D1331" s="4"/>
      <c r="E1331" s="8"/>
      <c r="F1331" s="8"/>
      <c r="G1331" s="8"/>
      <c r="H1331" s="9"/>
    </row>
    <row r="1332">
      <c r="A1332" s="4"/>
      <c r="C1332" s="4"/>
      <c r="D1332" s="4"/>
      <c r="E1332" s="8"/>
      <c r="F1332" s="8"/>
      <c r="G1332" s="8"/>
      <c r="H1332" s="9"/>
    </row>
    <row r="1333">
      <c r="A1333" s="4"/>
      <c r="C1333" s="4"/>
      <c r="D1333" s="4"/>
      <c r="E1333" s="8"/>
      <c r="F1333" s="8"/>
      <c r="G1333" s="8"/>
      <c r="H1333" s="9"/>
    </row>
    <row r="1334">
      <c r="A1334" s="4"/>
      <c r="C1334" s="4"/>
      <c r="D1334" s="4"/>
      <c r="E1334" s="8"/>
      <c r="F1334" s="8"/>
      <c r="G1334" s="8"/>
      <c r="H1334" s="9"/>
    </row>
    <row r="1335">
      <c r="A1335" s="4"/>
      <c r="C1335" s="4"/>
      <c r="D1335" s="4"/>
      <c r="E1335" s="8"/>
      <c r="F1335" s="8"/>
      <c r="G1335" s="8"/>
      <c r="H1335" s="9"/>
    </row>
    <row r="1336">
      <c r="A1336" s="4"/>
      <c r="C1336" s="4"/>
      <c r="D1336" s="4"/>
      <c r="E1336" s="8"/>
      <c r="F1336" s="8"/>
      <c r="G1336" s="8"/>
      <c r="H1336" s="9"/>
    </row>
    <row r="1337">
      <c r="A1337" s="4"/>
      <c r="C1337" s="4"/>
      <c r="D1337" s="4"/>
      <c r="E1337" s="8"/>
      <c r="F1337" s="8"/>
      <c r="G1337" s="8"/>
      <c r="H1337" s="9"/>
    </row>
    <row r="1338">
      <c r="A1338" s="4"/>
      <c r="C1338" s="4"/>
      <c r="D1338" s="4"/>
      <c r="E1338" s="8"/>
      <c r="F1338" s="8"/>
      <c r="G1338" s="8"/>
      <c r="H1338" s="9"/>
    </row>
    <row r="1339">
      <c r="A1339" s="4"/>
      <c r="C1339" s="4"/>
      <c r="D1339" s="4"/>
      <c r="E1339" s="8"/>
      <c r="F1339" s="8"/>
      <c r="G1339" s="8"/>
      <c r="H1339" s="9"/>
    </row>
    <row r="1340">
      <c r="A1340" s="4"/>
      <c r="C1340" s="4"/>
      <c r="D1340" s="4"/>
      <c r="E1340" s="8"/>
      <c r="F1340" s="8"/>
      <c r="G1340" s="8"/>
      <c r="H1340" s="9"/>
    </row>
    <row r="1341">
      <c r="A1341" s="4"/>
      <c r="C1341" s="4"/>
      <c r="D1341" s="4"/>
      <c r="E1341" s="8"/>
      <c r="F1341" s="8"/>
      <c r="G1341" s="8"/>
      <c r="H1341" s="9"/>
    </row>
    <row r="1342">
      <c r="A1342" s="4"/>
      <c r="C1342" s="4"/>
      <c r="D1342" s="4"/>
      <c r="E1342" s="8"/>
      <c r="F1342" s="8"/>
      <c r="G1342" s="8"/>
      <c r="H1342" s="9"/>
    </row>
    <row r="1343">
      <c r="A1343" s="4"/>
      <c r="C1343" s="4"/>
      <c r="D1343" s="4"/>
      <c r="E1343" s="8"/>
      <c r="F1343" s="8"/>
      <c r="G1343" s="8"/>
      <c r="H1343" s="9"/>
    </row>
    <row r="1344">
      <c r="A1344" s="4"/>
      <c r="C1344" s="4"/>
      <c r="D1344" s="4"/>
      <c r="E1344" s="8"/>
      <c r="F1344" s="8"/>
      <c r="G1344" s="8"/>
      <c r="H1344" s="9"/>
    </row>
    <row r="1345">
      <c r="A1345" s="4"/>
      <c r="C1345" s="4"/>
      <c r="D1345" s="4"/>
      <c r="E1345" s="8"/>
      <c r="F1345" s="8"/>
      <c r="G1345" s="8"/>
      <c r="H1345" s="9"/>
    </row>
    <row r="1346">
      <c r="A1346" s="4"/>
      <c r="C1346" s="4"/>
      <c r="D1346" s="4"/>
      <c r="E1346" s="8"/>
      <c r="F1346" s="8"/>
      <c r="G1346" s="8"/>
      <c r="H1346" s="9"/>
    </row>
    <row r="1347">
      <c r="A1347" s="4"/>
      <c r="C1347" s="4"/>
      <c r="D1347" s="4"/>
      <c r="E1347" s="8"/>
      <c r="F1347" s="8"/>
      <c r="G1347" s="8"/>
      <c r="H1347" s="9"/>
    </row>
    <row r="1348">
      <c r="A1348" s="4"/>
      <c r="C1348" s="4"/>
      <c r="D1348" s="4"/>
      <c r="E1348" s="8"/>
      <c r="F1348" s="8"/>
      <c r="G1348" s="8"/>
      <c r="H1348" s="9"/>
    </row>
    <row r="1349">
      <c r="A1349" s="4"/>
      <c r="C1349" s="4"/>
      <c r="D1349" s="4"/>
      <c r="E1349" s="8"/>
      <c r="F1349" s="8"/>
      <c r="G1349" s="8"/>
      <c r="H1349" s="9"/>
    </row>
    <row r="1350">
      <c r="A1350" s="4"/>
      <c r="C1350" s="4"/>
      <c r="D1350" s="4"/>
      <c r="E1350" s="8"/>
      <c r="F1350" s="8"/>
      <c r="G1350" s="8"/>
      <c r="H1350" s="9"/>
    </row>
    <row r="1351">
      <c r="A1351" s="4"/>
      <c r="C1351" s="4"/>
      <c r="D1351" s="4"/>
      <c r="E1351" s="8"/>
      <c r="F1351" s="8"/>
      <c r="G1351" s="8"/>
      <c r="H1351" s="9"/>
    </row>
    <row r="1352">
      <c r="A1352" s="4"/>
      <c r="C1352" s="4"/>
      <c r="D1352" s="4"/>
      <c r="E1352" s="8"/>
      <c r="F1352" s="8"/>
      <c r="G1352" s="8"/>
      <c r="H1352" s="9"/>
    </row>
    <row r="1353">
      <c r="A1353" s="4"/>
      <c r="C1353" s="4"/>
      <c r="D1353" s="4"/>
      <c r="E1353" s="8"/>
      <c r="F1353" s="8"/>
      <c r="G1353" s="8"/>
      <c r="H1353" s="9"/>
    </row>
    <row r="1354">
      <c r="A1354" s="4"/>
      <c r="C1354" s="4"/>
      <c r="D1354" s="4"/>
      <c r="E1354" s="8"/>
      <c r="F1354" s="8"/>
      <c r="G1354" s="8"/>
      <c r="H1354" s="9"/>
    </row>
    <row r="1355">
      <c r="A1355" s="4"/>
      <c r="C1355" s="4"/>
      <c r="D1355" s="4"/>
      <c r="E1355" s="8"/>
      <c r="F1355" s="8"/>
      <c r="G1355" s="8"/>
      <c r="H1355" s="9"/>
    </row>
    <row r="1356">
      <c r="A1356" s="4"/>
      <c r="C1356" s="4"/>
      <c r="D1356" s="4"/>
      <c r="E1356" s="8"/>
      <c r="F1356" s="8"/>
      <c r="G1356" s="8"/>
      <c r="H1356" s="9"/>
    </row>
    <row r="1357">
      <c r="A1357" s="4"/>
      <c r="C1357" s="4"/>
      <c r="D1357" s="4"/>
      <c r="E1357" s="8"/>
      <c r="F1357" s="8"/>
      <c r="G1357" s="8"/>
      <c r="H1357" s="9"/>
    </row>
    <row r="1358">
      <c r="A1358" s="4"/>
      <c r="C1358" s="4"/>
      <c r="D1358" s="4"/>
      <c r="E1358" s="8"/>
      <c r="F1358" s="8"/>
      <c r="G1358" s="8"/>
      <c r="H1358" s="9"/>
    </row>
    <row r="1359">
      <c r="A1359" s="4"/>
      <c r="C1359" s="4"/>
      <c r="D1359" s="4"/>
      <c r="E1359" s="8"/>
      <c r="F1359" s="8"/>
      <c r="G1359" s="8"/>
      <c r="H1359" s="9"/>
    </row>
    <row r="1360">
      <c r="A1360" s="4"/>
      <c r="C1360" s="4"/>
      <c r="D1360" s="4"/>
      <c r="E1360" s="8"/>
      <c r="F1360" s="8"/>
      <c r="G1360" s="8"/>
      <c r="H1360" s="9"/>
    </row>
    <row r="1361">
      <c r="A1361" s="4"/>
      <c r="C1361" s="4"/>
      <c r="D1361" s="4"/>
      <c r="E1361" s="8"/>
      <c r="F1361" s="8"/>
      <c r="G1361" s="8"/>
      <c r="H1361" s="9"/>
    </row>
    <row r="1362">
      <c r="A1362" s="4"/>
      <c r="C1362" s="4"/>
      <c r="D1362" s="4"/>
      <c r="E1362" s="8"/>
      <c r="F1362" s="8"/>
      <c r="G1362" s="8"/>
      <c r="H1362" s="9"/>
    </row>
    <row r="1363">
      <c r="A1363" s="4"/>
      <c r="C1363" s="4"/>
      <c r="D1363" s="4"/>
      <c r="E1363" s="8"/>
      <c r="F1363" s="8"/>
      <c r="G1363" s="8"/>
      <c r="H1363" s="9"/>
    </row>
    <row r="1364">
      <c r="A1364" s="4"/>
      <c r="C1364" s="4"/>
      <c r="D1364" s="4"/>
      <c r="E1364" s="8"/>
      <c r="F1364" s="8"/>
      <c r="G1364" s="8"/>
      <c r="H1364" s="9"/>
    </row>
    <row r="1365">
      <c r="A1365" s="4"/>
      <c r="C1365" s="4"/>
      <c r="D1365" s="4"/>
      <c r="E1365" s="8"/>
      <c r="F1365" s="8"/>
      <c r="G1365" s="8"/>
      <c r="H1365" s="9"/>
    </row>
    <row r="1366">
      <c r="A1366" s="4"/>
      <c r="C1366" s="4"/>
      <c r="D1366" s="4"/>
      <c r="E1366" s="8"/>
      <c r="F1366" s="8"/>
      <c r="G1366" s="8"/>
      <c r="H1366" s="9"/>
    </row>
    <row r="1367">
      <c r="A1367" s="4"/>
      <c r="C1367" s="4"/>
      <c r="D1367" s="4"/>
      <c r="E1367" s="8"/>
      <c r="F1367" s="8"/>
      <c r="G1367" s="8"/>
      <c r="H1367" s="9"/>
    </row>
    <row r="1368">
      <c r="A1368" s="4"/>
      <c r="C1368" s="4"/>
      <c r="D1368" s="4"/>
      <c r="E1368" s="8"/>
      <c r="F1368" s="8"/>
      <c r="G1368" s="8"/>
      <c r="H1368" s="9"/>
    </row>
    <row r="1369">
      <c r="A1369" s="4"/>
      <c r="C1369" s="4"/>
      <c r="D1369" s="4"/>
      <c r="E1369" s="8"/>
      <c r="F1369" s="8"/>
      <c r="G1369" s="8"/>
      <c r="H1369" s="9"/>
    </row>
    <row r="1370">
      <c r="A1370" s="4"/>
      <c r="C1370" s="4"/>
      <c r="D1370" s="4"/>
      <c r="E1370" s="8"/>
      <c r="F1370" s="8"/>
      <c r="G1370" s="8"/>
      <c r="H1370" s="9"/>
    </row>
    <row r="1371">
      <c r="A1371" s="4"/>
      <c r="C1371" s="4"/>
      <c r="D1371" s="4"/>
      <c r="E1371" s="8"/>
      <c r="F1371" s="8"/>
      <c r="G1371" s="8"/>
      <c r="H1371" s="9"/>
    </row>
    <row r="1372">
      <c r="A1372" s="4"/>
      <c r="C1372" s="4"/>
      <c r="D1372" s="4"/>
      <c r="E1372" s="8"/>
      <c r="F1372" s="8"/>
      <c r="G1372" s="8"/>
      <c r="H1372" s="9"/>
    </row>
    <row r="1373">
      <c r="A1373" s="4"/>
      <c r="C1373" s="4"/>
      <c r="D1373" s="4"/>
      <c r="E1373" s="8"/>
      <c r="F1373" s="8"/>
      <c r="G1373" s="8"/>
      <c r="H1373" s="9"/>
    </row>
    <row r="1374">
      <c r="A1374" s="4"/>
      <c r="C1374" s="4"/>
      <c r="D1374" s="4"/>
      <c r="E1374" s="8"/>
      <c r="F1374" s="8"/>
      <c r="G1374" s="8"/>
      <c r="H1374" s="9"/>
    </row>
    <row r="1375">
      <c r="A1375" s="4"/>
      <c r="C1375" s="4"/>
      <c r="D1375" s="4"/>
      <c r="E1375" s="8"/>
      <c r="F1375" s="8"/>
      <c r="G1375" s="8"/>
      <c r="H1375" s="9"/>
    </row>
    <row r="1376">
      <c r="A1376" s="4"/>
      <c r="C1376" s="4"/>
      <c r="D1376" s="4"/>
      <c r="E1376" s="8"/>
      <c r="F1376" s="8"/>
      <c r="G1376" s="8"/>
      <c r="H1376" s="9"/>
    </row>
    <row r="1377">
      <c r="A1377" s="4"/>
      <c r="C1377" s="4"/>
      <c r="D1377" s="4"/>
      <c r="E1377" s="8"/>
      <c r="F1377" s="8"/>
      <c r="G1377" s="8"/>
      <c r="H1377" s="9"/>
    </row>
    <row r="1378">
      <c r="A1378" s="4"/>
      <c r="C1378" s="4"/>
      <c r="D1378" s="4"/>
      <c r="E1378" s="8"/>
      <c r="F1378" s="8"/>
      <c r="G1378" s="8"/>
      <c r="H1378" s="9"/>
    </row>
    <row r="1379">
      <c r="A1379" s="4"/>
      <c r="C1379" s="4"/>
      <c r="D1379" s="4"/>
      <c r="E1379" s="8"/>
      <c r="F1379" s="8"/>
      <c r="G1379" s="8"/>
      <c r="H1379" s="9"/>
    </row>
    <row r="1380">
      <c r="A1380" s="4"/>
      <c r="C1380" s="4"/>
      <c r="D1380" s="4"/>
      <c r="E1380" s="8"/>
      <c r="F1380" s="8"/>
      <c r="G1380" s="8"/>
      <c r="H1380" s="9"/>
    </row>
    <row r="1381">
      <c r="A1381" s="4"/>
      <c r="C1381" s="4"/>
      <c r="D1381" s="4"/>
      <c r="E1381" s="8"/>
      <c r="F1381" s="8"/>
      <c r="G1381" s="8"/>
      <c r="H1381" s="9"/>
    </row>
    <row r="1382">
      <c r="A1382" s="4"/>
      <c r="C1382" s="4"/>
      <c r="D1382" s="4"/>
      <c r="E1382" s="8"/>
      <c r="F1382" s="8"/>
      <c r="G1382" s="8"/>
      <c r="H1382" s="9"/>
    </row>
    <row r="1383">
      <c r="A1383" s="4"/>
      <c r="C1383" s="4"/>
      <c r="D1383" s="4"/>
      <c r="E1383" s="8"/>
      <c r="F1383" s="8"/>
      <c r="G1383" s="8"/>
      <c r="H1383" s="9"/>
    </row>
    <row r="1384">
      <c r="A1384" s="4"/>
      <c r="C1384" s="4"/>
      <c r="D1384" s="4"/>
      <c r="E1384" s="8"/>
      <c r="F1384" s="8"/>
      <c r="G1384" s="8"/>
      <c r="H1384" s="9"/>
    </row>
    <row r="1385">
      <c r="A1385" s="4"/>
      <c r="C1385" s="4"/>
      <c r="D1385" s="4"/>
      <c r="E1385" s="8"/>
      <c r="F1385" s="8"/>
      <c r="G1385" s="8"/>
      <c r="H1385" s="9"/>
    </row>
    <row r="1386">
      <c r="A1386" s="4"/>
      <c r="C1386" s="4"/>
      <c r="D1386" s="4"/>
      <c r="E1386" s="8"/>
      <c r="F1386" s="8"/>
      <c r="G1386" s="8"/>
      <c r="H1386" s="9"/>
    </row>
    <row r="1387">
      <c r="A1387" s="4"/>
      <c r="C1387" s="4"/>
      <c r="D1387" s="4"/>
      <c r="E1387" s="8"/>
      <c r="F1387" s="8"/>
      <c r="G1387" s="8"/>
      <c r="H1387" s="9"/>
    </row>
    <row r="1388">
      <c r="A1388" s="4"/>
      <c r="C1388" s="4"/>
      <c r="D1388" s="4"/>
      <c r="E1388" s="8"/>
      <c r="F1388" s="8"/>
      <c r="G1388" s="8"/>
      <c r="H1388" s="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13"/>
    <col customWidth="1" min="2" max="2" width="21.38"/>
    <col customWidth="1" min="3" max="3" width="8.75"/>
  </cols>
  <sheetData>
    <row r="1">
      <c r="A1" s="4" t="s">
        <v>5</v>
      </c>
      <c r="B1" s="5" t="s">
        <v>6</v>
      </c>
      <c r="C1" s="5" t="s">
        <v>7</v>
      </c>
      <c r="D1" s="5" t="s">
        <v>8</v>
      </c>
      <c r="E1" s="5" t="s">
        <v>9</v>
      </c>
    </row>
    <row r="2">
      <c r="A2" s="4" t="s">
        <v>1655</v>
      </c>
      <c r="E2" s="5">
        <v>500.0</v>
      </c>
    </row>
    <row r="3">
      <c r="A3" s="4" t="s">
        <v>1656</v>
      </c>
    </row>
    <row r="4">
      <c r="A4" s="4" t="s">
        <v>1656</v>
      </c>
    </row>
    <row r="5">
      <c r="A5" s="4" t="s">
        <v>1655</v>
      </c>
    </row>
    <row r="6">
      <c r="A6" s="4" t="s">
        <v>1656</v>
      </c>
    </row>
    <row r="7">
      <c r="A7" s="4" t="s">
        <v>1655</v>
      </c>
    </row>
    <row r="8">
      <c r="A8" s="4" t="s">
        <v>1657</v>
      </c>
    </row>
    <row r="9">
      <c r="A9" s="4" t="s">
        <v>1655</v>
      </c>
    </row>
    <row r="10">
      <c r="A10" s="4" t="s">
        <v>1656</v>
      </c>
    </row>
    <row r="11">
      <c r="A11" s="4" t="s">
        <v>1657</v>
      </c>
    </row>
    <row r="12">
      <c r="A12" s="4" t="s">
        <v>1655</v>
      </c>
    </row>
    <row r="13">
      <c r="A13" s="4" t="s">
        <v>1657</v>
      </c>
    </row>
    <row r="14">
      <c r="A14" s="4" t="s">
        <v>1657</v>
      </c>
    </row>
    <row r="15">
      <c r="A15" s="4" t="s">
        <v>1657</v>
      </c>
    </row>
    <row r="16">
      <c r="A16" s="4" t="s">
        <v>1656</v>
      </c>
    </row>
    <row r="17">
      <c r="A17" s="4" t="s">
        <v>1655</v>
      </c>
    </row>
    <row r="18">
      <c r="A18" s="4" t="s">
        <v>1656</v>
      </c>
    </row>
    <row r="19">
      <c r="A19" s="4" t="s">
        <v>1656</v>
      </c>
    </row>
    <row r="20">
      <c r="A20" s="4" t="s">
        <v>1657</v>
      </c>
    </row>
    <row r="21">
      <c r="A21" s="4" t="s">
        <v>1655</v>
      </c>
    </row>
    <row r="22">
      <c r="A22" s="4" t="s">
        <v>1655</v>
      </c>
    </row>
    <row r="23">
      <c r="A23" s="4" t="s">
        <v>1655</v>
      </c>
    </row>
    <row r="24">
      <c r="A24" s="4" t="s">
        <v>1656</v>
      </c>
    </row>
    <row r="25">
      <c r="A25" s="4" t="s">
        <v>1655</v>
      </c>
    </row>
    <row r="26">
      <c r="A26" s="4" t="s">
        <v>1657</v>
      </c>
    </row>
    <row r="27">
      <c r="A27" s="4" t="s">
        <v>1655</v>
      </c>
    </row>
    <row r="28">
      <c r="A28" s="4" t="s">
        <v>1655</v>
      </c>
    </row>
    <row r="29">
      <c r="A29" s="4" t="s">
        <v>1657</v>
      </c>
    </row>
    <row r="30">
      <c r="A30" s="4" t="s">
        <v>1657</v>
      </c>
    </row>
    <row r="31">
      <c r="A31" s="4" t="s">
        <v>1656</v>
      </c>
    </row>
    <row r="32">
      <c r="A32" s="4" t="s">
        <v>1656</v>
      </c>
    </row>
    <row r="33">
      <c r="A33" s="4" t="s">
        <v>1657</v>
      </c>
    </row>
    <row r="34">
      <c r="A34" s="4" t="s">
        <v>1657</v>
      </c>
    </row>
    <row r="35">
      <c r="A35" s="4" t="s">
        <v>1656</v>
      </c>
    </row>
    <row r="36">
      <c r="A36" s="4" t="s">
        <v>1655</v>
      </c>
    </row>
    <row r="37">
      <c r="A37" s="4" t="s">
        <v>1657</v>
      </c>
    </row>
    <row r="38">
      <c r="A38" s="4" t="s">
        <v>1656</v>
      </c>
    </row>
    <row r="39">
      <c r="A39" s="4" t="s">
        <v>1657</v>
      </c>
    </row>
    <row r="40">
      <c r="A40" s="4" t="s">
        <v>1655</v>
      </c>
    </row>
    <row r="41">
      <c r="A41" s="4" t="s">
        <v>1655</v>
      </c>
    </row>
    <row r="42">
      <c r="A42" s="4" t="s">
        <v>1655</v>
      </c>
    </row>
    <row r="43">
      <c r="A43" s="4" t="s">
        <v>1656</v>
      </c>
    </row>
    <row r="44">
      <c r="A44" s="4" t="s">
        <v>1657</v>
      </c>
    </row>
    <row r="45">
      <c r="A45" s="4" t="s">
        <v>1657</v>
      </c>
    </row>
    <row r="46">
      <c r="A46" s="4" t="s">
        <v>1656</v>
      </c>
    </row>
    <row r="47">
      <c r="A47" s="4" t="s">
        <v>1656</v>
      </c>
    </row>
    <row r="48">
      <c r="A48" s="4" t="s">
        <v>1655</v>
      </c>
    </row>
    <row r="49">
      <c r="A49" s="4" t="s">
        <v>1657</v>
      </c>
    </row>
    <row r="50">
      <c r="A50" s="4" t="s">
        <v>1655</v>
      </c>
    </row>
    <row r="51">
      <c r="A51" s="4" t="s">
        <v>1656</v>
      </c>
    </row>
    <row r="52">
      <c r="A52" s="4" t="s">
        <v>1655</v>
      </c>
    </row>
    <row r="53">
      <c r="A53" s="4" t="s">
        <v>1656</v>
      </c>
    </row>
    <row r="54">
      <c r="A54" s="4" t="s">
        <v>1656</v>
      </c>
    </row>
    <row r="55">
      <c r="A55" s="4" t="s">
        <v>1657</v>
      </c>
    </row>
    <row r="56">
      <c r="A56" s="4" t="s">
        <v>1657</v>
      </c>
    </row>
    <row r="57">
      <c r="A57" s="4" t="s">
        <v>1657</v>
      </c>
    </row>
    <row r="58">
      <c r="A58" s="4" t="s">
        <v>1657</v>
      </c>
    </row>
    <row r="59">
      <c r="A59" s="4" t="s">
        <v>1655</v>
      </c>
    </row>
    <row r="60">
      <c r="A60" s="4" t="s">
        <v>1657</v>
      </c>
    </row>
    <row r="61">
      <c r="A61" s="4" t="s">
        <v>1656</v>
      </c>
    </row>
    <row r="62">
      <c r="A62" s="4" t="s">
        <v>1655</v>
      </c>
    </row>
    <row r="63">
      <c r="A63" s="4" t="s">
        <v>1655</v>
      </c>
    </row>
    <row r="64">
      <c r="A64" s="4" t="s">
        <v>1657</v>
      </c>
    </row>
    <row r="65">
      <c r="A65" s="4" t="s">
        <v>1655</v>
      </c>
    </row>
    <row r="66">
      <c r="A66" s="4" t="s">
        <v>1656</v>
      </c>
    </row>
    <row r="67">
      <c r="A67" s="4" t="s">
        <v>1656</v>
      </c>
    </row>
    <row r="68">
      <c r="A68" s="4" t="s">
        <v>1657</v>
      </c>
    </row>
    <row r="69">
      <c r="A69" s="4" t="s">
        <v>1655</v>
      </c>
    </row>
    <row r="70">
      <c r="A70" s="4" t="s">
        <v>1656</v>
      </c>
    </row>
    <row r="71">
      <c r="A71" s="4" t="s">
        <v>1657</v>
      </c>
    </row>
    <row r="72">
      <c r="A72" s="4" t="s">
        <v>1656</v>
      </c>
    </row>
    <row r="73">
      <c r="A73" s="4" t="s">
        <v>1655</v>
      </c>
    </row>
    <row r="74">
      <c r="A74" s="4" t="s">
        <v>1656</v>
      </c>
    </row>
    <row r="75">
      <c r="A75" s="4" t="s">
        <v>1655</v>
      </c>
    </row>
    <row r="76">
      <c r="A76" s="4" t="s">
        <v>1655</v>
      </c>
    </row>
    <row r="77">
      <c r="A77" s="4" t="s">
        <v>1656</v>
      </c>
    </row>
    <row r="78">
      <c r="A78" s="4" t="s">
        <v>1657</v>
      </c>
    </row>
    <row r="79">
      <c r="A79" s="4" t="s">
        <v>1655</v>
      </c>
    </row>
    <row r="80">
      <c r="A80" s="4" t="s">
        <v>1657</v>
      </c>
    </row>
    <row r="81">
      <c r="A81" s="4" t="s">
        <v>1655</v>
      </c>
    </row>
    <row r="82">
      <c r="A82" s="4" t="s">
        <v>1657</v>
      </c>
    </row>
    <row r="83">
      <c r="A83" s="4" t="s">
        <v>1656</v>
      </c>
    </row>
    <row r="84">
      <c r="A84" s="4" t="s">
        <v>1655</v>
      </c>
    </row>
    <row r="85">
      <c r="A85" s="4" t="s">
        <v>1656</v>
      </c>
    </row>
    <row r="86">
      <c r="A86" s="4" t="s">
        <v>1655</v>
      </c>
    </row>
    <row r="87">
      <c r="A87" s="4" t="s">
        <v>1657</v>
      </c>
    </row>
    <row r="88">
      <c r="A88" s="4" t="s">
        <v>1657</v>
      </c>
    </row>
    <row r="89">
      <c r="A89" s="4" t="s">
        <v>1656</v>
      </c>
    </row>
    <row r="90">
      <c r="A90" s="4" t="s">
        <v>1656</v>
      </c>
    </row>
    <row r="91">
      <c r="A91" s="4" t="s">
        <v>1656</v>
      </c>
    </row>
    <row r="92">
      <c r="A92" s="4" t="s">
        <v>1656</v>
      </c>
    </row>
    <row r="93">
      <c r="A93" s="4" t="s">
        <v>1655</v>
      </c>
    </row>
    <row r="94">
      <c r="A94" s="4" t="s">
        <v>1655</v>
      </c>
    </row>
    <row r="95">
      <c r="A95" s="4" t="s">
        <v>1656</v>
      </c>
    </row>
    <row r="96">
      <c r="A96" s="4" t="s">
        <v>1655</v>
      </c>
    </row>
    <row r="97">
      <c r="A97" s="4" t="s">
        <v>1656</v>
      </c>
    </row>
    <row r="98">
      <c r="A98" s="4" t="s">
        <v>1656</v>
      </c>
    </row>
    <row r="99">
      <c r="A99" s="4" t="s">
        <v>1657</v>
      </c>
    </row>
    <row r="100">
      <c r="A100" s="4" t="s">
        <v>1657</v>
      </c>
    </row>
    <row r="101">
      <c r="A101" s="4" t="s">
        <v>1655</v>
      </c>
    </row>
    <row r="102">
      <c r="A102" s="4" t="s">
        <v>1655</v>
      </c>
    </row>
    <row r="103">
      <c r="A103" s="4" t="s">
        <v>1657</v>
      </c>
    </row>
    <row r="104">
      <c r="A104" s="4" t="s">
        <v>1656</v>
      </c>
    </row>
    <row r="105">
      <c r="A105" s="4" t="s">
        <v>1655</v>
      </c>
    </row>
    <row r="106">
      <c r="A106" s="4" t="s">
        <v>1657</v>
      </c>
    </row>
    <row r="107">
      <c r="A107" s="4" t="s">
        <v>1655</v>
      </c>
    </row>
    <row r="108">
      <c r="A108" s="4" t="s">
        <v>1655</v>
      </c>
    </row>
    <row r="109">
      <c r="A109" s="4" t="s">
        <v>1656</v>
      </c>
    </row>
    <row r="110">
      <c r="A110" s="4" t="s">
        <v>1655</v>
      </c>
    </row>
    <row r="111">
      <c r="A111" s="4" t="s">
        <v>1656</v>
      </c>
    </row>
    <row r="112">
      <c r="A112" s="4" t="s">
        <v>1657</v>
      </c>
    </row>
    <row r="113">
      <c r="A113" s="4" t="s">
        <v>1655</v>
      </c>
    </row>
    <row r="114">
      <c r="A114" s="4" t="s">
        <v>1656</v>
      </c>
    </row>
    <row r="115">
      <c r="A115" s="4" t="s">
        <v>1657</v>
      </c>
    </row>
    <row r="116">
      <c r="A116" s="4" t="s">
        <v>1657</v>
      </c>
    </row>
    <row r="117">
      <c r="A117" s="4" t="s">
        <v>1656</v>
      </c>
    </row>
    <row r="118">
      <c r="A118" s="4" t="s">
        <v>1655</v>
      </c>
    </row>
    <row r="119">
      <c r="A119" s="4" t="s">
        <v>1656</v>
      </c>
    </row>
    <row r="120">
      <c r="A120" s="4" t="s">
        <v>1655</v>
      </c>
    </row>
    <row r="121">
      <c r="A121" s="4" t="s">
        <v>1656</v>
      </c>
    </row>
    <row r="122">
      <c r="A122" s="4" t="s">
        <v>1655</v>
      </c>
    </row>
    <row r="123">
      <c r="A123" s="4" t="s">
        <v>1657</v>
      </c>
    </row>
    <row r="124">
      <c r="A124" s="4" t="s">
        <v>1655</v>
      </c>
    </row>
    <row r="125">
      <c r="A125" s="4" t="s">
        <v>1657</v>
      </c>
    </row>
    <row r="126">
      <c r="A126" s="4" t="s">
        <v>1657</v>
      </c>
    </row>
    <row r="127">
      <c r="A127" s="4" t="s">
        <v>1657</v>
      </c>
    </row>
    <row r="128">
      <c r="A128" s="4" t="s">
        <v>1657</v>
      </c>
    </row>
    <row r="129">
      <c r="A129" s="4" t="s">
        <v>1656</v>
      </c>
    </row>
    <row r="130">
      <c r="A130" s="4" t="s">
        <v>1656</v>
      </c>
    </row>
    <row r="131">
      <c r="A131" s="4" t="s">
        <v>1656</v>
      </c>
    </row>
    <row r="132">
      <c r="A132" s="4" t="s">
        <v>1656</v>
      </c>
    </row>
    <row r="133">
      <c r="A133" s="4" t="s">
        <v>1655</v>
      </c>
    </row>
    <row r="134">
      <c r="A134" s="4" t="s">
        <v>1657</v>
      </c>
    </row>
    <row r="135">
      <c r="A135" s="4" t="s">
        <v>1655</v>
      </c>
    </row>
    <row r="136">
      <c r="A136" s="4" t="s">
        <v>1657</v>
      </c>
    </row>
    <row r="137">
      <c r="A137" s="4" t="s">
        <v>1657</v>
      </c>
    </row>
    <row r="138">
      <c r="A138" s="4" t="s">
        <v>1655</v>
      </c>
    </row>
    <row r="139">
      <c r="A139" s="4" t="s">
        <v>1657</v>
      </c>
    </row>
    <row r="140">
      <c r="A140" s="4" t="s">
        <v>1657</v>
      </c>
    </row>
    <row r="141">
      <c r="A141" s="4" t="s">
        <v>1656</v>
      </c>
    </row>
    <row r="142">
      <c r="A142" s="4" t="s">
        <v>1655</v>
      </c>
    </row>
    <row r="143">
      <c r="A143" s="4" t="s">
        <v>1656</v>
      </c>
    </row>
    <row r="144">
      <c r="A144" s="4" t="s">
        <v>1655</v>
      </c>
    </row>
    <row r="145">
      <c r="A145" s="4" t="s">
        <v>1655</v>
      </c>
    </row>
    <row r="146">
      <c r="A146" s="4" t="s">
        <v>1657</v>
      </c>
    </row>
    <row r="147">
      <c r="A147" s="4" t="s">
        <v>1655</v>
      </c>
    </row>
    <row r="148">
      <c r="A148" s="4" t="s">
        <v>1657</v>
      </c>
    </row>
    <row r="149">
      <c r="A149" s="4" t="s">
        <v>1657</v>
      </c>
    </row>
    <row r="150">
      <c r="A150" s="4" t="s">
        <v>1656</v>
      </c>
    </row>
    <row r="151">
      <c r="A151" s="4" t="s">
        <v>1656</v>
      </c>
    </row>
    <row r="152">
      <c r="A152" s="4" t="s">
        <v>1656</v>
      </c>
    </row>
    <row r="153">
      <c r="A153" s="4" t="s">
        <v>1655</v>
      </c>
    </row>
    <row r="154">
      <c r="A154" s="4" t="s">
        <v>1657</v>
      </c>
    </row>
    <row r="155">
      <c r="A155" s="4" t="s">
        <v>1656</v>
      </c>
    </row>
    <row r="156">
      <c r="A156" s="4" t="s">
        <v>1657</v>
      </c>
    </row>
    <row r="157">
      <c r="A157" s="4" t="s">
        <v>1655</v>
      </c>
    </row>
    <row r="158">
      <c r="A158" s="4" t="s">
        <v>1655</v>
      </c>
    </row>
    <row r="159">
      <c r="A159" s="4" t="s">
        <v>1656</v>
      </c>
    </row>
    <row r="160">
      <c r="A160" s="4" t="s">
        <v>1657</v>
      </c>
    </row>
    <row r="161">
      <c r="A161" s="4" t="s">
        <v>1657</v>
      </c>
    </row>
    <row r="162">
      <c r="A162" s="4" t="s">
        <v>1655</v>
      </c>
    </row>
    <row r="163">
      <c r="A163" s="4" t="s">
        <v>1656</v>
      </c>
    </row>
    <row r="164">
      <c r="A164" s="4" t="s">
        <v>1656</v>
      </c>
    </row>
    <row r="165">
      <c r="A165" s="4" t="s">
        <v>1657</v>
      </c>
    </row>
    <row r="166">
      <c r="A166" s="4" t="s">
        <v>1657</v>
      </c>
    </row>
    <row r="167">
      <c r="A167" s="4" t="s">
        <v>1657</v>
      </c>
    </row>
    <row r="168">
      <c r="A168" s="4" t="s">
        <v>1657</v>
      </c>
    </row>
    <row r="169">
      <c r="A169" s="4" t="s">
        <v>1655</v>
      </c>
    </row>
    <row r="170">
      <c r="A170" s="4" t="s">
        <v>1656</v>
      </c>
    </row>
    <row r="171">
      <c r="A171" s="4" t="s">
        <v>1656</v>
      </c>
    </row>
    <row r="172">
      <c r="A172" s="4" t="s">
        <v>1656</v>
      </c>
    </row>
    <row r="173">
      <c r="A173" s="4" t="s">
        <v>1657</v>
      </c>
    </row>
    <row r="174">
      <c r="A174" s="4" t="s">
        <v>1656</v>
      </c>
    </row>
    <row r="175">
      <c r="A175" s="4" t="s">
        <v>1656</v>
      </c>
    </row>
    <row r="176">
      <c r="A176" s="4" t="s">
        <v>1656</v>
      </c>
    </row>
    <row r="177">
      <c r="A177" s="4" t="s">
        <v>1655</v>
      </c>
    </row>
    <row r="178">
      <c r="A178" s="4" t="s">
        <v>1656</v>
      </c>
    </row>
    <row r="179">
      <c r="A179" s="4" t="s">
        <v>1656</v>
      </c>
    </row>
    <row r="180">
      <c r="A180" s="4" t="s">
        <v>1655</v>
      </c>
    </row>
    <row r="181">
      <c r="A181" s="4" t="s">
        <v>1656</v>
      </c>
    </row>
    <row r="182">
      <c r="A182" s="4" t="s">
        <v>1657</v>
      </c>
    </row>
    <row r="183">
      <c r="A183" s="4" t="s">
        <v>1656</v>
      </c>
    </row>
    <row r="184">
      <c r="A184" s="4" t="s">
        <v>1657</v>
      </c>
    </row>
    <row r="185">
      <c r="A185" s="4" t="s">
        <v>1657</v>
      </c>
    </row>
    <row r="186">
      <c r="A186" s="4" t="s">
        <v>1655</v>
      </c>
    </row>
    <row r="187">
      <c r="A187" s="4" t="s">
        <v>1655</v>
      </c>
    </row>
    <row r="188">
      <c r="A188" s="4" t="s">
        <v>1655</v>
      </c>
    </row>
    <row r="189">
      <c r="A189" s="4" t="s">
        <v>1656</v>
      </c>
    </row>
    <row r="190">
      <c r="A190" s="4" t="s">
        <v>1655</v>
      </c>
    </row>
    <row r="191">
      <c r="A191" s="4" t="s">
        <v>1655</v>
      </c>
    </row>
    <row r="192">
      <c r="A192" s="4" t="s">
        <v>1656</v>
      </c>
    </row>
    <row r="193">
      <c r="A193" s="4" t="s">
        <v>1655</v>
      </c>
    </row>
    <row r="194">
      <c r="A194" s="4" t="s">
        <v>1657</v>
      </c>
    </row>
    <row r="195">
      <c r="A195" s="4" t="s">
        <v>1656</v>
      </c>
    </row>
    <row r="196">
      <c r="A196" s="4" t="s">
        <v>1656</v>
      </c>
    </row>
    <row r="197">
      <c r="A197" s="4" t="s">
        <v>1656</v>
      </c>
    </row>
    <row r="198">
      <c r="A198" s="4" t="s">
        <v>1656</v>
      </c>
    </row>
    <row r="199">
      <c r="A199" s="4" t="s">
        <v>1655</v>
      </c>
    </row>
    <row r="200">
      <c r="A200" s="4" t="s">
        <v>1657</v>
      </c>
    </row>
    <row r="201">
      <c r="A201" s="4" t="s">
        <v>1657</v>
      </c>
    </row>
    <row r="202">
      <c r="A202" s="4" t="s">
        <v>1657</v>
      </c>
    </row>
    <row r="203">
      <c r="A203" s="4" t="s">
        <v>1657</v>
      </c>
    </row>
    <row r="204">
      <c r="A204" s="4" t="s">
        <v>1656</v>
      </c>
    </row>
    <row r="205">
      <c r="A205" s="4" t="s">
        <v>1657</v>
      </c>
    </row>
    <row r="206">
      <c r="A206" s="4" t="s">
        <v>1657</v>
      </c>
    </row>
    <row r="207">
      <c r="A207" s="4" t="s">
        <v>1656</v>
      </c>
    </row>
    <row r="208">
      <c r="A208" s="4" t="s">
        <v>1657</v>
      </c>
    </row>
    <row r="209">
      <c r="A209" s="4" t="s">
        <v>1656</v>
      </c>
    </row>
    <row r="210">
      <c r="A210" s="4" t="s">
        <v>1655</v>
      </c>
    </row>
    <row r="211">
      <c r="A211" s="4" t="s">
        <v>1655</v>
      </c>
    </row>
    <row r="212">
      <c r="A212" s="4" t="s">
        <v>1655</v>
      </c>
    </row>
    <row r="213">
      <c r="A213" s="4" t="s">
        <v>1657</v>
      </c>
    </row>
    <row r="214">
      <c r="A214" s="4" t="s">
        <v>1657</v>
      </c>
    </row>
    <row r="215">
      <c r="A215" s="4" t="s">
        <v>1655</v>
      </c>
    </row>
    <row r="216">
      <c r="A216" s="4" t="s">
        <v>1655</v>
      </c>
    </row>
    <row r="217">
      <c r="A217" s="4" t="s">
        <v>1656</v>
      </c>
    </row>
    <row r="218">
      <c r="A218" s="4" t="s">
        <v>1655</v>
      </c>
    </row>
    <row r="219">
      <c r="A219" s="4" t="s">
        <v>1657</v>
      </c>
    </row>
    <row r="220">
      <c r="A220" s="4" t="s">
        <v>1657</v>
      </c>
    </row>
    <row r="221">
      <c r="A221" s="4" t="s">
        <v>1657</v>
      </c>
    </row>
    <row r="222">
      <c r="A222" s="4" t="s">
        <v>1655</v>
      </c>
    </row>
    <row r="223">
      <c r="A223" s="4" t="s">
        <v>1655</v>
      </c>
    </row>
    <row r="224">
      <c r="A224" s="4" t="s">
        <v>1655</v>
      </c>
    </row>
    <row r="225">
      <c r="A225" s="4" t="s">
        <v>1656</v>
      </c>
    </row>
    <row r="226">
      <c r="A226" s="4" t="s">
        <v>1656</v>
      </c>
    </row>
    <row r="227">
      <c r="A227" s="4" t="s">
        <v>1655</v>
      </c>
    </row>
    <row r="228">
      <c r="A228" s="4" t="s">
        <v>1655</v>
      </c>
    </row>
    <row r="229">
      <c r="A229" s="4" t="s">
        <v>1657</v>
      </c>
    </row>
    <row r="230">
      <c r="A230" s="4" t="s">
        <v>1657</v>
      </c>
    </row>
    <row r="231">
      <c r="A231" s="4" t="s">
        <v>1656</v>
      </c>
    </row>
    <row r="232">
      <c r="A232" s="4" t="s">
        <v>1656</v>
      </c>
    </row>
    <row r="233">
      <c r="A233" s="4" t="s">
        <v>1655</v>
      </c>
    </row>
    <row r="234">
      <c r="A234" s="4" t="s">
        <v>1657</v>
      </c>
    </row>
    <row r="235">
      <c r="A235" s="4" t="s">
        <v>1657</v>
      </c>
    </row>
    <row r="236">
      <c r="A236" s="4" t="s">
        <v>1656</v>
      </c>
    </row>
    <row r="237">
      <c r="A237" s="4" t="s">
        <v>1655</v>
      </c>
    </row>
    <row r="238">
      <c r="A238" s="4" t="s">
        <v>1657</v>
      </c>
    </row>
    <row r="239">
      <c r="A239" s="4" t="s">
        <v>1657</v>
      </c>
    </row>
    <row r="240">
      <c r="A240" s="4" t="s">
        <v>1655</v>
      </c>
    </row>
    <row r="241">
      <c r="A241" s="4" t="s">
        <v>1656</v>
      </c>
    </row>
    <row r="242">
      <c r="A242" s="4" t="s">
        <v>1657</v>
      </c>
    </row>
    <row r="243">
      <c r="A243" s="4" t="s">
        <v>1656</v>
      </c>
    </row>
    <row r="244">
      <c r="A244" s="4" t="s">
        <v>1655</v>
      </c>
    </row>
    <row r="245">
      <c r="A245" s="4" t="s">
        <v>1655</v>
      </c>
    </row>
    <row r="246">
      <c r="A246" s="4" t="s">
        <v>1655</v>
      </c>
    </row>
    <row r="247">
      <c r="A247" s="4" t="s">
        <v>1656</v>
      </c>
    </row>
    <row r="248">
      <c r="A248" s="4" t="s">
        <v>1655</v>
      </c>
    </row>
    <row r="249">
      <c r="A249" s="4" t="s">
        <v>1657</v>
      </c>
    </row>
    <row r="250">
      <c r="A250" s="4" t="s">
        <v>1655</v>
      </c>
    </row>
    <row r="251">
      <c r="A251" s="4" t="s">
        <v>1657</v>
      </c>
    </row>
    <row r="252">
      <c r="A252" s="4" t="s">
        <v>1655</v>
      </c>
    </row>
    <row r="253">
      <c r="A253" s="4" t="s">
        <v>1655</v>
      </c>
    </row>
    <row r="254">
      <c r="A254" s="4" t="s">
        <v>1656</v>
      </c>
    </row>
    <row r="255">
      <c r="A255" s="4" t="s">
        <v>1657</v>
      </c>
    </row>
    <row r="256">
      <c r="A256" s="4" t="s">
        <v>1657</v>
      </c>
    </row>
    <row r="257">
      <c r="A257" s="4" t="s">
        <v>1657</v>
      </c>
    </row>
    <row r="258">
      <c r="A258" s="4" t="s">
        <v>1657</v>
      </c>
    </row>
    <row r="259">
      <c r="A259" s="4" t="s">
        <v>1655</v>
      </c>
    </row>
    <row r="260">
      <c r="A260" s="4" t="s">
        <v>1657</v>
      </c>
    </row>
    <row r="261">
      <c r="A261" s="4" t="s">
        <v>1657</v>
      </c>
    </row>
    <row r="262">
      <c r="A262" s="4" t="s">
        <v>1657</v>
      </c>
    </row>
    <row r="263">
      <c r="A263" s="4" t="s">
        <v>1656</v>
      </c>
    </row>
    <row r="264">
      <c r="A264" s="4" t="s">
        <v>1657</v>
      </c>
    </row>
    <row r="265">
      <c r="A265" s="4" t="s">
        <v>1657</v>
      </c>
    </row>
    <row r="266">
      <c r="A266" s="4" t="s">
        <v>1655</v>
      </c>
    </row>
    <row r="267">
      <c r="A267" s="4" t="s">
        <v>1655</v>
      </c>
    </row>
    <row r="268">
      <c r="A268" s="4" t="s">
        <v>1655</v>
      </c>
    </row>
    <row r="269">
      <c r="A269" s="4" t="s">
        <v>1656</v>
      </c>
    </row>
    <row r="270">
      <c r="A270" s="4" t="s">
        <v>1657</v>
      </c>
    </row>
    <row r="271">
      <c r="A271" s="4" t="s">
        <v>1657</v>
      </c>
    </row>
    <row r="272">
      <c r="A272" s="4" t="s">
        <v>1656</v>
      </c>
    </row>
    <row r="273">
      <c r="A273" s="4" t="s">
        <v>1657</v>
      </c>
    </row>
    <row r="274">
      <c r="A274" s="4" t="s">
        <v>1656</v>
      </c>
    </row>
    <row r="275">
      <c r="A275" s="4" t="s">
        <v>1657</v>
      </c>
    </row>
    <row r="276">
      <c r="A276" s="4" t="s">
        <v>1656</v>
      </c>
    </row>
    <row r="277">
      <c r="A277" s="4" t="s">
        <v>1655</v>
      </c>
    </row>
    <row r="278">
      <c r="A278" s="4" t="s">
        <v>1655</v>
      </c>
    </row>
    <row r="279">
      <c r="A279" s="4" t="s">
        <v>1657</v>
      </c>
    </row>
    <row r="280">
      <c r="A280" s="4" t="s">
        <v>1656</v>
      </c>
    </row>
    <row r="281">
      <c r="A281" s="4" t="s">
        <v>1655</v>
      </c>
    </row>
    <row r="282">
      <c r="A282" s="4" t="s">
        <v>1656</v>
      </c>
    </row>
    <row r="283">
      <c r="A283" s="4" t="s">
        <v>1656</v>
      </c>
    </row>
    <row r="284">
      <c r="A284" s="4" t="s">
        <v>1655</v>
      </c>
    </row>
    <row r="285">
      <c r="A285" s="4" t="s">
        <v>1655</v>
      </c>
    </row>
    <row r="286">
      <c r="A286" s="4" t="s">
        <v>1656</v>
      </c>
    </row>
    <row r="287">
      <c r="A287" s="4" t="s">
        <v>1656</v>
      </c>
    </row>
    <row r="288">
      <c r="A288" s="4" t="s">
        <v>1655</v>
      </c>
    </row>
    <row r="289">
      <c r="A289" s="4" t="s">
        <v>1657</v>
      </c>
    </row>
    <row r="290">
      <c r="A290" s="4" t="s">
        <v>1657</v>
      </c>
    </row>
    <row r="291">
      <c r="A291" s="4" t="s">
        <v>1657</v>
      </c>
    </row>
    <row r="292">
      <c r="A292" s="4" t="s">
        <v>1655</v>
      </c>
    </row>
    <row r="293">
      <c r="A293" s="4" t="s">
        <v>1655</v>
      </c>
    </row>
    <row r="294">
      <c r="A294" s="4" t="s">
        <v>1655</v>
      </c>
    </row>
    <row r="295">
      <c r="A295" s="4" t="s">
        <v>1655</v>
      </c>
    </row>
    <row r="296">
      <c r="A296" s="4" t="s">
        <v>1656</v>
      </c>
    </row>
    <row r="297">
      <c r="A297" s="4" t="s">
        <v>1656</v>
      </c>
    </row>
    <row r="298">
      <c r="A298" s="4" t="s">
        <v>1657</v>
      </c>
    </row>
    <row r="299">
      <c r="A299" s="4" t="s">
        <v>1657</v>
      </c>
    </row>
    <row r="300">
      <c r="A300" s="4" t="s">
        <v>1656</v>
      </c>
    </row>
    <row r="301">
      <c r="A301" s="4" t="s">
        <v>1655</v>
      </c>
    </row>
    <row r="302">
      <c r="A302" s="4" t="s">
        <v>1655</v>
      </c>
    </row>
    <row r="303">
      <c r="A303" s="4" t="s">
        <v>1657</v>
      </c>
    </row>
    <row r="304">
      <c r="A304" s="4" t="s">
        <v>1656</v>
      </c>
    </row>
    <row r="305">
      <c r="A305" s="4" t="s">
        <v>1656</v>
      </c>
    </row>
    <row r="306">
      <c r="A306" s="4" t="s">
        <v>1655</v>
      </c>
    </row>
    <row r="307">
      <c r="A307" s="4" t="s">
        <v>1657</v>
      </c>
    </row>
    <row r="308">
      <c r="A308" s="4" t="s">
        <v>1657</v>
      </c>
    </row>
    <row r="309">
      <c r="A309" s="4" t="s">
        <v>1656</v>
      </c>
    </row>
    <row r="310">
      <c r="A310" s="4" t="s">
        <v>1655</v>
      </c>
    </row>
    <row r="311">
      <c r="A311" s="4" t="s">
        <v>1656</v>
      </c>
    </row>
    <row r="312">
      <c r="A312" s="4" t="s">
        <v>1657</v>
      </c>
    </row>
    <row r="313">
      <c r="A313" s="4" t="s">
        <v>1656</v>
      </c>
    </row>
    <row r="314">
      <c r="A314" s="4" t="s">
        <v>1656</v>
      </c>
    </row>
    <row r="315">
      <c r="A315" s="4" t="s">
        <v>1657</v>
      </c>
    </row>
    <row r="316">
      <c r="A316" s="4" t="s">
        <v>1656</v>
      </c>
    </row>
    <row r="317">
      <c r="A317" s="4" t="s">
        <v>1656</v>
      </c>
    </row>
    <row r="318">
      <c r="A318" s="4" t="s">
        <v>1656</v>
      </c>
    </row>
    <row r="319">
      <c r="A319" s="4" t="s">
        <v>1655</v>
      </c>
    </row>
    <row r="320">
      <c r="A320" s="4" t="s">
        <v>1657</v>
      </c>
    </row>
    <row r="321">
      <c r="A321" s="4" t="s">
        <v>1655</v>
      </c>
    </row>
    <row r="322">
      <c r="A322" s="4" t="s">
        <v>1657</v>
      </c>
    </row>
    <row r="323">
      <c r="A323" s="4" t="s">
        <v>1656</v>
      </c>
    </row>
    <row r="324">
      <c r="A324" s="4" t="s">
        <v>1657</v>
      </c>
    </row>
    <row r="325">
      <c r="A325" s="4" t="s">
        <v>1656</v>
      </c>
    </row>
    <row r="326">
      <c r="A326" s="4" t="s">
        <v>1657</v>
      </c>
    </row>
    <row r="327">
      <c r="A327" s="4" t="s">
        <v>1655</v>
      </c>
    </row>
    <row r="328">
      <c r="A328" s="4" t="s">
        <v>1656</v>
      </c>
    </row>
    <row r="329">
      <c r="A329" s="4" t="s">
        <v>1656</v>
      </c>
    </row>
    <row r="330">
      <c r="A330" s="4" t="s">
        <v>1657</v>
      </c>
    </row>
    <row r="331">
      <c r="A331" s="4" t="s">
        <v>1656</v>
      </c>
    </row>
    <row r="332">
      <c r="A332" s="4" t="s">
        <v>1655</v>
      </c>
    </row>
    <row r="333">
      <c r="A333" s="4" t="s">
        <v>1657</v>
      </c>
    </row>
    <row r="334">
      <c r="A334" s="4" t="s">
        <v>1656</v>
      </c>
    </row>
    <row r="335">
      <c r="A335" s="4" t="s">
        <v>1657</v>
      </c>
    </row>
    <row r="336">
      <c r="A336" s="4" t="s">
        <v>1656</v>
      </c>
    </row>
    <row r="337">
      <c r="A337" s="4" t="s">
        <v>1657</v>
      </c>
    </row>
    <row r="338">
      <c r="A338" s="4" t="s">
        <v>1657</v>
      </c>
    </row>
    <row r="339">
      <c r="A339" s="4" t="s">
        <v>1655</v>
      </c>
    </row>
    <row r="340">
      <c r="A340" s="4" t="s">
        <v>1657</v>
      </c>
    </row>
    <row r="341">
      <c r="A341" s="4" t="s">
        <v>1655</v>
      </c>
    </row>
    <row r="342">
      <c r="A342" s="4" t="s">
        <v>1657</v>
      </c>
    </row>
    <row r="343">
      <c r="A343" s="4" t="s">
        <v>1655</v>
      </c>
    </row>
    <row r="344">
      <c r="A344" s="4" t="s">
        <v>1656</v>
      </c>
    </row>
    <row r="345">
      <c r="A345" s="4" t="s">
        <v>1657</v>
      </c>
    </row>
    <row r="346">
      <c r="A346" s="4" t="s">
        <v>1656</v>
      </c>
    </row>
    <row r="347">
      <c r="A347" s="4" t="s">
        <v>1655</v>
      </c>
    </row>
    <row r="348">
      <c r="A348" s="4" t="s">
        <v>1655</v>
      </c>
    </row>
    <row r="349">
      <c r="A349" s="4" t="s">
        <v>1655</v>
      </c>
    </row>
    <row r="350">
      <c r="A350" s="4" t="s">
        <v>1655</v>
      </c>
    </row>
    <row r="351">
      <c r="A351" s="4" t="s">
        <v>1656</v>
      </c>
    </row>
    <row r="352">
      <c r="A352" s="4" t="s">
        <v>1655</v>
      </c>
    </row>
    <row r="353">
      <c r="A353" s="4" t="s">
        <v>1655</v>
      </c>
    </row>
    <row r="354">
      <c r="A354" s="4" t="s">
        <v>1655</v>
      </c>
    </row>
    <row r="355">
      <c r="A355" s="4" t="s">
        <v>1657</v>
      </c>
    </row>
    <row r="356">
      <c r="A356" s="4" t="s">
        <v>1657</v>
      </c>
    </row>
    <row r="357">
      <c r="A357" s="4" t="s">
        <v>1657</v>
      </c>
    </row>
    <row r="358">
      <c r="A358" s="4" t="s">
        <v>1656</v>
      </c>
    </row>
    <row r="359">
      <c r="A359" s="4" t="s">
        <v>1656</v>
      </c>
    </row>
    <row r="360">
      <c r="A360" s="4" t="s">
        <v>1655</v>
      </c>
    </row>
    <row r="361">
      <c r="A361" s="4" t="s">
        <v>1657</v>
      </c>
    </row>
    <row r="362">
      <c r="A362" s="4" t="s">
        <v>1657</v>
      </c>
    </row>
    <row r="363">
      <c r="A363" s="4" t="s">
        <v>1656</v>
      </c>
    </row>
    <row r="364">
      <c r="A364" s="4" t="s">
        <v>1657</v>
      </c>
    </row>
    <row r="365">
      <c r="A365" s="4" t="s">
        <v>1657</v>
      </c>
    </row>
    <row r="366">
      <c r="A366" s="4" t="s">
        <v>1657</v>
      </c>
    </row>
    <row r="367">
      <c r="A367" s="4" t="s">
        <v>1657</v>
      </c>
    </row>
    <row r="368">
      <c r="A368" s="4" t="s">
        <v>1655</v>
      </c>
    </row>
    <row r="369">
      <c r="A369" s="4" t="s">
        <v>1655</v>
      </c>
    </row>
    <row r="370">
      <c r="A370" s="4" t="s">
        <v>1656</v>
      </c>
    </row>
    <row r="371">
      <c r="A371" s="4" t="s">
        <v>1655</v>
      </c>
    </row>
    <row r="372">
      <c r="A372" s="4" t="s">
        <v>1655</v>
      </c>
    </row>
    <row r="373">
      <c r="A373" s="4" t="s">
        <v>1657</v>
      </c>
    </row>
    <row r="374">
      <c r="A374" s="4" t="s">
        <v>1655</v>
      </c>
    </row>
    <row r="375">
      <c r="A375" s="4" t="s">
        <v>1657</v>
      </c>
    </row>
    <row r="376">
      <c r="A376" s="4" t="s">
        <v>1656</v>
      </c>
    </row>
    <row r="377">
      <c r="A377" s="4" t="s">
        <v>1656</v>
      </c>
    </row>
    <row r="378">
      <c r="A378" s="4" t="s">
        <v>1655</v>
      </c>
    </row>
    <row r="379">
      <c r="A379" s="4" t="s">
        <v>1657</v>
      </c>
    </row>
    <row r="380">
      <c r="A380" s="4" t="s">
        <v>1656</v>
      </c>
    </row>
    <row r="381">
      <c r="A381" s="4" t="s">
        <v>1655</v>
      </c>
    </row>
    <row r="382">
      <c r="A382" s="4" t="s">
        <v>1656</v>
      </c>
    </row>
    <row r="383">
      <c r="A383" s="4" t="s">
        <v>1655</v>
      </c>
    </row>
    <row r="384">
      <c r="A384" s="4" t="s">
        <v>1656</v>
      </c>
    </row>
    <row r="385">
      <c r="A385" s="4" t="s">
        <v>1657</v>
      </c>
    </row>
    <row r="386">
      <c r="A386" s="4" t="s">
        <v>1655</v>
      </c>
    </row>
    <row r="387">
      <c r="A387" s="4" t="s">
        <v>1656</v>
      </c>
    </row>
    <row r="388">
      <c r="A388" s="4" t="s">
        <v>1656</v>
      </c>
    </row>
    <row r="389">
      <c r="A389" s="4" t="s">
        <v>1657</v>
      </c>
    </row>
    <row r="390">
      <c r="A390" s="4" t="s">
        <v>1655</v>
      </c>
    </row>
    <row r="391">
      <c r="A391" s="4" t="s">
        <v>1656</v>
      </c>
    </row>
    <row r="392">
      <c r="A392" s="4" t="s">
        <v>1656</v>
      </c>
    </row>
    <row r="393">
      <c r="A393" s="4" t="s">
        <v>1657</v>
      </c>
    </row>
    <row r="394">
      <c r="A394" s="4" t="s">
        <v>1655</v>
      </c>
    </row>
    <row r="395">
      <c r="A395" s="4" t="s">
        <v>1655</v>
      </c>
    </row>
    <row r="396">
      <c r="A396" s="4" t="s">
        <v>1657</v>
      </c>
    </row>
    <row r="397">
      <c r="A397" s="4" t="s">
        <v>1656</v>
      </c>
    </row>
    <row r="398">
      <c r="A398" s="4" t="s">
        <v>1655</v>
      </c>
    </row>
    <row r="399">
      <c r="A399" s="4" t="s">
        <v>1657</v>
      </c>
    </row>
    <row r="400">
      <c r="A400" s="4" t="s">
        <v>1657</v>
      </c>
    </row>
    <row r="401">
      <c r="A401" s="4" t="s">
        <v>1656</v>
      </c>
    </row>
    <row r="402">
      <c r="A402" s="4" t="s">
        <v>1657</v>
      </c>
    </row>
    <row r="403">
      <c r="A403" s="4" t="s">
        <v>1655</v>
      </c>
    </row>
    <row r="404">
      <c r="A404" s="4" t="s">
        <v>1657</v>
      </c>
    </row>
    <row r="405">
      <c r="A405" s="4" t="s">
        <v>1655</v>
      </c>
    </row>
    <row r="406">
      <c r="A406" s="4" t="s">
        <v>1657</v>
      </c>
    </row>
    <row r="407">
      <c r="A407" s="4" t="s">
        <v>1656</v>
      </c>
    </row>
    <row r="408">
      <c r="A408" s="4" t="s">
        <v>1657</v>
      </c>
    </row>
    <row r="409">
      <c r="A409" s="4" t="s">
        <v>1655</v>
      </c>
    </row>
    <row r="410">
      <c r="A410" s="4" t="s">
        <v>1656</v>
      </c>
    </row>
    <row r="411">
      <c r="A411" s="4" t="s">
        <v>1657</v>
      </c>
    </row>
    <row r="412">
      <c r="A412" s="4" t="s">
        <v>1656</v>
      </c>
    </row>
    <row r="413">
      <c r="A413" s="4" t="s">
        <v>1655</v>
      </c>
    </row>
    <row r="414">
      <c r="A414" s="4" t="s">
        <v>1655</v>
      </c>
    </row>
    <row r="415">
      <c r="A415" s="4" t="s">
        <v>1655</v>
      </c>
    </row>
    <row r="416">
      <c r="A416" s="4" t="s">
        <v>1655</v>
      </c>
    </row>
    <row r="417">
      <c r="A417" s="4" t="s">
        <v>1656</v>
      </c>
    </row>
    <row r="418">
      <c r="A418" s="4" t="s">
        <v>1657</v>
      </c>
    </row>
    <row r="419">
      <c r="A419" s="4" t="s">
        <v>1655</v>
      </c>
    </row>
    <row r="420">
      <c r="A420" s="4" t="s">
        <v>1655</v>
      </c>
    </row>
    <row r="421">
      <c r="A421" s="4" t="s">
        <v>1656</v>
      </c>
    </row>
    <row r="422">
      <c r="A422" s="4" t="s">
        <v>1657</v>
      </c>
    </row>
    <row r="423">
      <c r="A423" s="4" t="s">
        <v>1656</v>
      </c>
    </row>
    <row r="424">
      <c r="A424" s="4" t="s">
        <v>1655</v>
      </c>
    </row>
    <row r="425">
      <c r="A425" s="4" t="s">
        <v>1655</v>
      </c>
    </row>
    <row r="426">
      <c r="A426" s="4" t="s">
        <v>1656</v>
      </c>
    </row>
    <row r="427">
      <c r="A427" s="4" t="s">
        <v>1655</v>
      </c>
    </row>
    <row r="428">
      <c r="A428" s="4" t="s">
        <v>1656</v>
      </c>
    </row>
    <row r="429">
      <c r="A429" s="4" t="s">
        <v>1656</v>
      </c>
    </row>
    <row r="430">
      <c r="A430" s="4" t="s">
        <v>1657</v>
      </c>
    </row>
    <row r="431">
      <c r="A431" s="4" t="s">
        <v>1655</v>
      </c>
    </row>
    <row r="432">
      <c r="A432" s="4" t="s">
        <v>1656</v>
      </c>
    </row>
    <row r="433">
      <c r="A433" s="4" t="s">
        <v>1657</v>
      </c>
    </row>
    <row r="434">
      <c r="A434" s="4" t="s">
        <v>1656</v>
      </c>
    </row>
    <row r="435">
      <c r="A435" s="4" t="s">
        <v>1656</v>
      </c>
    </row>
    <row r="436">
      <c r="A436" s="4" t="s">
        <v>1655</v>
      </c>
    </row>
    <row r="437">
      <c r="A437" s="4" t="s">
        <v>1656</v>
      </c>
    </row>
    <row r="438">
      <c r="A438" s="4" t="s">
        <v>1655</v>
      </c>
    </row>
    <row r="439">
      <c r="A439" s="4" t="s">
        <v>1655</v>
      </c>
    </row>
    <row r="440">
      <c r="A440" s="4" t="s">
        <v>1655</v>
      </c>
    </row>
    <row r="441">
      <c r="A441" s="4" t="s">
        <v>1655</v>
      </c>
    </row>
    <row r="442">
      <c r="A442" s="4" t="s">
        <v>1656</v>
      </c>
    </row>
    <row r="443">
      <c r="A443" s="4" t="s">
        <v>1657</v>
      </c>
    </row>
    <row r="444">
      <c r="A444" s="4" t="s">
        <v>1655</v>
      </c>
    </row>
    <row r="445">
      <c r="A445" s="4" t="s">
        <v>1656</v>
      </c>
    </row>
    <row r="446">
      <c r="A446" s="4" t="s">
        <v>1657</v>
      </c>
    </row>
    <row r="447">
      <c r="A447" s="4" t="s">
        <v>1656</v>
      </c>
    </row>
    <row r="448">
      <c r="A448" s="4" t="s">
        <v>1657</v>
      </c>
    </row>
    <row r="449">
      <c r="A449" s="4" t="s">
        <v>1657</v>
      </c>
    </row>
    <row r="450">
      <c r="A450" s="4" t="s">
        <v>1656</v>
      </c>
    </row>
    <row r="451">
      <c r="A451" s="4" t="s">
        <v>1657</v>
      </c>
    </row>
    <row r="452">
      <c r="A452" s="4" t="s">
        <v>1656</v>
      </c>
    </row>
    <row r="453">
      <c r="A453" s="4" t="s">
        <v>1655</v>
      </c>
    </row>
    <row r="454">
      <c r="A454" s="4" t="s">
        <v>1657</v>
      </c>
    </row>
    <row r="455">
      <c r="A455" s="4" t="s">
        <v>1656</v>
      </c>
    </row>
    <row r="456">
      <c r="A456" s="4" t="s">
        <v>1656</v>
      </c>
    </row>
    <row r="457">
      <c r="A457" s="4" t="s">
        <v>1655</v>
      </c>
    </row>
    <row r="458">
      <c r="A458" s="4" t="s">
        <v>1655</v>
      </c>
    </row>
    <row r="459">
      <c r="A459" s="4" t="s">
        <v>1656</v>
      </c>
    </row>
    <row r="460">
      <c r="A460" s="4" t="s">
        <v>1656</v>
      </c>
    </row>
    <row r="461">
      <c r="A461" s="4" t="s">
        <v>1656</v>
      </c>
    </row>
    <row r="462">
      <c r="A462" s="4" t="s">
        <v>1655</v>
      </c>
    </row>
    <row r="463">
      <c r="A463" s="4" t="s">
        <v>1657</v>
      </c>
    </row>
    <row r="464">
      <c r="A464" s="4" t="s">
        <v>1656</v>
      </c>
    </row>
    <row r="465">
      <c r="A465" s="4" t="s">
        <v>1656</v>
      </c>
    </row>
    <row r="466">
      <c r="A466" s="4" t="s">
        <v>1657</v>
      </c>
    </row>
    <row r="467">
      <c r="A467" s="4" t="s">
        <v>1655</v>
      </c>
    </row>
    <row r="468">
      <c r="A468" s="4" t="s">
        <v>1656</v>
      </c>
    </row>
    <row r="469">
      <c r="A469" s="4" t="s">
        <v>1657</v>
      </c>
    </row>
    <row r="470">
      <c r="A470" s="4" t="s">
        <v>1657</v>
      </c>
    </row>
    <row r="471">
      <c r="A471" s="4" t="s">
        <v>1655</v>
      </c>
    </row>
    <row r="472">
      <c r="A472" s="4" t="s">
        <v>1656</v>
      </c>
    </row>
    <row r="473">
      <c r="A473" s="4" t="s">
        <v>1655</v>
      </c>
    </row>
    <row r="474">
      <c r="A474" s="4" t="s">
        <v>1657</v>
      </c>
    </row>
    <row r="475">
      <c r="A475" s="4" t="s">
        <v>1657</v>
      </c>
    </row>
    <row r="476">
      <c r="A476" s="4" t="s">
        <v>1655</v>
      </c>
    </row>
    <row r="477">
      <c r="A477" s="4" t="s">
        <v>1657</v>
      </c>
    </row>
    <row r="478">
      <c r="A478" s="4" t="s">
        <v>1655</v>
      </c>
    </row>
    <row r="479">
      <c r="A479" s="4" t="s">
        <v>1656</v>
      </c>
    </row>
    <row r="480">
      <c r="A480" s="4" t="s">
        <v>1657</v>
      </c>
    </row>
    <row r="481">
      <c r="A481" s="4" t="s">
        <v>1657</v>
      </c>
    </row>
    <row r="482">
      <c r="A482" s="4" t="s">
        <v>1657</v>
      </c>
    </row>
    <row r="483">
      <c r="A483" s="4" t="s">
        <v>1657</v>
      </c>
    </row>
    <row r="484">
      <c r="A484" s="4" t="s">
        <v>1656</v>
      </c>
    </row>
    <row r="485">
      <c r="A485" s="4" t="s">
        <v>1655</v>
      </c>
    </row>
    <row r="486">
      <c r="A486" s="4" t="s">
        <v>1656</v>
      </c>
    </row>
    <row r="487">
      <c r="A487" s="4" t="s">
        <v>1656</v>
      </c>
    </row>
    <row r="488">
      <c r="A488" s="4" t="s">
        <v>1657</v>
      </c>
    </row>
    <row r="489">
      <c r="A489" s="4" t="s">
        <v>1657</v>
      </c>
    </row>
    <row r="490">
      <c r="A490" s="4" t="s">
        <v>1655</v>
      </c>
    </row>
    <row r="491">
      <c r="A491" s="4" t="s">
        <v>1655</v>
      </c>
    </row>
    <row r="492">
      <c r="A492" s="4" t="s">
        <v>1655</v>
      </c>
    </row>
    <row r="493">
      <c r="A493" s="4" t="s">
        <v>1656</v>
      </c>
    </row>
    <row r="494">
      <c r="A494" s="4" t="s">
        <v>1655</v>
      </c>
    </row>
    <row r="495">
      <c r="A495" s="4" t="s">
        <v>1656</v>
      </c>
    </row>
    <row r="496">
      <c r="A496" s="4" t="s">
        <v>1655</v>
      </c>
    </row>
    <row r="497">
      <c r="A497" s="4" t="s">
        <v>1655</v>
      </c>
    </row>
    <row r="498">
      <c r="A498" s="4" t="s">
        <v>1655</v>
      </c>
    </row>
    <row r="499">
      <c r="A499" s="4" t="s">
        <v>1657</v>
      </c>
    </row>
    <row r="500">
      <c r="A500" s="4" t="s">
        <v>1655</v>
      </c>
    </row>
    <row r="501">
      <c r="A501" s="4" t="s">
        <v>1655</v>
      </c>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1658</v>
      </c>
      <c r="D2" s="4" t="str">
        <f t="shared" ref="D2:D501" si="1">C2</f>
        <v>{"valorA":"ar condicionado","valorB":1}</v>
      </c>
      <c r="E2" s="8" t="str">
        <f t="shared" ref="E2:E501" si="2">SUBSTITUTE(MID(C2,FIND(":",C2)+1,FIND(",",C2)-FIND(":",C2)-1),"""","")</f>
        <v>ar condicionado</v>
      </c>
      <c r="F2" s="8" t="str">
        <f>IFERROR(__xludf.DUMMYFUNCTION("UNIQUE(E2:E1415)"),"ar condicionado")</f>
        <v>ar condicionado</v>
      </c>
      <c r="G2" s="8" t="str">
        <f t="shared" ref="G2:G501" si="3">MID(C2,FIND("valorB",C2)+8,FIND("}",C2)-FIND("valorB",C2)-8)</f>
        <v>1</v>
      </c>
      <c r="H2" s="9">
        <f t="shared" ref="H2:H501" si="4">VALUE(SUBSTITUTE(G2,".",","))</f>
        <v>1</v>
      </c>
      <c r="I2" s="10">
        <f>IFERROR(__xludf.DUMMYFUNCTION("MAX(FILTER($H$2:$H1415,$E$2:$E1415=F2))"),171.0)</f>
        <v>171</v>
      </c>
    </row>
    <row r="3">
      <c r="A3" s="4"/>
      <c r="C3" s="4" t="s">
        <v>1659</v>
      </c>
      <c r="D3" s="4" t="str">
        <f t="shared" si="1"/>
        <v>{"valorA":"freezer","valorB":1}</v>
      </c>
      <c r="E3" s="8" t="str">
        <f t="shared" si="2"/>
        <v>freezer</v>
      </c>
      <c r="F3" s="8" t="str">
        <f>IFERROR(__xludf.DUMMYFUNCTION("""COMPUTED_VALUE"""),"freezer")</f>
        <v>freezer</v>
      </c>
      <c r="G3" s="8" t="str">
        <f t="shared" si="3"/>
        <v>1</v>
      </c>
      <c r="H3" s="9">
        <f t="shared" si="4"/>
        <v>1</v>
      </c>
      <c r="I3" s="10">
        <f>IFERROR(__xludf.DUMMYFUNCTION("MAX(FILTER($H$2:$H1415,$E$2:$E1415=F3))"),166.0)</f>
        <v>166</v>
      </c>
    </row>
    <row r="4">
      <c r="A4" s="4"/>
      <c r="C4" s="4" t="s">
        <v>1660</v>
      </c>
      <c r="D4" s="4" t="str">
        <f t="shared" si="1"/>
        <v>{"valorA":"freezer","valorB":2}</v>
      </c>
      <c r="E4" s="8" t="str">
        <f t="shared" si="2"/>
        <v>freezer</v>
      </c>
      <c r="F4" s="8" t="str">
        <f>IFERROR(__xludf.DUMMYFUNCTION("""COMPUTED_VALUE"""),"microondas")</f>
        <v>microondas</v>
      </c>
      <c r="G4" s="8" t="str">
        <f t="shared" si="3"/>
        <v>2</v>
      </c>
      <c r="H4" s="9">
        <f t="shared" si="4"/>
        <v>2</v>
      </c>
      <c r="I4" s="10">
        <f>IFERROR(__xludf.DUMMYFUNCTION("MAX(FILTER($H$2:$H1415,$E$2:$E1415=F4))"),163.0)</f>
        <v>163</v>
      </c>
    </row>
    <row r="5">
      <c r="A5" s="4"/>
      <c r="C5" s="4" t="s">
        <v>1661</v>
      </c>
      <c r="D5" s="4" t="str">
        <f t="shared" si="1"/>
        <v>{"valorA":"freezer","valorB":3}</v>
      </c>
      <c r="E5" s="8" t="str">
        <f t="shared" si="2"/>
        <v>freezer</v>
      </c>
      <c r="F5" s="8"/>
      <c r="G5" s="8" t="str">
        <f t="shared" si="3"/>
        <v>3</v>
      </c>
      <c r="H5" s="9">
        <f t="shared" si="4"/>
        <v>3</v>
      </c>
      <c r="I5" s="10">
        <f>IFERROR(__xludf.DUMMYFUNCTION("MAX(FILTER($H$2:$H1415,$E$2:$E1415=F5))"),0.0)</f>
        <v>0</v>
      </c>
    </row>
    <row r="6">
      <c r="A6" s="4"/>
      <c r="C6" s="4" t="s">
        <v>1662</v>
      </c>
      <c r="D6" s="4" t="str">
        <f t="shared" si="1"/>
        <v>{"valorA":"freezer","valorB":4}</v>
      </c>
      <c r="E6" s="8" t="str">
        <f t="shared" si="2"/>
        <v>freezer</v>
      </c>
      <c r="F6" s="8"/>
      <c r="G6" s="8" t="str">
        <f t="shared" si="3"/>
        <v>4</v>
      </c>
      <c r="H6" s="9">
        <f t="shared" si="4"/>
        <v>4</v>
      </c>
      <c r="I6" s="10">
        <f>IFERROR(__xludf.DUMMYFUNCTION("MAX(FILTER($H$2:$H1415,$E$2:$E1415=F6))"),0.0)</f>
        <v>0</v>
      </c>
    </row>
    <row r="7">
      <c r="A7" s="4"/>
      <c r="C7" s="4" t="s">
        <v>1663</v>
      </c>
      <c r="D7" s="4" t="str">
        <f t="shared" si="1"/>
        <v>{"valorA":"freezer","valorB":5}</v>
      </c>
      <c r="E7" s="8" t="str">
        <f t="shared" si="2"/>
        <v>freezer</v>
      </c>
      <c r="F7" s="8"/>
      <c r="G7" s="8" t="str">
        <f t="shared" si="3"/>
        <v>5</v>
      </c>
      <c r="H7" s="9">
        <f t="shared" si="4"/>
        <v>5</v>
      </c>
      <c r="I7" s="10">
        <f>IFERROR(__xludf.DUMMYFUNCTION("MAX(FILTER($H$2:$H1415,$E$2:$E1415=F7))"),0.0)</f>
        <v>0</v>
      </c>
    </row>
    <row r="8">
      <c r="A8" s="4"/>
      <c r="C8" s="4" t="s">
        <v>1664</v>
      </c>
      <c r="D8" s="4" t="str">
        <f t="shared" si="1"/>
        <v>{"valorA":"freezer","valorB":6}</v>
      </c>
      <c r="E8" s="8" t="str">
        <f t="shared" si="2"/>
        <v>freezer</v>
      </c>
      <c r="F8" s="8"/>
      <c r="G8" s="8" t="str">
        <f t="shared" si="3"/>
        <v>6</v>
      </c>
      <c r="H8" s="9">
        <f t="shared" si="4"/>
        <v>6</v>
      </c>
      <c r="I8" s="10">
        <f>IFERROR(__xludf.DUMMYFUNCTION("MAX(FILTER($H$2:$H1415,$E$2:$E1415=F8))"),0.0)</f>
        <v>0</v>
      </c>
    </row>
    <row r="9">
      <c r="A9" s="4"/>
      <c r="C9" s="4" t="s">
        <v>1665</v>
      </c>
      <c r="D9" s="4" t="str">
        <f t="shared" si="1"/>
        <v>{"valorA":"freezer","valorB":7}</v>
      </c>
      <c r="E9" s="8" t="str">
        <f t="shared" si="2"/>
        <v>freezer</v>
      </c>
      <c r="F9" s="8"/>
      <c r="G9" s="8" t="str">
        <f t="shared" si="3"/>
        <v>7</v>
      </c>
      <c r="H9" s="9">
        <f t="shared" si="4"/>
        <v>7</v>
      </c>
      <c r="I9" s="10">
        <f>IFERROR(__xludf.DUMMYFUNCTION("MAX(FILTER($H$2:$H1415,$E$2:$E1415=F9))"),0.0)</f>
        <v>0</v>
      </c>
    </row>
    <row r="10">
      <c r="A10" s="4"/>
      <c r="C10" s="4" t="s">
        <v>1666</v>
      </c>
      <c r="D10" s="4" t="str">
        <f t="shared" si="1"/>
        <v>{"valorA":"freezer","valorB":8}</v>
      </c>
      <c r="E10" s="8" t="str">
        <f t="shared" si="2"/>
        <v>freezer</v>
      </c>
      <c r="F10" s="8"/>
      <c r="G10" s="8" t="str">
        <f t="shared" si="3"/>
        <v>8</v>
      </c>
      <c r="H10" s="9">
        <f t="shared" si="4"/>
        <v>8</v>
      </c>
      <c r="I10" s="10">
        <f>IFERROR(__xludf.DUMMYFUNCTION("MAX(FILTER($H$2:$H1415,$E$2:$E1415=F10))"),0.0)</f>
        <v>0</v>
      </c>
    </row>
    <row r="11">
      <c r="A11" s="4"/>
      <c r="C11" s="4" t="s">
        <v>1667</v>
      </c>
      <c r="D11" s="4" t="str">
        <f t="shared" si="1"/>
        <v>{"valorA":"freezer","valorB":9}</v>
      </c>
      <c r="E11" s="8" t="str">
        <f t="shared" si="2"/>
        <v>freezer</v>
      </c>
      <c r="F11" s="8"/>
      <c r="G11" s="8" t="str">
        <f t="shared" si="3"/>
        <v>9</v>
      </c>
      <c r="H11" s="9">
        <f t="shared" si="4"/>
        <v>9</v>
      </c>
      <c r="I11" s="10">
        <f>IFERROR(__xludf.DUMMYFUNCTION("MAX(FILTER($H$2:$H1415,$E$2:$E1415=F11))"),0.0)</f>
        <v>0</v>
      </c>
    </row>
    <row r="12">
      <c r="A12" s="4"/>
      <c r="C12" s="4" t="s">
        <v>1668</v>
      </c>
      <c r="D12" s="4" t="str">
        <f t="shared" si="1"/>
        <v>{"valorA":"freezer","valorB":10}</v>
      </c>
      <c r="E12" s="8" t="str">
        <f t="shared" si="2"/>
        <v>freezer</v>
      </c>
      <c r="F12" s="8"/>
      <c r="G12" s="8" t="str">
        <f t="shared" si="3"/>
        <v>10</v>
      </c>
      <c r="H12" s="9">
        <f t="shared" si="4"/>
        <v>10</v>
      </c>
      <c r="I12" s="10">
        <f>IFERROR(__xludf.DUMMYFUNCTION("MAX(FILTER($H$2:$H1415,$E$2:$E1415=F12))"),0.0)</f>
        <v>0</v>
      </c>
    </row>
    <row r="13">
      <c r="A13" s="4"/>
      <c r="C13" s="4" t="s">
        <v>1669</v>
      </c>
      <c r="D13" s="4" t="str">
        <f t="shared" si="1"/>
        <v>{"valorA":"freezer","valorB":11}</v>
      </c>
      <c r="E13" s="8" t="str">
        <f t="shared" si="2"/>
        <v>freezer</v>
      </c>
      <c r="F13" s="8"/>
      <c r="G13" s="8" t="str">
        <f t="shared" si="3"/>
        <v>11</v>
      </c>
      <c r="H13" s="9">
        <f t="shared" si="4"/>
        <v>11</v>
      </c>
      <c r="I13" s="10">
        <f>IFERROR(__xludf.DUMMYFUNCTION("MAX(FILTER($H$2:$H1415,$E$2:$E1415=F13))"),0.0)</f>
        <v>0</v>
      </c>
    </row>
    <row r="14">
      <c r="A14" s="4"/>
      <c r="C14" s="4" t="s">
        <v>1670</v>
      </c>
      <c r="D14" s="4" t="str">
        <f t="shared" si="1"/>
        <v>{"valorA":"freezer","valorB":12}</v>
      </c>
      <c r="E14" s="8" t="str">
        <f t="shared" si="2"/>
        <v>freezer</v>
      </c>
      <c r="F14" s="8"/>
      <c r="G14" s="8" t="str">
        <f t="shared" si="3"/>
        <v>12</v>
      </c>
      <c r="H14" s="9">
        <f t="shared" si="4"/>
        <v>12</v>
      </c>
      <c r="I14" s="10">
        <f>IFERROR(__xludf.DUMMYFUNCTION("MAX(FILTER($H$2:$H1415,$E$2:$E1415=F14))"),0.0)</f>
        <v>0</v>
      </c>
    </row>
    <row r="15">
      <c r="A15" s="4"/>
      <c r="C15" s="4" t="s">
        <v>1671</v>
      </c>
      <c r="D15" s="4" t="str">
        <f t="shared" si="1"/>
        <v>{"valorA":"freezer","valorB":13}</v>
      </c>
      <c r="E15" s="8" t="str">
        <f t="shared" si="2"/>
        <v>freezer</v>
      </c>
      <c r="F15" s="8"/>
      <c r="G15" s="8" t="str">
        <f t="shared" si="3"/>
        <v>13</v>
      </c>
      <c r="H15" s="9">
        <f t="shared" si="4"/>
        <v>13</v>
      </c>
      <c r="I15" s="10">
        <f>IFERROR(__xludf.DUMMYFUNCTION("MAX(FILTER($H$2:$H1415,$E$2:$E1415=F15))"),0.0)</f>
        <v>0</v>
      </c>
    </row>
    <row r="16">
      <c r="A16" s="4"/>
      <c r="C16" s="4" t="s">
        <v>1672</v>
      </c>
      <c r="D16" s="4" t="str">
        <f t="shared" si="1"/>
        <v>{"valorA":"freezer","valorB":14}</v>
      </c>
      <c r="E16" s="8" t="str">
        <f t="shared" si="2"/>
        <v>freezer</v>
      </c>
      <c r="F16" s="8"/>
      <c r="G16" s="8" t="str">
        <f t="shared" si="3"/>
        <v>14</v>
      </c>
      <c r="H16" s="9">
        <f t="shared" si="4"/>
        <v>14</v>
      </c>
      <c r="I16" s="10">
        <f>IFERROR(__xludf.DUMMYFUNCTION("MAX(FILTER($H$2:$H1415,$E$2:$E1415=F16))"),0.0)</f>
        <v>0</v>
      </c>
    </row>
    <row r="17">
      <c r="A17" s="4"/>
      <c r="C17" s="4" t="s">
        <v>1673</v>
      </c>
      <c r="D17" s="4" t="str">
        <f t="shared" si="1"/>
        <v>{"valorA":"freezer","valorB":15}</v>
      </c>
      <c r="E17" s="8" t="str">
        <f t="shared" si="2"/>
        <v>freezer</v>
      </c>
      <c r="F17" s="8"/>
      <c r="G17" s="8" t="str">
        <f t="shared" si="3"/>
        <v>15</v>
      </c>
      <c r="H17" s="9">
        <f t="shared" si="4"/>
        <v>15</v>
      </c>
      <c r="I17" s="10">
        <f>IFERROR(__xludf.DUMMYFUNCTION("MAX(FILTER($H$2:$H1415,$E$2:$E1415=F17))"),0.0)</f>
        <v>0</v>
      </c>
    </row>
    <row r="18">
      <c r="A18" s="4"/>
      <c r="C18" s="4" t="s">
        <v>1674</v>
      </c>
      <c r="D18" s="4" t="str">
        <f t="shared" si="1"/>
        <v>{"valorA":"freezer","valorB":16}</v>
      </c>
      <c r="E18" s="8" t="str">
        <f t="shared" si="2"/>
        <v>freezer</v>
      </c>
      <c r="F18" s="8"/>
      <c r="G18" s="8" t="str">
        <f t="shared" si="3"/>
        <v>16</v>
      </c>
      <c r="H18" s="9">
        <f t="shared" si="4"/>
        <v>16</v>
      </c>
      <c r="I18" s="10">
        <f>IFERROR(__xludf.DUMMYFUNCTION("MAX(FILTER($H$2:$H1415,$E$2:$E1415=F18))"),0.0)</f>
        <v>0</v>
      </c>
    </row>
    <row r="19">
      <c r="A19" s="4"/>
      <c r="C19" s="4" t="s">
        <v>1675</v>
      </c>
      <c r="D19" s="4" t="str">
        <f t="shared" si="1"/>
        <v>{"valorA":"freezer","valorB":17}</v>
      </c>
      <c r="E19" s="8" t="str">
        <f t="shared" si="2"/>
        <v>freezer</v>
      </c>
      <c r="F19" s="8"/>
      <c r="G19" s="8" t="str">
        <f t="shared" si="3"/>
        <v>17</v>
      </c>
      <c r="H19" s="9">
        <f t="shared" si="4"/>
        <v>17</v>
      </c>
      <c r="I19" s="10">
        <f>IFERROR(__xludf.DUMMYFUNCTION("MAX(FILTER($H$2:$H1415,$E$2:$E1415=F19))"),0.0)</f>
        <v>0</v>
      </c>
    </row>
    <row r="20">
      <c r="A20" s="4"/>
      <c r="C20" s="4" t="s">
        <v>1676</v>
      </c>
      <c r="D20" s="4" t="str">
        <f t="shared" si="1"/>
        <v>{"valorA":"freezer","valorB":18}</v>
      </c>
      <c r="E20" s="8" t="str">
        <f t="shared" si="2"/>
        <v>freezer</v>
      </c>
      <c r="F20" s="8"/>
      <c r="G20" s="8" t="str">
        <f t="shared" si="3"/>
        <v>18</v>
      </c>
      <c r="H20" s="9">
        <f t="shared" si="4"/>
        <v>18</v>
      </c>
      <c r="I20" s="10">
        <f>IFERROR(__xludf.DUMMYFUNCTION("MAX(FILTER($H$2:$H1415,$E$2:$E1415=F20))"),0.0)</f>
        <v>0</v>
      </c>
    </row>
    <row r="21">
      <c r="A21" s="4"/>
      <c r="C21" s="4" t="s">
        <v>1677</v>
      </c>
      <c r="D21" s="4" t="str">
        <f t="shared" si="1"/>
        <v>{"valorA":"freezer","valorB":19}</v>
      </c>
      <c r="E21" s="8" t="str">
        <f t="shared" si="2"/>
        <v>freezer</v>
      </c>
      <c r="F21" s="8"/>
      <c r="G21" s="8" t="str">
        <f t="shared" si="3"/>
        <v>19</v>
      </c>
      <c r="H21" s="9">
        <f t="shared" si="4"/>
        <v>19</v>
      </c>
      <c r="I21" s="10">
        <f>IFERROR(__xludf.DUMMYFUNCTION("MAX(FILTER($H$2:$H1415,$E$2:$E1415=F21))"),0.0)</f>
        <v>0</v>
      </c>
    </row>
    <row r="22">
      <c r="A22" s="4"/>
      <c r="C22" s="4" t="s">
        <v>1678</v>
      </c>
      <c r="D22" s="4" t="str">
        <f t="shared" si="1"/>
        <v>{"valorA":"freezer","valorB":20}</v>
      </c>
      <c r="E22" s="8" t="str">
        <f t="shared" si="2"/>
        <v>freezer</v>
      </c>
      <c r="F22" s="8"/>
      <c r="G22" s="8" t="str">
        <f t="shared" si="3"/>
        <v>20</v>
      </c>
      <c r="H22" s="9">
        <f t="shared" si="4"/>
        <v>20</v>
      </c>
      <c r="I22" s="10">
        <f>IFERROR(__xludf.DUMMYFUNCTION("MAX(FILTER($H$2:$H1415,$E$2:$E1415=F22))"),0.0)</f>
        <v>0</v>
      </c>
    </row>
    <row r="23">
      <c r="A23" s="4"/>
      <c r="C23" s="4" t="s">
        <v>1679</v>
      </c>
      <c r="D23" s="4" t="str">
        <f t="shared" si="1"/>
        <v>{"valorA":"freezer","valorB":21}</v>
      </c>
      <c r="E23" s="8" t="str">
        <f t="shared" si="2"/>
        <v>freezer</v>
      </c>
      <c r="F23" s="8"/>
      <c r="G23" s="8" t="str">
        <f t="shared" si="3"/>
        <v>21</v>
      </c>
      <c r="H23" s="9">
        <f t="shared" si="4"/>
        <v>21</v>
      </c>
      <c r="I23" s="10">
        <f>IFERROR(__xludf.DUMMYFUNCTION("MAX(FILTER($H$2:$H1415,$E$2:$E1415=F23))"),0.0)</f>
        <v>0</v>
      </c>
    </row>
    <row r="24">
      <c r="A24" s="4"/>
      <c r="C24" s="4" t="s">
        <v>1680</v>
      </c>
      <c r="D24" s="4" t="str">
        <f t="shared" si="1"/>
        <v>{"valorA":"freezer","valorB":22}</v>
      </c>
      <c r="E24" s="8" t="str">
        <f t="shared" si="2"/>
        <v>freezer</v>
      </c>
      <c r="F24" s="8"/>
      <c r="G24" s="8" t="str">
        <f t="shared" si="3"/>
        <v>22</v>
      </c>
      <c r="H24" s="9">
        <f t="shared" si="4"/>
        <v>22</v>
      </c>
      <c r="I24" s="10">
        <f>IFERROR(__xludf.DUMMYFUNCTION("MAX(FILTER($H$2:$H1415,$E$2:$E1415=F24))"),0.0)</f>
        <v>0</v>
      </c>
    </row>
    <row r="25">
      <c r="A25" s="4"/>
      <c r="C25" s="4" t="s">
        <v>1681</v>
      </c>
      <c r="D25" s="4" t="str">
        <f t="shared" si="1"/>
        <v>{"valorA":"freezer","valorB":23}</v>
      </c>
      <c r="E25" s="8" t="str">
        <f t="shared" si="2"/>
        <v>freezer</v>
      </c>
      <c r="F25" s="8"/>
      <c r="G25" s="8" t="str">
        <f t="shared" si="3"/>
        <v>23</v>
      </c>
      <c r="H25" s="9">
        <f t="shared" si="4"/>
        <v>23</v>
      </c>
      <c r="I25" s="10">
        <f>IFERROR(__xludf.DUMMYFUNCTION("MAX(FILTER($H$2:$H1415,$E$2:$E1415=F25))"),0.0)</f>
        <v>0</v>
      </c>
    </row>
    <row r="26">
      <c r="A26" s="4"/>
      <c r="C26" s="4" t="s">
        <v>1682</v>
      </c>
      <c r="D26" s="4" t="str">
        <f t="shared" si="1"/>
        <v>{"valorA":"freezer","valorB":24}</v>
      </c>
      <c r="E26" s="8" t="str">
        <f t="shared" si="2"/>
        <v>freezer</v>
      </c>
      <c r="F26" s="8"/>
      <c r="G26" s="8" t="str">
        <f t="shared" si="3"/>
        <v>24</v>
      </c>
      <c r="H26" s="9">
        <f t="shared" si="4"/>
        <v>24</v>
      </c>
      <c r="I26" s="10">
        <f>IFERROR(__xludf.DUMMYFUNCTION("MAX(FILTER($H$2:$H1415,$E$2:$E1415=F26))"),0.0)</f>
        <v>0</v>
      </c>
    </row>
    <row r="27">
      <c r="A27" s="4"/>
      <c r="C27" s="4" t="s">
        <v>1683</v>
      </c>
      <c r="D27" s="4" t="str">
        <f t="shared" si="1"/>
        <v>{"valorA":"freezer","valorB":25}</v>
      </c>
      <c r="E27" s="8" t="str">
        <f t="shared" si="2"/>
        <v>freezer</v>
      </c>
      <c r="F27" s="8"/>
      <c r="G27" s="8" t="str">
        <f t="shared" si="3"/>
        <v>25</v>
      </c>
      <c r="H27" s="9">
        <f t="shared" si="4"/>
        <v>25</v>
      </c>
      <c r="I27" s="10">
        <f>IFERROR(__xludf.DUMMYFUNCTION("MAX(FILTER($H$2:$H1415,$E$2:$E1415=F27))"),0.0)</f>
        <v>0</v>
      </c>
    </row>
    <row r="28">
      <c r="A28" s="4"/>
      <c r="C28" s="4" t="s">
        <v>1684</v>
      </c>
      <c r="D28" s="4" t="str">
        <f t="shared" si="1"/>
        <v>{"valorA":"freezer","valorB":26}</v>
      </c>
      <c r="E28" s="8" t="str">
        <f t="shared" si="2"/>
        <v>freezer</v>
      </c>
      <c r="F28" s="8"/>
      <c r="G28" s="8" t="str">
        <f t="shared" si="3"/>
        <v>26</v>
      </c>
      <c r="H28" s="9">
        <f t="shared" si="4"/>
        <v>26</v>
      </c>
      <c r="I28" s="10">
        <f>IFERROR(__xludf.DUMMYFUNCTION("MAX(FILTER($H$2:$H1415,$E$2:$E1415=F28))"),0.0)</f>
        <v>0</v>
      </c>
    </row>
    <row r="29">
      <c r="A29" s="4"/>
      <c r="C29" s="4" t="s">
        <v>1685</v>
      </c>
      <c r="D29" s="4" t="str">
        <f t="shared" si="1"/>
        <v>{"valorA":"freezer","valorB":27}</v>
      </c>
      <c r="E29" s="8" t="str">
        <f t="shared" si="2"/>
        <v>freezer</v>
      </c>
      <c r="F29" s="8"/>
      <c r="G29" s="8" t="str">
        <f t="shared" si="3"/>
        <v>27</v>
      </c>
      <c r="H29" s="9">
        <f t="shared" si="4"/>
        <v>27</v>
      </c>
      <c r="I29" s="10">
        <f>IFERROR(__xludf.DUMMYFUNCTION("MAX(FILTER($H$2:$H1415,$E$2:$E1415=F29))"),0.0)</f>
        <v>0</v>
      </c>
    </row>
    <row r="30">
      <c r="A30" s="4"/>
      <c r="C30" s="4" t="s">
        <v>1686</v>
      </c>
      <c r="D30" s="4" t="str">
        <f t="shared" si="1"/>
        <v>{"valorA":"freezer","valorB":28}</v>
      </c>
      <c r="E30" s="8" t="str">
        <f t="shared" si="2"/>
        <v>freezer</v>
      </c>
      <c r="F30" s="8"/>
      <c r="G30" s="8" t="str">
        <f t="shared" si="3"/>
        <v>28</v>
      </c>
      <c r="H30" s="9">
        <f t="shared" si="4"/>
        <v>28</v>
      </c>
      <c r="I30" s="10">
        <f>IFERROR(__xludf.DUMMYFUNCTION("MAX(FILTER($H$2:$H1415,$E$2:$E1415=F30))"),0.0)</f>
        <v>0</v>
      </c>
    </row>
    <row r="31">
      <c r="A31" s="4"/>
      <c r="C31" s="4" t="s">
        <v>1687</v>
      </c>
      <c r="D31" s="4" t="str">
        <f t="shared" si="1"/>
        <v>{"valorA":"freezer","valorB":29}</v>
      </c>
      <c r="E31" s="8" t="str">
        <f t="shared" si="2"/>
        <v>freezer</v>
      </c>
      <c r="F31" s="8"/>
      <c r="G31" s="8" t="str">
        <f t="shared" si="3"/>
        <v>29</v>
      </c>
      <c r="H31" s="9">
        <f t="shared" si="4"/>
        <v>29</v>
      </c>
      <c r="I31" s="10">
        <f>IFERROR(__xludf.DUMMYFUNCTION("MAX(FILTER($H$2:$H1415,$E$2:$E1415=F31))"),0.0)</f>
        <v>0</v>
      </c>
    </row>
    <row r="32">
      <c r="A32" s="4"/>
      <c r="C32" s="4" t="s">
        <v>1688</v>
      </c>
      <c r="D32" s="4" t="str">
        <f t="shared" si="1"/>
        <v>{"valorA":"freezer","valorB":30}</v>
      </c>
      <c r="E32" s="8" t="str">
        <f t="shared" si="2"/>
        <v>freezer</v>
      </c>
      <c r="F32" s="8"/>
      <c r="G32" s="8" t="str">
        <f t="shared" si="3"/>
        <v>30</v>
      </c>
      <c r="H32" s="9">
        <f t="shared" si="4"/>
        <v>30</v>
      </c>
      <c r="I32" s="10">
        <f>IFERROR(__xludf.DUMMYFUNCTION("MAX(FILTER($H$2:$H1415,$E$2:$E1415=F32))"),0.0)</f>
        <v>0</v>
      </c>
    </row>
    <row r="33">
      <c r="A33" s="4"/>
      <c r="C33" s="4" t="s">
        <v>1689</v>
      </c>
      <c r="D33" s="4" t="str">
        <f t="shared" si="1"/>
        <v>{"valorA":"freezer","valorB":31}</v>
      </c>
      <c r="E33" s="8" t="str">
        <f t="shared" si="2"/>
        <v>freezer</v>
      </c>
      <c r="F33" s="8"/>
      <c r="G33" s="8" t="str">
        <f t="shared" si="3"/>
        <v>31</v>
      </c>
      <c r="H33" s="9">
        <f t="shared" si="4"/>
        <v>31</v>
      </c>
      <c r="I33" s="10">
        <f>IFERROR(__xludf.DUMMYFUNCTION("MAX(FILTER($H$2:$H1415,$E$2:$E1415=F33))"),0.0)</f>
        <v>0</v>
      </c>
    </row>
    <row r="34">
      <c r="A34" s="4"/>
      <c r="C34" s="4" t="s">
        <v>1690</v>
      </c>
      <c r="D34" s="4" t="str">
        <f t="shared" si="1"/>
        <v>{"valorA":"freezer","valorB":32}</v>
      </c>
      <c r="E34" s="8" t="str">
        <f t="shared" si="2"/>
        <v>freezer</v>
      </c>
      <c r="F34" s="8"/>
      <c r="G34" s="8" t="str">
        <f t="shared" si="3"/>
        <v>32</v>
      </c>
      <c r="H34" s="9">
        <f t="shared" si="4"/>
        <v>32</v>
      </c>
      <c r="I34" s="10">
        <f>IFERROR(__xludf.DUMMYFUNCTION("MAX(FILTER($H$2:$H1415,$E$2:$E1415=F34))"),0.0)</f>
        <v>0</v>
      </c>
    </row>
    <row r="35">
      <c r="A35" s="4"/>
      <c r="C35" s="4" t="s">
        <v>1691</v>
      </c>
      <c r="D35" s="4" t="str">
        <f t="shared" si="1"/>
        <v>{"valorA":"freezer","valorB":33}</v>
      </c>
      <c r="E35" s="8" t="str">
        <f t="shared" si="2"/>
        <v>freezer</v>
      </c>
      <c r="F35" s="8"/>
      <c r="G35" s="8" t="str">
        <f t="shared" si="3"/>
        <v>33</v>
      </c>
      <c r="H35" s="9">
        <f t="shared" si="4"/>
        <v>33</v>
      </c>
      <c r="I35" s="10">
        <f>IFERROR(__xludf.DUMMYFUNCTION("MAX(FILTER($H$2:$H1415,$E$2:$E1415=F35))"),0.0)</f>
        <v>0</v>
      </c>
    </row>
    <row r="36">
      <c r="A36" s="4"/>
      <c r="C36" s="4" t="s">
        <v>1692</v>
      </c>
      <c r="D36" s="4" t="str">
        <f t="shared" si="1"/>
        <v>{"valorA":"freezer","valorB":34}</v>
      </c>
      <c r="E36" s="8" t="str">
        <f t="shared" si="2"/>
        <v>freezer</v>
      </c>
      <c r="F36" s="8"/>
      <c r="G36" s="8" t="str">
        <f t="shared" si="3"/>
        <v>34</v>
      </c>
      <c r="H36" s="9">
        <f t="shared" si="4"/>
        <v>34</v>
      </c>
      <c r="I36" s="10">
        <f>IFERROR(__xludf.DUMMYFUNCTION("MAX(FILTER($H$2:$H1415,$E$2:$E1415=F36))"),0.0)</f>
        <v>0</v>
      </c>
    </row>
    <row r="37">
      <c r="A37" s="4"/>
      <c r="C37" s="4" t="s">
        <v>1693</v>
      </c>
      <c r="D37" s="4" t="str">
        <f t="shared" si="1"/>
        <v>{"valorA":"microondas","valorB":1}</v>
      </c>
      <c r="E37" s="8" t="str">
        <f t="shared" si="2"/>
        <v>microondas</v>
      </c>
      <c r="F37" s="8"/>
      <c r="G37" s="8" t="str">
        <f t="shared" si="3"/>
        <v>1</v>
      </c>
      <c r="H37" s="9">
        <f t="shared" si="4"/>
        <v>1</v>
      </c>
      <c r="I37" s="10">
        <f>IFERROR(__xludf.DUMMYFUNCTION("MAX(FILTER($H$2:$H1415,$E$2:$E1415=F37))"),0.0)</f>
        <v>0</v>
      </c>
    </row>
    <row r="38">
      <c r="A38" s="4"/>
      <c r="C38" s="4" t="s">
        <v>1694</v>
      </c>
      <c r="D38" s="4" t="str">
        <f t="shared" si="1"/>
        <v>{"valorA":"microondas","valorB":2}</v>
      </c>
      <c r="E38" s="8" t="str">
        <f t="shared" si="2"/>
        <v>microondas</v>
      </c>
      <c r="F38" s="8"/>
      <c r="G38" s="8" t="str">
        <f t="shared" si="3"/>
        <v>2</v>
      </c>
      <c r="H38" s="9">
        <f t="shared" si="4"/>
        <v>2</v>
      </c>
      <c r="I38" s="10">
        <f>IFERROR(__xludf.DUMMYFUNCTION("MAX(FILTER($H$2:$H1415,$E$2:$E1415=F38))"),0.0)</f>
        <v>0</v>
      </c>
    </row>
    <row r="39">
      <c r="A39" s="4"/>
      <c r="C39" s="4" t="s">
        <v>1695</v>
      </c>
      <c r="D39" s="4" t="str">
        <f t="shared" si="1"/>
        <v>{"valorA":"ar condicionado","valorB":2}</v>
      </c>
      <c r="E39" s="8" t="str">
        <f t="shared" si="2"/>
        <v>ar condicionado</v>
      </c>
      <c r="F39" s="8"/>
      <c r="G39" s="8" t="str">
        <f t="shared" si="3"/>
        <v>2</v>
      </c>
      <c r="H39" s="9">
        <f t="shared" si="4"/>
        <v>2</v>
      </c>
      <c r="I39" s="10">
        <f>IFERROR(__xludf.DUMMYFUNCTION("MAX(FILTER($H$2:$H1415,$E$2:$E1415=F39))"),0.0)</f>
        <v>0</v>
      </c>
    </row>
    <row r="40">
      <c r="A40" s="4"/>
      <c r="C40" s="4" t="s">
        <v>1696</v>
      </c>
      <c r="D40" s="4" t="str">
        <f t="shared" si="1"/>
        <v>{"valorA":"microondas","valorB":3}</v>
      </c>
      <c r="E40" s="8" t="str">
        <f t="shared" si="2"/>
        <v>microondas</v>
      </c>
      <c r="F40" s="8"/>
      <c r="G40" s="8" t="str">
        <f t="shared" si="3"/>
        <v>3</v>
      </c>
      <c r="H40" s="9">
        <f t="shared" si="4"/>
        <v>3</v>
      </c>
      <c r="I40" s="10">
        <f>IFERROR(__xludf.DUMMYFUNCTION("MAX(FILTER($H$2:$H1415,$E$2:$E1415=F40))"),0.0)</f>
        <v>0</v>
      </c>
    </row>
    <row r="41">
      <c r="A41" s="4"/>
      <c r="C41" s="4" t="s">
        <v>1697</v>
      </c>
      <c r="D41" s="4" t="str">
        <f t="shared" si="1"/>
        <v>{"valorA":"ar condicionado","valorB":3}</v>
      </c>
      <c r="E41" s="8" t="str">
        <f t="shared" si="2"/>
        <v>ar condicionado</v>
      </c>
      <c r="F41" s="8"/>
      <c r="G41" s="8" t="str">
        <f t="shared" si="3"/>
        <v>3</v>
      </c>
      <c r="H41" s="9">
        <f t="shared" si="4"/>
        <v>3</v>
      </c>
      <c r="I41" s="10">
        <f>IFERROR(__xludf.DUMMYFUNCTION("MAX(FILTER($H$2:$H1415,$E$2:$E1415=F41))"),0.0)</f>
        <v>0</v>
      </c>
    </row>
    <row r="42">
      <c r="A42" s="4"/>
      <c r="C42" s="4" t="s">
        <v>1698</v>
      </c>
      <c r="D42" s="4" t="str">
        <f t="shared" si="1"/>
        <v>{"valorA":"ar condicionado","valorB":4}</v>
      </c>
      <c r="E42" s="8" t="str">
        <f t="shared" si="2"/>
        <v>ar condicionado</v>
      </c>
      <c r="F42" s="8"/>
      <c r="G42" s="8" t="str">
        <f t="shared" si="3"/>
        <v>4</v>
      </c>
      <c r="H42" s="9">
        <f t="shared" si="4"/>
        <v>4</v>
      </c>
      <c r="I42" s="10">
        <f>IFERROR(__xludf.DUMMYFUNCTION("MAX(FILTER($H$2:$H1415,$E$2:$E1415=F42))"),0.0)</f>
        <v>0</v>
      </c>
    </row>
    <row r="43">
      <c r="A43" s="4"/>
      <c r="C43" s="4" t="s">
        <v>1699</v>
      </c>
      <c r="D43" s="4" t="str">
        <f t="shared" si="1"/>
        <v>{"valorA":"microondas","valorB":4}</v>
      </c>
      <c r="E43" s="8" t="str">
        <f t="shared" si="2"/>
        <v>microondas</v>
      </c>
      <c r="F43" s="8"/>
      <c r="G43" s="8" t="str">
        <f t="shared" si="3"/>
        <v>4</v>
      </c>
      <c r="H43" s="9">
        <f t="shared" si="4"/>
        <v>4</v>
      </c>
      <c r="I43" s="10">
        <f>IFERROR(__xludf.DUMMYFUNCTION("MAX(FILTER($H$2:$H1415,$E$2:$E1415=F43))"),0.0)</f>
        <v>0</v>
      </c>
    </row>
    <row r="44">
      <c r="A44" s="4"/>
      <c r="C44" s="4" t="s">
        <v>1700</v>
      </c>
      <c r="D44" s="4" t="str">
        <f t="shared" si="1"/>
        <v>{"valorA":"ar condicionado","valorB":5}</v>
      </c>
      <c r="E44" s="8" t="str">
        <f t="shared" si="2"/>
        <v>ar condicionado</v>
      </c>
      <c r="F44" s="8"/>
      <c r="G44" s="8" t="str">
        <f t="shared" si="3"/>
        <v>5</v>
      </c>
      <c r="H44" s="9">
        <f t="shared" si="4"/>
        <v>5</v>
      </c>
      <c r="I44" s="10">
        <f>IFERROR(__xludf.DUMMYFUNCTION("MAX(FILTER($H$2:$H1415,$E$2:$E1415=F44))"),0.0)</f>
        <v>0</v>
      </c>
    </row>
    <row r="45">
      <c r="A45" s="4"/>
      <c r="C45" s="4" t="s">
        <v>1701</v>
      </c>
      <c r="D45" s="4" t="str">
        <f t="shared" si="1"/>
        <v>{"valorA":"microondas","valorB":5}</v>
      </c>
      <c r="E45" s="8" t="str">
        <f t="shared" si="2"/>
        <v>microondas</v>
      </c>
      <c r="F45" s="8"/>
      <c r="G45" s="8" t="str">
        <f t="shared" si="3"/>
        <v>5</v>
      </c>
      <c r="H45" s="9">
        <f t="shared" si="4"/>
        <v>5</v>
      </c>
      <c r="I45" s="10">
        <f>IFERROR(__xludf.DUMMYFUNCTION("MAX(FILTER($H$2:$H1415,$E$2:$E1415=F45))"),0.0)</f>
        <v>0</v>
      </c>
    </row>
    <row r="46">
      <c r="A46" s="4"/>
      <c r="C46" s="4" t="s">
        <v>1702</v>
      </c>
      <c r="D46" s="4" t="str">
        <f t="shared" si="1"/>
        <v>{"valorA":"ar condicionado","valorB":6}</v>
      </c>
      <c r="E46" s="8" t="str">
        <f t="shared" si="2"/>
        <v>ar condicionado</v>
      </c>
      <c r="F46" s="8"/>
      <c r="G46" s="8" t="str">
        <f t="shared" si="3"/>
        <v>6</v>
      </c>
      <c r="H46" s="9">
        <f t="shared" si="4"/>
        <v>6</v>
      </c>
      <c r="I46" s="10">
        <f>IFERROR(__xludf.DUMMYFUNCTION("MAX(FILTER($H$2:$H1415,$E$2:$E1415=F46))"),0.0)</f>
        <v>0</v>
      </c>
    </row>
    <row r="47">
      <c r="A47" s="4"/>
      <c r="C47" s="4" t="s">
        <v>1703</v>
      </c>
      <c r="D47" s="4" t="str">
        <f t="shared" si="1"/>
        <v>{"valorA":"microondas","valorB":6}</v>
      </c>
      <c r="E47" s="8" t="str">
        <f t="shared" si="2"/>
        <v>microondas</v>
      </c>
      <c r="F47" s="8"/>
      <c r="G47" s="8" t="str">
        <f t="shared" si="3"/>
        <v>6</v>
      </c>
      <c r="H47" s="9">
        <f t="shared" si="4"/>
        <v>6</v>
      </c>
      <c r="I47" s="10">
        <f>IFERROR(__xludf.DUMMYFUNCTION("MAX(FILTER($H$2:$H1415,$E$2:$E1415=F47))"),0.0)</f>
        <v>0</v>
      </c>
    </row>
    <row r="48">
      <c r="A48" s="4"/>
      <c r="C48" s="4" t="s">
        <v>1704</v>
      </c>
      <c r="D48" s="4" t="str">
        <f t="shared" si="1"/>
        <v>{"valorA":"microondas","valorB":7}</v>
      </c>
      <c r="E48" s="8" t="str">
        <f t="shared" si="2"/>
        <v>microondas</v>
      </c>
      <c r="F48" s="8"/>
      <c r="G48" s="8" t="str">
        <f t="shared" si="3"/>
        <v>7</v>
      </c>
      <c r="H48" s="9">
        <f t="shared" si="4"/>
        <v>7</v>
      </c>
      <c r="I48" s="10">
        <f>IFERROR(__xludf.DUMMYFUNCTION("MAX(FILTER($H$2:$H1415,$E$2:$E1415=F48))"),0.0)</f>
        <v>0</v>
      </c>
    </row>
    <row r="49">
      <c r="A49" s="4"/>
      <c r="C49" s="4" t="s">
        <v>1705</v>
      </c>
      <c r="D49" s="4" t="str">
        <f t="shared" si="1"/>
        <v>{"valorA":"ar condicionado","valorB":7}</v>
      </c>
      <c r="E49" s="8" t="str">
        <f t="shared" si="2"/>
        <v>ar condicionado</v>
      </c>
      <c r="F49" s="8"/>
      <c r="G49" s="8" t="str">
        <f t="shared" si="3"/>
        <v>7</v>
      </c>
      <c r="H49" s="9">
        <f t="shared" si="4"/>
        <v>7</v>
      </c>
      <c r="I49" s="10">
        <f>IFERROR(__xludf.DUMMYFUNCTION("MAX(FILTER($H$2:$H1415,$E$2:$E1415=F49))"),0.0)</f>
        <v>0</v>
      </c>
    </row>
    <row r="50">
      <c r="A50" s="4"/>
      <c r="C50" s="4" t="s">
        <v>1706</v>
      </c>
      <c r="D50" s="4" t="str">
        <f t="shared" si="1"/>
        <v>{"valorA":"ar condicionado","valorB":8}</v>
      </c>
      <c r="E50" s="8" t="str">
        <f t="shared" si="2"/>
        <v>ar condicionado</v>
      </c>
      <c r="F50" s="8"/>
      <c r="G50" s="8" t="str">
        <f t="shared" si="3"/>
        <v>8</v>
      </c>
      <c r="H50" s="9">
        <f t="shared" si="4"/>
        <v>8</v>
      </c>
      <c r="I50" s="10">
        <f>IFERROR(__xludf.DUMMYFUNCTION("MAX(FILTER($H$2:$H1415,$E$2:$E1415=F50))"),0.0)</f>
        <v>0</v>
      </c>
    </row>
    <row r="51">
      <c r="A51" s="4"/>
      <c r="C51" s="4" t="s">
        <v>1707</v>
      </c>
      <c r="D51" s="4" t="str">
        <f t="shared" si="1"/>
        <v>{"valorA":"ar condicionado","valorB":9}</v>
      </c>
      <c r="E51" s="8" t="str">
        <f t="shared" si="2"/>
        <v>ar condicionado</v>
      </c>
      <c r="F51" s="8"/>
      <c r="G51" s="8" t="str">
        <f t="shared" si="3"/>
        <v>9</v>
      </c>
      <c r="H51" s="9">
        <f t="shared" si="4"/>
        <v>9</v>
      </c>
      <c r="I51" s="10">
        <f>IFERROR(__xludf.DUMMYFUNCTION("MAX(FILTER($H$2:$H1415,$E$2:$E1415=F51))"),0.0)</f>
        <v>0</v>
      </c>
    </row>
    <row r="52">
      <c r="A52" s="4"/>
      <c r="C52" s="4" t="s">
        <v>1708</v>
      </c>
      <c r="D52" s="4" t="str">
        <f t="shared" si="1"/>
        <v>{"valorA":"microondas","valorB":8}</v>
      </c>
      <c r="E52" s="8" t="str">
        <f t="shared" si="2"/>
        <v>microondas</v>
      </c>
      <c r="F52" s="8"/>
      <c r="G52" s="8" t="str">
        <f t="shared" si="3"/>
        <v>8</v>
      </c>
      <c r="H52" s="9">
        <f t="shared" si="4"/>
        <v>8</v>
      </c>
      <c r="I52" s="10">
        <f>IFERROR(__xludf.DUMMYFUNCTION("MAX(FILTER($H$2:$H1415,$E$2:$E1415=F52))"),0.0)</f>
        <v>0</v>
      </c>
    </row>
    <row r="53">
      <c r="A53" s="4"/>
      <c r="C53" s="4" t="s">
        <v>1709</v>
      </c>
      <c r="D53" s="4" t="str">
        <f t="shared" si="1"/>
        <v>{"valorA":"ar condicionado","valorB":10}</v>
      </c>
      <c r="E53" s="8" t="str">
        <f t="shared" si="2"/>
        <v>ar condicionado</v>
      </c>
      <c r="F53" s="8"/>
      <c r="G53" s="8" t="str">
        <f t="shared" si="3"/>
        <v>10</v>
      </c>
      <c r="H53" s="9">
        <f t="shared" si="4"/>
        <v>10</v>
      </c>
      <c r="I53" s="10">
        <f>IFERROR(__xludf.DUMMYFUNCTION("MAX(FILTER($H$2:$H1415,$E$2:$E1415=F53))"),0.0)</f>
        <v>0</v>
      </c>
    </row>
    <row r="54">
      <c r="A54" s="4"/>
      <c r="C54" s="4" t="s">
        <v>1710</v>
      </c>
      <c r="D54" s="4" t="str">
        <f t="shared" si="1"/>
        <v>{"valorA":"ar condicionado","valorB":11}</v>
      </c>
      <c r="E54" s="8" t="str">
        <f t="shared" si="2"/>
        <v>ar condicionado</v>
      </c>
      <c r="F54" s="8"/>
      <c r="G54" s="8" t="str">
        <f t="shared" si="3"/>
        <v>11</v>
      </c>
      <c r="H54" s="9">
        <f t="shared" si="4"/>
        <v>11</v>
      </c>
      <c r="I54" s="10">
        <f>IFERROR(__xludf.DUMMYFUNCTION("MAX(FILTER($H$2:$H1415,$E$2:$E1415=F54))"),0.0)</f>
        <v>0</v>
      </c>
    </row>
    <row r="55">
      <c r="A55" s="4"/>
      <c r="C55" s="4" t="s">
        <v>1711</v>
      </c>
      <c r="D55" s="4" t="str">
        <f t="shared" si="1"/>
        <v>{"valorA":"ar condicionado","valorB":12}</v>
      </c>
      <c r="E55" s="8" t="str">
        <f t="shared" si="2"/>
        <v>ar condicionado</v>
      </c>
      <c r="F55" s="8"/>
      <c r="G55" s="8" t="str">
        <f t="shared" si="3"/>
        <v>12</v>
      </c>
      <c r="H55" s="9">
        <f t="shared" si="4"/>
        <v>12</v>
      </c>
      <c r="I55" s="10">
        <f>IFERROR(__xludf.DUMMYFUNCTION("MAX(FILTER($H$2:$H1415,$E$2:$E1415=F55))"),0.0)</f>
        <v>0</v>
      </c>
    </row>
    <row r="56">
      <c r="A56" s="4"/>
      <c r="C56" s="4" t="s">
        <v>1712</v>
      </c>
      <c r="D56" s="4" t="str">
        <f t="shared" si="1"/>
        <v>{"valorA":"microondas","valorB":9}</v>
      </c>
      <c r="E56" s="8" t="str">
        <f t="shared" si="2"/>
        <v>microondas</v>
      </c>
      <c r="F56" s="8"/>
      <c r="G56" s="8" t="str">
        <f t="shared" si="3"/>
        <v>9</v>
      </c>
      <c r="H56" s="9">
        <f t="shared" si="4"/>
        <v>9</v>
      </c>
      <c r="I56" s="10">
        <f>IFERROR(__xludf.DUMMYFUNCTION("MAX(FILTER($H$2:$H1415,$E$2:$E1415=F56))"),0.0)</f>
        <v>0</v>
      </c>
    </row>
    <row r="57">
      <c r="A57" s="4"/>
      <c r="C57" s="4" t="s">
        <v>1713</v>
      </c>
      <c r="D57" s="4" t="str">
        <f t="shared" si="1"/>
        <v>{"valorA":"microondas","valorB":10}</v>
      </c>
      <c r="E57" s="8" t="str">
        <f t="shared" si="2"/>
        <v>microondas</v>
      </c>
      <c r="F57" s="8"/>
      <c r="G57" s="8" t="str">
        <f t="shared" si="3"/>
        <v>10</v>
      </c>
      <c r="H57" s="9">
        <f t="shared" si="4"/>
        <v>10</v>
      </c>
      <c r="I57" s="10">
        <f>IFERROR(__xludf.DUMMYFUNCTION("MAX(FILTER($H$2:$H1415,$E$2:$E1415=F57))"),0.0)</f>
        <v>0</v>
      </c>
    </row>
    <row r="58">
      <c r="A58" s="4"/>
      <c r="C58" s="4" t="s">
        <v>1714</v>
      </c>
      <c r="D58" s="4" t="str">
        <f t="shared" si="1"/>
        <v>{"valorA":"microondas","valorB":11}</v>
      </c>
      <c r="E58" s="8" t="str">
        <f t="shared" si="2"/>
        <v>microondas</v>
      </c>
      <c r="F58" s="8"/>
      <c r="G58" s="8" t="str">
        <f t="shared" si="3"/>
        <v>11</v>
      </c>
      <c r="H58" s="9">
        <f t="shared" si="4"/>
        <v>11</v>
      </c>
      <c r="I58" s="10">
        <f>IFERROR(__xludf.DUMMYFUNCTION("MAX(FILTER($H$2:$H1415,$E$2:$E1415=F58))"),0.0)</f>
        <v>0</v>
      </c>
    </row>
    <row r="59">
      <c r="A59" s="4"/>
      <c r="C59" s="4" t="s">
        <v>1715</v>
      </c>
      <c r="D59" s="4" t="str">
        <f t="shared" si="1"/>
        <v>{"valorA":"ar condicionado","valorB":13}</v>
      </c>
      <c r="E59" s="8" t="str">
        <f t="shared" si="2"/>
        <v>ar condicionado</v>
      </c>
      <c r="F59" s="8"/>
      <c r="G59" s="8" t="str">
        <f t="shared" si="3"/>
        <v>13</v>
      </c>
      <c r="H59" s="9">
        <f t="shared" si="4"/>
        <v>13</v>
      </c>
      <c r="I59" s="10">
        <f>IFERROR(__xludf.DUMMYFUNCTION("MAX(FILTER($H$2:$H1415,$E$2:$E1415=F59))"),0.0)</f>
        <v>0</v>
      </c>
    </row>
    <row r="60">
      <c r="A60" s="4"/>
      <c r="C60" s="4" t="s">
        <v>1716</v>
      </c>
      <c r="D60" s="4" t="str">
        <f t="shared" si="1"/>
        <v>{"valorA":"microondas","valorB":12}</v>
      </c>
      <c r="E60" s="8" t="str">
        <f t="shared" si="2"/>
        <v>microondas</v>
      </c>
      <c r="F60" s="8"/>
      <c r="G60" s="8" t="str">
        <f t="shared" si="3"/>
        <v>12</v>
      </c>
      <c r="H60" s="9">
        <f t="shared" si="4"/>
        <v>12</v>
      </c>
      <c r="I60" s="10">
        <f>IFERROR(__xludf.DUMMYFUNCTION("MAX(FILTER($H$2:$H1415,$E$2:$E1415=F60))"),0.0)</f>
        <v>0</v>
      </c>
    </row>
    <row r="61">
      <c r="A61" s="4"/>
      <c r="C61" s="4" t="s">
        <v>1717</v>
      </c>
      <c r="D61" s="4" t="str">
        <f t="shared" si="1"/>
        <v>{"valorA":"ar condicionado","valorB":14}</v>
      </c>
      <c r="E61" s="8" t="str">
        <f t="shared" si="2"/>
        <v>ar condicionado</v>
      </c>
      <c r="F61" s="8"/>
      <c r="G61" s="8" t="str">
        <f t="shared" si="3"/>
        <v>14</v>
      </c>
      <c r="H61" s="9">
        <f t="shared" si="4"/>
        <v>14</v>
      </c>
      <c r="I61" s="10">
        <f>IFERROR(__xludf.DUMMYFUNCTION("MAX(FILTER($H$2:$H1415,$E$2:$E1415=F61))"),0.0)</f>
        <v>0</v>
      </c>
    </row>
    <row r="62">
      <c r="A62" s="4"/>
      <c r="C62" s="4" t="s">
        <v>1718</v>
      </c>
      <c r="D62" s="4" t="str">
        <f t="shared" si="1"/>
        <v>{"valorA":"ar condicionado","valorB":15}</v>
      </c>
      <c r="E62" s="8" t="str">
        <f t="shared" si="2"/>
        <v>ar condicionado</v>
      </c>
      <c r="F62" s="8"/>
      <c r="G62" s="8" t="str">
        <f t="shared" si="3"/>
        <v>15</v>
      </c>
      <c r="H62" s="9">
        <f t="shared" si="4"/>
        <v>15</v>
      </c>
      <c r="I62" s="10">
        <f>IFERROR(__xludf.DUMMYFUNCTION("MAX(FILTER($H$2:$H1415,$E$2:$E1415=F62))"),0.0)</f>
        <v>0</v>
      </c>
    </row>
    <row r="63">
      <c r="A63" s="4"/>
      <c r="C63" s="4" t="s">
        <v>1719</v>
      </c>
      <c r="D63" s="4" t="str">
        <f t="shared" si="1"/>
        <v>{"valorA":"ar condicionado","valorB":16}</v>
      </c>
      <c r="E63" s="8" t="str">
        <f t="shared" si="2"/>
        <v>ar condicionado</v>
      </c>
      <c r="F63" s="8"/>
      <c r="G63" s="8" t="str">
        <f t="shared" si="3"/>
        <v>16</v>
      </c>
      <c r="H63" s="9">
        <f t="shared" si="4"/>
        <v>16</v>
      </c>
      <c r="I63" s="10">
        <f>IFERROR(__xludf.DUMMYFUNCTION("MAX(FILTER($H$2:$H1415,$E$2:$E1415=F63))"),0.0)</f>
        <v>0</v>
      </c>
    </row>
    <row r="64">
      <c r="A64" s="4"/>
      <c r="C64" s="4" t="s">
        <v>1720</v>
      </c>
      <c r="D64" s="4" t="str">
        <f t="shared" si="1"/>
        <v>{"valorA":"microondas","valorB":13}</v>
      </c>
      <c r="E64" s="8" t="str">
        <f t="shared" si="2"/>
        <v>microondas</v>
      </c>
      <c r="F64" s="8"/>
      <c r="G64" s="8" t="str">
        <f t="shared" si="3"/>
        <v>13</v>
      </c>
      <c r="H64" s="9">
        <f t="shared" si="4"/>
        <v>13</v>
      </c>
      <c r="I64" s="10">
        <f>IFERROR(__xludf.DUMMYFUNCTION("MAX(FILTER($H$2:$H1415,$E$2:$E1415=F64))"),0.0)</f>
        <v>0</v>
      </c>
    </row>
    <row r="65">
      <c r="A65" s="4"/>
      <c r="C65" s="4" t="s">
        <v>1721</v>
      </c>
      <c r="D65" s="4" t="str">
        <f t="shared" si="1"/>
        <v>{"valorA":"microondas","valorB":14}</v>
      </c>
      <c r="E65" s="8" t="str">
        <f t="shared" si="2"/>
        <v>microondas</v>
      </c>
      <c r="F65" s="8"/>
      <c r="G65" s="8" t="str">
        <f t="shared" si="3"/>
        <v>14</v>
      </c>
      <c r="H65" s="9">
        <f t="shared" si="4"/>
        <v>14</v>
      </c>
      <c r="I65" s="10">
        <f>IFERROR(__xludf.DUMMYFUNCTION("MAX(FILTER($H$2:$H1415,$E$2:$E1415=F65))"),0.0)</f>
        <v>0</v>
      </c>
    </row>
    <row r="66">
      <c r="A66" s="4"/>
      <c r="C66" s="4" t="s">
        <v>1722</v>
      </c>
      <c r="D66" s="4" t="str">
        <f t="shared" si="1"/>
        <v>{"valorA":"microondas","valorB":15}</v>
      </c>
      <c r="E66" s="8" t="str">
        <f t="shared" si="2"/>
        <v>microondas</v>
      </c>
      <c r="F66" s="8"/>
      <c r="G66" s="8" t="str">
        <f t="shared" si="3"/>
        <v>15</v>
      </c>
      <c r="H66" s="9">
        <f t="shared" si="4"/>
        <v>15</v>
      </c>
      <c r="I66" s="10">
        <f>IFERROR(__xludf.DUMMYFUNCTION("MAX(FILTER($H$2:$H1415,$E$2:$E1415=F66))"),0.0)</f>
        <v>0</v>
      </c>
    </row>
    <row r="67">
      <c r="A67" s="4"/>
      <c r="C67" s="4" t="s">
        <v>1723</v>
      </c>
      <c r="D67" s="4" t="str">
        <f t="shared" si="1"/>
        <v>{"valorA":"ar condicionado","valorB":17}</v>
      </c>
      <c r="E67" s="8" t="str">
        <f t="shared" si="2"/>
        <v>ar condicionado</v>
      </c>
      <c r="F67" s="8"/>
      <c r="G67" s="8" t="str">
        <f t="shared" si="3"/>
        <v>17</v>
      </c>
      <c r="H67" s="9">
        <f t="shared" si="4"/>
        <v>17</v>
      </c>
      <c r="I67" s="10">
        <f>IFERROR(__xludf.DUMMYFUNCTION("MAX(FILTER($H$2:$H1415,$E$2:$E1415=F67))"),0.0)</f>
        <v>0</v>
      </c>
    </row>
    <row r="68">
      <c r="A68" s="4"/>
      <c r="C68" s="4" t="s">
        <v>1724</v>
      </c>
      <c r="D68" s="4" t="str">
        <f t="shared" si="1"/>
        <v>{"valorA":"ar condicionado","valorB":18}</v>
      </c>
      <c r="E68" s="8" t="str">
        <f t="shared" si="2"/>
        <v>ar condicionado</v>
      </c>
      <c r="F68" s="8"/>
      <c r="G68" s="8" t="str">
        <f t="shared" si="3"/>
        <v>18</v>
      </c>
      <c r="H68" s="9">
        <f t="shared" si="4"/>
        <v>18</v>
      </c>
      <c r="I68" s="10">
        <f>IFERROR(__xludf.DUMMYFUNCTION("MAX(FILTER($H$2:$H1415,$E$2:$E1415=F68))"),0.0)</f>
        <v>0</v>
      </c>
    </row>
    <row r="69">
      <c r="A69" s="4"/>
      <c r="C69" s="4" t="s">
        <v>1725</v>
      </c>
      <c r="D69" s="4" t="str">
        <f t="shared" si="1"/>
        <v>{"valorA":"microondas","valorB":16}</v>
      </c>
      <c r="E69" s="8" t="str">
        <f t="shared" si="2"/>
        <v>microondas</v>
      </c>
      <c r="F69" s="8"/>
      <c r="G69" s="8" t="str">
        <f t="shared" si="3"/>
        <v>16</v>
      </c>
      <c r="H69" s="9">
        <f t="shared" si="4"/>
        <v>16</v>
      </c>
      <c r="I69" s="10">
        <f>IFERROR(__xludf.DUMMYFUNCTION("MAX(FILTER($H$2:$H1415,$E$2:$E1415=F69))"),0.0)</f>
        <v>0</v>
      </c>
    </row>
    <row r="70">
      <c r="A70" s="4"/>
      <c r="C70" s="4" t="s">
        <v>1726</v>
      </c>
      <c r="D70" s="4" t="str">
        <f t="shared" si="1"/>
        <v>{"valorA":"ar condicionado","valorB":19}</v>
      </c>
      <c r="E70" s="8" t="str">
        <f t="shared" si="2"/>
        <v>ar condicionado</v>
      </c>
      <c r="F70" s="8"/>
      <c r="G70" s="8" t="str">
        <f t="shared" si="3"/>
        <v>19</v>
      </c>
      <c r="H70" s="9">
        <f t="shared" si="4"/>
        <v>19</v>
      </c>
      <c r="I70" s="10">
        <f>IFERROR(__xludf.DUMMYFUNCTION("MAX(FILTER($H$2:$H1415,$E$2:$E1415=F70))"),0.0)</f>
        <v>0</v>
      </c>
    </row>
    <row r="71">
      <c r="A71" s="4"/>
      <c r="C71" s="4" t="s">
        <v>1727</v>
      </c>
      <c r="D71" s="4" t="str">
        <f t="shared" si="1"/>
        <v>{"valorA":"microondas","valorB":17}</v>
      </c>
      <c r="E71" s="8" t="str">
        <f t="shared" si="2"/>
        <v>microondas</v>
      </c>
      <c r="F71" s="8"/>
      <c r="G71" s="8" t="str">
        <f t="shared" si="3"/>
        <v>17</v>
      </c>
      <c r="H71" s="9">
        <f t="shared" si="4"/>
        <v>17</v>
      </c>
      <c r="I71" s="10">
        <f>IFERROR(__xludf.DUMMYFUNCTION("MAX(FILTER($H$2:$H1415,$E$2:$E1415=F71))"),0.0)</f>
        <v>0</v>
      </c>
    </row>
    <row r="72">
      <c r="A72" s="4"/>
      <c r="C72" s="4" t="s">
        <v>1728</v>
      </c>
      <c r="D72" s="4" t="str">
        <f t="shared" si="1"/>
        <v>{"valorA":"microondas","valorB":18}</v>
      </c>
      <c r="E72" s="8" t="str">
        <f t="shared" si="2"/>
        <v>microondas</v>
      </c>
      <c r="F72" s="8"/>
      <c r="G72" s="8" t="str">
        <f t="shared" si="3"/>
        <v>18</v>
      </c>
      <c r="H72" s="9">
        <f t="shared" si="4"/>
        <v>18</v>
      </c>
      <c r="I72" s="10">
        <f>IFERROR(__xludf.DUMMYFUNCTION("MAX(FILTER($H$2:$H1415,$E$2:$E1415=F72))"),0.0)</f>
        <v>0</v>
      </c>
    </row>
    <row r="73">
      <c r="A73" s="4"/>
      <c r="C73" s="4" t="s">
        <v>1729</v>
      </c>
      <c r="D73" s="4" t="str">
        <f t="shared" si="1"/>
        <v>{"valorA":"ar condicionado","valorB":20}</v>
      </c>
      <c r="E73" s="8" t="str">
        <f t="shared" si="2"/>
        <v>ar condicionado</v>
      </c>
      <c r="F73" s="8"/>
      <c r="G73" s="8" t="str">
        <f t="shared" si="3"/>
        <v>20</v>
      </c>
      <c r="H73" s="9">
        <f t="shared" si="4"/>
        <v>20</v>
      </c>
      <c r="I73" s="10">
        <f>IFERROR(__xludf.DUMMYFUNCTION("MAX(FILTER($H$2:$H1415,$E$2:$E1415=F73))"),0.0)</f>
        <v>0</v>
      </c>
    </row>
    <row r="74">
      <c r="A74" s="4"/>
      <c r="C74" s="4" t="s">
        <v>1730</v>
      </c>
      <c r="D74" s="4" t="str">
        <f t="shared" si="1"/>
        <v>{"valorA":"microondas","valorB":19}</v>
      </c>
      <c r="E74" s="8" t="str">
        <f t="shared" si="2"/>
        <v>microondas</v>
      </c>
      <c r="F74" s="8"/>
      <c r="G74" s="8" t="str">
        <f t="shared" si="3"/>
        <v>19</v>
      </c>
      <c r="H74" s="9">
        <f t="shared" si="4"/>
        <v>19</v>
      </c>
      <c r="I74" s="10">
        <f>IFERROR(__xludf.DUMMYFUNCTION("MAX(FILTER($H$2:$H1415,$E$2:$E1415=F74))"),0.0)</f>
        <v>0</v>
      </c>
    </row>
    <row r="75">
      <c r="A75" s="4"/>
      <c r="C75" s="4" t="s">
        <v>1731</v>
      </c>
      <c r="D75" s="4" t="str">
        <f t="shared" si="1"/>
        <v>{"valorA":"ar condicionado","valorB":21}</v>
      </c>
      <c r="E75" s="8" t="str">
        <f t="shared" si="2"/>
        <v>ar condicionado</v>
      </c>
      <c r="F75" s="8"/>
      <c r="G75" s="8" t="str">
        <f t="shared" si="3"/>
        <v>21</v>
      </c>
      <c r="H75" s="9">
        <f t="shared" si="4"/>
        <v>21</v>
      </c>
      <c r="I75" s="10">
        <f>IFERROR(__xludf.DUMMYFUNCTION("MAX(FILTER($H$2:$H1415,$E$2:$E1415=F75))"),0.0)</f>
        <v>0</v>
      </c>
    </row>
    <row r="76">
      <c r="A76" s="4"/>
      <c r="C76" s="4" t="s">
        <v>1732</v>
      </c>
      <c r="D76" s="4" t="str">
        <f t="shared" si="1"/>
        <v>{"valorA":"ar condicionado","valorB":22}</v>
      </c>
      <c r="E76" s="8" t="str">
        <f t="shared" si="2"/>
        <v>ar condicionado</v>
      </c>
      <c r="F76" s="8"/>
      <c r="G76" s="8" t="str">
        <f t="shared" si="3"/>
        <v>22</v>
      </c>
      <c r="H76" s="9">
        <f t="shared" si="4"/>
        <v>22</v>
      </c>
      <c r="I76" s="10">
        <f>IFERROR(__xludf.DUMMYFUNCTION("MAX(FILTER($H$2:$H1415,$E$2:$E1415=F76))"),0.0)</f>
        <v>0</v>
      </c>
    </row>
    <row r="77">
      <c r="A77" s="4"/>
      <c r="C77" s="4" t="s">
        <v>1733</v>
      </c>
      <c r="D77" s="4" t="str">
        <f t="shared" si="1"/>
        <v>{"valorA":"ar condicionado","valorB":23}</v>
      </c>
      <c r="E77" s="8" t="str">
        <f t="shared" si="2"/>
        <v>ar condicionado</v>
      </c>
      <c r="F77" s="8"/>
      <c r="G77" s="8" t="str">
        <f t="shared" si="3"/>
        <v>23</v>
      </c>
      <c r="H77" s="9">
        <f t="shared" si="4"/>
        <v>23</v>
      </c>
      <c r="I77" s="10">
        <f>IFERROR(__xludf.DUMMYFUNCTION("MAX(FILTER($H$2:$H1415,$E$2:$E1415=F77))"),0.0)</f>
        <v>0</v>
      </c>
    </row>
    <row r="78">
      <c r="A78" s="4"/>
      <c r="C78" s="4" t="s">
        <v>1734</v>
      </c>
      <c r="D78" s="4" t="str">
        <f t="shared" si="1"/>
        <v>{"valorA":"microondas","valorB":20}</v>
      </c>
      <c r="E78" s="8" t="str">
        <f t="shared" si="2"/>
        <v>microondas</v>
      </c>
      <c r="F78" s="8"/>
      <c r="G78" s="8" t="str">
        <f t="shared" si="3"/>
        <v>20</v>
      </c>
      <c r="H78" s="9">
        <f t="shared" si="4"/>
        <v>20</v>
      </c>
      <c r="I78" s="10">
        <f>IFERROR(__xludf.DUMMYFUNCTION("MAX(FILTER($H$2:$H1415,$E$2:$E1415=F78))"),0.0)</f>
        <v>0</v>
      </c>
    </row>
    <row r="79">
      <c r="A79" s="4"/>
      <c r="C79" s="4" t="s">
        <v>1735</v>
      </c>
      <c r="D79" s="4" t="str">
        <f t="shared" si="1"/>
        <v>{"valorA":"microondas","valorB":21}</v>
      </c>
      <c r="E79" s="8" t="str">
        <f t="shared" si="2"/>
        <v>microondas</v>
      </c>
      <c r="F79" s="8"/>
      <c r="G79" s="8" t="str">
        <f t="shared" si="3"/>
        <v>21</v>
      </c>
      <c r="H79" s="9">
        <f t="shared" si="4"/>
        <v>21</v>
      </c>
      <c r="I79" s="10">
        <f>IFERROR(__xludf.DUMMYFUNCTION("MAX(FILTER($H$2:$H1415,$E$2:$E1415=F79))"),0.0)</f>
        <v>0</v>
      </c>
    </row>
    <row r="80">
      <c r="A80" s="4"/>
      <c r="C80" s="4" t="s">
        <v>1736</v>
      </c>
      <c r="D80" s="4" t="str">
        <f t="shared" si="1"/>
        <v>{"valorA":"ar condicionado","valorB":24}</v>
      </c>
      <c r="E80" s="8" t="str">
        <f t="shared" si="2"/>
        <v>ar condicionado</v>
      </c>
      <c r="F80" s="8"/>
      <c r="G80" s="8" t="str">
        <f t="shared" si="3"/>
        <v>24</v>
      </c>
      <c r="H80" s="9">
        <f t="shared" si="4"/>
        <v>24</v>
      </c>
      <c r="I80" s="10">
        <f>IFERROR(__xludf.DUMMYFUNCTION("MAX(FILTER($H$2:$H1415,$E$2:$E1415=F80))"),0.0)</f>
        <v>0</v>
      </c>
    </row>
    <row r="81">
      <c r="A81" s="4"/>
      <c r="C81" s="4" t="s">
        <v>1737</v>
      </c>
      <c r="D81" s="4" t="str">
        <f t="shared" si="1"/>
        <v>{"valorA":"microondas","valorB":22}</v>
      </c>
      <c r="E81" s="8" t="str">
        <f t="shared" si="2"/>
        <v>microondas</v>
      </c>
      <c r="F81" s="8"/>
      <c r="G81" s="8" t="str">
        <f t="shared" si="3"/>
        <v>22</v>
      </c>
      <c r="H81" s="9">
        <f t="shared" si="4"/>
        <v>22</v>
      </c>
      <c r="I81" s="10">
        <f>IFERROR(__xludf.DUMMYFUNCTION("MAX(FILTER($H$2:$H1415,$E$2:$E1415=F81))"),0.0)</f>
        <v>0</v>
      </c>
    </row>
    <row r="82">
      <c r="A82" s="4"/>
      <c r="C82" s="4" t="s">
        <v>1738</v>
      </c>
      <c r="D82" s="4" t="str">
        <f t="shared" si="1"/>
        <v>{"valorA":"microondas","valorB":23}</v>
      </c>
      <c r="E82" s="8" t="str">
        <f t="shared" si="2"/>
        <v>microondas</v>
      </c>
      <c r="F82" s="8"/>
      <c r="G82" s="8" t="str">
        <f t="shared" si="3"/>
        <v>23</v>
      </c>
      <c r="H82" s="9">
        <f t="shared" si="4"/>
        <v>23</v>
      </c>
      <c r="I82" s="10">
        <f>IFERROR(__xludf.DUMMYFUNCTION("MAX(FILTER($H$2:$H1415,$E$2:$E1415=F82))"),0.0)</f>
        <v>0</v>
      </c>
    </row>
    <row r="83">
      <c r="A83" s="4"/>
      <c r="C83" s="4" t="s">
        <v>1739</v>
      </c>
      <c r="D83" s="4" t="str">
        <f t="shared" si="1"/>
        <v>{"valorA":"ar condicionado","valorB":25}</v>
      </c>
      <c r="E83" s="8" t="str">
        <f t="shared" si="2"/>
        <v>ar condicionado</v>
      </c>
      <c r="F83" s="8"/>
      <c r="G83" s="8" t="str">
        <f t="shared" si="3"/>
        <v>25</v>
      </c>
      <c r="H83" s="9">
        <f t="shared" si="4"/>
        <v>25</v>
      </c>
      <c r="I83" s="10">
        <f>IFERROR(__xludf.DUMMYFUNCTION("MAX(FILTER($H$2:$H1415,$E$2:$E1415=F83))"),0.0)</f>
        <v>0</v>
      </c>
    </row>
    <row r="84">
      <c r="A84" s="4"/>
      <c r="C84" s="4" t="s">
        <v>1740</v>
      </c>
      <c r="D84" s="4" t="str">
        <f t="shared" si="1"/>
        <v>{"valorA":"microondas","valorB":24}</v>
      </c>
      <c r="E84" s="8" t="str">
        <f t="shared" si="2"/>
        <v>microondas</v>
      </c>
      <c r="F84" s="8"/>
      <c r="G84" s="8" t="str">
        <f t="shared" si="3"/>
        <v>24</v>
      </c>
      <c r="H84" s="9">
        <f t="shared" si="4"/>
        <v>24</v>
      </c>
      <c r="I84" s="10">
        <f>IFERROR(__xludf.DUMMYFUNCTION("MAX(FILTER($H$2:$H1415,$E$2:$E1415=F84))"),0.0)</f>
        <v>0</v>
      </c>
    </row>
    <row r="85">
      <c r="A85" s="4"/>
      <c r="C85" s="4" t="s">
        <v>1741</v>
      </c>
      <c r="D85" s="4" t="str">
        <f t="shared" si="1"/>
        <v>{"valorA":"ar condicionado","valorB":26}</v>
      </c>
      <c r="E85" s="8" t="str">
        <f t="shared" si="2"/>
        <v>ar condicionado</v>
      </c>
      <c r="F85" s="8"/>
      <c r="G85" s="8" t="str">
        <f t="shared" si="3"/>
        <v>26</v>
      </c>
      <c r="H85" s="9">
        <f t="shared" si="4"/>
        <v>26</v>
      </c>
      <c r="I85" s="10">
        <f>IFERROR(__xludf.DUMMYFUNCTION("MAX(FILTER($H$2:$H1415,$E$2:$E1415=F85))"),0.0)</f>
        <v>0</v>
      </c>
    </row>
    <row r="86">
      <c r="A86" s="4"/>
      <c r="C86" s="4" t="s">
        <v>1742</v>
      </c>
      <c r="D86" s="4" t="str">
        <f t="shared" si="1"/>
        <v>{"valorA":"ar condicionado","valorB":27}</v>
      </c>
      <c r="E86" s="8" t="str">
        <f t="shared" si="2"/>
        <v>ar condicionado</v>
      </c>
      <c r="F86" s="8"/>
      <c r="G86" s="8" t="str">
        <f t="shared" si="3"/>
        <v>27</v>
      </c>
      <c r="H86" s="9">
        <f t="shared" si="4"/>
        <v>27</v>
      </c>
      <c r="I86" s="10">
        <f>IFERROR(__xludf.DUMMYFUNCTION("MAX(FILTER($H$2:$H1415,$E$2:$E1415=F86))"),0.0)</f>
        <v>0</v>
      </c>
    </row>
    <row r="87">
      <c r="A87" s="4"/>
      <c r="C87" s="4" t="s">
        <v>1743</v>
      </c>
      <c r="D87" s="4" t="str">
        <f t="shared" si="1"/>
        <v>{"valorA":"microondas","valorB":25}</v>
      </c>
      <c r="E87" s="8" t="str">
        <f t="shared" si="2"/>
        <v>microondas</v>
      </c>
      <c r="F87" s="8"/>
      <c r="G87" s="8" t="str">
        <f t="shared" si="3"/>
        <v>25</v>
      </c>
      <c r="H87" s="9">
        <f t="shared" si="4"/>
        <v>25</v>
      </c>
      <c r="I87" s="10">
        <f>IFERROR(__xludf.DUMMYFUNCTION("MAX(FILTER($H$2:$H1415,$E$2:$E1415=F87))"),0.0)</f>
        <v>0</v>
      </c>
    </row>
    <row r="88">
      <c r="A88" s="4"/>
      <c r="C88" s="4" t="s">
        <v>1744</v>
      </c>
      <c r="D88" s="4" t="str">
        <f t="shared" si="1"/>
        <v>{"valorA":"ar condicionado","valorB":28}</v>
      </c>
      <c r="E88" s="8" t="str">
        <f t="shared" si="2"/>
        <v>ar condicionado</v>
      </c>
      <c r="F88" s="8"/>
      <c r="G88" s="8" t="str">
        <f t="shared" si="3"/>
        <v>28</v>
      </c>
      <c r="H88" s="9">
        <f t="shared" si="4"/>
        <v>28</v>
      </c>
      <c r="I88" s="10">
        <f>IFERROR(__xludf.DUMMYFUNCTION("MAX(FILTER($H$2:$H1415,$E$2:$E1415=F88))"),0.0)</f>
        <v>0</v>
      </c>
    </row>
    <row r="89">
      <c r="A89" s="4"/>
      <c r="C89" s="4" t="s">
        <v>1745</v>
      </c>
      <c r="D89" s="4" t="str">
        <f t="shared" si="1"/>
        <v>{"valorA":"ar condicionado","valorB":29}</v>
      </c>
      <c r="E89" s="8" t="str">
        <f t="shared" si="2"/>
        <v>ar condicionado</v>
      </c>
      <c r="F89" s="8"/>
      <c r="G89" s="8" t="str">
        <f t="shared" si="3"/>
        <v>29</v>
      </c>
      <c r="H89" s="9">
        <f t="shared" si="4"/>
        <v>29</v>
      </c>
      <c r="I89" s="10">
        <f>IFERROR(__xludf.DUMMYFUNCTION("MAX(FILTER($H$2:$H1415,$E$2:$E1415=F89))"),0.0)</f>
        <v>0</v>
      </c>
    </row>
    <row r="90">
      <c r="A90" s="4"/>
      <c r="C90" s="4" t="s">
        <v>1746</v>
      </c>
      <c r="D90" s="4" t="str">
        <f t="shared" si="1"/>
        <v>{"valorA":"microondas","valorB":26}</v>
      </c>
      <c r="E90" s="8" t="str">
        <f t="shared" si="2"/>
        <v>microondas</v>
      </c>
      <c r="F90" s="8"/>
      <c r="G90" s="8" t="str">
        <f t="shared" si="3"/>
        <v>26</v>
      </c>
      <c r="H90" s="9">
        <f t="shared" si="4"/>
        <v>26</v>
      </c>
      <c r="I90" s="10">
        <f>IFERROR(__xludf.DUMMYFUNCTION("MAX(FILTER($H$2:$H1415,$E$2:$E1415=F90))"),0.0)</f>
        <v>0</v>
      </c>
    </row>
    <row r="91">
      <c r="A91" s="4"/>
      <c r="C91" s="4" t="s">
        <v>1747</v>
      </c>
      <c r="D91" s="4" t="str">
        <f t="shared" si="1"/>
        <v>{"valorA":"ar condicionado","valorB":30}</v>
      </c>
      <c r="E91" s="8" t="str">
        <f t="shared" si="2"/>
        <v>ar condicionado</v>
      </c>
      <c r="F91" s="8"/>
      <c r="G91" s="8" t="str">
        <f t="shared" si="3"/>
        <v>30</v>
      </c>
      <c r="H91" s="9">
        <f t="shared" si="4"/>
        <v>30</v>
      </c>
      <c r="I91" s="10">
        <f>IFERROR(__xludf.DUMMYFUNCTION("MAX(FILTER($H$2:$H1415,$E$2:$E1415=F91))"),0.0)</f>
        <v>0</v>
      </c>
    </row>
    <row r="92">
      <c r="A92" s="4"/>
      <c r="C92" s="4" t="s">
        <v>1748</v>
      </c>
      <c r="D92" s="4" t="str">
        <f t="shared" si="1"/>
        <v>{"valorA":"microondas","valorB":27}</v>
      </c>
      <c r="E92" s="8" t="str">
        <f t="shared" si="2"/>
        <v>microondas</v>
      </c>
      <c r="F92" s="8"/>
      <c r="G92" s="8" t="str">
        <f t="shared" si="3"/>
        <v>27</v>
      </c>
      <c r="H92" s="9">
        <f t="shared" si="4"/>
        <v>27</v>
      </c>
      <c r="I92" s="10">
        <f>IFERROR(__xludf.DUMMYFUNCTION("MAX(FILTER($H$2:$H1415,$E$2:$E1415=F92))"),0.0)</f>
        <v>0</v>
      </c>
    </row>
    <row r="93">
      <c r="A93" s="4"/>
      <c r="C93" s="4" t="s">
        <v>1749</v>
      </c>
      <c r="D93" s="4" t="str">
        <f t="shared" si="1"/>
        <v>{"valorA":"ar condicionado","valorB":31}</v>
      </c>
      <c r="E93" s="8" t="str">
        <f t="shared" si="2"/>
        <v>ar condicionado</v>
      </c>
      <c r="F93" s="8"/>
      <c r="G93" s="8" t="str">
        <f t="shared" si="3"/>
        <v>31</v>
      </c>
      <c r="H93" s="9">
        <f t="shared" si="4"/>
        <v>31</v>
      </c>
      <c r="I93" s="10">
        <f>IFERROR(__xludf.DUMMYFUNCTION("MAX(FILTER($H$2:$H1415,$E$2:$E1415=F93))"),0.0)</f>
        <v>0</v>
      </c>
    </row>
    <row r="94">
      <c r="A94" s="4"/>
      <c r="C94" s="4" t="s">
        <v>1750</v>
      </c>
      <c r="D94" s="4" t="str">
        <f t="shared" si="1"/>
        <v>{"valorA":"microondas","valorB":28}</v>
      </c>
      <c r="E94" s="8" t="str">
        <f t="shared" si="2"/>
        <v>microondas</v>
      </c>
      <c r="F94" s="8"/>
      <c r="G94" s="8" t="str">
        <f t="shared" si="3"/>
        <v>28</v>
      </c>
      <c r="H94" s="9">
        <f t="shared" si="4"/>
        <v>28</v>
      </c>
      <c r="I94" s="10">
        <f>IFERROR(__xludf.DUMMYFUNCTION("MAX(FILTER($H$2:$H1415,$E$2:$E1415=F94))"),0.0)</f>
        <v>0</v>
      </c>
    </row>
    <row r="95">
      <c r="A95" s="4"/>
      <c r="C95" s="4" t="s">
        <v>1751</v>
      </c>
      <c r="D95" s="4" t="str">
        <f t="shared" si="1"/>
        <v>{"valorA":"microondas","valorB":29}</v>
      </c>
      <c r="E95" s="8" t="str">
        <f t="shared" si="2"/>
        <v>microondas</v>
      </c>
      <c r="F95" s="8"/>
      <c r="G95" s="8" t="str">
        <f t="shared" si="3"/>
        <v>29</v>
      </c>
      <c r="H95" s="9">
        <f t="shared" si="4"/>
        <v>29</v>
      </c>
      <c r="I95" s="10">
        <f>IFERROR(__xludf.DUMMYFUNCTION("MAX(FILTER($H$2:$H1415,$E$2:$E1415=F95))"),0.0)</f>
        <v>0</v>
      </c>
    </row>
    <row r="96">
      <c r="A96" s="4"/>
      <c r="C96" s="4" t="s">
        <v>1752</v>
      </c>
      <c r="D96" s="4" t="str">
        <f t="shared" si="1"/>
        <v>{"valorA":"microondas","valorB":30}</v>
      </c>
      <c r="E96" s="8" t="str">
        <f t="shared" si="2"/>
        <v>microondas</v>
      </c>
      <c r="F96" s="8"/>
      <c r="G96" s="8" t="str">
        <f t="shared" si="3"/>
        <v>30</v>
      </c>
      <c r="H96" s="9">
        <f t="shared" si="4"/>
        <v>30</v>
      </c>
      <c r="I96" s="10">
        <f>IFERROR(__xludf.DUMMYFUNCTION("MAX(FILTER($H$2:$H1415,$E$2:$E1415=F96))"),0.0)</f>
        <v>0</v>
      </c>
    </row>
    <row r="97">
      <c r="A97" s="4"/>
      <c r="C97" s="4" t="s">
        <v>1753</v>
      </c>
      <c r="D97" s="4" t="str">
        <f t="shared" si="1"/>
        <v>{"valorA":"microondas","valorB":31}</v>
      </c>
      <c r="E97" s="8" t="str">
        <f t="shared" si="2"/>
        <v>microondas</v>
      </c>
      <c r="F97" s="8"/>
      <c r="G97" s="8" t="str">
        <f t="shared" si="3"/>
        <v>31</v>
      </c>
      <c r="H97" s="9">
        <f t="shared" si="4"/>
        <v>31</v>
      </c>
      <c r="I97" s="10">
        <f>IFERROR(__xludf.DUMMYFUNCTION("MAX(FILTER($H$2:$H1415,$E$2:$E1415=F97))"),0.0)</f>
        <v>0</v>
      </c>
    </row>
    <row r="98">
      <c r="A98" s="4"/>
      <c r="C98" s="4" t="s">
        <v>1754</v>
      </c>
      <c r="D98" s="4" t="str">
        <f t="shared" si="1"/>
        <v>{"valorA":"ar condicionado","valorB":32}</v>
      </c>
      <c r="E98" s="8" t="str">
        <f t="shared" si="2"/>
        <v>ar condicionado</v>
      </c>
      <c r="F98" s="8"/>
      <c r="G98" s="8" t="str">
        <f t="shared" si="3"/>
        <v>32</v>
      </c>
      <c r="H98" s="9">
        <f t="shared" si="4"/>
        <v>32</v>
      </c>
      <c r="I98" s="10">
        <f>IFERROR(__xludf.DUMMYFUNCTION("MAX(FILTER($H$2:$H1415,$E$2:$E1415=F98))"),0.0)</f>
        <v>0</v>
      </c>
    </row>
    <row r="99">
      <c r="A99" s="4"/>
      <c r="C99" s="4" t="s">
        <v>1755</v>
      </c>
      <c r="D99" s="4" t="str">
        <f t="shared" si="1"/>
        <v>{"valorA":"ar condicionado","valorB":33}</v>
      </c>
      <c r="E99" s="8" t="str">
        <f t="shared" si="2"/>
        <v>ar condicionado</v>
      </c>
      <c r="F99" s="8"/>
      <c r="G99" s="8" t="str">
        <f t="shared" si="3"/>
        <v>33</v>
      </c>
      <c r="H99" s="9">
        <f t="shared" si="4"/>
        <v>33</v>
      </c>
      <c r="I99" s="10">
        <f>IFERROR(__xludf.DUMMYFUNCTION("MAX(FILTER($H$2:$H1415,$E$2:$E1415=F99))"),0.0)</f>
        <v>0</v>
      </c>
    </row>
    <row r="100">
      <c r="A100" s="4"/>
      <c r="C100" s="4" t="s">
        <v>1756</v>
      </c>
      <c r="D100" s="4" t="str">
        <f t="shared" si="1"/>
        <v>{"valorA":"microondas","valorB":32}</v>
      </c>
      <c r="E100" s="8" t="str">
        <f t="shared" si="2"/>
        <v>microondas</v>
      </c>
      <c r="F100" s="8"/>
      <c r="G100" s="8" t="str">
        <f t="shared" si="3"/>
        <v>32</v>
      </c>
      <c r="H100" s="9">
        <f t="shared" si="4"/>
        <v>32</v>
      </c>
      <c r="I100" s="10">
        <f>IFERROR(__xludf.DUMMYFUNCTION("MAX(FILTER($H$2:$H1415,$E$2:$E1415=F100))"),0.0)</f>
        <v>0</v>
      </c>
    </row>
    <row r="101">
      <c r="A101" s="4"/>
      <c r="C101" s="4" t="s">
        <v>1757</v>
      </c>
      <c r="D101" s="4" t="str">
        <f t="shared" si="1"/>
        <v>{"valorA":"ar condicionado","valorB":34}</v>
      </c>
      <c r="E101" s="8" t="str">
        <f t="shared" si="2"/>
        <v>ar condicionado</v>
      </c>
      <c r="F101" s="8"/>
      <c r="G101" s="8" t="str">
        <f t="shared" si="3"/>
        <v>34</v>
      </c>
      <c r="H101" s="9">
        <f t="shared" si="4"/>
        <v>34</v>
      </c>
      <c r="I101" s="10">
        <f>IFERROR(__xludf.DUMMYFUNCTION("MAX(FILTER($H$2:$H1415,$E$2:$E1415=F101))"),0.0)</f>
        <v>0</v>
      </c>
    </row>
    <row r="102">
      <c r="A102" s="4"/>
      <c r="C102" s="4" t="s">
        <v>1758</v>
      </c>
      <c r="D102" s="4" t="str">
        <f t="shared" si="1"/>
        <v>{"valorA":"microondas","valorB":33}</v>
      </c>
      <c r="E102" s="8" t="str">
        <f t="shared" si="2"/>
        <v>microondas</v>
      </c>
      <c r="F102" s="8"/>
      <c r="G102" s="8" t="str">
        <f t="shared" si="3"/>
        <v>33</v>
      </c>
      <c r="H102" s="9">
        <f t="shared" si="4"/>
        <v>33</v>
      </c>
      <c r="I102" s="10">
        <f>IFERROR(__xludf.DUMMYFUNCTION("MAX(FILTER($H$2:$H1415,$E$2:$E1415=F102))"),0.0)</f>
        <v>0</v>
      </c>
    </row>
    <row r="103">
      <c r="A103" s="4"/>
      <c r="C103" s="4" t="s">
        <v>1759</v>
      </c>
      <c r="D103" s="4" t="str">
        <f t="shared" si="1"/>
        <v>{"valorA":"microondas","valorB":34}</v>
      </c>
      <c r="E103" s="8" t="str">
        <f t="shared" si="2"/>
        <v>microondas</v>
      </c>
      <c r="F103" s="8"/>
      <c r="G103" s="8" t="str">
        <f t="shared" si="3"/>
        <v>34</v>
      </c>
      <c r="H103" s="9">
        <f t="shared" si="4"/>
        <v>34</v>
      </c>
      <c r="I103" s="10">
        <f>IFERROR(__xludf.DUMMYFUNCTION("MAX(FILTER($H$2:$H1415,$E$2:$E1415=F103))"),0.0)</f>
        <v>0</v>
      </c>
    </row>
    <row r="104">
      <c r="A104" s="4"/>
      <c r="C104" s="4" t="s">
        <v>1760</v>
      </c>
      <c r="D104" s="4" t="str">
        <f t="shared" si="1"/>
        <v>{"valorA":"ar condicionado","valorB":35}</v>
      </c>
      <c r="E104" s="8" t="str">
        <f t="shared" si="2"/>
        <v>ar condicionado</v>
      </c>
      <c r="F104" s="8"/>
      <c r="G104" s="8" t="str">
        <f t="shared" si="3"/>
        <v>35</v>
      </c>
      <c r="H104" s="9">
        <f t="shared" si="4"/>
        <v>35</v>
      </c>
      <c r="I104" s="10">
        <f>IFERROR(__xludf.DUMMYFUNCTION("MAX(FILTER($H$2:$H1415,$E$2:$E1415=F104))"),0.0)</f>
        <v>0</v>
      </c>
    </row>
    <row r="105">
      <c r="A105" s="4"/>
      <c r="C105" s="4" t="s">
        <v>1761</v>
      </c>
      <c r="D105" s="4" t="str">
        <f t="shared" si="1"/>
        <v>{"valorA":"ar condicionado","valorB":36}</v>
      </c>
      <c r="E105" s="8" t="str">
        <f t="shared" si="2"/>
        <v>ar condicionado</v>
      </c>
      <c r="F105" s="8"/>
      <c r="G105" s="8" t="str">
        <f t="shared" si="3"/>
        <v>36</v>
      </c>
      <c r="H105" s="9">
        <f t="shared" si="4"/>
        <v>36</v>
      </c>
      <c r="I105" s="10">
        <f>IFERROR(__xludf.DUMMYFUNCTION("MAX(FILTER($H$2:$H1415,$E$2:$E1415=F105))"),0.0)</f>
        <v>0</v>
      </c>
    </row>
    <row r="106">
      <c r="A106" s="4"/>
      <c r="C106" s="4" t="s">
        <v>1762</v>
      </c>
      <c r="D106" s="4" t="str">
        <f t="shared" si="1"/>
        <v>{"valorA":"microondas","valorB":35}</v>
      </c>
      <c r="E106" s="8" t="str">
        <f t="shared" si="2"/>
        <v>microondas</v>
      </c>
      <c r="F106" s="8"/>
      <c r="G106" s="8" t="str">
        <f t="shared" si="3"/>
        <v>35</v>
      </c>
      <c r="H106" s="9">
        <f t="shared" si="4"/>
        <v>35</v>
      </c>
      <c r="I106" s="10">
        <f>IFERROR(__xludf.DUMMYFUNCTION("MAX(FILTER($H$2:$H1415,$E$2:$E1415=F106))"),0.0)</f>
        <v>0</v>
      </c>
    </row>
    <row r="107">
      <c r="A107" s="4"/>
      <c r="C107" s="4" t="s">
        <v>1763</v>
      </c>
      <c r="D107" s="4" t="str">
        <f t="shared" si="1"/>
        <v>{"valorA":"ar condicionado","valorB":37}</v>
      </c>
      <c r="E107" s="8" t="str">
        <f t="shared" si="2"/>
        <v>ar condicionado</v>
      </c>
      <c r="F107" s="8"/>
      <c r="G107" s="8" t="str">
        <f t="shared" si="3"/>
        <v>37</v>
      </c>
      <c r="H107" s="9">
        <f t="shared" si="4"/>
        <v>37</v>
      </c>
      <c r="I107" s="10">
        <f>IFERROR(__xludf.DUMMYFUNCTION("MAX(FILTER($H$2:$H1415,$E$2:$E1415=F107))"),0.0)</f>
        <v>0</v>
      </c>
    </row>
    <row r="108">
      <c r="A108" s="4"/>
      <c r="C108" s="4" t="s">
        <v>1764</v>
      </c>
      <c r="D108" s="4" t="str">
        <f t="shared" si="1"/>
        <v>{"valorA":"ar condicionado","valorB":38}</v>
      </c>
      <c r="E108" s="8" t="str">
        <f t="shared" si="2"/>
        <v>ar condicionado</v>
      </c>
      <c r="F108" s="8"/>
      <c r="G108" s="8" t="str">
        <f t="shared" si="3"/>
        <v>38</v>
      </c>
      <c r="H108" s="9">
        <f t="shared" si="4"/>
        <v>38</v>
      </c>
      <c r="I108" s="10">
        <f>IFERROR(__xludf.DUMMYFUNCTION("MAX(FILTER($H$2:$H1415,$E$2:$E1415=F108))"),0.0)</f>
        <v>0</v>
      </c>
    </row>
    <row r="109">
      <c r="A109" s="4"/>
      <c r="C109" s="4" t="s">
        <v>1765</v>
      </c>
      <c r="D109" s="4" t="str">
        <f t="shared" si="1"/>
        <v>{"valorA":"ar condicionado","valorB":39}</v>
      </c>
      <c r="E109" s="8" t="str">
        <f t="shared" si="2"/>
        <v>ar condicionado</v>
      </c>
      <c r="F109" s="8"/>
      <c r="G109" s="8" t="str">
        <f t="shared" si="3"/>
        <v>39</v>
      </c>
      <c r="H109" s="9">
        <f t="shared" si="4"/>
        <v>39</v>
      </c>
      <c r="I109" s="10">
        <f>IFERROR(__xludf.DUMMYFUNCTION("MAX(FILTER($H$2:$H1415,$E$2:$E1415=F109))"),0.0)</f>
        <v>0</v>
      </c>
    </row>
    <row r="110">
      <c r="A110" s="4"/>
      <c r="C110" s="4" t="s">
        <v>1766</v>
      </c>
      <c r="D110" s="4" t="str">
        <f t="shared" si="1"/>
        <v>{"valorA":"microondas","valorB":36}</v>
      </c>
      <c r="E110" s="8" t="str">
        <f t="shared" si="2"/>
        <v>microondas</v>
      </c>
      <c r="F110" s="8"/>
      <c r="G110" s="8" t="str">
        <f t="shared" si="3"/>
        <v>36</v>
      </c>
      <c r="H110" s="9">
        <f t="shared" si="4"/>
        <v>36</v>
      </c>
      <c r="I110" s="10">
        <f>IFERROR(__xludf.DUMMYFUNCTION("MAX(FILTER($H$2:$H1415,$E$2:$E1415=F110))"),0.0)</f>
        <v>0</v>
      </c>
    </row>
    <row r="111">
      <c r="A111" s="4"/>
      <c r="C111" s="4" t="s">
        <v>1767</v>
      </c>
      <c r="D111" s="4" t="str">
        <f t="shared" si="1"/>
        <v>{"valorA":"ar condicionado","valorB":40}</v>
      </c>
      <c r="E111" s="8" t="str">
        <f t="shared" si="2"/>
        <v>ar condicionado</v>
      </c>
      <c r="F111" s="8"/>
      <c r="G111" s="8" t="str">
        <f t="shared" si="3"/>
        <v>40</v>
      </c>
      <c r="H111" s="9">
        <f t="shared" si="4"/>
        <v>40</v>
      </c>
      <c r="I111" s="10">
        <f>IFERROR(__xludf.DUMMYFUNCTION("MAX(FILTER($H$2:$H1415,$E$2:$E1415=F111))"),0.0)</f>
        <v>0</v>
      </c>
    </row>
    <row r="112">
      <c r="A112" s="4"/>
      <c r="C112" s="4" t="s">
        <v>1768</v>
      </c>
      <c r="D112" s="4" t="str">
        <f t="shared" si="1"/>
        <v>{"valorA":"microondas","valorB":37}</v>
      </c>
      <c r="E112" s="8" t="str">
        <f t="shared" si="2"/>
        <v>microondas</v>
      </c>
      <c r="F112" s="8"/>
      <c r="G112" s="8" t="str">
        <f t="shared" si="3"/>
        <v>37</v>
      </c>
      <c r="H112" s="9">
        <f t="shared" si="4"/>
        <v>37</v>
      </c>
      <c r="I112" s="10">
        <f>IFERROR(__xludf.DUMMYFUNCTION("MAX(FILTER($H$2:$H1415,$E$2:$E1415=F112))"),0.0)</f>
        <v>0</v>
      </c>
    </row>
    <row r="113">
      <c r="A113" s="4"/>
      <c r="C113" s="4" t="s">
        <v>1769</v>
      </c>
      <c r="D113" s="4" t="str">
        <f t="shared" si="1"/>
        <v>{"valorA":"ar condicionado","valorB":41}</v>
      </c>
      <c r="E113" s="8" t="str">
        <f t="shared" si="2"/>
        <v>ar condicionado</v>
      </c>
      <c r="F113" s="8"/>
      <c r="G113" s="8" t="str">
        <f t="shared" si="3"/>
        <v>41</v>
      </c>
      <c r="H113" s="9">
        <f t="shared" si="4"/>
        <v>41</v>
      </c>
      <c r="I113" s="10">
        <f>IFERROR(__xludf.DUMMYFUNCTION("MAX(FILTER($H$2:$H1415,$E$2:$E1415=F113))"),0.0)</f>
        <v>0</v>
      </c>
    </row>
    <row r="114">
      <c r="A114" s="4"/>
      <c r="C114" s="4" t="s">
        <v>1770</v>
      </c>
      <c r="D114" s="4" t="str">
        <f t="shared" si="1"/>
        <v>{"valorA":"microondas","valorB":38}</v>
      </c>
      <c r="E114" s="8" t="str">
        <f t="shared" si="2"/>
        <v>microondas</v>
      </c>
      <c r="F114" s="8"/>
      <c r="G114" s="8" t="str">
        <f t="shared" si="3"/>
        <v>38</v>
      </c>
      <c r="H114" s="9">
        <f t="shared" si="4"/>
        <v>38</v>
      </c>
      <c r="I114" s="10">
        <f>IFERROR(__xludf.DUMMYFUNCTION("MAX(FILTER($H$2:$H1415,$E$2:$E1415=F114))"),0.0)</f>
        <v>0</v>
      </c>
    </row>
    <row r="115">
      <c r="A115" s="4"/>
      <c r="C115" s="4" t="s">
        <v>1771</v>
      </c>
      <c r="D115" s="4" t="str">
        <f t="shared" si="1"/>
        <v>{"valorA":"freezer","valorB":35}</v>
      </c>
      <c r="E115" s="8" t="str">
        <f t="shared" si="2"/>
        <v>freezer</v>
      </c>
      <c r="F115" s="8"/>
      <c r="G115" s="8" t="str">
        <f t="shared" si="3"/>
        <v>35</v>
      </c>
      <c r="H115" s="9">
        <f t="shared" si="4"/>
        <v>35</v>
      </c>
      <c r="I115" s="10">
        <f>IFERROR(__xludf.DUMMYFUNCTION("MAX(FILTER($H$2:$H1415,$E$2:$E1415=F115))"),0.0)</f>
        <v>0</v>
      </c>
    </row>
    <row r="116">
      <c r="A116" s="4"/>
      <c r="C116" s="4" t="s">
        <v>1772</v>
      </c>
      <c r="D116" s="4" t="str">
        <f t="shared" si="1"/>
        <v>{"valorA":"freezer","valorB":36}</v>
      </c>
      <c r="E116" s="8" t="str">
        <f t="shared" si="2"/>
        <v>freezer</v>
      </c>
      <c r="F116" s="8"/>
      <c r="G116" s="8" t="str">
        <f t="shared" si="3"/>
        <v>36</v>
      </c>
      <c r="H116" s="9">
        <f t="shared" si="4"/>
        <v>36</v>
      </c>
      <c r="I116" s="10">
        <f>IFERROR(__xludf.DUMMYFUNCTION("MAX(FILTER($H$2:$H1415,$E$2:$E1415=F116))"),0.0)</f>
        <v>0</v>
      </c>
    </row>
    <row r="117">
      <c r="A117" s="4"/>
      <c r="C117" s="4" t="s">
        <v>1773</v>
      </c>
      <c r="D117" s="4" t="str">
        <f t="shared" si="1"/>
        <v>{"valorA":"microondas","valorB":39}</v>
      </c>
      <c r="E117" s="8" t="str">
        <f t="shared" si="2"/>
        <v>microondas</v>
      </c>
      <c r="F117" s="8"/>
      <c r="G117" s="8" t="str">
        <f t="shared" si="3"/>
        <v>39</v>
      </c>
      <c r="H117" s="9">
        <f t="shared" si="4"/>
        <v>39</v>
      </c>
      <c r="I117" s="10">
        <f>IFERROR(__xludf.DUMMYFUNCTION("MAX(FILTER($H$2:$H1415,$E$2:$E1415=F117))"),0.0)</f>
        <v>0</v>
      </c>
    </row>
    <row r="118">
      <c r="A118" s="4"/>
      <c r="C118" s="4" t="s">
        <v>1774</v>
      </c>
      <c r="D118" s="4" t="str">
        <f t="shared" si="1"/>
        <v>{"valorA":"ar condicionado","valorB":42}</v>
      </c>
      <c r="E118" s="8" t="str">
        <f t="shared" si="2"/>
        <v>ar condicionado</v>
      </c>
      <c r="F118" s="8"/>
      <c r="G118" s="8" t="str">
        <f t="shared" si="3"/>
        <v>42</v>
      </c>
      <c r="H118" s="9">
        <f t="shared" si="4"/>
        <v>42</v>
      </c>
      <c r="I118" s="10">
        <f>IFERROR(__xludf.DUMMYFUNCTION("MAX(FILTER($H$2:$H1415,$E$2:$E1415=F118))"),0.0)</f>
        <v>0</v>
      </c>
    </row>
    <row r="119">
      <c r="A119" s="4"/>
      <c r="C119" s="4" t="s">
        <v>1775</v>
      </c>
      <c r="D119" s="4" t="str">
        <f t="shared" si="1"/>
        <v>{"valorA":"microondas","valorB":40}</v>
      </c>
      <c r="E119" s="8" t="str">
        <f t="shared" si="2"/>
        <v>microondas</v>
      </c>
      <c r="F119" s="8"/>
      <c r="G119" s="8" t="str">
        <f t="shared" si="3"/>
        <v>40</v>
      </c>
      <c r="H119" s="9">
        <f t="shared" si="4"/>
        <v>40</v>
      </c>
      <c r="I119" s="10">
        <f>IFERROR(__xludf.DUMMYFUNCTION("MAX(FILTER($H$2:$H1415,$E$2:$E1415=F119))"),0.0)</f>
        <v>0</v>
      </c>
    </row>
    <row r="120">
      <c r="A120" s="4"/>
      <c r="C120" s="4" t="s">
        <v>1776</v>
      </c>
      <c r="D120" s="4" t="str">
        <f t="shared" si="1"/>
        <v>{"valorA":"ar condicionado","valorB":43}</v>
      </c>
      <c r="E120" s="8" t="str">
        <f t="shared" si="2"/>
        <v>ar condicionado</v>
      </c>
      <c r="F120" s="8"/>
      <c r="G120" s="8" t="str">
        <f t="shared" si="3"/>
        <v>43</v>
      </c>
      <c r="H120" s="9">
        <f t="shared" si="4"/>
        <v>43</v>
      </c>
      <c r="I120" s="10">
        <f>IFERROR(__xludf.DUMMYFUNCTION("MAX(FILTER($H$2:$H1415,$E$2:$E1415=F120))"),0.0)</f>
        <v>0</v>
      </c>
    </row>
    <row r="121">
      <c r="A121" s="4"/>
      <c r="C121" s="4" t="s">
        <v>1777</v>
      </c>
      <c r="D121" s="4" t="str">
        <f t="shared" si="1"/>
        <v>{"valorA":"microondas","valorB":41}</v>
      </c>
      <c r="E121" s="8" t="str">
        <f t="shared" si="2"/>
        <v>microondas</v>
      </c>
      <c r="F121" s="8"/>
      <c r="G121" s="8" t="str">
        <f t="shared" si="3"/>
        <v>41</v>
      </c>
      <c r="H121" s="9">
        <f t="shared" si="4"/>
        <v>41</v>
      </c>
      <c r="I121" s="10">
        <f>IFERROR(__xludf.DUMMYFUNCTION("MAX(FILTER($H$2:$H1415,$E$2:$E1415=F121))"),0.0)</f>
        <v>0</v>
      </c>
    </row>
    <row r="122">
      <c r="A122" s="4"/>
      <c r="C122" s="4" t="s">
        <v>1778</v>
      </c>
      <c r="D122" s="4" t="str">
        <f t="shared" si="1"/>
        <v>{"valorA":"ar condicionado","valorB":44}</v>
      </c>
      <c r="E122" s="8" t="str">
        <f t="shared" si="2"/>
        <v>ar condicionado</v>
      </c>
      <c r="F122" s="8"/>
      <c r="G122" s="8" t="str">
        <f t="shared" si="3"/>
        <v>44</v>
      </c>
      <c r="H122" s="9">
        <f t="shared" si="4"/>
        <v>44</v>
      </c>
      <c r="I122" s="10">
        <f>IFERROR(__xludf.DUMMYFUNCTION("MAX(FILTER($H$2:$H1415,$E$2:$E1415=F122))"),0.0)</f>
        <v>0</v>
      </c>
    </row>
    <row r="123">
      <c r="A123" s="4"/>
      <c r="C123" s="4" t="s">
        <v>1779</v>
      </c>
      <c r="D123" s="4" t="str">
        <f t="shared" si="1"/>
        <v>{"valorA":"freezer","valorB":37}</v>
      </c>
      <c r="E123" s="8" t="str">
        <f t="shared" si="2"/>
        <v>freezer</v>
      </c>
      <c r="F123" s="8"/>
      <c r="G123" s="8" t="str">
        <f t="shared" si="3"/>
        <v>37</v>
      </c>
      <c r="H123" s="9">
        <f t="shared" si="4"/>
        <v>37</v>
      </c>
      <c r="I123" s="10">
        <f>IFERROR(__xludf.DUMMYFUNCTION("MAX(FILTER($H$2:$H1415,$E$2:$E1415=F123))"),0.0)</f>
        <v>0</v>
      </c>
    </row>
    <row r="124">
      <c r="A124" s="4"/>
      <c r="C124" s="4" t="s">
        <v>1780</v>
      </c>
      <c r="D124" s="4" t="str">
        <f t="shared" si="1"/>
        <v>{"valorA":"ar condicionado","valorB":45}</v>
      </c>
      <c r="E124" s="8" t="str">
        <f t="shared" si="2"/>
        <v>ar condicionado</v>
      </c>
      <c r="F124" s="8"/>
      <c r="G124" s="8" t="str">
        <f t="shared" si="3"/>
        <v>45</v>
      </c>
      <c r="H124" s="9">
        <f t="shared" si="4"/>
        <v>45</v>
      </c>
      <c r="I124" s="10">
        <f>IFERROR(__xludf.DUMMYFUNCTION("MAX(FILTER($H$2:$H1415,$E$2:$E1415=F124))"),0.0)</f>
        <v>0</v>
      </c>
    </row>
    <row r="125">
      <c r="A125" s="4"/>
      <c r="C125" s="4" t="s">
        <v>1781</v>
      </c>
      <c r="D125" s="4" t="str">
        <f t="shared" si="1"/>
        <v>{"valorA":"freezer","valorB":38}</v>
      </c>
      <c r="E125" s="8" t="str">
        <f t="shared" si="2"/>
        <v>freezer</v>
      </c>
      <c r="F125" s="8"/>
      <c r="G125" s="8" t="str">
        <f t="shared" si="3"/>
        <v>38</v>
      </c>
      <c r="H125" s="9">
        <f t="shared" si="4"/>
        <v>38</v>
      </c>
      <c r="I125" s="10">
        <f>IFERROR(__xludf.DUMMYFUNCTION("MAX(FILTER($H$2:$H1415,$E$2:$E1415=F125))"),0.0)</f>
        <v>0</v>
      </c>
    </row>
    <row r="126">
      <c r="A126" s="4"/>
      <c r="C126" s="4" t="s">
        <v>1782</v>
      </c>
      <c r="D126" s="4" t="str">
        <f t="shared" si="1"/>
        <v>{"valorA":"freezer","valorB":39}</v>
      </c>
      <c r="E126" s="8" t="str">
        <f t="shared" si="2"/>
        <v>freezer</v>
      </c>
      <c r="F126" s="8"/>
      <c r="G126" s="8" t="str">
        <f t="shared" si="3"/>
        <v>39</v>
      </c>
      <c r="H126" s="9">
        <f t="shared" si="4"/>
        <v>39</v>
      </c>
      <c r="I126" s="10">
        <f>IFERROR(__xludf.DUMMYFUNCTION("MAX(FILTER($H$2:$H1415,$E$2:$E1415=F126))"),0.0)</f>
        <v>0</v>
      </c>
    </row>
    <row r="127">
      <c r="A127" s="4"/>
      <c r="C127" s="4" t="s">
        <v>1783</v>
      </c>
      <c r="D127" s="4" t="str">
        <f t="shared" si="1"/>
        <v>{"valorA":"freezer","valorB":40}</v>
      </c>
      <c r="E127" s="8" t="str">
        <f t="shared" si="2"/>
        <v>freezer</v>
      </c>
      <c r="F127" s="8"/>
      <c r="G127" s="8" t="str">
        <f t="shared" si="3"/>
        <v>40</v>
      </c>
      <c r="H127" s="9">
        <f t="shared" si="4"/>
        <v>40</v>
      </c>
      <c r="I127" s="10">
        <f>IFERROR(__xludf.DUMMYFUNCTION("MAX(FILTER($H$2:$H1415,$E$2:$E1415=F127))"),0.0)</f>
        <v>0</v>
      </c>
    </row>
    <row r="128">
      <c r="A128" s="4"/>
      <c r="C128" s="4" t="s">
        <v>1784</v>
      </c>
      <c r="D128" s="4" t="str">
        <f t="shared" si="1"/>
        <v>{"valorA":"freezer","valorB":41}</v>
      </c>
      <c r="E128" s="8" t="str">
        <f t="shared" si="2"/>
        <v>freezer</v>
      </c>
      <c r="F128" s="8"/>
      <c r="G128" s="8" t="str">
        <f t="shared" si="3"/>
        <v>41</v>
      </c>
      <c r="H128" s="9">
        <f t="shared" si="4"/>
        <v>41</v>
      </c>
      <c r="I128" s="10">
        <f>IFERROR(__xludf.DUMMYFUNCTION("MAX(FILTER($H$2:$H1415,$E$2:$E1415=F128))"),0.0)</f>
        <v>0</v>
      </c>
    </row>
    <row r="129">
      <c r="A129" s="4"/>
      <c r="C129" s="4" t="s">
        <v>1785</v>
      </c>
      <c r="D129" s="4" t="str">
        <f t="shared" si="1"/>
        <v>{"valorA":"microondas","valorB":42}</v>
      </c>
      <c r="E129" s="8" t="str">
        <f t="shared" si="2"/>
        <v>microondas</v>
      </c>
      <c r="F129" s="8"/>
      <c r="G129" s="8" t="str">
        <f t="shared" si="3"/>
        <v>42</v>
      </c>
      <c r="H129" s="9">
        <f t="shared" si="4"/>
        <v>42</v>
      </c>
      <c r="I129" s="10">
        <f>IFERROR(__xludf.DUMMYFUNCTION("MAX(FILTER($H$2:$H1415,$E$2:$E1415=F129))"),0.0)</f>
        <v>0</v>
      </c>
    </row>
    <row r="130">
      <c r="A130" s="4"/>
      <c r="C130" s="4" t="s">
        <v>1786</v>
      </c>
      <c r="D130" s="4" t="str">
        <f t="shared" si="1"/>
        <v>{"valorA":"microondas","valorB":43}</v>
      </c>
      <c r="E130" s="8" t="str">
        <f t="shared" si="2"/>
        <v>microondas</v>
      </c>
      <c r="F130" s="8"/>
      <c r="G130" s="8" t="str">
        <f t="shared" si="3"/>
        <v>43</v>
      </c>
      <c r="H130" s="9">
        <f t="shared" si="4"/>
        <v>43</v>
      </c>
      <c r="I130" s="10">
        <f>IFERROR(__xludf.DUMMYFUNCTION("MAX(FILTER($H$2:$H1415,$E$2:$E1415=F130))"),0.0)</f>
        <v>0</v>
      </c>
    </row>
    <row r="131">
      <c r="A131" s="4"/>
      <c r="C131" s="4" t="s">
        <v>1787</v>
      </c>
      <c r="D131" s="4" t="str">
        <f t="shared" si="1"/>
        <v>{"valorA":"microondas","valorB":44}</v>
      </c>
      <c r="E131" s="8" t="str">
        <f t="shared" si="2"/>
        <v>microondas</v>
      </c>
      <c r="F131" s="8"/>
      <c r="G131" s="8" t="str">
        <f t="shared" si="3"/>
        <v>44</v>
      </c>
      <c r="H131" s="9">
        <f t="shared" si="4"/>
        <v>44</v>
      </c>
      <c r="I131" s="10">
        <f>IFERROR(__xludf.DUMMYFUNCTION("MAX(FILTER($H$2:$H1415,$E$2:$E1415=F131))"),0.0)</f>
        <v>0</v>
      </c>
    </row>
    <row r="132">
      <c r="A132" s="4"/>
      <c r="C132" s="4" t="s">
        <v>1788</v>
      </c>
      <c r="D132" s="4" t="str">
        <f t="shared" si="1"/>
        <v>{"valorA":"microondas","valorB":45}</v>
      </c>
      <c r="E132" s="8" t="str">
        <f t="shared" si="2"/>
        <v>microondas</v>
      </c>
      <c r="F132" s="8"/>
      <c r="G132" s="8" t="str">
        <f t="shared" si="3"/>
        <v>45</v>
      </c>
      <c r="H132" s="9">
        <f t="shared" si="4"/>
        <v>45</v>
      </c>
      <c r="I132" s="10">
        <f>IFERROR(__xludf.DUMMYFUNCTION("MAX(FILTER($H$2:$H1415,$E$2:$E1415=F132))"),0.0)</f>
        <v>0</v>
      </c>
    </row>
    <row r="133">
      <c r="A133" s="4"/>
      <c r="C133" s="4" t="s">
        <v>1789</v>
      </c>
      <c r="D133" s="4" t="str">
        <f t="shared" si="1"/>
        <v>{"valorA":"ar condicionado","valorB":46}</v>
      </c>
      <c r="E133" s="8" t="str">
        <f t="shared" si="2"/>
        <v>ar condicionado</v>
      </c>
      <c r="F133" s="8"/>
      <c r="G133" s="8" t="str">
        <f t="shared" si="3"/>
        <v>46</v>
      </c>
      <c r="H133" s="9">
        <f t="shared" si="4"/>
        <v>46</v>
      </c>
      <c r="I133" s="10">
        <f>IFERROR(__xludf.DUMMYFUNCTION("MAX(FILTER($H$2:$H1415,$E$2:$E1415=F133))"),0.0)</f>
        <v>0</v>
      </c>
    </row>
    <row r="134">
      <c r="A134" s="4"/>
      <c r="C134" s="4" t="s">
        <v>1790</v>
      </c>
      <c r="D134" s="4" t="str">
        <f t="shared" si="1"/>
        <v>{"valorA":"freezer","valorB":42}</v>
      </c>
      <c r="E134" s="8" t="str">
        <f t="shared" si="2"/>
        <v>freezer</v>
      </c>
      <c r="F134" s="8"/>
      <c r="G134" s="8" t="str">
        <f t="shared" si="3"/>
        <v>42</v>
      </c>
      <c r="H134" s="9">
        <f t="shared" si="4"/>
        <v>42</v>
      </c>
      <c r="I134" s="10">
        <f>IFERROR(__xludf.DUMMYFUNCTION("MAX(FILTER($H$2:$H1415,$E$2:$E1415=F134))"),0.0)</f>
        <v>0</v>
      </c>
    </row>
    <row r="135">
      <c r="A135" s="4"/>
      <c r="C135" s="4" t="s">
        <v>1791</v>
      </c>
      <c r="D135" s="4" t="str">
        <f t="shared" si="1"/>
        <v>{"valorA":"ar condicionado","valorB":47}</v>
      </c>
      <c r="E135" s="8" t="str">
        <f t="shared" si="2"/>
        <v>ar condicionado</v>
      </c>
      <c r="F135" s="8"/>
      <c r="G135" s="8" t="str">
        <f t="shared" si="3"/>
        <v>47</v>
      </c>
      <c r="H135" s="9">
        <f t="shared" si="4"/>
        <v>47</v>
      </c>
      <c r="I135" s="10">
        <f>IFERROR(__xludf.DUMMYFUNCTION("MAX(FILTER($H$2:$H1415,$E$2:$E1415=F135))"),0.0)</f>
        <v>0</v>
      </c>
    </row>
    <row r="136">
      <c r="A136" s="4"/>
      <c r="C136" s="4" t="s">
        <v>1792</v>
      </c>
      <c r="D136" s="4" t="str">
        <f t="shared" si="1"/>
        <v>{"valorA":"freezer","valorB":43}</v>
      </c>
      <c r="E136" s="8" t="str">
        <f t="shared" si="2"/>
        <v>freezer</v>
      </c>
      <c r="F136" s="8"/>
      <c r="G136" s="8" t="str">
        <f t="shared" si="3"/>
        <v>43</v>
      </c>
      <c r="H136" s="9">
        <f t="shared" si="4"/>
        <v>43</v>
      </c>
      <c r="I136" s="10">
        <f>IFERROR(__xludf.DUMMYFUNCTION("MAX(FILTER($H$2:$H1415,$E$2:$E1415=F136))"),0.0)</f>
        <v>0</v>
      </c>
    </row>
    <row r="137">
      <c r="A137" s="4"/>
      <c r="C137" s="4" t="s">
        <v>1793</v>
      </c>
      <c r="D137" s="4" t="str">
        <f t="shared" si="1"/>
        <v>{"valorA":"freezer","valorB":44}</v>
      </c>
      <c r="E137" s="8" t="str">
        <f t="shared" si="2"/>
        <v>freezer</v>
      </c>
      <c r="F137" s="8"/>
      <c r="G137" s="8" t="str">
        <f t="shared" si="3"/>
        <v>44</v>
      </c>
      <c r="H137" s="9">
        <f t="shared" si="4"/>
        <v>44</v>
      </c>
      <c r="I137" s="10">
        <f>IFERROR(__xludf.DUMMYFUNCTION("MAX(FILTER($H$2:$H1415,$E$2:$E1415=F137))"),0.0)</f>
        <v>0</v>
      </c>
    </row>
    <row r="138">
      <c r="A138" s="4"/>
      <c r="C138" s="4" t="s">
        <v>1794</v>
      </c>
      <c r="D138" s="4" t="str">
        <f t="shared" si="1"/>
        <v>{"valorA":"ar condicionado","valorB":48}</v>
      </c>
      <c r="E138" s="8" t="str">
        <f t="shared" si="2"/>
        <v>ar condicionado</v>
      </c>
      <c r="F138" s="8"/>
      <c r="G138" s="8" t="str">
        <f t="shared" si="3"/>
        <v>48</v>
      </c>
      <c r="H138" s="9">
        <f t="shared" si="4"/>
        <v>48</v>
      </c>
      <c r="I138" s="10">
        <f>IFERROR(__xludf.DUMMYFUNCTION("MAX(FILTER($H$2:$H1415,$E$2:$E1415=F138))"),0.0)</f>
        <v>0</v>
      </c>
    </row>
    <row r="139">
      <c r="A139" s="4"/>
      <c r="C139" s="4" t="s">
        <v>1795</v>
      </c>
      <c r="D139" s="4" t="str">
        <f t="shared" si="1"/>
        <v>{"valorA":"freezer","valorB":45}</v>
      </c>
      <c r="E139" s="8" t="str">
        <f t="shared" si="2"/>
        <v>freezer</v>
      </c>
      <c r="F139" s="8"/>
      <c r="G139" s="8" t="str">
        <f t="shared" si="3"/>
        <v>45</v>
      </c>
      <c r="H139" s="9">
        <f t="shared" si="4"/>
        <v>45</v>
      </c>
      <c r="I139" s="10">
        <f>IFERROR(__xludf.DUMMYFUNCTION("MAX(FILTER($H$2:$H1415,$E$2:$E1415=F139))"),0.0)</f>
        <v>0</v>
      </c>
    </row>
    <row r="140">
      <c r="A140" s="4"/>
      <c r="C140" s="4" t="s">
        <v>1796</v>
      </c>
      <c r="D140" s="4" t="str">
        <f t="shared" si="1"/>
        <v>{"valorA":"freezer","valorB":46}</v>
      </c>
      <c r="E140" s="8" t="str">
        <f t="shared" si="2"/>
        <v>freezer</v>
      </c>
      <c r="F140" s="8"/>
      <c r="G140" s="8" t="str">
        <f t="shared" si="3"/>
        <v>46</v>
      </c>
      <c r="H140" s="9">
        <f t="shared" si="4"/>
        <v>46</v>
      </c>
      <c r="I140" s="10">
        <f>IFERROR(__xludf.DUMMYFUNCTION("MAX(FILTER($H$2:$H1415,$E$2:$E1415=F140))"),0.0)</f>
        <v>0</v>
      </c>
    </row>
    <row r="141">
      <c r="A141" s="4"/>
      <c r="C141" s="4" t="s">
        <v>1797</v>
      </c>
      <c r="D141" s="4" t="str">
        <f t="shared" si="1"/>
        <v>{"valorA":"microondas","valorB":46}</v>
      </c>
      <c r="E141" s="8" t="str">
        <f t="shared" si="2"/>
        <v>microondas</v>
      </c>
      <c r="F141" s="8"/>
      <c r="G141" s="8" t="str">
        <f t="shared" si="3"/>
        <v>46</v>
      </c>
      <c r="H141" s="9">
        <f t="shared" si="4"/>
        <v>46</v>
      </c>
      <c r="I141" s="10">
        <f>IFERROR(__xludf.DUMMYFUNCTION("MAX(FILTER($H$2:$H1415,$E$2:$E1415=F141))"),0.0)</f>
        <v>0</v>
      </c>
    </row>
    <row r="142">
      <c r="A142" s="4"/>
      <c r="C142" s="4" t="s">
        <v>1798</v>
      </c>
      <c r="D142" s="4" t="str">
        <f t="shared" si="1"/>
        <v>{"valorA":"ar condicionado","valorB":49}</v>
      </c>
      <c r="E142" s="8" t="str">
        <f t="shared" si="2"/>
        <v>ar condicionado</v>
      </c>
      <c r="F142" s="8"/>
      <c r="G142" s="8" t="str">
        <f t="shared" si="3"/>
        <v>49</v>
      </c>
      <c r="H142" s="9">
        <f t="shared" si="4"/>
        <v>49</v>
      </c>
      <c r="I142" s="10">
        <f>IFERROR(__xludf.DUMMYFUNCTION("MAX(FILTER($H$2:$H1415,$E$2:$E1415=F142))"),0.0)</f>
        <v>0</v>
      </c>
    </row>
    <row r="143">
      <c r="A143" s="4"/>
      <c r="C143" s="4" t="s">
        <v>1799</v>
      </c>
      <c r="D143" s="4" t="str">
        <f t="shared" si="1"/>
        <v>{"valorA":"microondas","valorB":47}</v>
      </c>
      <c r="E143" s="8" t="str">
        <f t="shared" si="2"/>
        <v>microondas</v>
      </c>
      <c r="F143" s="8"/>
      <c r="G143" s="8" t="str">
        <f t="shared" si="3"/>
        <v>47</v>
      </c>
      <c r="H143" s="9">
        <f t="shared" si="4"/>
        <v>47</v>
      </c>
      <c r="I143" s="10">
        <f>IFERROR(__xludf.DUMMYFUNCTION("MAX(FILTER($H$2:$H1415,$E$2:$E1415=F143))"),0.0)</f>
        <v>0</v>
      </c>
    </row>
    <row r="144">
      <c r="A144" s="4"/>
      <c r="C144" s="4" t="s">
        <v>1800</v>
      </c>
      <c r="D144" s="4" t="str">
        <f t="shared" si="1"/>
        <v>{"valorA":"ar condicionado","valorB":50}</v>
      </c>
      <c r="E144" s="8" t="str">
        <f t="shared" si="2"/>
        <v>ar condicionado</v>
      </c>
      <c r="F144" s="8"/>
      <c r="G144" s="8" t="str">
        <f t="shared" si="3"/>
        <v>50</v>
      </c>
      <c r="H144" s="9">
        <f t="shared" si="4"/>
        <v>50</v>
      </c>
      <c r="I144" s="10">
        <f>IFERROR(__xludf.DUMMYFUNCTION("MAX(FILTER($H$2:$H1415,$E$2:$E1415=F144))"),0.0)</f>
        <v>0</v>
      </c>
    </row>
    <row r="145">
      <c r="A145" s="4"/>
      <c r="C145" s="4" t="s">
        <v>1801</v>
      </c>
      <c r="D145" s="4" t="str">
        <f t="shared" si="1"/>
        <v>{"valorA":"freezer","valorB":47}</v>
      </c>
      <c r="E145" s="8" t="str">
        <f t="shared" si="2"/>
        <v>freezer</v>
      </c>
      <c r="F145" s="8"/>
      <c r="G145" s="8" t="str">
        <f t="shared" si="3"/>
        <v>47</v>
      </c>
      <c r="H145" s="9">
        <f t="shared" si="4"/>
        <v>47</v>
      </c>
      <c r="I145" s="10">
        <f>IFERROR(__xludf.DUMMYFUNCTION("MAX(FILTER($H$2:$H1415,$E$2:$E1415=F145))"),0.0)</f>
        <v>0</v>
      </c>
    </row>
    <row r="146">
      <c r="A146" s="4"/>
      <c r="C146" s="4" t="s">
        <v>1802</v>
      </c>
      <c r="D146" s="4" t="str">
        <f t="shared" si="1"/>
        <v>{"valorA":"ar condicionado","valorB":51}</v>
      </c>
      <c r="E146" s="8" t="str">
        <f t="shared" si="2"/>
        <v>ar condicionado</v>
      </c>
      <c r="F146" s="8"/>
      <c r="G146" s="8" t="str">
        <f t="shared" si="3"/>
        <v>51</v>
      </c>
      <c r="H146" s="9">
        <f t="shared" si="4"/>
        <v>51</v>
      </c>
      <c r="I146" s="10">
        <f>IFERROR(__xludf.DUMMYFUNCTION("MAX(FILTER($H$2:$H1415,$E$2:$E1415=F146))"),0.0)</f>
        <v>0</v>
      </c>
    </row>
    <row r="147">
      <c r="A147" s="4"/>
      <c r="C147" s="4" t="s">
        <v>1803</v>
      </c>
      <c r="D147" s="4" t="str">
        <f t="shared" si="1"/>
        <v>{"valorA":"ar condicionado","valorB":52}</v>
      </c>
      <c r="E147" s="8" t="str">
        <f t="shared" si="2"/>
        <v>ar condicionado</v>
      </c>
      <c r="F147" s="8"/>
      <c r="G147" s="8" t="str">
        <f t="shared" si="3"/>
        <v>52</v>
      </c>
      <c r="H147" s="9">
        <f t="shared" si="4"/>
        <v>52</v>
      </c>
      <c r="I147" s="10">
        <f>IFERROR(__xludf.DUMMYFUNCTION("MAX(FILTER($H$2:$H1415,$E$2:$E1415=F147))"),0.0)</f>
        <v>0</v>
      </c>
    </row>
    <row r="148">
      <c r="A148" s="4"/>
      <c r="C148" s="4" t="s">
        <v>1804</v>
      </c>
      <c r="D148" s="4" t="str">
        <f t="shared" si="1"/>
        <v>{"valorA":"freezer","valorB":48}</v>
      </c>
      <c r="E148" s="8" t="str">
        <f t="shared" si="2"/>
        <v>freezer</v>
      </c>
      <c r="F148" s="8"/>
      <c r="G148" s="8" t="str">
        <f t="shared" si="3"/>
        <v>48</v>
      </c>
      <c r="H148" s="9">
        <f t="shared" si="4"/>
        <v>48</v>
      </c>
      <c r="I148" s="10">
        <f>IFERROR(__xludf.DUMMYFUNCTION("MAX(FILTER($H$2:$H1415,$E$2:$E1415=F148))"),0.0)</f>
        <v>0</v>
      </c>
    </row>
    <row r="149">
      <c r="A149" s="4"/>
      <c r="C149" s="4" t="s">
        <v>1805</v>
      </c>
      <c r="D149" s="4" t="str">
        <f t="shared" si="1"/>
        <v>{"valorA":"freezer","valorB":49}</v>
      </c>
      <c r="E149" s="8" t="str">
        <f t="shared" si="2"/>
        <v>freezer</v>
      </c>
      <c r="F149" s="8"/>
      <c r="G149" s="8" t="str">
        <f t="shared" si="3"/>
        <v>49</v>
      </c>
      <c r="H149" s="9">
        <f t="shared" si="4"/>
        <v>49</v>
      </c>
      <c r="I149" s="10">
        <f>IFERROR(__xludf.DUMMYFUNCTION("MAX(FILTER($H$2:$H1415,$E$2:$E1415=F149))"),0.0)</f>
        <v>0</v>
      </c>
    </row>
    <row r="150">
      <c r="A150" s="4"/>
      <c r="C150" s="4" t="s">
        <v>1806</v>
      </c>
      <c r="D150" s="4" t="str">
        <f t="shared" si="1"/>
        <v>{"valorA":"microondas","valorB":48}</v>
      </c>
      <c r="E150" s="8" t="str">
        <f t="shared" si="2"/>
        <v>microondas</v>
      </c>
      <c r="F150" s="8"/>
      <c r="G150" s="8" t="str">
        <f t="shared" si="3"/>
        <v>48</v>
      </c>
      <c r="H150" s="9">
        <f t="shared" si="4"/>
        <v>48</v>
      </c>
      <c r="I150" s="10">
        <f>IFERROR(__xludf.DUMMYFUNCTION("MAX(FILTER($H$2:$H1415,$E$2:$E1415=F150))"),0.0)</f>
        <v>0</v>
      </c>
    </row>
    <row r="151">
      <c r="A151" s="4"/>
      <c r="C151" s="4" t="s">
        <v>1807</v>
      </c>
      <c r="D151" s="4" t="str">
        <f t="shared" si="1"/>
        <v>{"valorA":"microondas","valorB":49}</v>
      </c>
      <c r="E151" s="8" t="str">
        <f t="shared" si="2"/>
        <v>microondas</v>
      </c>
      <c r="F151" s="8"/>
      <c r="G151" s="8" t="str">
        <f t="shared" si="3"/>
        <v>49</v>
      </c>
      <c r="H151" s="9">
        <f t="shared" si="4"/>
        <v>49</v>
      </c>
      <c r="I151" s="10">
        <f>IFERROR(__xludf.DUMMYFUNCTION("MAX(FILTER($H$2:$H1415,$E$2:$E1415=F151))"),0.0)</f>
        <v>0</v>
      </c>
    </row>
    <row r="152">
      <c r="A152" s="4"/>
      <c r="C152" s="4" t="s">
        <v>1808</v>
      </c>
      <c r="D152" s="4" t="str">
        <f t="shared" si="1"/>
        <v>{"valorA":"microondas","valorB":50}</v>
      </c>
      <c r="E152" s="8" t="str">
        <f t="shared" si="2"/>
        <v>microondas</v>
      </c>
      <c r="F152" s="8"/>
      <c r="G152" s="8" t="str">
        <f t="shared" si="3"/>
        <v>50</v>
      </c>
      <c r="H152" s="9">
        <f t="shared" si="4"/>
        <v>50</v>
      </c>
      <c r="I152" s="10">
        <f>IFERROR(__xludf.DUMMYFUNCTION("MAX(FILTER($H$2:$H1415,$E$2:$E1415=F152))"),0.0)</f>
        <v>0</v>
      </c>
    </row>
    <row r="153">
      <c r="A153" s="4"/>
      <c r="C153" s="4" t="s">
        <v>1809</v>
      </c>
      <c r="D153" s="4" t="str">
        <f t="shared" si="1"/>
        <v>{"valorA":"ar condicionado","valorB":53}</v>
      </c>
      <c r="E153" s="8" t="str">
        <f t="shared" si="2"/>
        <v>ar condicionado</v>
      </c>
      <c r="F153" s="8"/>
      <c r="G153" s="8" t="str">
        <f t="shared" si="3"/>
        <v>53</v>
      </c>
      <c r="H153" s="9">
        <f t="shared" si="4"/>
        <v>53</v>
      </c>
      <c r="I153" s="10">
        <f>IFERROR(__xludf.DUMMYFUNCTION("MAX(FILTER($H$2:$H1415,$E$2:$E1415=F153))"),0.0)</f>
        <v>0</v>
      </c>
    </row>
    <row r="154">
      <c r="A154" s="4"/>
      <c r="C154" s="4" t="s">
        <v>1810</v>
      </c>
      <c r="D154" s="4" t="str">
        <f t="shared" si="1"/>
        <v>{"valorA":"freezer","valorB":50}</v>
      </c>
      <c r="E154" s="8" t="str">
        <f t="shared" si="2"/>
        <v>freezer</v>
      </c>
      <c r="F154" s="8"/>
      <c r="G154" s="8" t="str">
        <f t="shared" si="3"/>
        <v>50</v>
      </c>
      <c r="H154" s="9">
        <f t="shared" si="4"/>
        <v>50</v>
      </c>
      <c r="I154" s="10">
        <f>IFERROR(__xludf.DUMMYFUNCTION("MAX(FILTER($H$2:$H1415,$E$2:$E1415=F154))"),0.0)</f>
        <v>0</v>
      </c>
    </row>
    <row r="155">
      <c r="A155" s="4"/>
      <c r="C155" s="4" t="s">
        <v>1811</v>
      </c>
      <c r="D155" s="4" t="str">
        <f t="shared" si="1"/>
        <v>{"valorA":"microondas","valorB":51}</v>
      </c>
      <c r="E155" s="8" t="str">
        <f t="shared" si="2"/>
        <v>microondas</v>
      </c>
      <c r="F155" s="8"/>
      <c r="G155" s="8" t="str">
        <f t="shared" si="3"/>
        <v>51</v>
      </c>
      <c r="H155" s="9">
        <f t="shared" si="4"/>
        <v>51</v>
      </c>
      <c r="I155" s="10">
        <f>IFERROR(__xludf.DUMMYFUNCTION("MAX(FILTER($H$2:$H1415,$E$2:$E1415=F155))"),0.0)</f>
        <v>0</v>
      </c>
    </row>
    <row r="156">
      <c r="A156" s="4"/>
      <c r="C156" s="4" t="s">
        <v>1812</v>
      </c>
      <c r="D156" s="4" t="str">
        <f t="shared" si="1"/>
        <v>{"valorA":"freezer","valorB":51}</v>
      </c>
      <c r="E156" s="8" t="str">
        <f t="shared" si="2"/>
        <v>freezer</v>
      </c>
      <c r="F156" s="8"/>
      <c r="G156" s="8" t="str">
        <f t="shared" si="3"/>
        <v>51</v>
      </c>
      <c r="H156" s="9">
        <f t="shared" si="4"/>
        <v>51</v>
      </c>
      <c r="I156" s="10">
        <f>IFERROR(__xludf.DUMMYFUNCTION("MAX(FILTER($H$2:$H1415,$E$2:$E1415=F156))"),0.0)</f>
        <v>0</v>
      </c>
    </row>
    <row r="157">
      <c r="A157" s="4"/>
      <c r="C157" s="4" t="s">
        <v>1813</v>
      </c>
      <c r="D157" s="4" t="str">
        <f t="shared" si="1"/>
        <v>{"valorA":"ar condicionado","valorB":54}</v>
      </c>
      <c r="E157" s="8" t="str">
        <f t="shared" si="2"/>
        <v>ar condicionado</v>
      </c>
      <c r="F157" s="8"/>
      <c r="G157" s="8" t="str">
        <f t="shared" si="3"/>
        <v>54</v>
      </c>
      <c r="H157" s="9">
        <f t="shared" si="4"/>
        <v>54</v>
      </c>
      <c r="I157" s="10">
        <f>IFERROR(__xludf.DUMMYFUNCTION("MAX(FILTER($H$2:$H1415,$E$2:$E1415=F157))"),0.0)</f>
        <v>0</v>
      </c>
    </row>
    <row r="158">
      <c r="A158" s="4"/>
      <c r="C158" s="4" t="s">
        <v>1814</v>
      </c>
      <c r="D158" s="4" t="str">
        <f t="shared" si="1"/>
        <v>{"valorA":"ar condicionado","valorB":55}</v>
      </c>
      <c r="E158" s="8" t="str">
        <f t="shared" si="2"/>
        <v>ar condicionado</v>
      </c>
      <c r="F158" s="8"/>
      <c r="G158" s="8" t="str">
        <f t="shared" si="3"/>
        <v>55</v>
      </c>
      <c r="H158" s="9">
        <f t="shared" si="4"/>
        <v>55</v>
      </c>
      <c r="I158" s="10">
        <f>IFERROR(__xludf.DUMMYFUNCTION("MAX(FILTER($H$2:$H1415,$E$2:$E1415=F158))"),0.0)</f>
        <v>0</v>
      </c>
    </row>
    <row r="159">
      <c r="A159" s="4"/>
      <c r="C159" s="4" t="s">
        <v>1815</v>
      </c>
      <c r="D159" s="4" t="str">
        <f t="shared" si="1"/>
        <v>{"valorA":"microondas","valorB":52}</v>
      </c>
      <c r="E159" s="8" t="str">
        <f t="shared" si="2"/>
        <v>microondas</v>
      </c>
      <c r="F159" s="8"/>
      <c r="G159" s="8" t="str">
        <f t="shared" si="3"/>
        <v>52</v>
      </c>
      <c r="H159" s="9">
        <f t="shared" si="4"/>
        <v>52</v>
      </c>
      <c r="I159" s="10">
        <f>IFERROR(__xludf.DUMMYFUNCTION("MAX(FILTER($H$2:$H1415,$E$2:$E1415=F159))"),0.0)</f>
        <v>0</v>
      </c>
    </row>
    <row r="160">
      <c r="A160" s="4"/>
      <c r="C160" s="4" t="s">
        <v>1816</v>
      </c>
      <c r="D160" s="4" t="str">
        <f t="shared" si="1"/>
        <v>{"valorA":"freezer","valorB":52}</v>
      </c>
      <c r="E160" s="8" t="str">
        <f t="shared" si="2"/>
        <v>freezer</v>
      </c>
      <c r="F160" s="8"/>
      <c r="G160" s="8" t="str">
        <f t="shared" si="3"/>
        <v>52</v>
      </c>
      <c r="H160" s="9">
        <f t="shared" si="4"/>
        <v>52</v>
      </c>
      <c r="I160" s="10">
        <f>IFERROR(__xludf.DUMMYFUNCTION("MAX(FILTER($H$2:$H1415,$E$2:$E1415=F160))"),0.0)</f>
        <v>0</v>
      </c>
    </row>
    <row r="161">
      <c r="A161" s="4"/>
      <c r="C161" s="4" t="s">
        <v>1817</v>
      </c>
      <c r="D161" s="4" t="str">
        <f t="shared" si="1"/>
        <v>{"valorA":"freezer","valorB":53}</v>
      </c>
      <c r="E161" s="8" t="str">
        <f t="shared" si="2"/>
        <v>freezer</v>
      </c>
      <c r="F161" s="8"/>
      <c r="G161" s="8" t="str">
        <f t="shared" si="3"/>
        <v>53</v>
      </c>
      <c r="H161" s="9">
        <f t="shared" si="4"/>
        <v>53</v>
      </c>
      <c r="I161" s="10">
        <f>IFERROR(__xludf.DUMMYFUNCTION("MAX(FILTER($H$2:$H1415,$E$2:$E1415=F161))"),0.0)</f>
        <v>0</v>
      </c>
    </row>
    <row r="162">
      <c r="A162" s="4"/>
      <c r="C162" s="4" t="s">
        <v>1818</v>
      </c>
      <c r="D162" s="4" t="str">
        <f t="shared" si="1"/>
        <v>{"valorA":"ar condicionado","valorB":56}</v>
      </c>
      <c r="E162" s="8" t="str">
        <f t="shared" si="2"/>
        <v>ar condicionado</v>
      </c>
      <c r="F162" s="8"/>
      <c r="G162" s="8" t="str">
        <f t="shared" si="3"/>
        <v>56</v>
      </c>
      <c r="H162" s="9">
        <f t="shared" si="4"/>
        <v>56</v>
      </c>
      <c r="I162" s="10">
        <f>IFERROR(__xludf.DUMMYFUNCTION("MAX(FILTER($H$2:$H1415,$E$2:$E1415=F162))"),0.0)</f>
        <v>0</v>
      </c>
    </row>
    <row r="163">
      <c r="A163" s="4"/>
      <c r="C163" s="4" t="s">
        <v>1819</v>
      </c>
      <c r="D163" s="4" t="str">
        <f t="shared" si="1"/>
        <v>{"valorA":"microondas","valorB":53}</v>
      </c>
      <c r="E163" s="8" t="str">
        <f t="shared" si="2"/>
        <v>microondas</v>
      </c>
      <c r="F163" s="8"/>
      <c r="G163" s="8" t="str">
        <f t="shared" si="3"/>
        <v>53</v>
      </c>
      <c r="H163" s="9">
        <f t="shared" si="4"/>
        <v>53</v>
      </c>
      <c r="I163" s="10">
        <f>IFERROR(__xludf.DUMMYFUNCTION("MAX(FILTER($H$2:$H1415,$E$2:$E1415=F163))"),0.0)</f>
        <v>0</v>
      </c>
    </row>
    <row r="164">
      <c r="A164" s="4"/>
      <c r="C164" s="4" t="s">
        <v>1820</v>
      </c>
      <c r="D164" s="4" t="str">
        <f t="shared" si="1"/>
        <v>{"valorA":"microondas","valorB":54}</v>
      </c>
      <c r="E164" s="8" t="str">
        <f t="shared" si="2"/>
        <v>microondas</v>
      </c>
      <c r="F164" s="8"/>
      <c r="G164" s="8" t="str">
        <f t="shared" si="3"/>
        <v>54</v>
      </c>
      <c r="H164" s="9">
        <f t="shared" si="4"/>
        <v>54</v>
      </c>
      <c r="I164" s="10">
        <f>IFERROR(__xludf.DUMMYFUNCTION("MAX(FILTER($H$2:$H1415,$E$2:$E1415=F164))"),0.0)</f>
        <v>0</v>
      </c>
    </row>
    <row r="165">
      <c r="A165" s="4"/>
      <c r="C165" s="4" t="s">
        <v>1821</v>
      </c>
      <c r="D165" s="4" t="str">
        <f t="shared" si="1"/>
        <v>{"valorA":"freezer","valorB":54}</v>
      </c>
      <c r="E165" s="8" t="str">
        <f t="shared" si="2"/>
        <v>freezer</v>
      </c>
      <c r="F165" s="8"/>
      <c r="G165" s="8" t="str">
        <f t="shared" si="3"/>
        <v>54</v>
      </c>
      <c r="H165" s="9">
        <f t="shared" si="4"/>
        <v>54</v>
      </c>
      <c r="I165" s="10">
        <f>IFERROR(__xludf.DUMMYFUNCTION("MAX(FILTER($H$2:$H1415,$E$2:$E1415=F165))"),0.0)</f>
        <v>0</v>
      </c>
    </row>
    <row r="166">
      <c r="A166" s="4"/>
      <c r="C166" s="4" t="s">
        <v>1822</v>
      </c>
      <c r="D166" s="4" t="str">
        <f t="shared" si="1"/>
        <v>{"valorA":"freezer","valorB":55}</v>
      </c>
      <c r="E166" s="8" t="str">
        <f t="shared" si="2"/>
        <v>freezer</v>
      </c>
      <c r="F166" s="8"/>
      <c r="G166" s="8" t="str">
        <f t="shared" si="3"/>
        <v>55</v>
      </c>
      <c r="H166" s="9">
        <f t="shared" si="4"/>
        <v>55</v>
      </c>
      <c r="I166" s="10">
        <f>IFERROR(__xludf.DUMMYFUNCTION("MAX(FILTER($H$2:$H1415,$E$2:$E1415=F166))"),0.0)</f>
        <v>0</v>
      </c>
    </row>
    <row r="167">
      <c r="A167" s="4"/>
      <c r="C167" s="4" t="s">
        <v>1823</v>
      </c>
      <c r="D167" s="4" t="str">
        <f t="shared" si="1"/>
        <v>{"valorA":"freezer","valorB":56}</v>
      </c>
      <c r="E167" s="8" t="str">
        <f t="shared" si="2"/>
        <v>freezer</v>
      </c>
      <c r="F167" s="8"/>
      <c r="G167" s="8" t="str">
        <f t="shared" si="3"/>
        <v>56</v>
      </c>
      <c r="H167" s="9">
        <f t="shared" si="4"/>
        <v>56</v>
      </c>
      <c r="I167" s="10">
        <f>IFERROR(__xludf.DUMMYFUNCTION("MAX(FILTER($H$2:$H1415,$E$2:$E1415=F167))"),0.0)</f>
        <v>0</v>
      </c>
    </row>
    <row r="168">
      <c r="A168" s="4"/>
      <c r="C168" s="4" t="s">
        <v>1824</v>
      </c>
      <c r="D168" s="4" t="str">
        <f t="shared" si="1"/>
        <v>{"valorA":"freezer","valorB":57}</v>
      </c>
      <c r="E168" s="8" t="str">
        <f t="shared" si="2"/>
        <v>freezer</v>
      </c>
      <c r="F168" s="8"/>
      <c r="G168" s="8" t="str">
        <f t="shared" si="3"/>
        <v>57</v>
      </c>
      <c r="H168" s="9">
        <f t="shared" si="4"/>
        <v>57</v>
      </c>
      <c r="I168" s="10">
        <f>IFERROR(__xludf.DUMMYFUNCTION("MAX(FILTER($H$2:$H1415,$E$2:$E1415=F168))"),0.0)</f>
        <v>0</v>
      </c>
    </row>
    <row r="169">
      <c r="A169" s="4"/>
      <c r="C169" s="4" t="s">
        <v>1825</v>
      </c>
      <c r="D169" s="4" t="str">
        <f t="shared" si="1"/>
        <v>{"valorA":"ar condicionado","valorB":57}</v>
      </c>
      <c r="E169" s="8" t="str">
        <f t="shared" si="2"/>
        <v>ar condicionado</v>
      </c>
      <c r="F169" s="8"/>
      <c r="G169" s="8" t="str">
        <f t="shared" si="3"/>
        <v>57</v>
      </c>
      <c r="H169" s="9">
        <f t="shared" si="4"/>
        <v>57</v>
      </c>
      <c r="I169" s="10">
        <f>IFERROR(__xludf.DUMMYFUNCTION("MAX(FILTER($H$2:$H1415,$E$2:$E1415=F169))"),0.0)</f>
        <v>0</v>
      </c>
    </row>
    <row r="170">
      <c r="A170" s="4"/>
      <c r="C170" s="4" t="s">
        <v>1826</v>
      </c>
      <c r="D170" s="4" t="str">
        <f t="shared" si="1"/>
        <v>{"valorA":"microondas","valorB":55}</v>
      </c>
      <c r="E170" s="8" t="str">
        <f t="shared" si="2"/>
        <v>microondas</v>
      </c>
      <c r="F170" s="8"/>
      <c r="G170" s="8" t="str">
        <f t="shared" si="3"/>
        <v>55</v>
      </c>
      <c r="H170" s="9">
        <f t="shared" si="4"/>
        <v>55</v>
      </c>
      <c r="I170" s="10">
        <f>IFERROR(__xludf.DUMMYFUNCTION("MAX(FILTER($H$2:$H1415,$E$2:$E1415=F170))"),0.0)</f>
        <v>0</v>
      </c>
    </row>
    <row r="171">
      <c r="A171" s="4"/>
      <c r="C171" s="4" t="s">
        <v>1827</v>
      </c>
      <c r="D171" s="4" t="str">
        <f t="shared" si="1"/>
        <v>{"valorA":"microondas","valorB":56}</v>
      </c>
      <c r="E171" s="8" t="str">
        <f t="shared" si="2"/>
        <v>microondas</v>
      </c>
      <c r="F171" s="8"/>
      <c r="G171" s="8" t="str">
        <f t="shared" si="3"/>
        <v>56</v>
      </c>
      <c r="H171" s="9">
        <f t="shared" si="4"/>
        <v>56</v>
      </c>
      <c r="I171" s="10">
        <f>IFERROR(__xludf.DUMMYFUNCTION("MAX(FILTER($H$2:$H1415,$E$2:$E1415=F171))"),0.0)</f>
        <v>0</v>
      </c>
    </row>
    <row r="172">
      <c r="A172" s="4"/>
      <c r="C172" s="4" t="s">
        <v>1828</v>
      </c>
      <c r="D172" s="4" t="str">
        <f t="shared" si="1"/>
        <v>{"valorA":"microondas","valorB":57}</v>
      </c>
      <c r="E172" s="8" t="str">
        <f t="shared" si="2"/>
        <v>microondas</v>
      </c>
      <c r="F172" s="8"/>
      <c r="G172" s="8" t="str">
        <f t="shared" si="3"/>
        <v>57</v>
      </c>
      <c r="H172" s="9">
        <f t="shared" si="4"/>
        <v>57</v>
      </c>
      <c r="I172" s="10">
        <f>IFERROR(__xludf.DUMMYFUNCTION("MAX(FILTER($H$2:$H1415,$E$2:$E1415=F172))"),0.0)</f>
        <v>0</v>
      </c>
    </row>
    <row r="173">
      <c r="A173" s="4"/>
      <c r="C173" s="4" t="s">
        <v>1829</v>
      </c>
      <c r="D173" s="4" t="str">
        <f t="shared" si="1"/>
        <v>{"valorA":"freezer","valorB":58}</v>
      </c>
      <c r="E173" s="8" t="str">
        <f t="shared" si="2"/>
        <v>freezer</v>
      </c>
      <c r="F173" s="8"/>
      <c r="G173" s="8" t="str">
        <f t="shared" si="3"/>
        <v>58</v>
      </c>
      <c r="H173" s="9">
        <f t="shared" si="4"/>
        <v>58</v>
      </c>
      <c r="I173" s="10">
        <f>IFERROR(__xludf.DUMMYFUNCTION("MAX(FILTER($H$2:$H1415,$E$2:$E1415=F173))"),0.0)</f>
        <v>0</v>
      </c>
    </row>
    <row r="174">
      <c r="A174" s="4"/>
      <c r="C174" s="4" t="s">
        <v>1830</v>
      </c>
      <c r="D174" s="4" t="str">
        <f t="shared" si="1"/>
        <v>{"valorA":"microondas","valorB":58}</v>
      </c>
      <c r="E174" s="8" t="str">
        <f t="shared" si="2"/>
        <v>microondas</v>
      </c>
      <c r="F174" s="8"/>
      <c r="G174" s="8" t="str">
        <f t="shared" si="3"/>
        <v>58</v>
      </c>
      <c r="H174" s="9">
        <f t="shared" si="4"/>
        <v>58</v>
      </c>
      <c r="I174" s="10">
        <f>IFERROR(__xludf.DUMMYFUNCTION("MAX(FILTER($H$2:$H1415,$E$2:$E1415=F174))"),0.0)</f>
        <v>0</v>
      </c>
    </row>
    <row r="175">
      <c r="A175" s="4"/>
      <c r="C175" s="4" t="s">
        <v>1831</v>
      </c>
      <c r="D175" s="4" t="str">
        <f t="shared" si="1"/>
        <v>{"valorA":"microondas","valorB":59}</v>
      </c>
      <c r="E175" s="8" t="str">
        <f t="shared" si="2"/>
        <v>microondas</v>
      </c>
      <c r="F175" s="8"/>
      <c r="G175" s="8" t="str">
        <f t="shared" si="3"/>
        <v>59</v>
      </c>
      <c r="H175" s="9">
        <f t="shared" si="4"/>
        <v>59</v>
      </c>
      <c r="I175" s="10">
        <f>IFERROR(__xludf.DUMMYFUNCTION("MAX(FILTER($H$2:$H1415,$E$2:$E1415=F175))"),0.0)</f>
        <v>0</v>
      </c>
    </row>
    <row r="176">
      <c r="A176" s="4"/>
      <c r="C176" s="4" t="s">
        <v>1832</v>
      </c>
      <c r="D176" s="4" t="str">
        <f t="shared" si="1"/>
        <v>{"valorA":"microondas","valorB":60}</v>
      </c>
      <c r="E176" s="8" t="str">
        <f t="shared" si="2"/>
        <v>microondas</v>
      </c>
      <c r="F176" s="8"/>
      <c r="G176" s="8" t="str">
        <f t="shared" si="3"/>
        <v>60</v>
      </c>
      <c r="H176" s="9">
        <f t="shared" si="4"/>
        <v>60</v>
      </c>
      <c r="I176" s="10">
        <f>IFERROR(__xludf.DUMMYFUNCTION("MAX(FILTER($H$2:$H1415,$E$2:$E1415=F176))"),0.0)</f>
        <v>0</v>
      </c>
    </row>
    <row r="177">
      <c r="A177" s="4"/>
      <c r="C177" s="4" t="s">
        <v>1833</v>
      </c>
      <c r="D177" s="4" t="str">
        <f t="shared" si="1"/>
        <v>{"valorA":"ar condicionado","valorB":58}</v>
      </c>
      <c r="E177" s="8" t="str">
        <f t="shared" si="2"/>
        <v>ar condicionado</v>
      </c>
      <c r="F177" s="8"/>
      <c r="G177" s="8" t="str">
        <f t="shared" si="3"/>
        <v>58</v>
      </c>
      <c r="H177" s="9">
        <f t="shared" si="4"/>
        <v>58</v>
      </c>
      <c r="I177" s="10">
        <f>IFERROR(__xludf.DUMMYFUNCTION("MAX(FILTER($H$2:$H1415,$E$2:$E1415=F177))"),0.0)</f>
        <v>0</v>
      </c>
    </row>
    <row r="178">
      <c r="A178" s="4"/>
      <c r="C178" s="4" t="s">
        <v>1834</v>
      </c>
      <c r="D178" s="4" t="str">
        <f t="shared" si="1"/>
        <v>{"valorA":"microondas","valorB":61}</v>
      </c>
      <c r="E178" s="8" t="str">
        <f t="shared" si="2"/>
        <v>microondas</v>
      </c>
      <c r="F178" s="8"/>
      <c r="G178" s="8" t="str">
        <f t="shared" si="3"/>
        <v>61</v>
      </c>
      <c r="H178" s="9">
        <f t="shared" si="4"/>
        <v>61</v>
      </c>
      <c r="I178" s="10">
        <f>IFERROR(__xludf.DUMMYFUNCTION("MAX(FILTER($H$2:$H1415,$E$2:$E1415=F178))"),0.0)</f>
        <v>0</v>
      </c>
    </row>
    <row r="179">
      <c r="A179" s="4"/>
      <c r="C179" s="4" t="s">
        <v>1835</v>
      </c>
      <c r="D179" s="4" t="str">
        <f t="shared" si="1"/>
        <v>{"valorA":"microondas","valorB":62}</v>
      </c>
      <c r="E179" s="8" t="str">
        <f t="shared" si="2"/>
        <v>microondas</v>
      </c>
      <c r="F179" s="8"/>
      <c r="G179" s="8" t="str">
        <f t="shared" si="3"/>
        <v>62</v>
      </c>
      <c r="H179" s="9">
        <f t="shared" si="4"/>
        <v>62</v>
      </c>
      <c r="I179" s="10">
        <f>IFERROR(__xludf.DUMMYFUNCTION("MAX(FILTER($H$2:$H1415,$E$2:$E1415=F179))"),0.0)</f>
        <v>0</v>
      </c>
    </row>
    <row r="180">
      <c r="A180" s="4"/>
      <c r="C180" s="4" t="s">
        <v>1836</v>
      </c>
      <c r="D180" s="4" t="str">
        <f t="shared" si="1"/>
        <v>{"valorA":"ar condicionado","valorB":59}</v>
      </c>
      <c r="E180" s="8" t="str">
        <f t="shared" si="2"/>
        <v>ar condicionado</v>
      </c>
      <c r="F180" s="8"/>
      <c r="G180" s="8" t="str">
        <f t="shared" si="3"/>
        <v>59</v>
      </c>
      <c r="H180" s="9">
        <f t="shared" si="4"/>
        <v>59</v>
      </c>
      <c r="I180" s="10">
        <f>IFERROR(__xludf.DUMMYFUNCTION("MAX(FILTER($H$2:$H1415,$E$2:$E1415=F180))"),0.0)</f>
        <v>0</v>
      </c>
    </row>
    <row r="181">
      <c r="A181" s="4"/>
      <c r="C181" s="4" t="s">
        <v>1837</v>
      </c>
      <c r="D181" s="4" t="str">
        <f t="shared" si="1"/>
        <v>{"valorA":"microondas","valorB":63}</v>
      </c>
      <c r="E181" s="8" t="str">
        <f t="shared" si="2"/>
        <v>microondas</v>
      </c>
      <c r="F181" s="8"/>
      <c r="G181" s="8" t="str">
        <f t="shared" si="3"/>
        <v>63</v>
      </c>
      <c r="H181" s="9">
        <f t="shared" si="4"/>
        <v>63</v>
      </c>
      <c r="I181" s="10">
        <f>IFERROR(__xludf.DUMMYFUNCTION("MAX(FILTER($H$2:$H1415,$E$2:$E1415=F181))"),0.0)</f>
        <v>0</v>
      </c>
    </row>
    <row r="182">
      <c r="A182" s="4"/>
      <c r="C182" s="4" t="s">
        <v>1838</v>
      </c>
      <c r="D182" s="4" t="str">
        <f t="shared" si="1"/>
        <v>{"valorA":"freezer","valorB":59}</v>
      </c>
      <c r="E182" s="8" t="str">
        <f t="shared" si="2"/>
        <v>freezer</v>
      </c>
      <c r="F182" s="8"/>
      <c r="G182" s="8" t="str">
        <f t="shared" si="3"/>
        <v>59</v>
      </c>
      <c r="H182" s="9">
        <f t="shared" si="4"/>
        <v>59</v>
      </c>
      <c r="I182" s="10">
        <f>IFERROR(__xludf.DUMMYFUNCTION("MAX(FILTER($H$2:$H1415,$E$2:$E1415=F182))"),0.0)</f>
        <v>0</v>
      </c>
    </row>
    <row r="183">
      <c r="A183" s="4"/>
      <c r="C183" s="4" t="s">
        <v>1839</v>
      </c>
      <c r="D183" s="4" t="str">
        <f t="shared" si="1"/>
        <v>{"valorA":"microondas","valorB":64}</v>
      </c>
      <c r="E183" s="8" t="str">
        <f t="shared" si="2"/>
        <v>microondas</v>
      </c>
      <c r="F183" s="8"/>
      <c r="G183" s="8" t="str">
        <f t="shared" si="3"/>
        <v>64</v>
      </c>
      <c r="H183" s="9">
        <f t="shared" si="4"/>
        <v>64</v>
      </c>
      <c r="I183" s="10">
        <f>IFERROR(__xludf.DUMMYFUNCTION("MAX(FILTER($H$2:$H1415,$E$2:$E1415=F183))"),0.0)</f>
        <v>0</v>
      </c>
    </row>
    <row r="184">
      <c r="A184" s="4"/>
      <c r="C184" s="4" t="s">
        <v>1840</v>
      </c>
      <c r="D184" s="4" t="str">
        <f t="shared" si="1"/>
        <v>{"valorA":"freezer","valorB":60}</v>
      </c>
      <c r="E184" s="8" t="str">
        <f t="shared" si="2"/>
        <v>freezer</v>
      </c>
      <c r="F184" s="8"/>
      <c r="G184" s="8" t="str">
        <f t="shared" si="3"/>
        <v>60</v>
      </c>
      <c r="H184" s="9">
        <f t="shared" si="4"/>
        <v>60</v>
      </c>
      <c r="I184" s="10">
        <f>IFERROR(__xludf.DUMMYFUNCTION("MAX(FILTER($H$2:$H1415,$E$2:$E1415=F184))"),0.0)</f>
        <v>0</v>
      </c>
    </row>
    <row r="185">
      <c r="A185" s="4"/>
      <c r="C185" s="4" t="s">
        <v>1841</v>
      </c>
      <c r="D185" s="4" t="str">
        <f t="shared" si="1"/>
        <v>{"valorA":"freezer","valorB":61}</v>
      </c>
      <c r="E185" s="8" t="str">
        <f t="shared" si="2"/>
        <v>freezer</v>
      </c>
      <c r="F185" s="8"/>
      <c r="G185" s="8" t="str">
        <f t="shared" si="3"/>
        <v>61</v>
      </c>
      <c r="H185" s="9">
        <f t="shared" si="4"/>
        <v>61</v>
      </c>
      <c r="I185" s="10">
        <f>IFERROR(__xludf.DUMMYFUNCTION("MAX(FILTER($H$2:$H1415,$E$2:$E1415=F185))"),0.0)</f>
        <v>0</v>
      </c>
    </row>
    <row r="186">
      <c r="A186" s="4"/>
      <c r="C186" s="4" t="s">
        <v>1842</v>
      </c>
      <c r="D186" s="4" t="str">
        <f t="shared" si="1"/>
        <v>{"valorA":"ar condicionado","valorB":60}</v>
      </c>
      <c r="E186" s="8" t="str">
        <f t="shared" si="2"/>
        <v>ar condicionado</v>
      </c>
      <c r="F186" s="8"/>
      <c r="G186" s="8" t="str">
        <f t="shared" si="3"/>
        <v>60</v>
      </c>
      <c r="H186" s="9">
        <f t="shared" si="4"/>
        <v>60</v>
      </c>
      <c r="I186" s="10">
        <f>IFERROR(__xludf.DUMMYFUNCTION("MAX(FILTER($H$2:$H1415,$E$2:$E1415=F186))"),0.0)</f>
        <v>0</v>
      </c>
    </row>
    <row r="187">
      <c r="A187" s="4"/>
      <c r="C187" s="4" t="s">
        <v>1843</v>
      </c>
      <c r="D187" s="4" t="str">
        <f t="shared" si="1"/>
        <v>{"valorA":"ar condicionado","valorB":61}</v>
      </c>
      <c r="E187" s="8" t="str">
        <f t="shared" si="2"/>
        <v>ar condicionado</v>
      </c>
      <c r="F187" s="8"/>
      <c r="G187" s="8" t="str">
        <f t="shared" si="3"/>
        <v>61</v>
      </c>
      <c r="H187" s="9">
        <f t="shared" si="4"/>
        <v>61</v>
      </c>
      <c r="I187" s="10">
        <f>IFERROR(__xludf.DUMMYFUNCTION("MAX(FILTER($H$2:$H1415,$E$2:$E1415=F187))"),0.0)</f>
        <v>0</v>
      </c>
    </row>
    <row r="188">
      <c r="A188" s="4"/>
      <c r="C188" s="4" t="s">
        <v>1844</v>
      </c>
      <c r="D188" s="4" t="str">
        <f t="shared" si="1"/>
        <v>{"valorA":"ar condicionado","valorB":62}</v>
      </c>
      <c r="E188" s="8" t="str">
        <f t="shared" si="2"/>
        <v>ar condicionado</v>
      </c>
      <c r="F188" s="8"/>
      <c r="G188" s="8" t="str">
        <f t="shared" si="3"/>
        <v>62</v>
      </c>
      <c r="H188" s="9">
        <f t="shared" si="4"/>
        <v>62</v>
      </c>
      <c r="I188" s="10">
        <f>IFERROR(__xludf.DUMMYFUNCTION("MAX(FILTER($H$2:$H1415,$E$2:$E1415=F188))"),0.0)</f>
        <v>0</v>
      </c>
    </row>
    <row r="189">
      <c r="A189" s="4"/>
      <c r="C189" s="4" t="s">
        <v>1845</v>
      </c>
      <c r="D189" s="4" t="str">
        <f t="shared" si="1"/>
        <v>{"valorA":"microondas","valorB":65}</v>
      </c>
      <c r="E189" s="8" t="str">
        <f t="shared" si="2"/>
        <v>microondas</v>
      </c>
      <c r="F189" s="8"/>
      <c r="G189" s="8" t="str">
        <f t="shared" si="3"/>
        <v>65</v>
      </c>
      <c r="H189" s="9">
        <f t="shared" si="4"/>
        <v>65</v>
      </c>
      <c r="I189" s="10">
        <f>IFERROR(__xludf.DUMMYFUNCTION("MAX(FILTER($H$2:$H1415,$E$2:$E1415=F189))"),0.0)</f>
        <v>0</v>
      </c>
    </row>
    <row r="190">
      <c r="A190" s="4"/>
      <c r="C190" s="4" t="s">
        <v>1846</v>
      </c>
      <c r="D190" s="4" t="str">
        <f t="shared" si="1"/>
        <v>{"valorA":"ar condicionado","valorB":63}</v>
      </c>
      <c r="E190" s="8" t="str">
        <f t="shared" si="2"/>
        <v>ar condicionado</v>
      </c>
      <c r="F190" s="8"/>
      <c r="G190" s="8" t="str">
        <f t="shared" si="3"/>
        <v>63</v>
      </c>
      <c r="H190" s="9">
        <f t="shared" si="4"/>
        <v>63</v>
      </c>
      <c r="I190" s="10">
        <f>IFERROR(__xludf.DUMMYFUNCTION("MAX(FILTER($H$2:$H1415,$E$2:$E1415=F190))"),0.0)</f>
        <v>0</v>
      </c>
    </row>
    <row r="191">
      <c r="A191" s="4"/>
      <c r="C191" s="4" t="s">
        <v>1847</v>
      </c>
      <c r="D191" s="4" t="str">
        <f t="shared" si="1"/>
        <v>{"valorA":"ar condicionado","valorB":64}</v>
      </c>
      <c r="E191" s="8" t="str">
        <f t="shared" si="2"/>
        <v>ar condicionado</v>
      </c>
      <c r="F191" s="8"/>
      <c r="G191" s="8" t="str">
        <f t="shared" si="3"/>
        <v>64</v>
      </c>
      <c r="H191" s="9">
        <f t="shared" si="4"/>
        <v>64</v>
      </c>
      <c r="I191" s="10">
        <f>IFERROR(__xludf.DUMMYFUNCTION("MAX(FILTER($H$2:$H1415,$E$2:$E1415=F191))"),0.0)</f>
        <v>0</v>
      </c>
    </row>
    <row r="192">
      <c r="A192" s="4"/>
      <c r="C192" s="4" t="s">
        <v>1848</v>
      </c>
      <c r="D192" s="4" t="str">
        <f t="shared" si="1"/>
        <v>{"valorA":"microondas","valorB":66}</v>
      </c>
      <c r="E192" s="8" t="str">
        <f t="shared" si="2"/>
        <v>microondas</v>
      </c>
      <c r="F192" s="8"/>
      <c r="G192" s="8" t="str">
        <f t="shared" si="3"/>
        <v>66</v>
      </c>
      <c r="H192" s="9">
        <f t="shared" si="4"/>
        <v>66</v>
      </c>
      <c r="I192" s="10">
        <f>IFERROR(__xludf.DUMMYFUNCTION("MAX(FILTER($H$2:$H1415,$E$2:$E1415=F192))"),0.0)</f>
        <v>0</v>
      </c>
    </row>
    <row r="193">
      <c r="A193" s="4"/>
      <c r="C193" s="4" t="s">
        <v>1849</v>
      </c>
      <c r="D193" s="4" t="str">
        <f t="shared" si="1"/>
        <v>{"valorA":"ar condicionado","valorB":65}</v>
      </c>
      <c r="E193" s="8" t="str">
        <f t="shared" si="2"/>
        <v>ar condicionado</v>
      </c>
      <c r="F193" s="8"/>
      <c r="G193" s="8" t="str">
        <f t="shared" si="3"/>
        <v>65</v>
      </c>
      <c r="H193" s="9">
        <f t="shared" si="4"/>
        <v>65</v>
      </c>
      <c r="I193" s="10">
        <f>IFERROR(__xludf.DUMMYFUNCTION("MAX(FILTER($H$2:$H1415,$E$2:$E1415=F193))"),0.0)</f>
        <v>0</v>
      </c>
    </row>
    <row r="194">
      <c r="A194" s="4"/>
      <c r="C194" s="4" t="s">
        <v>1850</v>
      </c>
      <c r="D194" s="4" t="str">
        <f t="shared" si="1"/>
        <v>{"valorA":"freezer","valorB":62}</v>
      </c>
      <c r="E194" s="8" t="str">
        <f t="shared" si="2"/>
        <v>freezer</v>
      </c>
      <c r="F194" s="8"/>
      <c r="G194" s="8" t="str">
        <f t="shared" si="3"/>
        <v>62</v>
      </c>
      <c r="H194" s="9">
        <f t="shared" si="4"/>
        <v>62</v>
      </c>
      <c r="I194" s="10">
        <f>IFERROR(__xludf.DUMMYFUNCTION("MAX(FILTER($H$2:$H1415,$E$2:$E1415=F194))"),0.0)</f>
        <v>0</v>
      </c>
    </row>
    <row r="195">
      <c r="A195" s="4"/>
      <c r="C195" s="4" t="s">
        <v>1851</v>
      </c>
      <c r="D195" s="4" t="str">
        <f t="shared" si="1"/>
        <v>{"valorA":"microondas","valorB":67}</v>
      </c>
      <c r="E195" s="8" t="str">
        <f t="shared" si="2"/>
        <v>microondas</v>
      </c>
      <c r="F195" s="8"/>
      <c r="G195" s="8" t="str">
        <f t="shared" si="3"/>
        <v>67</v>
      </c>
      <c r="H195" s="9">
        <f t="shared" si="4"/>
        <v>67</v>
      </c>
      <c r="I195" s="10">
        <f>IFERROR(__xludf.DUMMYFUNCTION("MAX(FILTER($H$2:$H1415,$E$2:$E1415=F195))"),0.0)</f>
        <v>0</v>
      </c>
    </row>
    <row r="196">
      <c r="A196" s="4"/>
      <c r="C196" s="4" t="s">
        <v>1852</v>
      </c>
      <c r="D196" s="4" t="str">
        <f t="shared" si="1"/>
        <v>{"valorA":"microondas","valorB":68}</v>
      </c>
      <c r="E196" s="8" t="str">
        <f t="shared" si="2"/>
        <v>microondas</v>
      </c>
      <c r="F196" s="8"/>
      <c r="G196" s="8" t="str">
        <f t="shared" si="3"/>
        <v>68</v>
      </c>
      <c r="H196" s="9">
        <f t="shared" si="4"/>
        <v>68</v>
      </c>
      <c r="I196" s="10">
        <f>IFERROR(__xludf.DUMMYFUNCTION("MAX(FILTER($H$2:$H1415,$E$2:$E1415=F196))"),0.0)</f>
        <v>0</v>
      </c>
    </row>
    <row r="197">
      <c r="A197" s="4"/>
      <c r="C197" s="4" t="s">
        <v>1853</v>
      </c>
      <c r="D197" s="4" t="str">
        <f t="shared" si="1"/>
        <v>{"valorA":"microondas","valorB":69}</v>
      </c>
      <c r="E197" s="8" t="str">
        <f t="shared" si="2"/>
        <v>microondas</v>
      </c>
      <c r="F197" s="8"/>
      <c r="G197" s="8" t="str">
        <f t="shared" si="3"/>
        <v>69</v>
      </c>
      <c r="H197" s="9">
        <f t="shared" si="4"/>
        <v>69</v>
      </c>
      <c r="I197" s="10">
        <f>IFERROR(__xludf.DUMMYFUNCTION("MAX(FILTER($H$2:$H1415,$E$2:$E1415=F197))"),0.0)</f>
        <v>0</v>
      </c>
    </row>
    <row r="198">
      <c r="A198" s="4"/>
      <c r="C198" s="4" t="s">
        <v>1854</v>
      </c>
      <c r="D198" s="4" t="str">
        <f t="shared" si="1"/>
        <v>{"valorA":"microondas","valorB":70}</v>
      </c>
      <c r="E198" s="8" t="str">
        <f t="shared" si="2"/>
        <v>microondas</v>
      </c>
      <c r="F198" s="8"/>
      <c r="G198" s="8" t="str">
        <f t="shared" si="3"/>
        <v>70</v>
      </c>
      <c r="H198" s="9">
        <f t="shared" si="4"/>
        <v>70</v>
      </c>
      <c r="I198" s="10">
        <f>IFERROR(__xludf.DUMMYFUNCTION("MAX(FILTER($H$2:$H1415,$E$2:$E1415=F198))"),0.0)</f>
        <v>0</v>
      </c>
    </row>
    <row r="199">
      <c r="A199" s="4"/>
      <c r="C199" s="4" t="s">
        <v>1855</v>
      </c>
      <c r="D199" s="4" t="str">
        <f t="shared" si="1"/>
        <v>{"valorA":"ar condicionado","valorB":66}</v>
      </c>
      <c r="E199" s="8" t="str">
        <f t="shared" si="2"/>
        <v>ar condicionado</v>
      </c>
      <c r="F199" s="8"/>
      <c r="G199" s="8" t="str">
        <f t="shared" si="3"/>
        <v>66</v>
      </c>
      <c r="H199" s="9">
        <f t="shared" si="4"/>
        <v>66</v>
      </c>
      <c r="I199" s="10">
        <f>IFERROR(__xludf.DUMMYFUNCTION("MAX(FILTER($H$2:$H1415,$E$2:$E1415=F199))"),0.0)</f>
        <v>0</v>
      </c>
    </row>
    <row r="200">
      <c r="A200" s="4"/>
      <c r="C200" s="4" t="s">
        <v>1856</v>
      </c>
      <c r="D200" s="4" t="str">
        <f t="shared" si="1"/>
        <v>{"valorA":"freezer","valorB":63}</v>
      </c>
      <c r="E200" s="8" t="str">
        <f t="shared" si="2"/>
        <v>freezer</v>
      </c>
      <c r="F200" s="8"/>
      <c r="G200" s="8" t="str">
        <f t="shared" si="3"/>
        <v>63</v>
      </c>
      <c r="H200" s="9">
        <f t="shared" si="4"/>
        <v>63</v>
      </c>
      <c r="I200" s="10">
        <f>IFERROR(__xludf.DUMMYFUNCTION("MAX(FILTER($H$2:$H1415,$E$2:$E1415=F200))"),0.0)</f>
        <v>0</v>
      </c>
    </row>
    <row r="201">
      <c r="A201" s="4"/>
      <c r="C201" s="4" t="s">
        <v>1857</v>
      </c>
      <c r="D201" s="4" t="str">
        <f t="shared" si="1"/>
        <v>{"valorA":"freezer","valorB":64}</v>
      </c>
      <c r="E201" s="8" t="str">
        <f t="shared" si="2"/>
        <v>freezer</v>
      </c>
      <c r="F201" s="8"/>
      <c r="G201" s="8" t="str">
        <f t="shared" si="3"/>
        <v>64</v>
      </c>
      <c r="H201" s="9">
        <f t="shared" si="4"/>
        <v>64</v>
      </c>
      <c r="I201" s="10">
        <f>IFERROR(__xludf.DUMMYFUNCTION("MAX(FILTER($H$2:$H1415,$E$2:$E1415=F201))"),0.0)</f>
        <v>0</v>
      </c>
    </row>
    <row r="202">
      <c r="A202" s="4"/>
      <c r="C202" s="4" t="s">
        <v>1858</v>
      </c>
      <c r="D202" s="4" t="str">
        <f t="shared" si="1"/>
        <v>{"valorA":"freezer","valorB":65}</v>
      </c>
      <c r="E202" s="8" t="str">
        <f t="shared" si="2"/>
        <v>freezer</v>
      </c>
      <c r="F202" s="8"/>
      <c r="G202" s="8" t="str">
        <f t="shared" si="3"/>
        <v>65</v>
      </c>
      <c r="H202" s="9">
        <f t="shared" si="4"/>
        <v>65</v>
      </c>
      <c r="I202" s="10">
        <f>IFERROR(__xludf.DUMMYFUNCTION("MAX(FILTER($H$2:$H1415,$E$2:$E1415=F202))"),0.0)</f>
        <v>0</v>
      </c>
    </row>
    <row r="203">
      <c r="A203" s="4"/>
      <c r="C203" s="4" t="s">
        <v>1859</v>
      </c>
      <c r="D203" s="4" t="str">
        <f t="shared" si="1"/>
        <v>{"valorA":"freezer","valorB":66}</v>
      </c>
      <c r="E203" s="8" t="str">
        <f t="shared" si="2"/>
        <v>freezer</v>
      </c>
      <c r="F203" s="8"/>
      <c r="G203" s="8" t="str">
        <f t="shared" si="3"/>
        <v>66</v>
      </c>
      <c r="H203" s="9">
        <f t="shared" si="4"/>
        <v>66</v>
      </c>
      <c r="I203" s="10">
        <f>IFERROR(__xludf.DUMMYFUNCTION("MAX(FILTER($H$2:$H1415,$E$2:$E1415=F203))"),0.0)</f>
        <v>0</v>
      </c>
    </row>
    <row r="204">
      <c r="A204" s="4"/>
      <c r="C204" s="4" t="s">
        <v>1860</v>
      </c>
      <c r="D204" s="4" t="str">
        <f t="shared" si="1"/>
        <v>{"valorA":"microondas","valorB":71}</v>
      </c>
      <c r="E204" s="8" t="str">
        <f t="shared" si="2"/>
        <v>microondas</v>
      </c>
      <c r="F204" s="8"/>
      <c r="G204" s="8" t="str">
        <f t="shared" si="3"/>
        <v>71</v>
      </c>
      <c r="H204" s="9">
        <f t="shared" si="4"/>
        <v>71</v>
      </c>
      <c r="I204" s="10">
        <f>IFERROR(__xludf.DUMMYFUNCTION("MAX(FILTER($H$2:$H1415,$E$2:$E1415=F204))"),0.0)</f>
        <v>0</v>
      </c>
    </row>
    <row r="205">
      <c r="A205" s="4"/>
      <c r="C205" s="4" t="s">
        <v>1861</v>
      </c>
      <c r="D205" s="4" t="str">
        <f t="shared" si="1"/>
        <v>{"valorA":"freezer","valorB":67}</v>
      </c>
      <c r="E205" s="8" t="str">
        <f t="shared" si="2"/>
        <v>freezer</v>
      </c>
      <c r="F205" s="8"/>
      <c r="G205" s="8" t="str">
        <f t="shared" si="3"/>
        <v>67</v>
      </c>
      <c r="H205" s="9">
        <f t="shared" si="4"/>
        <v>67</v>
      </c>
      <c r="I205" s="10">
        <f>IFERROR(__xludf.DUMMYFUNCTION("MAX(FILTER($H$2:$H1415,$E$2:$E1415=F205))"),0.0)</f>
        <v>0</v>
      </c>
    </row>
    <row r="206">
      <c r="A206" s="4"/>
      <c r="C206" s="4" t="s">
        <v>1862</v>
      </c>
      <c r="D206" s="4" t="str">
        <f t="shared" si="1"/>
        <v>{"valorA":"freezer","valorB":68}</v>
      </c>
      <c r="E206" s="8" t="str">
        <f t="shared" si="2"/>
        <v>freezer</v>
      </c>
      <c r="F206" s="8"/>
      <c r="G206" s="8" t="str">
        <f t="shared" si="3"/>
        <v>68</v>
      </c>
      <c r="H206" s="9">
        <f t="shared" si="4"/>
        <v>68</v>
      </c>
      <c r="I206" s="10">
        <f>IFERROR(__xludf.DUMMYFUNCTION("MAX(FILTER($H$2:$H1415,$E$2:$E1415=F206))"),0.0)</f>
        <v>0</v>
      </c>
    </row>
    <row r="207">
      <c r="A207" s="4"/>
      <c r="C207" s="4" t="s">
        <v>1863</v>
      </c>
      <c r="D207" s="4" t="str">
        <f t="shared" si="1"/>
        <v>{"valorA":"microondas","valorB":72}</v>
      </c>
      <c r="E207" s="8" t="str">
        <f t="shared" si="2"/>
        <v>microondas</v>
      </c>
      <c r="F207" s="8"/>
      <c r="G207" s="8" t="str">
        <f t="shared" si="3"/>
        <v>72</v>
      </c>
      <c r="H207" s="9">
        <f t="shared" si="4"/>
        <v>72</v>
      </c>
      <c r="I207" s="10">
        <f>IFERROR(__xludf.DUMMYFUNCTION("MAX(FILTER($H$2:$H1415,$E$2:$E1415=F207))"),0.0)</f>
        <v>0</v>
      </c>
    </row>
    <row r="208">
      <c r="A208" s="4"/>
      <c r="C208" s="4" t="s">
        <v>1864</v>
      </c>
      <c r="D208" s="4" t="str">
        <f t="shared" si="1"/>
        <v>{"valorA":"freezer","valorB":69}</v>
      </c>
      <c r="E208" s="8" t="str">
        <f t="shared" si="2"/>
        <v>freezer</v>
      </c>
      <c r="F208" s="8"/>
      <c r="G208" s="8" t="str">
        <f t="shared" si="3"/>
        <v>69</v>
      </c>
      <c r="H208" s="9">
        <f t="shared" si="4"/>
        <v>69</v>
      </c>
      <c r="I208" s="10">
        <f>IFERROR(__xludf.DUMMYFUNCTION("MAX(FILTER($H$2:$H1415,$E$2:$E1415=F208))"),0.0)</f>
        <v>0</v>
      </c>
    </row>
    <row r="209">
      <c r="A209" s="4"/>
      <c r="C209" s="4" t="s">
        <v>1865</v>
      </c>
      <c r="D209" s="4" t="str">
        <f t="shared" si="1"/>
        <v>{"valorA":"microondas","valorB":73}</v>
      </c>
      <c r="E209" s="8" t="str">
        <f t="shared" si="2"/>
        <v>microondas</v>
      </c>
      <c r="F209" s="8"/>
      <c r="G209" s="8" t="str">
        <f t="shared" si="3"/>
        <v>73</v>
      </c>
      <c r="H209" s="9">
        <f t="shared" si="4"/>
        <v>73</v>
      </c>
      <c r="I209" s="10">
        <f>IFERROR(__xludf.DUMMYFUNCTION("MAX(FILTER($H$2:$H1415,$E$2:$E1415=F209))"),0.0)</f>
        <v>0</v>
      </c>
    </row>
    <row r="210">
      <c r="A210" s="4"/>
      <c r="C210" s="4" t="s">
        <v>1866</v>
      </c>
      <c r="D210" s="4" t="str">
        <f t="shared" si="1"/>
        <v>{"valorA":"ar condicionado","valorB":67}</v>
      </c>
      <c r="E210" s="8" t="str">
        <f t="shared" si="2"/>
        <v>ar condicionado</v>
      </c>
      <c r="F210" s="8"/>
      <c r="G210" s="8" t="str">
        <f t="shared" si="3"/>
        <v>67</v>
      </c>
      <c r="H210" s="9">
        <f t="shared" si="4"/>
        <v>67</v>
      </c>
      <c r="I210" s="10">
        <f>IFERROR(__xludf.DUMMYFUNCTION("MAX(FILTER($H$2:$H1415,$E$2:$E1415=F210))"),0.0)</f>
        <v>0</v>
      </c>
    </row>
    <row r="211">
      <c r="A211" s="4"/>
      <c r="C211" s="4" t="s">
        <v>1867</v>
      </c>
      <c r="D211" s="4" t="str">
        <f t="shared" si="1"/>
        <v>{"valorA":"ar condicionado","valorB":68}</v>
      </c>
      <c r="E211" s="8" t="str">
        <f t="shared" si="2"/>
        <v>ar condicionado</v>
      </c>
      <c r="F211" s="8"/>
      <c r="G211" s="8" t="str">
        <f t="shared" si="3"/>
        <v>68</v>
      </c>
      <c r="H211" s="9">
        <f t="shared" si="4"/>
        <v>68</v>
      </c>
      <c r="I211" s="10">
        <f>IFERROR(__xludf.DUMMYFUNCTION("MAX(FILTER($H$2:$H1415,$E$2:$E1415=F211))"),0.0)</f>
        <v>0</v>
      </c>
    </row>
    <row r="212">
      <c r="A212" s="4"/>
      <c r="C212" s="4" t="s">
        <v>1868</v>
      </c>
      <c r="D212" s="4" t="str">
        <f t="shared" si="1"/>
        <v>{"valorA":"ar condicionado","valorB":69}</v>
      </c>
      <c r="E212" s="8" t="str">
        <f t="shared" si="2"/>
        <v>ar condicionado</v>
      </c>
      <c r="F212" s="8"/>
      <c r="G212" s="8" t="str">
        <f t="shared" si="3"/>
        <v>69</v>
      </c>
      <c r="H212" s="9">
        <f t="shared" si="4"/>
        <v>69</v>
      </c>
      <c r="I212" s="10">
        <f>IFERROR(__xludf.DUMMYFUNCTION("MAX(FILTER($H$2:$H1415,$E$2:$E1415=F212))"),0.0)</f>
        <v>0</v>
      </c>
    </row>
    <row r="213">
      <c r="A213" s="4"/>
      <c r="C213" s="4" t="s">
        <v>1869</v>
      </c>
      <c r="D213" s="4" t="str">
        <f t="shared" si="1"/>
        <v>{"valorA":"freezer","valorB":70}</v>
      </c>
      <c r="E213" s="8" t="str">
        <f t="shared" si="2"/>
        <v>freezer</v>
      </c>
      <c r="F213" s="8"/>
      <c r="G213" s="8" t="str">
        <f t="shared" si="3"/>
        <v>70</v>
      </c>
      <c r="H213" s="9">
        <f t="shared" si="4"/>
        <v>70</v>
      </c>
      <c r="I213" s="10">
        <f>IFERROR(__xludf.DUMMYFUNCTION("MAX(FILTER($H$2:$H1415,$E$2:$E1415=F213))"),0.0)</f>
        <v>0</v>
      </c>
    </row>
    <row r="214">
      <c r="A214" s="4"/>
      <c r="C214" s="4" t="s">
        <v>1870</v>
      </c>
      <c r="D214" s="4" t="str">
        <f t="shared" si="1"/>
        <v>{"valorA":"freezer","valorB":71}</v>
      </c>
      <c r="E214" s="8" t="str">
        <f t="shared" si="2"/>
        <v>freezer</v>
      </c>
      <c r="F214" s="8"/>
      <c r="G214" s="8" t="str">
        <f t="shared" si="3"/>
        <v>71</v>
      </c>
      <c r="H214" s="9">
        <f t="shared" si="4"/>
        <v>71</v>
      </c>
      <c r="I214" s="10">
        <f>IFERROR(__xludf.DUMMYFUNCTION("MAX(FILTER($H$2:$H1415,$E$2:$E1415=F214))"),0.0)</f>
        <v>0</v>
      </c>
    </row>
    <row r="215">
      <c r="A215" s="4"/>
      <c r="C215" s="4" t="s">
        <v>1871</v>
      </c>
      <c r="D215" s="4" t="str">
        <f t="shared" si="1"/>
        <v>{"valorA":"ar condicionado","valorB":70}</v>
      </c>
      <c r="E215" s="8" t="str">
        <f t="shared" si="2"/>
        <v>ar condicionado</v>
      </c>
      <c r="F215" s="8"/>
      <c r="G215" s="8" t="str">
        <f t="shared" si="3"/>
        <v>70</v>
      </c>
      <c r="H215" s="9">
        <f t="shared" si="4"/>
        <v>70</v>
      </c>
      <c r="I215" s="10">
        <f>IFERROR(__xludf.DUMMYFUNCTION("MAX(FILTER($H$2:$H1415,$E$2:$E1415=F215))"),0.0)</f>
        <v>0</v>
      </c>
    </row>
    <row r="216">
      <c r="A216" s="4"/>
      <c r="C216" s="4" t="s">
        <v>1872</v>
      </c>
      <c r="D216" s="4" t="str">
        <f t="shared" si="1"/>
        <v>{"valorA":"ar condicionado","valorB":71}</v>
      </c>
      <c r="E216" s="8" t="str">
        <f t="shared" si="2"/>
        <v>ar condicionado</v>
      </c>
      <c r="F216" s="8"/>
      <c r="G216" s="8" t="str">
        <f t="shared" si="3"/>
        <v>71</v>
      </c>
      <c r="H216" s="9">
        <f t="shared" si="4"/>
        <v>71</v>
      </c>
      <c r="I216" s="10">
        <f>IFERROR(__xludf.DUMMYFUNCTION("MAX(FILTER($H$2:$H1415,$E$2:$E1415=F216))"),0.0)</f>
        <v>0</v>
      </c>
    </row>
    <row r="217">
      <c r="A217" s="4"/>
      <c r="C217" s="4" t="s">
        <v>1873</v>
      </c>
      <c r="D217" s="4" t="str">
        <f t="shared" si="1"/>
        <v>{"valorA":"microondas","valorB":74}</v>
      </c>
      <c r="E217" s="8" t="str">
        <f t="shared" si="2"/>
        <v>microondas</v>
      </c>
      <c r="F217" s="8"/>
      <c r="G217" s="8" t="str">
        <f t="shared" si="3"/>
        <v>74</v>
      </c>
      <c r="H217" s="9">
        <f t="shared" si="4"/>
        <v>74</v>
      </c>
      <c r="I217" s="10">
        <f>IFERROR(__xludf.DUMMYFUNCTION("MAX(FILTER($H$2:$H1415,$E$2:$E1415=F217))"),0.0)</f>
        <v>0</v>
      </c>
    </row>
    <row r="218">
      <c r="A218" s="4"/>
      <c r="C218" s="4" t="s">
        <v>1874</v>
      </c>
      <c r="D218" s="4" t="str">
        <f t="shared" si="1"/>
        <v>{"valorA":"ar condicionado","valorB":72}</v>
      </c>
      <c r="E218" s="8" t="str">
        <f t="shared" si="2"/>
        <v>ar condicionado</v>
      </c>
      <c r="F218" s="8"/>
      <c r="G218" s="8" t="str">
        <f t="shared" si="3"/>
        <v>72</v>
      </c>
      <c r="H218" s="9">
        <f t="shared" si="4"/>
        <v>72</v>
      </c>
      <c r="I218" s="10">
        <f>IFERROR(__xludf.DUMMYFUNCTION("MAX(FILTER($H$2:$H1415,$E$2:$E1415=F218))"),0.0)</f>
        <v>0</v>
      </c>
    </row>
    <row r="219">
      <c r="A219" s="4"/>
      <c r="C219" s="4" t="s">
        <v>1875</v>
      </c>
      <c r="D219" s="4" t="str">
        <f t="shared" si="1"/>
        <v>{"valorA":"freezer","valorB":72}</v>
      </c>
      <c r="E219" s="8" t="str">
        <f t="shared" si="2"/>
        <v>freezer</v>
      </c>
      <c r="F219" s="8"/>
      <c r="G219" s="8" t="str">
        <f t="shared" si="3"/>
        <v>72</v>
      </c>
      <c r="H219" s="9">
        <f t="shared" si="4"/>
        <v>72</v>
      </c>
      <c r="I219" s="10">
        <f>IFERROR(__xludf.DUMMYFUNCTION("MAX(FILTER($H$2:$H1415,$E$2:$E1415=F219))"),0.0)</f>
        <v>0</v>
      </c>
    </row>
    <row r="220">
      <c r="A220" s="4"/>
      <c r="C220" s="4" t="s">
        <v>1876</v>
      </c>
      <c r="D220" s="4" t="str">
        <f t="shared" si="1"/>
        <v>{"valorA":"freezer","valorB":73}</v>
      </c>
      <c r="E220" s="8" t="str">
        <f t="shared" si="2"/>
        <v>freezer</v>
      </c>
      <c r="F220" s="8"/>
      <c r="G220" s="8" t="str">
        <f t="shared" si="3"/>
        <v>73</v>
      </c>
      <c r="H220" s="9">
        <f t="shared" si="4"/>
        <v>73</v>
      </c>
      <c r="I220" s="10">
        <f>IFERROR(__xludf.DUMMYFUNCTION("MAX(FILTER($H$2:$H1415,$E$2:$E1415=F220))"),0.0)</f>
        <v>0</v>
      </c>
    </row>
    <row r="221">
      <c r="A221" s="4"/>
      <c r="C221" s="4" t="s">
        <v>1877</v>
      </c>
      <c r="D221" s="4" t="str">
        <f t="shared" si="1"/>
        <v>{"valorA":"freezer","valorB":74}</v>
      </c>
      <c r="E221" s="8" t="str">
        <f t="shared" si="2"/>
        <v>freezer</v>
      </c>
      <c r="F221" s="8"/>
      <c r="G221" s="8" t="str">
        <f t="shared" si="3"/>
        <v>74</v>
      </c>
      <c r="H221" s="9">
        <f t="shared" si="4"/>
        <v>74</v>
      </c>
      <c r="I221" s="10">
        <f>IFERROR(__xludf.DUMMYFUNCTION("MAX(FILTER($H$2:$H1415,$E$2:$E1415=F221))"),0.0)</f>
        <v>0</v>
      </c>
    </row>
    <row r="222">
      <c r="A222" s="4"/>
      <c r="C222" s="4" t="s">
        <v>1878</v>
      </c>
      <c r="D222" s="4" t="str">
        <f t="shared" si="1"/>
        <v>{"valorA":"ar condicionado","valorB":73}</v>
      </c>
      <c r="E222" s="8" t="str">
        <f t="shared" si="2"/>
        <v>ar condicionado</v>
      </c>
      <c r="F222" s="8"/>
      <c r="G222" s="8" t="str">
        <f t="shared" si="3"/>
        <v>73</v>
      </c>
      <c r="H222" s="9">
        <f t="shared" si="4"/>
        <v>73</v>
      </c>
      <c r="I222" s="10">
        <f>IFERROR(__xludf.DUMMYFUNCTION("MAX(FILTER($H$2:$H1415,$E$2:$E1415=F222))"),0.0)</f>
        <v>0</v>
      </c>
    </row>
    <row r="223">
      <c r="A223" s="4"/>
      <c r="C223" s="4" t="s">
        <v>1879</v>
      </c>
      <c r="D223" s="4" t="str">
        <f t="shared" si="1"/>
        <v>{"valorA":"ar condicionado","valorB":74}</v>
      </c>
      <c r="E223" s="8" t="str">
        <f t="shared" si="2"/>
        <v>ar condicionado</v>
      </c>
      <c r="F223" s="8"/>
      <c r="G223" s="8" t="str">
        <f t="shared" si="3"/>
        <v>74</v>
      </c>
      <c r="H223" s="9">
        <f t="shared" si="4"/>
        <v>74</v>
      </c>
      <c r="I223" s="10">
        <f>IFERROR(__xludf.DUMMYFUNCTION("MAX(FILTER($H$2:$H1415,$E$2:$E1415=F223))"),0.0)</f>
        <v>0</v>
      </c>
    </row>
    <row r="224">
      <c r="A224" s="4"/>
      <c r="C224" s="4" t="s">
        <v>1880</v>
      </c>
      <c r="D224" s="4" t="str">
        <f t="shared" si="1"/>
        <v>{"valorA":"ar condicionado","valorB":75}</v>
      </c>
      <c r="E224" s="8" t="str">
        <f t="shared" si="2"/>
        <v>ar condicionado</v>
      </c>
      <c r="F224" s="8"/>
      <c r="G224" s="8" t="str">
        <f t="shared" si="3"/>
        <v>75</v>
      </c>
      <c r="H224" s="9">
        <f t="shared" si="4"/>
        <v>75</v>
      </c>
      <c r="I224" s="10">
        <f>IFERROR(__xludf.DUMMYFUNCTION("MAX(FILTER($H$2:$H1415,$E$2:$E1415=F224))"),0.0)</f>
        <v>0</v>
      </c>
    </row>
    <row r="225">
      <c r="A225" s="4"/>
      <c r="C225" s="4" t="s">
        <v>1881</v>
      </c>
      <c r="D225" s="4" t="str">
        <f t="shared" si="1"/>
        <v>{"valorA":"microondas","valorB":75}</v>
      </c>
      <c r="E225" s="8" t="str">
        <f t="shared" si="2"/>
        <v>microondas</v>
      </c>
      <c r="F225" s="8"/>
      <c r="G225" s="8" t="str">
        <f t="shared" si="3"/>
        <v>75</v>
      </c>
      <c r="H225" s="9">
        <f t="shared" si="4"/>
        <v>75</v>
      </c>
      <c r="I225" s="10">
        <f>IFERROR(__xludf.DUMMYFUNCTION("MAX(FILTER($H$2:$H1415,$E$2:$E1415=F225))"),0.0)</f>
        <v>0</v>
      </c>
    </row>
    <row r="226">
      <c r="A226" s="4"/>
      <c r="C226" s="4" t="s">
        <v>1882</v>
      </c>
      <c r="D226" s="4" t="str">
        <f t="shared" si="1"/>
        <v>{"valorA":"microondas","valorB":76}</v>
      </c>
      <c r="E226" s="8" t="str">
        <f t="shared" si="2"/>
        <v>microondas</v>
      </c>
      <c r="F226" s="8"/>
      <c r="G226" s="8" t="str">
        <f t="shared" si="3"/>
        <v>76</v>
      </c>
      <c r="H226" s="9">
        <f t="shared" si="4"/>
        <v>76</v>
      </c>
      <c r="I226" s="10">
        <f>IFERROR(__xludf.DUMMYFUNCTION("MAX(FILTER($H$2:$H1415,$E$2:$E1415=F226))"),0.0)</f>
        <v>0</v>
      </c>
    </row>
    <row r="227">
      <c r="A227" s="4"/>
      <c r="C227" s="4" t="s">
        <v>1883</v>
      </c>
      <c r="D227" s="4" t="str">
        <f t="shared" si="1"/>
        <v>{"valorA":"ar condicionado","valorB":76}</v>
      </c>
      <c r="E227" s="8" t="str">
        <f t="shared" si="2"/>
        <v>ar condicionado</v>
      </c>
      <c r="F227" s="8"/>
      <c r="G227" s="8" t="str">
        <f t="shared" si="3"/>
        <v>76</v>
      </c>
      <c r="H227" s="9">
        <f t="shared" si="4"/>
        <v>76</v>
      </c>
      <c r="I227" s="10">
        <f>IFERROR(__xludf.DUMMYFUNCTION("MAX(FILTER($H$2:$H1415,$E$2:$E1415=F227))"),0.0)</f>
        <v>0</v>
      </c>
    </row>
    <row r="228">
      <c r="A228" s="4"/>
      <c r="C228" s="4" t="s">
        <v>1884</v>
      </c>
      <c r="D228" s="4" t="str">
        <f t="shared" si="1"/>
        <v>{"valorA":"ar condicionado","valorB":77}</v>
      </c>
      <c r="E228" s="8" t="str">
        <f t="shared" si="2"/>
        <v>ar condicionado</v>
      </c>
      <c r="F228" s="8"/>
      <c r="G228" s="8" t="str">
        <f t="shared" si="3"/>
        <v>77</v>
      </c>
      <c r="H228" s="9">
        <f t="shared" si="4"/>
        <v>77</v>
      </c>
      <c r="I228" s="10">
        <f>IFERROR(__xludf.DUMMYFUNCTION("MAX(FILTER($H$2:$H1415,$E$2:$E1415=F228))"),0.0)</f>
        <v>0</v>
      </c>
    </row>
    <row r="229">
      <c r="A229" s="4"/>
      <c r="C229" s="4" t="s">
        <v>1885</v>
      </c>
      <c r="D229" s="4" t="str">
        <f t="shared" si="1"/>
        <v>{"valorA":"freezer","valorB":75}</v>
      </c>
      <c r="E229" s="8" t="str">
        <f t="shared" si="2"/>
        <v>freezer</v>
      </c>
      <c r="F229" s="8"/>
      <c r="G229" s="8" t="str">
        <f t="shared" si="3"/>
        <v>75</v>
      </c>
      <c r="H229" s="9">
        <f t="shared" si="4"/>
        <v>75</v>
      </c>
      <c r="I229" s="10">
        <f>IFERROR(__xludf.DUMMYFUNCTION("MAX(FILTER($H$2:$H1415,$E$2:$E1415=F229))"),0.0)</f>
        <v>0</v>
      </c>
    </row>
    <row r="230">
      <c r="A230" s="4"/>
      <c r="C230" s="4" t="s">
        <v>1886</v>
      </c>
      <c r="D230" s="4" t="str">
        <f t="shared" si="1"/>
        <v>{"valorA":"freezer","valorB":76}</v>
      </c>
      <c r="E230" s="8" t="str">
        <f t="shared" si="2"/>
        <v>freezer</v>
      </c>
      <c r="F230" s="8"/>
      <c r="G230" s="8" t="str">
        <f t="shared" si="3"/>
        <v>76</v>
      </c>
      <c r="H230" s="9">
        <f t="shared" si="4"/>
        <v>76</v>
      </c>
      <c r="I230" s="10">
        <f>IFERROR(__xludf.DUMMYFUNCTION("MAX(FILTER($H$2:$H1415,$E$2:$E1415=F230))"),0.0)</f>
        <v>0</v>
      </c>
    </row>
    <row r="231">
      <c r="A231" s="4"/>
      <c r="C231" s="4" t="s">
        <v>1887</v>
      </c>
      <c r="D231" s="4" t="str">
        <f t="shared" si="1"/>
        <v>{"valorA":"microondas","valorB":77}</v>
      </c>
      <c r="E231" s="8" t="str">
        <f t="shared" si="2"/>
        <v>microondas</v>
      </c>
      <c r="F231" s="8"/>
      <c r="G231" s="8" t="str">
        <f t="shared" si="3"/>
        <v>77</v>
      </c>
      <c r="H231" s="9">
        <f t="shared" si="4"/>
        <v>77</v>
      </c>
      <c r="I231" s="10">
        <f>IFERROR(__xludf.DUMMYFUNCTION("MAX(FILTER($H$2:$H1415,$E$2:$E1415=F231))"),0.0)</f>
        <v>0</v>
      </c>
    </row>
    <row r="232">
      <c r="A232" s="4"/>
      <c r="C232" s="4" t="s">
        <v>1888</v>
      </c>
      <c r="D232" s="4" t="str">
        <f t="shared" si="1"/>
        <v>{"valorA":"microondas","valorB":78}</v>
      </c>
      <c r="E232" s="8" t="str">
        <f t="shared" si="2"/>
        <v>microondas</v>
      </c>
      <c r="F232" s="8"/>
      <c r="G232" s="8" t="str">
        <f t="shared" si="3"/>
        <v>78</v>
      </c>
      <c r="H232" s="9">
        <f t="shared" si="4"/>
        <v>78</v>
      </c>
      <c r="I232" s="10">
        <f>IFERROR(__xludf.DUMMYFUNCTION("MAX(FILTER($H$2:$H1415,$E$2:$E1415=F232))"),0.0)</f>
        <v>0</v>
      </c>
    </row>
    <row r="233">
      <c r="A233" s="4"/>
      <c r="C233" s="4" t="s">
        <v>1889</v>
      </c>
      <c r="D233" s="4" t="str">
        <f t="shared" si="1"/>
        <v>{"valorA":"ar condicionado","valorB":78}</v>
      </c>
      <c r="E233" s="8" t="str">
        <f t="shared" si="2"/>
        <v>ar condicionado</v>
      </c>
      <c r="F233" s="8"/>
      <c r="G233" s="8" t="str">
        <f t="shared" si="3"/>
        <v>78</v>
      </c>
      <c r="H233" s="9">
        <f t="shared" si="4"/>
        <v>78</v>
      </c>
      <c r="I233" s="10">
        <f>IFERROR(__xludf.DUMMYFUNCTION("MAX(FILTER($H$2:$H1415,$E$2:$E1415=F233))"),0.0)</f>
        <v>0</v>
      </c>
    </row>
    <row r="234">
      <c r="A234" s="4"/>
      <c r="C234" s="4" t="s">
        <v>1890</v>
      </c>
      <c r="D234" s="4" t="str">
        <f t="shared" si="1"/>
        <v>{"valorA":"freezer","valorB":77}</v>
      </c>
      <c r="E234" s="8" t="str">
        <f t="shared" si="2"/>
        <v>freezer</v>
      </c>
      <c r="F234" s="8"/>
      <c r="G234" s="8" t="str">
        <f t="shared" si="3"/>
        <v>77</v>
      </c>
      <c r="H234" s="9">
        <f t="shared" si="4"/>
        <v>77</v>
      </c>
      <c r="I234" s="10">
        <f>IFERROR(__xludf.DUMMYFUNCTION("MAX(FILTER($H$2:$H1415,$E$2:$E1415=F234))"),0.0)</f>
        <v>0</v>
      </c>
    </row>
    <row r="235">
      <c r="A235" s="4"/>
      <c r="C235" s="4" t="s">
        <v>1891</v>
      </c>
      <c r="D235" s="4" t="str">
        <f t="shared" si="1"/>
        <v>{"valorA":"freezer","valorB":78}</v>
      </c>
      <c r="E235" s="8" t="str">
        <f t="shared" si="2"/>
        <v>freezer</v>
      </c>
      <c r="F235" s="8"/>
      <c r="G235" s="8" t="str">
        <f t="shared" si="3"/>
        <v>78</v>
      </c>
      <c r="H235" s="9">
        <f t="shared" si="4"/>
        <v>78</v>
      </c>
      <c r="I235" s="10">
        <f>IFERROR(__xludf.DUMMYFUNCTION("MAX(FILTER($H$2:$H1415,$E$2:$E1415=F235))"),0.0)</f>
        <v>0</v>
      </c>
    </row>
    <row r="236">
      <c r="A236" s="4"/>
      <c r="C236" s="4" t="s">
        <v>1892</v>
      </c>
      <c r="D236" s="4" t="str">
        <f t="shared" si="1"/>
        <v>{"valorA":"microondas","valorB":79}</v>
      </c>
      <c r="E236" s="8" t="str">
        <f t="shared" si="2"/>
        <v>microondas</v>
      </c>
      <c r="F236" s="8"/>
      <c r="G236" s="8" t="str">
        <f t="shared" si="3"/>
        <v>79</v>
      </c>
      <c r="H236" s="9">
        <f t="shared" si="4"/>
        <v>79</v>
      </c>
      <c r="I236" s="10">
        <f>IFERROR(__xludf.DUMMYFUNCTION("MAX(FILTER($H$2:$H1415,$E$2:$E1415=F236))"),0.0)</f>
        <v>0</v>
      </c>
    </row>
    <row r="237">
      <c r="A237" s="4"/>
      <c r="C237" s="4" t="s">
        <v>1893</v>
      </c>
      <c r="D237" s="4" t="str">
        <f t="shared" si="1"/>
        <v>{"valorA":"ar condicionado","valorB":79}</v>
      </c>
      <c r="E237" s="8" t="str">
        <f t="shared" si="2"/>
        <v>ar condicionado</v>
      </c>
      <c r="F237" s="8"/>
      <c r="G237" s="8" t="str">
        <f t="shared" si="3"/>
        <v>79</v>
      </c>
      <c r="H237" s="9">
        <f t="shared" si="4"/>
        <v>79</v>
      </c>
      <c r="I237" s="10">
        <f>IFERROR(__xludf.DUMMYFUNCTION("MAX(FILTER($H$2:$H1415,$E$2:$E1415=F237))"),0.0)</f>
        <v>0</v>
      </c>
    </row>
    <row r="238">
      <c r="A238" s="4"/>
      <c r="C238" s="4" t="s">
        <v>1894</v>
      </c>
      <c r="D238" s="4" t="str">
        <f t="shared" si="1"/>
        <v>{"valorA":"freezer","valorB":79}</v>
      </c>
      <c r="E238" s="8" t="str">
        <f t="shared" si="2"/>
        <v>freezer</v>
      </c>
      <c r="F238" s="8"/>
      <c r="G238" s="8" t="str">
        <f t="shared" si="3"/>
        <v>79</v>
      </c>
      <c r="H238" s="9">
        <f t="shared" si="4"/>
        <v>79</v>
      </c>
      <c r="I238" s="10">
        <f>IFERROR(__xludf.DUMMYFUNCTION("MAX(FILTER($H$2:$H1415,$E$2:$E1415=F238))"),0.0)</f>
        <v>0</v>
      </c>
    </row>
    <row r="239">
      <c r="A239" s="4"/>
      <c r="C239" s="4" t="s">
        <v>1895</v>
      </c>
      <c r="D239" s="4" t="str">
        <f t="shared" si="1"/>
        <v>{"valorA":"freezer","valorB":80}</v>
      </c>
      <c r="E239" s="8" t="str">
        <f t="shared" si="2"/>
        <v>freezer</v>
      </c>
      <c r="F239" s="8"/>
      <c r="G239" s="8" t="str">
        <f t="shared" si="3"/>
        <v>80</v>
      </c>
      <c r="H239" s="9">
        <f t="shared" si="4"/>
        <v>80</v>
      </c>
      <c r="I239" s="10">
        <f>IFERROR(__xludf.DUMMYFUNCTION("MAX(FILTER($H$2:$H1415,$E$2:$E1415=F239))"),0.0)</f>
        <v>0</v>
      </c>
    </row>
    <row r="240">
      <c r="A240" s="4"/>
      <c r="C240" s="4" t="s">
        <v>1896</v>
      </c>
      <c r="D240" s="4" t="str">
        <f t="shared" si="1"/>
        <v>{"valorA":"ar condicionado","valorB":80}</v>
      </c>
      <c r="E240" s="8" t="str">
        <f t="shared" si="2"/>
        <v>ar condicionado</v>
      </c>
      <c r="F240" s="8"/>
      <c r="G240" s="8" t="str">
        <f t="shared" si="3"/>
        <v>80</v>
      </c>
      <c r="H240" s="9">
        <f t="shared" si="4"/>
        <v>80</v>
      </c>
      <c r="I240" s="10">
        <f>IFERROR(__xludf.DUMMYFUNCTION("MAX(FILTER($H$2:$H1415,$E$2:$E1415=F240))"),0.0)</f>
        <v>0</v>
      </c>
    </row>
    <row r="241">
      <c r="A241" s="4"/>
      <c r="C241" s="4" t="s">
        <v>1897</v>
      </c>
      <c r="D241" s="4" t="str">
        <f t="shared" si="1"/>
        <v>{"valorA":"microondas","valorB":80}</v>
      </c>
      <c r="E241" s="8" t="str">
        <f t="shared" si="2"/>
        <v>microondas</v>
      </c>
      <c r="F241" s="8"/>
      <c r="G241" s="8" t="str">
        <f t="shared" si="3"/>
        <v>80</v>
      </c>
      <c r="H241" s="9">
        <f t="shared" si="4"/>
        <v>80</v>
      </c>
      <c r="I241" s="10">
        <f>IFERROR(__xludf.DUMMYFUNCTION("MAX(FILTER($H$2:$H1415,$E$2:$E1415=F241))"),0.0)</f>
        <v>0</v>
      </c>
    </row>
    <row r="242">
      <c r="A242" s="4"/>
      <c r="C242" s="4" t="s">
        <v>1898</v>
      </c>
      <c r="D242" s="4" t="str">
        <f t="shared" si="1"/>
        <v>{"valorA":"freezer","valorB":81}</v>
      </c>
      <c r="E242" s="8" t="str">
        <f t="shared" si="2"/>
        <v>freezer</v>
      </c>
      <c r="F242" s="8"/>
      <c r="G242" s="8" t="str">
        <f t="shared" si="3"/>
        <v>81</v>
      </c>
      <c r="H242" s="9">
        <f t="shared" si="4"/>
        <v>81</v>
      </c>
      <c r="I242" s="10">
        <f>IFERROR(__xludf.DUMMYFUNCTION("MAX(FILTER($H$2:$H1415,$E$2:$E1415=F242))"),0.0)</f>
        <v>0</v>
      </c>
    </row>
    <row r="243">
      <c r="A243" s="4"/>
      <c r="C243" s="4" t="s">
        <v>1899</v>
      </c>
      <c r="D243" s="4" t="str">
        <f t="shared" si="1"/>
        <v>{"valorA":"microondas","valorB":81}</v>
      </c>
      <c r="E243" s="8" t="str">
        <f t="shared" si="2"/>
        <v>microondas</v>
      </c>
      <c r="F243" s="8"/>
      <c r="G243" s="8" t="str">
        <f t="shared" si="3"/>
        <v>81</v>
      </c>
      <c r="H243" s="9">
        <f t="shared" si="4"/>
        <v>81</v>
      </c>
      <c r="I243" s="10">
        <f>IFERROR(__xludf.DUMMYFUNCTION("MAX(FILTER($H$2:$H1415,$E$2:$E1415=F243))"),0.0)</f>
        <v>0</v>
      </c>
    </row>
    <row r="244">
      <c r="A244" s="4"/>
      <c r="C244" s="4" t="s">
        <v>1900</v>
      </c>
      <c r="D244" s="4" t="str">
        <f t="shared" si="1"/>
        <v>{"valorA":"ar condicionado","valorB":81}</v>
      </c>
      <c r="E244" s="8" t="str">
        <f t="shared" si="2"/>
        <v>ar condicionado</v>
      </c>
      <c r="F244" s="8"/>
      <c r="G244" s="8" t="str">
        <f t="shared" si="3"/>
        <v>81</v>
      </c>
      <c r="H244" s="9">
        <f t="shared" si="4"/>
        <v>81</v>
      </c>
      <c r="I244" s="10">
        <f>IFERROR(__xludf.DUMMYFUNCTION("MAX(FILTER($H$2:$H1415,$E$2:$E1415=F244))"),0.0)</f>
        <v>0</v>
      </c>
    </row>
    <row r="245">
      <c r="A245" s="4"/>
      <c r="C245" s="4" t="s">
        <v>1901</v>
      </c>
      <c r="D245" s="4" t="str">
        <f t="shared" si="1"/>
        <v>{"valorA":"ar condicionado","valorB":82}</v>
      </c>
      <c r="E245" s="8" t="str">
        <f t="shared" si="2"/>
        <v>ar condicionado</v>
      </c>
      <c r="F245" s="8"/>
      <c r="G245" s="8" t="str">
        <f t="shared" si="3"/>
        <v>82</v>
      </c>
      <c r="H245" s="9">
        <f t="shared" si="4"/>
        <v>82</v>
      </c>
      <c r="I245" s="10">
        <f>IFERROR(__xludf.DUMMYFUNCTION("MAX(FILTER($H$2:$H1415,$E$2:$E1415=F245))"),0.0)</f>
        <v>0</v>
      </c>
    </row>
    <row r="246">
      <c r="A246" s="4"/>
      <c r="C246" s="4" t="s">
        <v>1902</v>
      </c>
      <c r="D246" s="4" t="str">
        <f t="shared" si="1"/>
        <v>{"valorA":"ar condicionado","valorB":83}</v>
      </c>
      <c r="E246" s="8" t="str">
        <f t="shared" si="2"/>
        <v>ar condicionado</v>
      </c>
      <c r="F246" s="8"/>
      <c r="G246" s="8" t="str">
        <f t="shared" si="3"/>
        <v>83</v>
      </c>
      <c r="H246" s="9">
        <f t="shared" si="4"/>
        <v>83</v>
      </c>
      <c r="I246" s="10">
        <f>IFERROR(__xludf.DUMMYFUNCTION("MAX(FILTER($H$2:$H1415,$E$2:$E1415=F246))"),0.0)</f>
        <v>0</v>
      </c>
    </row>
    <row r="247">
      <c r="A247" s="4"/>
      <c r="C247" s="4" t="s">
        <v>1903</v>
      </c>
      <c r="D247" s="4" t="str">
        <f t="shared" si="1"/>
        <v>{"valorA":"microondas","valorB":82}</v>
      </c>
      <c r="E247" s="8" t="str">
        <f t="shared" si="2"/>
        <v>microondas</v>
      </c>
      <c r="F247" s="8"/>
      <c r="G247" s="8" t="str">
        <f t="shared" si="3"/>
        <v>82</v>
      </c>
      <c r="H247" s="9">
        <f t="shared" si="4"/>
        <v>82</v>
      </c>
      <c r="I247" s="10">
        <f>IFERROR(__xludf.DUMMYFUNCTION("MAX(FILTER($H$2:$H1415,$E$2:$E1415=F247))"),0.0)</f>
        <v>0</v>
      </c>
    </row>
    <row r="248">
      <c r="A248" s="4"/>
      <c r="C248" s="4" t="s">
        <v>1904</v>
      </c>
      <c r="D248" s="4" t="str">
        <f t="shared" si="1"/>
        <v>{"valorA":"ar condicionado","valorB":84}</v>
      </c>
      <c r="E248" s="8" t="str">
        <f t="shared" si="2"/>
        <v>ar condicionado</v>
      </c>
      <c r="F248" s="8"/>
      <c r="G248" s="8" t="str">
        <f t="shared" si="3"/>
        <v>84</v>
      </c>
      <c r="H248" s="9">
        <f t="shared" si="4"/>
        <v>84</v>
      </c>
      <c r="I248" s="10">
        <f>IFERROR(__xludf.DUMMYFUNCTION("MAX(FILTER($H$2:$H1415,$E$2:$E1415=F248))"),0.0)</f>
        <v>0</v>
      </c>
    </row>
    <row r="249">
      <c r="A249" s="4"/>
      <c r="C249" s="4" t="s">
        <v>1905</v>
      </c>
      <c r="D249" s="4" t="str">
        <f t="shared" si="1"/>
        <v>{"valorA":"freezer","valorB":82}</v>
      </c>
      <c r="E249" s="8" t="str">
        <f t="shared" si="2"/>
        <v>freezer</v>
      </c>
      <c r="F249" s="8"/>
      <c r="G249" s="8" t="str">
        <f t="shared" si="3"/>
        <v>82</v>
      </c>
      <c r="H249" s="9">
        <f t="shared" si="4"/>
        <v>82</v>
      </c>
      <c r="I249" s="10">
        <f>IFERROR(__xludf.DUMMYFUNCTION("MAX(FILTER($H$2:$H1415,$E$2:$E1415=F249))"),0.0)</f>
        <v>0</v>
      </c>
    </row>
    <row r="250">
      <c r="A250" s="4"/>
      <c r="C250" s="4" t="s">
        <v>1906</v>
      </c>
      <c r="D250" s="4" t="str">
        <f t="shared" si="1"/>
        <v>{"valorA":"ar condicionado","valorB":85}</v>
      </c>
      <c r="E250" s="8" t="str">
        <f t="shared" si="2"/>
        <v>ar condicionado</v>
      </c>
      <c r="F250" s="8"/>
      <c r="G250" s="8" t="str">
        <f t="shared" si="3"/>
        <v>85</v>
      </c>
      <c r="H250" s="9">
        <f t="shared" si="4"/>
        <v>85</v>
      </c>
      <c r="I250" s="10">
        <f>IFERROR(__xludf.DUMMYFUNCTION("MAX(FILTER($H$2:$H1415,$E$2:$E1415=F250))"),0.0)</f>
        <v>0</v>
      </c>
    </row>
    <row r="251">
      <c r="A251" s="4"/>
      <c r="C251" s="4" t="s">
        <v>1907</v>
      </c>
      <c r="D251" s="4" t="str">
        <f t="shared" si="1"/>
        <v>{"valorA":"freezer","valorB":83}</v>
      </c>
      <c r="E251" s="8" t="str">
        <f t="shared" si="2"/>
        <v>freezer</v>
      </c>
      <c r="F251" s="8"/>
      <c r="G251" s="8" t="str">
        <f t="shared" si="3"/>
        <v>83</v>
      </c>
      <c r="H251" s="9">
        <f t="shared" si="4"/>
        <v>83</v>
      </c>
      <c r="I251" s="10">
        <f>IFERROR(__xludf.DUMMYFUNCTION("MAX(FILTER($H$2:$H1415,$E$2:$E1415=F251))"),0.0)</f>
        <v>0</v>
      </c>
    </row>
    <row r="252">
      <c r="A252" s="4"/>
      <c r="C252" s="4" t="s">
        <v>1908</v>
      </c>
      <c r="D252" s="4" t="str">
        <f t="shared" si="1"/>
        <v>{"valorA":"ar condicionado","valorB":86}</v>
      </c>
      <c r="E252" s="8" t="str">
        <f t="shared" si="2"/>
        <v>ar condicionado</v>
      </c>
      <c r="F252" s="8"/>
      <c r="G252" s="8" t="str">
        <f t="shared" si="3"/>
        <v>86</v>
      </c>
      <c r="H252" s="9">
        <f t="shared" si="4"/>
        <v>86</v>
      </c>
      <c r="I252" s="10">
        <f>IFERROR(__xludf.DUMMYFUNCTION("MAX(FILTER($H$2:$H1415,$E$2:$E1415=F252))"),0.0)</f>
        <v>0</v>
      </c>
    </row>
    <row r="253">
      <c r="A253" s="4"/>
      <c r="C253" s="4" t="s">
        <v>1909</v>
      </c>
      <c r="D253" s="4" t="str">
        <f t="shared" si="1"/>
        <v>{"valorA":"ar condicionado","valorB":87}</v>
      </c>
      <c r="E253" s="8" t="str">
        <f t="shared" si="2"/>
        <v>ar condicionado</v>
      </c>
      <c r="F253" s="8"/>
      <c r="G253" s="8" t="str">
        <f t="shared" si="3"/>
        <v>87</v>
      </c>
      <c r="H253" s="9">
        <f t="shared" si="4"/>
        <v>87</v>
      </c>
      <c r="I253" s="10">
        <f>IFERROR(__xludf.DUMMYFUNCTION("MAX(FILTER($H$2:$H1415,$E$2:$E1415=F253))"),0.0)</f>
        <v>0</v>
      </c>
    </row>
    <row r="254">
      <c r="A254" s="4"/>
      <c r="C254" s="4" t="s">
        <v>1910</v>
      </c>
      <c r="D254" s="4" t="str">
        <f t="shared" si="1"/>
        <v>{"valorA":"microondas","valorB":83}</v>
      </c>
      <c r="E254" s="8" t="str">
        <f t="shared" si="2"/>
        <v>microondas</v>
      </c>
      <c r="F254" s="8"/>
      <c r="G254" s="8" t="str">
        <f t="shared" si="3"/>
        <v>83</v>
      </c>
      <c r="H254" s="9">
        <f t="shared" si="4"/>
        <v>83</v>
      </c>
      <c r="I254" s="10">
        <f>IFERROR(__xludf.DUMMYFUNCTION("MAX(FILTER($H$2:$H1415,$E$2:$E1415=F254))"),0.0)</f>
        <v>0</v>
      </c>
    </row>
    <row r="255">
      <c r="A255" s="4"/>
      <c r="C255" s="4" t="s">
        <v>1911</v>
      </c>
      <c r="D255" s="4" t="str">
        <f t="shared" si="1"/>
        <v>{"valorA":"freezer","valorB":84}</v>
      </c>
      <c r="E255" s="8" t="str">
        <f t="shared" si="2"/>
        <v>freezer</v>
      </c>
      <c r="F255" s="8"/>
      <c r="G255" s="8" t="str">
        <f t="shared" si="3"/>
        <v>84</v>
      </c>
      <c r="H255" s="9">
        <f t="shared" si="4"/>
        <v>84</v>
      </c>
      <c r="I255" s="10">
        <f>IFERROR(__xludf.DUMMYFUNCTION("MAX(FILTER($H$2:$H1415,$E$2:$E1415=F255))"),0.0)</f>
        <v>0</v>
      </c>
    </row>
    <row r="256">
      <c r="A256" s="4"/>
      <c r="C256" s="4" t="s">
        <v>1912</v>
      </c>
      <c r="D256" s="4" t="str">
        <f t="shared" si="1"/>
        <v>{"valorA":"freezer","valorB":85}</v>
      </c>
      <c r="E256" s="8" t="str">
        <f t="shared" si="2"/>
        <v>freezer</v>
      </c>
      <c r="F256" s="8"/>
      <c r="G256" s="8" t="str">
        <f t="shared" si="3"/>
        <v>85</v>
      </c>
      <c r="H256" s="9">
        <f t="shared" si="4"/>
        <v>85</v>
      </c>
      <c r="I256" s="10">
        <f>IFERROR(__xludf.DUMMYFUNCTION("MAX(FILTER($H$2:$H1415,$E$2:$E1415=F256))"),0.0)</f>
        <v>0</v>
      </c>
    </row>
    <row r="257">
      <c r="A257" s="4"/>
      <c r="C257" s="4" t="s">
        <v>1913</v>
      </c>
      <c r="D257" s="4" t="str">
        <f t="shared" si="1"/>
        <v>{"valorA":"freezer","valorB":86}</v>
      </c>
      <c r="E257" s="8" t="str">
        <f t="shared" si="2"/>
        <v>freezer</v>
      </c>
      <c r="F257" s="8"/>
      <c r="G257" s="8" t="str">
        <f t="shared" si="3"/>
        <v>86</v>
      </c>
      <c r="H257" s="9">
        <f t="shared" si="4"/>
        <v>86</v>
      </c>
      <c r="I257" s="10">
        <f>IFERROR(__xludf.DUMMYFUNCTION("MAX(FILTER($H$2:$H1415,$E$2:$E1415=F257))"),0.0)</f>
        <v>0</v>
      </c>
    </row>
    <row r="258">
      <c r="A258" s="4"/>
      <c r="C258" s="4" t="s">
        <v>1914</v>
      </c>
      <c r="D258" s="4" t="str">
        <f t="shared" si="1"/>
        <v>{"valorA":"freezer","valorB":87}</v>
      </c>
      <c r="E258" s="8" t="str">
        <f t="shared" si="2"/>
        <v>freezer</v>
      </c>
      <c r="F258" s="8"/>
      <c r="G258" s="8" t="str">
        <f t="shared" si="3"/>
        <v>87</v>
      </c>
      <c r="H258" s="9">
        <f t="shared" si="4"/>
        <v>87</v>
      </c>
      <c r="I258" s="10">
        <f>IFERROR(__xludf.DUMMYFUNCTION("MAX(FILTER($H$2:$H1415,$E$2:$E1415=F258))"),0.0)</f>
        <v>0</v>
      </c>
    </row>
    <row r="259">
      <c r="A259" s="4"/>
      <c r="C259" s="4" t="s">
        <v>1915</v>
      </c>
      <c r="D259" s="4" t="str">
        <f t="shared" si="1"/>
        <v>{"valorA":"ar condicionado","valorB":88}</v>
      </c>
      <c r="E259" s="8" t="str">
        <f t="shared" si="2"/>
        <v>ar condicionado</v>
      </c>
      <c r="F259" s="8"/>
      <c r="G259" s="8" t="str">
        <f t="shared" si="3"/>
        <v>88</v>
      </c>
      <c r="H259" s="9">
        <f t="shared" si="4"/>
        <v>88</v>
      </c>
      <c r="I259" s="10">
        <f>IFERROR(__xludf.DUMMYFUNCTION("MAX(FILTER($H$2:$H1415,$E$2:$E1415=F259))"),0.0)</f>
        <v>0</v>
      </c>
    </row>
    <row r="260">
      <c r="A260" s="4"/>
      <c r="C260" s="4" t="s">
        <v>1916</v>
      </c>
      <c r="D260" s="4" t="str">
        <f t="shared" si="1"/>
        <v>{"valorA":"freezer","valorB":88}</v>
      </c>
      <c r="E260" s="8" t="str">
        <f t="shared" si="2"/>
        <v>freezer</v>
      </c>
      <c r="F260" s="8"/>
      <c r="G260" s="8" t="str">
        <f t="shared" si="3"/>
        <v>88</v>
      </c>
      <c r="H260" s="9">
        <f t="shared" si="4"/>
        <v>88</v>
      </c>
      <c r="I260" s="10">
        <f>IFERROR(__xludf.DUMMYFUNCTION("MAX(FILTER($H$2:$H1415,$E$2:$E1415=F260))"),0.0)</f>
        <v>0</v>
      </c>
    </row>
    <row r="261">
      <c r="A261" s="4"/>
      <c r="C261" s="4" t="s">
        <v>1917</v>
      </c>
      <c r="D261" s="4" t="str">
        <f t="shared" si="1"/>
        <v>{"valorA":"freezer","valorB":89}</v>
      </c>
      <c r="E261" s="8" t="str">
        <f t="shared" si="2"/>
        <v>freezer</v>
      </c>
      <c r="F261" s="8"/>
      <c r="G261" s="8" t="str">
        <f t="shared" si="3"/>
        <v>89</v>
      </c>
      <c r="H261" s="9">
        <f t="shared" si="4"/>
        <v>89</v>
      </c>
      <c r="I261" s="10">
        <f>IFERROR(__xludf.DUMMYFUNCTION("MAX(FILTER($H$2:$H1415,$E$2:$E1415=F261))"),0.0)</f>
        <v>0</v>
      </c>
    </row>
    <row r="262">
      <c r="A262" s="4"/>
      <c r="C262" s="4" t="s">
        <v>1918</v>
      </c>
      <c r="D262" s="4" t="str">
        <f t="shared" si="1"/>
        <v>{"valorA":"freezer","valorB":90}</v>
      </c>
      <c r="E262" s="8" t="str">
        <f t="shared" si="2"/>
        <v>freezer</v>
      </c>
      <c r="F262" s="8"/>
      <c r="G262" s="8" t="str">
        <f t="shared" si="3"/>
        <v>90</v>
      </c>
      <c r="H262" s="9">
        <f t="shared" si="4"/>
        <v>90</v>
      </c>
      <c r="I262" s="10">
        <f>IFERROR(__xludf.DUMMYFUNCTION("MAX(FILTER($H$2:$H1415,$E$2:$E1415=F262))"),0.0)</f>
        <v>0</v>
      </c>
    </row>
    <row r="263">
      <c r="A263" s="4"/>
      <c r="C263" s="4" t="s">
        <v>1919</v>
      </c>
      <c r="D263" s="4" t="str">
        <f t="shared" si="1"/>
        <v>{"valorA":"microondas","valorB":84}</v>
      </c>
      <c r="E263" s="8" t="str">
        <f t="shared" si="2"/>
        <v>microondas</v>
      </c>
      <c r="F263" s="8"/>
      <c r="G263" s="8" t="str">
        <f t="shared" si="3"/>
        <v>84</v>
      </c>
      <c r="H263" s="9">
        <f t="shared" si="4"/>
        <v>84</v>
      </c>
      <c r="I263" s="10">
        <f>IFERROR(__xludf.DUMMYFUNCTION("MAX(FILTER($H$2:$H1415,$E$2:$E1415=F263))"),0.0)</f>
        <v>0</v>
      </c>
    </row>
    <row r="264">
      <c r="A264" s="4"/>
      <c r="C264" s="4" t="s">
        <v>1920</v>
      </c>
      <c r="D264" s="4" t="str">
        <f t="shared" si="1"/>
        <v>{"valorA":"freezer","valorB":91}</v>
      </c>
      <c r="E264" s="8" t="str">
        <f t="shared" si="2"/>
        <v>freezer</v>
      </c>
      <c r="F264" s="8"/>
      <c r="G264" s="8" t="str">
        <f t="shared" si="3"/>
        <v>91</v>
      </c>
      <c r="H264" s="9">
        <f t="shared" si="4"/>
        <v>91</v>
      </c>
      <c r="I264" s="10">
        <f>IFERROR(__xludf.DUMMYFUNCTION("MAX(FILTER($H$2:$H1415,$E$2:$E1415=F264))"),0.0)</f>
        <v>0</v>
      </c>
    </row>
    <row r="265">
      <c r="A265" s="4"/>
      <c r="C265" s="4" t="s">
        <v>1921</v>
      </c>
      <c r="D265" s="4" t="str">
        <f t="shared" si="1"/>
        <v>{"valorA":"freezer","valorB":92}</v>
      </c>
      <c r="E265" s="8" t="str">
        <f t="shared" si="2"/>
        <v>freezer</v>
      </c>
      <c r="F265" s="8"/>
      <c r="G265" s="8" t="str">
        <f t="shared" si="3"/>
        <v>92</v>
      </c>
      <c r="H265" s="9">
        <f t="shared" si="4"/>
        <v>92</v>
      </c>
      <c r="I265" s="10">
        <f>IFERROR(__xludf.DUMMYFUNCTION("MAX(FILTER($H$2:$H1415,$E$2:$E1415=F265))"),0.0)</f>
        <v>0</v>
      </c>
    </row>
    <row r="266">
      <c r="A266" s="4"/>
      <c r="C266" s="4" t="s">
        <v>1922</v>
      </c>
      <c r="D266" s="4" t="str">
        <f t="shared" si="1"/>
        <v>{"valorA":"ar condicionado","valorB":89}</v>
      </c>
      <c r="E266" s="8" t="str">
        <f t="shared" si="2"/>
        <v>ar condicionado</v>
      </c>
      <c r="F266" s="8"/>
      <c r="G266" s="8" t="str">
        <f t="shared" si="3"/>
        <v>89</v>
      </c>
      <c r="H266" s="9">
        <f t="shared" si="4"/>
        <v>89</v>
      </c>
      <c r="I266" s="10">
        <f>IFERROR(__xludf.DUMMYFUNCTION("MAX(FILTER($H$2:$H1415,$E$2:$E1415=F266))"),0.0)</f>
        <v>0</v>
      </c>
    </row>
    <row r="267">
      <c r="A267" s="4"/>
      <c r="C267" s="4" t="s">
        <v>1923</v>
      </c>
      <c r="D267" s="4" t="str">
        <f t="shared" si="1"/>
        <v>{"valorA":"ar condicionado","valorB":90}</v>
      </c>
      <c r="E267" s="8" t="str">
        <f t="shared" si="2"/>
        <v>ar condicionado</v>
      </c>
      <c r="F267" s="8"/>
      <c r="G267" s="8" t="str">
        <f t="shared" si="3"/>
        <v>90</v>
      </c>
      <c r="H267" s="9">
        <f t="shared" si="4"/>
        <v>90</v>
      </c>
      <c r="I267" s="10">
        <f>IFERROR(__xludf.DUMMYFUNCTION("MAX(FILTER($H$2:$H1415,$E$2:$E1415=F267))"),0.0)</f>
        <v>0</v>
      </c>
    </row>
    <row r="268">
      <c r="A268" s="4"/>
      <c r="C268" s="4" t="s">
        <v>1924</v>
      </c>
      <c r="D268" s="4" t="str">
        <f t="shared" si="1"/>
        <v>{"valorA":"ar condicionado","valorB":91}</v>
      </c>
      <c r="E268" s="8" t="str">
        <f t="shared" si="2"/>
        <v>ar condicionado</v>
      </c>
      <c r="F268" s="8"/>
      <c r="G268" s="8" t="str">
        <f t="shared" si="3"/>
        <v>91</v>
      </c>
      <c r="H268" s="9">
        <f t="shared" si="4"/>
        <v>91</v>
      </c>
      <c r="I268" s="10">
        <f>IFERROR(__xludf.DUMMYFUNCTION("MAX(FILTER($H$2:$H1415,$E$2:$E1415=F268))"),0.0)</f>
        <v>0</v>
      </c>
    </row>
    <row r="269">
      <c r="A269" s="4"/>
      <c r="C269" s="4" t="s">
        <v>1925</v>
      </c>
      <c r="D269" s="4" t="str">
        <f t="shared" si="1"/>
        <v>{"valorA":"microondas","valorB":85}</v>
      </c>
      <c r="E269" s="8" t="str">
        <f t="shared" si="2"/>
        <v>microondas</v>
      </c>
      <c r="F269" s="8"/>
      <c r="G269" s="8" t="str">
        <f t="shared" si="3"/>
        <v>85</v>
      </c>
      <c r="H269" s="9">
        <f t="shared" si="4"/>
        <v>85</v>
      </c>
      <c r="I269" s="10">
        <f>IFERROR(__xludf.DUMMYFUNCTION("MAX(FILTER($H$2:$H1415,$E$2:$E1415=F269))"),0.0)</f>
        <v>0</v>
      </c>
    </row>
    <row r="270">
      <c r="A270" s="4"/>
      <c r="C270" s="4" t="s">
        <v>1926</v>
      </c>
      <c r="D270" s="4" t="str">
        <f t="shared" si="1"/>
        <v>{"valorA":"freezer","valorB":93}</v>
      </c>
      <c r="E270" s="8" t="str">
        <f t="shared" si="2"/>
        <v>freezer</v>
      </c>
      <c r="F270" s="8"/>
      <c r="G270" s="8" t="str">
        <f t="shared" si="3"/>
        <v>93</v>
      </c>
      <c r="H270" s="9">
        <f t="shared" si="4"/>
        <v>93</v>
      </c>
      <c r="I270" s="10">
        <f>IFERROR(__xludf.DUMMYFUNCTION("MAX(FILTER($H$2:$H1415,$E$2:$E1415=F270))"),0.0)</f>
        <v>0</v>
      </c>
    </row>
    <row r="271">
      <c r="A271" s="4"/>
      <c r="C271" s="4" t="s">
        <v>1927</v>
      </c>
      <c r="D271" s="4" t="str">
        <f t="shared" si="1"/>
        <v>{"valorA":"freezer","valorB":94}</v>
      </c>
      <c r="E271" s="8" t="str">
        <f t="shared" si="2"/>
        <v>freezer</v>
      </c>
      <c r="F271" s="8"/>
      <c r="G271" s="8" t="str">
        <f t="shared" si="3"/>
        <v>94</v>
      </c>
      <c r="H271" s="9">
        <f t="shared" si="4"/>
        <v>94</v>
      </c>
      <c r="I271" s="10">
        <f>IFERROR(__xludf.DUMMYFUNCTION("MAX(FILTER($H$2:$H1415,$E$2:$E1415=F271))"),0.0)</f>
        <v>0</v>
      </c>
    </row>
    <row r="272">
      <c r="A272" s="4"/>
      <c r="C272" s="4" t="s">
        <v>1928</v>
      </c>
      <c r="D272" s="4" t="str">
        <f t="shared" si="1"/>
        <v>{"valorA":"microondas","valorB":86}</v>
      </c>
      <c r="E272" s="8" t="str">
        <f t="shared" si="2"/>
        <v>microondas</v>
      </c>
      <c r="F272" s="8"/>
      <c r="G272" s="8" t="str">
        <f t="shared" si="3"/>
        <v>86</v>
      </c>
      <c r="H272" s="9">
        <f t="shared" si="4"/>
        <v>86</v>
      </c>
      <c r="I272" s="10">
        <f>IFERROR(__xludf.DUMMYFUNCTION("MAX(FILTER($H$2:$H1415,$E$2:$E1415=F272))"),0.0)</f>
        <v>0</v>
      </c>
    </row>
    <row r="273">
      <c r="A273" s="4"/>
      <c r="C273" s="4" t="s">
        <v>1929</v>
      </c>
      <c r="D273" s="4" t="str">
        <f t="shared" si="1"/>
        <v>{"valorA":"freezer","valorB":95}</v>
      </c>
      <c r="E273" s="8" t="str">
        <f t="shared" si="2"/>
        <v>freezer</v>
      </c>
      <c r="F273" s="8"/>
      <c r="G273" s="8" t="str">
        <f t="shared" si="3"/>
        <v>95</v>
      </c>
      <c r="H273" s="9">
        <f t="shared" si="4"/>
        <v>95</v>
      </c>
      <c r="I273" s="10">
        <f>IFERROR(__xludf.DUMMYFUNCTION("MAX(FILTER($H$2:$H1415,$E$2:$E1415=F273))"),0.0)</f>
        <v>0</v>
      </c>
    </row>
    <row r="274">
      <c r="A274" s="4"/>
      <c r="C274" s="4" t="s">
        <v>1930</v>
      </c>
      <c r="D274" s="4" t="str">
        <f t="shared" si="1"/>
        <v>{"valorA":"microondas","valorB":87}</v>
      </c>
      <c r="E274" s="8" t="str">
        <f t="shared" si="2"/>
        <v>microondas</v>
      </c>
      <c r="F274" s="8"/>
      <c r="G274" s="8" t="str">
        <f t="shared" si="3"/>
        <v>87</v>
      </c>
      <c r="H274" s="9">
        <f t="shared" si="4"/>
        <v>87</v>
      </c>
      <c r="I274" s="10">
        <f>IFERROR(__xludf.DUMMYFUNCTION("MAX(FILTER($H$2:$H1415,$E$2:$E1415=F274))"),0.0)</f>
        <v>0</v>
      </c>
    </row>
    <row r="275">
      <c r="A275" s="4"/>
      <c r="C275" s="4" t="s">
        <v>1931</v>
      </c>
      <c r="D275" s="4" t="str">
        <f t="shared" si="1"/>
        <v>{"valorA":"freezer","valorB":96}</v>
      </c>
      <c r="E275" s="8" t="str">
        <f t="shared" si="2"/>
        <v>freezer</v>
      </c>
      <c r="F275" s="8"/>
      <c r="G275" s="8" t="str">
        <f t="shared" si="3"/>
        <v>96</v>
      </c>
      <c r="H275" s="9">
        <f t="shared" si="4"/>
        <v>96</v>
      </c>
      <c r="I275" s="10">
        <f>IFERROR(__xludf.DUMMYFUNCTION("MAX(FILTER($H$2:$H1415,$E$2:$E1415=F275))"),0.0)</f>
        <v>0</v>
      </c>
    </row>
    <row r="276">
      <c r="A276" s="4"/>
      <c r="C276" s="4" t="s">
        <v>1932</v>
      </c>
      <c r="D276" s="4" t="str">
        <f t="shared" si="1"/>
        <v>{"valorA":"microondas","valorB":88}</v>
      </c>
      <c r="E276" s="8" t="str">
        <f t="shared" si="2"/>
        <v>microondas</v>
      </c>
      <c r="F276" s="8"/>
      <c r="G276" s="8" t="str">
        <f t="shared" si="3"/>
        <v>88</v>
      </c>
      <c r="H276" s="9">
        <f t="shared" si="4"/>
        <v>88</v>
      </c>
      <c r="I276" s="10">
        <f>IFERROR(__xludf.DUMMYFUNCTION("MAX(FILTER($H$2:$H1415,$E$2:$E1415=F276))"),0.0)</f>
        <v>0</v>
      </c>
    </row>
    <row r="277">
      <c r="A277" s="4"/>
      <c r="C277" s="4" t="s">
        <v>1933</v>
      </c>
      <c r="D277" s="4" t="str">
        <f t="shared" si="1"/>
        <v>{"valorA":"ar condicionado","valorB":92}</v>
      </c>
      <c r="E277" s="8" t="str">
        <f t="shared" si="2"/>
        <v>ar condicionado</v>
      </c>
      <c r="F277" s="8"/>
      <c r="G277" s="8" t="str">
        <f t="shared" si="3"/>
        <v>92</v>
      </c>
      <c r="H277" s="9">
        <f t="shared" si="4"/>
        <v>92</v>
      </c>
      <c r="I277" s="10">
        <f>IFERROR(__xludf.DUMMYFUNCTION("MAX(FILTER($H$2:$H1415,$E$2:$E1415=F277))"),0.0)</f>
        <v>0</v>
      </c>
    </row>
    <row r="278">
      <c r="A278" s="4"/>
      <c r="C278" s="4" t="s">
        <v>1934</v>
      </c>
      <c r="D278" s="4" t="str">
        <f t="shared" si="1"/>
        <v>{"valorA":"ar condicionado","valorB":93}</v>
      </c>
      <c r="E278" s="8" t="str">
        <f t="shared" si="2"/>
        <v>ar condicionado</v>
      </c>
      <c r="F278" s="8"/>
      <c r="G278" s="8" t="str">
        <f t="shared" si="3"/>
        <v>93</v>
      </c>
      <c r="H278" s="9">
        <f t="shared" si="4"/>
        <v>93</v>
      </c>
      <c r="I278" s="10">
        <f>IFERROR(__xludf.DUMMYFUNCTION("MAX(FILTER($H$2:$H1415,$E$2:$E1415=F278))"),0.0)</f>
        <v>0</v>
      </c>
    </row>
    <row r="279">
      <c r="A279" s="4"/>
      <c r="C279" s="4" t="s">
        <v>1935</v>
      </c>
      <c r="D279" s="4" t="str">
        <f t="shared" si="1"/>
        <v>{"valorA":"freezer","valorB":97}</v>
      </c>
      <c r="E279" s="8" t="str">
        <f t="shared" si="2"/>
        <v>freezer</v>
      </c>
      <c r="F279" s="8"/>
      <c r="G279" s="8" t="str">
        <f t="shared" si="3"/>
        <v>97</v>
      </c>
      <c r="H279" s="9">
        <f t="shared" si="4"/>
        <v>97</v>
      </c>
      <c r="I279" s="10">
        <f>IFERROR(__xludf.DUMMYFUNCTION("MAX(FILTER($H$2:$H1415,$E$2:$E1415=F279))"),0.0)</f>
        <v>0</v>
      </c>
    </row>
    <row r="280">
      <c r="A280" s="4"/>
      <c r="C280" s="4" t="s">
        <v>1936</v>
      </c>
      <c r="D280" s="4" t="str">
        <f t="shared" si="1"/>
        <v>{"valorA":"microondas","valorB":89}</v>
      </c>
      <c r="E280" s="8" t="str">
        <f t="shared" si="2"/>
        <v>microondas</v>
      </c>
      <c r="F280" s="8"/>
      <c r="G280" s="8" t="str">
        <f t="shared" si="3"/>
        <v>89</v>
      </c>
      <c r="H280" s="9">
        <f t="shared" si="4"/>
        <v>89</v>
      </c>
      <c r="I280" s="10">
        <f>IFERROR(__xludf.DUMMYFUNCTION("MAX(FILTER($H$2:$H1415,$E$2:$E1415=F280))"),0.0)</f>
        <v>0</v>
      </c>
    </row>
    <row r="281">
      <c r="A281" s="4"/>
      <c r="C281" s="4" t="s">
        <v>1937</v>
      </c>
      <c r="D281" s="4" t="str">
        <f t="shared" si="1"/>
        <v>{"valorA":"ar condicionado","valorB":94}</v>
      </c>
      <c r="E281" s="8" t="str">
        <f t="shared" si="2"/>
        <v>ar condicionado</v>
      </c>
      <c r="F281" s="8"/>
      <c r="G281" s="8" t="str">
        <f t="shared" si="3"/>
        <v>94</v>
      </c>
      <c r="H281" s="9">
        <f t="shared" si="4"/>
        <v>94</v>
      </c>
      <c r="I281" s="10">
        <f>IFERROR(__xludf.DUMMYFUNCTION("MAX(FILTER($H$2:$H1415,$E$2:$E1415=F281))"),0.0)</f>
        <v>0</v>
      </c>
    </row>
    <row r="282">
      <c r="A282" s="4"/>
      <c r="C282" s="4" t="s">
        <v>1938</v>
      </c>
      <c r="D282" s="4" t="str">
        <f t="shared" si="1"/>
        <v>{"valorA":"microondas","valorB":90}</v>
      </c>
      <c r="E282" s="8" t="str">
        <f t="shared" si="2"/>
        <v>microondas</v>
      </c>
      <c r="F282" s="8"/>
      <c r="G282" s="8" t="str">
        <f t="shared" si="3"/>
        <v>90</v>
      </c>
      <c r="H282" s="9">
        <f t="shared" si="4"/>
        <v>90</v>
      </c>
      <c r="I282" s="10">
        <f>IFERROR(__xludf.DUMMYFUNCTION("MAX(FILTER($H$2:$H1415,$E$2:$E1415=F282))"),0.0)</f>
        <v>0</v>
      </c>
    </row>
    <row r="283">
      <c r="A283" s="4"/>
      <c r="C283" s="4" t="s">
        <v>1939</v>
      </c>
      <c r="D283" s="4" t="str">
        <f t="shared" si="1"/>
        <v>{"valorA":"microondas","valorB":91}</v>
      </c>
      <c r="E283" s="8" t="str">
        <f t="shared" si="2"/>
        <v>microondas</v>
      </c>
      <c r="F283" s="8"/>
      <c r="G283" s="8" t="str">
        <f t="shared" si="3"/>
        <v>91</v>
      </c>
      <c r="H283" s="9">
        <f t="shared" si="4"/>
        <v>91</v>
      </c>
      <c r="I283" s="10">
        <f>IFERROR(__xludf.DUMMYFUNCTION("MAX(FILTER($H$2:$H1415,$E$2:$E1415=F283))"),0.0)</f>
        <v>0</v>
      </c>
    </row>
    <row r="284">
      <c r="A284" s="4"/>
      <c r="C284" s="4" t="s">
        <v>1940</v>
      </c>
      <c r="D284" s="4" t="str">
        <f t="shared" si="1"/>
        <v>{"valorA":"ar condicionado","valorB":95}</v>
      </c>
      <c r="E284" s="8" t="str">
        <f t="shared" si="2"/>
        <v>ar condicionado</v>
      </c>
      <c r="F284" s="8"/>
      <c r="G284" s="8" t="str">
        <f t="shared" si="3"/>
        <v>95</v>
      </c>
      <c r="H284" s="9">
        <f t="shared" si="4"/>
        <v>95</v>
      </c>
      <c r="I284" s="10">
        <f>IFERROR(__xludf.DUMMYFUNCTION("MAX(FILTER($H$2:$H1415,$E$2:$E1415=F284))"),0.0)</f>
        <v>0</v>
      </c>
    </row>
    <row r="285">
      <c r="A285" s="4"/>
      <c r="C285" s="4" t="s">
        <v>1941</v>
      </c>
      <c r="D285" s="4" t="str">
        <f t="shared" si="1"/>
        <v>{"valorA":"ar condicionado","valorB":96}</v>
      </c>
      <c r="E285" s="8" t="str">
        <f t="shared" si="2"/>
        <v>ar condicionado</v>
      </c>
      <c r="F285" s="8"/>
      <c r="G285" s="8" t="str">
        <f t="shared" si="3"/>
        <v>96</v>
      </c>
      <c r="H285" s="9">
        <f t="shared" si="4"/>
        <v>96</v>
      </c>
      <c r="I285" s="10">
        <f>IFERROR(__xludf.DUMMYFUNCTION("MAX(FILTER($H$2:$H1415,$E$2:$E1415=F285))"),0.0)</f>
        <v>0</v>
      </c>
    </row>
    <row r="286">
      <c r="A286" s="4"/>
      <c r="C286" s="4" t="s">
        <v>1942</v>
      </c>
      <c r="D286" s="4" t="str">
        <f t="shared" si="1"/>
        <v>{"valorA":"microondas","valorB":92}</v>
      </c>
      <c r="E286" s="8" t="str">
        <f t="shared" si="2"/>
        <v>microondas</v>
      </c>
      <c r="F286" s="8"/>
      <c r="G286" s="8" t="str">
        <f t="shared" si="3"/>
        <v>92</v>
      </c>
      <c r="H286" s="9">
        <f t="shared" si="4"/>
        <v>92</v>
      </c>
      <c r="I286" s="10">
        <f>IFERROR(__xludf.DUMMYFUNCTION("MAX(FILTER($H$2:$H1415,$E$2:$E1415=F286))"),0.0)</f>
        <v>0</v>
      </c>
    </row>
    <row r="287">
      <c r="A287" s="4"/>
      <c r="C287" s="4" t="s">
        <v>1943</v>
      </c>
      <c r="D287" s="4" t="str">
        <f t="shared" si="1"/>
        <v>{"valorA":"microondas","valorB":93}</v>
      </c>
      <c r="E287" s="8" t="str">
        <f t="shared" si="2"/>
        <v>microondas</v>
      </c>
      <c r="F287" s="8"/>
      <c r="G287" s="8" t="str">
        <f t="shared" si="3"/>
        <v>93</v>
      </c>
      <c r="H287" s="9">
        <f t="shared" si="4"/>
        <v>93</v>
      </c>
      <c r="I287" s="10">
        <f>IFERROR(__xludf.DUMMYFUNCTION("MAX(FILTER($H$2:$H1415,$E$2:$E1415=F287))"),0.0)</f>
        <v>0</v>
      </c>
    </row>
    <row r="288">
      <c r="A288" s="4"/>
      <c r="C288" s="4" t="s">
        <v>1944</v>
      </c>
      <c r="D288" s="4" t="str">
        <f t="shared" si="1"/>
        <v>{"valorA":"ar condicionado","valorB":97}</v>
      </c>
      <c r="E288" s="8" t="str">
        <f t="shared" si="2"/>
        <v>ar condicionado</v>
      </c>
      <c r="F288" s="8"/>
      <c r="G288" s="8" t="str">
        <f t="shared" si="3"/>
        <v>97</v>
      </c>
      <c r="H288" s="9">
        <f t="shared" si="4"/>
        <v>97</v>
      </c>
      <c r="I288" s="10">
        <f>IFERROR(__xludf.DUMMYFUNCTION("MAX(FILTER($H$2:$H1415,$E$2:$E1415=F288))"),0.0)</f>
        <v>0</v>
      </c>
    </row>
    <row r="289">
      <c r="A289" s="4"/>
      <c r="C289" s="4" t="s">
        <v>1945</v>
      </c>
      <c r="D289" s="4" t="str">
        <f t="shared" si="1"/>
        <v>{"valorA":"freezer","valorB":98}</v>
      </c>
      <c r="E289" s="8" t="str">
        <f t="shared" si="2"/>
        <v>freezer</v>
      </c>
      <c r="F289" s="8"/>
      <c r="G289" s="8" t="str">
        <f t="shared" si="3"/>
        <v>98</v>
      </c>
      <c r="H289" s="9">
        <f t="shared" si="4"/>
        <v>98</v>
      </c>
      <c r="I289" s="10">
        <f>IFERROR(__xludf.DUMMYFUNCTION("MAX(FILTER($H$2:$H1415,$E$2:$E1415=F289))"),0.0)</f>
        <v>0</v>
      </c>
    </row>
    <row r="290">
      <c r="A290" s="4"/>
      <c r="C290" s="4" t="s">
        <v>1946</v>
      </c>
      <c r="D290" s="4" t="str">
        <f t="shared" si="1"/>
        <v>{"valorA":"freezer","valorB":99}</v>
      </c>
      <c r="E290" s="8" t="str">
        <f t="shared" si="2"/>
        <v>freezer</v>
      </c>
      <c r="F290" s="8"/>
      <c r="G290" s="8" t="str">
        <f t="shared" si="3"/>
        <v>99</v>
      </c>
      <c r="H290" s="9">
        <f t="shared" si="4"/>
        <v>99</v>
      </c>
      <c r="I290" s="10">
        <f>IFERROR(__xludf.DUMMYFUNCTION("MAX(FILTER($H$2:$H1415,$E$2:$E1415=F290))"),0.0)</f>
        <v>0</v>
      </c>
    </row>
    <row r="291">
      <c r="A291" s="4"/>
      <c r="C291" s="4" t="s">
        <v>1947</v>
      </c>
      <c r="D291" s="4" t="str">
        <f t="shared" si="1"/>
        <v>{"valorA":"freezer","valorB":100}</v>
      </c>
      <c r="E291" s="8" t="str">
        <f t="shared" si="2"/>
        <v>freezer</v>
      </c>
      <c r="F291" s="8"/>
      <c r="G291" s="8" t="str">
        <f t="shared" si="3"/>
        <v>100</v>
      </c>
      <c r="H291" s="9">
        <f t="shared" si="4"/>
        <v>100</v>
      </c>
      <c r="I291" s="10">
        <f>IFERROR(__xludf.DUMMYFUNCTION("MAX(FILTER($H$2:$H1415,$E$2:$E1415=F291))"),0.0)</f>
        <v>0</v>
      </c>
    </row>
    <row r="292">
      <c r="A292" s="4"/>
      <c r="C292" s="4" t="s">
        <v>1948</v>
      </c>
      <c r="D292" s="4" t="str">
        <f t="shared" si="1"/>
        <v>{"valorA":"ar condicionado","valorB":98}</v>
      </c>
      <c r="E292" s="8" t="str">
        <f t="shared" si="2"/>
        <v>ar condicionado</v>
      </c>
      <c r="F292" s="8"/>
      <c r="G292" s="8" t="str">
        <f t="shared" si="3"/>
        <v>98</v>
      </c>
      <c r="H292" s="9">
        <f t="shared" si="4"/>
        <v>98</v>
      </c>
      <c r="I292" s="10">
        <f>IFERROR(__xludf.DUMMYFUNCTION("MAX(FILTER($H$2:$H1415,$E$2:$E1415=F292))"),0.0)</f>
        <v>0</v>
      </c>
    </row>
    <row r="293">
      <c r="A293" s="4"/>
      <c r="C293" s="4" t="s">
        <v>1949</v>
      </c>
      <c r="D293" s="4" t="str">
        <f t="shared" si="1"/>
        <v>{"valorA":"ar condicionado","valorB":99}</v>
      </c>
      <c r="E293" s="8" t="str">
        <f t="shared" si="2"/>
        <v>ar condicionado</v>
      </c>
      <c r="F293" s="8"/>
      <c r="G293" s="8" t="str">
        <f t="shared" si="3"/>
        <v>99</v>
      </c>
      <c r="H293" s="9">
        <f t="shared" si="4"/>
        <v>99</v>
      </c>
      <c r="I293" s="10">
        <f>IFERROR(__xludf.DUMMYFUNCTION("MAX(FILTER($H$2:$H1415,$E$2:$E1415=F293))"),0.0)</f>
        <v>0</v>
      </c>
    </row>
    <row r="294">
      <c r="A294" s="4"/>
      <c r="C294" s="4" t="s">
        <v>1950</v>
      </c>
      <c r="D294" s="4" t="str">
        <f t="shared" si="1"/>
        <v>{"valorA":"ar condicionado","valorB":100}</v>
      </c>
      <c r="E294" s="8" t="str">
        <f t="shared" si="2"/>
        <v>ar condicionado</v>
      </c>
      <c r="F294" s="8"/>
      <c r="G294" s="8" t="str">
        <f t="shared" si="3"/>
        <v>100</v>
      </c>
      <c r="H294" s="9">
        <f t="shared" si="4"/>
        <v>100</v>
      </c>
      <c r="I294" s="10">
        <f>IFERROR(__xludf.DUMMYFUNCTION("MAX(FILTER($H$2:$H1415,$E$2:$E1415=F294))"),0.0)</f>
        <v>0</v>
      </c>
    </row>
    <row r="295">
      <c r="A295" s="4"/>
      <c r="C295" s="4" t="s">
        <v>1951</v>
      </c>
      <c r="D295" s="4" t="str">
        <f t="shared" si="1"/>
        <v>{"valorA":"ar condicionado","valorB":101}</v>
      </c>
      <c r="E295" s="8" t="str">
        <f t="shared" si="2"/>
        <v>ar condicionado</v>
      </c>
      <c r="F295" s="8"/>
      <c r="G295" s="8" t="str">
        <f t="shared" si="3"/>
        <v>101</v>
      </c>
      <c r="H295" s="9">
        <f t="shared" si="4"/>
        <v>101</v>
      </c>
      <c r="I295" s="10">
        <f>IFERROR(__xludf.DUMMYFUNCTION("MAX(FILTER($H$2:$H1415,$E$2:$E1415=F295))"),0.0)</f>
        <v>0</v>
      </c>
    </row>
    <row r="296">
      <c r="A296" s="4"/>
      <c r="C296" s="4" t="s">
        <v>1952</v>
      </c>
      <c r="D296" s="4" t="str">
        <f t="shared" si="1"/>
        <v>{"valorA":"microondas","valorB":94}</v>
      </c>
      <c r="E296" s="8" t="str">
        <f t="shared" si="2"/>
        <v>microondas</v>
      </c>
      <c r="F296" s="8"/>
      <c r="G296" s="8" t="str">
        <f t="shared" si="3"/>
        <v>94</v>
      </c>
      <c r="H296" s="9">
        <f t="shared" si="4"/>
        <v>94</v>
      </c>
      <c r="I296" s="10">
        <f>IFERROR(__xludf.DUMMYFUNCTION("MAX(FILTER($H$2:$H1415,$E$2:$E1415=F296))"),0.0)</f>
        <v>0</v>
      </c>
    </row>
    <row r="297">
      <c r="A297" s="4"/>
      <c r="C297" s="4" t="s">
        <v>1953</v>
      </c>
      <c r="D297" s="4" t="str">
        <f t="shared" si="1"/>
        <v>{"valorA":"microondas","valorB":95}</v>
      </c>
      <c r="E297" s="8" t="str">
        <f t="shared" si="2"/>
        <v>microondas</v>
      </c>
      <c r="F297" s="8"/>
      <c r="G297" s="8" t="str">
        <f t="shared" si="3"/>
        <v>95</v>
      </c>
      <c r="H297" s="9">
        <f t="shared" si="4"/>
        <v>95</v>
      </c>
      <c r="I297" s="10">
        <f>IFERROR(__xludf.DUMMYFUNCTION("MAX(FILTER($H$2:$H1415,$E$2:$E1415=F297))"),0.0)</f>
        <v>0</v>
      </c>
    </row>
    <row r="298">
      <c r="A298" s="4"/>
      <c r="C298" s="4" t="s">
        <v>1954</v>
      </c>
      <c r="D298" s="4" t="str">
        <f t="shared" si="1"/>
        <v>{"valorA":"freezer","valorB":101}</v>
      </c>
      <c r="E298" s="8" t="str">
        <f t="shared" si="2"/>
        <v>freezer</v>
      </c>
      <c r="F298" s="8"/>
      <c r="G298" s="8" t="str">
        <f t="shared" si="3"/>
        <v>101</v>
      </c>
      <c r="H298" s="9">
        <f t="shared" si="4"/>
        <v>101</v>
      </c>
      <c r="I298" s="10">
        <f>IFERROR(__xludf.DUMMYFUNCTION("MAX(FILTER($H$2:$H1415,$E$2:$E1415=F298))"),0.0)</f>
        <v>0</v>
      </c>
    </row>
    <row r="299">
      <c r="A299" s="4"/>
      <c r="C299" s="4" t="s">
        <v>1955</v>
      </c>
      <c r="D299" s="4" t="str">
        <f t="shared" si="1"/>
        <v>{"valorA":"freezer","valorB":102}</v>
      </c>
      <c r="E299" s="8" t="str">
        <f t="shared" si="2"/>
        <v>freezer</v>
      </c>
      <c r="F299" s="8"/>
      <c r="G299" s="8" t="str">
        <f t="shared" si="3"/>
        <v>102</v>
      </c>
      <c r="H299" s="9">
        <f t="shared" si="4"/>
        <v>102</v>
      </c>
      <c r="I299" s="10">
        <f>IFERROR(__xludf.DUMMYFUNCTION("MAX(FILTER($H$2:$H1415,$E$2:$E1415=F299))"),0.0)</f>
        <v>0</v>
      </c>
    </row>
    <row r="300">
      <c r="A300" s="4"/>
      <c r="C300" s="4" t="s">
        <v>1956</v>
      </c>
      <c r="D300" s="4" t="str">
        <f t="shared" si="1"/>
        <v>{"valorA":"microondas","valorB":96}</v>
      </c>
      <c r="E300" s="8" t="str">
        <f t="shared" si="2"/>
        <v>microondas</v>
      </c>
      <c r="F300" s="8"/>
      <c r="G300" s="8" t="str">
        <f t="shared" si="3"/>
        <v>96</v>
      </c>
      <c r="H300" s="9">
        <f t="shared" si="4"/>
        <v>96</v>
      </c>
      <c r="I300" s="10">
        <f>IFERROR(__xludf.DUMMYFUNCTION("MAX(FILTER($H$2:$H1415,$E$2:$E1415=F300))"),0.0)</f>
        <v>0</v>
      </c>
    </row>
    <row r="301">
      <c r="A301" s="4"/>
      <c r="C301" s="4" t="s">
        <v>1957</v>
      </c>
      <c r="D301" s="4" t="str">
        <f t="shared" si="1"/>
        <v>{"valorA":"ar condicionado","valorB":102}</v>
      </c>
      <c r="E301" s="8" t="str">
        <f t="shared" si="2"/>
        <v>ar condicionado</v>
      </c>
      <c r="F301" s="8"/>
      <c r="G301" s="8" t="str">
        <f t="shared" si="3"/>
        <v>102</v>
      </c>
      <c r="H301" s="9">
        <f t="shared" si="4"/>
        <v>102</v>
      </c>
      <c r="I301" s="10">
        <f>IFERROR(__xludf.DUMMYFUNCTION("MAX(FILTER($H$2:$H1415,$E$2:$E1415=F301))"),0.0)</f>
        <v>0</v>
      </c>
    </row>
    <row r="302">
      <c r="A302" s="4"/>
      <c r="C302" s="4" t="s">
        <v>1958</v>
      </c>
      <c r="D302" s="4" t="str">
        <f t="shared" si="1"/>
        <v>{"valorA":"ar condicionado","valorB":103}</v>
      </c>
      <c r="E302" s="8" t="str">
        <f t="shared" si="2"/>
        <v>ar condicionado</v>
      </c>
      <c r="F302" s="8"/>
      <c r="G302" s="8" t="str">
        <f t="shared" si="3"/>
        <v>103</v>
      </c>
      <c r="H302" s="9">
        <f t="shared" si="4"/>
        <v>103</v>
      </c>
      <c r="I302" s="10">
        <f>IFERROR(__xludf.DUMMYFUNCTION("MAX(FILTER($H$2:$H1415,$E$2:$E1415=F302))"),0.0)</f>
        <v>0</v>
      </c>
    </row>
    <row r="303">
      <c r="A303" s="4"/>
      <c r="C303" s="4" t="s">
        <v>1959</v>
      </c>
      <c r="D303" s="4" t="str">
        <f t="shared" si="1"/>
        <v>{"valorA":"freezer","valorB":103}</v>
      </c>
      <c r="E303" s="8" t="str">
        <f t="shared" si="2"/>
        <v>freezer</v>
      </c>
      <c r="F303" s="8"/>
      <c r="G303" s="8" t="str">
        <f t="shared" si="3"/>
        <v>103</v>
      </c>
      <c r="H303" s="9">
        <f t="shared" si="4"/>
        <v>103</v>
      </c>
      <c r="I303" s="10">
        <f>IFERROR(__xludf.DUMMYFUNCTION("MAX(FILTER($H$2:$H1415,$E$2:$E1415=F303))"),0.0)</f>
        <v>0</v>
      </c>
    </row>
    <row r="304">
      <c r="A304" s="4"/>
      <c r="C304" s="4" t="s">
        <v>1960</v>
      </c>
      <c r="D304" s="4" t="str">
        <f t="shared" si="1"/>
        <v>{"valorA":"microondas","valorB":97}</v>
      </c>
      <c r="E304" s="8" t="str">
        <f t="shared" si="2"/>
        <v>microondas</v>
      </c>
      <c r="F304" s="8"/>
      <c r="G304" s="8" t="str">
        <f t="shared" si="3"/>
        <v>97</v>
      </c>
      <c r="H304" s="9">
        <f t="shared" si="4"/>
        <v>97</v>
      </c>
      <c r="I304" s="10">
        <f>IFERROR(__xludf.DUMMYFUNCTION("MAX(FILTER($H$2:$H1415,$E$2:$E1415=F304))"),0.0)</f>
        <v>0</v>
      </c>
    </row>
    <row r="305">
      <c r="A305" s="4"/>
      <c r="C305" s="4" t="s">
        <v>1961</v>
      </c>
      <c r="D305" s="4" t="str">
        <f t="shared" si="1"/>
        <v>{"valorA":"microondas","valorB":98}</v>
      </c>
      <c r="E305" s="8" t="str">
        <f t="shared" si="2"/>
        <v>microondas</v>
      </c>
      <c r="F305" s="8"/>
      <c r="G305" s="8" t="str">
        <f t="shared" si="3"/>
        <v>98</v>
      </c>
      <c r="H305" s="9">
        <f t="shared" si="4"/>
        <v>98</v>
      </c>
      <c r="I305" s="10">
        <f>IFERROR(__xludf.DUMMYFUNCTION("MAX(FILTER($H$2:$H1415,$E$2:$E1415=F305))"),0.0)</f>
        <v>0</v>
      </c>
    </row>
    <row r="306">
      <c r="A306" s="4"/>
      <c r="C306" s="4" t="s">
        <v>1962</v>
      </c>
      <c r="D306" s="4" t="str">
        <f t="shared" si="1"/>
        <v>{"valorA":"ar condicionado","valorB":104}</v>
      </c>
      <c r="E306" s="8" t="str">
        <f t="shared" si="2"/>
        <v>ar condicionado</v>
      </c>
      <c r="F306" s="8"/>
      <c r="G306" s="8" t="str">
        <f t="shared" si="3"/>
        <v>104</v>
      </c>
      <c r="H306" s="9">
        <f t="shared" si="4"/>
        <v>104</v>
      </c>
      <c r="I306" s="10">
        <f>IFERROR(__xludf.DUMMYFUNCTION("MAX(FILTER($H$2:$H1415,$E$2:$E1415=F306))"),0.0)</f>
        <v>0</v>
      </c>
    </row>
    <row r="307">
      <c r="A307" s="4"/>
      <c r="C307" s="4" t="s">
        <v>1963</v>
      </c>
      <c r="D307" s="4" t="str">
        <f t="shared" si="1"/>
        <v>{"valorA":"freezer","valorB":104}</v>
      </c>
      <c r="E307" s="8" t="str">
        <f t="shared" si="2"/>
        <v>freezer</v>
      </c>
      <c r="F307" s="8"/>
      <c r="G307" s="8" t="str">
        <f t="shared" si="3"/>
        <v>104</v>
      </c>
      <c r="H307" s="9">
        <f t="shared" si="4"/>
        <v>104</v>
      </c>
      <c r="I307" s="10">
        <f>IFERROR(__xludf.DUMMYFUNCTION("MAX(FILTER($H$2:$H1415,$E$2:$E1415=F307))"),0.0)</f>
        <v>0</v>
      </c>
    </row>
    <row r="308">
      <c r="A308" s="4"/>
      <c r="C308" s="4" t="s">
        <v>1964</v>
      </c>
      <c r="D308" s="4" t="str">
        <f t="shared" si="1"/>
        <v>{"valorA":"freezer","valorB":105}</v>
      </c>
      <c r="E308" s="8" t="str">
        <f t="shared" si="2"/>
        <v>freezer</v>
      </c>
      <c r="F308" s="8"/>
      <c r="G308" s="8" t="str">
        <f t="shared" si="3"/>
        <v>105</v>
      </c>
      <c r="H308" s="9">
        <f t="shared" si="4"/>
        <v>105</v>
      </c>
      <c r="I308" s="10">
        <f>IFERROR(__xludf.DUMMYFUNCTION("MAX(FILTER($H$2:$H1415,$E$2:$E1415=F308))"),0.0)</f>
        <v>0</v>
      </c>
    </row>
    <row r="309">
      <c r="A309" s="4"/>
      <c r="C309" s="4" t="s">
        <v>1965</v>
      </c>
      <c r="D309" s="4" t="str">
        <f t="shared" si="1"/>
        <v>{"valorA":"microondas","valorB":99}</v>
      </c>
      <c r="E309" s="8" t="str">
        <f t="shared" si="2"/>
        <v>microondas</v>
      </c>
      <c r="F309" s="8"/>
      <c r="G309" s="8" t="str">
        <f t="shared" si="3"/>
        <v>99</v>
      </c>
      <c r="H309" s="9">
        <f t="shared" si="4"/>
        <v>99</v>
      </c>
      <c r="I309" s="10">
        <f>IFERROR(__xludf.DUMMYFUNCTION("MAX(FILTER($H$2:$H1415,$E$2:$E1415=F309))"),0.0)</f>
        <v>0</v>
      </c>
    </row>
    <row r="310">
      <c r="A310" s="4"/>
      <c r="C310" s="4" t="s">
        <v>1966</v>
      </c>
      <c r="D310" s="4" t="str">
        <f t="shared" si="1"/>
        <v>{"valorA":"ar condicionado","valorB":105}</v>
      </c>
      <c r="E310" s="8" t="str">
        <f t="shared" si="2"/>
        <v>ar condicionado</v>
      </c>
      <c r="F310" s="8"/>
      <c r="G310" s="8" t="str">
        <f t="shared" si="3"/>
        <v>105</v>
      </c>
      <c r="H310" s="9">
        <f t="shared" si="4"/>
        <v>105</v>
      </c>
      <c r="I310" s="10">
        <f>IFERROR(__xludf.DUMMYFUNCTION("MAX(FILTER($H$2:$H1415,$E$2:$E1415=F310))"),0.0)</f>
        <v>0</v>
      </c>
    </row>
    <row r="311">
      <c r="A311" s="4"/>
      <c r="C311" s="4" t="s">
        <v>1967</v>
      </c>
      <c r="D311" s="4" t="str">
        <f t="shared" si="1"/>
        <v>{"valorA":"microondas","valorB":100}</v>
      </c>
      <c r="E311" s="8" t="str">
        <f t="shared" si="2"/>
        <v>microondas</v>
      </c>
      <c r="F311" s="8"/>
      <c r="G311" s="8" t="str">
        <f t="shared" si="3"/>
        <v>100</v>
      </c>
      <c r="H311" s="9">
        <f t="shared" si="4"/>
        <v>100</v>
      </c>
      <c r="I311" s="10">
        <f>IFERROR(__xludf.DUMMYFUNCTION("MAX(FILTER($H$2:$H1415,$E$2:$E1415=F311))"),0.0)</f>
        <v>0</v>
      </c>
    </row>
    <row r="312">
      <c r="A312" s="4"/>
      <c r="C312" s="4" t="s">
        <v>1968</v>
      </c>
      <c r="D312" s="4" t="str">
        <f t="shared" si="1"/>
        <v>{"valorA":"freezer","valorB":106}</v>
      </c>
      <c r="E312" s="8" t="str">
        <f t="shared" si="2"/>
        <v>freezer</v>
      </c>
      <c r="F312" s="8"/>
      <c r="G312" s="8" t="str">
        <f t="shared" si="3"/>
        <v>106</v>
      </c>
      <c r="H312" s="9">
        <f t="shared" si="4"/>
        <v>106</v>
      </c>
      <c r="I312" s="10">
        <f>IFERROR(__xludf.DUMMYFUNCTION("MAX(FILTER($H$2:$H1415,$E$2:$E1415=F312))"),0.0)</f>
        <v>0</v>
      </c>
    </row>
    <row r="313">
      <c r="A313" s="4"/>
      <c r="C313" s="4" t="s">
        <v>1969</v>
      </c>
      <c r="D313" s="4" t="str">
        <f t="shared" si="1"/>
        <v>{"valorA":"microondas","valorB":101}</v>
      </c>
      <c r="E313" s="8" t="str">
        <f t="shared" si="2"/>
        <v>microondas</v>
      </c>
      <c r="F313" s="8"/>
      <c r="G313" s="8" t="str">
        <f t="shared" si="3"/>
        <v>101</v>
      </c>
      <c r="H313" s="9">
        <f t="shared" si="4"/>
        <v>101</v>
      </c>
      <c r="I313" s="10">
        <f>IFERROR(__xludf.DUMMYFUNCTION("MAX(FILTER($H$2:$H1415,$E$2:$E1415=F313))"),0.0)</f>
        <v>0</v>
      </c>
    </row>
    <row r="314">
      <c r="A314" s="4"/>
      <c r="C314" s="4" t="s">
        <v>1970</v>
      </c>
      <c r="D314" s="4" t="str">
        <f t="shared" si="1"/>
        <v>{"valorA":"microondas","valorB":102}</v>
      </c>
      <c r="E314" s="8" t="str">
        <f t="shared" si="2"/>
        <v>microondas</v>
      </c>
      <c r="F314" s="8"/>
      <c r="G314" s="8" t="str">
        <f t="shared" si="3"/>
        <v>102</v>
      </c>
      <c r="H314" s="9">
        <f t="shared" si="4"/>
        <v>102</v>
      </c>
      <c r="I314" s="10">
        <f>IFERROR(__xludf.DUMMYFUNCTION("MAX(FILTER($H$2:$H1415,$E$2:$E1415=F314))"),0.0)</f>
        <v>0</v>
      </c>
    </row>
    <row r="315">
      <c r="A315" s="4"/>
      <c r="C315" s="4" t="s">
        <v>1971</v>
      </c>
      <c r="D315" s="4" t="str">
        <f t="shared" si="1"/>
        <v>{"valorA":"freezer","valorB":107}</v>
      </c>
      <c r="E315" s="8" t="str">
        <f t="shared" si="2"/>
        <v>freezer</v>
      </c>
      <c r="F315" s="8"/>
      <c r="G315" s="8" t="str">
        <f t="shared" si="3"/>
        <v>107</v>
      </c>
      <c r="H315" s="9">
        <f t="shared" si="4"/>
        <v>107</v>
      </c>
      <c r="I315" s="10">
        <f>IFERROR(__xludf.DUMMYFUNCTION("MAX(FILTER($H$2:$H1415,$E$2:$E1415=F315))"),0.0)</f>
        <v>0</v>
      </c>
    </row>
    <row r="316">
      <c r="A316" s="4"/>
      <c r="C316" s="4" t="s">
        <v>1972</v>
      </c>
      <c r="D316" s="4" t="str">
        <f t="shared" si="1"/>
        <v>{"valorA":"microondas","valorB":103}</v>
      </c>
      <c r="E316" s="8" t="str">
        <f t="shared" si="2"/>
        <v>microondas</v>
      </c>
      <c r="F316" s="8"/>
      <c r="G316" s="8" t="str">
        <f t="shared" si="3"/>
        <v>103</v>
      </c>
      <c r="H316" s="9">
        <f t="shared" si="4"/>
        <v>103</v>
      </c>
      <c r="I316" s="10">
        <f>IFERROR(__xludf.DUMMYFUNCTION("MAX(FILTER($H$2:$H1415,$E$2:$E1415=F316))"),0.0)</f>
        <v>0</v>
      </c>
    </row>
    <row r="317">
      <c r="A317" s="4"/>
      <c r="C317" s="4" t="s">
        <v>1973</v>
      </c>
      <c r="D317" s="4" t="str">
        <f t="shared" si="1"/>
        <v>{"valorA":"microondas","valorB":104}</v>
      </c>
      <c r="E317" s="8" t="str">
        <f t="shared" si="2"/>
        <v>microondas</v>
      </c>
      <c r="F317" s="8"/>
      <c r="G317" s="8" t="str">
        <f t="shared" si="3"/>
        <v>104</v>
      </c>
      <c r="H317" s="9">
        <f t="shared" si="4"/>
        <v>104</v>
      </c>
      <c r="I317" s="10">
        <f>IFERROR(__xludf.DUMMYFUNCTION("MAX(FILTER($H$2:$H1415,$E$2:$E1415=F317))"),0.0)</f>
        <v>0</v>
      </c>
    </row>
    <row r="318">
      <c r="A318" s="4"/>
      <c r="C318" s="4" t="s">
        <v>1974</v>
      </c>
      <c r="D318" s="4" t="str">
        <f t="shared" si="1"/>
        <v>{"valorA":"microondas","valorB":105}</v>
      </c>
      <c r="E318" s="8" t="str">
        <f t="shared" si="2"/>
        <v>microondas</v>
      </c>
      <c r="F318" s="8"/>
      <c r="G318" s="8" t="str">
        <f t="shared" si="3"/>
        <v>105</v>
      </c>
      <c r="H318" s="9">
        <f t="shared" si="4"/>
        <v>105</v>
      </c>
      <c r="I318" s="10">
        <f>IFERROR(__xludf.DUMMYFUNCTION("MAX(FILTER($H$2:$H1415,$E$2:$E1415=F318))"),0.0)</f>
        <v>0</v>
      </c>
    </row>
    <row r="319">
      <c r="A319" s="4"/>
      <c r="C319" s="4" t="s">
        <v>1975</v>
      </c>
      <c r="D319" s="4" t="str">
        <f t="shared" si="1"/>
        <v>{"valorA":"ar condicionado","valorB":106}</v>
      </c>
      <c r="E319" s="8" t="str">
        <f t="shared" si="2"/>
        <v>ar condicionado</v>
      </c>
      <c r="F319" s="8"/>
      <c r="G319" s="8" t="str">
        <f t="shared" si="3"/>
        <v>106</v>
      </c>
      <c r="H319" s="9">
        <f t="shared" si="4"/>
        <v>106</v>
      </c>
      <c r="I319" s="10">
        <f>IFERROR(__xludf.DUMMYFUNCTION("MAX(FILTER($H$2:$H1415,$E$2:$E1415=F319))"),0.0)</f>
        <v>0</v>
      </c>
    </row>
    <row r="320">
      <c r="A320" s="4"/>
      <c r="C320" s="4" t="s">
        <v>1976</v>
      </c>
      <c r="D320" s="4" t="str">
        <f t="shared" si="1"/>
        <v>{"valorA":"freezer","valorB":108}</v>
      </c>
      <c r="E320" s="8" t="str">
        <f t="shared" si="2"/>
        <v>freezer</v>
      </c>
      <c r="F320" s="8"/>
      <c r="G320" s="8" t="str">
        <f t="shared" si="3"/>
        <v>108</v>
      </c>
      <c r="H320" s="9">
        <f t="shared" si="4"/>
        <v>108</v>
      </c>
      <c r="I320" s="10">
        <f>IFERROR(__xludf.DUMMYFUNCTION("MAX(FILTER($H$2:$H1415,$E$2:$E1415=F320))"),0.0)</f>
        <v>0</v>
      </c>
    </row>
    <row r="321">
      <c r="A321" s="4"/>
      <c r="C321" s="4" t="s">
        <v>1977</v>
      </c>
      <c r="D321" s="4" t="str">
        <f t="shared" si="1"/>
        <v>{"valorA":"ar condicionado","valorB":107}</v>
      </c>
      <c r="E321" s="8" t="str">
        <f t="shared" si="2"/>
        <v>ar condicionado</v>
      </c>
      <c r="F321" s="8"/>
      <c r="G321" s="8" t="str">
        <f t="shared" si="3"/>
        <v>107</v>
      </c>
      <c r="H321" s="9">
        <f t="shared" si="4"/>
        <v>107</v>
      </c>
      <c r="I321" s="10">
        <f>IFERROR(__xludf.DUMMYFUNCTION("MAX(FILTER($H$2:$H1415,$E$2:$E1415=F321))"),0.0)</f>
        <v>0</v>
      </c>
    </row>
    <row r="322">
      <c r="A322" s="4"/>
      <c r="C322" s="4" t="s">
        <v>1978</v>
      </c>
      <c r="D322" s="4" t="str">
        <f t="shared" si="1"/>
        <v>{"valorA":"freezer","valorB":109}</v>
      </c>
      <c r="E322" s="8" t="str">
        <f t="shared" si="2"/>
        <v>freezer</v>
      </c>
      <c r="F322" s="8"/>
      <c r="G322" s="8" t="str">
        <f t="shared" si="3"/>
        <v>109</v>
      </c>
      <c r="H322" s="9">
        <f t="shared" si="4"/>
        <v>109</v>
      </c>
      <c r="I322" s="10">
        <f>IFERROR(__xludf.DUMMYFUNCTION("MAX(FILTER($H$2:$H1415,$E$2:$E1415=F322))"),0.0)</f>
        <v>0</v>
      </c>
    </row>
    <row r="323">
      <c r="A323" s="4"/>
      <c r="C323" s="4" t="s">
        <v>1979</v>
      </c>
      <c r="D323" s="4" t="str">
        <f t="shared" si="1"/>
        <v>{"valorA":"microondas","valorB":106}</v>
      </c>
      <c r="E323" s="8" t="str">
        <f t="shared" si="2"/>
        <v>microondas</v>
      </c>
      <c r="F323" s="8"/>
      <c r="G323" s="8" t="str">
        <f t="shared" si="3"/>
        <v>106</v>
      </c>
      <c r="H323" s="9">
        <f t="shared" si="4"/>
        <v>106</v>
      </c>
      <c r="I323" s="10">
        <f>IFERROR(__xludf.DUMMYFUNCTION("MAX(FILTER($H$2:$H1415,$E$2:$E1415=F323))"),0.0)</f>
        <v>0</v>
      </c>
    </row>
    <row r="324">
      <c r="A324" s="4"/>
      <c r="C324" s="4" t="s">
        <v>1980</v>
      </c>
      <c r="D324" s="4" t="str">
        <f t="shared" si="1"/>
        <v>{"valorA":"freezer","valorB":110}</v>
      </c>
      <c r="E324" s="8" t="str">
        <f t="shared" si="2"/>
        <v>freezer</v>
      </c>
      <c r="F324" s="8"/>
      <c r="G324" s="8" t="str">
        <f t="shared" si="3"/>
        <v>110</v>
      </c>
      <c r="H324" s="9">
        <f t="shared" si="4"/>
        <v>110</v>
      </c>
      <c r="I324" s="10">
        <f>IFERROR(__xludf.DUMMYFUNCTION("MAX(FILTER($H$2:$H1415,$E$2:$E1415=F324))"),0.0)</f>
        <v>0</v>
      </c>
    </row>
    <row r="325">
      <c r="A325" s="4"/>
      <c r="C325" s="4" t="s">
        <v>1981</v>
      </c>
      <c r="D325" s="4" t="str">
        <f t="shared" si="1"/>
        <v>{"valorA":"microondas","valorB":107}</v>
      </c>
      <c r="E325" s="8" t="str">
        <f t="shared" si="2"/>
        <v>microondas</v>
      </c>
      <c r="F325" s="8"/>
      <c r="G325" s="8" t="str">
        <f t="shared" si="3"/>
        <v>107</v>
      </c>
      <c r="H325" s="9">
        <f t="shared" si="4"/>
        <v>107</v>
      </c>
      <c r="I325" s="10">
        <f>IFERROR(__xludf.DUMMYFUNCTION("MAX(FILTER($H$2:$H1415,$E$2:$E1415=F325))"),0.0)</f>
        <v>0</v>
      </c>
    </row>
    <row r="326">
      <c r="A326" s="4"/>
      <c r="C326" s="4" t="s">
        <v>1982</v>
      </c>
      <c r="D326" s="4" t="str">
        <f t="shared" si="1"/>
        <v>{"valorA":"freezer","valorB":111}</v>
      </c>
      <c r="E326" s="8" t="str">
        <f t="shared" si="2"/>
        <v>freezer</v>
      </c>
      <c r="F326" s="8"/>
      <c r="G326" s="8" t="str">
        <f t="shared" si="3"/>
        <v>111</v>
      </c>
      <c r="H326" s="9">
        <f t="shared" si="4"/>
        <v>111</v>
      </c>
      <c r="I326" s="10">
        <f>IFERROR(__xludf.DUMMYFUNCTION("MAX(FILTER($H$2:$H1415,$E$2:$E1415=F326))"),0.0)</f>
        <v>0</v>
      </c>
    </row>
    <row r="327">
      <c r="A327" s="4"/>
      <c r="C327" s="4" t="s">
        <v>1983</v>
      </c>
      <c r="D327" s="4" t="str">
        <f t="shared" si="1"/>
        <v>{"valorA":"ar condicionado","valorB":108}</v>
      </c>
      <c r="E327" s="8" t="str">
        <f t="shared" si="2"/>
        <v>ar condicionado</v>
      </c>
      <c r="F327" s="8"/>
      <c r="G327" s="8" t="str">
        <f t="shared" si="3"/>
        <v>108</v>
      </c>
      <c r="H327" s="9">
        <f t="shared" si="4"/>
        <v>108</v>
      </c>
      <c r="I327" s="10">
        <f>IFERROR(__xludf.DUMMYFUNCTION("MAX(FILTER($H$2:$H1415,$E$2:$E1415=F327))"),0.0)</f>
        <v>0</v>
      </c>
    </row>
    <row r="328">
      <c r="A328" s="4"/>
      <c r="C328" s="4" t="s">
        <v>1984</v>
      </c>
      <c r="D328" s="4" t="str">
        <f t="shared" si="1"/>
        <v>{"valorA":"microondas","valorB":108}</v>
      </c>
      <c r="E328" s="8" t="str">
        <f t="shared" si="2"/>
        <v>microondas</v>
      </c>
      <c r="F328" s="8"/>
      <c r="G328" s="8" t="str">
        <f t="shared" si="3"/>
        <v>108</v>
      </c>
      <c r="H328" s="9">
        <f t="shared" si="4"/>
        <v>108</v>
      </c>
      <c r="I328" s="10">
        <f>IFERROR(__xludf.DUMMYFUNCTION("MAX(FILTER($H$2:$H1415,$E$2:$E1415=F328))"),0.0)</f>
        <v>0</v>
      </c>
    </row>
    <row r="329">
      <c r="A329" s="4"/>
      <c r="C329" s="4" t="s">
        <v>1985</v>
      </c>
      <c r="D329" s="4" t="str">
        <f t="shared" si="1"/>
        <v>{"valorA":"microondas","valorB":109}</v>
      </c>
      <c r="E329" s="8" t="str">
        <f t="shared" si="2"/>
        <v>microondas</v>
      </c>
      <c r="F329" s="8"/>
      <c r="G329" s="8" t="str">
        <f t="shared" si="3"/>
        <v>109</v>
      </c>
      <c r="H329" s="9">
        <f t="shared" si="4"/>
        <v>109</v>
      </c>
      <c r="I329" s="10">
        <f>IFERROR(__xludf.DUMMYFUNCTION("MAX(FILTER($H$2:$H1415,$E$2:$E1415=F329))"),0.0)</f>
        <v>0</v>
      </c>
    </row>
    <row r="330">
      <c r="A330" s="4"/>
      <c r="C330" s="4" t="s">
        <v>1986</v>
      </c>
      <c r="D330" s="4" t="str">
        <f t="shared" si="1"/>
        <v>{"valorA":"freezer","valorB":112}</v>
      </c>
      <c r="E330" s="8" t="str">
        <f t="shared" si="2"/>
        <v>freezer</v>
      </c>
      <c r="F330" s="8"/>
      <c r="G330" s="8" t="str">
        <f t="shared" si="3"/>
        <v>112</v>
      </c>
      <c r="H330" s="9">
        <f t="shared" si="4"/>
        <v>112</v>
      </c>
      <c r="I330" s="10">
        <f>IFERROR(__xludf.DUMMYFUNCTION("MAX(FILTER($H$2:$H1415,$E$2:$E1415=F330))"),0.0)</f>
        <v>0</v>
      </c>
    </row>
    <row r="331">
      <c r="A331" s="4"/>
      <c r="C331" s="4" t="s">
        <v>1987</v>
      </c>
      <c r="D331" s="4" t="str">
        <f t="shared" si="1"/>
        <v>{"valorA":"microondas","valorB":110}</v>
      </c>
      <c r="E331" s="8" t="str">
        <f t="shared" si="2"/>
        <v>microondas</v>
      </c>
      <c r="F331" s="8"/>
      <c r="G331" s="8" t="str">
        <f t="shared" si="3"/>
        <v>110</v>
      </c>
      <c r="H331" s="9">
        <f t="shared" si="4"/>
        <v>110</v>
      </c>
      <c r="I331" s="10">
        <f>IFERROR(__xludf.DUMMYFUNCTION("MAX(FILTER($H$2:$H1415,$E$2:$E1415=F331))"),0.0)</f>
        <v>0</v>
      </c>
    </row>
    <row r="332">
      <c r="A332" s="4"/>
      <c r="C332" s="4" t="s">
        <v>1988</v>
      </c>
      <c r="D332" s="4" t="str">
        <f t="shared" si="1"/>
        <v>{"valorA":"ar condicionado","valorB":109}</v>
      </c>
      <c r="E332" s="8" t="str">
        <f t="shared" si="2"/>
        <v>ar condicionado</v>
      </c>
      <c r="F332" s="8"/>
      <c r="G332" s="8" t="str">
        <f t="shared" si="3"/>
        <v>109</v>
      </c>
      <c r="H332" s="9">
        <f t="shared" si="4"/>
        <v>109</v>
      </c>
      <c r="I332" s="10">
        <f>IFERROR(__xludf.DUMMYFUNCTION("MAX(FILTER($H$2:$H1415,$E$2:$E1415=F332))"),0.0)</f>
        <v>0</v>
      </c>
    </row>
    <row r="333">
      <c r="A333" s="4"/>
      <c r="C333" s="4" t="s">
        <v>1989</v>
      </c>
      <c r="D333" s="4" t="str">
        <f t="shared" si="1"/>
        <v>{"valorA":"freezer","valorB":113}</v>
      </c>
      <c r="E333" s="8" t="str">
        <f t="shared" si="2"/>
        <v>freezer</v>
      </c>
      <c r="F333" s="8"/>
      <c r="G333" s="8" t="str">
        <f t="shared" si="3"/>
        <v>113</v>
      </c>
      <c r="H333" s="9">
        <f t="shared" si="4"/>
        <v>113</v>
      </c>
      <c r="I333" s="10">
        <f>IFERROR(__xludf.DUMMYFUNCTION("MAX(FILTER($H$2:$H1415,$E$2:$E1415=F333))"),0.0)</f>
        <v>0</v>
      </c>
    </row>
    <row r="334">
      <c r="A334" s="4"/>
      <c r="C334" s="4" t="s">
        <v>1990</v>
      </c>
      <c r="D334" s="4" t="str">
        <f t="shared" si="1"/>
        <v>{"valorA":"microondas","valorB":111}</v>
      </c>
      <c r="E334" s="8" t="str">
        <f t="shared" si="2"/>
        <v>microondas</v>
      </c>
      <c r="F334" s="8"/>
      <c r="G334" s="8" t="str">
        <f t="shared" si="3"/>
        <v>111</v>
      </c>
      <c r="H334" s="9">
        <f t="shared" si="4"/>
        <v>111</v>
      </c>
      <c r="I334" s="10">
        <f>IFERROR(__xludf.DUMMYFUNCTION("MAX(FILTER($H$2:$H1415,$E$2:$E1415=F334))"),0.0)</f>
        <v>0</v>
      </c>
    </row>
    <row r="335">
      <c r="A335" s="4"/>
      <c r="C335" s="4" t="s">
        <v>1991</v>
      </c>
      <c r="D335" s="4" t="str">
        <f t="shared" si="1"/>
        <v>{"valorA":"freezer","valorB":114}</v>
      </c>
      <c r="E335" s="8" t="str">
        <f t="shared" si="2"/>
        <v>freezer</v>
      </c>
      <c r="F335" s="8"/>
      <c r="G335" s="8" t="str">
        <f t="shared" si="3"/>
        <v>114</v>
      </c>
      <c r="H335" s="9">
        <f t="shared" si="4"/>
        <v>114</v>
      </c>
      <c r="I335" s="10">
        <f>IFERROR(__xludf.DUMMYFUNCTION("MAX(FILTER($H$2:$H1415,$E$2:$E1415=F335))"),0.0)</f>
        <v>0</v>
      </c>
    </row>
    <row r="336">
      <c r="A336" s="4"/>
      <c r="C336" s="4" t="s">
        <v>1992</v>
      </c>
      <c r="D336" s="4" t="str">
        <f t="shared" si="1"/>
        <v>{"valorA":"microondas","valorB":112}</v>
      </c>
      <c r="E336" s="8" t="str">
        <f t="shared" si="2"/>
        <v>microondas</v>
      </c>
      <c r="F336" s="8"/>
      <c r="G336" s="8" t="str">
        <f t="shared" si="3"/>
        <v>112</v>
      </c>
      <c r="H336" s="9">
        <f t="shared" si="4"/>
        <v>112</v>
      </c>
      <c r="I336" s="10">
        <f>IFERROR(__xludf.DUMMYFUNCTION("MAX(FILTER($H$2:$H1415,$E$2:$E1415=F336))"),0.0)</f>
        <v>0</v>
      </c>
    </row>
    <row r="337">
      <c r="A337" s="4"/>
      <c r="C337" s="4" t="s">
        <v>1993</v>
      </c>
      <c r="D337" s="4" t="str">
        <f t="shared" si="1"/>
        <v>{"valorA":"freezer","valorB":115}</v>
      </c>
      <c r="E337" s="8" t="str">
        <f t="shared" si="2"/>
        <v>freezer</v>
      </c>
      <c r="F337" s="8"/>
      <c r="G337" s="8" t="str">
        <f t="shared" si="3"/>
        <v>115</v>
      </c>
      <c r="H337" s="9">
        <f t="shared" si="4"/>
        <v>115</v>
      </c>
      <c r="I337" s="10">
        <f>IFERROR(__xludf.DUMMYFUNCTION("MAX(FILTER($H$2:$H1415,$E$2:$E1415=F337))"),0.0)</f>
        <v>0</v>
      </c>
    </row>
    <row r="338">
      <c r="A338" s="4"/>
      <c r="C338" s="4" t="s">
        <v>1994</v>
      </c>
      <c r="D338" s="4" t="str">
        <f t="shared" si="1"/>
        <v>{"valorA":"freezer","valorB":116}</v>
      </c>
      <c r="E338" s="8" t="str">
        <f t="shared" si="2"/>
        <v>freezer</v>
      </c>
      <c r="F338" s="8"/>
      <c r="G338" s="8" t="str">
        <f t="shared" si="3"/>
        <v>116</v>
      </c>
      <c r="H338" s="9">
        <f t="shared" si="4"/>
        <v>116</v>
      </c>
      <c r="I338" s="10">
        <f>IFERROR(__xludf.DUMMYFUNCTION("MAX(FILTER($H$2:$H1415,$E$2:$E1415=F338))"),0.0)</f>
        <v>0</v>
      </c>
    </row>
    <row r="339">
      <c r="A339" s="4"/>
      <c r="C339" s="4" t="s">
        <v>1995</v>
      </c>
      <c r="D339" s="4" t="str">
        <f t="shared" si="1"/>
        <v>{"valorA":"ar condicionado","valorB":110}</v>
      </c>
      <c r="E339" s="8" t="str">
        <f t="shared" si="2"/>
        <v>ar condicionado</v>
      </c>
      <c r="F339" s="8"/>
      <c r="G339" s="8" t="str">
        <f t="shared" si="3"/>
        <v>110</v>
      </c>
      <c r="H339" s="9">
        <f t="shared" si="4"/>
        <v>110</v>
      </c>
      <c r="I339" s="10">
        <f>IFERROR(__xludf.DUMMYFUNCTION("MAX(FILTER($H$2:$H1415,$E$2:$E1415=F339))"),0.0)</f>
        <v>0</v>
      </c>
    </row>
    <row r="340">
      <c r="A340" s="4"/>
      <c r="C340" s="4" t="s">
        <v>1996</v>
      </c>
      <c r="D340" s="4" t="str">
        <f t="shared" si="1"/>
        <v>{"valorA":"freezer","valorB":117}</v>
      </c>
      <c r="E340" s="8" t="str">
        <f t="shared" si="2"/>
        <v>freezer</v>
      </c>
      <c r="F340" s="8"/>
      <c r="G340" s="8" t="str">
        <f t="shared" si="3"/>
        <v>117</v>
      </c>
      <c r="H340" s="9">
        <f t="shared" si="4"/>
        <v>117</v>
      </c>
      <c r="I340" s="10">
        <f>IFERROR(__xludf.DUMMYFUNCTION("MAX(FILTER($H$2:$H1415,$E$2:$E1415=F340))"),0.0)</f>
        <v>0</v>
      </c>
    </row>
    <row r="341">
      <c r="A341" s="4"/>
      <c r="C341" s="4" t="s">
        <v>1997</v>
      </c>
      <c r="D341" s="4" t="str">
        <f t="shared" si="1"/>
        <v>{"valorA":"ar condicionado","valorB":111}</v>
      </c>
      <c r="E341" s="8" t="str">
        <f t="shared" si="2"/>
        <v>ar condicionado</v>
      </c>
      <c r="F341" s="8"/>
      <c r="G341" s="8" t="str">
        <f t="shared" si="3"/>
        <v>111</v>
      </c>
      <c r="H341" s="9">
        <f t="shared" si="4"/>
        <v>111</v>
      </c>
      <c r="I341" s="10">
        <f>IFERROR(__xludf.DUMMYFUNCTION("MAX(FILTER($H$2:$H1415,$E$2:$E1415=F341))"),0.0)</f>
        <v>0</v>
      </c>
    </row>
    <row r="342">
      <c r="A342" s="4"/>
      <c r="C342" s="4" t="s">
        <v>1998</v>
      </c>
      <c r="D342" s="4" t="str">
        <f t="shared" si="1"/>
        <v>{"valorA":"freezer","valorB":118}</v>
      </c>
      <c r="E342" s="8" t="str">
        <f t="shared" si="2"/>
        <v>freezer</v>
      </c>
      <c r="F342" s="8"/>
      <c r="G342" s="8" t="str">
        <f t="shared" si="3"/>
        <v>118</v>
      </c>
      <c r="H342" s="9">
        <f t="shared" si="4"/>
        <v>118</v>
      </c>
      <c r="I342" s="10">
        <f>IFERROR(__xludf.DUMMYFUNCTION("MAX(FILTER($H$2:$H1415,$E$2:$E1415=F342))"),0.0)</f>
        <v>0</v>
      </c>
    </row>
    <row r="343">
      <c r="A343" s="4"/>
      <c r="C343" s="4" t="s">
        <v>1999</v>
      </c>
      <c r="D343" s="4" t="str">
        <f t="shared" si="1"/>
        <v>{"valorA":"ar condicionado","valorB":112}</v>
      </c>
      <c r="E343" s="8" t="str">
        <f t="shared" si="2"/>
        <v>ar condicionado</v>
      </c>
      <c r="F343" s="8"/>
      <c r="G343" s="8" t="str">
        <f t="shared" si="3"/>
        <v>112</v>
      </c>
      <c r="H343" s="9">
        <f t="shared" si="4"/>
        <v>112</v>
      </c>
      <c r="I343" s="10">
        <f>IFERROR(__xludf.DUMMYFUNCTION("MAX(FILTER($H$2:$H1415,$E$2:$E1415=F343))"),0.0)</f>
        <v>0</v>
      </c>
    </row>
    <row r="344">
      <c r="A344" s="4"/>
      <c r="C344" s="4" t="s">
        <v>2000</v>
      </c>
      <c r="D344" s="4" t="str">
        <f t="shared" si="1"/>
        <v>{"valorA":"microondas","valorB":113}</v>
      </c>
      <c r="E344" s="8" t="str">
        <f t="shared" si="2"/>
        <v>microondas</v>
      </c>
      <c r="F344" s="8"/>
      <c r="G344" s="8" t="str">
        <f t="shared" si="3"/>
        <v>113</v>
      </c>
      <c r="H344" s="9">
        <f t="shared" si="4"/>
        <v>113</v>
      </c>
      <c r="I344" s="10">
        <f>IFERROR(__xludf.DUMMYFUNCTION("MAX(FILTER($H$2:$H1415,$E$2:$E1415=F344))"),0.0)</f>
        <v>0</v>
      </c>
    </row>
    <row r="345">
      <c r="A345" s="4"/>
      <c r="C345" s="4" t="s">
        <v>2001</v>
      </c>
      <c r="D345" s="4" t="str">
        <f t="shared" si="1"/>
        <v>{"valorA":"freezer","valorB":119}</v>
      </c>
      <c r="E345" s="8" t="str">
        <f t="shared" si="2"/>
        <v>freezer</v>
      </c>
      <c r="F345" s="8"/>
      <c r="G345" s="8" t="str">
        <f t="shared" si="3"/>
        <v>119</v>
      </c>
      <c r="H345" s="9">
        <f t="shared" si="4"/>
        <v>119</v>
      </c>
      <c r="I345" s="10">
        <f>IFERROR(__xludf.DUMMYFUNCTION("MAX(FILTER($H$2:$H1415,$E$2:$E1415=F345))"),0.0)</f>
        <v>0</v>
      </c>
    </row>
    <row r="346">
      <c r="A346" s="4"/>
      <c r="C346" s="4" t="s">
        <v>2002</v>
      </c>
      <c r="D346" s="4" t="str">
        <f t="shared" si="1"/>
        <v>{"valorA":"microondas","valorB":114}</v>
      </c>
      <c r="E346" s="8" t="str">
        <f t="shared" si="2"/>
        <v>microondas</v>
      </c>
      <c r="F346" s="8"/>
      <c r="G346" s="8" t="str">
        <f t="shared" si="3"/>
        <v>114</v>
      </c>
      <c r="H346" s="9">
        <f t="shared" si="4"/>
        <v>114</v>
      </c>
      <c r="I346" s="10">
        <f>IFERROR(__xludf.DUMMYFUNCTION("MAX(FILTER($H$2:$H1415,$E$2:$E1415=F346))"),0.0)</f>
        <v>0</v>
      </c>
    </row>
    <row r="347">
      <c r="A347" s="4"/>
      <c r="C347" s="4" t="s">
        <v>2003</v>
      </c>
      <c r="D347" s="4" t="str">
        <f t="shared" si="1"/>
        <v>{"valorA":"ar condicionado","valorB":113}</v>
      </c>
      <c r="E347" s="8" t="str">
        <f t="shared" si="2"/>
        <v>ar condicionado</v>
      </c>
      <c r="F347" s="8"/>
      <c r="G347" s="8" t="str">
        <f t="shared" si="3"/>
        <v>113</v>
      </c>
      <c r="H347" s="9">
        <f t="shared" si="4"/>
        <v>113</v>
      </c>
      <c r="I347" s="10">
        <f>IFERROR(__xludf.DUMMYFUNCTION("MAX(FILTER($H$2:$H1415,$E$2:$E1415=F347))"),0.0)</f>
        <v>0</v>
      </c>
    </row>
    <row r="348">
      <c r="A348" s="4"/>
      <c r="C348" s="4" t="s">
        <v>2004</v>
      </c>
      <c r="D348" s="4" t="str">
        <f t="shared" si="1"/>
        <v>{"valorA":"ar condicionado","valorB":114}</v>
      </c>
      <c r="E348" s="8" t="str">
        <f t="shared" si="2"/>
        <v>ar condicionado</v>
      </c>
      <c r="F348" s="8"/>
      <c r="G348" s="8" t="str">
        <f t="shared" si="3"/>
        <v>114</v>
      </c>
      <c r="H348" s="9">
        <f t="shared" si="4"/>
        <v>114</v>
      </c>
      <c r="I348" s="10">
        <f>IFERROR(__xludf.DUMMYFUNCTION("MAX(FILTER($H$2:$H1415,$E$2:$E1415=F348))"),0.0)</f>
        <v>0</v>
      </c>
    </row>
    <row r="349">
      <c r="A349" s="4"/>
      <c r="C349" s="4" t="s">
        <v>2005</v>
      </c>
      <c r="D349" s="4" t="str">
        <f t="shared" si="1"/>
        <v>{"valorA":"ar condicionado","valorB":115}</v>
      </c>
      <c r="E349" s="8" t="str">
        <f t="shared" si="2"/>
        <v>ar condicionado</v>
      </c>
      <c r="F349" s="8"/>
      <c r="G349" s="8" t="str">
        <f t="shared" si="3"/>
        <v>115</v>
      </c>
      <c r="H349" s="9">
        <f t="shared" si="4"/>
        <v>115</v>
      </c>
      <c r="I349" s="10">
        <f>IFERROR(__xludf.DUMMYFUNCTION("MAX(FILTER($H$2:$H1415,$E$2:$E1415=F349))"),0.0)</f>
        <v>0</v>
      </c>
    </row>
    <row r="350">
      <c r="A350" s="4"/>
      <c r="C350" s="4" t="s">
        <v>2006</v>
      </c>
      <c r="D350" s="4" t="str">
        <f t="shared" si="1"/>
        <v>{"valorA":"ar condicionado","valorB":116}</v>
      </c>
      <c r="E350" s="8" t="str">
        <f t="shared" si="2"/>
        <v>ar condicionado</v>
      </c>
      <c r="F350" s="8"/>
      <c r="G350" s="8" t="str">
        <f t="shared" si="3"/>
        <v>116</v>
      </c>
      <c r="H350" s="9">
        <f t="shared" si="4"/>
        <v>116</v>
      </c>
      <c r="I350" s="10">
        <f>IFERROR(__xludf.DUMMYFUNCTION("MAX(FILTER($H$2:$H1415,$E$2:$E1415=F350))"),0.0)</f>
        <v>0</v>
      </c>
    </row>
    <row r="351">
      <c r="A351" s="4"/>
      <c r="C351" s="4" t="s">
        <v>2007</v>
      </c>
      <c r="D351" s="4" t="str">
        <f t="shared" si="1"/>
        <v>{"valorA":"microondas","valorB":115}</v>
      </c>
      <c r="E351" s="8" t="str">
        <f t="shared" si="2"/>
        <v>microondas</v>
      </c>
      <c r="F351" s="8"/>
      <c r="G351" s="8" t="str">
        <f t="shared" si="3"/>
        <v>115</v>
      </c>
      <c r="H351" s="9">
        <f t="shared" si="4"/>
        <v>115</v>
      </c>
      <c r="I351" s="10">
        <f>IFERROR(__xludf.DUMMYFUNCTION("MAX(FILTER($H$2:$H1415,$E$2:$E1415=F351))"),0.0)</f>
        <v>0</v>
      </c>
    </row>
    <row r="352">
      <c r="A352" s="4"/>
      <c r="C352" s="4" t="s">
        <v>2008</v>
      </c>
      <c r="D352" s="4" t="str">
        <f t="shared" si="1"/>
        <v>{"valorA":"ar condicionado","valorB":117}</v>
      </c>
      <c r="E352" s="8" t="str">
        <f t="shared" si="2"/>
        <v>ar condicionado</v>
      </c>
      <c r="F352" s="8"/>
      <c r="G352" s="8" t="str">
        <f t="shared" si="3"/>
        <v>117</v>
      </c>
      <c r="H352" s="9">
        <f t="shared" si="4"/>
        <v>117</v>
      </c>
      <c r="I352" s="10">
        <f>IFERROR(__xludf.DUMMYFUNCTION("MAX(FILTER($H$2:$H1415,$E$2:$E1415=F352))"),0.0)</f>
        <v>0</v>
      </c>
    </row>
    <row r="353">
      <c r="A353" s="4"/>
      <c r="C353" s="4" t="s">
        <v>2009</v>
      </c>
      <c r="D353" s="4" t="str">
        <f t="shared" si="1"/>
        <v>{"valorA":"ar condicionado","valorB":118}</v>
      </c>
      <c r="E353" s="8" t="str">
        <f t="shared" si="2"/>
        <v>ar condicionado</v>
      </c>
      <c r="F353" s="8"/>
      <c r="G353" s="8" t="str">
        <f t="shared" si="3"/>
        <v>118</v>
      </c>
      <c r="H353" s="9">
        <f t="shared" si="4"/>
        <v>118</v>
      </c>
      <c r="I353" s="10">
        <f>IFERROR(__xludf.DUMMYFUNCTION("MAX(FILTER($H$2:$H1415,$E$2:$E1415=F353))"),0.0)</f>
        <v>0</v>
      </c>
    </row>
    <row r="354">
      <c r="A354" s="4"/>
      <c r="C354" s="4" t="s">
        <v>2010</v>
      </c>
      <c r="D354" s="4" t="str">
        <f t="shared" si="1"/>
        <v>{"valorA":"ar condicionado","valorB":119}</v>
      </c>
      <c r="E354" s="8" t="str">
        <f t="shared" si="2"/>
        <v>ar condicionado</v>
      </c>
      <c r="F354" s="8"/>
      <c r="G354" s="8" t="str">
        <f t="shared" si="3"/>
        <v>119</v>
      </c>
      <c r="H354" s="9">
        <f t="shared" si="4"/>
        <v>119</v>
      </c>
      <c r="I354" s="10">
        <f>IFERROR(__xludf.DUMMYFUNCTION("MAX(FILTER($H$2:$H1415,$E$2:$E1415=F354))"),0.0)</f>
        <v>0</v>
      </c>
    </row>
    <row r="355">
      <c r="A355" s="4"/>
      <c r="C355" s="4" t="s">
        <v>2011</v>
      </c>
      <c r="D355" s="4" t="str">
        <f t="shared" si="1"/>
        <v>{"valorA":"freezer","valorB":120}</v>
      </c>
      <c r="E355" s="8" t="str">
        <f t="shared" si="2"/>
        <v>freezer</v>
      </c>
      <c r="F355" s="8"/>
      <c r="G355" s="8" t="str">
        <f t="shared" si="3"/>
        <v>120</v>
      </c>
      <c r="H355" s="9">
        <f t="shared" si="4"/>
        <v>120</v>
      </c>
      <c r="I355" s="10">
        <f>IFERROR(__xludf.DUMMYFUNCTION("MAX(FILTER($H$2:$H1415,$E$2:$E1415=F355))"),0.0)</f>
        <v>0</v>
      </c>
    </row>
    <row r="356">
      <c r="A356" s="4"/>
      <c r="C356" s="4" t="s">
        <v>2012</v>
      </c>
      <c r="D356" s="4" t="str">
        <f t="shared" si="1"/>
        <v>{"valorA":"freezer","valorB":121}</v>
      </c>
      <c r="E356" s="8" t="str">
        <f t="shared" si="2"/>
        <v>freezer</v>
      </c>
      <c r="F356" s="8"/>
      <c r="G356" s="8" t="str">
        <f t="shared" si="3"/>
        <v>121</v>
      </c>
      <c r="H356" s="9">
        <f t="shared" si="4"/>
        <v>121</v>
      </c>
      <c r="I356" s="10">
        <f>IFERROR(__xludf.DUMMYFUNCTION("MAX(FILTER($H$2:$H1415,$E$2:$E1415=F356))"),0.0)</f>
        <v>0</v>
      </c>
    </row>
    <row r="357">
      <c r="A357" s="4"/>
      <c r="C357" s="4" t="s">
        <v>2013</v>
      </c>
      <c r="D357" s="4" t="str">
        <f t="shared" si="1"/>
        <v>{"valorA":"freezer","valorB":122}</v>
      </c>
      <c r="E357" s="8" t="str">
        <f t="shared" si="2"/>
        <v>freezer</v>
      </c>
      <c r="F357" s="8"/>
      <c r="G357" s="8" t="str">
        <f t="shared" si="3"/>
        <v>122</v>
      </c>
      <c r="H357" s="9">
        <f t="shared" si="4"/>
        <v>122</v>
      </c>
      <c r="I357" s="10">
        <f>IFERROR(__xludf.DUMMYFUNCTION("MAX(FILTER($H$2:$H1415,$E$2:$E1415=F357))"),0.0)</f>
        <v>0</v>
      </c>
    </row>
    <row r="358">
      <c r="A358" s="4"/>
      <c r="C358" s="4" t="s">
        <v>2014</v>
      </c>
      <c r="D358" s="4" t="str">
        <f t="shared" si="1"/>
        <v>{"valorA":"microondas","valorB":116}</v>
      </c>
      <c r="E358" s="8" t="str">
        <f t="shared" si="2"/>
        <v>microondas</v>
      </c>
      <c r="F358" s="8"/>
      <c r="G358" s="8" t="str">
        <f t="shared" si="3"/>
        <v>116</v>
      </c>
      <c r="H358" s="9">
        <f t="shared" si="4"/>
        <v>116</v>
      </c>
      <c r="I358" s="10">
        <f>IFERROR(__xludf.DUMMYFUNCTION("MAX(FILTER($H$2:$H1415,$E$2:$E1415=F358))"),0.0)</f>
        <v>0</v>
      </c>
    </row>
    <row r="359">
      <c r="A359" s="4"/>
      <c r="C359" s="4" t="s">
        <v>2015</v>
      </c>
      <c r="D359" s="4" t="str">
        <f t="shared" si="1"/>
        <v>{"valorA":"microondas","valorB":117}</v>
      </c>
      <c r="E359" s="8" t="str">
        <f t="shared" si="2"/>
        <v>microondas</v>
      </c>
      <c r="F359" s="8"/>
      <c r="G359" s="8" t="str">
        <f t="shared" si="3"/>
        <v>117</v>
      </c>
      <c r="H359" s="9">
        <f t="shared" si="4"/>
        <v>117</v>
      </c>
      <c r="I359" s="10">
        <f>IFERROR(__xludf.DUMMYFUNCTION("MAX(FILTER($H$2:$H1415,$E$2:$E1415=F359))"),0.0)</f>
        <v>0</v>
      </c>
    </row>
    <row r="360">
      <c r="A360" s="4"/>
      <c r="C360" s="4" t="s">
        <v>2016</v>
      </c>
      <c r="D360" s="4" t="str">
        <f t="shared" si="1"/>
        <v>{"valorA":"ar condicionado","valorB":120}</v>
      </c>
      <c r="E360" s="8" t="str">
        <f t="shared" si="2"/>
        <v>ar condicionado</v>
      </c>
      <c r="F360" s="8"/>
      <c r="G360" s="8" t="str">
        <f t="shared" si="3"/>
        <v>120</v>
      </c>
      <c r="H360" s="9">
        <f t="shared" si="4"/>
        <v>120</v>
      </c>
      <c r="I360" s="10">
        <f>IFERROR(__xludf.DUMMYFUNCTION("MAX(FILTER($H$2:$H1415,$E$2:$E1415=F360))"),0.0)</f>
        <v>0</v>
      </c>
    </row>
    <row r="361">
      <c r="A361" s="4"/>
      <c r="C361" s="4" t="s">
        <v>2017</v>
      </c>
      <c r="D361" s="4" t="str">
        <f t="shared" si="1"/>
        <v>{"valorA":"freezer","valorB":123}</v>
      </c>
      <c r="E361" s="8" t="str">
        <f t="shared" si="2"/>
        <v>freezer</v>
      </c>
      <c r="F361" s="8"/>
      <c r="G361" s="8" t="str">
        <f t="shared" si="3"/>
        <v>123</v>
      </c>
      <c r="H361" s="9">
        <f t="shared" si="4"/>
        <v>123</v>
      </c>
      <c r="I361" s="10">
        <f>IFERROR(__xludf.DUMMYFUNCTION("MAX(FILTER($H$2:$H1415,$E$2:$E1415=F361))"),0.0)</f>
        <v>0</v>
      </c>
    </row>
    <row r="362">
      <c r="A362" s="4"/>
      <c r="C362" s="4" t="s">
        <v>2018</v>
      </c>
      <c r="D362" s="4" t="str">
        <f t="shared" si="1"/>
        <v>{"valorA":"freezer","valorB":124}</v>
      </c>
      <c r="E362" s="8" t="str">
        <f t="shared" si="2"/>
        <v>freezer</v>
      </c>
      <c r="F362" s="8"/>
      <c r="G362" s="8" t="str">
        <f t="shared" si="3"/>
        <v>124</v>
      </c>
      <c r="H362" s="9">
        <f t="shared" si="4"/>
        <v>124</v>
      </c>
      <c r="I362" s="10">
        <f>IFERROR(__xludf.DUMMYFUNCTION("MAX(FILTER($H$2:$H1415,$E$2:$E1415=F362))"),0.0)</f>
        <v>0</v>
      </c>
    </row>
    <row r="363">
      <c r="A363" s="4"/>
      <c r="C363" s="4" t="s">
        <v>2019</v>
      </c>
      <c r="D363" s="4" t="str">
        <f t="shared" si="1"/>
        <v>{"valorA":"microondas","valorB":118}</v>
      </c>
      <c r="E363" s="8" t="str">
        <f t="shared" si="2"/>
        <v>microondas</v>
      </c>
      <c r="F363" s="8"/>
      <c r="G363" s="8" t="str">
        <f t="shared" si="3"/>
        <v>118</v>
      </c>
      <c r="H363" s="9">
        <f t="shared" si="4"/>
        <v>118</v>
      </c>
      <c r="I363" s="10">
        <f>IFERROR(__xludf.DUMMYFUNCTION("MAX(FILTER($H$2:$H1415,$E$2:$E1415=F363))"),0.0)</f>
        <v>0</v>
      </c>
    </row>
    <row r="364">
      <c r="A364" s="4"/>
      <c r="C364" s="4" t="s">
        <v>2020</v>
      </c>
      <c r="D364" s="4" t="str">
        <f t="shared" si="1"/>
        <v>{"valorA":"freezer","valorB":125}</v>
      </c>
      <c r="E364" s="8" t="str">
        <f t="shared" si="2"/>
        <v>freezer</v>
      </c>
      <c r="F364" s="8"/>
      <c r="G364" s="8" t="str">
        <f t="shared" si="3"/>
        <v>125</v>
      </c>
      <c r="H364" s="9">
        <f t="shared" si="4"/>
        <v>125</v>
      </c>
      <c r="I364" s="10">
        <f>IFERROR(__xludf.DUMMYFUNCTION("MAX(FILTER($H$2:$H1415,$E$2:$E1415=F364))"),0.0)</f>
        <v>0</v>
      </c>
    </row>
    <row r="365">
      <c r="A365" s="4"/>
      <c r="C365" s="4" t="s">
        <v>2021</v>
      </c>
      <c r="D365" s="4" t="str">
        <f t="shared" si="1"/>
        <v>{"valorA":"freezer","valorB":126}</v>
      </c>
      <c r="E365" s="8" t="str">
        <f t="shared" si="2"/>
        <v>freezer</v>
      </c>
      <c r="F365" s="8"/>
      <c r="G365" s="8" t="str">
        <f t="shared" si="3"/>
        <v>126</v>
      </c>
      <c r="H365" s="9">
        <f t="shared" si="4"/>
        <v>126</v>
      </c>
      <c r="I365" s="10">
        <f>IFERROR(__xludf.DUMMYFUNCTION("MAX(FILTER($H$2:$H1415,$E$2:$E1415=F365))"),0.0)</f>
        <v>0</v>
      </c>
    </row>
    <row r="366">
      <c r="A366" s="4"/>
      <c r="C366" s="4" t="s">
        <v>2022</v>
      </c>
      <c r="D366" s="4" t="str">
        <f t="shared" si="1"/>
        <v>{"valorA":"freezer","valorB":127}</v>
      </c>
      <c r="E366" s="8" t="str">
        <f t="shared" si="2"/>
        <v>freezer</v>
      </c>
      <c r="F366" s="8"/>
      <c r="G366" s="8" t="str">
        <f t="shared" si="3"/>
        <v>127</v>
      </c>
      <c r="H366" s="9">
        <f t="shared" si="4"/>
        <v>127</v>
      </c>
      <c r="I366" s="10">
        <f>IFERROR(__xludf.DUMMYFUNCTION("MAX(FILTER($H$2:$H1415,$E$2:$E1415=F366))"),0.0)</f>
        <v>0</v>
      </c>
    </row>
    <row r="367">
      <c r="A367" s="4"/>
      <c r="C367" s="4" t="s">
        <v>2023</v>
      </c>
      <c r="D367" s="4" t="str">
        <f t="shared" si="1"/>
        <v>{"valorA":"freezer","valorB":128}</v>
      </c>
      <c r="E367" s="8" t="str">
        <f t="shared" si="2"/>
        <v>freezer</v>
      </c>
      <c r="F367" s="8"/>
      <c r="G367" s="8" t="str">
        <f t="shared" si="3"/>
        <v>128</v>
      </c>
      <c r="H367" s="9">
        <f t="shared" si="4"/>
        <v>128</v>
      </c>
      <c r="I367" s="10">
        <f>IFERROR(__xludf.DUMMYFUNCTION("MAX(FILTER($H$2:$H1415,$E$2:$E1415=F367))"),0.0)</f>
        <v>0</v>
      </c>
    </row>
    <row r="368">
      <c r="A368" s="4"/>
      <c r="C368" s="4" t="s">
        <v>2024</v>
      </c>
      <c r="D368" s="4" t="str">
        <f t="shared" si="1"/>
        <v>{"valorA":"ar condicionado","valorB":121}</v>
      </c>
      <c r="E368" s="8" t="str">
        <f t="shared" si="2"/>
        <v>ar condicionado</v>
      </c>
      <c r="F368" s="8"/>
      <c r="G368" s="8" t="str">
        <f t="shared" si="3"/>
        <v>121</v>
      </c>
      <c r="H368" s="9">
        <f t="shared" si="4"/>
        <v>121</v>
      </c>
      <c r="I368" s="10">
        <f>IFERROR(__xludf.DUMMYFUNCTION("MAX(FILTER($H$2:$H1415,$E$2:$E1415=F368))"),0.0)</f>
        <v>0</v>
      </c>
    </row>
    <row r="369">
      <c r="A369" s="4"/>
      <c r="C369" s="4" t="s">
        <v>2025</v>
      </c>
      <c r="D369" s="4" t="str">
        <f t="shared" si="1"/>
        <v>{"valorA":"ar condicionado","valorB":122}</v>
      </c>
      <c r="E369" s="8" t="str">
        <f t="shared" si="2"/>
        <v>ar condicionado</v>
      </c>
      <c r="F369" s="8"/>
      <c r="G369" s="8" t="str">
        <f t="shared" si="3"/>
        <v>122</v>
      </c>
      <c r="H369" s="9">
        <f t="shared" si="4"/>
        <v>122</v>
      </c>
      <c r="I369" s="10">
        <f>IFERROR(__xludf.DUMMYFUNCTION("MAX(FILTER($H$2:$H1415,$E$2:$E1415=F369))"),0.0)</f>
        <v>0</v>
      </c>
    </row>
    <row r="370">
      <c r="A370" s="4"/>
      <c r="C370" s="4" t="s">
        <v>2026</v>
      </c>
      <c r="D370" s="4" t="str">
        <f t="shared" si="1"/>
        <v>{"valorA":"microondas","valorB":119}</v>
      </c>
      <c r="E370" s="8" t="str">
        <f t="shared" si="2"/>
        <v>microondas</v>
      </c>
      <c r="F370" s="8"/>
      <c r="G370" s="8" t="str">
        <f t="shared" si="3"/>
        <v>119</v>
      </c>
      <c r="H370" s="9">
        <f t="shared" si="4"/>
        <v>119</v>
      </c>
      <c r="I370" s="10">
        <f>IFERROR(__xludf.DUMMYFUNCTION("MAX(FILTER($H$2:$H1415,$E$2:$E1415=F370))"),0.0)</f>
        <v>0</v>
      </c>
    </row>
    <row r="371">
      <c r="A371" s="4"/>
      <c r="C371" s="4" t="s">
        <v>2027</v>
      </c>
      <c r="D371" s="4" t="str">
        <f t="shared" si="1"/>
        <v>{"valorA":"ar condicionado","valorB":123}</v>
      </c>
      <c r="E371" s="8" t="str">
        <f t="shared" si="2"/>
        <v>ar condicionado</v>
      </c>
      <c r="F371" s="8"/>
      <c r="G371" s="8" t="str">
        <f t="shared" si="3"/>
        <v>123</v>
      </c>
      <c r="H371" s="9">
        <f t="shared" si="4"/>
        <v>123</v>
      </c>
      <c r="I371" s="10">
        <f>IFERROR(__xludf.DUMMYFUNCTION("MAX(FILTER($H$2:$H1415,$E$2:$E1415=F371))"),0.0)</f>
        <v>0</v>
      </c>
    </row>
    <row r="372">
      <c r="A372" s="4"/>
      <c r="C372" s="4" t="s">
        <v>2028</v>
      </c>
      <c r="D372" s="4" t="str">
        <f t="shared" si="1"/>
        <v>{"valorA":"ar condicionado","valorB":124}</v>
      </c>
      <c r="E372" s="8" t="str">
        <f t="shared" si="2"/>
        <v>ar condicionado</v>
      </c>
      <c r="F372" s="8"/>
      <c r="G372" s="8" t="str">
        <f t="shared" si="3"/>
        <v>124</v>
      </c>
      <c r="H372" s="9">
        <f t="shared" si="4"/>
        <v>124</v>
      </c>
      <c r="I372" s="10">
        <f>IFERROR(__xludf.DUMMYFUNCTION("MAX(FILTER($H$2:$H1415,$E$2:$E1415=F372))"),0.0)</f>
        <v>0</v>
      </c>
    </row>
    <row r="373">
      <c r="A373" s="4"/>
      <c r="C373" s="4" t="s">
        <v>2029</v>
      </c>
      <c r="D373" s="4" t="str">
        <f t="shared" si="1"/>
        <v>{"valorA":"freezer","valorB":129}</v>
      </c>
      <c r="E373" s="8" t="str">
        <f t="shared" si="2"/>
        <v>freezer</v>
      </c>
      <c r="F373" s="8"/>
      <c r="G373" s="8" t="str">
        <f t="shared" si="3"/>
        <v>129</v>
      </c>
      <c r="H373" s="9">
        <f t="shared" si="4"/>
        <v>129</v>
      </c>
      <c r="I373" s="10">
        <f>IFERROR(__xludf.DUMMYFUNCTION("MAX(FILTER($H$2:$H1415,$E$2:$E1415=F373))"),0.0)</f>
        <v>0</v>
      </c>
    </row>
    <row r="374">
      <c r="A374" s="4"/>
      <c r="C374" s="4" t="s">
        <v>2030</v>
      </c>
      <c r="D374" s="4" t="str">
        <f t="shared" si="1"/>
        <v>{"valorA":"ar condicionado","valorB":125}</v>
      </c>
      <c r="E374" s="8" t="str">
        <f t="shared" si="2"/>
        <v>ar condicionado</v>
      </c>
      <c r="F374" s="8"/>
      <c r="G374" s="8" t="str">
        <f t="shared" si="3"/>
        <v>125</v>
      </c>
      <c r="H374" s="9">
        <f t="shared" si="4"/>
        <v>125</v>
      </c>
      <c r="I374" s="10">
        <f>IFERROR(__xludf.DUMMYFUNCTION("MAX(FILTER($H$2:$H1415,$E$2:$E1415=F374))"),0.0)</f>
        <v>0</v>
      </c>
    </row>
    <row r="375">
      <c r="A375" s="4"/>
      <c r="C375" s="4" t="s">
        <v>2031</v>
      </c>
      <c r="D375" s="4" t="str">
        <f t="shared" si="1"/>
        <v>{"valorA":"freezer","valorB":130}</v>
      </c>
      <c r="E375" s="8" t="str">
        <f t="shared" si="2"/>
        <v>freezer</v>
      </c>
      <c r="F375" s="8"/>
      <c r="G375" s="8" t="str">
        <f t="shared" si="3"/>
        <v>130</v>
      </c>
      <c r="H375" s="9">
        <f t="shared" si="4"/>
        <v>130</v>
      </c>
      <c r="I375" s="10">
        <f>IFERROR(__xludf.DUMMYFUNCTION("MAX(FILTER($H$2:$H1415,$E$2:$E1415=F375))"),0.0)</f>
        <v>0</v>
      </c>
    </row>
    <row r="376">
      <c r="A376" s="4"/>
      <c r="C376" s="4" t="s">
        <v>2032</v>
      </c>
      <c r="D376" s="4" t="str">
        <f t="shared" si="1"/>
        <v>{"valorA":"microondas","valorB":120}</v>
      </c>
      <c r="E376" s="8" t="str">
        <f t="shared" si="2"/>
        <v>microondas</v>
      </c>
      <c r="F376" s="8"/>
      <c r="G376" s="8" t="str">
        <f t="shared" si="3"/>
        <v>120</v>
      </c>
      <c r="H376" s="9">
        <f t="shared" si="4"/>
        <v>120</v>
      </c>
      <c r="I376" s="10">
        <f>IFERROR(__xludf.DUMMYFUNCTION("MAX(FILTER($H$2:$H1415,$E$2:$E1415=F376))"),0.0)</f>
        <v>0</v>
      </c>
    </row>
    <row r="377">
      <c r="A377" s="4"/>
      <c r="C377" s="4" t="s">
        <v>2033</v>
      </c>
      <c r="D377" s="4" t="str">
        <f t="shared" si="1"/>
        <v>{"valorA":"microondas","valorB":121}</v>
      </c>
      <c r="E377" s="8" t="str">
        <f t="shared" si="2"/>
        <v>microondas</v>
      </c>
      <c r="F377" s="8"/>
      <c r="G377" s="8" t="str">
        <f t="shared" si="3"/>
        <v>121</v>
      </c>
      <c r="H377" s="9">
        <f t="shared" si="4"/>
        <v>121</v>
      </c>
      <c r="I377" s="10">
        <f>IFERROR(__xludf.DUMMYFUNCTION("MAX(FILTER($H$2:$H1415,$E$2:$E1415=F377))"),0.0)</f>
        <v>0</v>
      </c>
    </row>
    <row r="378">
      <c r="A378" s="4"/>
      <c r="C378" s="4" t="s">
        <v>2034</v>
      </c>
      <c r="D378" s="4" t="str">
        <f t="shared" si="1"/>
        <v>{"valorA":"ar condicionado","valorB":126}</v>
      </c>
      <c r="E378" s="8" t="str">
        <f t="shared" si="2"/>
        <v>ar condicionado</v>
      </c>
      <c r="F378" s="8"/>
      <c r="G378" s="8" t="str">
        <f t="shared" si="3"/>
        <v>126</v>
      </c>
      <c r="H378" s="9">
        <f t="shared" si="4"/>
        <v>126</v>
      </c>
      <c r="I378" s="10">
        <f>IFERROR(__xludf.DUMMYFUNCTION("MAX(FILTER($H$2:$H1415,$E$2:$E1415=F378))"),0.0)</f>
        <v>0</v>
      </c>
    </row>
    <row r="379">
      <c r="A379" s="4"/>
      <c r="C379" s="4" t="s">
        <v>2035</v>
      </c>
      <c r="D379" s="4" t="str">
        <f t="shared" si="1"/>
        <v>{"valorA":"freezer","valorB":131}</v>
      </c>
      <c r="E379" s="8" t="str">
        <f t="shared" si="2"/>
        <v>freezer</v>
      </c>
      <c r="F379" s="8"/>
      <c r="G379" s="8" t="str">
        <f t="shared" si="3"/>
        <v>131</v>
      </c>
      <c r="H379" s="9">
        <f t="shared" si="4"/>
        <v>131</v>
      </c>
      <c r="I379" s="10">
        <f>IFERROR(__xludf.DUMMYFUNCTION("MAX(FILTER($H$2:$H1415,$E$2:$E1415=F379))"),0.0)</f>
        <v>0</v>
      </c>
    </row>
    <row r="380">
      <c r="A380" s="4"/>
      <c r="C380" s="4" t="s">
        <v>2036</v>
      </c>
      <c r="D380" s="4" t="str">
        <f t="shared" si="1"/>
        <v>{"valorA":"microondas","valorB":122}</v>
      </c>
      <c r="E380" s="8" t="str">
        <f t="shared" si="2"/>
        <v>microondas</v>
      </c>
      <c r="F380" s="8"/>
      <c r="G380" s="8" t="str">
        <f t="shared" si="3"/>
        <v>122</v>
      </c>
      <c r="H380" s="9">
        <f t="shared" si="4"/>
        <v>122</v>
      </c>
      <c r="I380" s="10">
        <f>IFERROR(__xludf.DUMMYFUNCTION("MAX(FILTER($H$2:$H1415,$E$2:$E1415=F380))"),0.0)</f>
        <v>0</v>
      </c>
    </row>
    <row r="381">
      <c r="A381" s="4"/>
      <c r="C381" s="4" t="s">
        <v>2037</v>
      </c>
      <c r="D381" s="4" t="str">
        <f t="shared" si="1"/>
        <v>{"valorA":"ar condicionado","valorB":127}</v>
      </c>
      <c r="E381" s="8" t="str">
        <f t="shared" si="2"/>
        <v>ar condicionado</v>
      </c>
      <c r="F381" s="8"/>
      <c r="G381" s="8" t="str">
        <f t="shared" si="3"/>
        <v>127</v>
      </c>
      <c r="H381" s="9">
        <f t="shared" si="4"/>
        <v>127</v>
      </c>
      <c r="I381" s="10">
        <f>IFERROR(__xludf.DUMMYFUNCTION("MAX(FILTER($H$2:$H1415,$E$2:$E1415=F381))"),0.0)</f>
        <v>0</v>
      </c>
    </row>
    <row r="382">
      <c r="A382" s="4"/>
      <c r="C382" s="4" t="s">
        <v>2038</v>
      </c>
      <c r="D382" s="4" t="str">
        <f t="shared" si="1"/>
        <v>{"valorA":"microondas","valorB":123}</v>
      </c>
      <c r="E382" s="8" t="str">
        <f t="shared" si="2"/>
        <v>microondas</v>
      </c>
      <c r="F382" s="8"/>
      <c r="G382" s="8" t="str">
        <f t="shared" si="3"/>
        <v>123</v>
      </c>
      <c r="H382" s="9">
        <f t="shared" si="4"/>
        <v>123</v>
      </c>
      <c r="I382" s="10">
        <f>IFERROR(__xludf.DUMMYFUNCTION("MAX(FILTER($H$2:$H1415,$E$2:$E1415=F382))"),0.0)</f>
        <v>0</v>
      </c>
    </row>
    <row r="383">
      <c r="A383" s="4"/>
      <c r="C383" s="4" t="s">
        <v>2039</v>
      </c>
      <c r="D383" s="4" t="str">
        <f t="shared" si="1"/>
        <v>{"valorA":"ar condicionado","valorB":128}</v>
      </c>
      <c r="E383" s="8" t="str">
        <f t="shared" si="2"/>
        <v>ar condicionado</v>
      </c>
      <c r="F383" s="8"/>
      <c r="G383" s="8" t="str">
        <f t="shared" si="3"/>
        <v>128</v>
      </c>
      <c r="H383" s="9">
        <f t="shared" si="4"/>
        <v>128</v>
      </c>
      <c r="I383" s="10">
        <f>IFERROR(__xludf.DUMMYFUNCTION("MAX(FILTER($H$2:$H1415,$E$2:$E1415=F383))"),0.0)</f>
        <v>0</v>
      </c>
    </row>
    <row r="384">
      <c r="A384" s="4"/>
      <c r="C384" s="4" t="s">
        <v>2040</v>
      </c>
      <c r="D384" s="4" t="str">
        <f t="shared" si="1"/>
        <v>{"valorA":"microondas","valorB":124}</v>
      </c>
      <c r="E384" s="8" t="str">
        <f t="shared" si="2"/>
        <v>microondas</v>
      </c>
      <c r="F384" s="8"/>
      <c r="G384" s="8" t="str">
        <f t="shared" si="3"/>
        <v>124</v>
      </c>
      <c r="H384" s="9">
        <f t="shared" si="4"/>
        <v>124</v>
      </c>
      <c r="I384" s="10">
        <f>IFERROR(__xludf.DUMMYFUNCTION("MAX(FILTER($H$2:$H1415,$E$2:$E1415=F384))"),0.0)</f>
        <v>0</v>
      </c>
    </row>
    <row r="385">
      <c r="A385" s="4"/>
      <c r="C385" s="4" t="s">
        <v>2041</v>
      </c>
      <c r="D385" s="4" t="str">
        <f t="shared" si="1"/>
        <v>{"valorA":"freezer","valorB":132}</v>
      </c>
      <c r="E385" s="8" t="str">
        <f t="shared" si="2"/>
        <v>freezer</v>
      </c>
      <c r="F385" s="8"/>
      <c r="G385" s="8" t="str">
        <f t="shared" si="3"/>
        <v>132</v>
      </c>
      <c r="H385" s="9">
        <f t="shared" si="4"/>
        <v>132</v>
      </c>
      <c r="I385" s="10">
        <f>IFERROR(__xludf.DUMMYFUNCTION("MAX(FILTER($H$2:$H1415,$E$2:$E1415=F385))"),0.0)</f>
        <v>0</v>
      </c>
    </row>
    <row r="386">
      <c r="A386" s="4"/>
      <c r="C386" s="4" t="s">
        <v>2042</v>
      </c>
      <c r="D386" s="4" t="str">
        <f t="shared" si="1"/>
        <v>{"valorA":"ar condicionado","valorB":129}</v>
      </c>
      <c r="E386" s="8" t="str">
        <f t="shared" si="2"/>
        <v>ar condicionado</v>
      </c>
      <c r="F386" s="8"/>
      <c r="G386" s="8" t="str">
        <f t="shared" si="3"/>
        <v>129</v>
      </c>
      <c r="H386" s="9">
        <f t="shared" si="4"/>
        <v>129</v>
      </c>
      <c r="I386" s="10">
        <f>IFERROR(__xludf.DUMMYFUNCTION("MAX(FILTER($H$2:$H1415,$E$2:$E1415=F386))"),0.0)</f>
        <v>0</v>
      </c>
    </row>
    <row r="387">
      <c r="A387" s="4"/>
      <c r="C387" s="4" t="s">
        <v>2043</v>
      </c>
      <c r="D387" s="4" t="str">
        <f t="shared" si="1"/>
        <v>{"valorA":"microondas","valorB":125}</v>
      </c>
      <c r="E387" s="8" t="str">
        <f t="shared" si="2"/>
        <v>microondas</v>
      </c>
      <c r="F387" s="8"/>
      <c r="G387" s="8" t="str">
        <f t="shared" si="3"/>
        <v>125</v>
      </c>
      <c r="H387" s="9">
        <f t="shared" si="4"/>
        <v>125</v>
      </c>
      <c r="I387" s="10">
        <f>IFERROR(__xludf.DUMMYFUNCTION("MAX(FILTER($H$2:$H1415,$E$2:$E1415=F387))"),0.0)</f>
        <v>0</v>
      </c>
    </row>
    <row r="388">
      <c r="A388" s="4"/>
      <c r="C388" s="4" t="s">
        <v>2044</v>
      </c>
      <c r="D388" s="4" t="str">
        <f t="shared" si="1"/>
        <v>{"valorA":"microondas","valorB":126}</v>
      </c>
      <c r="E388" s="8" t="str">
        <f t="shared" si="2"/>
        <v>microondas</v>
      </c>
      <c r="F388" s="8"/>
      <c r="G388" s="8" t="str">
        <f t="shared" si="3"/>
        <v>126</v>
      </c>
      <c r="H388" s="9">
        <f t="shared" si="4"/>
        <v>126</v>
      </c>
      <c r="I388" s="10">
        <f>IFERROR(__xludf.DUMMYFUNCTION("MAX(FILTER($H$2:$H1415,$E$2:$E1415=F388))"),0.0)</f>
        <v>0</v>
      </c>
    </row>
    <row r="389">
      <c r="A389" s="4"/>
      <c r="C389" s="4" t="s">
        <v>2045</v>
      </c>
      <c r="D389" s="4" t="str">
        <f t="shared" si="1"/>
        <v>{"valorA":"freezer","valorB":133}</v>
      </c>
      <c r="E389" s="8" t="str">
        <f t="shared" si="2"/>
        <v>freezer</v>
      </c>
      <c r="F389" s="8"/>
      <c r="G389" s="8" t="str">
        <f t="shared" si="3"/>
        <v>133</v>
      </c>
      <c r="H389" s="9">
        <f t="shared" si="4"/>
        <v>133</v>
      </c>
      <c r="I389" s="10">
        <f>IFERROR(__xludf.DUMMYFUNCTION("MAX(FILTER($H$2:$H1415,$E$2:$E1415=F389))"),0.0)</f>
        <v>0</v>
      </c>
    </row>
    <row r="390">
      <c r="A390" s="4"/>
      <c r="C390" s="4" t="s">
        <v>2046</v>
      </c>
      <c r="D390" s="4" t="str">
        <f t="shared" si="1"/>
        <v>{"valorA":"ar condicionado","valorB":130}</v>
      </c>
      <c r="E390" s="8" t="str">
        <f t="shared" si="2"/>
        <v>ar condicionado</v>
      </c>
      <c r="F390" s="8"/>
      <c r="G390" s="8" t="str">
        <f t="shared" si="3"/>
        <v>130</v>
      </c>
      <c r="H390" s="9">
        <f t="shared" si="4"/>
        <v>130</v>
      </c>
      <c r="I390" s="10">
        <f>IFERROR(__xludf.DUMMYFUNCTION("MAX(FILTER($H$2:$H1415,$E$2:$E1415=F390))"),0.0)</f>
        <v>0</v>
      </c>
    </row>
    <row r="391">
      <c r="A391" s="4"/>
      <c r="C391" s="4" t="s">
        <v>2047</v>
      </c>
      <c r="D391" s="4" t="str">
        <f t="shared" si="1"/>
        <v>{"valorA":"microondas","valorB":127}</v>
      </c>
      <c r="E391" s="8" t="str">
        <f t="shared" si="2"/>
        <v>microondas</v>
      </c>
      <c r="F391" s="8"/>
      <c r="G391" s="8" t="str">
        <f t="shared" si="3"/>
        <v>127</v>
      </c>
      <c r="H391" s="9">
        <f t="shared" si="4"/>
        <v>127</v>
      </c>
      <c r="I391" s="10">
        <f>IFERROR(__xludf.DUMMYFUNCTION("MAX(FILTER($H$2:$H1415,$E$2:$E1415=F391))"),0.0)</f>
        <v>0</v>
      </c>
    </row>
    <row r="392">
      <c r="A392" s="4"/>
      <c r="C392" s="4" t="s">
        <v>2048</v>
      </c>
      <c r="D392" s="4" t="str">
        <f t="shared" si="1"/>
        <v>{"valorA":"microondas","valorB":128}</v>
      </c>
      <c r="E392" s="8" t="str">
        <f t="shared" si="2"/>
        <v>microondas</v>
      </c>
      <c r="F392" s="8"/>
      <c r="G392" s="8" t="str">
        <f t="shared" si="3"/>
        <v>128</v>
      </c>
      <c r="H392" s="9">
        <f t="shared" si="4"/>
        <v>128</v>
      </c>
      <c r="I392" s="10">
        <f>IFERROR(__xludf.DUMMYFUNCTION("MAX(FILTER($H$2:$H1415,$E$2:$E1415=F392))"),0.0)</f>
        <v>0</v>
      </c>
    </row>
    <row r="393">
      <c r="A393" s="4"/>
      <c r="C393" s="4" t="s">
        <v>2049</v>
      </c>
      <c r="D393" s="4" t="str">
        <f t="shared" si="1"/>
        <v>{"valorA":"freezer","valorB":134}</v>
      </c>
      <c r="E393" s="8" t="str">
        <f t="shared" si="2"/>
        <v>freezer</v>
      </c>
      <c r="F393" s="8"/>
      <c r="G393" s="8" t="str">
        <f t="shared" si="3"/>
        <v>134</v>
      </c>
      <c r="H393" s="9">
        <f t="shared" si="4"/>
        <v>134</v>
      </c>
      <c r="I393" s="10">
        <f>IFERROR(__xludf.DUMMYFUNCTION("MAX(FILTER($H$2:$H1415,$E$2:$E1415=F393))"),0.0)</f>
        <v>0</v>
      </c>
    </row>
    <row r="394">
      <c r="A394" s="4"/>
      <c r="C394" s="4" t="s">
        <v>2050</v>
      </c>
      <c r="D394" s="4" t="str">
        <f t="shared" si="1"/>
        <v>{"valorA":"ar condicionado","valorB":131}</v>
      </c>
      <c r="E394" s="8" t="str">
        <f t="shared" si="2"/>
        <v>ar condicionado</v>
      </c>
      <c r="F394" s="8"/>
      <c r="G394" s="8" t="str">
        <f t="shared" si="3"/>
        <v>131</v>
      </c>
      <c r="H394" s="9">
        <f t="shared" si="4"/>
        <v>131</v>
      </c>
      <c r="I394" s="10">
        <f>IFERROR(__xludf.DUMMYFUNCTION("MAX(FILTER($H$2:$H1415,$E$2:$E1415=F394))"),0.0)</f>
        <v>0</v>
      </c>
    </row>
    <row r="395">
      <c r="A395" s="4"/>
      <c r="C395" s="4" t="s">
        <v>2051</v>
      </c>
      <c r="D395" s="4" t="str">
        <f t="shared" si="1"/>
        <v>{"valorA":"ar condicionado","valorB":132}</v>
      </c>
      <c r="E395" s="8" t="str">
        <f t="shared" si="2"/>
        <v>ar condicionado</v>
      </c>
      <c r="F395" s="8"/>
      <c r="G395" s="8" t="str">
        <f t="shared" si="3"/>
        <v>132</v>
      </c>
      <c r="H395" s="9">
        <f t="shared" si="4"/>
        <v>132</v>
      </c>
      <c r="I395" s="10">
        <f>IFERROR(__xludf.DUMMYFUNCTION("MAX(FILTER($H$2:$H1415,$E$2:$E1415=F395))"),0.0)</f>
        <v>0</v>
      </c>
    </row>
    <row r="396">
      <c r="A396" s="4"/>
      <c r="C396" s="4" t="s">
        <v>2052</v>
      </c>
      <c r="D396" s="4" t="str">
        <f t="shared" si="1"/>
        <v>{"valorA":"freezer","valorB":135}</v>
      </c>
      <c r="E396" s="8" t="str">
        <f t="shared" si="2"/>
        <v>freezer</v>
      </c>
      <c r="F396" s="8"/>
      <c r="G396" s="8" t="str">
        <f t="shared" si="3"/>
        <v>135</v>
      </c>
      <c r="H396" s="9">
        <f t="shared" si="4"/>
        <v>135</v>
      </c>
      <c r="I396" s="10">
        <f>IFERROR(__xludf.DUMMYFUNCTION("MAX(FILTER($H$2:$H1415,$E$2:$E1415=F396))"),0.0)</f>
        <v>0</v>
      </c>
    </row>
    <row r="397">
      <c r="A397" s="4"/>
      <c r="C397" s="4" t="s">
        <v>2053</v>
      </c>
      <c r="D397" s="4" t="str">
        <f t="shared" si="1"/>
        <v>{"valorA":"microondas","valorB":129}</v>
      </c>
      <c r="E397" s="8" t="str">
        <f t="shared" si="2"/>
        <v>microondas</v>
      </c>
      <c r="F397" s="8"/>
      <c r="G397" s="8" t="str">
        <f t="shared" si="3"/>
        <v>129</v>
      </c>
      <c r="H397" s="9">
        <f t="shared" si="4"/>
        <v>129</v>
      </c>
      <c r="I397" s="10">
        <f>IFERROR(__xludf.DUMMYFUNCTION("MAX(FILTER($H$2:$H1415,$E$2:$E1415=F397))"),0.0)</f>
        <v>0</v>
      </c>
    </row>
    <row r="398">
      <c r="A398" s="4"/>
      <c r="C398" s="4" t="s">
        <v>2054</v>
      </c>
      <c r="D398" s="4" t="str">
        <f t="shared" si="1"/>
        <v>{"valorA":"ar condicionado","valorB":133}</v>
      </c>
      <c r="E398" s="8" t="str">
        <f t="shared" si="2"/>
        <v>ar condicionado</v>
      </c>
      <c r="F398" s="8"/>
      <c r="G398" s="8" t="str">
        <f t="shared" si="3"/>
        <v>133</v>
      </c>
      <c r="H398" s="9">
        <f t="shared" si="4"/>
        <v>133</v>
      </c>
      <c r="I398" s="10">
        <f>IFERROR(__xludf.DUMMYFUNCTION("MAX(FILTER($H$2:$H1415,$E$2:$E1415=F398))"),0.0)</f>
        <v>0</v>
      </c>
    </row>
    <row r="399">
      <c r="A399" s="4"/>
      <c r="C399" s="4" t="s">
        <v>2055</v>
      </c>
      <c r="D399" s="4" t="str">
        <f t="shared" si="1"/>
        <v>{"valorA":"freezer","valorB":136}</v>
      </c>
      <c r="E399" s="8" t="str">
        <f t="shared" si="2"/>
        <v>freezer</v>
      </c>
      <c r="F399" s="8"/>
      <c r="G399" s="8" t="str">
        <f t="shared" si="3"/>
        <v>136</v>
      </c>
      <c r="H399" s="9">
        <f t="shared" si="4"/>
        <v>136</v>
      </c>
      <c r="I399" s="10">
        <f>IFERROR(__xludf.DUMMYFUNCTION("MAX(FILTER($H$2:$H1415,$E$2:$E1415=F399))"),0.0)</f>
        <v>0</v>
      </c>
    </row>
    <row r="400">
      <c r="A400" s="4"/>
      <c r="C400" s="4" t="s">
        <v>2056</v>
      </c>
      <c r="D400" s="4" t="str">
        <f t="shared" si="1"/>
        <v>{"valorA":"freezer","valorB":137}</v>
      </c>
      <c r="E400" s="8" t="str">
        <f t="shared" si="2"/>
        <v>freezer</v>
      </c>
      <c r="F400" s="8"/>
      <c r="G400" s="8" t="str">
        <f t="shared" si="3"/>
        <v>137</v>
      </c>
      <c r="H400" s="9">
        <f t="shared" si="4"/>
        <v>137</v>
      </c>
      <c r="I400" s="10">
        <f>IFERROR(__xludf.DUMMYFUNCTION("MAX(FILTER($H$2:$H1415,$E$2:$E1415=F400))"),0.0)</f>
        <v>0</v>
      </c>
    </row>
    <row r="401">
      <c r="A401" s="4"/>
      <c r="C401" s="4" t="s">
        <v>2057</v>
      </c>
      <c r="D401" s="4" t="str">
        <f t="shared" si="1"/>
        <v>{"valorA":"microondas","valorB":130}</v>
      </c>
      <c r="E401" s="8" t="str">
        <f t="shared" si="2"/>
        <v>microondas</v>
      </c>
      <c r="F401" s="8"/>
      <c r="G401" s="8" t="str">
        <f t="shared" si="3"/>
        <v>130</v>
      </c>
      <c r="H401" s="9">
        <f t="shared" si="4"/>
        <v>130</v>
      </c>
      <c r="I401" s="10">
        <f>IFERROR(__xludf.DUMMYFUNCTION("MAX(FILTER($H$2:$H1415,$E$2:$E1415=F401))"),0.0)</f>
        <v>0</v>
      </c>
    </row>
    <row r="402">
      <c r="A402" s="4"/>
      <c r="C402" s="4" t="s">
        <v>2058</v>
      </c>
      <c r="D402" s="4" t="str">
        <f t="shared" si="1"/>
        <v>{"valorA":"freezer","valorB":138}</v>
      </c>
      <c r="E402" s="8" t="str">
        <f t="shared" si="2"/>
        <v>freezer</v>
      </c>
      <c r="F402" s="8"/>
      <c r="G402" s="8" t="str">
        <f t="shared" si="3"/>
        <v>138</v>
      </c>
      <c r="H402" s="9">
        <f t="shared" si="4"/>
        <v>138</v>
      </c>
      <c r="I402" s="10">
        <f>IFERROR(__xludf.DUMMYFUNCTION("MAX(FILTER($H$2:$H1415,$E$2:$E1415=F402))"),0.0)</f>
        <v>0</v>
      </c>
    </row>
    <row r="403">
      <c r="A403" s="4"/>
      <c r="C403" s="4" t="s">
        <v>2059</v>
      </c>
      <c r="D403" s="4" t="str">
        <f t="shared" si="1"/>
        <v>{"valorA":"ar condicionado","valorB":134}</v>
      </c>
      <c r="E403" s="8" t="str">
        <f t="shared" si="2"/>
        <v>ar condicionado</v>
      </c>
      <c r="F403" s="8"/>
      <c r="G403" s="8" t="str">
        <f t="shared" si="3"/>
        <v>134</v>
      </c>
      <c r="H403" s="9">
        <f t="shared" si="4"/>
        <v>134</v>
      </c>
      <c r="I403" s="10">
        <f>IFERROR(__xludf.DUMMYFUNCTION("MAX(FILTER($H$2:$H1415,$E$2:$E1415=F403))"),0.0)</f>
        <v>0</v>
      </c>
    </row>
    <row r="404">
      <c r="A404" s="4"/>
      <c r="C404" s="4" t="s">
        <v>2060</v>
      </c>
      <c r="D404" s="4" t="str">
        <f t="shared" si="1"/>
        <v>{"valorA":"freezer","valorB":139}</v>
      </c>
      <c r="E404" s="8" t="str">
        <f t="shared" si="2"/>
        <v>freezer</v>
      </c>
      <c r="F404" s="8"/>
      <c r="G404" s="8" t="str">
        <f t="shared" si="3"/>
        <v>139</v>
      </c>
      <c r="H404" s="9">
        <f t="shared" si="4"/>
        <v>139</v>
      </c>
      <c r="I404" s="10">
        <f>IFERROR(__xludf.DUMMYFUNCTION("MAX(FILTER($H$2:$H1415,$E$2:$E1415=F404))"),0.0)</f>
        <v>0</v>
      </c>
    </row>
    <row r="405">
      <c r="A405" s="4"/>
      <c r="C405" s="4" t="s">
        <v>2061</v>
      </c>
      <c r="D405" s="4" t="str">
        <f t="shared" si="1"/>
        <v>{"valorA":"ar condicionado","valorB":135}</v>
      </c>
      <c r="E405" s="8" t="str">
        <f t="shared" si="2"/>
        <v>ar condicionado</v>
      </c>
      <c r="F405" s="8"/>
      <c r="G405" s="8" t="str">
        <f t="shared" si="3"/>
        <v>135</v>
      </c>
      <c r="H405" s="9">
        <f t="shared" si="4"/>
        <v>135</v>
      </c>
      <c r="I405" s="10">
        <f>IFERROR(__xludf.DUMMYFUNCTION("MAX(FILTER($H$2:$H1415,$E$2:$E1415=F405))"),0.0)</f>
        <v>0</v>
      </c>
    </row>
    <row r="406">
      <c r="A406" s="4"/>
      <c r="C406" s="4" t="s">
        <v>2062</v>
      </c>
      <c r="D406" s="4" t="str">
        <f t="shared" si="1"/>
        <v>{"valorA":"freezer","valorB":140}</v>
      </c>
      <c r="E406" s="8" t="str">
        <f t="shared" si="2"/>
        <v>freezer</v>
      </c>
      <c r="F406" s="8"/>
      <c r="G406" s="8" t="str">
        <f t="shared" si="3"/>
        <v>140</v>
      </c>
      <c r="H406" s="9">
        <f t="shared" si="4"/>
        <v>140</v>
      </c>
      <c r="I406" s="10">
        <f>IFERROR(__xludf.DUMMYFUNCTION("MAX(FILTER($H$2:$H1415,$E$2:$E1415=F406))"),0.0)</f>
        <v>0</v>
      </c>
    </row>
    <row r="407">
      <c r="A407" s="4"/>
      <c r="C407" s="4" t="s">
        <v>2063</v>
      </c>
      <c r="D407" s="4" t="str">
        <f t="shared" si="1"/>
        <v>{"valorA":"microondas","valorB":131}</v>
      </c>
      <c r="E407" s="8" t="str">
        <f t="shared" si="2"/>
        <v>microondas</v>
      </c>
      <c r="F407" s="8"/>
      <c r="G407" s="8" t="str">
        <f t="shared" si="3"/>
        <v>131</v>
      </c>
      <c r="H407" s="9">
        <f t="shared" si="4"/>
        <v>131</v>
      </c>
      <c r="I407" s="10">
        <f>IFERROR(__xludf.DUMMYFUNCTION("MAX(FILTER($H$2:$H1415,$E$2:$E1415=F407))"),0.0)</f>
        <v>0</v>
      </c>
    </row>
    <row r="408">
      <c r="A408" s="4"/>
      <c r="C408" s="4" t="s">
        <v>2064</v>
      </c>
      <c r="D408" s="4" t="str">
        <f t="shared" si="1"/>
        <v>{"valorA":"freezer","valorB":141}</v>
      </c>
      <c r="E408" s="8" t="str">
        <f t="shared" si="2"/>
        <v>freezer</v>
      </c>
      <c r="F408" s="8"/>
      <c r="G408" s="8" t="str">
        <f t="shared" si="3"/>
        <v>141</v>
      </c>
      <c r="H408" s="9">
        <f t="shared" si="4"/>
        <v>141</v>
      </c>
      <c r="I408" s="10">
        <f>IFERROR(__xludf.DUMMYFUNCTION("MAX(FILTER($H$2:$H1415,$E$2:$E1415=F408))"),0.0)</f>
        <v>0</v>
      </c>
    </row>
    <row r="409">
      <c r="A409" s="4"/>
      <c r="C409" s="4" t="s">
        <v>2065</v>
      </c>
      <c r="D409" s="4" t="str">
        <f t="shared" si="1"/>
        <v>{"valorA":"ar condicionado","valorB":136}</v>
      </c>
      <c r="E409" s="8" t="str">
        <f t="shared" si="2"/>
        <v>ar condicionado</v>
      </c>
      <c r="F409" s="8"/>
      <c r="G409" s="8" t="str">
        <f t="shared" si="3"/>
        <v>136</v>
      </c>
      <c r="H409" s="9">
        <f t="shared" si="4"/>
        <v>136</v>
      </c>
      <c r="I409" s="10">
        <f>IFERROR(__xludf.DUMMYFUNCTION("MAX(FILTER($H$2:$H1415,$E$2:$E1415=F409))"),0.0)</f>
        <v>0</v>
      </c>
    </row>
    <row r="410">
      <c r="A410" s="4"/>
      <c r="C410" s="4" t="s">
        <v>2066</v>
      </c>
      <c r="D410" s="4" t="str">
        <f t="shared" si="1"/>
        <v>{"valorA":"microondas","valorB":132}</v>
      </c>
      <c r="E410" s="8" t="str">
        <f t="shared" si="2"/>
        <v>microondas</v>
      </c>
      <c r="F410" s="8"/>
      <c r="G410" s="8" t="str">
        <f t="shared" si="3"/>
        <v>132</v>
      </c>
      <c r="H410" s="9">
        <f t="shared" si="4"/>
        <v>132</v>
      </c>
      <c r="I410" s="10">
        <f>IFERROR(__xludf.DUMMYFUNCTION("MAX(FILTER($H$2:$H1415,$E$2:$E1415=F410))"),0.0)</f>
        <v>0</v>
      </c>
    </row>
    <row r="411">
      <c r="A411" s="4"/>
      <c r="C411" s="4" t="s">
        <v>2067</v>
      </c>
      <c r="D411" s="4" t="str">
        <f t="shared" si="1"/>
        <v>{"valorA":"freezer","valorB":142}</v>
      </c>
      <c r="E411" s="8" t="str">
        <f t="shared" si="2"/>
        <v>freezer</v>
      </c>
      <c r="F411" s="8"/>
      <c r="G411" s="8" t="str">
        <f t="shared" si="3"/>
        <v>142</v>
      </c>
      <c r="H411" s="9">
        <f t="shared" si="4"/>
        <v>142</v>
      </c>
      <c r="I411" s="10">
        <f>IFERROR(__xludf.DUMMYFUNCTION("MAX(FILTER($H$2:$H1415,$E$2:$E1415=F411))"),0.0)</f>
        <v>0</v>
      </c>
    </row>
    <row r="412">
      <c r="A412" s="4"/>
      <c r="C412" s="4" t="s">
        <v>2068</v>
      </c>
      <c r="D412" s="4" t="str">
        <f t="shared" si="1"/>
        <v>{"valorA":"microondas","valorB":133}</v>
      </c>
      <c r="E412" s="8" t="str">
        <f t="shared" si="2"/>
        <v>microondas</v>
      </c>
      <c r="F412" s="8"/>
      <c r="G412" s="8" t="str">
        <f t="shared" si="3"/>
        <v>133</v>
      </c>
      <c r="H412" s="9">
        <f t="shared" si="4"/>
        <v>133</v>
      </c>
      <c r="I412" s="10">
        <f>IFERROR(__xludf.DUMMYFUNCTION("MAX(FILTER($H$2:$H1415,$E$2:$E1415=F412))"),0.0)</f>
        <v>0</v>
      </c>
    </row>
    <row r="413">
      <c r="A413" s="4"/>
      <c r="C413" s="4" t="s">
        <v>2069</v>
      </c>
      <c r="D413" s="4" t="str">
        <f t="shared" si="1"/>
        <v>{"valorA":"ar condicionado","valorB":137}</v>
      </c>
      <c r="E413" s="8" t="str">
        <f t="shared" si="2"/>
        <v>ar condicionado</v>
      </c>
      <c r="F413" s="8"/>
      <c r="G413" s="8" t="str">
        <f t="shared" si="3"/>
        <v>137</v>
      </c>
      <c r="H413" s="9">
        <f t="shared" si="4"/>
        <v>137</v>
      </c>
      <c r="I413" s="10">
        <f>IFERROR(__xludf.DUMMYFUNCTION("MAX(FILTER($H$2:$H1415,$E$2:$E1415=F413))"),0.0)</f>
        <v>0</v>
      </c>
    </row>
    <row r="414">
      <c r="A414" s="4"/>
      <c r="C414" s="4" t="s">
        <v>2070</v>
      </c>
      <c r="D414" s="4" t="str">
        <f t="shared" si="1"/>
        <v>{"valorA":"ar condicionado","valorB":138}</v>
      </c>
      <c r="E414" s="8" t="str">
        <f t="shared" si="2"/>
        <v>ar condicionado</v>
      </c>
      <c r="F414" s="8"/>
      <c r="G414" s="8" t="str">
        <f t="shared" si="3"/>
        <v>138</v>
      </c>
      <c r="H414" s="9">
        <f t="shared" si="4"/>
        <v>138</v>
      </c>
      <c r="I414" s="10">
        <f>IFERROR(__xludf.DUMMYFUNCTION("MAX(FILTER($H$2:$H1415,$E$2:$E1415=F414))"),0.0)</f>
        <v>0</v>
      </c>
    </row>
    <row r="415">
      <c r="A415" s="4"/>
      <c r="C415" s="4" t="s">
        <v>2071</v>
      </c>
      <c r="D415" s="4" t="str">
        <f t="shared" si="1"/>
        <v>{"valorA":"ar condicionado","valorB":139}</v>
      </c>
      <c r="E415" s="8" t="str">
        <f t="shared" si="2"/>
        <v>ar condicionado</v>
      </c>
      <c r="F415" s="8"/>
      <c r="G415" s="8" t="str">
        <f t="shared" si="3"/>
        <v>139</v>
      </c>
      <c r="H415" s="9">
        <f t="shared" si="4"/>
        <v>139</v>
      </c>
      <c r="I415" s="10">
        <f>IFERROR(__xludf.DUMMYFUNCTION("MAX(FILTER($H$2:$H1415,$E$2:$E1415=F415))"),0.0)</f>
        <v>0</v>
      </c>
    </row>
    <row r="416">
      <c r="A416" s="4"/>
      <c r="C416" s="4" t="s">
        <v>2072</v>
      </c>
      <c r="D416" s="4" t="str">
        <f t="shared" si="1"/>
        <v>{"valorA":"ar condicionado","valorB":140}</v>
      </c>
      <c r="E416" s="8" t="str">
        <f t="shared" si="2"/>
        <v>ar condicionado</v>
      </c>
      <c r="F416" s="8"/>
      <c r="G416" s="8" t="str">
        <f t="shared" si="3"/>
        <v>140</v>
      </c>
      <c r="H416" s="9">
        <f t="shared" si="4"/>
        <v>140</v>
      </c>
      <c r="I416" s="10">
        <f>IFERROR(__xludf.DUMMYFUNCTION("MAX(FILTER($H$2:$H1415,$E$2:$E1415=F416))"),0.0)</f>
        <v>0</v>
      </c>
    </row>
    <row r="417">
      <c r="A417" s="4"/>
      <c r="C417" s="4" t="s">
        <v>2073</v>
      </c>
      <c r="D417" s="4" t="str">
        <f t="shared" si="1"/>
        <v>{"valorA":"microondas","valorB":134}</v>
      </c>
      <c r="E417" s="8" t="str">
        <f t="shared" si="2"/>
        <v>microondas</v>
      </c>
      <c r="F417" s="8"/>
      <c r="G417" s="8" t="str">
        <f t="shared" si="3"/>
        <v>134</v>
      </c>
      <c r="H417" s="9">
        <f t="shared" si="4"/>
        <v>134</v>
      </c>
      <c r="I417" s="10">
        <f>IFERROR(__xludf.DUMMYFUNCTION("MAX(FILTER($H$2:$H1415,$E$2:$E1415=F417))"),0.0)</f>
        <v>0</v>
      </c>
    </row>
    <row r="418">
      <c r="A418" s="4"/>
      <c r="C418" s="4" t="s">
        <v>2074</v>
      </c>
      <c r="D418" s="4" t="str">
        <f t="shared" si="1"/>
        <v>{"valorA":"freezer","valorB":143}</v>
      </c>
      <c r="E418" s="8" t="str">
        <f t="shared" si="2"/>
        <v>freezer</v>
      </c>
      <c r="F418" s="8"/>
      <c r="G418" s="8" t="str">
        <f t="shared" si="3"/>
        <v>143</v>
      </c>
      <c r="H418" s="9">
        <f t="shared" si="4"/>
        <v>143</v>
      </c>
      <c r="I418" s="10">
        <f>IFERROR(__xludf.DUMMYFUNCTION("MAX(FILTER($H$2:$H1415,$E$2:$E1415=F418))"),0.0)</f>
        <v>0</v>
      </c>
    </row>
    <row r="419">
      <c r="A419" s="4"/>
      <c r="C419" s="4" t="s">
        <v>2075</v>
      </c>
      <c r="D419" s="4" t="str">
        <f t="shared" si="1"/>
        <v>{"valorA":"ar condicionado","valorB":141}</v>
      </c>
      <c r="E419" s="8" t="str">
        <f t="shared" si="2"/>
        <v>ar condicionado</v>
      </c>
      <c r="F419" s="8"/>
      <c r="G419" s="8" t="str">
        <f t="shared" si="3"/>
        <v>141</v>
      </c>
      <c r="H419" s="9">
        <f t="shared" si="4"/>
        <v>141</v>
      </c>
      <c r="I419" s="10">
        <f>IFERROR(__xludf.DUMMYFUNCTION("MAX(FILTER($H$2:$H1415,$E$2:$E1415=F419))"),0.0)</f>
        <v>0</v>
      </c>
    </row>
    <row r="420">
      <c r="A420" s="4"/>
      <c r="C420" s="4" t="s">
        <v>2076</v>
      </c>
      <c r="D420" s="4" t="str">
        <f t="shared" si="1"/>
        <v>{"valorA":"ar condicionado","valorB":142}</v>
      </c>
      <c r="E420" s="8" t="str">
        <f t="shared" si="2"/>
        <v>ar condicionado</v>
      </c>
      <c r="F420" s="8"/>
      <c r="G420" s="8" t="str">
        <f t="shared" si="3"/>
        <v>142</v>
      </c>
      <c r="H420" s="9">
        <f t="shared" si="4"/>
        <v>142</v>
      </c>
      <c r="I420" s="10">
        <f>IFERROR(__xludf.DUMMYFUNCTION("MAX(FILTER($H$2:$H1415,$E$2:$E1415=F420))"),0.0)</f>
        <v>0</v>
      </c>
    </row>
    <row r="421">
      <c r="A421" s="4"/>
      <c r="C421" s="4" t="s">
        <v>2077</v>
      </c>
      <c r="D421" s="4" t="str">
        <f t="shared" si="1"/>
        <v>{"valorA":"microondas","valorB":135}</v>
      </c>
      <c r="E421" s="8" t="str">
        <f t="shared" si="2"/>
        <v>microondas</v>
      </c>
      <c r="F421" s="8"/>
      <c r="G421" s="8" t="str">
        <f t="shared" si="3"/>
        <v>135</v>
      </c>
      <c r="H421" s="9">
        <f t="shared" si="4"/>
        <v>135</v>
      </c>
      <c r="I421" s="10">
        <f>IFERROR(__xludf.DUMMYFUNCTION("MAX(FILTER($H$2:$H1415,$E$2:$E1415=F421))"),0.0)</f>
        <v>0</v>
      </c>
    </row>
    <row r="422">
      <c r="A422" s="4"/>
      <c r="C422" s="4" t="s">
        <v>2078</v>
      </c>
      <c r="D422" s="4" t="str">
        <f t="shared" si="1"/>
        <v>{"valorA":"freezer","valorB":144}</v>
      </c>
      <c r="E422" s="8" t="str">
        <f t="shared" si="2"/>
        <v>freezer</v>
      </c>
      <c r="F422" s="8"/>
      <c r="G422" s="8" t="str">
        <f t="shared" si="3"/>
        <v>144</v>
      </c>
      <c r="H422" s="9">
        <f t="shared" si="4"/>
        <v>144</v>
      </c>
      <c r="I422" s="10">
        <f>IFERROR(__xludf.DUMMYFUNCTION("MAX(FILTER($H$2:$H1415,$E$2:$E1415=F422))"),0.0)</f>
        <v>0</v>
      </c>
    </row>
    <row r="423">
      <c r="A423" s="4"/>
      <c r="C423" s="4" t="s">
        <v>2079</v>
      </c>
      <c r="D423" s="4" t="str">
        <f t="shared" si="1"/>
        <v>{"valorA":"microondas","valorB":136}</v>
      </c>
      <c r="E423" s="8" t="str">
        <f t="shared" si="2"/>
        <v>microondas</v>
      </c>
      <c r="F423" s="8"/>
      <c r="G423" s="8" t="str">
        <f t="shared" si="3"/>
        <v>136</v>
      </c>
      <c r="H423" s="9">
        <f t="shared" si="4"/>
        <v>136</v>
      </c>
      <c r="I423" s="10">
        <f>IFERROR(__xludf.DUMMYFUNCTION("MAX(FILTER($H$2:$H1415,$E$2:$E1415=F423))"),0.0)</f>
        <v>0</v>
      </c>
    </row>
    <row r="424">
      <c r="A424" s="4"/>
      <c r="C424" s="4" t="s">
        <v>2080</v>
      </c>
      <c r="D424" s="4" t="str">
        <f t="shared" si="1"/>
        <v>{"valorA":"ar condicionado","valorB":143}</v>
      </c>
      <c r="E424" s="8" t="str">
        <f t="shared" si="2"/>
        <v>ar condicionado</v>
      </c>
      <c r="F424" s="8"/>
      <c r="G424" s="8" t="str">
        <f t="shared" si="3"/>
        <v>143</v>
      </c>
      <c r="H424" s="9">
        <f t="shared" si="4"/>
        <v>143</v>
      </c>
      <c r="I424" s="10">
        <f>IFERROR(__xludf.DUMMYFUNCTION("MAX(FILTER($H$2:$H1415,$E$2:$E1415=F424))"),0.0)</f>
        <v>0</v>
      </c>
    </row>
    <row r="425">
      <c r="A425" s="4"/>
      <c r="C425" s="4" t="s">
        <v>2081</v>
      </c>
      <c r="D425" s="4" t="str">
        <f t="shared" si="1"/>
        <v>{"valorA":"ar condicionado","valorB":144}</v>
      </c>
      <c r="E425" s="8" t="str">
        <f t="shared" si="2"/>
        <v>ar condicionado</v>
      </c>
      <c r="F425" s="8"/>
      <c r="G425" s="8" t="str">
        <f t="shared" si="3"/>
        <v>144</v>
      </c>
      <c r="H425" s="9">
        <f t="shared" si="4"/>
        <v>144</v>
      </c>
      <c r="I425" s="10">
        <f>IFERROR(__xludf.DUMMYFUNCTION("MAX(FILTER($H$2:$H1415,$E$2:$E1415=F425))"),0.0)</f>
        <v>0</v>
      </c>
    </row>
    <row r="426">
      <c r="A426" s="4"/>
      <c r="C426" s="4" t="s">
        <v>2082</v>
      </c>
      <c r="D426" s="4" t="str">
        <f t="shared" si="1"/>
        <v>{"valorA":"microondas","valorB":137}</v>
      </c>
      <c r="E426" s="8" t="str">
        <f t="shared" si="2"/>
        <v>microondas</v>
      </c>
      <c r="F426" s="8"/>
      <c r="G426" s="8" t="str">
        <f t="shared" si="3"/>
        <v>137</v>
      </c>
      <c r="H426" s="9">
        <f t="shared" si="4"/>
        <v>137</v>
      </c>
      <c r="I426" s="10">
        <f>IFERROR(__xludf.DUMMYFUNCTION("MAX(FILTER($H$2:$H1415,$E$2:$E1415=F426))"),0.0)</f>
        <v>0</v>
      </c>
    </row>
    <row r="427">
      <c r="A427" s="4"/>
      <c r="C427" s="4" t="s">
        <v>2083</v>
      </c>
      <c r="D427" s="4" t="str">
        <f t="shared" si="1"/>
        <v>{"valorA":"ar condicionado","valorB":145}</v>
      </c>
      <c r="E427" s="8" t="str">
        <f t="shared" si="2"/>
        <v>ar condicionado</v>
      </c>
      <c r="F427" s="8"/>
      <c r="G427" s="8" t="str">
        <f t="shared" si="3"/>
        <v>145</v>
      </c>
      <c r="H427" s="9">
        <f t="shared" si="4"/>
        <v>145</v>
      </c>
      <c r="I427" s="10">
        <f>IFERROR(__xludf.DUMMYFUNCTION("MAX(FILTER($H$2:$H1415,$E$2:$E1415=F427))"),0.0)</f>
        <v>0</v>
      </c>
    </row>
    <row r="428">
      <c r="A428" s="4"/>
      <c r="C428" s="4" t="s">
        <v>2084</v>
      </c>
      <c r="D428" s="4" t="str">
        <f t="shared" si="1"/>
        <v>{"valorA":"microondas","valorB":138}</v>
      </c>
      <c r="E428" s="8" t="str">
        <f t="shared" si="2"/>
        <v>microondas</v>
      </c>
      <c r="F428" s="8"/>
      <c r="G428" s="8" t="str">
        <f t="shared" si="3"/>
        <v>138</v>
      </c>
      <c r="H428" s="9">
        <f t="shared" si="4"/>
        <v>138</v>
      </c>
      <c r="I428" s="10">
        <f>IFERROR(__xludf.DUMMYFUNCTION("MAX(FILTER($H$2:$H1415,$E$2:$E1415=F428))"),0.0)</f>
        <v>0</v>
      </c>
    </row>
    <row r="429">
      <c r="A429" s="4"/>
      <c r="C429" s="4" t="s">
        <v>2085</v>
      </c>
      <c r="D429" s="4" t="str">
        <f t="shared" si="1"/>
        <v>{"valorA":"microondas","valorB":139}</v>
      </c>
      <c r="E429" s="8" t="str">
        <f t="shared" si="2"/>
        <v>microondas</v>
      </c>
      <c r="F429" s="8"/>
      <c r="G429" s="8" t="str">
        <f t="shared" si="3"/>
        <v>139</v>
      </c>
      <c r="H429" s="9">
        <f t="shared" si="4"/>
        <v>139</v>
      </c>
      <c r="I429" s="10">
        <f>IFERROR(__xludf.DUMMYFUNCTION("MAX(FILTER($H$2:$H1415,$E$2:$E1415=F429))"),0.0)</f>
        <v>0</v>
      </c>
    </row>
    <row r="430">
      <c r="A430" s="4"/>
      <c r="C430" s="4" t="s">
        <v>2086</v>
      </c>
      <c r="D430" s="4" t="str">
        <f t="shared" si="1"/>
        <v>{"valorA":"freezer","valorB":145}</v>
      </c>
      <c r="E430" s="8" t="str">
        <f t="shared" si="2"/>
        <v>freezer</v>
      </c>
      <c r="F430" s="8"/>
      <c r="G430" s="8" t="str">
        <f t="shared" si="3"/>
        <v>145</v>
      </c>
      <c r="H430" s="9">
        <f t="shared" si="4"/>
        <v>145</v>
      </c>
      <c r="I430" s="10">
        <f>IFERROR(__xludf.DUMMYFUNCTION("MAX(FILTER($H$2:$H1415,$E$2:$E1415=F430))"),0.0)</f>
        <v>0</v>
      </c>
    </row>
    <row r="431">
      <c r="A431" s="4"/>
      <c r="C431" s="4" t="s">
        <v>2087</v>
      </c>
      <c r="D431" s="4" t="str">
        <f t="shared" si="1"/>
        <v>{"valorA":"ar condicionado","valorB":146}</v>
      </c>
      <c r="E431" s="8" t="str">
        <f t="shared" si="2"/>
        <v>ar condicionado</v>
      </c>
      <c r="F431" s="8"/>
      <c r="G431" s="8" t="str">
        <f t="shared" si="3"/>
        <v>146</v>
      </c>
      <c r="H431" s="9">
        <f t="shared" si="4"/>
        <v>146</v>
      </c>
      <c r="I431" s="10">
        <f>IFERROR(__xludf.DUMMYFUNCTION("MAX(FILTER($H$2:$H1415,$E$2:$E1415=F431))"),0.0)</f>
        <v>0</v>
      </c>
    </row>
    <row r="432">
      <c r="A432" s="4"/>
      <c r="C432" s="4" t="s">
        <v>2088</v>
      </c>
      <c r="D432" s="4" t="str">
        <f t="shared" si="1"/>
        <v>{"valorA":"microondas","valorB":140}</v>
      </c>
      <c r="E432" s="8" t="str">
        <f t="shared" si="2"/>
        <v>microondas</v>
      </c>
      <c r="F432" s="8"/>
      <c r="G432" s="8" t="str">
        <f t="shared" si="3"/>
        <v>140</v>
      </c>
      <c r="H432" s="9">
        <f t="shared" si="4"/>
        <v>140</v>
      </c>
      <c r="I432" s="10">
        <f>IFERROR(__xludf.DUMMYFUNCTION("MAX(FILTER($H$2:$H1415,$E$2:$E1415=F432))"),0.0)</f>
        <v>0</v>
      </c>
    </row>
    <row r="433">
      <c r="A433" s="4"/>
      <c r="C433" s="4" t="s">
        <v>2089</v>
      </c>
      <c r="D433" s="4" t="str">
        <f t="shared" si="1"/>
        <v>{"valorA":"freezer","valorB":146}</v>
      </c>
      <c r="E433" s="8" t="str">
        <f t="shared" si="2"/>
        <v>freezer</v>
      </c>
      <c r="F433" s="8"/>
      <c r="G433" s="8" t="str">
        <f t="shared" si="3"/>
        <v>146</v>
      </c>
      <c r="H433" s="9">
        <f t="shared" si="4"/>
        <v>146</v>
      </c>
      <c r="I433" s="10">
        <f>IFERROR(__xludf.DUMMYFUNCTION("MAX(FILTER($H$2:$H1415,$E$2:$E1415=F433))"),0.0)</f>
        <v>0</v>
      </c>
    </row>
    <row r="434">
      <c r="A434" s="4"/>
      <c r="C434" s="4" t="s">
        <v>2090</v>
      </c>
      <c r="D434" s="4" t="str">
        <f t="shared" si="1"/>
        <v>{"valorA":"microondas","valorB":141}</v>
      </c>
      <c r="E434" s="8" t="str">
        <f t="shared" si="2"/>
        <v>microondas</v>
      </c>
      <c r="F434" s="8"/>
      <c r="G434" s="8" t="str">
        <f t="shared" si="3"/>
        <v>141</v>
      </c>
      <c r="H434" s="9">
        <f t="shared" si="4"/>
        <v>141</v>
      </c>
      <c r="I434" s="10">
        <f>IFERROR(__xludf.DUMMYFUNCTION("MAX(FILTER($H$2:$H1415,$E$2:$E1415=F434))"),0.0)</f>
        <v>0</v>
      </c>
    </row>
    <row r="435">
      <c r="A435" s="4"/>
      <c r="C435" s="4" t="s">
        <v>2091</v>
      </c>
      <c r="D435" s="4" t="str">
        <f t="shared" si="1"/>
        <v>{"valorA":"microondas","valorB":142}</v>
      </c>
      <c r="E435" s="8" t="str">
        <f t="shared" si="2"/>
        <v>microondas</v>
      </c>
      <c r="F435" s="8"/>
      <c r="G435" s="8" t="str">
        <f t="shared" si="3"/>
        <v>142</v>
      </c>
      <c r="H435" s="9">
        <f t="shared" si="4"/>
        <v>142</v>
      </c>
      <c r="I435" s="10">
        <f>IFERROR(__xludf.DUMMYFUNCTION("MAX(FILTER($H$2:$H1415,$E$2:$E1415=F435))"),0.0)</f>
        <v>0</v>
      </c>
    </row>
    <row r="436">
      <c r="A436" s="4"/>
      <c r="C436" s="4" t="s">
        <v>2092</v>
      </c>
      <c r="D436" s="4" t="str">
        <f t="shared" si="1"/>
        <v>{"valorA":"ar condicionado","valorB":147}</v>
      </c>
      <c r="E436" s="8" t="str">
        <f t="shared" si="2"/>
        <v>ar condicionado</v>
      </c>
      <c r="F436" s="8"/>
      <c r="G436" s="8" t="str">
        <f t="shared" si="3"/>
        <v>147</v>
      </c>
      <c r="H436" s="9">
        <f t="shared" si="4"/>
        <v>147</v>
      </c>
      <c r="I436" s="10">
        <f>IFERROR(__xludf.DUMMYFUNCTION("MAX(FILTER($H$2:$H1415,$E$2:$E1415=F436))"),0.0)</f>
        <v>0</v>
      </c>
    </row>
    <row r="437">
      <c r="A437" s="4"/>
      <c r="C437" s="4" t="s">
        <v>2093</v>
      </c>
      <c r="D437" s="4" t="str">
        <f t="shared" si="1"/>
        <v>{"valorA":"microondas","valorB":143}</v>
      </c>
      <c r="E437" s="8" t="str">
        <f t="shared" si="2"/>
        <v>microondas</v>
      </c>
      <c r="F437" s="8"/>
      <c r="G437" s="8" t="str">
        <f t="shared" si="3"/>
        <v>143</v>
      </c>
      <c r="H437" s="9">
        <f t="shared" si="4"/>
        <v>143</v>
      </c>
      <c r="I437" s="10">
        <f>IFERROR(__xludf.DUMMYFUNCTION("MAX(FILTER($H$2:$H1415,$E$2:$E1415=F437))"),0.0)</f>
        <v>0</v>
      </c>
    </row>
    <row r="438">
      <c r="A438" s="4"/>
      <c r="C438" s="4" t="s">
        <v>2094</v>
      </c>
      <c r="D438" s="4" t="str">
        <f t="shared" si="1"/>
        <v>{"valorA":"ar condicionado","valorB":148}</v>
      </c>
      <c r="E438" s="8" t="str">
        <f t="shared" si="2"/>
        <v>ar condicionado</v>
      </c>
      <c r="F438" s="8"/>
      <c r="G438" s="8" t="str">
        <f t="shared" si="3"/>
        <v>148</v>
      </c>
      <c r="H438" s="9">
        <f t="shared" si="4"/>
        <v>148</v>
      </c>
      <c r="I438" s="10">
        <f>IFERROR(__xludf.DUMMYFUNCTION("MAX(FILTER($H$2:$H1415,$E$2:$E1415=F438))"),0.0)</f>
        <v>0</v>
      </c>
    </row>
    <row r="439">
      <c r="A439" s="4"/>
      <c r="C439" s="4" t="s">
        <v>2095</v>
      </c>
      <c r="D439" s="4" t="str">
        <f t="shared" si="1"/>
        <v>{"valorA":"ar condicionado","valorB":149}</v>
      </c>
      <c r="E439" s="8" t="str">
        <f t="shared" si="2"/>
        <v>ar condicionado</v>
      </c>
      <c r="F439" s="8"/>
      <c r="G439" s="8" t="str">
        <f t="shared" si="3"/>
        <v>149</v>
      </c>
      <c r="H439" s="9">
        <f t="shared" si="4"/>
        <v>149</v>
      </c>
      <c r="I439" s="10">
        <f>IFERROR(__xludf.DUMMYFUNCTION("MAX(FILTER($H$2:$H1415,$E$2:$E1415=F439))"),0.0)</f>
        <v>0</v>
      </c>
    </row>
    <row r="440">
      <c r="A440" s="4"/>
      <c r="C440" s="4" t="s">
        <v>2096</v>
      </c>
      <c r="D440" s="4" t="str">
        <f t="shared" si="1"/>
        <v>{"valorA":"ar condicionado","valorB":150}</v>
      </c>
      <c r="E440" s="8" t="str">
        <f t="shared" si="2"/>
        <v>ar condicionado</v>
      </c>
      <c r="F440" s="8"/>
      <c r="G440" s="8" t="str">
        <f t="shared" si="3"/>
        <v>150</v>
      </c>
      <c r="H440" s="9">
        <f t="shared" si="4"/>
        <v>150</v>
      </c>
      <c r="I440" s="10">
        <f>IFERROR(__xludf.DUMMYFUNCTION("MAX(FILTER($H$2:$H1415,$E$2:$E1415=F440))"),0.0)</f>
        <v>0</v>
      </c>
    </row>
    <row r="441">
      <c r="A441" s="4"/>
      <c r="C441" s="4" t="s">
        <v>2097</v>
      </c>
      <c r="D441" s="4" t="str">
        <f t="shared" si="1"/>
        <v>{"valorA":"ar condicionado","valorB":151}</v>
      </c>
      <c r="E441" s="8" t="str">
        <f t="shared" si="2"/>
        <v>ar condicionado</v>
      </c>
      <c r="F441" s="8"/>
      <c r="G441" s="8" t="str">
        <f t="shared" si="3"/>
        <v>151</v>
      </c>
      <c r="H441" s="9">
        <f t="shared" si="4"/>
        <v>151</v>
      </c>
      <c r="I441" s="10">
        <f>IFERROR(__xludf.DUMMYFUNCTION("MAX(FILTER($H$2:$H1415,$E$2:$E1415=F441))"),0.0)</f>
        <v>0</v>
      </c>
    </row>
    <row r="442">
      <c r="A442" s="4"/>
      <c r="C442" s="4" t="s">
        <v>2098</v>
      </c>
      <c r="D442" s="4" t="str">
        <f t="shared" si="1"/>
        <v>{"valorA":"microondas","valorB":144}</v>
      </c>
      <c r="E442" s="8" t="str">
        <f t="shared" si="2"/>
        <v>microondas</v>
      </c>
      <c r="F442" s="8"/>
      <c r="G442" s="8" t="str">
        <f t="shared" si="3"/>
        <v>144</v>
      </c>
      <c r="H442" s="9">
        <f t="shared" si="4"/>
        <v>144</v>
      </c>
      <c r="I442" s="10">
        <f>IFERROR(__xludf.DUMMYFUNCTION("MAX(FILTER($H$2:$H1415,$E$2:$E1415=F442))"),0.0)</f>
        <v>0</v>
      </c>
    </row>
    <row r="443">
      <c r="A443" s="4"/>
      <c r="C443" s="4" t="s">
        <v>2099</v>
      </c>
      <c r="D443" s="4" t="str">
        <f t="shared" si="1"/>
        <v>{"valorA":"freezer","valorB":147}</v>
      </c>
      <c r="E443" s="8" t="str">
        <f t="shared" si="2"/>
        <v>freezer</v>
      </c>
      <c r="F443" s="8"/>
      <c r="G443" s="8" t="str">
        <f t="shared" si="3"/>
        <v>147</v>
      </c>
      <c r="H443" s="9">
        <f t="shared" si="4"/>
        <v>147</v>
      </c>
      <c r="I443" s="10">
        <f>IFERROR(__xludf.DUMMYFUNCTION("MAX(FILTER($H$2:$H1415,$E$2:$E1415=F443))"),0.0)</f>
        <v>0</v>
      </c>
    </row>
    <row r="444">
      <c r="A444" s="4"/>
      <c r="C444" s="4" t="s">
        <v>2100</v>
      </c>
      <c r="D444" s="4" t="str">
        <f t="shared" si="1"/>
        <v>{"valorA":"ar condicionado","valorB":152}</v>
      </c>
      <c r="E444" s="8" t="str">
        <f t="shared" si="2"/>
        <v>ar condicionado</v>
      </c>
      <c r="F444" s="8"/>
      <c r="G444" s="8" t="str">
        <f t="shared" si="3"/>
        <v>152</v>
      </c>
      <c r="H444" s="9">
        <f t="shared" si="4"/>
        <v>152</v>
      </c>
      <c r="I444" s="10">
        <f>IFERROR(__xludf.DUMMYFUNCTION("MAX(FILTER($H$2:$H1415,$E$2:$E1415=F444))"),0.0)</f>
        <v>0</v>
      </c>
    </row>
    <row r="445">
      <c r="A445" s="4"/>
      <c r="C445" s="4" t="s">
        <v>2101</v>
      </c>
      <c r="D445" s="4" t="str">
        <f t="shared" si="1"/>
        <v>{"valorA":"microondas","valorB":145}</v>
      </c>
      <c r="E445" s="8" t="str">
        <f t="shared" si="2"/>
        <v>microondas</v>
      </c>
      <c r="F445" s="8"/>
      <c r="G445" s="8" t="str">
        <f t="shared" si="3"/>
        <v>145</v>
      </c>
      <c r="H445" s="9">
        <f t="shared" si="4"/>
        <v>145</v>
      </c>
      <c r="I445" s="10">
        <f>IFERROR(__xludf.DUMMYFUNCTION("MAX(FILTER($H$2:$H1415,$E$2:$E1415=F445))"),0.0)</f>
        <v>0</v>
      </c>
    </row>
    <row r="446">
      <c r="A446" s="4"/>
      <c r="C446" s="4" t="s">
        <v>2102</v>
      </c>
      <c r="D446" s="4" t="str">
        <f t="shared" si="1"/>
        <v>{"valorA":"freezer","valorB":148}</v>
      </c>
      <c r="E446" s="8" t="str">
        <f t="shared" si="2"/>
        <v>freezer</v>
      </c>
      <c r="F446" s="8"/>
      <c r="G446" s="8" t="str">
        <f t="shared" si="3"/>
        <v>148</v>
      </c>
      <c r="H446" s="9">
        <f t="shared" si="4"/>
        <v>148</v>
      </c>
      <c r="I446" s="10">
        <f>IFERROR(__xludf.DUMMYFUNCTION("MAX(FILTER($H$2:$H1415,$E$2:$E1415=F446))"),0.0)</f>
        <v>0</v>
      </c>
    </row>
    <row r="447">
      <c r="A447" s="4"/>
      <c r="C447" s="4" t="s">
        <v>2103</v>
      </c>
      <c r="D447" s="4" t="str">
        <f t="shared" si="1"/>
        <v>{"valorA":"microondas","valorB":146}</v>
      </c>
      <c r="E447" s="8" t="str">
        <f t="shared" si="2"/>
        <v>microondas</v>
      </c>
      <c r="F447" s="8"/>
      <c r="G447" s="8" t="str">
        <f t="shared" si="3"/>
        <v>146</v>
      </c>
      <c r="H447" s="9">
        <f t="shared" si="4"/>
        <v>146</v>
      </c>
      <c r="I447" s="10">
        <f>IFERROR(__xludf.DUMMYFUNCTION("MAX(FILTER($H$2:$H1415,$E$2:$E1415=F447))"),0.0)</f>
        <v>0</v>
      </c>
    </row>
    <row r="448">
      <c r="A448" s="4"/>
      <c r="C448" s="4" t="s">
        <v>2104</v>
      </c>
      <c r="D448" s="4" t="str">
        <f t="shared" si="1"/>
        <v>{"valorA":"freezer","valorB":149}</v>
      </c>
      <c r="E448" s="8" t="str">
        <f t="shared" si="2"/>
        <v>freezer</v>
      </c>
      <c r="F448" s="8"/>
      <c r="G448" s="8" t="str">
        <f t="shared" si="3"/>
        <v>149</v>
      </c>
      <c r="H448" s="9">
        <f t="shared" si="4"/>
        <v>149</v>
      </c>
      <c r="I448" s="10">
        <f>IFERROR(__xludf.DUMMYFUNCTION("MAX(FILTER($H$2:$H1415,$E$2:$E1415=F448))"),0.0)</f>
        <v>0</v>
      </c>
    </row>
    <row r="449">
      <c r="A449" s="4"/>
      <c r="C449" s="4" t="s">
        <v>2105</v>
      </c>
      <c r="D449" s="4" t="str">
        <f t="shared" si="1"/>
        <v>{"valorA":"freezer","valorB":150}</v>
      </c>
      <c r="E449" s="8" t="str">
        <f t="shared" si="2"/>
        <v>freezer</v>
      </c>
      <c r="F449" s="8"/>
      <c r="G449" s="8" t="str">
        <f t="shared" si="3"/>
        <v>150</v>
      </c>
      <c r="H449" s="9">
        <f t="shared" si="4"/>
        <v>150</v>
      </c>
      <c r="I449" s="10">
        <f>IFERROR(__xludf.DUMMYFUNCTION("MAX(FILTER($H$2:$H1415,$E$2:$E1415=F449))"),0.0)</f>
        <v>0</v>
      </c>
    </row>
    <row r="450">
      <c r="A450" s="4"/>
      <c r="C450" s="4" t="s">
        <v>2106</v>
      </c>
      <c r="D450" s="4" t="str">
        <f t="shared" si="1"/>
        <v>{"valorA":"microondas","valorB":147}</v>
      </c>
      <c r="E450" s="8" t="str">
        <f t="shared" si="2"/>
        <v>microondas</v>
      </c>
      <c r="F450" s="8"/>
      <c r="G450" s="8" t="str">
        <f t="shared" si="3"/>
        <v>147</v>
      </c>
      <c r="H450" s="9">
        <f t="shared" si="4"/>
        <v>147</v>
      </c>
      <c r="I450" s="10">
        <f>IFERROR(__xludf.DUMMYFUNCTION("MAX(FILTER($H$2:$H1415,$E$2:$E1415=F450))"),0.0)</f>
        <v>0</v>
      </c>
    </row>
    <row r="451">
      <c r="A451" s="4"/>
      <c r="C451" s="4" t="s">
        <v>2107</v>
      </c>
      <c r="D451" s="4" t="str">
        <f t="shared" si="1"/>
        <v>{"valorA":"freezer","valorB":151}</v>
      </c>
      <c r="E451" s="8" t="str">
        <f t="shared" si="2"/>
        <v>freezer</v>
      </c>
      <c r="F451" s="8"/>
      <c r="G451" s="8" t="str">
        <f t="shared" si="3"/>
        <v>151</v>
      </c>
      <c r="H451" s="9">
        <f t="shared" si="4"/>
        <v>151</v>
      </c>
      <c r="I451" s="10">
        <f>IFERROR(__xludf.DUMMYFUNCTION("MAX(FILTER($H$2:$H1415,$E$2:$E1415=F451))"),0.0)</f>
        <v>0</v>
      </c>
    </row>
    <row r="452">
      <c r="A452" s="4"/>
      <c r="C452" s="4" t="s">
        <v>2108</v>
      </c>
      <c r="D452" s="4" t="str">
        <f t="shared" si="1"/>
        <v>{"valorA":"microondas","valorB":148}</v>
      </c>
      <c r="E452" s="8" t="str">
        <f t="shared" si="2"/>
        <v>microondas</v>
      </c>
      <c r="F452" s="8"/>
      <c r="G452" s="8" t="str">
        <f t="shared" si="3"/>
        <v>148</v>
      </c>
      <c r="H452" s="9">
        <f t="shared" si="4"/>
        <v>148</v>
      </c>
      <c r="I452" s="10">
        <f>IFERROR(__xludf.DUMMYFUNCTION("MAX(FILTER($H$2:$H1415,$E$2:$E1415=F452))"),0.0)</f>
        <v>0</v>
      </c>
    </row>
    <row r="453">
      <c r="A453" s="4"/>
      <c r="C453" s="4" t="s">
        <v>2109</v>
      </c>
      <c r="D453" s="4" t="str">
        <f t="shared" si="1"/>
        <v>{"valorA":"ar condicionado","valorB":153}</v>
      </c>
      <c r="E453" s="8" t="str">
        <f t="shared" si="2"/>
        <v>ar condicionado</v>
      </c>
      <c r="F453" s="8"/>
      <c r="G453" s="8" t="str">
        <f t="shared" si="3"/>
        <v>153</v>
      </c>
      <c r="H453" s="9">
        <f t="shared" si="4"/>
        <v>153</v>
      </c>
      <c r="I453" s="10">
        <f>IFERROR(__xludf.DUMMYFUNCTION("MAX(FILTER($H$2:$H1415,$E$2:$E1415=F453))"),0.0)</f>
        <v>0</v>
      </c>
    </row>
    <row r="454">
      <c r="A454" s="4"/>
      <c r="C454" s="4" t="s">
        <v>2110</v>
      </c>
      <c r="D454" s="4" t="str">
        <f t="shared" si="1"/>
        <v>{"valorA":"freezer","valorB":152}</v>
      </c>
      <c r="E454" s="8" t="str">
        <f t="shared" si="2"/>
        <v>freezer</v>
      </c>
      <c r="F454" s="8"/>
      <c r="G454" s="8" t="str">
        <f t="shared" si="3"/>
        <v>152</v>
      </c>
      <c r="H454" s="9">
        <f t="shared" si="4"/>
        <v>152</v>
      </c>
      <c r="I454" s="10">
        <f>IFERROR(__xludf.DUMMYFUNCTION("MAX(FILTER($H$2:$H1415,$E$2:$E1415=F454))"),0.0)</f>
        <v>0</v>
      </c>
    </row>
    <row r="455">
      <c r="A455" s="4"/>
      <c r="C455" s="4" t="s">
        <v>2111</v>
      </c>
      <c r="D455" s="4" t="str">
        <f t="shared" si="1"/>
        <v>{"valorA":"microondas","valorB":149}</v>
      </c>
      <c r="E455" s="8" t="str">
        <f t="shared" si="2"/>
        <v>microondas</v>
      </c>
      <c r="F455" s="8"/>
      <c r="G455" s="8" t="str">
        <f t="shared" si="3"/>
        <v>149</v>
      </c>
      <c r="H455" s="9">
        <f t="shared" si="4"/>
        <v>149</v>
      </c>
      <c r="I455" s="10">
        <f>IFERROR(__xludf.DUMMYFUNCTION("MAX(FILTER($H$2:$H1415,$E$2:$E1415=F455))"),0.0)</f>
        <v>0</v>
      </c>
    </row>
    <row r="456">
      <c r="A456" s="4"/>
      <c r="C456" s="4" t="s">
        <v>2112</v>
      </c>
      <c r="D456" s="4" t="str">
        <f t="shared" si="1"/>
        <v>{"valorA":"microondas","valorB":150}</v>
      </c>
      <c r="E456" s="8" t="str">
        <f t="shared" si="2"/>
        <v>microondas</v>
      </c>
      <c r="F456" s="8"/>
      <c r="G456" s="8" t="str">
        <f t="shared" si="3"/>
        <v>150</v>
      </c>
      <c r="H456" s="9">
        <f t="shared" si="4"/>
        <v>150</v>
      </c>
      <c r="I456" s="10">
        <f>IFERROR(__xludf.DUMMYFUNCTION("MAX(FILTER($H$2:$H1415,$E$2:$E1415=F456))"),0.0)</f>
        <v>0</v>
      </c>
    </row>
    <row r="457">
      <c r="A457" s="4"/>
      <c r="C457" s="4" t="s">
        <v>2113</v>
      </c>
      <c r="D457" s="4" t="str">
        <f t="shared" si="1"/>
        <v>{"valorA":"ar condicionado","valorB":154}</v>
      </c>
      <c r="E457" s="8" t="str">
        <f t="shared" si="2"/>
        <v>ar condicionado</v>
      </c>
      <c r="F457" s="8"/>
      <c r="G457" s="8" t="str">
        <f t="shared" si="3"/>
        <v>154</v>
      </c>
      <c r="H457" s="9">
        <f t="shared" si="4"/>
        <v>154</v>
      </c>
      <c r="I457" s="10">
        <f>IFERROR(__xludf.DUMMYFUNCTION("MAX(FILTER($H$2:$H1415,$E$2:$E1415=F457))"),0.0)</f>
        <v>0</v>
      </c>
    </row>
    <row r="458">
      <c r="A458" s="4"/>
      <c r="C458" s="4" t="s">
        <v>2114</v>
      </c>
      <c r="D458" s="4" t="str">
        <f t="shared" si="1"/>
        <v>{"valorA":"ar condicionado","valorB":155}</v>
      </c>
      <c r="E458" s="8" t="str">
        <f t="shared" si="2"/>
        <v>ar condicionado</v>
      </c>
      <c r="F458" s="8"/>
      <c r="G458" s="8" t="str">
        <f t="shared" si="3"/>
        <v>155</v>
      </c>
      <c r="H458" s="9">
        <f t="shared" si="4"/>
        <v>155</v>
      </c>
      <c r="I458" s="10">
        <f>IFERROR(__xludf.DUMMYFUNCTION("MAX(FILTER($H$2:$H1415,$E$2:$E1415=F458))"),0.0)</f>
        <v>0</v>
      </c>
    </row>
    <row r="459">
      <c r="A459" s="4"/>
      <c r="C459" s="4" t="s">
        <v>2115</v>
      </c>
      <c r="D459" s="4" t="str">
        <f t="shared" si="1"/>
        <v>{"valorA":"microondas","valorB":151}</v>
      </c>
      <c r="E459" s="8" t="str">
        <f t="shared" si="2"/>
        <v>microondas</v>
      </c>
      <c r="F459" s="8"/>
      <c r="G459" s="8" t="str">
        <f t="shared" si="3"/>
        <v>151</v>
      </c>
      <c r="H459" s="9">
        <f t="shared" si="4"/>
        <v>151</v>
      </c>
      <c r="I459" s="10">
        <f>IFERROR(__xludf.DUMMYFUNCTION("MAX(FILTER($H$2:$H1415,$E$2:$E1415=F459))"),0.0)</f>
        <v>0</v>
      </c>
    </row>
    <row r="460">
      <c r="A460" s="4"/>
      <c r="C460" s="4" t="s">
        <v>2116</v>
      </c>
      <c r="D460" s="4" t="str">
        <f t="shared" si="1"/>
        <v>{"valorA":"microondas","valorB":152}</v>
      </c>
      <c r="E460" s="8" t="str">
        <f t="shared" si="2"/>
        <v>microondas</v>
      </c>
      <c r="F460" s="8"/>
      <c r="G460" s="8" t="str">
        <f t="shared" si="3"/>
        <v>152</v>
      </c>
      <c r="H460" s="9">
        <f t="shared" si="4"/>
        <v>152</v>
      </c>
      <c r="I460" s="10">
        <f>IFERROR(__xludf.DUMMYFUNCTION("MAX(FILTER($H$2:$H1415,$E$2:$E1415=F460))"),0.0)</f>
        <v>0</v>
      </c>
    </row>
    <row r="461">
      <c r="A461" s="4"/>
      <c r="C461" s="4" t="s">
        <v>2117</v>
      </c>
      <c r="D461" s="4" t="str">
        <f t="shared" si="1"/>
        <v>{"valorA":"microondas","valorB":153}</v>
      </c>
      <c r="E461" s="8" t="str">
        <f t="shared" si="2"/>
        <v>microondas</v>
      </c>
      <c r="F461" s="8"/>
      <c r="G461" s="8" t="str">
        <f t="shared" si="3"/>
        <v>153</v>
      </c>
      <c r="H461" s="9">
        <f t="shared" si="4"/>
        <v>153</v>
      </c>
      <c r="I461" s="10">
        <f>IFERROR(__xludf.DUMMYFUNCTION("MAX(FILTER($H$2:$H1415,$E$2:$E1415=F461))"),0.0)</f>
        <v>0</v>
      </c>
    </row>
    <row r="462">
      <c r="A462" s="4"/>
      <c r="C462" s="4" t="s">
        <v>2118</v>
      </c>
      <c r="D462" s="4" t="str">
        <f t="shared" si="1"/>
        <v>{"valorA":"ar condicionado","valorB":156}</v>
      </c>
      <c r="E462" s="8" t="str">
        <f t="shared" si="2"/>
        <v>ar condicionado</v>
      </c>
      <c r="F462" s="8"/>
      <c r="G462" s="8" t="str">
        <f t="shared" si="3"/>
        <v>156</v>
      </c>
      <c r="H462" s="9">
        <f t="shared" si="4"/>
        <v>156</v>
      </c>
      <c r="I462" s="10">
        <f>IFERROR(__xludf.DUMMYFUNCTION("MAX(FILTER($H$2:$H1415,$E$2:$E1415=F462))"),0.0)</f>
        <v>0</v>
      </c>
    </row>
    <row r="463">
      <c r="A463" s="4"/>
      <c r="C463" s="4" t="s">
        <v>2119</v>
      </c>
      <c r="D463" s="4" t="str">
        <f t="shared" si="1"/>
        <v>{"valorA":"freezer","valorB":153}</v>
      </c>
      <c r="E463" s="8" t="str">
        <f t="shared" si="2"/>
        <v>freezer</v>
      </c>
      <c r="F463" s="8"/>
      <c r="G463" s="8" t="str">
        <f t="shared" si="3"/>
        <v>153</v>
      </c>
      <c r="H463" s="9">
        <f t="shared" si="4"/>
        <v>153</v>
      </c>
      <c r="I463" s="10">
        <f>IFERROR(__xludf.DUMMYFUNCTION("MAX(FILTER($H$2:$H1415,$E$2:$E1415=F463))"),0.0)</f>
        <v>0</v>
      </c>
    </row>
    <row r="464">
      <c r="A464" s="4"/>
      <c r="C464" s="4" t="s">
        <v>2120</v>
      </c>
      <c r="D464" s="4" t="str">
        <f t="shared" si="1"/>
        <v>{"valorA":"microondas","valorB":154}</v>
      </c>
      <c r="E464" s="8" t="str">
        <f t="shared" si="2"/>
        <v>microondas</v>
      </c>
      <c r="F464" s="8"/>
      <c r="G464" s="8" t="str">
        <f t="shared" si="3"/>
        <v>154</v>
      </c>
      <c r="H464" s="9">
        <f t="shared" si="4"/>
        <v>154</v>
      </c>
      <c r="I464" s="10">
        <f>IFERROR(__xludf.DUMMYFUNCTION("MAX(FILTER($H$2:$H1415,$E$2:$E1415=F464))"),0.0)</f>
        <v>0</v>
      </c>
    </row>
    <row r="465">
      <c r="A465" s="4"/>
      <c r="C465" s="4" t="s">
        <v>2121</v>
      </c>
      <c r="D465" s="4" t="str">
        <f t="shared" si="1"/>
        <v>{"valorA":"microondas","valorB":155}</v>
      </c>
      <c r="E465" s="8" t="str">
        <f t="shared" si="2"/>
        <v>microondas</v>
      </c>
      <c r="F465" s="8"/>
      <c r="G465" s="8" t="str">
        <f t="shared" si="3"/>
        <v>155</v>
      </c>
      <c r="H465" s="9">
        <f t="shared" si="4"/>
        <v>155</v>
      </c>
      <c r="I465" s="10">
        <f>IFERROR(__xludf.DUMMYFUNCTION("MAX(FILTER($H$2:$H1415,$E$2:$E1415=F465))"),0.0)</f>
        <v>0</v>
      </c>
    </row>
    <row r="466">
      <c r="A466" s="4"/>
      <c r="C466" s="4" t="s">
        <v>2122</v>
      </c>
      <c r="D466" s="4" t="str">
        <f t="shared" si="1"/>
        <v>{"valorA":"freezer","valorB":154}</v>
      </c>
      <c r="E466" s="8" t="str">
        <f t="shared" si="2"/>
        <v>freezer</v>
      </c>
      <c r="F466" s="8"/>
      <c r="G466" s="8" t="str">
        <f t="shared" si="3"/>
        <v>154</v>
      </c>
      <c r="H466" s="9">
        <f t="shared" si="4"/>
        <v>154</v>
      </c>
      <c r="I466" s="10">
        <f>IFERROR(__xludf.DUMMYFUNCTION("MAX(FILTER($H$2:$H1415,$E$2:$E1415=F466))"),0.0)</f>
        <v>0</v>
      </c>
    </row>
    <row r="467">
      <c r="A467" s="4"/>
      <c r="C467" s="4" t="s">
        <v>2123</v>
      </c>
      <c r="D467" s="4" t="str">
        <f t="shared" si="1"/>
        <v>{"valorA":"ar condicionado","valorB":157}</v>
      </c>
      <c r="E467" s="8" t="str">
        <f t="shared" si="2"/>
        <v>ar condicionado</v>
      </c>
      <c r="F467" s="8"/>
      <c r="G467" s="8" t="str">
        <f t="shared" si="3"/>
        <v>157</v>
      </c>
      <c r="H467" s="9">
        <f t="shared" si="4"/>
        <v>157</v>
      </c>
      <c r="I467" s="10">
        <f>IFERROR(__xludf.DUMMYFUNCTION("MAX(FILTER($H$2:$H1415,$E$2:$E1415=F467))"),0.0)</f>
        <v>0</v>
      </c>
    </row>
    <row r="468">
      <c r="A468" s="4"/>
      <c r="C468" s="4" t="s">
        <v>2124</v>
      </c>
      <c r="D468" s="4" t="str">
        <f t="shared" si="1"/>
        <v>{"valorA":"microondas","valorB":156}</v>
      </c>
      <c r="E468" s="8" t="str">
        <f t="shared" si="2"/>
        <v>microondas</v>
      </c>
      <c r="F468" s="8"/>
      <c r="G468" s="8" t="str">
        <f t="shared" si="3"/>
        <v>156</v>
      </c>
      <c r="H468" s="9">
        <f t="shared" si="4"/>
        <v>156</v>
      </c>
      <c r="I468" s="10">
        <f>IFERROR(__xludf.DUMMYFUNCTION("MAX(FILTER($H$2:$H1415,$E$2:$E1415=F468))"),0.0)</f>
        <v>0</v>
      </c>
    </row>
    <row r="469">
      <c r="A469" s="4"/>
      <c r="C469" s="4" t="s">
        <v>2125</v>
      </c>
      <c r="D469" s="4" t="str">
        <f t="shared" si="1"/>
        <v>{"valorA":"freezer","valorB":155}</v>
      </c>
      <c r="E469" s="8" t="str">
        <f t="shared" si="2"/>
        <v>freezer</v>
      </c>
      <c r="F469" s="8"/>
      <c r="G469" s="8" t="str">
        <f t="shared" si="3"/>
        <v>155</v>
      </c>
      <c r="H469" s="9">
        <f t="shared" si="4"/>
        <v>155</v>
      </c>
      <c r="I469" s="10">
        <f>IFERROR(__xludf.DUMMYFUNCTION("MAX(FILTER($H$2:$H1415,$E$2:$E1415=F469))"),0.0)</f>
        <v>0</v>
      </c>
    </row>
    <row r="470">
      <c r="A470" s="4"/>
      <c r="C470" s="4" t="s">
        <v>2126</v>
      </c>
      <c r="D470" s="4" t="str">
        <f t="shared" si="1"/>
        <v>{"valorA":"freezer","valorB":156}</v>
      </c>
      <c r="E470" s="8" t="str">
        <f t="shared" si="2"/>
        <v>freezer</v>
      </c>
      <c r="F470" s="8"/>
      <c r="G470" s="8" t="str">
        <f t="shared" si="3"/>
        <v>156</v>
      </c>
      <c r="H470" s="9">
        <f t="shared" si="4"/>
        <v>156</v>
      </c>
      <c r="I470" s="10">
        <f>IFERROR(__xludf.DUMMYFUNCTION("MAX(FILTER($H$2:$H1415,$E$2:$E1415=F470))"),0.0)</f>
        <v>0</v>
      </c>
    </row>
    <row r="471">
      <c r="A471" s="4"/>
      <c r="C471" s="4" t="s">
        <v>2127</v>
      </c>
      <c r="D471" s="4" t="str">
        <f t="shared" si="1"/>
        <v>{"valorA":"ar condicionado","valorB":158}</v>
      </c>
      <c r="E471" s="8" t="str">
        <f t="shared" si="2"/>
        <v>ar condicionado</v>
      </c>
      <c r="F471" s="8"/>
      <c r="G471" s="8" t="str">
        <f t="shared" si="3"/>
        <v>158</v>
      </c>
      <c r="H471" s="9">
        <f t="shared" si="4"/>
        <v>158</v>
      </c>
      <c r="I471" s="10">
        <f>IFERROR(__xludf.DUMMYFUNCTION("MAX(FILTER($H$2:$H1415,$E$2:$E1415=F471))"),0.0)</f>
        <v>0</v>
      </c>
    </row>
    <row r="472">
      <c r="A472" s="4"/>
      <c r="C472" s="4" t="s">
        <v>2128</v>
      </c>
      <c r="D472" s="4" t="str">
        <f t="shared" si="1"/>
        <v>{"valorA":"microondas","valorB":157}</v>
      </c>
      <c r="E472" s="8" t="str">
        <f t="shared" si="2"/>
        <v>microondas</v>
      </c>
      <c r="F472" s="8"/>
      <c r="G472" s="8" t="str">
        <f t="shared" si="3"/>
        <v>157</v>
      </c>
      <c r="H472" s="9">
        <f t="shared" si="4"/>
        <v>157</v>
      </c>
      <c r="I472" s="10">
        <f>IFERROR(__xludf.DUMMYFUNCTION("MAX(FILTER($H$2:$H1415,$E$2:$E1415=F472))"),0.0)</f>
        <v>0</v>
      </c>
    </row>
    <row r="473">
      <c r="A473" s="4"/>
      <c r="C473" s="4" t="s">
        <v>2129</v>
      </c>
      <c r="D473" s="4" t="str">
        <f t="shared" si="1"/>
        <v>{"valorA":"ar condicionado","valorB":159}</v>
      </c>
      <c r="E473" s="8" t="str">
        <f t="shared" si="2"/>
        <v>ar condicionado</v>
      </c>
      <c r="F473" s="8"/>
      <c r="G473" s="8" t="str">
        <f t="shared" si="3"/>
        <v>159</v>
      </c>
      <c r="H473" s="9">
        <f t="shared" si="4"/>
        <v>159</v>
      </c>
      <c r="I473" s="10">
        <f>IFERROR(__xludf.DUMMYFUNCTION("MAX(FILTER($H$2:$H1415,$E$2:$E1415=F473))"),0.0)</f>
        <v>0</v>
      </c>
    </row>
    <row r="474">
      <c r="A474" s="4"/>
      <c r="C474" s="4" t="s">
        <v>2130</v>
      </c>
      <c r="D474" s="4" t="str">
        <f t="shared" si="1"/>
        <v>{"valorA":"freezer","valorB":157}</v>
      </c>
      <c r="E474" s="8" t="str">
        <f t="shared" si="2"/>
        <v>freezer</v>
      </c>
      <c r="F474" s="8"/>
      <c r="G474" s="8" t="str">
        <f t="shared" si="3"/>
        <v>157</v>
      </c>
      <c r="H474" s="9">
        <f t="shared" si="4"/>
        <v>157</v>
      </c>
      <c r="I474" s="10">
        <f>IFERROR(__xludf.DUMMYFUNCTION("MAX(FILTER($H$2:$H1415,$E$2:$E1415=F474))"),0.0)</f>
        <v>0</v>
      </c>
    </row>
    <row r="475">
      <c r="A475" s="4"/>
      <c r="C475" s="4" t="s">
        <v>2131</v>
      </c>
      <c r="D475" s="4" t="str">
        <f t="shared" si="1"/>
        <v>{"valorA":"freezer","valorB":158}</v>
      </c>
      <c r="E475" s="8" t="str">
        <f t="shared" si="2"/>
        <v>freezer</v>
      </c>
      <c r="F475" s="8"/>
      <c r="G475" s="8" t="str">
        <f t="shared" si="3"/>
        <v>158</v>
      </c>
      <c r="H475" s="9">
        <f t="shared" si="4"/>
        <v>158</v>
      </c>
      <c r="I475" s="10">
        <f>IFERROR(__xludf.DUMMYFUNCTION("MAX(FILTER($H$2:$H1415,$E$2:$E1415=F475))"),0.0)</f>
        <v>0</v>
      </c>
    </row>
    <row r="476">
      <c r="A476" s="4"/>
      <c r="C476" s="4" t="s">
        <v>2132</v>
      </c>
      <c r="D476" s="4" t="str">
        <f t="shared" si="1"/>
        <v>{"valorA":"ar condicionado","valorB":160}</v>
      </c>
      <c r="E476" s="8" t="str">
        <f t="shared" si="2"/>
        <v>ar condicionado</v>
      </c>
      <c r="F476" s="8"/>
      <c r="G476" s="8" t="str">
        <f t="shared" si="3"/>
        <v>160</v>
      </c>
      <c r="H476" s="9">
        <f t="shared" si="4"/>
        <v>160</v>
      </c>
      <c r="I476" s="10">
        <f>IFERROR(__xludf.DUMMYFUNCTION("MAX(FILTER($H$2:$H1415,$E$2:$E1415=F476))"),0.0)</f>
        <v>0</v>
      </c>
    </row>
    <row r="477">
      <c r="A477" s="4"/>
      <c r="C477" s="4" t="s">
        <v>2133</v>
      </c>
      <c r="D477" s="4" t="str">
        <f t="shared" si="1"/>
        <v>{"valorA":"freezer","valorB":159}</v>
      </c>
      <c r="E477" s="8" t="str">
        <f t="shared" si="2"/>
        <v>freezer</v>
      </c>
      <c r="F477" s="8"/>
      <c r="G477" s="8" t="str">
        <f t="shared" si="3"/>
        <v>159</v>
      </c>
      <c r="H477" s="9">
        <f t="shared" si="4"/>
        <v>159</v>
      </c>
      <c r="I477" s="10">
        <f>IFERROR(__xludf.DUMMYFUNCTION("MAX(FILTER($H$2:$H1415,$E$2:$E1415=F477))"),0.0)</f>
        <v>0</v>
      </c>
    </row>
    <row r="478">
      <c r="A478" s="4"/>
      <c r="C478" s="4" t="s">
        <v>2134</v>
      </c>
      <c r="D478" s="4" t="str">
        <f t="shared" si="1"/>
        <v>{"valorA":"ar condicionado","valorB":161}</v>
      </c>
      <c r="E478" s="8" t="str">
        <f t="shared" si="2"/>
        <v>ar condicionado</v>
      </c>
      <c r="F478" s="8"/>
      <c r="G478" s="8" t="str">
        <f t="shared" si="3"/>
        <v>161</v>
      </c>
      <c r="H478" s="9">
        <f t="shared" si="4"/>
        <v>161</v>
      </c>
      <c r="I478" s="10">
        <f>IFERROR(__xludf.DUMMYFUNCTION("MAX(FILTER($H$2:$H1415,$E$2:$E1415=F478))"),0.0)</f>
        <v>0</v>
      </c>
    </row>
    <row r="479">
      <c r="A479" s="4"/>
      <c r="C479" s="4" t="s">
        <v>2135</v>
      </c>
      <c r="D479" s="4" t="str">
        <f t="shared" si="1"/>
        <v>{"valorA":"microondas","valorB":158}</v>
      </c>
      <c r="E479" s="8" t="str">
        <f t="shared" si="2"/>
        <v>microondas</v>
      </c>
      <c r="F479" s="8"/>
      <c r="G479" s="8" t="str">
        <f t="shared" si="3"/>
        <v>158</v>
      </c>
      <c r="H479" s="9">
        <f t="shared" si="4"/>
        <v>158</v>
      </c>
      <c r="I479" s="10">
        <f>IFERROR(__xludf.DUMMYFUNCTION("MAX(FILTER($H$2:$H1415,$E$2:$E1415=F479))"),0.0)</f>
        <v>0</v>
      </c>
    </row>
    <row r="480">
      <c r="A480" s="4"/>
      <c r="C480" s="4" t="s">
        <v>2136</v>
      </c>
      <c r="D480" s="4" t="str">
        <f t="shared" si="1"/>
        <v>{"valorA":"freezer","valorB":160}</v>
      </c>
      <c r="E480" s="8" t="str">
        <f t="shared" si="2"/>
        <v>freezer</v>
      </c>
      <c r="F480" s="8"/>
      <c r="G480" s="8" t="str">
        <f t="shared" si="3"/>
        <v>160</v>
      </c>
      <c r="H480" s="9">
        <f t="shared" si="4"/>
        <v>160</v>
      </c>
      <c r="I480" s="10">
        <f>IFERROR(__xludf.DUMMYFUNCTION("MAX(FILTER($H$2:$H1415,$E$2:$E1415=F480))"),0.0)</f>
        <v>0</v>
      </c>
    </row>
    <row r="481">
      <c r="A481" s="4"/>
      <c r="C481" s="4" t="s">
        <v>2137</v>
      </c>
      <c r="D481" s="4" t="str">
        <f t="shared" si="1"/>
        <v>{"valorA":"freezer","valorB":161}</v>
      </c>
      <c r="E481" s="8" t="str">
        <f t="shared" si="2"/>
        <v>freezer</v>
      </c>
      <c r="F481" s="8"/>
      <c r="G481" s="8" t="str">
        <f t="shared" si="3"/>
        <v>161</v>
      </c>
      <c r="H481" s="9">
        <f t="shared" si="4"/>
        <v>161</v>
      </c>
      <c r="I481" s="10">
        <f>IFERROR(__xludf.DUMMYFUNCTION("MAX(FILTER($H$2:$H1415,$E$2:$E1415=F481))"),0.0)</f>
        <v>0</v>
      </c>
    </row>
    <row r="482">
      <c r="A482" s="4"/>
      <c r="C482" s="4" t="s">
        <v>2138</v>
      </c>
      <c r="D482" s="4" t="str">
        <f t="shared" si="1"/>
        <v>{"valorA":"freezer","valorB":162}</v>
      </c>
      <c r="E482" s="8" t="str">
        <f t="shared" si="2"/>
        <v>freezer</v>
      </c>
      <c r="F482" s="8"/>
      <c r="G482" s="8" t="str">
        <f t="shared" si="3"/>
        <v>162</v>
      </c>
      <c r="H482" s="9">
        <f t="shared" si="4"/>
        <v>162</v>
      </c>
      <c r="I482" s="10">
        <f>IFERROR(__xludf.DUMMYFUNCTION("MAX(FILTER($H$2:$H1415,$E$2:$E1415=F482))"),0.0)</f>
        <v>0</v>
      </c>
    </row>
    <row r="483">
      <c r="A483" s="4"/>
      <c r="C483" s="4" t="s">
        <v>2139</v>
      </c>
      <c r="D483" s="4" t="str">
        <f t="shared" si="1"/>
        <v>{"valorA":"freezer","valorB":163}</v>
      </c>
      <c r="E483" s="8" t="str">
        <f t="shared" si="2"/>
        <v>freezer</v>
      </c>
      <c r="F483" s="8"/>
      <c r="G483" s="8" t="str">
        <f t="shared" si="3"/>
        <v>163</v>
      </c>
      <c r="H483" s="9">
        <f t="shared" si="4"/>
        <v>163</v>
      </c>
      <c r="I483" s="10">
        <f>IFERROR(__xludf.DUMMYFUNCTION("MAX(FILTER($H$2:$H1415,$E$2:$E1415=F483))"),0.0)</f>
        <v>0</v>
      </c>
    </row>
    <row r="484">
      <c r="A484" s="4"/>
      <c r="C484" s="4" t="s">
        <v>2140</v>
      </c>
      <c r="D484" s="4" t="str">
        <f t="shared" si="1"/>
        <v>{"valorA":"microondas","valorB":159}</v>
      </c>
      <c r="E484" s="8" t="str">
        <f t="shared" si="2"/>
        <v>microondas</v>
      </c>
      <c r="F484" s="8"/>
      <c r="G484" s="8" t="str">
        <f t="shared" si="3"/>
        <v>159</v>
      </c>
      <c r="H484" s="9">
        <f t="shared" si="4"/>
        <v>159</v>
      </c>
      <c r="I484" s="10">
        <f>IFERROR(__xludf.DUMMYFUNCTION("MAX(FILTER($H$2:$H1415,$E$2:$E1415=F484))"),0.0)</f>
        <v>0</v>
      </c>
    </row>
    <row r="485">
      <c r="A485" s="4"/>
      <c r="C485" s="4" t="s">
        <v>2141</v>
      </c>
      <c r="D485" s="4" t="str">
        <f t="shared" si="1"/>
        <v>{"valorA":"ar condicionado","valorB":162}</v>
      </c>
      <c r="E485" s="8" t="str">
        <f t="shared" si="2"/>
        <v>ar condicionado</v>
      </c>
      <c r="F485" s="8"/>
      <c r="G485" s="8" t="str">
        <f t="shared" si="3"/>
        <v>162</v>
      </c>
      <c r="H485" s="9">
        <f t="shared" si="4"/>
        <v>162</v>
      </c>
      <c r="I485" s="10">
        <f>IFERROR(__xludf.DUMMYFUNCTION("MAX(FILTER($H$2:$H1415,$E$2:$E1415=F485))"),0.0)</f>
        <v>0</v>
      </c>
    </row>
    <row r="486">
      <c r="A486" s="4"/>
      <c r="C486" s="4" t="s">
        <v>2142</v>
      </c>
      <c r="D486" s="4" t="str">
        <f t="shared" si="1"/>
        <v>{"valorA":"microondas","valorB":160}</v>
      </c>
      <c r="E486" s="8" t="str">
        <f t="shared" si="2"/>
        <v>microondas</v>
      </c>
      <c r="F486" s="8"/>
      <c r="G486" s="8" t="str">
        <f t="shared" si="3"/>
        <v>160</v>
      </c>
      <c r="H486" s="9">
        <f t="shared" si="4"/>
        <v>160</v>
      </c>
      <c r="I486" s="10">
        <f>IFERROR(__xludf.DUMMYFUNCTION("MAX(FILTER($H$2:$H1415,$E$2:$E1415=F486))"),0.0)</f>
        <v>0</v>
      </c>
    </row>
    <row r="487">
      <c r="A487" s="4"/>
      <c r="C487" s="4" t="s">
        <v>2143</v>
      </c>
      <c r="D487" s="4" t="str">
        <f t="shared" si="1"/>
        <v>{"valorA":"microondas","valorB":161}</v>
      </c>
      <c r="E487" s="8" t="str">
        <f t="shared" si="2"/>
        <v>microondas</v>
      </c>
      <c r="F487" s="8"/>
      <c r="G487" s="8" t="str">
        <f t="shared" si="3"/>
        <v>161</v>
      </c>
      <c r="H487" s="9">
        <f t="shared" si="4"/>
        <v>161</v>
      </c>
      <c r="I487" s="10">
        <f>IFERROR(__xludf.DUMMYFUNCTION("MAX(FILTER($H$2:$H1415,$E$2:$E1415=F487))"),0.0)</f>
        <v>0</v>
      </c>
    </row>
    <row r="488">
      <c r="A488" s="4"/>
      <c r="C488" s="4" t="s">
        <v>2144</v>
      </c>
      <c r="D488" s="4" t="str">
        <f t="shared" si="1"/>
        <v>{"valorA":"freezer","valorB":164}</v>
      </c>
      <c r="E488" s="8" t="str">
        <f t="shared" si="2"/>
        <v>freezer</v>
      </c>
      <c r="F488" s="8"/>
      <c r="G488" s="8" t="str">
        <f t="shared" si="3"/>
        <v>164</v>
      </c>
      <c r="H488" s="9">
        <f t="shared" si="4"/>
        <v>164</v>
      </c>
      <c r="I488" s="10">
        <f>IFERROR(__xludf.DUMMYFUNCTION("MAX(FILTER($H$2:$H1415,$E$2:$E1415=F488))"),0.0)</f>
        <v>0</v>
      </c>
    </row>
    <row r="489">
      <c r="A489" s="4"/>
      <c r="C489" s="4" t="s">
        <v>2145</v>
      </c>
      <c r="D489" s="4" t="str">
        <f t="shared" si="1"/>
        <v>{"valorA":"freezer","valorB":165}</v>
      </c>
      <c r="E489" s="8" t="str">
        <f t="shared" si="2"/>
        <v>freezer</v>
      </c>
      <c r="F489" s="8"/>
      <c r="G489" s="8" t="str">
        <f t="shared" si="3"/>
        <v>165</v>
      </c>
      <c r="H489" s="9">
        <f t="shared" si="4"/>
        <v>165</v>
      </c>
      <c r="I489" s="10">
        <f>IFERROR(__xludf.DUMMYFUNCTION("MAX(FILTER($H$2:$H1415,$E$2:$E1415=F489))"),0.0)</f>
        <v>0</v>
      </c>
    </row>
    <row r="490">
      <c r="A490" s="4"/>
      <c r="C490" s="4" t="s">
        <v>2146</v>
      </c>
      <c r="D490" s="4" t="str">
        <f t="shared" si="1"/>
        <v>{"valorA":"ar condicionado","valorB":163}</v>
      </c>
      <c r="E490" s="8" t="str">
        <f t="shared" si="2"/>
        <v>ar condicionado</v>
      </c>
      <c r="F490" s="8"/>
      <c r="G490" s="8" t="str">
        <f t="shared" si="3"/>
        <v>163</v>
      </c>
      <c r="H490" s="9">
        <f t="shared" si="4"/>
        <v>163</v>
      </c>
      <c r="I490" s="10">
        <f>IFERROR(__xludf.DUMMYFUNCTION("MAX(FILTER($H$2:$H1415,$E$2:$E1415=F490))"),0.0)</f>
        <v>0</v>
      </c>
    </row>
    <row r="491">
      <c r="A491" s="4"/>
      <c r="C491" s="4" t="s">
        <v>2147</v>
      </c>
      <c r="D491" s="4" t="str">
        <f t="shared" si="1"/>
        <v>{"valorA":"ar condicionado","valorB":164}</v>
      </c>
      <c r="E491" s="8" t="str">
        <f t="shared" si="2"/>
        <v>ar condicionado</v>
      </c>
      <c r="F491" s="8"/>
      <c r="G491" s="8" t="str">
        <f t="shared" si="3"/>
        <v>164</v>
      </c>
      <c r="H491" s="9">
        <f t="shared" si="4"/>
        <v>164</v>
      </c>
      <c r="I491" s="10">
        <f>IFERROR(__xludf.DUMMYFUNCTION("MAX(FILTER($H$2:$H1415,$E$2:$E1415=F491))"),0.0)</f>
        <v>0</v>
      </c>
    </row>
    <row r="492">
      <c r="A492" s="4"/>
      <c r="C492" s="4" t="s">
        <v>2148</v>
      </c>
      <c r="D492" s="4" t="str">
        <f t="shared" si="1"/>
        <v>{"valorA":"ar condicionado","valorB":165}</v>
      </c>
      <c r="E492" s="8" t="str">
        <f t="shared" si="2"/>
        <v>ar condicionado</v>
      </c>
      <c r="F492" s="8"/>
      <c r="G492" s="8" t="str">
        <f t="shared" si="3"/>
        <v>165</v>
      </c>
      <c r="H492" s="9">
        <f t="shared" si="4"/>
        <v>165</v>
      </c>
      <c r="I492" s="10">
        <f>IFERROR(__xludf.DUMMYFUNCTION("MAX(FILTER($H$2:$H1415,$E$2:$E1415=F492))"),0.0)</f>
        <v>0</v>
      </c>
    </row>
    <row r="493">
      <c r="A493" s="4"/>
      <c r="C493" s="4" t="s">
        <v>2149</v>
      </c>
      <c r="D493" s="4" t="str">
        <f t="shared" si="1"/>
        <v>{"valorA":"microondas","valorB":162}</v>
      </c>
      <c r="E493" s="8" t="str">
        <f t="shared" si="2"/>
        <v>microondas</v>
      </c>
      <c r="F493" s="8"/>
      <c r="G493" s="8" t="str">
        <f t="shared" si="3"/>
        <v>162</v>
      </c>
      <c r="H493" s="9">
        <f t="shared" si="4"/>
        <v>162</v>
      </c>
      <c r="I493" s="10">
        <f>IFERROR(__xludf.DUMMYFUNCTION("MAX(FILTER($H$2:$H1415,$E$2:$E1415=F493))"),0.0)</f>
        <v>0</v>
      </c>
    </row>
    <row r="494">
      <c r="A494" s="4"/>
      <c r="C494" s="4" t="s">
        <v>2150</v>
      </c>
      <c r="D494" s="4" t="str">
        <f t="shared" si="1"/>
        <v>{"valorA":"ar condicionado","valorB":166}</v>
      </c>
      <c r="E494" s="8" t="str">
        <f t="shared" si="2"/>
        <v>ar condicionado</v>
      </c>
      <c r="F494" s="8"/>
      <c r="G494" s="8" t="str">
        <f t="shared" si="3"/>
        <v>166</v>
      </c>
      <c r="H494" s="9">
        <f t="shared" si="4"/>
        <v>166</v>
      </c>
      <c r="I494" s="10">
        <f>IFERROR(__xludf.DUMMYFUNCTION("MAX(FILTER($H$2:$H1415,$E$2:$E1415=F494))"),0.0)</f>
        <v>0</v>
      </c>
    </row>
    <row r="495">
      <c r="A495" s="4"/>
      <c r="C495" s="4" t="s">
        <v>2151</v>
      </c>
      <c r="D495" s="4" t="str">
        <f t="shared" si="1"/>
        <v>{"valorA":"microondas","valorB":163}</v>
      </c>
      <c r="E495" s="8" t="str">
        <f t="shared" si="2"/>
        <v>microondas</v>
      </c>
      <c r="F495" s="8"/>
      <c r="G495" s="8" t="str">
        <f t="shared" si="3"/>
        <v>163</v>
      </c>
      <c r="H495" s="9">
        <f t="shared" si="4"/>
        <v>163</v>
      </c>
      <c r="I495" s="10">
        <f>IFERROR(__xludf.DUMMYFUNCTION("MAX(FILTER($H$2:$H1415,$E$2:$E1415=F495))"),0.0)</f>
        <v>0</v>
      </c>
    </row>
    <row r="496">
      <c r="A496" s="4"/>
      <c r="C496" s="4" t="s">
        <v>2152</v>
      </c>
      <c r="D496" s="4" t="str">
        <f t="shared" si="1"/>
        <v>{"valorA":"ar condicionado","valorB":167}</v>
      </c>
      <c r="E496" s="8" t="str">
        <f t="shared" si="2"/>
        <v>ar condicionado</v>
      </c>
      <c r="F496" s="8"/>
      <c r="G496" s="8" t="str">
        <f t="shared" si="3"/>
        <v>167</v>
      </c>
      <c r="H496" s="9">
        <f t="shared" si="4"/>
        <v>167</v>
      </c>
      <c r="I496" s="10">
        <f>IFERROR(__xludf.DUMMYFUNCTION("MAX(FILTER($H$2:$H1415,$E$2:$E1415=F496))"),0.0)</f>
        <v>0</v>
      </c>
    </row>
    <row r="497">
      <c r="A497" s="4"/>
      <c r="C497" s="4" t="s">
        <v>2153</v>
      </c>
      <c r="D497" s="4" t="str">
        <f t="shared" si="1"/>
        <v>{"valorA":"ar condicionado","valorB":168}</v>
      </c>
      <c r="E497" s="8" t="str">
        <f t="shared" si="2"/>
        <v>ar condicionado</v>
      </c>
      <c r="F497" s="8"/>
      <c r="G497" s="8" t="str">
        <f t="shared" si="3"/>
        <v>168</v>
      </c>
      <c r="H497" s="9">
        <f t="shared" si="4"/>
        <v>168</v>
      </c>
      <c r="I497" s="10">
        <f>IFERROR(__xludf.DUMMYFUNCTION("MAX(FILTER($H$2:$H1415,$E$2:$E1415=F497))"),0.0)</f>
        <v>0</v>
      </c>
    </row>
    <row r="498">
      <c r="A498" s="4"/>
      <c r="C498" s="4" t="s">
        <v>2154</v>
      </c>
      <c r="D498" s="4" t="str">
        <f t="shared" si="1"/>
        <v>{"valorA":"ar condicionado","valorB":169}</v>
      </c>
      <c r="E498" s="8" t="str">
        <f t="shared" si="2"/>
        <v>ar condicionado</v>
      </c>
      <c r="F498" s="8"/>
      <c r="G498" s="8" t="str">
        <f t="shared" si="3"/>
        <v>169</v>
      </c>
      <c r="H498" s="9">
        <f t="shared" si="4"/>
        <v>169</v>
      </c>
      <c r="I498" s="10">
        <f>IFERROR(__xludf.DUMMYFUNCTION("MAX(FILTER($H$2:$H1415,$E$2:$E1415=F498))"),0.0)</f>
        <v>0</v>
      </c>
    </row>
    <row r="499">
      <c r="A499" s="4"/>
      <c r="C499" s="4" t="s">
        <v>2155</v>
      </c>
      <c r="D499" s="4" t="str">
        <f t="shared" si="1"/>
        <v>{"valorA":"freezer","valorB":166}</v>
      </c>
      <c r="E499" s="8" t="str">
        <f t="shared" si="2"/>
        <v>freezer</v>
      </c>
      <c r="F499" s="8"/>
      <c r="G499" s="8" t="str">
        <f t="shared" si="3"/>
        <v>166</v>
      </c>
      <c r="H499" s="9">
        <f t="shared" si="4"/>
        <v>166</v>
      </c>
      <c r="I499" s="10">
        <f>IFERROR(__xludf.DUMMYFUNCTION("MAX(FILTER($H$2:$H1415,$E$2:$E1415=F499))"),0.0)</f>
        <v>0</v>
      </c>
    </row>
    <row r="500">
      <c r="A500" s="4"/>
      <c r="C500" s="4" t="s">
        <v>2156</v>
      </c>
      <c r="D500" s="4" t="str">
        <f t="shared" si="1"/>
        <v>{"valorA":"ar condicionado","valorB":170}</v>
      </c>
      <c r="E500" s="8" t="str">
        <f t="shared" si="2"/>
        <v>ar condicionado</v>
      </c>
      <c r="F500" s="8"/>
      <c r="G500" s="8" t="str">
        <f t="shared" si="3"/>
        <v>170</v>
      </c>
      <c r="H500" s="9">
        <f t="shared" si="4"/>
        <v>170</v>
      </c>
      <c r="I500" s="10">
        <f>IFERROR(__xludf.DUMMYFUNCTION("MAX(FILTER($H$2:$H1415,$E$2:$E1415=F500))"),0.0)</f>
        <v>0</v>
      </c>
    </row>
    <row r="501">
      <c r="A501" s="4"/>
      <c r="C501" s="4" t="s">
        <v>2157</v>
      </c>
      <c r="D501" s="4" t="str">
        <f t="shared" si="1"/>
        <v>{"valorA":"ar condicionado","valorB":171}</v>
      </c>
      <c r="E501" s="8" t="str">
        <f t="shared" si="2"/>
        <v>ar condicionado</v>
      </c>
      <c r="F501" s="8"/>
      <c r="G501" s="8" t="str">
        <f t="shared" si="3"/>
        <v>171</v>
      </c>
      <c r="H501" s="9">
        <f t="shared" si="4"/>
        <v>171</v>
      </c>
      <c r="I501" s="10">
        <f>IFERROR(__xludf.DUMMYFUNCTION("MAX(FILTER($H$2:$H1415,$E$2:$E1415=F501))"),0.0)</f>
        <v>0</v>
      </c>
    </row>
    <row r="502">
      <c r="A502" s="4"/>
      <c r="C502" s="4"/>
      <c r="D502" s="4"/>
      <c r="E502" s="8"/>
      <c r="F502" s="8"/>
      <c r="G502" s="8"/>
      <c r="H502" s="9"/>
    </row>
    <row r="503">
      <c r="A503" s="4"/>
      <c r="C503" s="4"/>
      <c r="D503" s="4"/>
      <c r="E503" s="8"/>
      <c r="F503" s="8"/>
      <c r="G503" s="8"/>
      <c r="H503" s="9"/>
    </row>
    <row r="504">
      <c r="A504" s="4"/>
      <c r="C504" s="4"/>
      <c r="D504" s="4"/>
      <c r="E504" s="8"/>
      <c r="F504" s="8"/>
      <c r="G504" s="8"/>
      <c r="H504" s="9"/>
    </row>
    <row r="505">
      <c r="A505" s="4"/>
      <c r="C505" s="4"/>
      <c r="D505" s="4"/>
      <c r="E505" s="8"/>
      <c r="F505" s="8"/>
      <c r="G505" s="8"/>
      <c r="H505" s="9"/>
    </row>
    <row r="506">
      <c r="A506" s="4"/>
      <c r="C506" s="4"/>
      <c r="D506" s="4"/>
      <c r="E506" s="8"/>
      <c r="F506" s="8"/>
      <c r="G506" s="8"/>
      <c r="H506" s="9"/>
    </row>
    <row r="507">
      <c r="A507" s="4"/>
      <c r="C507" s="4"/>
      <c r="D507" s="4"/>
      <c r="E507" s="8"/>
      <c r="F507" s="8"/>
      <c r="G507" s="8"/>
      <c r="H507" s="9"/>
    </row>
    <row r="508">
      <c r="A508" s="4"/>
      <c r="C508" s="4"/>
      <c r="D508" s="4"/>
      <c r="E508" s="8"/>
      <c r="F508" s="8"/>
      <c r="G508" s="8"/>
      <c r="H508" s="9"/>
    </row>
    <row r="509">
      <c r="A509" s="4"/>
      <c r="C509" s="4"/>
      <c r="D509" s="4"/>
      <c r="E509" s="8"/>
      <c r="F509" s="8"/>
      <c r="G509" s="8"/>
      <c r="H509" s="9"/>
    </row>
    <row r="510">
      <c r="A510" s="4"/>
      <c r="C510" s="4"/>
      <c r="D510" s="4"/>
      <c r="E510" s="8"/>
      <c r="F510" s="8"/>
      <c r="G510" s="8"/>
      <c r="H510" s="9"/>
    </row>
    <row r="511">
      <c r="A511" s="4"/>
      <c r="C511" s="4"/>
      <c r="D511" s="4"/>
      <c r="E511" s="8"/>
      <c r="F511" s="8"/>
      <c r="G511" s="8"/>
      <c r="H511" s="9"/>
    </row>
    <row r="512">
      <c r="A512" s="4"/>
      <c r="C512" s="4"/>
      <c r="D512" s="4"/>
      <c r="E512" s="8"/>
      <c r="F512" s="8"/>
      <c r="G512" s="8"/>
      <c r="H512" s="9"/>
    </row>
    <row r="513">
      <c r="A513" s="4"/>
      <c r="C513" s="4"/>
      <c r="D513" s="4"/>
      <c r="E513" s="8"/>
      <c r="F513" s="8"/>
      <c r="G513" s="8"/>
      <c r="H513" s="9"/>
    </row>
    <row r="514">
      <c r="A514" s="4"/>
      <c r="C514" s="4"/>
      <c r="D514" s="4"/>
      <c r="E514" s="8"/>
      <c r="F514" s="8"/>
      <c r="G514" s="8"/>
      <c r="H514" s="9"/>
    </row>
    <row r="515">
      <c r="A515" s="4"/>
      <c r="C515" s="4"/>
      <c r="D515" s="4"/>
      <c r="E515" s="8"/>
      <c r="F515" s="8"/>
      <c r="G515" s="8"/>
      <c r="H515" s="9"/>
    </row>
    <row r="516">
      <c r="A516" s="4"/>
      <c r="C516" s="4"/>
      <c r="D516" s="4"/>
      <c r="E516" s="8"/>
      <c r="F516" s="8"/>
      <c r="G516" s="8"/>
      <c r="H516" s="9"/>
    </row>
    <row r="517">
      <c r="A517" s="4"/>
      <c r="C517" s="4"/>
      <c r="D517" s="4"/>
      <c r="E517" s="8"/>
      <c r="F517" s="8"/>
      <c r="G517" s="8"/>
      <c r="H517" s="9"/>
    </row>
    <row r="518">
      <c r="A518" s="4"/>
      <c r="C518" s="4"/>
      <c r="D518" s="4"/>
      <c r="E518" s="8"/>
      <c r="F518" s="8"/>
      <c r="G518" s="8"/>
      <c r="H518" s="9"/>
    </row>
    <row r="519">
      <c r="A519" s="4"/>
      <c r="C519" s="4"/>
      <c r="D519" s="4"/>
      <c r="E519" s="8"/>
      <c r="F519" s="8"/>
      <c r="G519" s="8"/>
      <c r="H519" s="9"/>
    </row>
    <row r="520">
      <c r="A520" s="4"/>
      <c r="C520" s="4"/>
      <c r="D520" s="4"/>
      <c r="E520" s="8"/>
      <c r="F520" s="8"/>
      <c r="G520" s="8"/>
      <c r="H520" s="9"/>
    </row>
    <row r="521">
      <c r="A521" s="4"/>
      <c r="C521" s="4"/>
      <c r="D521" s="4"/>
      <c r="E521" s="8"/>
      <c r="F521" s="8"/>
      <c r="G521" s="8"/>
      <c r="H521" s="9"/>
    </row>
    <row r="522">
      <c r="A522" s="4"/>
      <c r="C522" s="4"/>
      <c r="D522" s="4"/>
      <c r="E522" s="8"/>
      <c r="F522" s="8"/>
      <c r="G522" s="8"/>
      <c r="H522" s="9"/>
    </row>
    <row r="523">
      <c r="A523" s="4"/>
      <c r="C523" s="4"/>
      <c r="D523" s="4"/>
      <c r="E523" s="8"/>
      <c r="F523" s="8"/>
      <c r="G523" s="8"/>
      <c r="H523" s="9"/>
    </row>
    <row r="524">
      <c r="A524" s="4"/>
      <c r="C524" s="4"/>
      <c r="D524" s="4"/>
      <c r="E524" s="8"/>
      <c r="F524" s="8"/>
      <c r="G524" s="8"/>
      <c r="H524" s="9"/>
    </row>
    <row r="525">
      <c r="A525" s="4"/>
      <c r="C525" s="4"/>
      <c r="D525" s="4"/>
      <c r="E525" s="8"/>
      <c r="F525" s="8"/>
      <c r="G525" s="8"/>
      <c r="H525" s="9"/>
    </row>
    <row r="526">
      <c r="A526" s="4"/>
      <c r="C526" s="4"/>
      <c r="D526" s="4"/>
      <c r="E526" s="8"/>
      <c r="F526" s="8"/>
      <c r="G526" s="8"/>
      <c r="H526" s="9"/>
    </row>
    <row r="527">
      <c r="A527" s="4"/>
      <c r="C527" s="4"/>
      <c r="D527" s="4"/>
      <c r="E527" s="8"/>
      <c r="F527" s="8"/>
      <c r="G527" s="8"/>
      <c r="H527" s="9"/>
    </row>
    <row r="528">
      <c r="A528" s="4"/>
      <c r="C528" s="4"/>
      <c r="D528" s="4"/>
      <c r="E528" s="8"/>
      <c r="F528" s="8"/>
      <c r="G528" s="8"/>
      <c r="H528" s="9"/>
    </row>
    <row r="529">
      <c r="A529" s="4"/>
      <c r="C529" s="4"/>
      <c r="D529" s="4"/>
      <c r="E529" s="8"/>
      <c r="F529" s="8"/>
      <c r="G529" s="8"/>
      <c r="H529" s="9"/>
    </row>
    <row r="530">
      <c r="A530" s="4"/>
      <c r="C530" s="4"/>
      <c r="D530" s="4"/>
      <c r="E530" s="8"/>
      <c r="F530" s="8"/>
      <c r="G530" s="8"/>
      <c r="H530" s="9"/>
    </row>
    <row r="531">
      <c r="A531" s="4"/>
      <c r="C531" s="4"/>
      <c r="D531" s="4"/>
      <c r="E531" s="8"/>
      <c r="F531" s="8"/>
      <c r="G531" s="8"/>
      <c r="H531" s="9"/>
    </row>
    <row r="532">
      <c r="A532" s="4"/>
      <c r="C532" s="4"/>
      <c r="D532" s="4"/>
      <c r="E532" s="8"/>
      <c r="F532" s="8"/>
      <c r="G532" s="8"/>
      <c r="H532" s="9"/>
    </row>
    <row r="533">
      <c r="A533" s="4"/>
      <c r="C533" s="4"/>
      <c r="D533" s="4"/>
      <c r="E533" s="8"/>
      <c r="F533" s="8"/>
      <c r="G533" s="8"/>
      <c r="H533" s="9"/>
    </row>
    <row r="534">
      <c r="A534" s="4"/>
      <c r="C534" s="4"/>
      <c r="D534" s="4"/>
      <c r="E534" s="8"/>
      <c r="F534" s="8"/>
      <c r="G534" s="8"/>
      <c r="H534" s="9"/>
    </row>
    <row r="535">
      <c r="A535" s="4"/>
      <c r="C535" s="4"/>
      <c r="D535" s="4"/>
      <c r="E535" s="8"/>
      <c r="F535" s="8"/>
      <c r="G535" s="8"/>
      <c r="H535" s="9"/>
    </row>
    <row r="536">
      <c r="A536" s="4"/>
      <c r="C536" s="4"/>
      <c r="D536" s="4"/>
      <c r="E536" s="8"/>
      <c r="F536" s="8"/>
      <c r="G536" s="8"/>
      <c r="H536" s="9"/>
    </row>
    <row r="537">
      <c r="A537" s="4"/>
      <c r="C537" s="4"/>
      <c r="D537" s="4"/>
      <c r="E537" s="8"/>
      <c r="F537" s="8"/>
      <c r="G537" s="8"/>
      <c r="H537" s="9"/>
    </row>
    <row r="538">
      <c r="A538" s="4"/>
      <c r="C538" s="4"/>
      <c r="D538" s="4"/>
      <c r="E538" s="8"/>
      <c r="F538" s="8"/>
      <c r="G538" s="8"/>
      <c r="H538" s="9"/>
    </row>
    <row r="539">
      <c r="A539" s="4"/>
      <c r="C539" s="4"/>
      <c r="D539" s="4"/>
      <c r="E539" s="8"/>
      <c r="F539" s="8"/>
      <c r="G539" s="8"/>
      <c r="H539" s="9"/>
    </row>
    <row r="540">
      <c r="A540" s="4"/>
      <c r="C540" s="4"/>
      <c r="D540" s="4"/>
      <c r="E540" s="8"/>
      <c r="F540" s="8"/>
      <c r="G540" s="8"/>
      <c r="H540" s="9"/>
    </row>
    <row r="541">
      <c r="A541" s="4"/>
      <c r="C541" s="4"/>
      <c r="D541" s="4"/>
      <c r="E541" s="8"/>
      <c r="F541" s="8"/>
      <c r="G541" s="8"/>
      <c r="H541" s="9"/>
    </row>
    <row r="542">
      <c r="A542" s="4"/>
      <c r="C542" s="4"/>
      <c r="D542" s="4"/>
      <c r="E542" s="8"/>
      <c r="F542" s="8"/>
      <c r="G542" s="8"/>
      <c r="H542" s="9"/>
    </row>
    <row r="543">
      <c r="A543" s="4"/>
      <c r="C543" s="4"/>
      <c r="D543" s="4"/>
      <c r="E543" s="8"/>
      <c r="F543" s="8"/>
      <c r="G543" s="8"/>
      <c r="H543" s="9"/>
    </row>
    <row r="544">
      <c r="A544" s="4"/>
      <c r="C544" s="4"/>
      <c r="D544" s="4"/>
      <c r="E544" s="8"/>
      <c r="F544" s="8"/>
      <c r="G544" s="8"/>
      <c r="H544" s="9"/>
    </row>
    <row r="545">
      <c r="A545" s="4"/>
      <c r="C545" s="4"/>
      <c r="D545" s="4"/>
      <c r="E545" s="8"/>
      <c r="F545" s="8"/>
      <c r="G545" s="8"/>
      <c r="H545" s="9"/>
    </row>
    <row r="546">
      <c r="A546" s="4"/>
      <c r="C546" s="4"/>
      <c r="D546" s="4"/>
      <c r="E546" s="8"/>
      <c r="F546" s="8"/>
      <c r="G546" s="8"/>
      <c r="H546" s="9"/>
    </row>
    <row r="547">
      <c r="A547" s="4"/>
      <c r="C547" s="4"/>
      <c r="D547" s="4"/>
      <c r="E547" s="8"/>
      <c r="F547" s="8"/>
      <c r="G547" s="8"/>
      <c r="H547" s="9"/>
    </row>
    <row r="548">
      <c r="A548" s="4"/>
      <c r="C548" s="4"/>
      <c r="D548" s="4"/>
      <c r="E548" s="8"/>
      <c r="F548" s="8"/>
      <c r="G548" s="8"/>
      <c r="H548" s="9"/>
    </row>
    <row r="549">
      <c r="A549" s="4"/>
      <c r="C549" s="4"/>
      <c r="D549" s="4"/>
      <c r="E549" s="8"/>
      <c r="F549" s="8"/>
      <c r="G549" s="8"/>
      <c r="H549" s="9"/>
    </row>
    <row r="550">
      <c r="A550" s="4"/>
      <c r="C550" s="4"/>
      <c r="D550" s="4"/>
      <c r="E550" s="8"/>
      <c r="F550" s="8"/>
      <c r="G550" s="8"/>
      <c r="H550" s="9"/>
    </row>
    <row r="551">
      <c r="A551" s="4"/>
      <c r="C551" s="4"/>
      <c r="D551" s="4"/>
      <c r="E551" s="8"/>
      <c r="F551" s="8"/>
      <c r="G551" s="8"/>
      <c r="H551" s="9"/>
    </row>
    <row r="552">
      <c r="A552" s="4"/>
      <c r="C552" s="4"/>
      <c r="D552" s="4"/>
      <c r="E552" s="8"/>
      <c r="F552" s="8"/>
      <c r="G552" s="8"/>
      <c r="H552" s="9"/>
    </row>
    <row r="553">
      <c r="A553" s="4"/>
      <c r="C553" s="4"/>
      <c r="D553" s="4"/>
      <c r="E553" s="8"/>
      <c r="F553" s="8"/>
      <c r="G553" s="8"/>
      <c r="H553" s="9"/>
    </row>
    <row r="554">
      <c r="A554" s="4"/>
      <c r="C554" s="4"/>
      <c r="D554" s="4"/>
      <c r="E554" s="8"/>
      <c r="F554" s="8"/>
      <c r="G554" s="8"/>
      <c r="H554" s="9"/>
    </row>
    <row r="555">
      <c r="A555" s="4"/>
      <c r="C555" s="4"/>
      <c r="D555" s="4"/>
      <c r="E555" s="8"/>
      <c r="F555" s="8"/>
      <c r="G555" s="8"/>
      <c r="H555" s="9"/>
    </row>
    <row r="556">
      <c r="A556" s="4"/>
      <c r="C556" s="4"/>
      <c r="D556" s="4"/>
      <c r="E556" s="8"/>
      <c r="F556" s="8"/>
      <c r="G556" s="8"/>
      <c r="H556" s="9"/>
    </row>
    <row r="557">
      <c r="A557" s="4"/>
      <c r="C557" s="4"/>
      <c r="D557" s="4"/>
      <c r="E557" s="8"/>
      <c r="F557" s="8"/>
      <c r="G557" s="8"/>
      <c r="H557" s="9"/>
    </row>
    <row r="558">
      <c r="A558" s="4"/>
      <c r="C558" s="4"/>
      <c r="D558" s="4"/>
      <c r="E558" s="8"/>
      <c r="F558" s="8"/>
      <c r="G558" s="8"/>
      <c r="H558" s="9"/>
    </row>
    <row r="559">
      <c r="A559" s="4"/>
      <c r="C559" s="4"/>
      <c r="D559" s="4"/>
      <c r="E559" s="8"/>
      <c r="F559" s="8"/>
      <c r="G559" s="8"/>
      <c r="H559" s="9"/>
    </row>
    <row r="560">
      <c r="A560" s="4"/>
      <c r="C560" s="4"/>
      <c r="D560" s="4"/>
      <c r="E560" s="8"/>
      <c r="F560" s="8"/>
      <c r="G560" s="8"/>
      <c r="H560" s="9"/>
    </row>
    <row r="561">
      <c r="A561" s="4"/>
      <c r="C561" s="4"/>
      <c r="D561" s="4"/>
      <c r="E561" s="8"/>
      <c r="F561" s="8"/>
      <c r="G561" s="8"/>
      <c r="H561" s="9"/>
    </row>
    <row r="562">
      <c r="A562" s="4"/>
      <c r="C562" s="4"/>
      <c r="D562" s="4"/>
      <c r="E562" s="8"/>
      <c r="F562" s="8"/>
      <c r="G562" s="8"/>
      <c r="H562" s="9"/>
    </row>
    <row r="563">
      <c r="A563" s="4"/>
      <c r="C563" s="4"/>
      <c r="D563" s="4"/>
      <c r="E563" s="8"/>
      <c r="F563" s="8"/>
      <c r="G563" s="8"/>
      <c r="H563" s="9"/>
    </row>
    <row r="564">
      <c r="A564" s="4"/>
      <c r="C564" s="4"/>
      <c r="D564" s="4"/>
      <c r="E564" s="8"/>
      <c r="F564" s="8"/>
      <c r="G564" s="8"/>
      <c r="H564" s="9"/>
    </row>
    <row r="565">
      <c r="A565" s="4"/>
      <c r="C565" s="4"/>
      <c r="D565" s="4"/>
      <c r="E565" s="8"/>
      <c r="F565" s="8"/>
      <c r="G565" s="8"/>
      <c r="H565" s="9"/>
    </row>
    <row r="566">
      <c r="A566" s="4"/>
      <c r="C566" s="4"/>
      <c r="D566" s="4"/>
      <c r="E566" s="8"/>
      <c r="F566" s="8"/>
      <c r="G566" s="8"/>
      <c r="H566" s="9"/>
    </row>
    <row r="567">
      <c r="A567" s="4"/>
      <c r="C567" s="4"/>
      <c r="D567" s="4"/>
      <c r="E567" s="8"/>
      <c r="F567" s="8"/>
      <c r="G567" s="8"/>
      <c r="H567" s="9"/>
    </row>
    <row r="568">
      <c r="A568" s="4"/>
      <c r="C568" s="4"/>
      <c r="D568" s="4"/>
      <c r="E568" s="8"/>
      <c r="F568" s="8"/>
      <c r="G568" s="8"/>
      <c r="H568" s="9"/>
    </row>
    <row r="569">
      <c r="A569" s="4"/>
      <c r="C569" s="4"/>
      <c r="D569" s="4"/>
      <c r="E569" s="8"/>
      <c r="F569" s="8"/>
      <c r="G569" s="8"/>
      <c r="H569" s="9"/>
    </row>
    <row r="570">
      <c r="A570" s="4"/>
      <c r="C570" s="4"/>
      <c r="D570" s="4"/>
      <c r="E570" s="8"/>
      <c r="F570" s="8"/>
      <c r="G570" s="8"/>
      <c r="H570" s="9"/>
    </row>
    <row r="571">
      <c r="A571" s="4"/>
      <c r="C571" s="4"/>
      <c r="D571" s="4"/>
      <c r="E571" s="8"/>
      <c r="F571" s="8"/>
      <c r="G571" s="8"/>
      <c r="H571" s="9"/>
    </row>
    <row r="572">
      <c r="A572" s="4"/>
      <c r="C572" s="4"/>
      <c r="D572" s="4"/>
      <c r="E572" s="8"/>
      <c r="F572" s="8"/>
      <c r="G572" s="8"/>
      <c r="H572" s="9"/>
    </row>
    <row r="573">
      <c r="A573" s="4"/>
      <c r="C573" s="4"/>
      <c r="D573" s="4"/>
      <c r="E573" s="8"/>
      <c r="F573" s="8"/>
      <c r="G573" s="8"/>
      <c r="H573" s="9"/>
    </row>
    <row r="574">
      <c r="A574" s="4"/>
      <c r="C574" s="4"/>
      <c r="D574" s="4"/>
      <c r="E574" s="8"/>
      <c r="F574" s="8"/>
      <c r="G574" s="8"/>
      <c r="H574" s="9"/>
    </row>
    <row r="575">
      <c r="A575" s="4"/>
      <c r="C575" s="4"/>
      <c r="D575" s="4"/>
      <c r="E575" s="8"/>
      <c r="F575" s="8"/>
      <c r="G575" s="8"/>
      <c r="H575" s="9"/>
    </row>
    <row r="576">
      <c r="A576" s="4"/>
      <c r="C576" s="4"/>
      <c r="D576" s="4"/>
      <c r="E576" s="8"/>
      <c r="F576" s="8"/>
      <c r="G576" s="8"/>
      <c r="H576" s="9"/>
    </row>
    <row r="577">
      <c r="A577" s="4"/>
      <c r="C577" s="4"/>
      <c r="D577" s="4"/>
      <c r="E577" s="8"/>
      <c r="F577" s="8"/>
      <c r="G577" s="8"/>
      <c r="H577" s="9"/>
    </row>
    <row r="578">
      <c r="A578" s="4"/>
      <c r="C578" s="4"/>
      <c r="D578" s="4"/>
      <c r="E578" s="8"/>
      <c r="F578" s="8"/>
      <c r="G578" s="8"/>
      <c r="H578" s="9"/>
    </row>
    <row r="579">
      <c r="A579" s="4"/>
      <c r="C579" s="4"/>
      <c r="D579" s="4"/>
      <c r="E579" s="8"/>
      <c r="F579" s="8"/>
      <c r="G579" s="8"/>
      <c r="H579" s="9"/>
    </row>
    <row r="580">
      <c r="A580" s="4"/>
      <c r="C580" s="4"/>
      <c r="D580" s="4"/>
      <c r="E580" s="8"/>
      <c r="F580" s="8"/>
      <c r="G580" s="8"/>
      <c r="H580" s="9"/>
    </row>
    <row r="581">
      <c r="A581" s="4"/>
      <c r="C581" s="4"/>
      <c r="D581" s="4"/>
      <c r="E581" s="8"/>
      <c r="F581" s="8"/>
      <c r="G581" s="8"/>
      <c r="H581" s="9"/>
    </row>
    <row r="582">
      <c r="A582" s="4"/>
      <c r="C582" s="4"/>
      <c r="D582" s="4"/>
      <c r="E582" s="8"/>
      <c r="F582" s="8"/>
      <c r="G582" s="8"/>
      <c r="H582" s="9"/>
    </row>
    <row r="583">
      <c r="A583" s="4"/>
      <c r="C583" s="4"/>
      <c r="D583" s="4"/>
      <c r="E583" s="8"/>
      <c r="F583" s="8"/>
      <c r="G583" s="8"/>
      <c r="H583" s="9"/>
    </row>
    <row r="584">
      <c r="A584" s="4"/>
      <c r="C584" s="4"/>
      <c r="D584" s="4"/>
      <c r="E584" s="8"/>
      <c r="F584" s="8"/>
      <c r="G584" s="8"/>
      <c r="H584" s="9"/>
    </row>
    <row r="585">
      <c r="A585" s="4"/>
      <c r="C585" s="4"/>
      <c r="D585" s="4"/>
      <c r="E585" s="8"/>
      <c r="F585" s="8"/>
      <c r="G585" s="8"/>
      <c r="H585" s="9"/>
    </row>
    <row r="586">
      <c r="A586" s="4"/>
      <c r="C586" s="4"/>
      <c r="D586" s="4"/>
      <c r="E586" s="8"/>
      <c r="F586" s="8"/>
      <c r="G586" s="8"/>
      <c r="H586" s="9"/>
    </row>
    <row r="587">
      <c r="A587" s="4"/>
      <c r="C587" s="4"/>
      <c r="D587" s="4"/>
      <c r="E587" s="8"/>
      <c r="F587" s="8"/>
      <c r="G587" s="8"/>
      <c r="H587" s="9"/>
    </row>
    <row r="588">
      <c r="A588" s="4"/>
      <c r="C588" s="4"/>
      <c r="D588" s="4"/>
      <c r="E588" s="8"/>
      <c r="F588" s="8"/>
      <c r="G588" s="8"/>
      <c r="H588" s="9"/>
    </row>
    <row r="589">
      <c r="A589" s="4"/>
      <c r="C589" s="4"/>
      <c r="D589" s="4"/>
      <c r="E589" s="8"/>
      <c r="F589" s="8"/>
      <c r="G589" s="8"/>
      <c r="H589" s="9"/>
    </row>
    <row r="590">
      <c r="A590" s="4"/>
      <c r="C590" s="4"/>
      <c r="D590" s="4"/>
      <c r="E590" s="8"/>
      <c r="F590" s="8"/>
      <c r="G590" s="8"/>
      <c r="H590" s="9"/>
    </row>
    <row r="591">
      <c r="A591" s="4"/>
      <c r="C591" s="4"/>
      <c r="D591" s="4"/>
      <c r="E591" s="8"/>
      <c r="F591" s="8"/>
      <c r="G591" s="8"/>
      <c r="H591" s="9"/>
    </row>
    <row r="592">
      <c r="A592" s="4"/>
      <c r="C592" s="4"/>
      <c r="D592" s="4"/>
      <c r="E592" s="8"/>
      <c r="F592" s="8"/>
      <c r="G592" s="8"/>
      <c r="H592" s="9"/>
    </row>
    <row r="593">
      <c r="A593" s="4"/>
      <c r="C593" s="4"/>
      <c r="D593" s="4"/>
      <c r="E593" s="8"/>
      <c r="F593" s="8"/>
      <c r="G593" s="8"/>
      <c r="H593" s="9"/>
    </row>
    <row r="594">
      <c r="A594" s="4"/>
      <c r="C594" s="4"/>
      <c r="D594" s="4"/>
      <c r="E594" s="8"/>
      <c r="F594" s="8"/>
      <c r="G594" s="8"/>
      <c r="H594" s="9"/>
    </row>
    <row r="595">
      <c r="A595" s="4"/>
      <c r="C595" s="4"/>
      <c r="D595" s="4"/>
      <c r="E595" s="8"/>
      <c r="F595" s="8"/>
      <c r="G595" s="8"/>
      <c r="H595" s="9"/>
    </row>
    <row r="596">
      <c r="A596" s="4"/>
      <c r="C596" s="4"/>
      <c r="D596" s="4"/>
      <c r="E596" s="8"/>
      <c r="F596" s="8"/>
      <c r="G596" s="8"/>
      <c r="H596" s="9"/>
    </row>
    <row r="597">
      <c r="A597" s="4"/>
      <c r="C597" s="4"/>
      <c r="D597" s="4"/>
      <c r="E597" s="8"/>
      <c r="F597" s="8"/>
      <c r="G597" s="8"/>
      <c r="H597" s="9"/>
    </row>
    <row r="598">
      <c r="A598" s="4"/>
      <c r="C598" s="4"/>
      <c r="D598" s="4"/>
      <c r="E598" s="8"/>
      <c r="F598" s="8"/>
      <c r="G598" s="8"/>
      <c r="H598" s="9"/>
    </row>
    <row r="599">
      <c r="A599" s="4"/>
      <c r="C599" s="4"/>
      <c r="D599" s="4"/>
      <c r="E599" s="8"/>
      <c r="F599" s="8"/>
      <c r="G599" s="8"/>
      <c r="H599" s="9"/>
    </row>
    <row r="600">
      <c r="A600" s="4"/>
      <c r="C600" s="4"/>
      <c r="D600" s="4"/>
      <c r="E600" s="8"/>
      <c r="F600" s="8"/>
      <c r="G600" s="8"/>
      <c r="H600" s="9"/>
    </row>
    <row r="601">
      <c r="A601" s="4"/>
      <c r="C601" s="4"/>
      <c r="D601" s="4"/>
      <c r="E601" s="8"/>
      <c r="F601" s="8"/>
      <c r="G601" s="8"/>
      <c r="H601" s="9"/>
    </row>
    <row r="602">
      <c r="A602" s="4"/>
      <c r="C602" s="4"/>
      <c r="D602" s="4"/>
      <c r="E602" s="8"/>
      <c r="F602" s="8"/>
      <c r="G602" s="8"/>
      <c r="H602" s="9"/>
    </row>
    <row r="603">
      <c r="A603" s="4"/>
      <c r="C603" s="4"/>
      <c r="D603" s="4"/>
      <c r="E603" s="8"/>
      <c r="F603" s="8"/>
      <c r="G603" s="8"/>
      <c r="H603" s="9"/>
    </row>
    <row r="604">
      <c r="A604" s="4"/>
      <c r="C604" s="4"/>
      <c r="D604" s="4"/>
      <c r="E604" s="8"/>
      <c r="F604" s="8"/>
      <c r="G604" s="8"/>
      <c r="H604" s="9"/>
    </row>
    <row r="605">
      <c r="A605" s="4"/>
      <c r="C605" s="4"/>
      <c r="D605" s="4"/>
      <c r="E605" s="8"/>
      <c r="F605" s="8"/>
      <c r="G605" s="8"/>
      <c r="H605" s="9"/>
    </row>
    <row r="606">
      <c r="A606" s="4"/>
      <c r="C606" s="4"/>
      <c r="D606" s="4"/>
      <c r="E606" s="8"/>
      <c r="F606" s="8"/>
      <c r="G606" s="8"/>
      <c r="H606" s="9"/>
    </row>
    <row r="607">
      <c r="A607" s="4"/>
      <c r="C607" s="4"/>
      <c r="D607" s="4"/>
      <c r="E607" s="8"/>
      <c r="F607" s="8"/>
      <c r="G607" s="8"/>
      <c r="H607" s="9"/>
    </row>
    <row r="608">
      <c r="A608" s="4"/>
      <c r="C608" s="4"/>
      <c r="D608" s="4"/>
      <c r="E608" s="8"/>
      <c r="F608" s="8"/>
      <c r="G608" s="8"/>
      <c r="H608" s="9"/>
    </row>
    <row r="609">
      <c r="A609" s="4"/>
      <c r="C609" s="4"/>
      <c r="D609" s="4"/>
      <c r="E609" s="8"/>
      <c r="F609" s="8"/>
      <c r="G609" s="8"/>
      <c r="H609" s="9"/>
    </row>
    <row r="610">
      <c r="A610" s="4"/>
      <c r="C610" s="4"/>
      <c r="D610" s="4"/>
      <c r="E610" s="8"/>
      <c r="F610" s="8"/>
      <c r="G610" s="8"/>
      <c r="H610" s="9"/>
    </row>
    <row r="611">
      <c r="A611" s="4"/>
      <c r="C611" s="4"/>
      <c r="D611" s="4"/>
      <c r="E611" s="8"/>
      <c r="F611" s="8"/>
      <c r="G611" s="8"/>
      <c r="H611" s="9"/>
    </row>
    <row r="612">
      <c r="A612" s="4"/>
      <c r="C612" s="4"/>
      <c r="D612" s="4"/>
      <c r="E612" s="8"/>
      <c r="F612" s="8"/>
      <c r="G612" s="8"/>
      <c r="H612" s="9"/>
    </row>
    <row r="613">
      <c r="A613" s="4"/>
      <c r="C613" s="4"/>
      <c r="D613" s="4"/>
      <c r="E613" s="8"/>
      <c r="F613" s="8"/>
      <c r="G613" s="8"/>
      <c r="H613" s="9"/>
    </row>
    <row r="614">
      <c r="A614" s="4"/>
      <c r="C614" s="4"/>
      <c r="D614" s="4"/>
      <c r="E614" s="8"/>
      <c r="F614" s="8"/>
      <c r="G614" s="8"/>
      <c r="H614" s="9"/>
    </row>
    <row r="615">
      <c r="A615" s="4"/>
      <c r="C615" s="4"/>
      <c r="D615" s="4"/>
      <c r="E615" s="8"/>
      <c r="F615" s="8"/>
      <c r="G615" s="8"/>
      <c r="H615" s="9"/>
    </row>
    <row r="616">
      <c r="A616" s="4"/>
      <c r="C616" s="4"/>
      <c r="D616" s="4"/>
      <c r="E616" s="8"/>
      <c r="F616" s="8"/>
      <c r="G616" s="8"/>
      <c r="H616" s="9"/>
    </row>
    <row r="617">
      <c r="A617" s="4"/>
      <c r="C617" s="4"/>
      <c r="D617" s="4"/>
      <c r="E617" s="8"/>
      <c r="F617" s="8"/>
      <c r="G617" s="8"/>
      <c r="H617" s="9"/>
    </row>
    <row r="618">
      <c r="A618" s="4"/>
      <c r="C618" s="4"/>
      <c r="D618" s="4"/>
      <c r="E618" s="8"/>
      <c r="F618" s="8"/>
      <c r="G618" s="8"/>
      <c r="H618" s="9"/>
    </row>
    <row r="619">
      <c r="A619" s="4"/>
      <c r="C619" s="4"/>
      <c r="D619" s="4"/>
      <c r="E619" s="8"/>
      <c r="F619" s="8"/>
      <c r="G619" s="8"/>
      <c r="H619" s="9"/>
    </row>
    <row r="620">
      <c r="A620" s="4"/>
      <c r="C620" s="4"/>
      <c r="D620" s="4"/>
      <c r="E620" s="8"/>
      <c r="F620" s="8"/>
      <c r="G620" s="8"/>
      <c r="H620" s="9"/>
    </row>
    <row r="621">
      <c r="A621" s="4"/>
      <c r="C621" s="4"/>
      <c r="D621" s="4"/>
      <c r="E621" s="8"/>
      <c r="F621" s="8"/>
      <c r="G621" s="8"/>
      <c r="H621" s="9"/>
    </row>
    <row r="622">
      <c r="A622" s="4"/>
      <c r="C622" s="4"/>
      <c r="D622" s="4"/>
      <c r="E622" s="8"/>
      <c r="F622" s="8"/>
      <c r="G622" s="8"/>
      <c r="H622" s="9"/>
    </row>
    <row r="623">
      <c r="A623" s="4"/>
      <c r="C623" s="4"/>
      <c r="D623" s="4"/>
      <c r="E623" s="8"/>
      <c r="F623" s="8"/>
      <c r="G623" s="8"/>
      <c r="H623" s="9"/>
    </row>
    <row r="624">
      <c r="A624" s="4"/>
      <c r="C624" s="4"/>
      <c r="D624" s="4"/>
      <c r="E624" s="8"/>
      <c r="F624" s="8"/>
      <c r="G624" s="8"/>
      <c r="H624" s="9"/>
    </row>
    <row r="625">
      <c r="A625" s="4"/>
      <c r="C625" s="4"/>
      <c r="D625" s="4"/>
      <c r="E625" s="8"/>
      <c r="F625" s="8"/>
      <c r="G625" s="8"/>
      <c r="H625" s="9"/>
    </row>
    <row r="626">
      <c r="A626" s="4"/>
      <c r="C626" s="4"/>
      <c r="D626" s="4"/>
      <c r="E626" s="8"/>
      <c r="F626" s="8"/>
      <c r="G626" s="8"/>
      <c r="H626" s="9"/>
    </row>
    <row r="627">
      <c r="A627" s="4"/>
      <c r="C627" s="4"/>
      <c r="D627" s="4"/>
      <c r="E627" s="8"/>
      <c r="F627" s="8"/>
      <c r="G627" s="8"/>
      <c r="H627" s="9"/>
    </row>
    <row r="628">
      <c r="A628" s="4"/>
      <c r="C628" s="4"/>
      <c r="D628" s="4"/>
      <c r="E628" s="8"/>
      <c r="F628" s="8"/>
      <c r="G628" s="8"/>
      <c r="H628" s="9"/>
    </row>
    <row r="629">
      <c r="A629" s="4"/>
      <c r="C629" s="4"/>
      <c r="D629" s="4"/>
      <c r="E629" s="8"/>
      <c r="F629" s="8"/>
      <c r="G629" s="8"/>
      <c r="H629" s="9"/>
    </row>
    <row r="630">
      <c r="A630" s="4"/>
      <c r="C630" s="4"/>
      <c r="D630" s="4"/>
      <c r="E630" s="8"/>
      <c r="F630" s="8"/>
      <c r="G630" s="8"/>
      <c r="H630" s="9"/>
    </row>
    <row r="631">
      <c r="A631" s="4"/>
      <c r="C631" s="4"/>
      <c r="D631" s="4"/>
      <c r="E631" s="8"/>
      <c r="F631" s="8"/>
      <c r="G631" s="8"/>
      <c r="H631" s="9"/>
    </row>
    <row r="632">
      <c r="A632" s="4"/>
      <c r="C632" s="4"/>
      <c r="D632" s="4"/>
      <c r="E632" s="8"/>
      <c r="F632" s="8"/>
      <c r="G632" s="8"/>
      <c r="H632" s="9"/>
    </row>
    <row r="633">
      <c r="A633" s="4"/>
      <c r="C633" s="4"/>
      <c r="D633" s="4"/>
      <c r="E633" s="8"/>
      <c r="F633" s="8"/>
      <c r="G633" s="8"/>
      <c r="H633" s="9"/>
    </row>
    <row r="634">
      <c r="A634" s="4"/>
      <c r="C634" s="4"/>
      <c r="D634" s="4"/>
      <c r="E634" s="8"/>
      <c r="F634" s="8"/>
      <c r="G634" s="8"/>
      <c r="H634" s="9"/>
    </row>
    <row r="635">
      <c r="A635" s="4"/>
      <c r="C635" s="4"/>
      <c r="D635" s="4"/>
      <c r="E635" s="8"/>
      <c r="F635" s="8"/>
      <c r="G635" s="8"/>
      <c r="H635" s="9"/>
    </row>
    <row r="636">
      <c r="A636" s="4"/>
      <c r="C636" s="4"/>
      <c r="D636" s="4"/>
      <c r="E636" s="8"/>
      <c r="F636" s="8"/>
      <c r="G636" s="8"/>
      <c r="H636" s="9"/>
    </row>
    <row r="637">
      <c r="A637" s="4"/>
      <c r="C637" s="4"/>
      <c r="D637" s="4"/>
      <c r="E637" s="8"/>
      <c r="F637" s="8"/>
      <c r="G637" s="8"/>
      <c r="H637" s="9"/>
    </row>
    <row r="638">
      <c r="A638" s="4"/>
      <c r="C638" s="4"/>
      <c r="D638" s="4"/>
      <c r="E638" s="8"/>
      <c r="F638" s="8"/>
      <c r="G638" s="8"/>
      <c r="H638" s="9"/>
    </row>
    <row r="639">
      <c r="A639" s="4"/>
      <c r="C639" s="4"/>
      <c r="D639" s="4"/>
      <c r="E639" s="8"/>
      <c r="F639" s="8"/>
      <c r="G639" s="8"/>
      <c r="H639" s="9"/>
    </row>
    <row r="640">
      <c r="A640" s="4"/>
      <c r="C640" s="4"/>
      <c r="D640" s="4"/>
      <c r="E640" s="8"/>
      <c r="F640" s="8"/>
      <c r="G640" s="8"/>
      <c r="H640" s="9"/>
    </row>
    <row r="641">
      <c r="A641" s="4"/>
      <c r="C641" s="4"/>
      <c r="D641" s="4"/>
      <c r="E641" s="8"/>
      <c r="F641" s="8"/>
      <c r="G641" s="8"/>
      <c r="H641" s="9"/>
    </row>
    <row r="642">
      <c r="A642" s="4"/>
      <c r="C642" s="4"/>
      <c r="D642" s="4"/>
      <c r="E642" s="8"/>
      <c r="F642" s="8"/>
      <c r="G642" s="8"/>
      <c r="H642" s="9"/>
    </row>
    <row r="643">
      <c r="A643" s="4"/>
      <c r="C643" s="4"/>
      <c r="D643" s="4"/>
      <c r="E643" s="8"/>
      <c r="F643" s="8"/>
      <c r="G643" s="8"/>
      <c r="H643" s="9"/>
    </row>
    <row r="644">
      <c r="A644" s="4"/>
      <c r="C644" s="4"/>
      <c r="D644" s="4"/>
      <c r="E644" s="8"/>
      <c r="F644" s="8"/>
      <c r="G644" s="8"/>
      <c r="H644" s="9"/>
    </row>
    <row r="645">
      <c r="A645" s="4"/>
      <c r="C645" s="4"/>
      <c r="D645" s="4"/>
      <c r="E645" s="8"/>
      <c r="F645" s="8"/>
      <c r="G645" s="8"/>
      <c r="H645" s="9"/>
    </row>
    <row r="646">
      <c r="A646" s="4"/>
      <c r="C646" s="4"/>
      <c r="D646" s="4"/>
      <c r="E646" s="8"/>
      <c r="F646" s="8"/>
      <c r="G646" s="8"/>
      <c r="H646" s="9"/>
    </row>
    <row r="647">
      <c r="A647" s="4"/>
      <c r="C647" s="4"/>
      <c r="D647" s="4"/>
      <c r="E647" s="8"/>
      <c r="F647" s="8"/>
      <c r="G647" s="8"/>
      <c r="H647" s="9"/>
    </row>
    <row r="648">
      <c r="A648" s="4"/>
      <c r="C648" s="4"/>
      <c r="D648" s="4"/>
      <c r="E648" s="8"/>
      <c r="F648" s="8"/>
      <c r="G648" s="8"/>
      <c r="H648" s="9"/>
    </row>
    <row r="649">
      <c r="A649" s="4"/>
      <c r="C649" s="4"/>
      <c r="D649" s="4"/>
      <c r="E649" s="8"/>
      <c r="F649" s="8"/>
      <c r="G649" s="8"/>
      <c r="H649" s="9"/>
    </row>
    <row r="650">
      <c r="A650" s="4"/>
      <c r="C650" s="4"/>
      <c r="D650" s="4"/>
      <c r="E650" s="8"/>
      <c r="F650" s="8"/>
      <c r="G650" s="8"/>
      <c r="H650" s="9"/>
    </row>
    <row r="651">
      <c r="A651" s="4"/>
      <c r="C651" s="4"/>
      <c r="D651" s="4"/>
      <c r="E651" s="8"/>
      <c r="F651" s="8"/>
      <c r="G651" s="8"/>
      <c r="H651" s="9"/>
    </row>
    <row r="652">
      <c r="A652" s="4"/>
      <c r="C652" s="4"/>
      <c r="D652" s="4"/>
      <c r="E652" s="8"/>
      <c r="F652" s="8"/>
      <c r="G652" s="8"/>
      <c r="H652" s="9"/>
    </row>
    <row r="653">
      <c r="A653" s="4"/>
      <c r="C653" s="4"/>
      <c r="D653" s="4"/>
      <c r="E653" s="8"/>
      <c r="F653" s="8"/>
      <c r="G653" s="8"/>
      <c r="H653" s="9"/>
    </row>
    <row r="654">
      <c r="A654" s="4"/>
      <c r="C654" s="4"/>
      <c r="D654" s="4"/>
      <c r="E654" s="8"/>
      <c r="F654" s="8"/>
      <c r="G654" s="8"/>
      <c r="H654" s="9"/>
    </row>
    <row r="655">
      <c r="A655" s="4"/>
      <c r="C655" s="4"/>
      <c r="D655" s="4"/>
      <c r="E655" s="8"/>
      <c r="F655" s="8"/>
      <c r="G655" s="8"/>
      <c r="H655" s="9"/>
    </row>
    <row r="656">
      <c r="A656" s="4"/>
      <c r="C656" s="4"/>
      <c r="D656" s="4"/>
      <c r="E656" s="8"/>
      <c r="F656" s="8"/>
      <c r="G656" s="8"/>
      <c r="H656" s="9"/>
    </row>
    <row r="657">
      <c r="A657" s="4"/>
      <c r="C657" s="4"/>
      <c r="D657" s="4"/>
      <c r="E657" s="8"/>
      <c r="F657" s="8"/>
      <c r="G657" s="8"/>
      <c r="H657" s="9"/>
    </row>
    <row r="658">
      <c r="A658" s="4"/>
      <c r="C658" s="4"/>
      <c r="D658" s="4"/>
      <c r="E658" s="8"/>
      <c r="F658" s="8"/>
      <c r="G658" s="8"/>
      <c r="H658" s="9"/>
    </row>
    <row r="659">
      <c r="A659" s="4"/>
      <c r="C659" s="4"/>
      <c r="D659" s="4"/>
      <c r="E659" s="8"/>
      <c r="F659" s="8"/>
      <c r="G659" s="8"/>
      <c r="H659" s="9"/>
    </row>
    <row r="660">
      <c r="A660" s="4"/>
      <c r="C660" s="4"/>
      <c r="D660" s="4"/>
      <c r="E660" s="8"/>
      <c r="F660" s="8"/>
      <c r="G660" s="8"/>
      <c r="H660" s="9"/>
    </row>
    <row r="661">
      <c r="A661" s="4"/>
      <c r="C661" s="4"/>
      <c r="D661" s="4"/>
      <c r="E661" s="8"/>
      <c r="F661" s="8"/>
      <c r="G661" s="8"/>
      <c r="H661" s="9"/>
    </row>
    <row r="662">
      <c r="A662" s="4"/>
      <c r="C662" s="4"/>
      <c r="D662" s="4"/>
      <c r="E662" s="8"/>
      <c r="F662" s="8"/>
      <c r="G662" s="8"/>
      <c r="H662" s="9"/>
    </row>
    <row r="663">
      <c r="A663" s="4"/>
      <c r="C663" s="4"/>
      <c r="D663" s="4"/>
      <c r="E663" s="8"/>
      <c r="F663" s="8"/>
      <c r="G663" s="8"/>
      <c r="H663" s="9"/>
    </row>
    <row r="664">
      <c r="A664" s="4"/>
      <c r="C664" s="4"/>
      <c r="D664" s="4"/>
      <c r="E664" s="8"/>
      <c r="F664" s="8"/>
      <c r="G664" s="8"/>
      <c r="H664" s="9"/>
    </row>
    <row r="665">
      <c r="A665" s="4"/>
      <c r="C665" s="4"/>
      <c r="D665" s="4"/>
      <c r="E665" s="8"/>
      <c r="F665" s="8"/>
      <c r="G665" s="8"/>
      <c r="H665" s="9"/>
    </row>
    <row r="666">
      <c r="A666" s="4"/>
      <c r="C666" s="4"/>
      <c r="D666" s="4"/>
      <c r="E666" s="8"/>
      <c r="F666" s="8"/>
      <c r="G666" s="8"/>
      <c r="H666" s="9"/>
    </row>
    <row r="667">
      <c r="A667" s="4"/>
      <c r="C667" s="4"/>
      <c r="D667" s="4"/>
      <c r="E667" s="8"/>
      <c r="F667" s="8"/>
      <c r="G667" s="8"/>
      <c r="H667" s="9"/>
    </row>
    <row r="668">
      <c r="A668" s="4"/>
      <c r="C668" s="4"/>
      <c r="D668" s="4"/>
      <c r="E668" s="8"/>
      <c r="F668" s="8"/>
      <c r="G668" s="8"/>
      <c r="H668" s="9"/>
    </row>
    <row r="669">
      <c r="A669" s="4"/>
      <c r="C669" s="4"/>
      <c r="D669" s="4"/>
      <c r="E669" s="8"/>
      <c r="F669" s="8"/>
      <c r="G669" s="8"/>
      <c r="H669" s="9"/>
    </row>
    <row r="670">
      <c r="A670" s="4"/>
      <c r="C670" s="4"/>
      <c r="D670" s="4"/>
      <c r="E670" s="8"/>
      <c r="F670" s="8"/>
      <c r="G670" s="8"/>
      <c r="H670" s="9"/>
    </row>
    <row r="671">
      <c r="A671" s="4"/>
      <c r="C671" s="4"/>
      <c r="D671" s="4"/>
      <c r="E671" s="8"/>
      <c r="F671" s="8"/>
      <c r="G671" s="8"/>
      <c r="H671" s="9"/>
    </row>
    <row r="672">
      <c r="A672" s="4"/>
      <c r="C672" s="4"/>
      <c r="D672" s="4"/>
      <c r="E672" s="8"/>
      <c r="F672" s="8"/>
      <c r="G672" s="8"/>
      <c r="H672" s="9"/>
    </row>
    <row r="673">
      <c r="A673" s="4"/>
      <c r="C673" s="4"/>
      <c r="D673" s="4"/>
      <c r="E673" s="8"/>
      <c r="F673" s="8"/>
      <c r="G673" s="8"/>
      <c r="H673" s="9"/>
    </row>
    <row r="674">
      <c r="A674" s="4"/>
      <c r="C674" s="4"/>
      <c r="D674" s="4"/>
      <c r="E674" s="8"/>
      <c r="F674" s="8"/>
      <c r="G674" s="8"/>
      <c r="H674" s="9"/>
    </row>
    <row r="675">
      <c r="A675" s="4"/>
      <c r="C675" s="4"/>
      <c r="D675" s="4"/>
      <c r="E675" s="8"/>
      <c r="F675" s="8"/>
      <c r="G675" s="8"/>
      <c r="H675" s="9"/>
    </row>
    <row r="676">
      <c r="A676" s="4"/>
      <c r="C676" s="4"/>
      <c r="D676" s="4"/>
      <c r="E676" s="8"/>
      <c r="F676" s="8"/>
      <c r="G676" s="8"/>
      <c r="H676" s="9"/>
    </row>
    <row r="677">
      <c r="A677" s="4"/>
      <c r="C677" s="4"/>
      <c r="D677" s="4"/>
      <c r="E677" s="8"/>
      <c r="F677" s="8"/>
      <c r="G677" s="8"/>
      <c r="H677" s="9"/>
    </row>
    <row r="678">
      <c r="A678" s="4"/>
      <c r="C678" s="4"/>
      <c r="D678" s="4"/>
      <c r="E678" s="8"/>
      <c r="F678" s="8"/>
      <c r="G678" s="8"/>
      <c r="H678" s="9"/>
    </row>
    <row r="679">
      <c r="A679" s="4"/>
      <c r="C679" s="4"/>
      <c r="D679" s="4"/>
      <c r="E679" s="8"/>
      <c r="F679" s="8"/>
      <c r="G679" s="8"/>
      <c r="H679" s="9"/>
    </row>
    <row r="680">
      <c r="A680" s="4"/>
      <c r="C680" s="4"/>
      <c r="D680" s="4"/>
      <c r="E680" s="8"/>
      <c r="F680" s="8"/>
      <c r="G680" s="8"/>
      <c r="H680" s="9"/>
    </row>
    <row r="681">
      <c r="A681" s="4"/>
      <c r="C681" s="4"/>
      <c r="D681" s="4"/>
      <c r="E681" s="8"/>
      <c r="F681" s="8"/>
      <c r="G681" s="8"/>
      <c r="H681" s="9"/>
    </row>
    <row r="682">
      <c r="A682" s="4"/>
      <c r="C682" s="4"/>
      <c r="D682" s="4"/>
      <c r="E682" s="8"/>
      <c r="F682" s="8"/>
      <c r="G682" s="8"/>
      <c r="H682" s="9"/>
    </row>
    <row r="683">
      <c r="A683" s="4"/>
      <c r="C683" s="4"/>
      <c r="D683" s="4"/>
      <c r="E683" s="8"/>
      <c r="F683" s="8"/>
      <c r="G683" s="8"/>
      <c r="H683" s="9"/>
    </row>
    <row r="684">
      <c r="A684" s="4"/>
      <c r="C684" s="4"/>
      <c r="D684" s="4"/>
      <c r="E684" s="8"/>
      <c r="F684" s="8"/>
      <c r="G684" s="8"/>
      <c r="H684" s="9"/>
    </row>
    <row r="685">
      <c r="A685" s="4"/>
      <c r="C685" s="4"/>
      <c r="D685" s="4"/>
      <c r="E685" s="8"/>
      <c r="F685" s="8"/>
      <c r="G685" s="8"/>
      <c r="H685" s="9"/>
    </row>
    <row r="686">
      <c r="A686" s="4"/>
      <c r="C686" s="4"/>
      <c r="D686" s="4"/>
      <c r="E686" s="8"/>
      <c r="F686" s="8"/>
      <c r="G686" s="8"/>
      <c r="H686" s="9"/>
    </row>
    <row r="687">
      <c r="A687" s="4"/>
      <c r="C687" s="4"/>
      <c r="D687" s="4"/>
      <c r="E687" s="8"/>
      <c r="F687" s="8"/>
      <c r="G687" s="8"/>
      <c r="H687" s="9"/>
    </row>
    <row r="688">
      <c r="A688" s="4"/>
      <c r="C688" s="4"/>
      <c r="D688" s="4"/>
      <c r="E688" s="8"/>
      <c r="F688" s="8"/>
      <c r="G688" s="8"/>
      <c r="H688" s="9"/>
    </row>
    <row r="689">
      <c r="A689" s="4"/>
      <c r="C689" s="4"/>
      <c r="D689" s="4"/>
      <c r="E689" s="8"/>
      <c r="F689" s="8"/>
      <c r="G689" s="8"/>
      <c r="H689" s="9"/>
    </row>
    <row r="690">
      <c r="A690" s="4"/>
      <c r="C690" s="4"/>
      <c r="D690" s="4"/>
      <c r="E690" s="8"/>
      <c r="F690" s="8"/>
      <c r="G690" s="8"/>
      <c r="H690" s="9"/>
    </row>
    <row r="691">
      <c r="A691" s="4"/>
      <c r="C691" s="4"/>
      <c r="D691" s="4"/>
      <c r="E691" s="8"/>
      <c r="F691" s="8"/>
      <c r="G691" s="8"/>
      <c r="H691" s="9"/>
    </row>
    <row r="692">
      <c r="A692" s="4"/>
      <c r="C692" s="4"/>
      <c r="D692" s="4"/>
      <c r="E692" s="8"/>
      <c r="F692" s="8"/>
      <c r="G692" s="8"/>
      <c r="H692" s="9"/>
    </row>
    <row r="693">
      <c r="A693" s="4"/>
      <c r="C693" s="4"/>
      <c r="D693" s="4"/>
      <c r="E693" s="8"/>
      <c r="F693" s="8"/>
      <c r="G693" s="8"/>
      <c r="H693" s="9"/>
    </row>
    <row r="694">
      <c r="A694" s="4"/>
      <c r="C694" s="4"/>
      <c r="D694" s="4"/>
      <c r="E694" s="8"/>
      <c r="F694" s="8"/>
      <c r="G694" s="8"/>
      <c r="H694" s="9"/>
    </row>
    <row r="695">
      <c r="A695" s="4"/>
      <c r="C695" s="4"/>
      <c r="D695" s="4"/>
      <c r="E695" s="8"/>
      <c r="F695" s="8"/>
      <c r="G695" s="8"/>
      <c r="H695" s="9"/>
    </row>
    <row r="696">
      <c r="A696" s="4"/>
      <c r="C696" s="4"/>
      <c r="D696" s="4"/>
      <c r="E696" s="8"/>
      <c r="F696" s="8"/>
      <c r="G696" s="8"/>
      <c r="H696" s="9"/>
    </row>
    <row r="697">
      <c r="A697" s="4"/>
      <c r="C697" s="4"/>
      <c r="D697" s="4"/>
      <c r="E697" s="8"/>
      <c r="F697" s="8"/>
      <c r="G697" s="8"/>
      <c r="H697" s="9"/>
    </row>
    <row r="698">
      <c r="A698" s="4"/>
      <c r="C698" s="4"/>
      <c r="D698" s="4"/>
      <c r="E698" s="8"/>
      <c r="F698" s="8"/>
      <c r="G698" s="8"/>
      <c r="H698" s="9"/>
    </row>
    <row r="699">
      <c r="A699" s="4"/>
      <c r="C699" s="4"/>
      <c r="D699" s="4"/>
      <c r="E699" s="8"/>
      <c r="F699" s="8"/>
      <c r="G699" s="8"/>
      <c r="H699" s="9"/>
    </row>
    <row r="700">
      <c r="A700" s="4"/>
      <c r="C700" s="4"/>
      <c r="D700" s="4"/>
      <c r="E700" s="8"/>
      <c r="F700" s="8"/>
      <c r="G700" s="8"/>
      <c r="H700" s="9"/>
    </row>
    <row r="701">
      <c r="A701" s="4"/>
      <c r="C701" s="4"/>
      <c r="D701" s="4"/>
      <c r="E701" s="8"/>
      <c r="F701" s="8"/>
      <c r="G701" s="8"/>
      <c r="H701" s="9"/>
    </row>
    <row r="702">
      <c r="A702" s="4"/>
      <c r="C702" s="4"/>
      <c r="D702" s="4"/>
      <c r="E702" s="8"/>
      <c r="F702" s="8"/>
      <c r="G702" s="8"/>
      <c r="H702" s="9"/>
    </row>
    <row r="703">
      <c r="A703" s="4"/>
      <c r="C703" s="4"/>
      <c r="D703" s="4"/>
      <c r="E703" s="8"/>
      <c r="F703" s="8"/>
      <c r="G703" s="8"/>
      <c r="H703" s="9"/>
    </row>
    <row r="704">
      <c r="A704" s="4"/>
      <c r="C704" s="4"/>
      <c r="D704" s="4"/>
      <c r="E704" s="8"/>
      <c r="F704" s="8"/>
      <c r="G704" s="8"/>
      <c r="H704" s="9"/>
    </row>
    <row r="705">
      <c r="A705" s="4"/>
      <c r="C705" s="4"/>
      <c r="D705" s="4"/>
      <c r="E705" s="8"/>
      <c r="F705" s="8"/>
      <c r="G705" s="8"/>
      <c r="H705" s="9"/>
    </row>
    <row r="706">
      <c r="A706" s="4"/>
      <c r="C706" s="4"/>
      <c r="D706" s="4"/>
      <c r="E706" s="8"/>
      <c r="F706" s="8"/>
      <c r="G706" s="8"/>
      <c r="H706" s="9"/>
    </row>
    <row r="707">
      <c r="A707" s="4"/>
      <c r="C707" s="4"/>
      <c r="D707" s="4"/>
      <c r="E707" s="8"/>
      <c r="F707" s="8"/>
      <c r="G707" s="8"/>
      <c r="H707" s="9"/>
    </row>
    <row r="708">
      <c r="A708" s="4"/>
      <c r="C708" s="4"/>
      <c r="D708" s="4"/>
      <c r="E708" s="8"/>
      <c r="F708" s="8"/>
      <c r="G708" s="8"/>
      <c r="H708" s="9"/>
    </row>
    <row r="709">
      <c r="A709" s="4"/>
      <c r="C709" s="4"/>
      <c r="D709" s="4"/>
      <c r="E709" s="8"/>
      <c r="F709" s="8"/>
      <c r="G709" s="8"/>
      <c r="H709" s="9"/>
    </row>
    <row r="710">
      <c r="A710" s="4"/>
      <c r="C710" s="4"/>
      <c r="D710" s="4"/>
      <c r="E710" s="8"/>
      <c r="F710" s="8"/>
      <c r="G710" s="8"/>
      <c r="H710" s="9"/>
    </row>
    <row r="711">
      <c r="A711" s="4"/>
      <c r="C711" s="4"/>
      <c r="D711" s="4"/>
      <c r="E711" s="8"/>
      <c r="F711" s="8"/>
      <c r="G711" s="8"/>
      <c r="H711" s="9"/>
    </row>
    <row r="712">
      <c r="A712" s="4"/>
      <c r="C712" s="4"/>
      <c r="D712" s="4"/>
      <c r="E712" s="8"/>
      <c r="F712" s="8"/>
      <c r="G712" s="8"/>
      <c r="H712" s="9"/>
    </row>
    <row r="713">
      <c r="A713" s="4"/>
      <c r="C713" s="4"/>
      <c r="D713" s="4"/>
      <c r="E713" s="8"/>
      <c r="F713" s="8"/>
      <c r="G713" s="8"/>
      <c r="H713" s="9"/>
    </row>
    <row r="714">
      <c r="A714" s="4"/>
      <c r="C714" s="4"/>
      <c r="D714" s="4"/>
      <c r="E714" s="8"/>
      <c r="F714" s="8"/>
      <c r="G714" s="8"/>
      <c r="H714" s="9"/>
    </row>
    <row r="715">
      <c r="A715" s="4"/>
      <c r="C715" s="4"/>
      <c r="D715" s="4"/>
      <c r="E715" s="8"/>
      <c r="F715" s="8"/>
      <c r="G715" s="8"/>
      <c r="H715" s="9"/>
    </row>
    <row r="716">
      <c r="A716" s="4"/>
      <c r="C716" s="4"/>
      <c r="D716" s="4"/>
      <c r="E716" s="8"/>
      <c r="F716" s="8"/>
      <c r="G716" s="8"/>
      <c r="H716" s="9"/>
    </row>
    <row r="717">
      <c r="A717" s="4"/>
      <c r="C717" s="4"/>
      <c r="D717" s="4"/>
      <c r="E717" s="8"/>
      <c r="F717" s="8"/>
      <c r="G717" s="8"/>
      <c r="H717" s="9"/>
    </row>
    <row r="718">
      <c r="A718" s="4"/>
      <c r="C718" s="4"/>
      <c r="D718" s="4"/>
      <c r="E718" s="8"/>
      <c r="F718" s="8"/>
      <c r="G718" s="8"/>
      <c r="H718" s="9"/>
    </row>
    <row r="719">
      <c r="A719" s="4"/>
      <c r="C719" s="4"/>
      <c r="D719" s="4"/>
      <c r="E719" s="8"/>
      <c r="F719" s="8"/>
      <c r="G719" s="8"/>
      <c r="H719" s="9"/>
    </row>
    <row r="720">
      <c r="A720" s="4"/>
      <c r="C720" s="4"/>
      <c r="D720" s="4"/>
      <c r="E720" s="8"/>
      <c r="F720" s="8"/>
      <c r="G720" s="8"/>
      <c r="H720" s="9"/>
    </row>
    <row r="721">
      <c r="A721" s="4"/>
      <c r="C721" s="4"/>
      <c r="D721" s="4"/>
      <c r="E721" s="8"/>
      <c r="F721" s="8"/>
      <c r="G721" s="8"/>
      <c r="H721" s="9"/>
    </row>
    <row r="722">
      <c r="A722" s="4"/>
      <c r="C722" s="4"/>
      <c r="D722" s="4"/>
      <c r="E722" s="8"/>
      <c r="F722" s="8"/>
      <c r="G722" s="8"/>
      <c r="H722" s="9"/>
    </row>
    <row r="723">
      <c r="A723" s="4"/>
      <c r="C723" s="4"/>
      <c r="D723" s="4"/>
      <c r="E723" s="8"/>
      <c r="F723" s="8"/>
      <c r="G723" s="8"/>
      <c r="H723" s="9"/>
    </row>
    <row r="724">
      <c r="A724" s="4"/>
      <c r="C724" s="4"/>
      <c r="D724" s="4"/>
      <c r="E724" s="8"/>
      <c r="F724" s="8"/>
      <c r="G724" s="8"/>
      <c r="H724" s="9"/>
    </row>
    <row r="725">
      <c r="A725" s="4"/>
      <c r="C725" s="4"/>
      <c r="D725" s="4"/>
      <c r="E725" s="8"/>
      <c r="F725" s="8"/>
      <c r="G725" s="8"/>
      <c r="H725" s="9"/>
    </row>
    <row r="726">
      <c r="A726" s="4"/>
      <c r="C726" s="4"/>
      <c r="D726" s="4"/>
      <c r="E726" s="8"/>
      <c r="F726" s="8"/>
      <c r="G726" s="8"/>
      <c r="H726" s="9"/>
    </row>
    <row r="727">
      <c r="A727" s="4"/>
      <c r="C727" s="4"/>
      <c r="D727" s="4"/>
      <c r="E727" s="8"/>
      <c r="F727" s="8"/>
      <c r="G727" s="8"/>
      <c r="H727" s="9"/>
    </row>
    <row r="728">
      <c r="A728" s="4"/>
      <c r="C728" s="4"/>
      <c r="D728" s="4"/>
      <c r="E728" s="8"/>
      <c r="F728" s="8"/>
      <c r="G728" s="8"/>
      <c r="H728" s="9"/>
    </row>
    <row r="729">
      <c r="A729" s="4"/>
      <c r="C729" s="4"/>
      <c r="D729" s="4"/>
      <c r="E729" s="8"/>
      <c r="F729" s="8"/>
      <c r="G729" s="8"/>
      <c r="H729" s="9"/>
    </row>
    <row r="730">
      <c r="A730" s="4"/>
      <c r="C730" s="4"/>
      <c r="D730" s="4"/>
      <c r="E730" s="8"/>
      <c r="F730" s="8"/>
      <c r="G730" s="8"/>
      <c r="H730" s="9"/>
    </row>
    <row r="731">
      <c r="A731" s="4"/>
      <c r="C731" s="4"/>
      <c r="D731" s="4"/>
      <c r="E731" s="8"/>
      <c r="F731" s="8"/>
      <c r="G731" s="8"/>
      <c r="H731" s="9"/>
    </row>
    <row r="732">
      <c r="A732" s="4"/>
      <c r="C732" s="4"/>
      <c r="D732" s="4"/>
      <c r="E732" s="8"/>
      <c r="F732" s="8"/>
      <c r="G732" s="8"/>
      <c r="H732" s="9"/>
    </row>
    <row r="733">
      <c r="A733" s="4"/>
      <c r="C733" s="4"/>
      <c r="D733" s="4"/>
      <c r="E733" s="8"/>
      <c r="F733" s="8"/>
      <c r="G733" s="8"/>
      <c r="H733" s="9"/>
    </row>
    <row r="734">
      <c r="A734" s="4"/>
      <c r="C734" s="4"/>
      <c r="D734" s="4"/>
      <c r="E734" s="8"/>
      <c r="F734" s="8"/>
      <c r="G734" s="8"/>
      <c r="H734" s="9"/>
    </row>
    <row r="735">
      <c r="A735" s="4"/>
      <c r="C735" s="4"/>
      <c r="D735" s="4"/>
      <c r="E735" s="8"/>
      <c r="F735" s="8"/>
      <c r="G735" s="8"/>
      <c r="H735" s="9"/>
    </row>
    <row r="736">
      <c r="A736" s="4"/>
      <c r="C736" s="4"/>
      <c r="D736" s="4"/>
      <c r="E736" s="8"/>
      <c r="F736" s="8"/>
      <c r="G736" s="8"/>
      <c r="H736" s="9"/>
    </row>
    <row r="737">
      <c r="A737" s="4"/>
      <c r="C737" s="4"/>
      <c r="D737" s="4"/>
      <c r="E737" s="8"/>
      <c r="F737" s="8"/>
      <c r="G737" s="8"/>
      <c r="H737" s="9"/>
    </row>
    <row r="738">
      <c r="A738" s="4"/>
      <c r="C738" s="4"/>
      <c r="D738" s="4"/>
      <c r="E738" s="8"/>
      <c r="F738" s="8"/>
      <c r="G738" s="8"/>
      <c r="H738" s="9"/>
    </row>
    <row r="739">
      <c r="A739" s="4"/>
      <c r="C739" s="4"/>
      <c r="D739" s="4"/>
      <c r="E739" s="8"/>
      <c r="F739" s="8"/>
      <c r="G739" s="8"/>
      <c r="H739" s="9"/>
    </row>
    <row r="740">
      <c r="A740" s="4"/>
      <c r="C740" s="4"/>
      <c r="D740" s="4"/>
      <c r="E740" s="8"/>
      <c r="F740" s="8"/>
      <c r="G740" s="8"/>
      <c r="H740" s="9"/>
    </row>
    <row r="741">
      <c r="A741" s="4"/>
      <c r="C741" s="4"/>
      <c r="D741" s="4"/>
      <c r="E741" s="8"/>
      <c r="F741" s="8"/>
      <c r="G741" s="8"/>
      <c r="H741" s="9"/>
    </row>
    <row r="742">
      <c r="A742" s="4"/>
      <c r="C742" s="4"/>
      <c r="D742" s="4"/>
      <c r="E742" s="8"/>
      <c r="F742" s="8"/>
      <c r="G742" s="8"/>
      <c r="H742" s="9"/>
    </row>
    <row r="743">
      <c r="A743" s="4"/>
      <c r="C743" s="4"/>
      <c r="D743" s="4"/>
      <c r="E743" s="8"/>
      <c r="F743" s="8"/>
      <c r="G743" s="8"/>
      <c r="H743" s="9"/>
    </row>
    <row r="744">
      <c r="A744" s="4"/>
      <c r="C744" s="4"/>
      <c r="D744" s="4"/>
      <c r="E744" s="8"/>
      <c r="F744" s="8"/>
      <c r="G744" s="8"/>
      <c r="H744" s="9"/>
    </row>
    <row r="745">
      <c r="A745" s="4"/>
      <c r="C745" s="4"/>
      <c r="D745" s="4"/>
      <c r="E745" s="8"/>
      <c r="F745" s="8"/>
      <c r="G745" s="8"/>
      <c r="H745" s="9"/>
    </row>
    <row r="746">
      <c r="A746" s="4"/>
      <c r="C746" s="4"/>
      <c r="D746" s="4"/>
      <c r="E746" s="8"/>
      <c r="F746" s="8"/>
      <c r="G746" s="8"/>
      <c r="H746" s="9"/>
    </row>
    <row r="747">
      <c r="A747" s="4"/>
      <c r="C747" s="4"/>
      <c r="D747" s="4"/>
      <c r="E747" s="8"/>
      <c r="F747" s="8"/>
      <c r="G747" s="8"/>
      <c r="H747" s="9"/>
    </row>
    <row r="748">
      <c r="A748" s="4"/>
      <c r="C748" s="4"/>
      <c r="D748" s="4"/>
      <c r="E748" s="8"/>
      <c r="F748" s="8"/>
      <c r="G748" s="8"/>
      <c r="H748" s="9"/>
    </row>
    <row r="749">
      <c r="A749" s="4"/>
      <c r="C749" s="4"/>
      <c r="D749" s="4"/>
      <c r="E749" s="8"/>
      <c r="F749" s="8"/>
      <c r="G749" s="8"/>
      <c r="H749" s="9"/>
    </row>
    <row r="750">
      <c r="A750" s="4"/>
      <c r="C750" s="4"/>
      <c r="D750" s="4"/>
      <c r="E750" s="8"/>
      <c r="F750" s="8"/>
      <c r="G750" s="8"/>
      <c r="H750" s="9"/>
    </row>
    <row r="751">
      <c r="A751" s="4"/>
      <c r="C751" s="4"/>
      <c r="D751" s="4"/>
      <c r="E751" s="8"/>
      <c r="F751" s="8"/>
      <c r="G751" s="8"/>
      <c r="H751" s="9"/>
    </row>
    <row r="752">
      <c r="A752" s="4"/>
      <c r="C752" s="4"/>
      <c r="D752" s="4"/>
      <c r="E752" s="8"/>
      <c r="F752" s="8"/>
      <c r="G752" s="8"/>
      <c r="H752" s="9"/>
    </row>
    <row r="753">
      <c r="A753" s="4"/>
      <c r="C753" s="4"/>
      <c r="D753" s="4"/>
      <c r="E753" s="8"/>
      <c r="F753" s="8"/>
      <c r="G753" s="8"/>
      <c r="H753" s="9"/>
    </row>
    <row r="754">
      <c r="A754" s="4"/>
      <c r="C754" s="4"/>
      <c r="D754" s="4"/>
      <c r="E754" s="8"/>
      <c r="F754" s="8"/>
      <c r="G754" s="8"/>
      <c r="H754" s="9"/>
    </row>
    <row r="755">
      <c r="A755" s="4"/>
      <c r="C755" s="4"/>
      <c r="D755" s="4"/>
      <c r="E755" s="8"/>
      <c r="F755" s="8"/>
      <c r="G755" s="8"/>
      <c r="H755" s="9"/>
    </row>
    <row r="756">
      <c r="A756" s="4"/>
      <c r="C756" s="4"/>
      <c r="D756" s="4"/>
      <c r="E756" s="8"/>
      <c r="F756" s="8"/>
      <c r="G756" s="8"/>
      <c r="H756" s="9"/>
    </row>
    <row r="757">
      <c r="A757" s="4"/>
      <c r="C757" s="4"/>
      <c r="D757" s="4"/>
      <c r="E757" s="8"/>
      <c r="F757" s="8"/>
      <c r="G757" s="8"/>
      <c r="H757" s="9"/>
    </row>
    <row r="758">
      <c r="A758" s="4"/>
      <c r="C758" s="4"/>
      <c r="D758" s="4"/>
      <c r="E758" s="8"/>
      <c r="F758" s="8"/>
      <c r="G758" s="8"/>
      <c r="H758" s="9"/>
    </row>
    <row r="759">
      <c r="A759" s="4"/>
      <c r="C759" s="4"/>
      <c r="D759" s="4"/>
      <c r="E759" s="8"/>
      <c r="F759" s="8"/>
      <c r="G759" s="8"/>
      <c r="H759" s="9"/>
    </row>
    <row r="760">
      <c r="A760" s="4"/>
      <c r="C760" s="4"/>
      <c r="D760" s="4"/>
      <c r="E760" s="8"/>
      <c r="F760" s="8"/>
      <c r="G760" s="8"/>
      <c r="H760" s="9"/>
    </row>
    <row r="761">
      <c r="A761" s="4"/>
      <c r="C761" s="4"/>
      <c r="D761" s="4"/>
      <c r="E761" s="8"/>
      <c r="F761" s="8"/>
      <c r="G761" s="8"/>
      <c r="H761" s="9"/>
    </row>
    <row r="762">
      <c r="A762" s="4"/>
      <c r="C762" s="4"/>
      <c r="D762" s="4"/>
      <c r="E762" s="8"/>
      <c r="F762" s="8"/>
      <c r="G762" s="8"/>
      <c r="H762" s="9"/>
    </row>
    <row r="763">
      <c r="A763" s="4"/>
      <c r="C763" s="4"/>
      <c r="D763" s="4"/>
      <c r="E763" s="8"/>
      <c r="F763" s="8"/>
      <c r="G763" s="8"/>
      <c r="H763" s="9"/>
    </row>
    <row r="764">
      <c r="A764" s="4"/>
      <c r="C764" s="4"/>
      <c r="D764" s="4"/>
      <c r="E764" s="8"/>
      <c r="F764" s="8"/>
      <c r="G764" s="8"/>
      <c r="H764" s="9"/>
    </row>
    <row r="765">
      <c r="A765" s="4"/>
      <c r="C765" s="4"/>
      <c r="D765" s="4"/>
      <c r="E765" s="8"/>
      <c r="F765" s="8"/>
      <c r="G765" s="8"/>
      <c r="H765" s="9"/>
    </row>
    <row r="766">
      <c r="A766" s="4"/>
      <c r="C766" s="4"/>
      <c r="D766" s="4"/>
      <c r="E766" s="8"/>
      <c r="F766" s="8"/>
      <c r="G766" s="8"/>
      <c r="H766" s="9"/>
    </row>
    <row r="767">
      <c r="A767" s="4"/>
      <c r="C767" s="4"/>
      <c r="D767" s="4"/>
      <c r="E767" s="8"/>
      <c r="F767" s="8"/>
      <c r="G767" s="8"/>
      <c r="H767" s="9"/>
    </row>
    <row r="768">
      <c r="A768" s="4"/>
      <c r="C768" s="4"/>
      <c r="D768" s="4"/>
      <c r="E768" s="8"/>
      <c r="F768" s="8"/>
      <c r="G768" s="8"/>
      <c r="H768" s="9"/>
    </row>
    <row r="769">
      <c r="A769" s="4"/>
      <c r="C769" s="4"/>
      <c r="D769" s="4"/>
      <c r="E769" s="8"/>
      <c r="F769" s="8"/>
      <c r="G769" s="8"/>
      <c r="H769" s="9"/>
    </row>
    <row r="770">
      <c r="A770" s="4"/>
      <c r="C770" s="4"/>
      <c r="D770" s="4"/>
      <c r="E770" s="8"/>
      <c r="F770" s="8"/>
      <c r="G770" s="8"/>
      <c r="H770" s="9"/>
    </row>
    <row r="771">
      <c r="A771" s="4"/>
      <c r="C771" s="4"/>
      <c r="D771" s="4"/>
      <c r="E771" s="8"/>
      <c r="F771" s="8"/>
      <c r="G771" s="8"/>
      <c r="H771" s="9"/>
    </row>
    <row r="772">
      <c r="A772" s="4"/>
      <c r="C772" s="4"/>
      <c r="D772" s="4"/>
      <c r="E772" s="8"/>
      <c r="F772" s="8"/>
      <c r="G772" s="8"/>
      <c r="H772" s="9"/>
    </row>
    <row r="773">
      <c r="A773" s="4"/>
      <c r="C773" s="4"/>
      <c r="D773" s="4"/>
      <c r="E773" s="8"/>
      <c r="F773" s="8"/>
      <c r="G773" s="8"/>
      <c r="H773" s="9"/>
    </row>
    <row r="774">
      <c r="A774" s="4"/>
      <c r="C774" s="4"/>
      <c r="D774" s="4"/>
      <c r="E774" s="8"/>
      <c r="F774" s="8"/>
      <c r="G774" s="8"/>
      <c r="H774" s="9"/>
    </row>
    <row r="775">
      <c r="A775" s="4"/>
      <c r="C775" s="4"/>
      <c r="D775" s="4"/>
      <c r="E775" s="8"/>
      <c r="F775" s="8"/>
      <c r="G775" s="8"/>
      <c r="H775" s="9"/>
    </row>
    <row r="776">
      <c r="A776" s="4"/>
      <c r="C776" s="4"/>
      <c r="D776" s="4"/>
      <c r="E776" s="8"/>
      <c r="F776" s="8"/>
      <c r="G776" s="8"/>
      <c r="H776" s="9"/>
    </row>
    <row r="777">
      <c r="A777" s="4"/>
      <c r="C777" s="4"/>
      <c r="D777" s="4"/>
      <c r="E777" s="8"/>
      <c r="F777" s="8"/>
      <c r="G777" s="8"/>
      <c r="H777" s="9"/>
    </row>
    <row r="778">
      <c r="A778" s="4"/>
      <c r="C778" s="4"/>
      <c r="D778" s="4"/>
      <c r="E778" s="8"/>
      <c r="F778" s="8"/>
      <c r="G778" s="8"/>
      <c r="H778" s="9"/>
    </row>
    <row r="779">
      <c r="A779" s="4"/>
      <c r="C779" s="4"/>
      <c r="D779" s="4"/>
      <c r="E779" s="8"/>
      <c r="F779" s="8"/>
      <c r="G779" s="8"/>
      <c r="H779" s="9"/>
    </row>
    <row r="780">
      <c r="A780" s="4"/>
      <c r="C780" s="4"/>
      <c r="D780" s="4"/>
      <c r="E780" s="8"/>
      <c r="F780" s="8"/>
      <c r="G780" s="8"/>
      <c r="H780" s="9"/>
    </row>
    <row r="781">
      <c r="A781" s="4"/>
      <c r="C781" s="4"/>
      <c r="D781" s="4"/>
      <c r="E781" s="8"/>
      <c r="F781" s="8"/>
      <c r="G781" s="8"/>
      <c r="H781" s="9"/>
    </row>
    <row r="782">
      <c r="A782" s="4"/>
      <c r="C782" s="4"/>
      <c r="D782" s="4"/>
      <c r="E782" s="8"/>
      <c r="F782" s="8"/>
      <c r="G782" s="8"/>
      <c r="H782" s="9"/>
    </row>
    <row r="783">
      <c r="A783" s="4"/>
      <c r="C783" s="4"/>
      <c r="D783" s="4"/>
      <c r="E783" s="8"/>
      <c r="F783" s="8"/>
      <c r="G783" s="8"/>
      <c r="H783" s="9"/>
    </row>
    <row r="784">
      <c r="A784" s="4"/>
      <c r="C784" s="4"/>
      <c r="D784" s="4"/>
      <c r="E784" s="8"/>
      <c r="F784" s="8"/>
      <c r="G784" s="8"/>
      <c r="H784" s="9"/>
    </row>
    <row r="785">
      <c r="A785" s="4"/>
      <c r="C785" s="4"/>
      <c r="D785" s="4"/>
      <c r="E785" s="8"/>
      <c r="F785" s="8"/>
      <c r="G785" s="8"/>
      <c r="H785" s="9"/>
    </row>
    <row r="786">
      <c r="A786" s="4"/>
      <c r="C786" s="4"/>
      <c r="D786" s="4"/>
      <c r="E786" s="8"/>
      <c r="F786" s="8"/>
      <c r="G786" s="8"/>
      <c r="H786" s="9"/>
    </row>
    <row r="787">
      <c r="A787" s="4"/>
      <c r="C787" s="4"/>
      <c r="D787" s="4"/>
      <c r="E787" s="8"/>
      <c r="F787" s="8"/>
      <c r="G787" s="8"/>
      <c r="H787" s="9"/>
    </row>
    <row r="788">
      <c r="A788" s="4"/>
      <c r="C788" s="4"/>
      <c r="D788" s="4"/>
      <c r="E788" s="8"/>
      <c r="F788" s="8"/>
      <c r="G788" s="8"/>
      <c r="H788" s="9"/>
    </row>
    <row r="789">
      <c r="A789" s="4"/>
      <c r="C789" s="4"/>
      <c r="D789" s="4"/>
      <c r="E789" s="8"/>
      <c r="F789" s="8"/>
      <c r="G789" s="8"/>
      <c r="H789" s="9"/>
    </row>
    <row r="790">
      <c r="A790" s="4"/>
      <c r="C790" s="4"/>
      <c r="D790" s="4"/>
      <c r="E790" s="8"/>
      <c r="F790" s="8"/>
      <c r="G790" s="8"/>
      <c r="H790" s="9"/>
    </row>
    <row r="791">
      <c r="A791" s="4"/>
      <c r="C791" s="4"/>
      <c r="D791" s="4"/>
      <c r="E791" s="8"/>
      <c r="F791" s="8"/>
      <c r="G791" s="8"/>
      <c r="H791" s="9"/>
    </row>
    <row r="792">
      <c r="A792" s="4"/>
      <c r="C792" s="4"/>
      <c r="D792" s="4"/>
      <c r="E792" s="8"/>
      <c r="F792" s="8"/>
      <c r="G792" s="8"/>
      <c r="H792" s="9"/>
    </row>
    <row r="793">
      <c r="A793" s="4"/>
      <c r="C793" s="4"/>
      <c r="D793" s="4"/>
      <c r="E793" s="8"/>
      <c r="F793" s="8"/>
      <c r="G793" s="8"/>
      <c r="H793" s="9"/>
    </row>
    <row r="794">
      <c r="A794" s="4"/>
      <c r="C794" s="4"/>
      <c r="D794" s="4"/>
      <c r="E794" s="8"/>
      <c r="F794" s="8"/>
      <c r="G794" s="8"/>
      <c r="H794" s="9"/>
    </row>
    <row r="795">
      <c r="A795" s="4"/>
      <c r="C795" s="4"/>
      <c r="D795" s="4"/>
      <c r="E795" s="8"/>
      <c r="F795" s="8"/>
      <c r="G795" s="8"/>
      <c r="H795" s="9"/>
    </row>
    <row r="796">
      <c r="A796" s="4"/>
      <c r="C796" s="4"/>
      <c r="D796" s="4"/>
      <c r="E796" s="8"/>
      <c r="F796" s="8"/>
      <c r="G796" s="8"/>
      <c r="H796" s="9"/>
    </row>
    <row r="797">
      <c r="A797" s="4"/>
      <c r="C797" s="4"/>
      <c r="D797" s="4"/>
      <c r="E797" s="8"/>
      <c r="F797" s="8"/>
      <c r="G797" s="8"/>
      <c r="H797" s="9"/>
    </row>
    <row r="798">
      <c r="A798" s="4"/>
      <c r="C798" s="4"/>
      <c r="D798" s="4"/>
      <c r="E798" s="8"/>
      <c r="F798" s="8"/>
      <c r="G798" s="8"/>
      <c r="H798" s="9"/>
    </row>
    <row r="799">
      <c r="A799" s="4"/>
      <c r="C799" s="4"/>
      <c r="D799" s="4"/>
      <c r="E799" s="8"/>
      <c r="F799" s="8"/>
      <c r="G799" s="8"/>
      <c r="H799" s="9"/>
    </row>
    <row r="800">
      <c r="A800" s="4"/>
      <c r="C800" s="4"/>
      <c r="D800" s="4"/>
      <c r="E800" s="8"/>
      <c r="F800" s="8"/>
      <c r="G800" s="8"/>
      <c r="H800" s="9"/>
    </row>
    <row r="801">
      <c r="A801" s="4"/>
      <c r="C801" s="4"/>
      <c r="D801" s="4"/>
      <c r="E801" s="8"/>
      <c r="F801" s="8"/>
      <c r="G801" s="8"/>
      <c r="H801" s="9"/>
    </row>
    <row r="802">
      <c r="A802" s="4"/>
      <c r="C802" s="4"/>
      <c r="D802" s="4"/>
      <c r="E802" s="8"/>
      <c r="F802" s="8"/>
      <c r="G802" s="8"/>
      <c r="H802" s="9"/>
    </row>
    <row r="803">
      <c r="A803" s="4"/>
      <c r="C803" s="4"/>
      <c r="D803" s="4"/>
      <c r="E803" s="8"/>
      <c r="F803" s="8"/>
      <c r="G803" s="8"/>
      <c r="H803" s="9"/>
    </row>
    <row r="804">
      <c r="A804" s="4"/>
      <c r="C804" s="4"/>
      <c r="D804" s="4"/>
      <c r="E804" s="8"/>
      <c r="F804" s="8"/>
      <c r="G804" s="8"/>
      <c r="H804" s="9"/>
    </row>
    <row r="805">
      <c r="A805" s="4"/>
      <c r="C805" s="4"/>
      <c r="D805" s="4"/>
      <c r="E805" s="8"/>
      <c r="F805" s="8"/>
      <c r="G805" s="8"/>
      <c r="H805" s="9"/>
    </row>
    <row r="806">
      <c r="A806" s="4"/>
      <c r="C806" s="4"/>
      <c r="D806" s="4"/>
      <c r="E806" s="8"/>
      <c r="F806" s="8"/>
      <c r="G806" s="8"/>
      <c r="H806" s="9"/>
    </row>
    <row r="807">
      <c r="A807" s="4"/>
      <c r="C807" s="4"/>
      <c r="D807" s="4"/>
      <c r="E807" s="8"/>
      <c r="F807" s="8"/>
      <c r="G807" s="8"/>
      <c r="H807" s="9"/>
    </row>
    <row r="808">
      <c r="A808" s="4"/>
      <c r="C808" s="4"/>
      <c r="D808" s="4"/>
      <c r="E808" s="8"/>
      <c r="F808" s="8"/>
      <c r="G808" s="8"/>
      <c r="H808" s="9"/>
    </row>
    <row r="809">
      <c r="A809" s="4"/>
      <c r="C809" s="4"/>
      <c r="D809" s="4"/>
      <c r="E809" s="8"/>
      <c r="F809" s="8"/>
      <c r="G809" s="8"/>
      <c r="H809" s="9"/>
    </row>
    <row r="810">
      <c r="A810" s="4"/>
      <c r="C810" s="4"/>
      <c r="D810" s="4"/>
      <c r="E810" s="8"/>
      <c r="F810" s="8"/>
      <c r="G810" s="8"/>
      <c r="H810" s="9"/>
    </row>
    <row r="811">
      <c r="A811" s="4"/>
      <c r="C811" s="4"/>
      <c r="D811" s="4"/>
      <c r="E811" s="8"/>
      <c r="F811" s="8"/>
      <c r="G811" s="8"/>
      <c r="H811" s="9"/>
    </row>
    <row r="812">
      <c r="A812" s="4"/>
      <c r="C812" s="4"/>
      <c r="D812" s="4"/>
      <c r="E812" s="8"/>
      <c r="F812" s="8"/>
      <c r="G812" s="8"/>
      <c r="H812" s="9"/>
    </row>
    <row r="813">
      <c r="A813" s="4"/>
      <c r="C813" s="4"/>
      <c r="D813" s="4"/>
      <c r="E813" s="8"/>
      <c r="F813" s="8"/>
      <c r="G813" s="8"/>
      <c r="H813" s="9"/>
    </row>
    <row r="814">
      <c r="A814" s="4"/>
      <c r="C814" s="4"/>
      <c r="D814" s="4"/>
      <c r="E814" s="8"/>
      <c r="F814" s="8"/>
      <c r="G814" s="8"/>
      <c r="H814" s="9"/>
    </row>
    <row r="815">
      <c r="A815" s="4"/>
      <c r="C815" s="4"/>
      <c r="D815" s="4"/>
      <c r="E815" s="8"/>
      <c r="F815" s="8"/>
      <c r="G815" s="8"/>
      <c r="H815" s="9"/>
    </row>
    <row r="816">
      <c r="A816" s="4"/>
      <c r="C816" s="4"/>
      <c r="D816" s="4"/>
      <c r="E816" s="8"/>
      <c r="F816" s="8"/>
      <c r="G816" s="8"/>
      <c r="H816" s="9"/>
    </row>
    <row r="817">
      <c r="A817" s="4"/>
      <c r="C817" s="4"/>
      <c r="D817" s="4"/>
      <c r="E817" s="8"/>
      <c r="F817" s="8"/>
      <c r="G817" s="8"/>
      <c r="H817" s="9"/>
    </row>
    <row r="818">
      <c r="A818" s="4"/>
      <c r="C818" s="4"/>
      <c r="D818" s="4"/>
      <c r="E818" s="8"/>
      <c r="F818" s="8"/>
      <c r="G818" s="8"/>
      <c r="H818" s="9"/>
    </row>
    <row r="819">
      <c r="A819" s="4"/>
      <c r="C819" s="4"/>
      <c r="D819" s="4"/>
      <c r="E819" s="8"/>
      <c r="F819" s="8"/>
      <c r="G819" s="8"/>
      <c r="H819" s="9"/>
    </row>
    <row r="820">
      <c r="A820" s="4"/>
      <c r="C820" s="4"/>
      <c r="D820" s="4"/>
      <c r="E820" s="8"/>
      <c r="F820" s="8"/>
      <c r="G820" s="8"/>
      <c r="H820" s="9"/>
    </row>
    <row r="821">
      <c r="A821" s="4"/>
      <c r="C821" s="4"/>
      <c r="D821" s="4"/>
      <c r="E821" s="8"/>
      <c r="F821" s="8"/>
      <c r="G821" s="8"/>
      <c r="H821" s="9"/>
    </row>
    <row r="822">
      <c r="A822" s="4"/>
      <c r="C822" s="4"/>
      <c r="D822" s="4"/>
      <c r="E822" s="8"/>
      <c r="F822" s="8"/>
      <c r="G822" s="8"/>
      <c r="H822" s="9"/>
    </row>
    <row r="823">
      <c r="A823" s="4"/>
      <c r="C823" s="4"/>
      <c r="D823" s="4"/>
      <c r="E823" s="8"/>
      <c r="F823" s="8"/>
      <c r="G823" s="8"/>
      <c r="H823" s="9"/>
    </row>
    <row r="824">
      <c r="A824" s="4"/>
      <c r="C824" s="4"/>
      <c r="D824" s="4"/>
      <c r="E824" s="8"/>
      <c r="F824" s="8"/>
      <c r="G824" s="8"/>
      <c r="H824" s="9"/>
    </row>
    <row r="825">
      <c r="A825" s="4"/>
      <c r="C825" s="4"/>
      <c r="D825" s="4"/>
      <c r="E825" s="8"/>
      <c r="F825" s="8"/>
      <c r="G825" s="8"/>
      <c r="H825" s="9"/>
    </row>
    <row r="826">
      <c r="A826" s="4"/>
      <c r="C826" s="4"/>
      <c r="D826" s="4"/>
      <c r="E826" s="8"/>
      <c r="F826" s="8"/>
      <c r="G826" s="8"/>
      <c r="H826" s="9"/>
    </row>
    <row r="827">
      <c r="A827" s="4"/>
      <c r="C827" s="4"/>
      <c r="D827" s="4"/>
      <c r="E827" s="8"/>
      <c r="F827" s="8"/>
      <c r="G827" s="8"/>
      <c r="H827" s="9"/>
    </row>
    <row r="828">
      <c r="A828" s="4"/>
      <c r="C828" s="4"/>
      <c r="D828" s="4"/>
      <c r="E828" s="8"/>
      <c r="F828" s="8"/>
      <c r="G828" s="8"/>
      <c r="H828" s="9"/>
    </row>
    <row r="829">
      <c r="A829" s="4"/>
      <c r="C829" s="4"/>
      <c r="D829" s="4"/>
      <c r="E829" s="8"/>
      <c r="F829" s="8"/>
      <c r="G829" s="8"/>
      <c r="H829" s="9"/>
    </row>
    <row r="830">
      <c r="A830" s="4"/>
      <c r="C830" s="4"/>
      <c r="D830" s="4"/>
      <c r="E830" s="8"/>
      <c r="F830" s="8"/>
      <c r="G830" s="8"/>
      <c r="H830" s="9"/>
    </row>
    <row r="831">
      <c r="A831" s="4"/>
      <c r="C831" s="4"/>
      <c r="D831" s="4"/>
      <c r="E831" s="8"/>
      <c r="F831" s="8"/>
      <c r="G831" s="8"/>
      <c r="H831" s="9"/>
    </row>
    <row r="832">
      <c r="A832" s="4"/>
      <c r="C832" s="4"/>
      <c r="D832" s="4"/>
      <c r="E832" s="8"/>
      <c r="F832" s="8"/>
      <c r="G832" s="8"/>
      <c r="H832" s="9"/>
    </row>
    <row r="833">
      <c r="A833" s="4"/>
      <c r="C833" s="4"/>
      <c r="D833" s="4"/>
      <c r="E833" s="8"/>
      <c r="F833" s="8"/>
      <c r="G833" s="8"/>
      <c r="H833" s="9"/>
    </row>
    <row r="834">
      <c r="A834" s="4"/>
      <c r="C834" s="4"/>
      <c r="D834" s="4"/>
      <c r="E834" s="8"/>
      <c r="F834" s="8"/>
      <c r="G834" s="8"/>
      <c r="H834" s="9"/>
    </row>
    <row r="835">
      <c r="A835" s="4"/>
      <c r="C835" s="4"/>
      <c r="D835" s="4"/>
      <c r="E835" s="8"/>
      <c r="F835" s="8"/>
      <c r="G835" s="8"/>
      <c r="H835" s="9"/>
    </row>
    <row r="836">
      <c r="A836" s="4"/>
      <c r="C836" s="4"/>
      <c r="D836" s="4"/>
      <c r="E836" s="8"/>
      <c r="F836" s="8"/>
      <c r="G836" s="8"/>
      <c r="H836" s="9"/>
    </row>
    <row r="837">
      <c r="A837" s="4"/>
      <c r="C837" s="4"/>
      <c r="D837" s="4"/>
      <c r="E837" s="8"/>
      <c r="F837" s="8"/>
      <c r="G837" s="8"/>
      <c r="H837" s="9"/>
    </row>
    <row r="838">
      <c r="A838" s="4"/>
      <c r="C838" s="4"/>
      <c r="D838" s="4"/>
      <c r="E838" s="8"/>
      <c r="F838" s="8"/>
      <c r="G838" s="8"/>
      <c r="H838" s="9"/>
    </row>
    <row r="839">
      <c r="A839" s="4"/>
      <c r="C839" s="4"/>
      <c r="D839" s="4"/>
      <c r="E839" s="8"/>
      <c r="F839" s="8"/>
      <c r="G839" s="8"/>
      <c r="H839" s="9"/>
    </row>
    <row r="840">
      <c r="A840" s="4"/>
      <c r="C840" s="4"/>
      <c r="D840" s="4"/>
      <c r="E840" s="8"/>
      <c r="F840" s="8"/>
      <c r="G840" s="8"/>
      <c r="H840" s="9"/>
    </row>
    <row r="841">
      <c r="A841" s="4"/>
      <c r="C841" s="4"/>
      <c r="D841" s="4"/>
      <c r="E841" s="8"/>
      <c r="F841" s="8"/>
      <c r="G841" s="8"/>
      <c r="H841" s="9"/>
    </row>
    <row r="842">
      <c r="A842" s="4"/>
      <c r="C842" s="4"/>
      <c r="D842" s="4"/>
      <c r="E842" s="8"/>
      <c r="F842" s="8"/>
      <c r="G842" s="8"/>
      <c r="H842" s="9"/>
    </row>
    <row r="843">
      <c r="A843" s="4"/>
      <c r="C843" s="4"/>
      <c r="D843" s="4"/>
      <c r="E843" s="8"/>
      <c r="F843" s="8"/>
      <c r="G843" s="8"/>
      <c r="H843" s="9"/>
    </row>
    <row r="844">
      <c r="A844" s="4"/>
      <c r="C844" s="4"/>
      <c r="D844" s="4"/>
      <c r="E844" s="8"/>
      <c r="F844" s="8"/>
      <c r="G844" s="8"/>
      <c r="H844" s="9"/>
    </row>
    <row r="845">
      <c r="A845" s="4"/>
      <c r="C845" s="4"/>
      <c r="D845" s="4"/>
      <c r="E845" s="8"/>
      <c r="F845" s="8"/>
      <c r="G845" s="8"/>
      <c r="H845" s="9"/>
    </row>
    <row r="846">
      <c r="A846" s="4"/>
      <c r="C846" s="4"/>
      <c r="D846" s="4"/>
      <c r="E846" s="8"/>
      <c r="F846" s="8"/>
      <c r="G846" s="8"/>
      <c r="H846" s="9"/>
    </row>
    <row r="847">
      <c r="A847" s="4"/>
      <c r="C847" s="4"/>
      <c r="D847" s="4"/>
      <c r="E847" s="8"/>
      <c r="F847" s="8"/>
      <c r="G847" s="8"/>
      <c r="H847" s="9"/>
    </row>
    <row r="848">
      <c r="A848" s="4"/>
      <c r="C848" s="4"/>
      <c r="D848" s="4"/>
      <c r="E848" s="8"/>
      <c r="F848" s="8"/>
      <c r="G848" s="8"/>
      <c r="H848" s="9"/>
    </row>
    <row r="849">
      <c r="A849" s="4"/>
      <c r="C849" s="4"/>
      <c r="D849" s="4"/>
      <c r="E849" s="8"/>
      <c r="F849" s="8"/>
      <c r="G849" s="8"/>
      <c r="H849" s="9"/>
    </row>
    <row r="850">
      <c r="A850" s="4"/>
      <c r="C850" s="4"/>
      <c r="D850" s="4"/>
      <c r="E850" s="8"/>
      <c r="F850" s="8"/>
      <c r="G850" s="8"/>
      <c r="H850" s="9"/>
    </row>
    <row r="851">
      <c r="A851" s="4"/>
      <c r="C851" s="4"/>
      <c r="D851" s="4"/>
      <c r="E851" s="8"/>
      <c r="F851" s="8"/>
      <c r="G851" s="8"/>
      <c r="H851" s="9"/>
    </row>
    <row r="852">
      <c r="A852" s="4"/>
      <c r="C852" s="4"/>
      <c r="D852" s="4"/>
      <c r="E852" s="8"/>
      <c r="F852" s="8"/>
      <c r="G852" s="8"/>
      <c r="H852" s="9"/>
    </row>
    <row r="853">
      <c r="A853" s="4"/>
      <c r="C853" s="4"/>
      <c r="D853" s="4"/>
      <c r="E853" s="8"/>
      <c r="F853" s="8"/>
      <c r="G853" s="8"/>
      <c r="H853" s="9"/>
    </row>
    <row r="854">
      <c r="A854" s="4"/>
      <c r="C854" s="4"/>
      <c r="D854" s="4"/>
      <c r="E854" s="8"/>
      <c r="F854" s="8"/>
      <c r="G854" s="8"/>
      <c r="H854" s="9"/>
    </row>
    <row r="855">
      <c r="A855" s="4"/>
      <c r="C855" s="4"/>
      <c r="D855" s="4"/>
      <c r="E855" s="8"/>
      <c r="F855" s="8"/>
      <c r="G855" s="8"/>
      <c r="H855" s="9"/>
    </row>
    <row r="856">
      <c r="A856" s="4"/>
      <c r="C856" s="4"/>
      <c r="D856" s="4"/>
      <c r="E856" s="8"/>
      <c r="F856" s="8"/>
      <c r="G856" s="8"/>
      <c r="H856" s="9"/>
    </row>
    <row r="857">
      <c r="A857" s="4"/>
      <c r="C857" s="4"/>
      <c r="D857" s="4"/>
      <c r="E857" s="8"/>
      <c r="F857" s="8"/>
      <c r="G857" s="8"/>
      <c r="H857" s="9"/>
    </row>
    <row r="858">
      <c r="A858" s="4"/>
      <c r="C858" s="4"/>
      <c r="D858" s="4"/>
      <c r="E858" s="8"/>
      <c r="F858" s="8"/>
      <c r="G858" s="8"/>
      <c r="H858" s="9"/>
    </row>
    <row r="859">
      <c r="A859" s="4"/>
      <c r="C859" s="4"/>
      <c r="D859" s="4"/>
      <c r="E859" s="8"/>
      <c r="F859" s="8"/>
      <c r="G859" s="8"/>
      <c r="H859" s="9"/>
    </row>
    <row r="860">
      <c r="A860" s="4"/>
      <c r="C860" s="4"/>
      <c r="D860" s="4"/>
      <c r="E860" s="8"/>
      <c r="F860" s="8"/>
      <c r="G860" s="8"/>
      <c r="H860" s="9"/>
    </row>
    <row r="861">
      <c r="A861" s="4"/>
      <c r="C861" s="4"/>
      <c r="D861" s="4"/>
      <c r="E861" s="8"/>
      <c r="F861" s="8"/>
      <c r="G861" s="8"/>
      <c r="H861" s="9"/>
    </row>
    <row r="862">
      <c r="A862" s="4"/>
      <c r="C862" s="4"/>
      <c r="D862" s="4"/>
      <c r="E862" s="8"/>
      <c r="F862" s="8"/>
      <c r="G862" s="8"/>
      <c r="H862" s="9"/>
    </row>
    <row r="863">
      <c r="A863" s="4"/>
      <c r="C863" s="4"/>
      <c r="D863" s="4"/>
      <c r="E863" s="8"/>
      <c r="F863" s="8"/>
      <c r="G863" s="8"/>
      <c r="H863" s="9"/>
    </row>
    <row r="864">
      <c r="A864" s="4"/>
      <c r="C864" s="4"/>
      <c r="D864" s="4"/>
      <c r="E864" s="8"/>
      <c r="F864" s="8"/>
      <c r="G864" s="8"/>
      <c r="H864" s="9"/>
    </row>
    <row r="865">
      <c r="A865" s="4"/>
      <c r="C865" s="4"/>
      <c r="D865" s="4"/>
      <c r="E865" s="8"/>
      <c r="F865" s="8"/>
      <c r="G865" s="8"/>
      <c r="H865" s="9"/>
    </row>
    <row r="866">
      <c r="A866" s="4"/>
      <c r="C866" s="4"/>
      <c r="D866" s="4"/>
      <c r="E866" s="8"/>
      <c r="F866" s="8"/>
      <c r="G866" s="8"/>
      <c r="H866" s="9"/>
    </row>
    <row r="867">
      <c r="A867" s="4"/>
      <c r="C867" s="4"/>
      <c r="D867" s="4"/>
      <c r="E867" s="8"/>
      <c r="F867" s="8"/>
      <c r="G867" s="8"/>
      <c r="H867" s="9"/>
    </row>
    <row r="868">
      <c r="A868" s="4"/>
      <c r="C868" s="4"/>
      <c r="D868" s="4"/>
      <c r="E868" s="8"/>
      <c r="F868" s="8"/>
      <c r="G868" s="8"/>
      <c r="H868" s="9"/>
    </row>
    <row r="869">
      <c r="A869" s="4"/>
      <c r="C869" s="4"/>
      <c r="D869" s="4"/>
      <c r="E869" s="8"/>
      <c r="F869" s="8"/>
      <c r="G869" s="8"/>
      <c r="H869" s="9"/>
    </row>
    <row r="870">
      <c r="A870" s="4"/>
      <c r="C870" s="4"/>
      <c r="D870" s="4"/>
      <c r="E870" s="8"/>
      <c r="F870" s="8"/>
      <c r="G870" s="8"/>
      <c r="H870" s="9"/>
    </row>
    <row r="871">
      <c r="A871" s="4"/>
      <c r="C871" s="4"/>
      <c r="D871" s="4"/>
      <c r="E871" s="8"/>
      <c r="F871" s="8"/>
      <c r="G871" s="8"/>
      <c r="H871" s="9"/>
    </row>
    <row r="872">
      <c r="A872" s="4"/>
      <c r="C872" s="4"/>
      <c r="D872" s="4"/>
      <c r="E872" s="8"/>
      <c r="F872" s="8"/>
      <c r="G872" s="8"/>
      <c r="H872" s="9"/>
    </row>
    <row r="873">
      <c r="A873" s="4"/>
      <c r="C873" s="4"/>
      <c r="D873" s="4"/>
      <c r="E873" s="8"/>
      <c r="F873" s="8"/>
      <c r="G873" s="8"/>
      <c r="H873" s="9"/>
    </row>
    <row r="874">
      <c r="A874" s="4"/>
      <c r="C874" s="4"/>
      <c r="D874" s="4"/>
      <c r="E874" s="8"/>
      <c r="F874" s="8"/>
      <c r="G874" s="8"/>
      <c r="H874" s="9"/>
    </row>
    <row r="875">
      <c r="A875" s="4"/>
      <c r="C875" s="4"/>
      <c r="D875" s="4"/>
      <c r="E875" s="8"/>
      <c r="F875" s="8"/>
      <c r="G875" s="8"/>
      <c r="H875" s="9"/>
    </row>
    <row r="876">
      <c r="A876" s="4"/>
      <c r="C876" s="4"/>
      <c r="D876" s="4"/>
      <c r="E876" s="8"/>
      <c r="F876" s="8"/>
      <c r="G876" s="8"/>
      <c r="H876" s="9"/>
    </row>
    <row r="877">
      <c r="A877" s="4"/>
      <c r="C877" s="4"/>
      <c r="D877" s="4"/>
      <c r="E877" s="8"/>
      <c r="F877" s="8"/>
      <c r="G877" s="8"/>
      <c r="H877" s="9"/>
    </row>
    <row r="878">
      <c r="A878" s="4"/>
      <c r="C878" s="4"/>
      <c r="D878" s="4"/>
      <c r="E878" s="8"/>
      <c r="F878" s="8"/>
      <c r="G878" s="8"/>
      <c r="H878" s="9"/>
    </row>
    <row r="879">
      <c r="A879" s="4"/>
      <c r="C879" s="4"/>
      <c r="D879" s="4"/>
      <c r="E879" s="8"/>
      <c r="F879" s="8"/>
      <c r="G879" s="8"/>
      <c r="H879" s="9"/>
    </row>
    <row r="880">
      <c r="A880" s="4"/>
      <c r="C880" s="4"/>
      <c r="D880" s="4"/>
      <c r="E880" s="8"/>
      <c r="F880" s="8"/>
      <c r="G880" s="8"/>
      <c r="H880" s="9"/>
    </row>
    <row r="881">
      <c r="A881" s="4"/>
      <c r="C881" s="4"/>
      <c r="D881" s="4"/>
      <c r="E881" s="8"/>
      <c r="F881" s="8"/>
      <c r="G881" s="8"/>
      <c r="H881" s="9"/>
    </row>
    <row r="882">
      <c r="A882" s="4"/>
      <c r="C882" s="4"/>
      <c r="D882" s="4"/>
      <c r="E882" s="8"/>
      <c r="F882" s="8"/>
      <c r="G882" s="8"/>
      <c r="H882" s="9"/>
    </row>
    <row r="883">
      <c r="A883" s="4"/>
      <c r="C883" s="4"/>
      <c r="D883" s="4"/>
      <c r="E883" s="8"/>
      <c r="F883" s="8"/>
      <c r="G883" s="8"/>
      <c r="H883" s="9"/>
    </row>
    <row r="884">
      <c r="A884" s="4"/>
      <c r="C884" s="4"/>
      <c r="D884" s="4"/>
      <c r="E884" s="8"/>
      <c r="F884" s="8"/>
      <c r="G884" s="8"/>
      <c r="H884" s="9"/>
    </row>
    <row r="885">
      <c r="A885" s="4"/>
      <c r="C885" s="4"/>
      <c r="D885" s="4"/>
      <c r="E885" s="8"/>
      <c r="F885" s="8"/>
      <c r="G885" s="8"/>
      <c r="H885" s="9"/>
    </row>
    <row r="886">
      <c r="A886" s="4"/>
      <c r="C886" s="4"/>
      <c r="D886" s="4"/>
      <c r="E886" s="8"/>
      <c r="F886" s="8"/>
      <c r="G886" s="8"/>
      <c r="H886" s="9"/>
    </row>
    <row r="887">
      <c r="A887" s="4"/>
      <c r="C887" s="4"/>
      <c r="D887" s="4"/>
      <c r="E887" s="8"/>
      <c r="F887" s="8"/>
      <c r="G887" s="8"/>
      <c r="H887" s="9"/>
    </row>
    <row r="888">
      <c r="A888" s="4"/>
      <c r="C888" s="4"/>
      <c r="D888" s="4"/>
      <c r="E888" s="8"/>
      <c r="F888" s="8"/>
      <c r="G888" s="8"/>
      <c r="H888" s="9"/>
    </row>
    <row r="889">
      <c r="A889" s="4"/>
      <c r="C889" s="4"/>
      <c r="D889" s="4"/>
      <c r="E889" s="8"/>
      <c r="F889" s="8"/>
      <c r="G889" s="8"/>
      <c r="H889" s="9"/>
    </row>
    <row r="890">
      <c r="A890" s="4"/>
      <c r="C890" s="4"/>
      <c r="D890" s="4"/>
      <c r="E890" s="8"/>
      <c r="F890" s="8"/>
      <c r="G890" s="8"/>
      <c r="H890" s="9"/>
    </row>
    <row r="891">
      <c r="A891" s="4"/>
      <c r="C891" s="4"/>
      <c r="D891" s="4"/>
      <c r="E891" s="8"/>
      <c r="F891" s="8"/>
      <c r="G891" s="8"/>
      <c r="H891" s="9"/>
    </row>
    <row r="892">
      <c r="A892" s="4"/>
      <c r="C892" s="4"/>
      <c r="D892" s="4"/>
      <c r="E892" s="8"/>
      <c r="F892" s="8"/>
      <c r="G892" s="8"/>
      <c r="H892" s="9"/>
    </row>
    <row r="893">
      <c r="A893" s="4"/>
      <c r="C893" s="4"/>
      <c r="D893" s="4"/>
      <c r="E893" s="8"/>
      <c r="F893" s="8"/>
      <c r="G893" s="8"/>
      <c r="H893" s="9"/>
    </row>
    <row r="894">
      <c r="A894" s="4"/>
      <c r="C894" s="4"/>
      <c r="D894" s="4"/>
      <c r="E894" s="8"/>
      <c r="F894" s="8"/>
      <c r="G894" s="8"/>
      <c r="H894" s="9"/>
    </row>
    <row r="895">
      <c r="A895" s="4"/>
      <c r="C895" s="4"/>
      <c r="D895" s="4"/>
      <c r="E895" s="8"/>
      <c r="F895" s="8"/>
      <c r="G895" s="8"/>
      <c r="H895" s="9"/>
    </row>
    <row r="896">
      <c r="A896" s="4"/>
      <c r="C896" s="4"/>
      <c r="D896" s="4"/>
      <c r="E896" s="8"/>
      <c r="F896" s="8"/>
      <c r="G896" s="8"/>
      <c r="H896" s="9"/>
    </row>
    <row r="897">
      <c r="A897" s="4"/>
      <c r="C897" s="4"/>
      <c r="D897" s="4"/>
      <c r="E897" s="8"/>
      <c r="F897" s="8"/>
      <c r="G897" s="8"/>
      <c r="H897" s="9"/>
    </row>
    <row r="898">
      <c r="A898" s="4"/>
      <c r="C898" s="4"/>
      <c r="D898" s="4"/>
      <c r="E898" s="8"/>
      <c r="F898" s="8"/>
      <c r="G898" s="8"/>
      <c r="H898" s="9"/>
    </row>
    <row r="899">
      <c r="A899" s="4"/>
      <c r="C899" s="4"/>
      <c r="D899" s="4"/>
      <c r="E899" s="8"/>
      <c r="F899" s="8"/>
      <c r="G899" s="8"/>
      <c r="H899" s="9"/>
    </row>
    <row r="900">
      <c r="A900" s="4"/>
      <c r="C900" s="4"/>
      <c r="D900" s="4"/>
      <c r="E900" s="8"/>
      <c r="F900" s="8"/>
      <c r="G900" s="8"/>
      <c r="H900" s="9"/>
    </row>
    <row r="901">
      <c r="A901" s="4"/>
      <c r="C901" s="4"/>
      <c r="D901" s="4"/>
      <c r="E901" s="8"/>
      <c r="F901" s="8"/>
      <c r="G901" s="8"/>
      <c r="H901" s="9"/>
    </row>
    <row r="902">
      <c r="A902" s="4"/>
      <c r="C902" s="4"/>
      <c r="D902" s="4"/>
      <c r="E902" s="8"/>
      <c r="F902" s="8"/>
      <c r="G902" s="8"/>
      <c r="H902" s="9"/>
    </row>
    <row r="903">
      <c r="A903" s="4"/>
      <c r="C903" s="4"/>
      <c r="D903" s="4"/>
      <c r="E903" s="8"/>
      <c r="F903" s="8"/>
      <c r="G903" s="8"/>
      <c r="H903" s="9"/>
    </row>
    <row r="904">
      <c r="A904" s="4"/>
      <c r="C904" s="4"/>
      <c r="D904" s="4"/>
      <c r="E904" s="8"/>
      <c r="F904" s="8"/>
      <c r="G904" s="8"/>
      <c r="H904" s="9"/>
    </row>
    <row r="905">
      <c r="A905" s="4"/>
      <c r="C905" s="4"/>
      <c r="D905" s="4"/>
      <c r="E905" s="8"/>
      <c r="F905" s="8"/>
      <c r="G905" s="8"/>
      <c r="H905" s="9"/>
    </row>
    <row r="906">
      <c r="A906" s="4"/>
      <c r="C906" s="4"/>
      <c r="D906" s="4"/>
      <c r="E906" s="8"/>
      <c r="F906" s="8"/>
      <c r="G906" s="8"/>
      <c r="H906" s="9"/>
    </row>
    <row r="907">
      <c r="A907" s="4"/>
      <c r="C907" s="4"/>
      <c r="D907" s="4"/>
      <c r="E907" s="8"/>
      <c r="F907" s="8"/>
      <c r="G907" s="8"/>
      <c r="H907" s="9"/>
    </row>
    <row r="908">
      <c r="A908" s="4"/>
      <c r="C908" s="4"/>
      <c r="D908" s="4"/>
      <c r="E908" s="8"/>
      <c r="F908" s="8"/>
      <c r="G908" s="8"/>
      <c r="H908" s="9"/>
    </row>
    <row r="909">
      <c r="A909" s="4"/>
      <c r="C909" s="4"/>
      <c r="D909" s="4"/>
      <c r="E909" s="8"/>
      <c r="F909" s="8"/>
      <c r="G909" s="8"/>
      <c r="H909" s="9"/>
    </row>
    <row r="910">
      <c r="A910" s="4"/>
      <c r="C910" s="4"/>
      <c r="D910" s="4"/>
      <c r="E910" s="8"/>
      <c r="F910" s="8"/>
      <c r="G910" s="8"/>
      <c r="H910" s="9"/>
    </row>
    <row r="911">
      <c r="A911" s="4"/>
      <c r="C911" s="4"/>
      <c r="D911" s="4"/>
      <c r="E911" s="8"/>
      <c r="F911" s="8"/>
      <c r="G911" s="8"/>
      <c r="H911" s="9"/>
    </row>
    <row r="912">
      <c r="A912" s="4"/>
      <c r="C912" s="4"/>
      <c r="D912" s="4"/>
      <c r="E912" s="8"/>
      <c r="F912" s="8"/>
      <c r="G912" s="8"/>
      <c r="H912" s="9"/>
    </row>
    <row r="913">
      <c r="A913" s="4"/>
      <c r="C913" s="4"/>
      <c r="D913" s="4"/>
      <c r="E913" s="8"/>
      <c r="F913" s="8"/>
      <c r="G913" s="8"/>
      <c r="H913" s="9"/>
    </row>
    <row r="914">
      <c r="A914" s="4"/>
      <c r="C914" s="4"/>
      <c r="D914" s="4"/>
      <c r="E914" s="8"/>
      <c r="F914" s="8"/>
      <c r="G914" s="8"/>
      <c r="H914" s="9"/>
    </row>
    <row r="915">
      <c r="A915" s="4"/>
      <c r="C915" s="4"/>
      <c r="D915" s="4"/>
      <c r="E915" s="8"/>
      <c r="F915" s="8"/>
      <c r="G915" s="8"/>
      <c r="H915" s="9"/>
    </row>
    <row r="916">
      <c r="A916" s="4"/>
      <c r="C916" s="4"/>
      <c r="D916" s="4"/>
      <c r="E916" s="8"/>
      <c r="F916" s="8"/>
      <c r="G916" s="8"/>
      <c r="H916" s="9"/>
    </row>
    <row r="917">
      <c r="A917" s="4"/>
      <c r="C917" s="4"/>
      <c r="D917" s="4"/>
      <c r="E917" s="8"/>
      <c r="F917" s="8"/>
      <c r="G917" s="8"/>
      <c r="H917" s="9"/>
    </row>
    <row r="918">
      <c r="A918" s="4"/>
      <c r="C918" s="4"/>
      <c r="D918" s="4"/>
      <c r="E918" s="8"/>
      <c r="F918" s="8"/>
      <c r="G918" s="8"/>
      <c r="H918" s="9"/>
    </row>
    <row r="919">
      <c r="A919" s="4"/>
      <c r="C919" s="4"/>
      <c r="D919" s="4"/>
      <c r="E919" s="8"/>
      <c r="F919" s="8"/>
      <c r="G919" s="8"/>
      <c r="H919" s="9"/>
    </row>
    <row r="920">
      <c r="A920" s="4"/>
      <c r="C920" s="4"/>
      <c r="D920" s="4"/>
      <c r="E920" s="8"/>
      <c r="F920" s="8"/>
      <c r="G920" s="8"/>
      <c r="H920" s="9"/>
    </row>
    <row r="921">
      <c r="A921" s="4"/>
      <c r="C921" s="4"/>
      <c r="D921" s="4"/>
      <c r="E921" s="8"/>
      <c r="F921" s="8"/>
      <c r="G921" s="8"/>
      <c r="H921" s="9"/>
    </row>
    <row r="922">
      <c r="A922" s="4"/>
      <c r="C922" s="4"/>
      <c r="D922" s="4"/>
      <c r="E922" s="8"/>
      <c r="F922" s="8"/>
      <c r="G922" s="8"/>
      <c r="H922" s="9"/>
    </row>
    <row r="923">
      <c r="A923" s="4"/>
      <c r="C923" s="4"/>
      <c r="D923" s="4"/>
      <c r="E923" s="8"/>
      <c r="F923" s="8"/>
      <c r="G923" s="8"/>
      <c r="H923" s="9"/>
    </row>
    <row r="924">
      <c r="A924" s="4"/>
      <c r="C924" s="4"/>
      <c r="D924" s="4"/>
      <c r="E924" s="8"/>
      <c r="F924" s="8"/>
      <c r="G924" s="8"/>
      <c r="H924" s="9"/>
    </row>
    <row r="925">
      <c r="A925" s="4"/>
      <c r="C925" s="4"/>
      <c r="D925" s="4"/>
      <c r="E925" s="8"/>
      <c r="F925" s="8"/>
      <c r="G925" s="8"/>
      <c r="H925" s="9"/>
    </row>
    <row r="926">
      <c r="A926" s="4"/>
      <c r="C926" s="4"/>
      <c r="D926" s="4"/>
      <c r="E926" s="8"/>
      <c r="F926" s="8"/>
      <c r="G926" s="8"/>
      <c r="H926" s="9"/>
    </row>
    <row r="927">
      <c r="A927" s="4"/>
      <c r="C927" s="4"/>
      <c r="D927" s="4"/>
      <c r="E927" s="8"/>
      <c r="F927" s="8"/>
      <c r="G927" s="8"/>
      <c r="H927" s="9"/>
    </row>
    <row r="928">
      <c r="A928" s="4"/>
      <c r="C928" s="4"/>
      <c r="D928" s="4"/>
      <c r="E928" s="8"/>
      <c r="F928" s="8"/>
      <c r="G928" s="8"/>
      <c r="H928" s="9"/>
    </row>
    <row r="929">
      <c r="A929" s="4"/>
      <c r="C929" s="4"/>
      <c r="D929" s="4"/>
      <c r="E929" s="8"/>
      <c r="F929" s="8"/>
      <c r="G929" s="8"/>
      <c r="H929" s="9"/>
    </row>
    <row r="930">
      <c r="A930" s="4"/>
      <c r="C930" s="4"/>
      <c r="D930" s="4"/>
      <c r="E930" s="8"/>
      <c r="F930" s="8"/>
      <c r="G930" s="8"/>
      <c r="H930" s="9"/>
    </row>
    <row r="931">
      <c r="A931" s="4"/>
      <c r="C931" s="4"/>
      <c r="D931" s="4"/>
      <c r="E931" s="8"/>
      <c r="F931" s="8"/>
      <c r="G931" s="8"/>
      <c r="H931" s="9"/>
    </row>
    <row r="932">
      <c r="A932" s="4"/>
      <c r="C932" s="4"/>
      <c r="D932" s="4"/>
      <c r="E932" s="8"/>
      <c r="F932" s="8"/>
      <c r="G932" s="8"/>
      <c r="H932" s="9"/>
    </row>
    <row r="933">
      <c r="A933" s="4"/>
      <c r="C933" s="4"/>
      <c r="D933" s="4"/>
      <c r="E933" s="8"/>
      <c r="F933" s="8"/>
      <c r="G933" s="8"/>
      <c r="H933" s="9"/>
    </row>
    <row r="934">
      <c r="A934" s="4"/>
      <c r="C934" s="4"/>
      <c r="D934" s="4"/>
      <c r="E934" s="8"/>
      <c r="F934" s="8"/>
      <c r="G934" s="8"/>
      <c r="H934" s="9"/>
    </row>
    <row r="935">
      <c r="A935" s="4"/>
      <c r="C935" s="4"/>
      <c r="D935" s="4"/>
      <c r="E935" s="8"/>
      <c r="F935" s="8"/>
      <c r="G935" s="8"/>
      <c r="H935" s="9"/>
    </row>
    <row r="936">
      <c r="A936" s="4"/>
      <c r="C936" s="4"/>
      <c r="D936" s="4"/>
      <c r="E936" s="8"/>
      <c r="F936" s="8"/>
      <c r="G936" s="8"/>
      <c r="H936" s="9"/>
    </row>
    <row r="937">
      <c r="A937" s="4"/>
      <c r="C937" s="4"/>
      <c r="D937" s="4"/>
      <c r="E937" s="8"/>
      <c r="F937" s="8"/>
      <c r="G937" s="8"/>
      <c r="H937" s="9"/>
    </row>
    <row r="938">
      <c r="A938" s="4"/>
      <c r="C938" s="4"/>
      <c r="D938" s="4"/>
      <c r="E938" s="8"/>
      <c r="F938" s="8"/>
      <c r="G938" s="8"/>
      <c r="H938" s="9"/>
    </row>
    <row r="939">
      <c r="A939" s="4"/>
      <c r="C939" s="4"/>
      <c r="D939" s="4"/>
      <c r="E939" s="8"/>
      <c r="F939" s="8"/>
      <c r="G939" s="8"/>
      <c r="H939" s="9"/>
    </row>
    <row r="940">
      <c r="A940" s="4"/>
      <c r="C940" s="4"/>
      <c r="D940" s="4"/>
      <c r="E940" s="8"/>
      <c r="F940" s="8"/>
      <c r="G940" s="8"/>
      <c r="H940" s="9"/>
    </row>
    <row r="941">
      <c r="A941" s="4"/>
      <c r="C941" s="4"/>
      <c r="D941" s="4"/>
      <c r="E941" s="8"/>
      <c r="F941" s="8"/>
      <c r="G941" s="8"/>
      <c r="H941" s="9"/>
    </row>
    <row r="942">
      <c r="A942" s="4"/>
      <c r="C942" s="4"/>
      <c r="D942" s="4"/>
      <c r="E942" s="8"/>
      <c r="F942" s="8"/>
      <c r="G942" s="8"/>
      <c r="H942" s="9"/>
    </row>
    <row r="943">
      <c r="A943" s="4"/>
      <c r="C943" s="4"/>
      <c r="D943" s="4"/>
      <c r="E943" s="8"/>
      <c r="F943" s="8"/>
      <c r="G943" s="8"/>
      <c r="H943" s="9"/>
    </row>
    <row r="944">
      <c r="A944" s="4"/>
      <c r="C944" s="4"/>
      <c r="D944" s="4"/>
      <c r="E944" s="8"/>
      <c r="F944" s="8"/>
      <c r="G944" s="8"/>
      <c r="H944" s="9"/>
    </row>
    <row r="945">
      <c r="A945" s="4"/>
      <c r="C945" s="4"/>
      <c r="D945" s="4"/>
      <c r="E945" s="8"/>
      <c r="F945" s="8"/>
      <c r="G945" s="8"/>
      <c r="H945" s="9"/>
    </row>
    <row r="946">
      <c r="A946" s="4"/>
      <c r="C946" s="4"/>
      <c r="D946" s="4"/>
      <c r="E946" s="8"/>
      <c r="F946" s="8"/>
      <c r="G946" s="8"/>
      <c r="H946" s="9"/>
    </row>
    <row r="947">
      <c r="A947" s="4"/>
      <c r="C947" s="4"/>
      <c r="D947" s="4"/>
      <c r="E947" s="8"/>
      <c r="F947" s="8"/>
      <c r="G947" s="8"/>
      <c r="H947" s="9"/>
    </row>
    <row r="948">
      <c r="A948" s="4"/>
      <c r="C948" s="4"/>
      <c r="D948" s="4"/>
      <c r="E948" s="8"/>
      <c r="F948" s="8"/>
      <c r="G948" s="8"/>
      <c r="H948" s="9"/>
    </row>
    <row r="949">
      <c r="A949" s="4"/>
      <c r="C949" s="4"/>
      <c r="D949" s="4"/>
      <c r="E949" s="8"/>
      <c r="F949" s="8"/>
      <c r="G949" s="8"/>
      <c r="H949" s="9"/>
    </row>
    <row r="950">
      <c r="A950" s="4"/>
      <c r="C950" s="4"/>
      <c r="D950" s="4"/>
      <c r="E950" s="8"/>
      <c r="F950" s="8"/>
      <c r="G950" s="8"/>
      <c r="H950" s="9"/>
    </row>
    <row r="951">
      <c r="A951" s="4"/>
      <c r="C951" s="4"/>
      <c r="D951" s="4"/>
      <c r="E951" s="8"/>
      <c r="F951" s="8"/>
      <c r="G951" s="8"/>
      <c r="H951" s="9"/>
    </row>
    <row r="952">
      <c r="A952" s="4"/>
      <c r="C952" s="4"/>
      <c r="D952" s="4"/>
      <c r="E952" s="8"/>
      <c r="F952" s="8"/>
      <c r="G952" s="8"/>
      <c r="H952" s="9"/>
    </row>
    <row r="953">
      <c r="A953" s="4"/>
      <c r="C953" s="4"/>
      <c r="D953" s="4"/>
      <c r="E953" s="8"/>
      <c r="F953" s="8"/>
      <c r="G953" s="8"/>
      <c r="H953" s="9"/>
    </row>
    <row r="954">
      <c r="A954" s="4"/>
      <c r="C954" s="4"/>
      <c r="D954" s="4"/>
      <c r="E954" s="8"/>
      <c r="F954" s="8"/>
      <c r="G954" s="8"/>
      <c r="H954" s="9"/>
    </row>
    <row r="955">
      <c r="A955" s="4"/>
      <c r="C955" s="4"/>
      <c r="D955" s="4"/>
      <c r="E955" s="8"/>
      <c r="F955" s="8"/>
      <c r="G955" s="8"/>
      <c r="H955" s="9"/>
    </row>
    <row r="956">
      <c r="A956" s="4"/>
      <c r="C956" s="4"/>
      <c r="D956" s="4"/>
      <c r="E956" s="8"/>
      <c r="F956" s="8"/>
      <c r="G956" s="8"/>
      <c r="H956" s="9"/>
    </row>
    <row r="957">
      <c r="A957" s="4"/>
      <c r="C957" s="4"/>
      <c r="D957" s="4"/>
      <c r="E957" s="8"/>
      <c r="F957" s="8"/>
      <c r="G957" s="8"/>
      <c r="H957" s="9"/>
    </row>
    <row r="958">
      <c r="A958" s="4"/>
      <c r="C958" s="4"/>
      <c r="D958" s="4"/>
      <c r="E958" s="8"/>
      <c r="F958" s="8"/>
      <c r="G958" s="8"/>
      <c r="H958" s="9"/>
    </row>
    <row r="959">
      <c r="A959" s="4"/>
      <c r="C959" s="4"/>
      <c r="D959" s="4"/>
      <c r="E959" s="8"/>
      <c r="F959" s="8"/>
      <c r="G959" s="8"/>
      <c r="H959" s="9"/>
    </row>
    <row r="960">
      <c r="A960" s="4"/>
      <c r="C960" s="4"/>
      <c r="D960" s="4"/>
      <c r="E960" s="8"/>
      <c r="F960" s="8"/>
      <c r="G960" s="8"/>
      <c r="H960" s="9"/>
    </row>
    <row r="961">
      <c r="A961" s="4"/>
      <c r="C961" s="4"/>
      <c r="D961" s="4"/>
      <c r="E961" s="8"/>
      <c r="F961" s="8"/>
      <c r="G961" s="8"/>
      <c r="H961" s="9"/>
    </row>
    <row r="962">
      <c r="A962" s="4"/>
      <c r="C962" s="4"/>
      <c r="D962" s="4"/>
      <c r="E962" s="8"/>
      <c r="F962" s="8"/>
      <c r="G962" s="8"/>
      <c r="H962" s="9"/>
    </row>
    <row r="963">
      <c r="A963" s="4"/>
      <c r="C963" s="4"/>
      <c r="D963" s="4"/>
      <c r="E963" s="8"/>
      <c r="F963" s="8"/>
      <c r="G963" s="8"/>
      <c r="H963" s="9"/>
    </row>
    <row r="964">
      <c r="A964" s="4"/>
      <c r="C964" s="4"/>
      <c r="D964" s="4"/>
      <c r="E964" s="8"/>
      <c r="F964" s="8"/>
      <c r="G964" s="8"/>
      <c r="H964" s="9"/>
    </row>
    <row r="965">
      <c r="A965" s="4"/>
      <c r="C965" s="4"/>
      <c r="D965" s="4"/>
      <c r="E965" s="8"/>
      <c r="F965" s="8"/>
      <c r="G965" s="8"/>
      <c r="H965" s="9"/>
    </row>
    <row r="966">
      <c r="A966" s="4"/>
      <c r="C966" s="4"/>
      <c r="D966" s="4"/>
      <c r="E966" s="8"/>
      <c r="F966" s="8"/>
      <c r="G966" s="8"/>
      <c r="H966" s="9"/>
    </row>
    <row r="967">
      <c r="A967" s="4"/>
      <c r="C967" s="4"/>
      <c r="D967" s="4"/>
      <c r="E967" s="8"/>
      <c r="F967" s="8"/>
      <c r="G967" s="8"/>
      <c r="H967" s="9"/>
    </row>
    <row r="968">
      <c r="A968" s="4"/>
      <c r="C968" s="4"/>
      <c r="D968" s="4"/>
      <c r="E968" s="8"/>
      <c r="F968" s="8"/>
      <c r="G968" s="8"/>
      <c r="H968" s="9"/>
    </row>
    <row r="969">
      <c r="A969" s="4"/>
      <c r="C969" s="4"/>
      <c r="D969" s="4"/>
      <c r="E969" s="8"/>
      <c r="F969" s="8"/>
      <c r="G969" s="8"/>
      <c r="H969" s="9"/>
    </row>
    <row r="970">
      <c r="A970" s="4"/>
      <c r="C970" s="4"/>
      <c r="D970" s="4"/>
      <c r="E970" s="8"/>
      <c r="F970" s="8"/>
      <c r="G970" s="8"/>
      <c r="H970" s="9"/>
    </row>
    <row r="971">
      <c r="A971" s="4"/>
      <c r="C971" s="4"/>
      <c r="D971" s="4"/>
      <c r="E971" s="8"/>
      <c r="F971" s="8"/>
      <c r="G971" s="8"/>
      <c r="H971" s="9"/>
    </row>
    <row r="972">
      <c r="A972" s="4"/>
      <c r="C972" s="4"/>
      <c r="D972" s="4"/>
      <c r="E972" s="8"/>
      <c r="F972" s="8"/>
      <c r="G972" s="8"/>
      <c r="H972" s="9"/>
    </row>
    <row r="973">
      <c r="A973" s="4"/>
      <c r="C973" s="4"/>
      <c r="D973" s="4"/>
      <c r="E973" s="8"/>
      <c r="F973" s="8"/>
      <c r="G973" s="8"/>
      <c r="H973" s="9"/>
    </row>
    <row r="974">
      <c r="A974" s="4"/>
      <c r="C974" s="4"/>
      <c r="D974" s="4"/>
      <c r="E974" s="8"/>
      <c r="F974" s="8"/>
      <c r="G974" s="8"/>
      <c r="H974" s="9"/>
    </row>
    <row r="975">
      <c r="A975" s="4"/>
      <c r="C975" s="4"/>
      <c r="D975" s="4"/>
      <c r="E975" s="8"/>
      <c r="F975" s="8"/>
      <c r="G975" s="8"/>
      <c r="H975" s="9"/>
    </row>
    <row r="976">
      <c r="A976" s="4"/>
      <c r="C976" s="4"/>
      <c r="D976" s="4"/>
      <c r="E976" s="8"/>
      <c r="F976" s="8"/>
      <c r="G976" s="8"/>
      <c r="H976" s="9"/>
    </row>
    <row r="977">
      <c r="A977" s="4"/>
      <c r="C977" s="4"/>
      <c r="D977" s="4"/>
      <c r="E977" s="8"/>
      <c r="F977" s="8"/>
      <c r="G977" s="8"/>
      <c r="H977" s="9"/>
    </row>
    <row r="978">
      <c r="A978" s="4"/>
      <c r="C978" s="4"/>
      <c r="D978" s="4"/>
      <c r="E978" s="8"/>
      <c r="F978" s="8"/>
      <c r="G978" s="8"/>
      <c r="H978" s="9"/>
    </row>
    <row r="979">
      <c r="A979" s="4"/>
      <c r="C979" s="4"/>
      <c r="D979" s="4"/>
      <c r="E979" s="8"/>
      <c r="F979" s="8"/>
      <c r="G979" s="8"/>
      <c r="H979" s="9"/>
    </row>
    <row r="980">
      <c r="A980" s="4"/>
      <c r="C980" s="4"/>
      <c r="D980" s="4"/>
      <c r="E980" s="8"/>
      <c r="F980" s="8"/>
      <c r="G980" s="8"/>
      <c r="H980" s="9"/>
    </row>
    <row r="981">
      <c r="A981" s="4"/>
      <c r="C981" s="4"/>
      <c r="D981" s="4"/>
      <c r="E981" s="8"/>
      <c r="F981" s="8"/>
      <c r="G981" s="8"/>
      <c r="H981" s="9"/>
    </row>
    <row r="982">
      <c r="A982" s="4"/>
      <c r="C982" s="4"/>
      <c r="D982" s="4"/>
      <c r="E982" s="8"/>
      <c r="F982" s="8"/>
      <c r="G982" s="8"/>
      <c r="H982" s="9"/>
    </row>
    <row r="983">
      <c r="A983" s="4"/>
      <c r="C983" s="4"/>
      <c r="D983" s="4"/>
      <c r="E983" s="8"/>
      <c r="F983" s="8"/>
      <c r="G983" s="8"/>
      <c r="H983" s="9"/>
    </row>
    <row r="984">
      <c r="A984" s="4"/>
      <c r="C984" s="4"/>
      <c r="D984" s="4"/>
      <c r="E984" s="8"/>
      <c r="F984" s="8"/>
      <c r="G984" s="8"/>
      <c r="H984" s="9"/>
    </row>
    <row r="985">
      <c r="A985" s="4"/>
      <c r="C985" s="4"/>
      <c r="D985" s="4"/>
      <c r="E985" s="8"/>
      <c r="F985" s="8"/>
      <c r="G985" s="8"/>
      <c r="H985" s="9"/>
    </row>
    <row r="986">
      <c r="A986" s="4"/>
      <c r="C986" s="4"/>
      <c r="D986" s="4"/>
      <c r="E986" s="8"/>
      <c r="F986" s="8"/>
      <c r="G986" s="8"/>
      <c r="H986" s="9"/>
    </row>
    <row r="987">
      <c r="A987" s="4"/>
      <c r="C987" s="4"/>
      <c r="D987" s="4"/>
      <c r="E987" s="8"/>
      <c r="F987" s="8"/>
      <c r="G987" s="8"/>
      <c r="H987" s="9"/>
    </row>
    <row r="988">
      <c r="A988" s="4"/>
      <c r="C988" s="4"/>
      <c r="D988" s="4"/>
      <c r="E988" s="8"/>
      <c r="F988" s="8"/>
      <c r="G988" s="8"/>
      <c r="H988" s="9"/>
    </row>
    <row r="989">
      <c r="A989" s="4"/>
      <c r="C989" s="4"/>
      <c r="D989" s="4"/>
      <c r="E989" s="8"/>
      <c r="F989" s="8"/>
      <c r="G989" s="8"/>
      <c r="H989" s="9"/>
    </row>
    <row r="990">
      <c r="A990" s="4"/>
      <c r="C990" s="4"/>
      <c r="D990" s="4"/>
      <c r="E990" s="8"/>
      <c r="F990" s="8"/>
      <c r="G990" s="8"/>
      <c r="H990" s="9"/>
    </row>
    <row r="991">
      <c r="A991" s="4"/>
      <c r="C991" s="4"/>
      <c r="D991" s="4"/>
      <c r="E991" s="8"/>
      <c r="F991" s="8"/>
      <c r="G991" s="8"/>
      <c r="H991" s="9"/>
    </row>
    <row r="992">
      <c r="A992" s="4"/>
      <c r="C992" s="4"/>
      <c r="D992" s="4"/>
      <c r="E992" s="8"/>
      <c r="F992" s="8"/>
      <c r="G992" s="8"/>
      <c r="H992" s="9"/>
    </row>
    <row r="993">
      <c r="A993" s="4"/>
      <c r="C993" s="4"/>
      <c r="D993" s="4"/>
      <c r="E993" s="8"/>
      <c r="F993" s="8"/>
      <c r="G993" s="8"/>
      <c r="H993" s="9"/>
    </row>
    <row r="994">
      <c r="A994" s="4"/>
      <c r="C994" s="4"/>
      <c r="D994" s="4"/>
      <c r="E994" s="8"/>
      <c r="F994" s="8"/>
      <c r="G994" s="8"/>
      <c r="H994" s="9"/>
    </row>
    <row r="995">
      <c r="A995" s="4"/>
      <c r="C995" s="4"/>
      <c r="D995" s="4"/>
      <c r="E995" s="8"/>
      <c r="F995" s="8"/>
      <c r="G995" s="8"/>
      <c r="H995" s="9"/>
    </row>
    <row r="996">
      <c r="A996" s="4"/>
      <c r="C996" s="4"/>
      <c r="D996" s="4"/>
      <c r="E996" s="8"/>
      <c r="F996" s="8"/>
      <c r="G996" s="8"/>
      <c r="H996" s="9"/>
    </row>
    <row r="997">
      <c r="A997" s="4"/>
      <c r="C997" s="4"/>
      <c r="D997" s="4"/>
      <c r="E997" s="8"/>
      <c r="F997" s="8"/>
      <c r="G997" s="8"/>
      <c r="H997" s="9"/>
    </row>
    <row r="998">
      <c r="A998" s="4"/>
      <c r="C998" s="4"/>
      <c r="D998" s="4"/>
      <c r="E998" s="8"/>
      <c r="F998" s="8"/>
      <c r="G998" s="8"/>
      <c r="H998" s="9"/>
    </row>
    <row r="999">
      <c r="A999" s="4"/>
      <c r="C999" s="4"/>
      <c r="D999" s="4"/>
      <c r="E999" s="8"/>
      <c r="F999" s="8"/>
      <c r="G999" s="8"/>
      <c r="H999" s="9"/>
    </row>
    <row r="1000">
      <c r="A1000" s="4"/>
      <c r="C1000" s="4"/>
      <c r="D1000" s="4"/>
      <c r="E1000" s="8"/>
      <c r="F1000" s="8"/>
      <c r="G1000" s="8"/>
      <c r="H1000" s="9"/>
    </row>
    <row r="1001">
      <c r="A1001" s="4"/>
      <c r="C1001" s="4"/>
      <c r="D1001" s="4"/>
      <c r="E1001" s="8"/>
      <c r="F1001" s="8"/>
      <c r="G1001" s="8"/>
      <c r="H1001" s="9"/>
    </row>
    <row r="1002">
      <c r="A1002" s="4"/>
      <c r="C1002" s="4"/>
      <c r="D1002" s="4"/>
      <c r="E1002" s="8"/>
      <c r="F1002" s="8"/>
      <c r="G1002" s="8"/>
      <c r="H1002" s="9"/>
    </row>
    <row r="1003">
      <c r="A1003" s="4"/>
      <c r="C1003" s="4"/>
      <c r="D1003" s="4"/>
      <c r="E1003" s="8"/>
      <c r="F1003" s="8"/>
      <c r="G1003" s="8"/>
      <c r="H1003" s="9"/>
    </row>
    <row r="1004">
      <c r="A1004" s="4"/>
      <c r="C1004" s="4"/>
      <c r="D1004" s="4"/>
      <c r="E1004" s="8"/>
      <c r="F1004" s="8"/>
      <c r="G1004" s="8"/>
      <c r="H1004" s="9"/>
    </row>
    <row r="1005">
      <c r="A1005" s="4"/>
      <c r="C1005" s="4"/>
      <c r="D1005" s="4"/>
      <c r="E1005" s="8"/>
      <c r="F1005" s="8"/>
      <c r="G1005" s="8"/>
      <c r="H1005" s="9"/>
    </row>
    <row r="1006">
      <c r="A1006" s="4"/>
      <c r="C1006" s="4"/>
      <c r="D1006" s="4"/>
      <c r="E1006" s="8"/>
      <c r="F1006" s="8"/>
      <c r="G1006" s="8"/>
      <c r="H1006" s="9"/>
    </row>
    <row r="1007">
      <c r="A1007" s="4"/>
      <c r="C1007" s="4"/>
      <c r="D1007" s="4"/>
      <c r="E1007" s="8"/>
      <c r="F1007" s="8"/>
      <c r="G1007" s="8"/>
      <c r="H1007" s="9"/>
    </row>
    <row r="1008">
      <c r="A1008" s="4"/>
      <c r="C1008" s="4"/>
      <c r="D1008" s="4"/>
      <c r="E1008" s="8"/>
      <c r="F1008" s="8"/>
      <c r="G1008" s="8"/>
      <c r="H1008" s="9"/>
    </row>
    <row r="1009">
      <c r="A1009" s="4"/>
      <c r="C1009" s="4"/>
      <c r="D1009" s="4"/>
      <c r="E1009" s="8"/>
      <c r="F1009" s="8"/>
      <c r="G1009" s="8"/>
      <c r="H1009" s="9"/>
    </row>
    <row r="1010">
      <c r="A1010" s="4"/>
      <c r="C1010" s="4"/>
      <c r="D1010" s="4"/>
      <c r="E1010" s="8"/>
      <c r="F1010" s="8"/>
      <c r="G1010" s="8"/>
      <c r="H1010" s="9"/>
    </row>
    <row r="1011">
      <c r="A1011" s="4"/>
      <c r="C1011" s="4"/>
      <c r="D1011" s="4"/>
      <c r="E1011" s="8"/>
      <c r="F1011" s="8"/>
      <c r="G1011" s="8"/>
      <c r="H1011" s="9"/>
    </row>
    <row r="1012">
      <c r="A1012" s="4"/>
      <c r="C1012" s="4"/>
      <c r="D1012" s="4"/>
      <c r="E1012" s="8"/>
      <c r="F1012" s="8"/>
      <c r="G1012" s="8"/>
      <c r="H1012" s="9"/>
    </row>
    <row r="1013">
      <c r="A1013" s="4"/>
      <c r="C1013" s="4"/>
      <c r="D1013" s="4"/>
      <c r="E1013" s="8"/>
      <c r="F1013" s="8"/>
      <c r="G1013" s="8"/>
      <c r="H1013" s="9"/>
    </row>
    <row r="1014">
      <c r="A1014" s="4"/>
      <c r="C1014" s="4"/>
      <c r="D1014" s="4"/>
      <c r="E1014" s="8"/>
      <c r="F1014" s="8"/>
      <c r="G1014" s="8"/>
      <c r="H1014" s="9"/>
    </row>
    <row r="1015">
      <c r="A1015" s="4"/>
      <c r="C1015" s="4"/>
      <c r="D1015" s="4"/>
      <c r="E1015" s="8"/>
      <c r="F1015" s="8"/>
      <c r="G1015" s="8"/>
      <c r="H1015" s="9"/>
    </row>
    <row r="1016">
      <c r="A1016" s="4"/>
      <c r="C1016" s="4"/>
      <c r="D1016" s="4"/>
      <c r="E1016" s="8"/>
      <c r="F1016" s="8"/>
      <c r="G1016" s="8"/>
      <c r="H1016" s="9"/>
    </row>
    <row r="1017">
      <c r="A1017" s="4"/>
      <c r="C1017" s="4"/>
      <c r="D1017" s="4"/>
      <c r="E1017" s="8"/>
      <c r="F1017" s="8"/>
      <c r="G1017" s="8"/>
      <c r="H1017" s="9"/>
    </row>
    <row r="1018">
      <c r="A1018" s="4"/>
      <c r="C1018" s="4"/>
      <c r="D1018" s="4"/>
      <c r="E1018" s="8"/>
      <c r="F1018" s="8"/>
      <c r="G1018" s="8"/>
      <c r="H1018" s="9"/>
    </row>
    <row r="1019">
      <c r="A1019" s="4"/>
      <c r="C1019" s="4"/>
      <c r="D1019" s="4"/>
      <c r="E1019" s="8"/>
      <c r="F1019" s="8"/>
      <c r="G1019" s="8"/>
      <c r="H1019" s="9"/>
    </row>
    <row r="1020">
      <c r="A1020" s="4"/>
      <c r="C1020" s="4"/>
      <c r="D1020" s="4"/>
      <c r="E1020" s="8"/>
      <c r="F1020" s="8"/>
      <c r="G1020" s="8"/>
      <c r="H1020" s="9"/>
    </row>
    <row r="1021">
      <c r="A1021" s="4"/>
      <c r="C1021" s="4"/>
      <c r="D1021" s="4"/>
      <c r="E1021" s="8"/>
      <c r="F1021" s="8"/>
      <c r="G1021" s="8"/>
      <c r="H1021" s="9"/>
    </row>
    <row r="1022">
      <c r="A1022" s="4"/>
      <c r="C1022" s="4"/>
      <c r="D1022" s="4"/>
      <c r="E1022" s="8"/>
      <c r="F1022" s="8"/>
      <c r="G1022" s="8"/>
      <c r="H1022" s="9"/>
    </row>
    <row r="1023">
      <c r="A1023" s="4"/>
      <c r="C1023" s="4"/>
      <c r="D1023" s="4"/>
      <c r="E1023" s="8"/>
      <c r="F1023" s="8"/>
      <c r="G1023" s="8"/>
      <c r="H1023" s="9"/>
    </row>
    <row r="1024">
      <c r="A1024" s="4"/>
      <c r="C1024" s="4"/>
      <c r="D1024" s="4"/>
      <c r="E1024" s="8"/>
      <c r="F1024" s="8"/>
      <c r="G1024" s="8"/>
      <c r="H1024" s="9"/>
    </row>
    <row r="1025">
      <c r="A1025" s="4"/>
      <c r="C1025" s="4"/>
      <c r="D1025" s="4"/>
      <c r="E1025" s="8"/>
      <c r="F1025" s="8"/>
      <c r="G1025" s="8"/>
      <c r="H1025" s="9"/>
    </row>
    <row r="1026">
      <c r="A1026" s="4"/>
      <c r="C1026" s="4"/>
      <c r="D1026" s="4"/>
      <c r="E1026" s="8"/>
      <c r="F1026" s="8"/>
      <c r="G1026" s="8"/>
      <c r="H1026" s="9"/>
    </row>
    <row r="1027">
      <c r="A1027" s="4"/>
      <c r="C1027" s="4"/>
      <c r="D1027" s="4"/>
      <c r="E1027" s="8"/>
      <c r="F1027" s="8"/>
      <c r="G1027" s="8"/>
      <c r="H1027" s="9"/>
    </row>
    <row r="1028">
      <c r="A1028" s="4"/>
      <c r="C1028" s="4"/>
      <c r="D1028" s="4"/>
      <c r="E1028" s="8"/>
      <c r="F1028" s="8"/>
      <c r="G1028" s="8"/>
      <c r="H1028" s="9"/>
    </row>
    <row r="1029">
      <c r="A1029" s="4"/>
      <c r="C1029" s="4"/>
      <c r="D1029" s="4"/>
      <c r="E1029" s="8"/>
      <c r="F1029" s="8"/>
      <c r="G1029" s="8"/>
      <c r="H1029" s="9"/>
    </row>
    <row r="1030">
      <c r="A1030" s="4"/>
      <c r="C1030" s="4"/>
      <c r="D1030" s="4"/>
      <c r="E1030" s="8"/>
      <c r="F1030" s="8"/>
      <c r="G1030" s="8"/>
      <c r="H1030" s="9"/>
    </row>
    <row r="1031">
      <c r="A1031" s="4"/>
      <c r="C1031" s="4"/>
      <c r="D1031" s="4"/>
      <c r="E1031" s="8"/>
      <c r="F1031" s="8"/>
      <c r="G1031" s="8"/>
      <c r="H1031" s="9"/>
    </row>
    <row r="1032">
      <c r="A1032" s="4"/>
      <c r="C1032" s="4"/>
      <c r="D1032" s="4"/>
      <c r="E1032" s="8"/>
      <c r="F1032" s="8"/>
      <c r="G1032" s="8"/>
      <c r="H1032" s="9"/>
    </row>
    <row r="1033">
      <c r="A1033" s="4"/>
      <c r="C1033" s="4"/>
      <c r="D1033" s="4"/>
      <c r="E1033" s="8"/>
      <c r="F1033" s="8"/>
      <c r="G1033" s="8"/>
      <c r="H1033" s="9"/>
    </row>
    <row r="1034">
      <c r="A1034" s="4"/>
      <c r="C1034" s="4"/>
      <c r="D1034" s="4"/>
      <c r="E1034" s="8"/>
      <c r="F1034" s="8"/>
      <c r="G1034" s="8"/>
      <c r="H1034" s="9"/>
    </row>
    <row r="1035">
      <c r="A1035" s="4"/>
      <c r="C1035" s="4"/>
      <c r="D1035" s="4"/>
      <c r="E1035" s="8"/>
      <c r="F1035" s="8"/>
      <c r="G1035" s="8"/>
      <c r="H1035" s="9"/>
    </row>
    <row r="1036">
      <c r="A1036" s="4"/>
      <c r="C1036" s="4"/>
      <c r="D1036" s="4"/>
      <c r="E1036" s="8"/>
      <c r="F1036" s="8"/>
      <c r="G1036" s="8"/>
      <c r="H1036" s="9"/>
    </row>
    <row r="1037">
      <c r="A1037" s="4"/>
      <c r="C1037" s="4"/>
      <c r="D1037" s="4"/>
      <c r="E1037" s="8"/>
      <c r="F1037" s="8"/>
      <c r="G1037" s="8"/>
      <c r="H1037" s="9"/>
    </row>
    <row r="1038">
      <c r="A1038" s="4"/>
      <c r="C1038" s="4"/>
      <c r="D1038" s="4"/>
      <c r="E1038" s="8"/>
      <c r="F1038" s="8"/>
      <c r="G1038" s="8"/>
      <c r="H1038" s="9"/>
    </row>
    <row r="1039">
      <c r="A1039" s="4"/>
      <c r="C1039" s="4"/>
      <c r="D1039" s="4"/>
      <c r="E1039" s="8"/>
      <c r="F1039" s="8"/>
      <c r="G1039" s="8"/>
      <c r="H1039" s="9"/>
    </row>
    <row r="1040">
      <c r="A1040" s="4"/>
      <c r="C1040" s="4"/>
      <c r="D1040" s="4"/>
      <c r="E1040" s="8"/>
      <c r="F1040" s="8"/>
      <c r="G1040" s="8"/>
      <c r="H1040" s="9"/>
    </row>
    <row r="1041">
      <c r="A1041" s="4"/>
      <c r="C1041" s="4"/>
      <c r="D1041" s="4"/>
      <c r="E1041" s="8"/>
      <c r="F1041" s="8"/>
      <c r="G1041" s="8"/>
      <c r="H1041" s="9"/>
    </row>
    <row r="1042">
      <c r="A1042" s="4"/>
      <c r="C1042" s="4"/>
      <c r="D1042" s="4"/>
      <c r="E1042" s="8"/>
      <c r="F1042" s="8"/>
      <c r="G1042" s="8"/>
      <c r="H1042" s="9"/>
    </row>
    <row r="1043">
      <c r="A1043" s="4"/>
      <c r="C1043" s="4"/>
      <c r="D1043" s="4"/>
      <c r="E1043" s="8"/>
      <c r="F1043" s="8"/>
      <c r="G1043" s="8"/>
      <c r="H1043" s="9"/>
    </row>
    <row r="1044">
      <c r="A1044" s="4"/>
      <c r="C1044" s="4"/>
      <c r="D1044" s="4"/>
      <c r="E1044" s="8"/>
      <c r="F1044" s="8"/>
      <c r="G1044" s="8"/>
      <c r="H1044" s="9"/>
    </row>
    <row r="1045">
      <c r="A1045" s="4"/>
      <c r="C1045" s="4"/>
      <c r="D1045" s="4"/>
      <c r="E1045" s="8"/>
      <c r="F1045" s="8"/>
      <c r="G1045" s="8"/>
      <c r="H1045" s="9"/>
    </row>
    <row r="1046">
      <c r="A1046" s="4"/>
      <c r="C1046" s="4"/>
      <c r="D1046" s="4"/>
      <c r="E1046" s="8"/>
      <c r="F1046" s="8"/>
      <c r="G1046" s="8"/>
      <c r="H1046" s="9"/>
    </row>
    <row r="1047">
      <c r="A1047" s="4"/>
      <c r="C1047" s="4"/>
      <c r="D1047" s="4"/>
      <c r="E1047" s="8"/>
      <c r="F1047" s="8"/>
      <c r="G1047" s="8"/>
      <c r="H1047" s="9"/>
    </row>
    <row r="1048">
      <c r="A1048" s="4"/>
      <c r="C1048" s="4"/>
      <c r="D1048" s="4"/>
      <c r="E1048" s="8"/>
      <c r="F1048" s="8"/>
      <c r="G1048" s="8"/>
      <c r="H1048" s="9"/>
    </row>
    <row r="1049">
      <c r="A1049" s="4"/>
      <c r="C1049" s="4"/>
      <c r="D1049" s="4"/>
      <c r="E1049" s="8"/>
      <c r="F1049" s="8"/>
      <c r="G1049" s="8"/>
      <c r="H1049" s="9"/>
    </row>
    <row r="1050">
      <c r="A1050" s="4"/>
      <c r="C1050" s="4"/>
      <c r="D1050" s="4"/>
      <c r="E1050" s="8"/>
      <c r="F1050" s="8"/>
      <c r="G1050" s="8"/>
      <c r="H1050" s="9"/>
    </row>
    <row r="1051">
      <c r="A1051" s="4"/>
      <c r="C1051" s="4"/>
      <c r="D1051" s="4"/>
      <c r="E1051" s="8"/>
      <c r="F1051" s="8"/>
      <c r="G1051" s="8"/>
      <c r="H1051" s="9"/>
    </row>
    <row r="1052">
      <c r="A1052" s="4"/>
      <c r="C1052" s="4"/>
      <c r="D1052" s="4"/>
      <c r="E1052" s="8"/>
      <c r="F1052" s="8"/>
      <c r="G1052" s="8"/>
      <c r="H1052" s="9"/>
    </row>
    <row r="1053">
      <c r="A1053" s="4"/>
      <c r="C1053" s="4"/>
      <c r="D1053" s="4"/>
      <c r="E1053" s="8"/>
      <c r="F1053" s="8"/>
      <c r="G1053" s="8"/>
      <c r="H1053" s="9"/>
    </row>
    <row r="1054">
      <c r="A1054" s="4"/>
      <c r="C1054" s="4"/>
      <c r="D1054" s="4"/>
      <c r="E1054" s="8"/>
      <c r="F1054" s="8"/>
      <c r="G1054" s="8"/>
      <c r="H1054" s="9"/>
    </row>
    <row r="1055">
      <c r="A1055" s="4"/>
      <c r="C1055" s="4"/>
      <c r="D1055" s="4"/>
      <c r="E1055" s="8"/>
      <c r="F1055" s="8"/>
      <c r="G1055" s="8"/>
      <c r="H1055" s="9"/>
    </row>
    <row r="1056">
      <c r="A1056" s="4"/>
      <c r="C1056" s="4"/>
      <c r="D1056" s="4"/>
      <c r="E1056" s="8"/>
      <c r="F1056" s="8"/>
      <c r="G1056" s="8"/>
      <c r="H1056" s="9"/>
    </row>
    <row r="1057">
      <c r="A1057" s="4"/>
      <c r="C1057" s="4"/>
      <c r="D1057" s="4"/>
      <c r="E1057" s="8"/>
      <c r="F1057" s="8"/>
      <c r="G1057" s="8"/>
      <c r="H1057" s="9"/>
    </row>
    <row r="1058">
      <c r="A1058" s="4"/>
      <c r="C1058" s="4"/>
      <c r="D1058" s="4"/>
      <c r="E1058" s="8"/>
      <c r="F1058" s="8"/>
      <c r="G1058" s="8"/>
      <c r="H1058" s="9"/>
    </row>
    <row r="1059">
      <c r="A1059" s="4"/>
      <c r="C1059" s="4"/>
      <c r="D1059" s="4"/>
      <c r="E1059" s="8"/>
      <c r="F1059" s="8"/>
      <c r="G1059" s="8"/>
      <c r="H1059" s="9"/>
    </row>
    <row r="1060">
      <c r="A1060" s="4"/>
      <c r="C1060" s="4"/>
      <c r="D1060" s="4"/>
      <c r="E1060" s="8"/>
      <c r="F1060" s="8"/>
      <c r="G1060" s="8"/>
      <c r="H1060" s="9"/>
    </row>
    <row r="1061">
      <c r="A1061" s="4"/>
      <c r="C1061" s="4"/>
      <c r="D1061" s="4"/>
      <c r="E1061" s="8"/>
      <c r="F1061" s="8"/>
      <c r="G1061" s="8"/>
      <c r="H1061" s="9"/>
    </row>
    <row r="1062">
      <c r="A1062" s="4"/>
      <c r="C1062" s="4"/>
      <c r="D1062" s="4"/>
      <c r="E1062" s="8"/>
      <c r="F1062" s="8"/>
      <c r="G1062" s="8"/>
      <c r="H1062" s="9"/>
    </row>
    <row r="1063">
      <c r="A1063" s="4"/>
      <c r="C1063" s="4"/>
      <c r="D1063" s="4"/>
      <c r="E1063" s="8"/>
      <c r="F1063" s="8"/>
      <c r="G1063" s="8"/>
      <c r="H1063" s="9"/>
    </row>
    <row r="1064">
      <c r="A1064" s="4"/>
      <c r="C1064" s="4"/>
      <c r="D1064" s="4"/>
      <c r="E1064" s="8"/>
      <c r="F1064" s="8"/>
      <c r="G1064" s="8"/>
      <c r="H1064" s="9"/>
    </row>
    <row r="1065">
      <c r="A1065" s="4"/>
      <c r="C1065" s="4"/>
      <c r="D1065" s="4"/>
      <c r="E1065" s="8"/>
      <c r="F1065" s="8"/>
      <c r="G1065" s="8"/>
      <c r="H1065" s="9"/>
    </row>
    <row r="1066">
      <c r="A1066" s="4"/>
      <c r="C1066" s="4"/>
      <c r="D1066" s="4"/>
      <c r="E1066" s="8"/>
      <c r="F1066" s="8"/>
      <c r="G1066" s="8"/>
      <c r="H1066" s="9"/>
    </row>
    <row r="1067">
      <c r="A1067" s="4"/>
      <c r="C1067" s="4"/>
      <c r="D1067" s="4"/>
      <c r="E1067" s="8"/>
      <c r="F1067" s="8"/>
      <c r="G1067" s="8"/>
      <c r="H1067" s="9"/>
    </row>
    <row r="1068">
      <c r="A1068" s="4"/>
      <c r="C1068" s="4"/>
      <c r="D1068" s="4"/>
      <c r="E1068" s="8"/>
      <c r="F1068" s="8"/>
      <c r="G1068" s="8"/>
      <c r="H1068" s="9"/>
    </row>
    <row r="1069">
      <c r="A1069" s="4"/>
      <c r="C1069" s="4"/>
      <c r="D1069" s="4"/>
      <c r="E1069" s="8"/>
      <c r="F1069" s="8"/>
      <c r="G1069" s="8"/>
      <c r="H1069" s="9"/>
    </row>
    <row r="1070">
      <c r="A1070" s="4"/>
      <c r="C1070" s="4"/>
      <c r="D1070" s="4"/>
      <c r="E1070" s="8"/>
      <c r="F1070" s="8"/>
      <c r="G1070" s="8"/>
      <c r="H1070" s="9"/>
    </row>
    <row r="1071">
      <c r="A1071" s="4"/>
      <c r="C1071" s="4"/>
      <c r="D1071" s="4"/>
      <c r="E1071" s="8"/>
      <c r="F1071" s="8"/>
      <c r="G1071" s="8"/>
      <c r="H1071" s="9"/>
    </row>
    <row r="1072">
      <c r="A1072" s="4"/>
      <c r="C1072" s="4"/>
      <c r="D1072" s="4"/>
      <c r="E1072" s="8"/>
      <c r="F1072" s="8"/>
      <c r="G1072" s="8"/>
      <c r="H1072" s="9"/>
    </row>
    <row r="1073">
      <c r="A1073" s="4"/>
      <c r="C1073" s="4"/>
      <c r="D1073" s="4"/>
      <c r="E1073" s="8"/>
      <c r="F1073" s="8"/>
      <c r="G1073" s="8"/>
      <c r="H1073" s="9"/>
    </row>
    <row r="1074">
      <c r="A1074" s="4"/>
      <c r="C1074" s="4"/>
      <c r="D1074" s="4"/>
      <c r="E1074" s="8"/>
      <c r="F1074" s="8"/>
      <c r="G1074" s="8"/>
      <c r="H1074" s="9"/>
    </row>
    <row r="1075">
      <c r="A1075" s="4"/>
      <c r="C1075" s="4"/>
      <c r="D1075" s="4"/>
      <c r="E1075" s="8"/>
      <c r="F1075" s="8"/>
      <c r="G1075" s="8"/>
      <c r="H1075" s="9"/>
    </row>
    <row r="1076">
      <c r="A1076" s="4"/>
      <c r="C1076" s="4"/>
      <c r="D1076" s="4"/>
      <c r="E1076" s="8"/>
      <c r="F1076" s="8"/>
      <c r="G1076" s="8"/>
      <c r="H1076" s="9"/>
    </row>
    <row r="1077">
      <c r="A1077" s="4"/>
      <c r="C1077" s="4"/>
      <c r="D1077" s="4"/>
      <c r="E1077" s="8"/>
      <c r="F1077" s="8"/>
      <c r="G1077" s="8"/>
      <c r="H1077" s="9"/>
    </row>
    <row r="1078">
      <c r="A1078" s="4"/>
      <c r="C1078" s="4"/>
      <c r="D1078" s="4"/>
      <c r="E1078" s="8"/>
      <c r="F1078" s="8"/>
      <c r="G1078" s="8"/>
      <c r="H1078" s="9"/>
    </row>
    <row r="1079">
      <c r="A1079" s="4"/>
      <c r="C1079" s="4"/>
      <c r="D1079" s="4"/>
      <c r="E1079" s="8"/>
      <c r="F1079" s="8"/>
      <c r="G1079" s="8"/>
      <c r="H1079" s="9"/>
    </row>
    <row r="1080">
      <c r="A1080" s="4"/>
      <c r="C1080" s="4"/>
      <c r="D1080" s="4"/>
      <c r="E1080" s="8"/>
      <c r="F1080" s="8"/>
      <c r="G1080" s="8"/>
      <c r="H1080" s="9"/>
    </row>
    <row r="1081">
      <c r="A1081" s="4"/>
      <c r="C1081" s="4"/>
      <c r="D1081" s="4"/>
      <c r="E1081" s="8"/>
      <c r="F1081" s="8"/>
      <c r="G1081" s="8"/>
      <c r="H1081" s="9"/>
    </row>
    <row r="1082">
      <c r="A1082" s="4"/>
      <c r="C1082" s="4"/>
      <c r="D1082" s="4"/>
      <c r="E1082" s="8"/>
      <c r="F1082" s="8"/>
      <c r="G1082" s="8"/>
      <c r="H1082" s="9"/>
    </row>
    <row r="1083">
      <c r="A1083" s="4"/>
      <c r="C1083" s="4"/>
      <c r="D1083" s="4"/>
      <c r="E1083" s="8"/>
      <c r="F1083" s="8"/>
      <c r="G1083" s="8"/>
      <c r="H1083" s="9"/>
    </row>
    <row r="1084">
      <c r="A1084" s="4"/>
      <c r="C1084" s="4"/>
      <c r="D1084" s="4"/>
      <c r="E1084" s="8"/>
      <c r="F1084" s="8"/>
      <c r="G1084" s="8"/>
      <c r="H1084" s="9"/>
    </row>
    <row r="1085">
      <c r="A1085" s="4"/>
      <c r="C1085" s="4"/>
      <c r="D1085" s="4"/>
      <c r="E1085" s="8"/>
      <c r="F1085" s="8"/>
      <c r="G1085" s="8"/>
      <c r="H1085" s="9"/>
    </row>
    <row r="1086">
      <c r="A1086" s="4"/>
      <c r="C1086" s="4"/>
      <c r="D1086" s="4"/>
      <c r="E1086" s="8"/>
      <c r="F1086" s="8"/>
      <c r="G1086" s="8"/>
      <c r="H1086" s="9"/>
    </row>
    <row r="1087">
      <c r="A1087" s="4"/>
      <c r="C1087" s="4"/>
      <c r="D1087" s="4"/>
      <c r="E1087" s="8"/>
      <c r="F1087" s="8"/>
      <c r="G1087" s="8"/>
      <c r="H1087" s="9"/>
    </row>
    <row r="1088">
      <c r="A1088" s="4"/>
      <c r="C1088" s="4"/>
      <c r="D1088" s="4"/>
      <c r="E1088" s="8"/>
      <c r="F1088" s="8"/>
      <c r="G1088" s="8"/>
      <c r="H1088" s="9"/>
    </row>
    <row r="1089">
      <c r="A1089" s="4"/>
      <c r="C1089" s="4"/>
      <c r="D1089" s="4"/>
      <c r="E1089" s="8"/>
      <c r="F1089" s="8"/>
      <c r="G1089" s="8"/>
      <c r="H1089" s="9"/>
    </row>
    <row r="1090">
      <c r="A1090" s="4"/>
      <c r="C1090" s="4"/>
      <c r="D1090" s="4"/>
      <c r="E1090" s="8"/>
      <c r="F1090" s="8"/>
      <c r="G1090" s="8"/>
      <c r="H1090" s="9"/>
    </row>
    <row r="1091">
      <c r="A1091" s="4"/>
      <c r="C1091" s="4"/>
      <c r="D1091" s="4"/>
      <c r="E1091" s="8"/>
      <c r="F1091" s="8"/>
      <c r="G1091" s="8"/>
      <c r="H1091" s="9"/>
    </row>
    <row r="1092">
      <c r="A1092" s="4"/>
      <c r="C1092" s="4"/>
      <c r="D1092" s="4"/>
      <c r="E1092" s="8"/>
      <c r="F1092" s="8"/>
      <c r="G1092" s="8"/>
      <c r="H1092" s="9"/>
    </row>
    <row r="1093">
      <c r="A1093" s="4"/>
      <c r="C1093" s="4"/>
      <c r="D1093" s="4"/>
      <c r="E1093" s="8"/>
      <c r="F1093" s="8"/>
      <c r="G1093" s="8"/>
      <c r="H1093" s="9"/>
    </row>
    <row r="1094">
      <c r="A1094" s="4"/>
      <c r="C1094" s="4"/>
      <c r="D1094" s="4"/>
      <c r="E1094" s="8"/>
      <c r="F1094" s="8"/>
      <c r="G1094" s="8"/>
      <c r="H1094" s="9"/>
    </row>
    <row r="1095">
      <c r="A1095" s="4"/>
      <c r="C1095" s="4"/>
      <c r="D1095" s="4"/>
      <c r="E1095" s="8"/>
      <c r="F1095" s="8"/>
      <c r="G1095" s="8"/>
      <c r="H1095" s="9"/>
    </row>
    <row r="1096">
      <c r="A1096" s="4"/>
      <c r="C1096" s="4"/>
      <c r="D1096" s="4"/>
      <c r="E1096" s="8"/>
      <c r="F1096" s="8"/>
      <c r="G1096" s="8"/>
      <c r="H1096" s="9"/>
    </row>
    <row r="1097">
      <c r="A1097" s="4"/>
      <c r="C1097" s="4"/>
      <c r="D1097" s="4"/>
      <c r="E1097" s="8"/>
      <c r="F1097" s="8"/>
      <c r="G1097" s="8"/>
      <c r="H1097" s="9"/>
    </row>
    <row r="1098">
      <c r="A1098" s="4"/>
      <c r="C1098" s="4"/>
      <c r="D1098" s="4"/>
      <c r="E1098" s="8"/>
      <c r="F1098" s="8"/>
      <c r="G1098" s="8"/>
      <c r="H1098" s="9"/>
    </row>
    <row r="1099">
      <c r="A1099" s="4"/>
      <c r="C1099" s="4"/>
      <c r="D1099" s="4"/>
      <c r="E1099" s="8"/>
      <c r="F1099" s="8"/>
      <c r="G1099" s="8"/>
      <c r="H1099" s="9"/>
    </row>
    <row r="1100">
      <c r="A1100" s="4"/>
      <c r="C1100" s="4"/>
      <c r="D1100" s="4"/>
      <c r="E1100" s="8"/>
      <c r="F1100" s="8"/>
      <c r="G1100" s="8"/>
      <c r="H1100" s="9"/>
    </row>
    <row r="1101">
      <c r="A1101" s="4"/>
      <c r="C1101" s="4"/>
      <c r="D1101" s="4"/>
      <c r="E1101" s="8"/>
      <c r="F1101" s="8"/>
      <c r="G1101" s="8"/>
      <c r="H1101" s="9"/>
    </row>
    <row r="1102">
      <c r="A1102" s="4"/>
      <c r="C1102" s="4"/>
      <c r="D1102" s="4"/>
      <c r="E1102" s="8"/>
      <c r="F1102" s="8"/>
      <c r="G1102" s="8"/>
      <c r="H1102" s="9"/>
    </row>
    <row r="1103">
      <c r="A1103" s="4"/>
      <c r="C1103" s="4"/>
      <c r="D1103" s="4"/>
      <c r="E1103" s="8"/>
      <c r="F1103" s="8"/>
      <c r="G1103" s="8"/>
      <c r="H1103" s="9"/>
    </row>
    <row r="1104">
      <c r="A1104" s="4"/>
      <c r="C1104" s="4"/>
      <c r="D1104" s="4"/>
      <c r="E1104" s="8"/>
      <c r="F1104" s="8"/>
      <c r="G1104" s="8"/>
      <c r="H1104" s="9"/>
    </row>
    <row r="1105">
      <c r="A1105" s="4"/>
      <c r="C1105" s="4"/>
      <c r="D1105" s="4"/>
      <c r="E1105" s="8"/>
      <c r="F1105" s="8"/>
      <c r="G1105" s="8"/>
      <c r="H1105" s="9"/>
    </row>
    <row r="1106">
      <c r="A1106" s="4"/>
      <c r="C1106" s="4"/>
      <c r="D1106" s="4"/>
      <c r="E1106" s="8"/>
      <c r="F1106" s="8"/>
      <c r="G1106" s="8"/>
      <c r="H1106" s="9"/>
    </row>
    <row r="1107">
      <c r="A1107" s="4"/>
      <c r="C1107" s="4"/>
      <c r="D1107" s="4"/>
      <c r="E1107" s="8"/>
      <c r="F1107" s="8"/>
      <c r="G1107" s="8"/>
      <c r="H1107" s="9"/>
    </row>
    <row r="1108">
      <c r="A1108" s="4"/>
      <c r="C1108" s="4"/>
      <c r="D1108" s="4"/>
      <c r="E1108" s="8"/>
      <c r="F1108" s="8"/>
      <c r="G1108" s="8"/>
      <c r="H1108" s="9"/>
    </row>
    <row r="1109">
      <c r="A1109" s="4"/>
      <c r="C1109" s="4"/>
      <c r="D1109" s="4"/>
      <c r="E1109" s="8"/>
      <c r="F1109" s="8"/>
      <c r="G1109" s="8"/>
      <c r="H1109" s="9"/>
    </row>
    <row r="1110">
      <c r="A1110" s="4"/>
      <c r="C1110" s="4"/>
      <c r="D1110" s="4"/>
      <c r="E1110" s="8"/>
      <c r="F1110" s="8"/>
      <c r="G1110" s="8"/>
      <c r="H1110" s="9"/>
    </row>
    <row r="1111">
      <c r="A1111" s="4"/>
      <c r="C1111" s="4"/>
      <c r="D1111" s="4"/>
      <c r="E1111" s="8"/>
      <c r="F1111" s="8"/>
      <c r="G1111" s="8"/>
      <c r="H1111" s="9"/>
    </row>
    <row r="1112">
      <c r="A1112" s="4"/>
      <c r="C1112" s="4"/>
      <c r="D1112" s="4"/>
      <c r="E1112" s="8"/>
      <c r="F1112" s="8"/>
      <c r="G1112" s="8"/>
      <c r="H1112" s="9"/>
    </row>
    <row r="1113">
      <c r="A1113" s="4"/>
      <c r="C1113" s="4"/>
      <c r="D1113" s="4"/>
      <c r="E1113" s="8"/>
      <c r="F1113" s="8"/>
      <c r="G1113" s="8"/>
      <c r="H1113" s="9"/>
    </row>
    <row r="1114">
      <c r="A1114" s="4"/>
      <c r="C1114" s="4"/>
      <c r="D1114" s="4"/>
      <c r="E1114" s="8"/>
      <c r="F1114" s="8"/>
      <c r="G1114" s="8"/>
      <c r="H1114" s="9"/>
    </row>
    <row r="1115">
      <c r="A1115" s="4"/>
      <c r="C1115" s="4"/>
      <c r="D1115" s="4"/>
      <c r="E1115" s="8"/>
      <c r="F1115" s="8"/>
      <c r="G1115" s="8"/>
      <c r="H1115" s="9"/>
    </row>
    <row r="1116">
      <c r="A1116" s="4"/>
      <c r="C1116" s="4"/>
      <c r="D1116" s="4"/>
      <c r="E1116" s="8"/>
      <c r="F1116" s="8"/>
      <c r="G1116" s="8"/>
      <c r="H1116" s="9"/>
    </row>
    <row r="1117">
      <c r="A1117" s="4"/>
      <c r="C1117" s="4"/>
      <c r="D1117" s="4"/>
      <c r="E1117" s="8"/>
      <c r="F1117" s="8"/>
      <c r="G1117" s="8"/>
      <c r="H1117" s="9"/>
    </row>
    <row r="1118">
      <c r="A1118" s="4"/>
      <c r="C1118" s="4"/>
      <c r="D1118" s="4"/>
      <c r="E1118" s="8"/>
      <c r="F1118" s="8"/>
      <c r="G1118" s="8"/>
      <c r="H1118" s="9"/>
    </row>
    <row r="1119">
      <c r="A1119" s="4"/>
      <c r="C1119" s="4"/>
      <c r="D1119" s="4"/>
      <c r="E1119" s="8"/>
      <c r="F1119" s="8"/>
      <c r="G1119" s="8"/>
      <c r="H1119" s="9"/>
    </row>
    <row r="1120">
      <c r="A1120" s="4"/>
      <c r="C1120" s="4"/>
      <c r="D1120" s="4"/>
      <c r="E1120" s="8"/>
      <c r="F1120" s="8"/>
      <c r="G1120" s="8"/>
      <c r="H1120" s="9"/>
    </row>
    <row r="1121">
      <c r="A1121" s="4"/>
      <c r="C1121" s="4"/>
      <c r="D1121" s="4"/>
      <c r="E1121" s="8"/>
      <c r="F1121" s="8"/>
      <c r="G1121" s="8"/>
      <c r="H1121" s="9"/>
    </row>
    <row r="1122">
      <c r="A1122" s="4"/>
      <c r="C1122" s="4"/>
      <c r="D1122" s="4"/>
      <c r="E1122" s="8"/>
      <c r="F1122" s="8"/>
      <c r="G1122" s="8"/>
      <c r="H1122" s="9"/>
    </row>
    <row r="1123">
      <c r="A1123" s="4"/>
      <c r="C1123" s="4"/>
      <c r="D1123" s="4"/>
      <c r="E1123" s="8"/>
      <c r="F1123" s="8"/>
      <c r="G1123" s="8"/>
      <c r="H1123" s="9"/>
    </row>
    <row r="1124">
      <c r="A1124" s="4"/>
      <c r="C1124" s="4"/>
      <c r="D1124" s="4"/>
      <c r="E1124" s="8"/>
      <c r="F1124" s="8"/>
      <c r="G1124" s="8"/>
      <c r="H1124" s="9"/>
    </row>
    <row r="1125">
      <c r="A1125" s="4"/>
      <c r="C1125" s="4"/>
      <c r="D1125" s="4"/>
      <c r="E1125" s="8"/>
      <c r="F1125" s="8"/>
      <c r="G1125" s="8"/>
      <c r="H1125" s="9"/>
    </row>
    <row r="1126">
      <c r="A1126" s="4"/>
      <c r="C1126" s="4"/>
      <c r="D1126" s="4"/>
      <c r="E1126" s="8"/>
      <c r="F1126" s="8"/>
      <c r="G1126" s="8"/>
      <c r="H1126" s="9"/>
    </row>
    <row r="1127">
      <c r="A1127" s="4"/>
      <c r="C1127" s="4"/>
      <c r="D1127" s="4"/>
      <c r="E1127" s="8"/>
      <c r="F1127" s="8"/>
      <c r="G1127" s="8"/>
      <c r="H1127" s="9"/>
    </row>
    <row r="1128">
      <c r="A1128" s="4"/>
      <c r="C1128" s="4"/>
      <c r="D1128" s="4"/>
      <c r="E1128" s="8"/>
      <c r="F1128" s="8"/>
      <c r="G1128" s="8"/>
      <c r="H1128" s="9"/>
    </row>
    <row r="1129">
      <c r="A1129" s="4"/>
      <c r="C1129" s="4"/>
      <c r="D1129" s="4"/>
      <c r="E1129" s="8"/>
      <c r="F1129" s="8"/>
      <c r="G1129" s="8"/>
      <c r="H1129" s="9"/>
    </row>
    <row r="1130">
      <c r="A1130" s="4"/>
      <c r="C1130" s="4"/>
      <c r="D1130" s="4"/>
      <c r="E1130" s="8"/>
      <c r="F1130" s="8"/>
      <c r="G1130" s="8"/>
      <c r="H1130" s="9"/>
    </row>
    <row r="1131">
      <c r="A1131" s="4"/>
      <c r="C1131" s="4"/>
      <c r="D1131" s="4"/>
      <c r="E1131" s="8"/>
      <c r="F1131" s="8"/>
      <c r="G1131" s="8"/>
      <c r="H1131" s="9"/>
    </row>
    <row r="1132">
      <c r="A1132" s="4"/>
      <c r="C1132" s="4"/>
      <c r="D1132" s="4"/>
      <c r="E1132" s="8"/>
      <c r="F1132" s="8"/>
      <c r="G1132" s="8"/>
      <c r="H1132" s="9"/>
    </row>
    <row r="1133">
      <c r="A1133" s="4"/>
      <c r="C1133" s="4"/>
      <c r="D1133" s="4"/>
      <c r="E1133" s="8"/>
      <c r="F1133" s="8"/>
      <c r="G1133" s="8"/>
      <c r="H1133" s="9"/>
    </row>
    <row r="1134">
      <c r="A1134" s="4"/>
      <c r="C1134" s="4"/>
      <c r="D1134" s="4"/>
      <c r="E1134" s="8"/>
      <c r="F1134" s="8"/>
      <c r="G1134" s="8"/>
      <c r="H1134" s="9"/>
    </row>
    <row r="1135">
      <c r="A1135" s="4"/>
      <c r="C1135" s="4"/>
      <c r="D1135" s="4"/>
      <c r="E1135" s="8"/>
      <c r="F1135" s="8"/>
      <c r="G1135" s="8"/>
      <c r="H1135" s="9"/>
    </row>
    <row r="1136">
      <c r="A1136" s="4"/>
      <c r="C1136" s="4"/>
      <c r="D1136" s="4"/>
      <c r="E1136" s="8"/>
      <c r="F1136" s="8"/>
      <c r="G1136" s="8"/>
      <c r="H1136" s="9"/>
    </row>
    <row r="1137">
      <c r="A1137" s="4"/>
      <c r="C1137" s="4"/>
      <c r="D1137" s="4"/>
      <c r="E1137" s="8"/>
      <c r="F1137" s="8"/>
      <c r="G1137" s="8"/>
      <c r="H1137" s="9"/>
    </row>
    <row r="1138">
      <c r="A1138" s="4"/>
      <c r="C1138" s="4"/>
      <c r="D1138" s="4"/>
      <c r="E1138" s="8"/>
      <c r="F1138" s="8"/>
      <c r="G1138" s="8"/>
      <c r="H1138" s="9"/>
    </row>
    <row r="1139">
      <c r="A1139" s="4"/>
      <c r="C1139" s="4"/>
      <c r="D1139" s="4"/>
      <c r="E1139" s="8"/>
      <c r="F1139" s="8"/>
      <c r="G1139" s="8"/>
      <c r="H1139" s="9"/>
    </row>
    <row r="1140">
      <c r="A1140" s="4"/>
      <c r="C1140" s="4"/>
      <c r="D1140" s="4"/>
      <c r="E1140" s="8"/>
      <c r="F1140" s="8"/>
      <c r="G1140" s="8"/>
      <c r="H1140" s="9"/>
    </row>
    <row r="1141">
      <c r="A1141" s="4"/>
      <c r="C1141" s="4"/>
      <c r="D1141" s="4"/>
      <c r="E1141" s="8"/>
      <c r="F1141" s="8"/>
      <c r="G1141" s="8"/>
      <c r="H1141" s="9"/>
    </row>
    <row r="1142">
      <c r="A1142" s="4"/>
      <c r="C1142" s="4"/>
      <c r="D1142" s="4"/>
      <c r="E1142" s="8"/>
      <c r="F1142" s="8"/>
      <c r="G1142" s="8"/>
      <c r="H1142" s="9"/>
    </row>
    <row r="1143">
      <c r="A1143" s="4"/>
      <c r="C1143" s="4"/>
      <c r="D1143" s="4"/>
      <c r="E1143" s="8"/>
      <c r="F1143" s="8"/>
      <c r="G1143" s="8"/>
      <c r="H1143" s="9"/>
    </row>
    <row r="1144">
      <c r="A1144" s="4"/>
      <c r="C1144" s="4"/>
      <c r="D1144" s="4"/>
      <c r="E1144" s="8"/>
      <c r="F1144" s="8"/>
      <c r="G1144" s="8"/>
      <c r="H1144" s="9"/>
    </row>
    <row r="1145">
      <c r="A1145" s="4"/>
      <c r="C1145" s="4"/>
      <c r="D1145" s="4"/>
      <c r="E1145" s="8"/>
      <c r="F1145" s="8"/>
      <c r="G1145" s="8"/>
      <c r="H1145" s="9"/>
    </row>
    <row r="1146">
      <c r="A1146" s="4"/>
      <c r="C1146" s="4"/>
      <c r="D1146" s="4"/>
      <c r="E1146" s="8"/>
      <c r="F1146" s="8"/>
      <c r="G1146" s="8"/>
      <c r="H1146" s="9"/>
    </row>
    <row r="1147">
      <c r="A1147" s="4"/>
      <c r="C1147" s="4"/>
      <c r="D1147" s="4"/>
      <c r="E1147" s="8"/>
      <c r="F1147" s="8"/>
      <c r="G1147" s="8"/>
      <c r="H1147" s="9"/>
    </row>
    <row r="1148">
      <c r="A1148" s="4"/>
      <c r="C1148" s="4"/>
      <c r="D1148" s="4"/>
      <c r="E1148" s="8"/>
      <c r="F1148" s="8"/>
      <c r="G1148" s="8"/>
      <c r="H1148" s="9"/>
    </row>
    <row r="1149">
      <c r="A1149" s="4"/>
      <c r="C1149" s="4"/>
      <c r="D1149" s="4"/>
      <c r="E1149" s="8"/>
      <c r="F1149" s="8"/>
      <c r="G1149" s="8"/>
      <c r="H1149" s="9"/>
    </row>
    <row r="1150">
      <c r="A1150" s="4"/>
      <c r="C1150" s="4"/>
      <c r="D1150" s="4"/>
      <c r="E1150" s="8"/>
      <c r="F1150" s="8"/>
      <c r="G1150" s="8"/>
      <c r="H1150" s="9"/>
    </row>
    <row r="1151">
      <c r="A1151" s="4"/>
      <c r="C1151" s="4"/>
      <c r="D1151" s="4"/>
      <c r="E1151" s="8"/>
      <c r="F1151" s="8"/>
      <c r="G1151" s="8"/>
      <c r="H1151" s="9"/>
    </row>
    <row r="1152">
      <c r="A1152" s="4"/>
      <c r="C1152" s="4"/>
      <c r="D1152" s="4"/>
      <c r="E1152" s="8"/>
      <c r="F1152" s="8"/>
      <c r="G1152" s="8"/>
      <c r="H1152" s="9"/>
    </row>
    <row r="1153">
      <c r="A1153" s="4"/>
      <c r="C1153" s="4"/>
      <c r="D1153" s="4"/>
      <c r="E1153" s="8"/>
      <c r="F1153" s="8"/>
      <c r="G1153" s="8"/>
      <c r="H1153" s="9"/>
    </row>
    <row r="1154">
      <c r="A1154" s="4"/>
      <c r="C1154" s="4"/>
      <c r="D1154" s="4"/>
      <c r="E1154" s="8"/>
      <c r="F1154" s="8"/>
      <c r="G1154" s="8"/>
      <c r="H1154" s="9"/>
    </row>
    <row r="1155">
      <c r="A1155" s="4"/>
      <c r="C1155" s="4"/>
      <c r="D1155" s="4"/>
      <c r="E1155" s="8"/>
      <c r="F1155" s="8"/>
      <c r="G1155" s="8"/>
      <c r="H1155" s="9"/>
    </row>
    <row r="1156">
      <c r="A1156" s="4"/>
      <c r="C1156" s="4"/>
      <c r="D1156" s="4"/>
      <c r="E1156" s="8"/>
      <c r="F1156" s="8"/>
      <c r="G1156" s="8"/>
      <c r="H1156" s="9"/>
    </row>
    <row r="1157">
      <c r="A1157" s="4"/>
      <c r="C1157" s="4"/>
      <c r="D1157" s="4"/>
      <c r="E1157" s="8"/>
      <c r="F1157" s="8"/>
      <c r="G1157" s="8"/>
      <c r="H1157" s="9"/>
    </row>
    <row r="1158">
      <c r="A1158" s="4"/>
      <c r="C1158" s="4"/>
      <c r="D1158" s="4"/>
      <c r="E1158" s="8"/>
      <c r="F1158" s="8"/>
      <c r="G1158" s="8"/>
      <c r="H1158" s="9"/>
    </row>
    <row r="1159">
      <c r="A1159" s="4"/>
      <c r="C1159" s="4"/>
      <c r="D1159" s="4"/>
      <c r="E1159" s="8"/>
      <c r="F1159" s="8"/>
      <c r="G1159" s="8"/>
      <c r="H1159" s="9"/>
    </row>
    <row r="1160">
      <c r="A1160" s="4"/>
      <c r="C1160" s="4"/>
      <c r="D1160" s="4"/>
      <c r="E1160" s="8"/>
      <c r="F1160" s="8"/>
      <c r="G1160" s="8"/>
      <c r="H1160" s="9"/>
    </row>
    <row r="1161">
      <c r="A1161" s="4"/>
      <c r="C1161" s="4"/>
      <c r="D1161" s="4"/>
      <c r="E1161" s="8"/>
      <c r="F1161" s="8"/>
      <c r="G1161" s="8"/>
      <c r="H1161" s="9"/>
    </row>
    <row r="1162">
      <c r="A1162" s="4"/>
      <c r="C1162" s="4"/>
      <c r="D1162" s="4"/>
      <c r="E1162" s="8"/>
      <c r="F1162" s="8"/>
      <c r="G1162" s="8"/>
      <c r="H1162" s="9"/>
    </row>
    <row r="1163">
      <c r="A1163" s="4"/>
      <c r="C1163" s="4"/>
      <c r="D1163" s="4"/>
      <c r="E1163" s="8"/>
      <c r="F1163" s="8"/>
      <c r="G1163" s="8"/>
      <c r="H1163" s="9"/>
    </row>
    <row r="1164">
      <c r="A1164" s="4"/>
      <c r="C1164" s="4"/>
      <c r="D1164" s="4"/>
      <c r="E1164" s="8"/>
      <c r="F1164" s="8"/>
      <c r="G1164" s="8"/>
      <c r="H1164" s="9"/>
    </row>
    <row r="1165">
      <c r="A1165" s="4"/>
      <c r="C1165" s="4"/>
      <c r="D1165" s="4"/>
      <c r="E1165" s="8"/>
      <c r="F1165" s="8"/>
      <c r="G1165" s="8"/>
      <c r="H1165" s="9"/>
    </row>
    <row r="1166">
      <c r="A1166" s="4"/>
      <c r="C1166" s="4"/>
      <c r="D1166" s="4"/>
      <c r="E1166" s="8"/>
      <c r="F1166" s="8"/>
      <c r="G1166" s="8"/>
      <c r="H1166" s="9"/>
    </row>
    <row r="1167">
      <c r="A1167" s="4"/>
      <c r="C1167" s="4"/>
      <c r="D1167" s="4"/>
      <c r="E1167" s="8"/>
      <c r="F1167" s="8"/>
      <c r="G1167" s="8"/>
      <c r="H1167" s="9"/>
    </row>
    <row r="1168">
      <c r="A1168" s="4"/>
      <c r="C1168" s="4"/>
      <c r="D1168" s="4"/>
      <c r="E1168" s="8"/>
      <c r="F1168" s="8"/>
      <c r="G1168" s="8"/>
      <c r="H1168" s="9"/>
    </row>
    <row r="1169">
      <c r="A1169" s="4"/>
      <c r="C1169" s="4"/>
      <c r="D1169" s="4"/>
      <c r="E1169" s="8"/>
      <c r="F1169" s="8"/>
      <c r="G1169" s="8"/>
      <c r="H1169" s="9"/>
    </row>
    <row r="1170">
      <c r="A1170" s="4"/>
      <c r="C1170" s="4"/>
      <c r="D1170" s="4"/>
      <c r="E1170" s="8"/>
      <c r="F1170" s="8"/>
      <c r="G1170" s="8"/>
      <c r="H1170" s="9"/>
    </row>
    <row r="1171">
      <c r="A1171" s="4"/>
      <c r="C1171" s="4"/>
      <c r="D1171" s="4"/>
      <c r="E1171" s="8"/>
      <c r="F1171" s="8"/>
      <c r="G1171" s="8"/>
      <c r="H1171" s="9"/>
    </row>
    <row r="1172">
      <c r="A1172" s="4"/>
      <c r="C1172" s="4"/>
      <c r="D1172" s="4"/>
      <c r="E1172" s="8"/>
      <c r="F1172" s="8"/>
      <c r="G1172" s="8"/>
      <c r="H1172" s="9"/>
    </row>
    <row r="1173">
      <c r="A1173" s="4"/>
      <c r="C1173" s="4"/>
      <c r="D1173" s="4"/>
      <c r="E1173" s="8"/>
      <c r="F1173" s="8"/>
      <c r="G1173" s="8"/>
      <c r="H1173" s="9"/>
    </row>
    <row r="1174">
      <c r="A1174" s="4"/>
      <c r="C1174" s="4"/>
      <c r="D1174" s="4"/>
      <c r="E1174" s="8"/>
      <c r="F1174" s="8"/>
      <c r="G1174" s="8"/>
      <c r="H1174" s="9"/>
    </row>
    <row r="1175">
      <c r="A1175" s="4"/>
      <c r="C1175" s="4"/>
      <c r="D1175" s="4"/>
      <c r="E1175" s="8"/>
      <c r="F1175" s="8"/>
      <c r="G1175" s="8"/>
      <c r="H1175" s="9"/>
    </row>
    <row r="1176">
      <c r="A1176" s="4"/>
      <c r="C1176" s="4"/>
      <c r="D1176" s="4"/>
      <c r="E1176" s="8"/>
      <c r="F1176" s="8"/>
      <c r="G1176" s="8"/>
      <c r="H1176" s="9"/>
    </row>
    <row r="1177">
      <c r="A1177" s="4"/>
      <c r="C1177" s="4"/>
      <c r="D1177" s="4"/>
      <c r="E1177" s="8"/>
      <c r="F1177" s="8"/>
      <c r="G1177" s="8"/>
      <c r="H1177" s="9"/>
    </row>
    <row r="1178">
      <c r="A1178" s="4"/>
      <c r="C1178" s="4"/>
      <c r="D1178" s="4"/>
      <c r="E1178" s="8"/>
      <c r="F1178" s="8"/>
      <c r="G1178" s="8"/>
      <c r="H1178" s="9"/>
    </row>
    <row r="1179">
      <c r="A1179" s="4"/>
      <c r="C1179" s="4"/>
      <c r="D1179" s="4"/>
      <c r="E1179" s="8"/>
      <c r="F1179" s="8"/>
      <c r="G1179" s="8"/>
      <c r="H1179" s="9"/>
    </row>
    <row r="1180">
      <c r="A1180" s="4"/>
      <c r="C1180" s="4"/>
      <c r="D1180" s="4"/>
      <c r="E1180" s="8"/>
      <c r="F1180" s="8"/>
      <c r="G1180" s="8"/>
      <c r="H1180" s="9"/>
    </row>
    <row r="1181">
      <c r="A1181" s="4"/>
      <c r="C1181" s="4"/>
      <c r="D1181" s="4"/>
      <c r="E1181" s="8"/>
      <c r="F1181" s="8"/>
      <c r="G1181" s="8"/>
      <c r="H1181" s="9"/>
    </row>
    <row r="1182">
      <c r="A1182" s="4"/>
      <c r="C1182" s="4"/>
      <c r="D1182" s="4"/>
      <c r="E1182" s="8"/>
      <c r="F1182" s="8"/>
      <c r="G1182" s="8"/>
      <c r="H1182" s="9"/>
    </row>
    <row r="1183">
      <c r="A1183" s="4"/>
      <c r="C1183" s="4"/>
      <c r="D1183" s="4"/>
      <c r="E1183" s="8"/>
      <c r="F1183" s="8"/>
      <c r="G1183" s="8"/>
      <c r="H1183" s="9"/>
    </row>
    <row r="1184">
      <c r="A1184" s="4"/>
      <c r="C1184" s="4"/>
      <c r="D1184" s="4"/>
      <c r="E1184" s="8"/>
      <c r="F1184" s="8"/>
      <c r="G1184" s="8"/>
      <c r="H1184" s="9"/>
    </row>
    <row r="1185">
      <c r="A1185" s="4"/>
      <c r="C1185" s="4"/>
      <c r="D1185" s="4"/>
      <c r="E1185" s="8"/>
      <c r="F1185" s="8"/>
      <c r="G1185" s="8"/>
      <c r="H1185" s="9"/>
    </row>
    <row r="1186">
      <c r="A1186" s="4"/>
      <c r="C1186" s="4"/>
      <c r="D1186" s="4"/>
      <c r="E1186" s="8"/>
      <c r="F1186" s="8"/>
      <c r="G1186" s="8"/>
      <c r="H1186" s="9"/>
    </row>
    <row r="1187">
      <c r="A1187" s="4"/>
      <c r="C1187" s="4"/>
      <c r="D1187" s="4"/>
      <c r="E1187" s="8"/>
      <c r="F1187" s="8"/>
      <c r="G1187" s="8"/>
      <c r="H1187" s="9"/>
    </row>
    <row r="1188">
      <c r="A1188" s="4"/>
      <c r="C1188" s="4"/>
      <c r="D1188" s="4"/>
      <c r="E1188" s="8"/>
      <c r="F1188" s="8"/>
      <c r="G1188" s="8"/>
      <c r="H1188" s="9"/>
    </row>
    <row r="1189">
      <c r="A1189" s="4"/>
      <c r="C1189" s="4"/>
      <c r="D1189" s="4"/>
      <c r="E1189" s="8"/>
      <c r="F1189" s="8"/>
      <c r="G1189" s="8"/>
      <c r="H1189" s="9"/>
    </row>
    <row r="1190">
      <c r="A1190" s="4"/>
      <c r="C1190" s="4"/>
      <c r="D1190" s="4"/>
      <c r="E1190" s="8"/>
      <c r="F1190" s="8"/>
      <c r="G1190" s="8"/>
      <c r="H1190" s="9"/>
    </row>
    <row r="1191">
      <c r="A1191" s="4"/>
      <c r="C1191" s="4"/>
      <c r="D1191" s="4"/>
      <c r="E1191" s="8"/>
      <c r="F1191" s="8"/>
      <c r="G1191" s="8"/>
      <c r="H1191" s="9"/>
    </row>
    <row r="1192">
      <c r="A1192" s="4"/>
      <c r="C1192" s="4"/>
      <c r="D1192" s="4"/>
      <c r="E1192" s="8"/>
      <c r="F1192" s="8"/>
      <c r="G1192" s="8"/>
      <c r="H1192" s="9"/>
    </row>
    <row r="1193">
      <c r="A1193" s="4"/>
      <c r="C1193" s="4"/>
      <c r="D1193" s="4"/>
      <c r="E1193" s="8"/>
      <c r="F1193" s="8"/>
      <c r="G1193" s="8"/>
      <c r="H1193" s="9"/>
    </row>
    <row r="1194">
      <c r="A1194" s="4"/>
      <c r="C1194" s="4"/>
      <c r="D1194" s="4"/>
      <c r="E1194" s="8"/>
      <c r="F1194" s="8"/>
      <c r="G1194" s="8"/>
      <c r="H1194" s="9"/>
    </row>
    <row r="1195">
      <c r="A1195" s="4"/>
      <c r="C1195" s="4"/>
      <c r="D1195" s="4"/>
      <c r="E1195" s="8"/>
      <c r="F1195" s="8"/>
      <c r="G1195" s="8"/>
      <c r="H1195" s="9"/>
    </row>
    <row r="1196">
      <c r="A1196" s="4"/>
      <c r="C1196" s="4"/>
      <c r="D1196" s="4"/>
      <c r="E1196" s="8"/>
      <c r="F1196" s="8"/>
      <c r="G1196" s="8"/>
      <c r="H1196" s="9"/>
    </row>
    <row r="1197">
      <c r="A1197" s="4"/>
      <c r="C1197" s="4"/>
      <c r="D1197" s="4"/>
      <c r="E1197" s="8"/>
      <c r="F1197" s="8"/>
      <c r="G1197" s="8"/>
      <c r="H1197" s="9"/>
    </row>
    <row r="1198">
      <c r="A1198" s="4"/>
      <c r="C1198" s="4"/>
      <c r="D1198" s="4"/>
      <c r="E1198" s="8"/>
      <c r="F1198" s="8"/>
      <c r="G1198" s="8"/>
      <c r="H1198" s="9"/>
    </row>
    <row r="1199">
      <c r="A1199" s="4"/>
      <c r="C1199" s="4"/>
      <c r="D1199" s="4"/>
      <c r="E1199" s="8"/>
      <c r="F1199" s="8"/>
      <c r="G1199" s="8"/>
      <c r="H1199" s="9"/>
    </row>
    <row r="1200">
      <c r="A1200" s="4"/>
      <c r="C1200" s="4"/>
      <c r="D1200" s="4"/>
      <c r="E1200" s="8"/>
      <c r="F1200" s="8"/>
      <c r="G1200" s="8"/>
      <c r="H1200" s="9"/>
    </row>
    <row r="1201">
      <c r="A1201" s="4"/>
      <c r="C1201" s="4"/>
      <c r="D1201" s="4"/>
      <c r="E1201" s="8"/>
      <c r="F1201" s="8"/>
      <c r="G1201" s="8"/>
      <c r="H1201" s="9"/>
    </row>
    <row r="1202">
      <c r="A1202" s="4"/>
      <c r="C1202" s="4"/>
      <c r="D1202" s="4"/>
      <c r="E1202" s="8"/>
      <c r="F1202" s="8"/>
      <c r="G1202" s="8"/>
      <c r="H1202" s="9"/>
    </row>
    <row r="1203">
      <c r="A1203" s="4"/>
      <c r="C1203" s="4"/>
      <c r="D1203" s="4"/>
      <c r="E1203" s="8"/>
      <c r="F1203" s="8"/>
      <c r="G1203" s="8"/>
      <c r="H1203" s="9"/>
    </row>
    <row r="1204">
      <c r="A1204" s="4"/>
      <c r="C1204" s="4"/>
      <c r="D1204" s="4"/>
      <c r="E1204" s="8"/>
      <c r="F1204" s="8"/>
      <c r="G1204" s="8"/>
      <c r="H1204" s="9"/>
    </row>
    <row r="1205">
      <c r="A1205" s="4"/>
      <c r="C1205" s="4"/>
      <c r="D1205" s="4"/>
      <c r="E1205" s="8"/>
      <c r="F1205" s="8"/>
      <c r="G1205" s="8"/>
      <c r="H1205" s="9"/>
    </row>
    <row r="1206">
      <c r="A1206" s="4"/>
      <c r="C1206" s="4"/>
      <c r="D1206" s="4"/>
      <c r="E1206" s="8"/>
      <c r="F1206" s="8"/>
      <c r="G1206" s="8"/>
      <c r="H1206" s="9"/>
    </row>
    <row r="1207">
      <c r="A1207" s="4"/>
      <c r="C1207" s="4"/>
      <c r="D1207" s="4"/>
      <c r="E1207" s="8"/>
      <c r="F1207" s="8"/>
      <c r="G1207" s="8"/>
      <c r="H1207" s="9"/>
    </row>
    <row r="1208">
      <c r="A1208" s="4"/>
      <c r="C1208" s="4"/>
      <c r="D1208" s="4"/>
      <c r="E1208" s="8"/>
      <c r="F1208" s="8"/>
      <c r="G1208" s="8"/>
      <c r="H1208" s="9"/>
    </row>
    <row r="1209">
      <c r="A1209" s="4"/>
      <c r="C1209" s="4"/>
      <c r="D1209" s="4"/>
      <c r="E1209" s="8"/>
      <c r="F1209" s="8"/>
      <c r="G1209" s="8"/>
      <c r="H1209" s="9"/>
    </row>
    <row r="1210">
      <c r="A1210" s="4"/>
      <c r="C1210" s="4"/>
      <c r="D1210" s="4"/>
      <c r="E1210" s="8"/>
      <c r="F1210" s="8"/>
      <c r="G1210" s="8"/>
      <c r="H1210" s="9"/>
    </row>
    <row r="1211">
      <c r="A1211" s="4"/>
      <c r="C1211" s="4"/>
      <c r="D1211" s="4"/>
      <c r="E1211" s="8"/>
      <c r="F1211" s="8"/>
      <c r="G1211" s="8"/>
      <c r="H1211" s="9"/>
    </row>
    <row r="1212">
      <c r="A1212" s="4"/>
      <c r="C1212" s="4"/>
      <c r="D1212" s="4"/>
      <c r="E1212" s="8"/>
      <c r="F1212" s="8"/>
      <c r="G1212" s="8"/>
      <c r="H1212" s="9"/>
    </row>
    <row r="1213">
      <c r="A1213" s="4"/>
      <c r="C1213" s="4"/>
      <c r="D1213" s="4"/>
      <c r="E1213" s="8"/>
      <c r="F1213" s="8"/>
      <c r="G1213" s="8"/>
      <c r="H1213" s="9"/>
    </row>
    <row r="1214">
      <c r="A1214" s="4"/>
      <c r="C1214" s="4"/>
      <c r="D1214" s="4"/>
      <c r="E1214" s="8"/>
      <c r="F1214" s="8"/>
      <c r="G1214" s="8"/>
      <c r="H1214" s="9"/>
    </row>
    <row r="1215">
      <c r="A1215" s="4"/>
      <c r="C1215" s="4"/>
      <c r="D1215" s="4"/>
      <c r="E1215" s="8"/>
      <c r="F1215" s="8"/>
      <c r="G1215" s="8"/>
      <c r="H1215" s="9"/>
    </row>
    <row r="1216">
      <c r="A1216" s="4"/>
      <c r="C1216" s="4"/>
      <c r="D1216" s="4"/>
      <c r="E1216" s="8"/>
      <c r="F1216" s="8"/>
      <c r="G1216" s="8"/>
      <c r="H1216" s="9"/>
    </row>
    <row r="1217">
      <c r="A1217" s="4"/>
      <c r="C1217" s="4"/>
      <c r="D1217" s="4"/>
      <c r="E1217" s="8"/>
      <c r="F1217" s="8"/>
      <c r="G1217" s="8"/>
      <c r="H1217" s="9"/>
    </row>
    <row r="1218">
      <c r="A1218" s="4"/>
      <c r="C1218" s="4"/>
      <c r="D1218" s="4"/>
      <c r="E1218" s="8"/>
      <c r="F1218" s="8"/>
      <c r="G1218" s="8"/>
      <c r="H1218" s="9"/>
    </row>
    <row r="1219">
      <c r="A1219" s="4"/>
      <c r="C1219" s="4"/>
      <c r="D1219" s="4"/>
      <c r="E1219" s="8"/>
      <c r="F1219" s="8"/>
      <c r="G1219" s="8"/>
      <c r="H1219" s="9"/>
    </row>
    <row r="1220">
      <c r="A1220" s="4"/>
      <c r="C1220" s="4"/>
      <c r="D1220" s="4"/>
      <c r="E1220" s="8"/>
      <c r="F1220" s="8"/>
      <c r="G1220" s="8"/>
      <c r="H1220" s="9"/>
    </row>
    <row r="1221">
      <c r="A1221" s="4"/>
      <c r="C1221" s="4"/>
      <c r="D1221" s="4"/>
      <c r="E1221" s="8"/>
      <c r="F1221" s="8"/>
      <c r="G1221" s="8"/>
      <c r="H1221" s="9"/>
    </row>
    <row r="1222">
      <c r="A1222" s="4"/>
      <c r="C1222" s="4"/>
      <c r="D1222" s="4"/>
      <c r="E1222" s="8"/>
      <c r="F1222" s="8"/>
      <c r="G1222" s="8"/>
      <c r="H1222" s="9"/>
    </row>
    <row r="1223">
      <c r="A1223" s="4"/>
      <c r="C1223" s="4"/>
      <c r="D1223" s="4"/>
      <c r="E1223" s="8"/>
      <c r="F1223" s="8"/>
      <c r="G1223" s="8"/>
      <c r="H1223" s="9"/>
    </row>
    <row r="1224">
      <c r="A1224" s="4"/>
      <c r="C1224" s="4"/>
      <c r="D1224" s="4"/>
      <c r="E1224" s="8"/>
      <c r="F1224" s="8"/>
      <c r="G1224" s="8"/>
      <c r="H1224" s="9"/>
    </row>
    <row r="1225">
      <c r="A1225" s="4"/>
      <c r="C1225" s="4"/>
      <c r="D1225" s="4"/>
      <c r="E1225" s="8"/>
      <c r="F1225" s="8"/>
      <c r="G1225" s="8"/>
      <c r="H1225" s="9"/>
    </row>
    <row r="1226">
      <c r="A1226" s="4"/>
      <c r="C1226" s="4"/>
      <c r="D1226" s="4"/>
      <c r="E1226" s="8"/>
      <c r="F1226" s="8"/>
      <c r="G1226" s="8"/>
      <c r="H1226" s="9"/>
    </row>
    <row r="1227">
      <c r="A1227" s="4"/>
      <c r="C1227" s="4"/>
      <c r="D1227" s="4"/>
      <c r="E1227" s="8"/>
      <c r="F1227" s="8"/>
      <c r="G1227" s="8"/>
      <c r="H1227" s="9"/>
    </row>
    <row r="1228">
      <c r="A1228" s="4"/>
      <c r="C1228" s="4"/>
      <c r="D1228" s="4"/>
      <c r="E1228" s="8"/>
      <c r="F1228" s="8"/>
      <c r="G1228" s="8"/>
      <c r="H1228" s="9"/>
    </row>
    <row r="1229">
      <c r="A1229" s="4"/>
      <c r="C1229" s="4"/>
      <c r="D1229" s="4"/>
      <c r="E1229" s="8"/>
      <c r="F1229" s="8"/>
      <c r="G1229" s="8"/>
      <c r="H1229" s="9"/>
    </row>
    <row r="1230">
      <c r="A1230" s="4"/>
      <c r="C1230" s="4"/>
      <c r="D1230" s="4"/>
      <c r="E1230" s="8"/>
      <c r="F1230" s="8"/>
      <c r="G1230" s="8"/>
      <c r="H1230" s="9"/>
    </row>
    <row r="1231">
      <c r="A1231" s="4"/>
      <c r="C1231" s="4"/>
      <c r="D1231" s="4"/>
      <c r="E1231" s="8"/>
      <c r="F1231" s="8"/>
      <c r="G1231" s="8"/>
      <c r="H1231" s="9"/>
    </row>
    <row r="1232">
      <c r="A1232" s="4"/>
      <c r="C1232" s="4"/>
      <c r="D1232" s="4"/>
      <c r="E1232" s="8"/>
      <c r="F1232" s="8"/>
      <c r="G1232" s="8"/>
      <c r="H1232" s="9"/>
    </row>
    <row r="1233">
      <c r="A1233" s="4"/>
      <c r="C1233" s="4"/>
      <c r="D1233" s="4"/>
      <c r="E1233" s="8"/>
      <c r="F1233" s="8"/>
      <c r="G1233" s="8"/>
      <c r="H1233" s="9"/>
    </row>
    <row r="1234">
      <c r="A1234" s="4"/>
      <c r="C1234" s="4"/>
      <c r="D1234" s="4"/>
      <c r="E1234" s="8"/>
      <c r="F1234" s="8"/>
      <c r="G1234" s="8"/>
      <c r="H1234" s="9"/>
    </row>
    <row r="1235">
      <c r="A1235" s="4"/>
      <c r="C1235" s="4"/>
      <c r="D1235" s="4"/>
      <c r="E1235" s="8"/>
      <c r="F1235" s="8"/>
      <c r="G1235" s="8"/>
      <c r="H1235" s="9"/>
    </row>
    <row r="1236">
      <c r="A1236" s="4"/>
      <c r="C1236" s="4"/>
      <c r="D1236" s="4"/>
      <c r="E1236" s="8"/>
      <c r="F1236" s="8"/>
      <c r="G1236" s="8"/>
      <c r="H1236" s="9"/>
    </row>
    <row r="1237">
      <c r="A1237" s="4"/>
      <c r="C1237" s="4"/>
      <c r="D1237" s="4"/>
      <c r="E1237" s="8"/>
      <c r="F1237" s="8"/>
      <c r="G1237" s="8"/>
      <c r="H1237" s="9"/>
    </row>
    <row r="1238">
      <c r="A1238" s="4"/>
      <c r="C1238" s="4"/>
      <c r="D1238" s="4"/>
      <c r="E1238" s="8"/>
      <c r="F1238" s="8"/>
      <c r="G1238" s="8"/>
      <c r="H1238" s="9"/>
    </row>
    <row r="1239">
      <c r="A1239" s="4"/>
      <c r="C1239" s="4"/>
      <c r="D1239" s="4"/>
      <c r="E1239" s="8"/>
      <c r="F1239" s="8"/>
      <c r="G1239" s="8"/>
      <c r="H1239" s="9"/>
    </row>
    <row r="1240">
      <c r="A1240" s="4"/>
      <c r="C1240" s="4"/>
      <c r="D1240" s="4"/>
      <c r="E1240" s="8"/>
      <c r="F1240" s="8"/>
      <c r="G1240" s="8"/>
      <c r="H1240" s="9"/>
    </row>
    <row r="1241">
      <c r="A1241" s="4"/>
      <c r="C1241" s="4"/>
      <c r="D1241" s="4"/>
      <c r="E1241" s="8"/>
      <c r="F1241" s="8"/>
      <c r="G1241" s="8"/>
      <c r="H1241" s="9"/>
    </row>
    <row r="1242">
      <c r="A1242" s="4"/>
      <c r="C1242" s="4"/>
      <c r="D1242" s="4"/>
      <c r="E1242" s="8"/>
      <c r="F1242" s="8"/>
      <c r="G1242" s="8"/>
      <c r="H1242" s="9"/>
    </row>
    <row r="1243">
      <c r="A1243" s="4"/>
      <c r="C1243" s="4"/>
      <c r="D1243" s="4"/>
      <c r="E1243" s="8"/>
      <c r="F1243" s="8"/>
      <c r="G1243" s="8"/>
      <c r="H1243" s="9"/>
    </row>
    <row r="1244">
      <c r="A1244" s="4"/>
      <c r="C1244" s="4"/>
      <c r="D1244" s="4"/>
      <c r="E1244" s="8"/>
      <c r="F1244" s="8"/>
      <c r="G1244" s="8"/>
      <c r="H1244" s="9"/>
    </row>
    <row r="1245">
      <c r="A1245" s="4"/>
      <c r="C1245" s="4"/>
      <c r="D1245" s="4"/>
      <c r="E1245" s="8"/>
      <c r="F1245" s="8"/>
      <c r="G1245" s="8"/>
      <c r="H1245" s="9"/>
    </row>
    <row r="1246">
      <c r="A1246" s="4"/>
      <c r="C1246" s="4"/>
      <c r="D1246" s="4"/>
      <c r="E1246" s="8"/>
      <c r="F1246" s="8"/>
      <c r="G1246" s="8"/>
      <c r="H1246" s="9"/>
    </row>
    <row r="1247">
      <c r="A1247" s="4"/>
      <c r="C1247" s="4"/>
      <c r="D1247" s="4"/>
      <c r="E1247" s="8"/>
      <c r="F1247" s="8"/>
      <c r="G1247" s="8"/>
      <c r="H1247" s="9"/>
    </row>
    <row r="1248">
      <c r="A1248" s="4"/>
      <c r="C1248" s="4"/>
      <c r="D1248" s="4"/>
      <c r="E1248" s="8"/>
      <c r="F1248" s="8"/>
      <c r="G1248" s="8"/>
      <c r="H1248" s="9"/>
    </row>
    <row r="1249">
      <c r="A1249" s="4"/>
      <c r="C1249" s="4"/>
      <c r="D1249" s="4"/>
      <c r="E1249" s="8"/>
      <c r="F1249" s="8"/>
      <c r="G1249" s="8"/>
      <c r="H1249" s="9"/>
    </row>
    <row r="1250">
      <c r="A1250" s="4"/>
      <c r="C1250" s="4"/>
      <c r="D1250" s="4"/>
      <c r="E1250" s="8"/>
      <c r="F1250" s="8"/>
      <c r="G1250" s="8"/>
      <c r="H1250" s="9"/>
    </row>
    <row r="1251">
      <c r="A1251" s="4"/>
      <c r="C1251" s="4"/>
      <c r="D1251" s="4"/>
      <c r="E1251" s="8"/>
      <c r="F1251" s="8"/>
      <c r="G1251" s="8"/>
      <c r="H1251" s="9"/>
    </row>
    <row r="1252">
      <c r="A1252" s="4"/>
      <c r="C1252" s="4"/>
      <c r="D1252" s="4"/>
      <c r="E1252" s="8"/>
      <c r="F1252" s="8"/>
      <c r="G1252" s="8"/>
      <c r="H1252" s="9"/>
    </row>
    <row r="1253">
      <c r="A1253" s="4"/>
      <c r="C1253" s="4"/>
      <c r="D1253" s="4"/>
      <c r="E1253" s="8"/>
      <c r="F1253" s="8"/>
      <c r="G1253" s="8"/>
      <c r="H1253" s="9"/>
    </row>
    <row r="1254">
      <c r="A1254" s="4"/>
      <c r="C1254" s="4"/>
      <c r="D1254" s="4"/>
      <c r="E1254" s="8"/>
      <c r="F1254" s="8"/>
      <c r="G1254" s="8"/>
      <c r="H1254" s="9"/>
    </row>
    <row r="1255">
      <c r="A1255" s="4"/>
      <c r="C1255" s="4"/>
      <c r="D1255" s="4"/>
      <c r="E1255" s="8"/>
      <c r="F1255" s="8"/>
      <c r="G1255" s="8"/>
      <c r="H1255" s="9"/>
    </row>
    <row r="1256">
      <c r="A1256" s="4"/>
      <c r="C1256" s="4"/>
      <c r="D1256" s="4"/>
      <c r="E1256" s="8"/>
      <c r="F1256" s="8"/>
      <c r="G1256" s="8"/>
      <c r="H1256" s="9"/>
    </row>
    <row r="1257">
      <c r="A1257" s="4"/>
      <c r="C1257" s="4"/>
      <c r="D1257" s="4"/>
      <c r="E1257" s="8"/>
      <c r="F1257" s="8"/>
      <c r="G1257" s="8"/>
      <c r="H1257" s="9"/>
    </row>
    <row r="1258">
      <c r="A1258" s="4"/>
      <c r="C1258" s="4"/>
      <c r="D1258" s="4"/>
      <c r="E1258" s="8"/>
      <c r="F1258" s="8"/>
      <c r="G1258" s="8"/>
      <c r="H1258" s="9"/>
    </row>
    <row r="1259">
      <c r="A1259" s="4"/>
      <c r="C1259" s="4"/>
      <c r="D1259" s="4"/>
      <c r="E1259" s="8"/>
      <c r="F1259" s="8"/>
      <c r="G1259" s="8"/>
      <c r="H1259" s="9"/>
    </row>
    <row r="1260">
      <c r="A1260" s="4"/>
      <c r="C1260" s="4"/>
      <c r="D1260" s="4"/>
      <c r="E1260" s="8"/>
      <c r="F1260" s="8"/>
      <c r="G1260" s="8"/>
      <c r="H1260" s="9"/>
    </row>
    <row r="1261">
      <c r="A1261" s="4"/>
      <c r="C1261" s="4"/>
      <c r="D1261" s="4"/>
      <c r="E1261" s="8"/>
      <c r="F1261" s="8"/>
      <c r="G1261" s="8"/>
      <c r="H1261" s="9"/>
    </row>
    <row r="1262">
      <c r="A1262" s="4"/>
      <c r="C1262" s="4"/>
      <c r="D1262" s="4"/>
      <c r="E1262" s="8"/>
      <c r="F1262" s="8"/>
      <c r="G1262" s="8"/>
      <c r="H1262" s="9"/>
    </row>
    <row r="1263">
      <c r="A1263" s="4"/>
      <c r="C1263" s="4"/>
      <c r="D1263" s="4"/>
      <c r="E1263" s="8"/>
      <c r="F1263" s="8"/>
      <c r="G1263" s="8"/>
      <c r="H1263" s="9"/>
    </row>
    <row r="1264">
      <c r="A1264" s="4"/>
      <c r="C1264" s="4"/>
      <c r="D1264" s="4"/>
      <c r="E1264" s="8"/>
      <c r="F1264" s="8"/>
      <c r="G1264" s="8"/>
      <c r="H1264" s="9"/>
    </row>
    <row r="1265">
      <c r="A1265" s="4"/>
      <c r="C1265" s="4"/>
      <c r="D1265" s="4"/>
      <c r="E1265" s="8"/>
      <c r="F1265" s="8"/>
      <c r="G1265" s="8"/>
      <c r="H1265" s="9"/>
    </row>
    <row r="1266">
      <c r="A1266" s="4"/>
      <c r="C1266" s="4"/>
      <c r="D1266" s="4"/>
      <c r="E1266" s="8"/>
      <c r="F1266" s="8"/>
      <c r="G1266" s="8"/>
      <c r="H1266" s="9"/>
    </row>
    <row r="1267">
      <c r="A1267" s="4"/>
      <c r="C1267" s="4"/>
      <c r="D1267" s="4"/>
      <c r="E1267" s="8"/>
      <c r="F1267" s="8"/>
      <c r="G1267" s="8"/>
      <c r="H1267" s="9"/>
    </row>
    <row r="1268">
      <c r="A1268" s="4"/>
      <c r="C1268" s="4"/>
      <c r="D1268" s="4"/>
      <c r="E1268" s="8"/>
      <c r="F1268" s="8"/>
      <c r="G1268" s="8"/>
      <c r="H1268" s="9"/>
    </row>
    <row r="1269">
      <c r="A1269" s="4"/>
      <c r="C1269" s="4"/>
      <c r="D1269" s="4"/>
      <c r="E1269" s="8"/>
      <c r="F1269" s="8"/>
      <c r="G1269" s="8"/>
      <c r="H1269" s="9"/>
    </row>
    <row r="1270">
      <c r="A1270" s="4"/>
      <c r="C1270" s="4"/>
      <c r="D1270" s="4"/>
      <c r="E1270" s="8"/>
      <c r="F1270" s="8"/>
      <c r="G1270" s="8"/>
      <c r="H1270" s="9"/>
    </row>
    <row r="1271">
      <c r="A1271" s="4"/>
      <c r="C1271" s="4"/>
      <c r="D1271" s="4"/>
      <c r="E1271" s="8"/>
      <c r="F1271" s="8"/>
      <c r="G1271" s="8"/>
      <c r="H1271" s="9"/>
    </row>
    <row r="1272">
      <c r="A1272" s="4"/>
      <c r="C1272" s="4"/>
      <c r="D1272" s="4"/>
      <c r="E1272" s="8"/>
      <c r="F1272" s="8"/>
      <c r="G1272" s="8"/>
      <c r="H1272" s="9"/>
    </row>
    <row r="1273">
      <c r="A1273" s="4"/>
      <c r="C1273" s="4"/>
      <c r="D1273" s="4"/>
      <c r="E1273" s="8"/>
      <c r="F1273" s="8"/>
      <c r="G1273" s="8"/>
      <c r="H1273" s="9"/>
    </row>
    <row r="1274">
      <c r="A1274" s="4"/>
      <c r="C1274" s="4"/>
      <c r="D1274" s="4"/>
      <c r="E1274" s="8"/>
      <c r="F1274" s="8"/>
      <c r="G1274" s="8"/>
      <c r="H1274" s="9"/>
    </row>
    <row r="1275">
      <c r="A1275" s="4"/>
      <c r="C1275" s="4"/>
      <c r="D1275" s="4"/>
      <c r="E1275" s="8"/>
      <c r="F1275" s="8"/>
      <c r="G1275" s="8"/>
      <c r="H1275" s="9"/>
    </row>
    <row r="1276">
      <c r="A1276" s="4"/>
      <c r="C1276" s="4"/>
      <c r="D1276" s="4"/>
      <c r="E1276" s="8"/>
      <c r="F1276" s="8"/>
      <c r="G1276" s="8"/>
      <c r="H1276" s="9"/>
    </row>
    <row r="1277">
      <c r="A1277" s="4"/>
      <c r="C1277" s="4"/>
      <c r="D1277" s="4"/>
      <c r="E1277" s="8"/>
      <c r="F1277" s="8"/>
      <c r="G1277" s="8"/>
      <c r="H1277" s="9"/>
    </row>
    <row r="1278">
      <c r="A1278" s="4"/>
      <c r="C1278" s="4"/>
      <c r="D1278" s="4"/>
      <c r="E1278" s="8"/>
      <c r="F1278" s="8"/>
      <c r="G1278" s="8"/>
      <c r="H1278" s="9"/>
    </row>
    <row r="1279">
      <c r="A1279" s="4"/>
      <c r="C1279" s="4"/>
      <c r="D1279" s="4"/>
      <c r="E1279" s="8"/>
      <c r="F1279" s="8"/>
      <c r="G1279" s="8"/>
      <c r="H1279" s="9"/>
    </row>
    <row r="1280">
      <c r="A1280" s="4"/>
      <c r="C1280" s="4"/>
      <c r="D1280" s="4"/>
      <c r="E1280" s="8"/>
      <c r="F1280" s="8"/>
      <c r="G1280" s="8"/>
      <c r="H1280" s="9"/>
    </row>
    <row r="1281">
      <c r="A1281" s="4"/>
      <c r="C1281" s="4"/>
      <c r="D1281" s="4"/>
      <c r="E1281" s="8"/>
      <c r="F1281" s="8"/>
      <c r="G1281" s="8"/>
      <c r="H1281" s="9"/>
    </row>
    <row r="1282">
      <c r="A1282" s="4"/>
      <c r="C1282" s="4"/>
      <c r="D1282" s="4"/>
      <c r="E1282" s="8"/>
      <c r="F1282" s="8"/>
      <c r="G1282" s="8"/>
      <c r="H1282" s="9"/>
    </row>
    <row r="1283">
      <c r="A1283" s="4"/>
      <c r="C1283" s="4"/>
      <c r="D1283" s="4"/>
      <c r="E1283" s="8"/>
      <c r="F1283" s="8"/>
      <c r="G1283" s="8"/>
      <c r="H1283" s="9"/>
    </row>
    <row r="1284">
      <c r="A1284" s="4"/>
      <c r="C1284" s="4"/>
      <c r="D1284" s="4"/>
      <c r="E1284" s="8"/>
      <c r="F1284" s="8"/>
      <c r="G1284" s="8"/>
      <c r="H1284" s="9"/>
    </row>
    <row r="1285">
      <c r="A1285" s="4"/>
      <c r="C1285" s="4"/>
      <c r="D1285" s="4"/>
      <c r="E1285" s="8"/>
      <c r="F1285" s="8"/>
      <c r="G1285" s="8"/>
      <c r="H1285" s="9"/>
    </row>
    <row r="1286">
      <c r="A1286" s="4"/>
      <c r="C1286" s="4"/>
      <c r="D1286" s="4"/>
      <c r="E1286" s="8"/>
      <c r="F1286" s="8"/>
      <c r="G1286" s="8"/>
      <c r="H1286" s="9"/>
    </row>
    <row r="1287">
      <c r="A1287" s="4"/>
      <c r="C1287" s="4"/>
      <c r="D1287" s="4"/>
      <c r="E1287" s="8"/>
      <c r="F1287" s="8"/>
      <c r="G1287" s="8"/>
      <c r="H1287" s="9"/>
    </row>
    <row r="1288">
      <c r="A1288" s="4"/>
      <c r="C1288" s="4"/>
      <c r="D1288" s="4"/>
      <c r="E1288" s="8"/>
      <c r="F1288" s="8"/>
      <c r="G1288" s="8"/>
      <c r="H1288" s="9"/>
    </row>
    <row r="1289">
      <c r="A1289" s="4"/>
      <c r="C1289" s="4"/>
      <c r="D1289" s="4"/>
      <c r="E1289" s="8"/>
      <c r="F1289" s="8"/>
      <c r="G1289" s="8"/>
      <c r="H1289" s="9"/>
    </row>
    <row r="1290">
      <c r="A1290" s="4"/>
      <c r="C1290" s="4"/>
      <c r="D1290" s="4"/>
      <c r="E1290" s="8"/>
      <c r="F1290" s="8"/>
      <c r="G1290" s="8"/>
      <c r="H1290" s="9"/>
    </row>
    <row r="1291">
      <c r="A1291" s="4"/>
      <c r="C1291" s="4"/>
      <c r="D1291" s="4"/>
      <c r="E1291" s="8"/>
      <c r="F1291" s="8"/>
      <c r="G1291" s="8"/>
      <c r="H1291" s="9"/>
    </row>
    <row r="1292">
      <c r="A1292" s="4"/>
      <c r="C1292" s="4"/>
      <c r="D1292" s="4"/>
      <c r="E1292" s="8"/>
      <c r="F1292" s="8"/>
      <c r="G1292" s="8"/>
      <c r="H1292" s="9"/>
    </row>
    <row r="1293">
      <c r="A1293" s="4"/>
      <c r="C1293" s="4"/>
      <c r="D1293" s="4"/>
      <c r="E1293" s="8"/>
      <c r="F1293" s="8"/>
      <c r="G1293" s="8"/>
      <c r="H1293" s="9"/>
    </row>
    <row r="1294">
      <c r="A1294" s="4"/>
      <c r="C1294" s="4"/>
      <c r="D1294" s="4"/>
      <c r="E1294" s="8"/>
      <c r="F1294" s="8"/>
      <c r="G1294" s="8"/>
      <c r="H1294" s="9"/>
    </row>
    <row r="1295">
      <c r="A1295" s="4"/>
      <c r="C1295" s="4"/>
      <c r="D1295" s="4"/>
      <c r="E1295" s="8"/>
      <c r="F1295" s="8"/>
      <c r="G1295" s="8"/>
      <c r="H1295" s="9"/>
    </row>
    <row r="1296">
      <c r="A1296" s="4"/>
      <c r="C1296" s="4"/>
      <c r="D1296" s="4"/>
      <c r="E1296" s="8"/>
      <c r="F1296" s="8"/>
      <c r="G1296" s="8"/>
      <c r="H1296" s="9"/>
    </row>
    <row r="1297">
      <c r="A1297" s="4"/>
      <c r="C1297" s="4"/>
      <c r="D1297" s="4"/>
      <c r="E1297" s="8"/>
      <c r="F1297" s="8"/>
      <c r="G1297" s="8"/>
      <c r="H1297" s="9"/>
    </row>
    <row r="1298">
      <c r="A1298" s="4"/>
      <c r="C1298" s="4"/>
      <c r="D1298" s="4"/>
      <c r="E1298" s="8"/>
      <c r="F1298" s="8"/>
      <c r="G1298" s="8"/>
      <c r="H1298" s="9"/>
    </row>
    <row r="1299">
      <c r="A1299" s="4"/>
      <c r="C1299" s="4"/>
      <c r="D1299" s="4"/>
      <c r="E1299" s="8"/>
      <c r="F1299" s="8"/>
      <c r="G1299" s="8"/>
      <c r="H1299" s="9"/>
    </row>
    <row r="1300">
      <c r="A1300" s="4"/>
      <c r="C1300" s="4"/>
      <c r="D1300" s="4"/>
      <c r="E1300" s="8"/>
      <c r="F1300" s="8"/>
      <c r="G1300" s="8"/>
      <c r="H1300" s="9"/>
    </row>
    <row r="1301">
      <c r="A1301" s="4"/>
      <c r="C1301" s="4"/>
      <c r="D1301" s="4"/>
      <c r="E1301" s="8"/>
      <c r="F1301" s="8"/>
      <c r="G1301" s="8"/>
      <c r="H1301" s="9"/>
    </row>
    <row r="1302">
      <c r="A1302" s="4"/>
      <c r="C1302" s="4"/>
      <c r="D1302" s="4"/>
      <c r="E1302" s="8"/>
      <c r="F1302" s="8"/>
      <c r="G1302" s="8"/>
      <c r="H1302" s="9"/>
    </row>
    <row r="1303">
      <c r="A1303" s="4"/>
      <c r="C1303" s="4"/>
      <c r="D1303" s="4"/>
      <c r="E1303" s="8"/>
      <c r="F1303" s="8"/>
      <c r="G1303" s="8"/>
      <c r="H1303" s="9"/>
    </row>
    <row r="1304">
      <c r="A1304" s="4"/>
      <c r="C1304" s="4"/>
      <c r="D1304" s="4"/>
      <c r="E1304" s="8"/>
      <c r="F1304" s="8"/>
      <c r="G1304" s="8"/>
      <c r="H1304" s="9"/>
    </row>
    <row r="1305">
      <c r="A1305" s="4"/>
      <c r="C1305" s="4"/>
      <c r="D1305" s="4"/>
      <c r="E1305" s="8"/>
      <c r="F1305" s="8"/>
      <c r="G1305" s="8"/>
      <c r="H1305" s="9"/>
    </row>
    <row r="1306">
      <c r="A1306" s="4"/>
      <c r="C1306" s="4"/>
      <c r="D1306" s="4"/>
      <c r="E1306" s="8"/>
      <c r="F1306" s="8"/>
      <c r="G1306" s="8"/>
      <c r="H1306" s="9"/>
    </row>
    <row r="1307">
      <c r="A1307" s="4"/>
      <c r="C1307" s="4"/>
      <c r="D1307" s="4"/>
      <c r="E1307" s="8"/>
      <c r="F1307" s="8"/>
      <c r="G1307" s="8"/>
      <c r="H1307" s="9"/>
    </row>
    <row r="1308">
      <c r="A1308" s="4"/>
      <c r="C1308" s="4"/>
      <c r="D1308" s="4"/>
      <c r="E1308" s="8"/>
      <c r="F1308" s="8"/>
      <c r="G1308" s="8"/>
      <c r="H1308" s="9"/>
    </row>
    <row r="1309">
      <c r="A1309" s="4"/>
      <c r="C1309" s="4"/>
      <c r="D1309" s="4"/>
      <c r="E1309" s="8"/>
      <c r="F1309" s="8"/>
      <c r="G1309" s="8"/>
      <c r="H1309" s="9"/>
    </row>
    <row r="1310">
      <c r="A1310" s="4"/>
      <c r="C1310" s="4"/>
      <c r="D1310" s="4"/>
      <c r="E1310" s="8"/>
      <c r="F1310" s="8"/>
      <c r="G1310" s="8"/>
      <c r="H1310" s="9"/>
    </row>
    <row r="1311">
      <c r="A1311" s="4"/>
      <c r="C1311" s="4"/>
      <c r="D1311" s="4"/>
      <c r="E1311" s="8"/>
      <c r="F1311" s="8"/>
      <c r="G1311" s="8"/>
      <c r="H1311" s="9"/>
    </row>
    <row r="1312">
      <c r="A1312" s="4"/>
      <c r="C1312" s="4"/>
      <c r="D1312" s="4"/>
      <c r="E1312" s="8"/>
      <c r="F1312" s="8"/>
      <c r="G1312" s="8"/>
      <c r="H1312" s="9"/>
    </row>
    <row r="1313">
      <c r="A1313" s="4"/>
      <c r="C1313" s="4"/>
      <c r="D1313" s="4"/>
      <c r="E1313" s="8"/>
      <c r="F1313" s="8"/>
      <c r="G1313" s="8"/>
      <c r="H1313" s="9"/>
    </row>
    <row r="1314">
      <c r="A1314" s="4"/>
      <c r="C1314" s="4"/>
      <c r="D1314" s="4"/>
      <c r="E1314" s="8"/>
      <c r="F1314" s="8"/>
      <c r="G1314" s="8"/>
      <c r="H1314" s="9"/>
    </row>
    <row r="1315">
      <c r="A1315" s="4"/>
      <c r="C1315" s="4"/>
      <c r="D1315" s="4"/>
      <c r="E1315" s="8"/>
      <c r="F1315" s="8"/>
      <c r="G1315" s="8"/>
      <c r="H1315" s="9"/>
    </row>
    <row r="1316">
      <c r="A1316" s="4"/>
      <c r="C1316" s="4"/>
      <c r="D1316" s="4"/>
      <c r="E1316" s="8"/>
      <c r="F1316" s="8"/>
      <c r="G1316" s="8"/>
      <c r="H1316" s="9"/>
    </row>
    <row r="1317">
      <c r="A1317" s="4"/>
      <c r="C1317" s="4"/>
      <c r="D1317" s="4"/>
      <c r="E1317" s="8"/>
      <c r="F1317" s="8"/>
      <c r="G1317" s="8"/>
      <c r="H1317" s="9"/>
    </row>
    <row r="1318">
      <c r="A1318" s="4"/>
      <c r="C1318" s="4"/>
      <c r="D1318" s="4"/>
      <c r="E1318" s="8"/>
      <c r="F1318" s="8"/>
      <c r="G1318" s="8"/>
      <c r="H1318" s="9"/>
    </row>
    <row r="1319">
      <c r="A1319" s="4"/>
      <c r="C1319" s="4"/>
      <c r="D1319" s="4"/>
      <c r="E1319" s="8"/>
      <c r="F1319" s="8"/>
      <c r="G1319" s="8"/>
      <c r="H1319" s="9"/>
    </row>
    <row r="1320">
      <c r="A1320" s="4"/>
      <c r="C1320" s="4"/>
      <c r="D1320" s="4"/>
      <c r="E1320" s="8"/>
      <c r="F1320" s="8"/>
      <c r="G1320" s="8"/>
      <c r="H1320" s="9"/>
    </row>
    <row r="1321">
      <c r="A1321" s="4"/>
      <c r="C1321" s="4"/>
      <c r="D1321" s="4"/>
      <c r="E1321" s="8"/>
      <c r="F1321" s="8"/>
      <c r="G1321" s="8"/>
      <c r="H1321" s="9"/>
    </row>
    <row r="1322">
      <c r="A1322" s="4"/>
      <c r="C1322" s="4"/>
      <c r="D1322" s="4"/>
      <c r="E1322" s="8"/>
      <c r="F1322" s="8"/>
      <c r="G1322" s="8"/>
      <c r="H1322" s="9"/>
    </row>
    <row r="1323">
      <c r="A1323" s="4"/>
      <c r="C1323" s="4"/>
      <c r="D1323" s="4"/>
      <c r="E1323" s="8"/>
      <c r="F1323" s="8"/>
      <c r="G1323" s="8"/>
      <c r="H1323" s="9"/>
    </row>
    <row r="1324">
      <c r="A1324" s="4"/>
      <c r="C1324" s="4"/>
      <c r="D1324" s="4"/>
      <c r="E1324" s="8"/>
      <c r="F1324" s="8"/>
      <c r="G1324" s="8"/>
      <c r="H1324" s="9"/>
    </row>
    <row r="1325">
      <c r="A1325" s="4"/>
      <c r="C1325" s="4"/>
      <c r="D1325" s="4"/>
      <c r="E1325" s="8"/>
      <c r="F1325" s="8"/>
      <c r="G1325" s="8"/>
      <c r="H1325" s="9"/>
    </row>
    <row r="1326">
      <c r="A1326" s="4"/>
      <c r="C1326" s="4"/>
      <c r="D1326" s="4"/>
      <c r="E1326" s="8"/>
      <c r="F1326" s="8"/>
      <c r="G1326" s="8"/>
      <c r="H1326" s="9"/>
    </row>
    <row r="1327">
      <c r="A1327" s="4"/>
      <c r="C1327" s="4"/>
      <c r="D1327" s="4"/>
      <c r="E1327" s="8"/>
      <c r="F1327" s="8"/>
      <c r="G1327" s="8"/>
      <c r="H1327" s="9"/>
    </row>
    <row r="1328">
      <c r="A1328" s="4"/>
      <c r="C1328" s="4"/>
      <c r="D1328" s="4"/>
      <c r="E1328" s="8"/>
      <c r="F1328" s="8"/>
      <c r="G1328" s="8"/>
      <c r="H1328" s="9"/>
    </row>
    <row r="1329">
      <c r="A1329" s="4"/>
      <c r="C1329" s="4"/>
      <c r="D1329" s="4"/>
      <c r="E1329" s="8"/>
      <c r="F1329" s="8"/>
      <c r="G1329" s="8"/>
      <c r="H1329" s="9"/>
    </row>
    <row r="1330">
      <c r="A1330" s="4"/>
      <c r="C1330" s="4"/>
      <c r="D1330" s="4"/>
      <c r="E1330" s="8"/>
      <c r="F1330" s="8"/>
      <c r="G1330" s="8"/>
      <c r="H1330" s="9"/>
    </row>
    <row r="1331">
      <c r="A1331" s="4"/>
      <c r="C1331" s="4"/>
      <c r="D1331" s="4"/>
      <c r="E1331" s="8"/>
      <c r="F1331" s="8"/>
      <c r="G1331" s="8"/>
      <c r="H1331" s="9"/>
    </row>
    <row r="1332">
      <c r="A1332" s="4"/>
      <c r="C1332" s="4"/>
      <c r="D1332" s="4"/>
      <c r="E1332" s="8"/>
      <c r="F1332" s="8"/>
      <c r="G1332" s="8"/>
      <c r="H1332" s="9"/>
    </row>
    <row r="1333">
      <c r="A1333" s="4"/>
      <c r="C1333" s="4"/>
      <c r="D1333" s="4"/>
      <c r="E1333" s="8"/>
      <c r="F1333" s="8"/>
      <c r="G1333" s="8"/>
      <c r="H1333" s="9"/>
    </row>
    <row r="1334">
      <c r="A1334" s="4"/>
      <c r="C1334" s="4"/>
      <c r="D1334" s="4"/>
      <c r="E1334" s="8"/>
      <c r="F1334" s="8"/>
      <c r="G1334" s="8"/>
      <c r="H1334" s="9"/>
    </row>
    <row r="1335">
      <c r="A1335" s="4"/>
      <c r="C1335" s="4"/>
      <c r="D1335" s="4"/>
      <c r="E1335" s="8"/>
      <c r="F1335" s="8"/>
      <c r="G1335" s="8"/>
      <c r="H1335" s="9"/>
    </row>
    <row r="1336">
      <c r="A1336" s="4"/>
      <c r="C1336" s="4"/>
      <c r="D1336" s="4"/>
      <c r="E1336" s="8"/>
      <c r="F1336" s="8"/>
      <c r="G1336" s="8"/>
      <c r="H1336" s="9"/>
    </row>
    <row r="1337">
      <c r="A1337" s="4"/>
      <c r="C1337" s="4"/>
      <c r="D1337" s="4"/>
      <c r="E1337" s="8"/>
      <c r="F1337" s="8"/>
      <c r="G1337" s="8"/>
      <c r="H1337" s="9"/>
    </row>
    <row r="1338">
      <c r="A1338" s="4"/>
      <c r="C1338" s="4"/>
      <c r="D1338" s="4"/>
      <c r="E1338" s="8"/>
      <c r="F1338" s="8"/>
      <c r="G1338" s="8"/>
      <c r="H1338" s="9"/>
    </row>
    <row r="1339">
      <c r="A1339" s="4"/>
      <c r="C1339" s="4"/>
      <c r="D1339" s="4"/>
      <c r="E1339" s="8"/>
      <c r="F1339" s="8"/>
      <c r="G1339" s="8"/>
      <c r="H1339" s="9"/>
    </row>
    <row r="1340">
      <c r="A1340" s="4"/>
      <c r="C1340" s="4"/>
      <c r="D1340" s="4"/>
      <c r="E1340" s="8"/>
      <c r="F1340" s="8"/>
      <c r="G1340" s="8"/>
      <c r="H1340" s="9"/>
    </row>
    <row r="1341">
      <c r="A1341" s="4"/>
      <c r="C1341" s="4"/>
      <c r="D1341" s="4"/>
      <c r="E1341" s="8"/>
      <c r="F1341" s="8"/>
      <c r="G1341" s="8"/>
      <c r="H1341" s="9"/>
    </row>
    <row r="1342">
      <c r="A1342" s="4"/>
      <c r="C1342" s="4"/>
      <c r="D1342" s="4"/>
      <c r="E1342" s="8"/>
      <c r="F1342" s="8"/>
      <c r="G1342" s="8"/>
      <c r="H1342" s="9"/>
    </row>
    <row r="1343">
      <c r="A1343" s="4"/>
      <c r="C1343" s="4"/>
      <c r="D1343" s="4"/>
      <c r="E1343" s="8"/>
      <c r="F1343" s="8"/>
      <c r="G1343" s="8"/>
      <c r="H1343" s="9"/>
    </row>
    <row r="1344">
      <c r="A1344" s="4"/>
      <c r="C1344" s="4"/>
      <c r="D1344" s="4"/>
      <c r="E1344" s="8"/>
      <c r="F1344" s="8"/>
      <c r="G1344" s="8"/>
      <c r="H1344" s="9"/>
    </row>
    <row r="1345">
      <c r="A1345" s="4"/>
      <c r="C1345" s="4"/>
      <c r="D1345" s="4"/>
      <c r="E1345" s="8"/>
      <c r="F1345" s="8"/>
      <c r="G1345" s="8"/>
      <c r="H1345" s="9"/>
    </row>
    <row r="1346">
      <c r="A1346" s="4"/>
      <c r="C1346" s="4"/>
      <c r="D1346" s="4"/>
      <c r="E1346" s="8"/>
      <c r="F1346" s="8"/>
      <c r="G1346" s="8"/>
      <c r="H1346" s="9"/>
    </row>
    <row r="1347">
      <c r="A1347" s="4"/>
      <c r="C1347" s="4"/>
      <c r="D1347" s="4"/>
      <c r="E1347" s="8"/>
      <c r="F1347" s="8"/>
      <c r="G1347" s="8"/>
      <c r="H1347" s="9"/>
    </row>
    <row r="1348">
      <c r="A1348" s="4"/>
      <c r="C1348" s="4"/>
      <c r="D1348" s="4"/>
      <c r="E1348" s="8"/>
      <c r="F1348" s="8"/>
      <c r="G1348" s="8"/>
      <c r="H1348" s="9"/>
    </row>
    <row r="1349">
      <c r="A1349" s="4"/>
      <c r="C1349" s="4"/>
      <c r="D1349" s="4"/>
      <c r="E1349" s="8"/>
      <c r="F1349" s="8"/>
      <c r="G1349" s="8"/>
      <c r="H1349" s="9"/>
    </row>
    <row r="1350">
      <c r="A1350" s="4"/>
      <c r="C1350" s="4"/>
      <c r="D1350" s="4"/>
      <c r="E1350" s="8"/>
      <c r="F1350" s="8"/>
      <c r="G1350" s="8"/>
      <c r="H1350" s="9"/>
    </row>
    <row r="1351">
      <c r="A1351" s="4"/>
      <c r="C1351" s="4"/>
      <c r="D1351" s="4"/>
      <c r="E1351" s="8"/>
      <c r="F1351" s="8"/>
      <c r="G1351" s="8"/>
      <c r="H1351" s="9"/>
    </row>
    <row r="1352">
      <c r="A1352" s="4"/>
      <c r="C1352" s="4"/>
      <c r="D1352" s="4"/>
      <c r="E1352" s="8"/>
      <c r="F1352" s="8"/>
      <c r="G1352" s="8"/>
      <c r="H1352" s="9"/>
    </row>
    <row r="1353">
      <c r="A1353" s="4"/>
      <c r="C1353" s="4"/>
      <c r="D1353" s="4"/>
      <c r="E1353" s="8"/>
      <c r="F1353" s="8"/>
      <c r="G1353" s="8"/>
      <c r="H1353" s="9"/>
    </row>
    <row r="1354">
      <c r="A1354" s="4"/>
      <c r="C1354" s="4"/>
      <c r="D1354" s="4"/>
      <c r="E1354" s="8"/>
      <c r="F1354" s="8"/>
      <c r="G1354" s="8"/>
      <c r="H1354" s="9"/>
    </row>
    <row r="1355">
      <c r="A1355" s="4"/>
      <c r="C1355" s="4"/>
      <c r="D1355" s="4"/>
      <c r="E1355" s="8"/>
      <c r="F1355" s="8"/>
      <c r="G1355" s="8"/>
      <c r="H1355" s="9"/>
    </row>
    <row r="1356">
      <c r="A1356" s="4"/>
      <c r="C1356" s="4"/>
      <c r="D1356" s="4"/>
      <c r="E1356" s="8"/>
      <c r="F1356" s="8"/>
      <c r="G1356" s="8"/>
      <c r="H1356" s="9"/>
    </row>
    <row r="1357">
      <c r="A1357" s="4"/>
      <c r="C1357" s="4"/>
      <c r="D1357" s="4"/>
      <c r="E1357" s="8"/>
      <c r="F1357" s="8"/>
      <c r="G1357" s="8"/>
      <c r="H1357" s="9"/>
    </row>
    <row r="1358">
      <c r="A1358" s="4"/>
      <c r="C1358" s="4"/>
      <c r="D1358" s="4"/>
      <c r="E1358" s="8"/>
      <c r="F1358" s="8"/>
      <c r="G1358" s="8"/>
      <c r="H1358" s="9"/>
    </row>
    <row r="1359">
      <c r="A1359" s="4"/>
      <c r="C1359" s="4"/>
      <c r="D1359" s="4"/>
      <c r="E1359" s="8"/>
      <c r="F1359" s="8"/>
      <c r="G1359" s="8"/>
      <c r="H1359" s="9"/>
    </row>
    <row r="1360">
      <c r="A1360" s="4"/>
      <c r="C1360" s="4"/>
      <c r="D1360" s="4"/>
      <c r="E1360" s="8"/>
      <c r="F1360" s="8"/>
      <c r="G1360" s="8"/>
      <c r="H1360" s="9"/>
    </row>
    <row r="1361">
      <c r="A1361" s="4"/>
      <c r="C1361" s="4"/>
      <c r="D1361" s="4"/>
      <c r="E1361" s="8"/>
      <c r="F1361" s="8"/>
      <c r="G1361" s="8"/>
      <c r="H1361" s="9"/>
    </row>
    <row r="1362">
      <c r="A1362" s="4"/>
      <c r="C1362" s="4"/>
      <c r="D1362" s="4"/>
      <c r="E1362" s="8"/>
      <c r="F1362" s="8"/>
      <c r="G1362" s="8"/>
      <c r="H1362" s="9"/>
    </row>
    <row r="1363">
      <c r="A1363" s="4"/>
      <c r="C1363" s="4"/>
      <c r="D1363" s="4"/>
      <c r="E1363" s="8"/>
      <c r="F1363" s="8"/>
      <c r="G1363" s="8"/>
      <c r="H1363" s="9"/>
    </row>
    <row r="1364">
      <c r="A1364" s="4"/>
      <c r="C1364" s="4"/>
      <c r="D1364" s="4"/>
      <c r="E1364" s="8"/>
      <c r="F1364" s="8"/>
      <c r="G1364" s="8"/>
      <c r="H1364" s="9"/>
    </row>
    <row r="1365">
      <c r="A1365" s="4"/>
      <c r="C1365" s="4"/>
      <c r="D1365" s="4"/>
      <c r="E1365" s="8"/>
      <c r="F1365" s="8"/>
      <c r="G1365" s="8"/>
      <c r="H1365" s="9"/>
    </row>
    <row r="1366">
      <c r="A1366" s="4"/>
      <c r="C1366" s="4"/>
      <c r="D1366" s="4"/>
      <c r="E1366" s="8"/>
      <c r="F1366" s="8"/>
      <c r="G1366" s="8"/>
      <c r="H1366" s="9"/>
    </row>
    <row r="1367">
      <c r="A1367" s="4"/>
      <c r="C1367" s="4"/>
      <c r="D1367" s="4"/>
      <c r="E1367" s="8"/>
      <c r="F1367" s="8"/>
      <c r="G1367" s="8"/>
      <c r="H1367" s="9"/>
    </row>
    <row r="1368">
      <c r="A1368" s="4"/>
      <c r="C1368" s="4"/>
      <c r="D1368" s="4"/>
      <c r="E1368" s="8"/>
      <c r="F1368" s="8"/>
      <c r="G1368" s="8"/>
      <c r="H1368" s="9"/>
    </row>
    <row r="1369">
      <c r="A1369" s="4"/>
      <c r="C1369" s="4"/>
      <c r="D1369" s="4"/>
      <c r="E1369" s="8"/>
      <c r="F1369" s="8"/>
      <c r="G1369" s="8"/>
      <c r="H1369" s="9"/>
    </row>
    <row r="1370">
      <c r="A1370" s="4"/>
      <c r="C1370" s="4"/>
      <c r="D1370" s="4"/>
      <c r="E1370" s="8"/>
      <c r="F1370" s="8"/>
      <c r="G1370" s="8"/>
      <c r="H1370" s="9"/>
    </row>
    <row r="1371">
      <c r="A1371" s="4"/>
      <c r="C1371" s="4"/>
      <c r="D1371" s="4"/>
      <c r="E1371" s="8"/>
      <c r="F1371" s="8"/>
      <c r="G1371" s="8"/>
      <c r="H1371" s="9"/>
    </row>
    <row r="1372">
      <c r="A1372" s="4"/>
      <c r="C1372" s="4"/>
      <c r="D1372" s="4"/>
      <c r="E1372" s="8"/>
      <c r="F1372" s="8"/>
      <c r="G1372" s="8"/>
      <c r="H1372" s="9"/>
    </row>
    <row r="1373">
      <c r="A1373" s="4"/>
      <c r="C1373" s="4"/>
      <c r="D1373" s="4"/>
      <c r="E1373" s="8"/>
      <c r="F1373" s="8"/>
      <c r="G1373" s="8"/>
      <c r="H1373" s="9"/>
    </row>
    <row r="1374">
      <c r="A1374" s="4"/>
      <c r="C1374" s="4"/>
      <c r="D1374" s="4"/>
      <c r="E1374" s="8"/>
      <c r="F1374" s="8"/>
      <c r="G1374" s="8"/>
      <c r="H1374" s="9"/>
    </row>
    <row r="1375">
      <c r="A1375" s="4"/>
      <c r="C1375" s="4"/>
      <c r="D1375" s="4"/>
      <c r="E1375" s="8"/>
      <c r="F1375" s="8"/>
      <c r="G1375" s="8"/>
      <c r="H1375" s="9"/>
    </row>
    <row r="1376">
      <c r="A1376" s="4"/>
      <c r="C1376" s="4"/>
      <c r="D1376" s="4"/>
      <c r="E1376" s="8"/>
      <c r="F1376" s="8"/>
      <c r="G1376" s="8"/>
      <c r="H1376" s="9"/>
    </row>
    <row r="1377">
      <c r="A1377" s="4"/>
      <c r="C1377" s="4"/>
      <c r="D1377" s="4"/>
      <c r="E1377" s="8"/>
      <c r="F1377" s="8"/>
      <c r="G1377" s="8"/>
      <c r="H1377" s="9"/>
    </row>
    <row r="1378">
      <c r="A1378" s="4"/>
      <c r="C1378" s="4"/>
      <c r="D1378" s="4"/>
      <c r="E1378" s="8"/>
      <c r="F1378" s="8"/>
      <c r="G1378" s="8"/>
      <c r="H1378" s="9"/>
    </row>
    <row r="1379">
      <c r="A1379" s="4"/>
      <c r="C1379" s="4"/>
      <c r="D1379" s="4"/>
      <c r="E1379" s="8"/>
      <c r="F1379" s="8"/>
      <c r="G1379" s="8"/>
      <c r="H1379" s="9"/>
    </row>
    <row r="1380">
      <c r="A1380" s="4"/>
      <c r="C1380" s="4"/>
      <c r="D1380" s="4"/>
      <c r="E1380" s="8"/>
      <c r="F1380" s="8"/>
      <c r="G1380" s="8"/>
      <c r="H1380" s="9"/>
    </row>
    <row r="1381">
      <c r="A1381" s="4"/>
      <c r="C1381" s="4"/>
      <c r="D1381" s="4"/>
      <c r="E1381" s="8"/>
      <c r="F1381" s="8"/>
      <c r="G1381" s="8"/>
      <c r="H1381" s="9"/>
    </row>
    <row r="1382">
      <c r="A1382" s="4"/>
      <c r="C1382" s="4"/>
      <c r="D1382" s="4"/>
      <c r="E1382" s="8"/>
      <c r="F1382" s="8"/>
      <c r="G1382" s="8"/>
      <c r="H1382" s="9"/>
    </row>
    <row r="1383">
      <c r="A1383" s="4"/>
      <c r="C1383" s="4"/>
      <c r="D1383" s="4"/>
      <c r="E1383" s="8"/>
      <c r="F1383" s="8"/>
      <c r="G1383" s="8"/>
      <c r="H1383" s="9"/>
    </row>
    <row r="1384">
      <c r="A1384" s="4"/>
      <c r="C1384" s="4"/>
      <c r="D1384" s="4"/>
      <c r="E1384" s="8"/>
      <c r="F1384" s="8"/>
      <c r="G1384" s="8"/>
      <c r="H1384" s="9"/>
    </row>
    <row r="1385">
      <c r="A1385" s="4"/>
      <c r="C1385" s="4"/>
      <c r="D1385" s="4"/>
      <c r="E1385" s="8"/>
      <c r="F1385" s="8"/>
      <c r="G1385" s="8"/>
      <c r="H1385" s="9"/>
    </row>
    <row r="1386">
      <c r="A1386" s="4"/>
      <c r="C1386" s="4"/>
      <c r="D1386" s="4"/>
      <c r="E1386" s="8"/>
      <c r="F1386" s="8"/>
      <c r="G1386" s="8"/>
      <c r="H1386" s="9"/>
    </row>
    <row r="1387">
      <c r="A1387" s="4"/>
      <c r="C1387" s="4"/>
      <c r="D1387" s="4"/>
      <c r="E1387" s="8"/>
      <c r="F1387" s="8"/>
      <c r="G1387" s="8"/>
      <c r="H1387" s="9"/>
    </row>
    <row r="1388">
      <c r="A1388" s="4"/>
      <c r="C1388" s="4"/>
      <c r="D1388" s="4"/>
      <c r="E1388" s="8"/>
      <c r="F1388" s="8"/>
      <c r="G1388" s="8"/>
      <c r="H1388" s="9"/>
    </row>
    <row r="1389">
      <c r="A1389" s="4"/>
      <c r="C1389" s="4"/>
      <c r="D1389" s="4"/>
      <c r="E1389" s="8"/>
      <c r="F1389" s="8"/>
      <c r="G1389" s="8"/>
      <c r="H1389" s="9"/>
    </row>
    <row r="1390">
      <c r="A1390" s="4"/>
      <c r="C1390" s="4"/>
      <c r="D1390" s="4"/>
      <c r="E1390" s="8"/>
      <c r="F1390" s="8"/>
      <c r="G1390" s="8"/>
      <c r="H1390" s="9"/>
    </row>
    <row r="1391">
      <c r="A1391" s="4"/>
      <c r="C1391" s="4"/>
      <c r="D1391" s="4"/>
      <c r="E1391" s="8"/>
      <c r="F1391" s="8"/>
      <c r="G1391" s="8"/>
      <c r="H1391" s="9"/>
    </row>
    <row r="1392">
      <c r="A1392" s="4"/>
      <c r="C1392" s="4"/>
      <c r="D1392" s="4"/>
      <c r="E1392" s="8"/>
      <c r="F1392" s="8"/>
      <c r="G1392" s="8"/>
      <c r="H1392" s="9"/>
    </row>
    <row r="1393">
      <c r="A1393" s="4"/>
      <c r="C1393" s="4"/>
      <c r="D1393" s="4"/>
      <c r="E1393" s="8"/>
      <c r="F1393" s="8"/>
      <c r="G1393" s="8"/>
      <c r="H1393" s="9"/>
    </row>
    <row r="1394">
      <c r="A1394" s="4"/>
      <c r="C1394" s="4"/>
      <c r="D1394" s="4"/>
      <c r="E1394" s="8"/>
      <c r="F1394" s="8"/>
      <c r="G1394" s="8"/>
      <c r="H1394" s="9"/>
    </row>
    <row r="1395">
      <c r="A1395" s="4"/>
      <c r="C1395" s="4"/>
      <c r="D1395" s="4"/>
      <c r="E1395" s="8"/>
      <c r="F1395" s="8"/>
      <c r="G1395" s="8"/>
      <c r="H1395" s="9"/>
    </row>
    <row r="1396">
      <c r="A1396" s="4"/>
      <c r="C1396" s="4"/>
      <c r="D1396" s="4"/>
      <c r="E1396" s="8"/>
      <c r="F1396" s="8"/>
      <c r="G1396" s="8"/>
      <c r="H1396" s="9"/>
    </row>
    <row r="1397">
      <c r="A1397" s="4"/>
      <c r="C1397" s="4"/>
      <c r="D1397" s="4"/>
      <c r="E1397" s="8"/>
      <c r="F1397" s="8"/>
      <c r="G1397" s="8"/>
      <c r="H1397" s="9"/>
    </row>
    <row r="1398">
      <c r="A1398" s="4"/>
      <c r="C1398" s="4"/>
      <c r="D1398" s="4"/>
      <c r="E1398" s="8"/>
      <c r="F1398" s="8"/>
      <c r="G1398" s="8"/>
      <c r="H1398" s="9"/>
    </row>
    <row r="1399">
      <c r="A1399" s="4"/>
      <c r="C1399" s="4"/>
      <c r="D1399" s="4"/>
      <c r="E1399" s="8"/>
      <c r="F1399" s="8"/>
      <c r="G1399" s="8"/>
      <c r="H1399" s="9"/>
    </row>
    <row r="1400">
      <c r="A1400" s="4"/>
      <c r="C1400" s="4"/>
      <c r="D1400" s="4"/>
      <c r="E1400" s="8"/>
      <c r="F1400" s="8"/>
      <c r="G1400" s="8"/>
      <c r="H1400" s="9"/>
    </row>
    <row r="1401">
      <c r="A1401" s="4"/>
      <c r="C1401" s="4"/>
      <c r="D1401" s="4"/>
      <c r="E1401" s="8"/>
      <c r="F1401" s="8"/>
      <c r="G1401" s="8"/>
      <c r="H1401" s="9"/>
    </row>
    <row r="1402">
      <c r="A1402" s="4"/>
      <c r="C1402" s="4"/>
      <c r="D1402" s="4"/>
      <c r="E1402" s="8"/>
      <c r="F1402" s="8"/>
      <c r="G1402" s="8"/>
      <c r="H1402" s="9"/>
    </row>
    <row r="1403">
      <c r="A1403" s="4"/>
      <c r="C1403" s="4"/>
      <c r="D1403" s="4"/>
      <c r="E1403" s="8"/>
      <c r="F1403" s="8"/>
      <c r="G1403" s="8"/>
      <c r="H1403" s="9"/>
    </row>
    <row r="1404">
      <c r="A1404" s="4"/>
      <c r="C1404" s="4"/>
      <c r="D1404" s="4"/>
      <c r="E1404" s="8"/>
      <c r="F1404" s="8"/>
      <c r="G1404" s="8"/>
      <c r="H1404" s="9"/>
    </row>
    <row r="1405">
      <c r="A1405" s="4"/>
      <c r="C1405" s="4"/>
      <c r="D1405" s="4"/>
      <c r="E1405" s="8"/>
      <c r="F1405" s="8"/>
      <c r="G1405" s="8"/>
      <c r="H1405" s="9"/>
    </row>
    <row r="1406">
      <c r="A1406" s="4"/>
      <c r="C1406" s="4"/>
      <c r="D1406" s="4"/>
      <c r="E1406" s="8"/>
      <c r="F1406" s="8"/>
      <c r="G1406" s="8"/>
      <c r="H1406" s="9"/>
    </row>
    <row r="1407">
      <c r="A1407" s="4"/>
      <c r="C1407" s="4"/>
      <c r="D1407" s="4"/>
      <c r="E1407" s="8"/>
      <c r="F1407" s="8"/>
      <c r="G1407" s="8"/>
      <c r="H1407" s="9"/>
    </row>
    <row r="1408">
      <c r="A1408" s="4"/>
      <c r="C1408" s="4"/>
      <c r="D1408" s="4"/>
      <c r="E1408" s="8"/>
      <c r="F1408" s="8"/>
      <c r="G1408" s="8"/>
      <c r="H1408" s="9"/>
    </row>
    <row r="1409">
      <c r="A1409" s="4"/>
      <c r="C1409" s="4"/>
      <c r="D1409" s="4"/>
      <c r="E1409" s="8"/>
      <c r="F1409" s="8"/>
      <c r="G1409" s="8"/>
      <c r="H1409" s="9"/>
    </row>
    <row r="1410">
      <c r="A1410" s="4"/>
      <c r="C1410" s="4"/>
      <c r="D1410" s="4"/>
      <c r="E1410" s="8"/>
      <c r="F1410" s="8"/>
      <c r="G1410" s="8"/>
      <c r="H1410" s="9"/>
    </row>
    <row r="1411">
      <c r="A1411" s="4"/>
      <c r="C1411" s="4"/>
      <c r="D1411" s="4"/>
      <c r="E1411" s="8"/>
      <c r="F1411" s="8"/>
      <c r="G1411" s="8"/>
      <c r="H1411" s="9"/>
    </row>
    <row r="1412">
      <c r="A1412" s="4"/>
      <c r="C1412" s="4"/>
      <c r="D1412" s="4"/>
      <c r="E1412" s="8"/>
      <c r="F1412" s="8"/>
      <c r="G1412" s="8"/>
      <c r="H1412" s="9"/>
    </row>
    <row r="1413">
      <c r="A1413" s="4"/>
      <c r="C1413" s="4"/>
      <c r="D1413" s="4"/>
      <c r="E1413" s="8"/>
      <c r="F1413" s="8"/>
      <c r="G1413" s="8"/>
      <c r="H1413" s="9"/>
    </row>
    <row r="1414">
      <c r="A1414" s="4"/>
      <c r="C1414" s="4"/>
      <c r="D1414" s="4"/>
      <c r="E1414" s="8"/>
      <c r="F1414" s="8"/>
      <c r="G1414" s="8"/>
      <c r="H1414" s="9"/>
    </row>
    <row r="1415">
      <c r="A1415" s="4"/>
      <c r="C1415" s="4"/>
      <c r="D1415" s="4"/>
      <c r="E1415" s="8"/>
      <c r="F1415" s="8"/>
      <c r="G1415" s="8"/>
      <c r="H1415" s="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13"/>
    <col customWidth="1" min="2" max="2" width="21.38"/>
    <col customWidth="1" min="3" max="3" width="8.75"/>
  </cols>
  <sheetData>
    <row r="1">
      <c r="A1" s="4" t="s">
        <v>5</v>
      </c>
      <c r="B1" s="5" t="s">
        <v>6</v>
      </c>
      <c r="C1" s="5" t="s">
        <v>7</v>
      </c>
      <c r="D1" s="5" t="s">
        <v>8</v>
      </c>
      <c r="E1" s="5" t="s">
        <v>9</v>
      </c>
    </row>
    <row r="2">
      <c r="A2" s="4" t="s">
        <v>1656</v>
      </c>
      <c r="E2" s="5">
        <f>COUNTA(A2:A501)</f>
        <v>500</v>
      </c>
    </row>
    <row r="3">
      <c r="A3" s="4" t="s">
        <v>869</v>
      </c>
    </row>
    <row r="4">
      <c r="A4" s="4" t="s">
        <v>2158</v>
      </c>
    </row>
    <row r="5">
      <c r="A5" s="4" t="s">
        <v>2159</v>
      </c>
    </row>
    <row r="6">
      <c r="A6" s="4" t="s">
        <v>2158</v>
      </c>
    </row>
    <row r="7">
      <c r="A7" s="4" t="s">
        <v>2160</v>
      </c>
    </row>
    <row r="8">
      <c r="A8" s="4" t="s">
        <v>1655</v>
      </c>
    </row>
    <row r="9">
      <c r="A9" s="4" t="s">
        <v>105</v>
      </c>
    </row>
    <row r="10">
      <c r="A10" s="4" t="s">
        <v>952</v>
      </c>
    </row>
    <row r="11">
      <c r="A11" s="4" t="s">
        <v>2161</v>
      </c>
    </row>
    <row r="12">
      <c r="A12" s="4" t="s">
        <v>2159</v>
      </c>
    </row>
    <row r="13">
      <c r="A13" s="4" t="s">
        <v>1656</v>
      </c>
    </row>
    <row r="14">
      <c r="A14" s="4" t="s">
        <v>939</v>
      </c>
    </row>
    <row r="15">
      <c r="A15" s="4" t="s">
        <v>2160</v>
      </c>
    </row>
    <row r="16">
      <c r="A16" s="4" t="s">
        <v>105</v>
      </c>
    </row>
    <row r="17">
      <c r="A17" s="4" t="s">
        <v>1657</v>
      </c>
    </row>
    <row r="18">
      <c r="A18" s="4" t="s">
        <v>2158</v>
      </c>
    </row>
    <row r="19">
      <c r="A19" s="4" t="s">
        <v>2158</v>
      </c>
    </row>
    <row r="20">
      <c r="A20" s="4" t="s">
        <v>2162</v>
      </c>
    </row>
    <row r="21">
      <c r="A21" s="4" t="s">
        <v>2161</v>
      </c>
    </row>
    <row r="22">
      <c r="A22" s="4" t="s">
        <v>105</v>
      </c>
    </row>
    <row r="23">
      <c r="A23" s="4" t="s">
        <v>105</v>
      </c>
    </row>
    <row r="24">
      <c r="A24" s="4" t="s">
        <v>2163</v>
      </c>
    </row>
    <row r="25">
      <c r="A25" s="4" t="s">
        <v>105</v>
      </c>
    </row>
    <row r="26">
      <c r="A26" s="4" t="s">
        <v>2164</v>
      </c>
    </row>
    <row r="27">
      <c r="A27" s="4" t="s">
        <v>2163</v>
      </c>
    </row>
    <row r="28">
      <c r="A28" s="4" t="s">
        <v>2165</v>
      </c>
    </row>
    <row r="29">
      <c r="A29" s="4" t="s">
        <v>105</v>
      </c>
    </row>
    <row r="30">
      <c r="A30" s="4" t="s">
        <v>2166</v>
      </c>
    </row>
    <row r="31">
      <c r="A31" s="4" t="s">
        <v>2164</v>
      </c>
    </row>
    <row r="32">
      <c r="A32" s="4" t="s">
        <v>1657</v>
      </c>
    </row>
    <row r="33">
      <c r="A33" s="4" t="s">
        <v>2158</v>
      </c>
    </row>
    <row r="34">
      <c r="A34" s="4" t="s">
        <v>939</v>
      </c>
    </row>
    <row r="35">
      <c r="A35" s="4" t="s">
        <v>2159</v>
      </c>
    </row>
    <row r="36">
      <c r="A36" s="4" t="s">
        <v>2167</v>
      </c>
    </row>
    <row r="37">
      <c r="A37" s="4" t="s">
        <v>2163</v>
      </c>
    </row>
    <row r="38">
      <c r="A38" s="4" t="s">
        <v>2160</v>
      </c>
    </row>
    <row r="39">
      <c r="A39" s="4" t="s">
        <v>2168</v>
      </c>
    </row>
    <row r="40">
      <c r="A40" s="4" t="s">
        <v>2158</v>
      </c>
    </row>
    <row r="41">
      <c r="A41" s="4" t="s">
        <v>2161</v>
      </c>
    </row>
    <row r="42">
      <c r="A42" s="4" t="s">
        <v>939</v>
      </c>
    </row>
    <row r="43">
      <c r="A43" s="4" t="s">
        <v>1655</v>
      </c>
    </row>
    <row r="44">
      <c r="A44" s="4" t="s">
        <v>2159</v>
      </c>
    </row>
    <row r="45">
      <c r="A45" s="4" t="s">
        <v>952</v>
      </c>
    </row>
    <row r="46">
      <c r="A46" s="4" t="s">
        <v>1655</v>
      </c>
    </row>
    <row r="47">
      <c r="A47" s="4" t="s">
        <v>2166</v>
      </c>
    </row>
    <row r="48">
      <c r="A48" s="4" t="s">
        <v>2168</v>
      </c>
    </row>
    <row r="49">
      <c r="A49" s="4" t="s">
        <v>2160</v>
      </c>
    </row>
    <row r="50">
      <c r="A50" s="4" t="s">
        <v>952</v>
      </c>
    </row>
    <row r="51">
      <c r="A51" s="4" t="s">
        <v>2161</v>
      </c>
    </row>
    <row r="52">
      <c r="A52" s="4" t="s">
        <v>2166</v>
      </c>
    </row>
    <row r="53">
      <c r="A53" s="4" t="s">
        <v>2168</v>
      </c>
    </row>
    <row r="54">
      <c r="A54" s="4" t="s">
        <v>2163</v>
      </c>
    </row>
    <row r="55">
      <c r="A55" s="4" t="s">
        <v>1352</v>
      </c>
    </row>
    <row r="56">
      <c r="A56" s="4" t="s">
        <v>1352</v>
      </c>
    </row>
    <row r="57">
      <c r="A57" s="4" t="s">
        <v>1655</v>
      </c>
    </row>
    <row r="58">
      <c r="A58" s="4" t="s">
        <v>2158</v>
      </c>
    </row>
    <row r="59">
      <c r="A59" s="4" t="s">
        <v>939</v>
      </c>
    </row>
    <row r="60">
      <c r="A60" s="4" t="s">
        <v>1352</v>
      </c>
    </row>
    <row r="61">
      <c r="A61" s="4" t="s">
        <v>2169</v>
      </c>
    </row>
    <row r="62">
      <c r="A62" s="4" t="s">
        <v>2167</v>
      </c>
    </row>
    <row r="63">
      <c r="A63" s="4" t="s">
        <v>2160</v>
      </c>
    </row>
    <row r="64">
      <c r="A64" s="4" t="s">
        <v>1656</v>
      </c>
    </row>
    <row r="65">
      <c r="A65" s="4" t="s">
        <v>2159</v>
      </c>
    </row>
    <row r="66">
      <c r="A66" s="4" t="s">
        <v>2169</v>
      </c>
    </row>
    <row r="67">
      <c r="A67" s="4" t="s">
        <v>2162</v>
      </c>
    </row>
    <row r="68">
      <c r="A68" s="4" t="s">
        <v>1352</v>
      </c>
    </row>
    <row r="69">
      <c r="A69" s="4" t="s">
        <v>2160</v>
      </c>
    </row>
    <row r="70">
      <c r="A70" s="4" t="s">
        <v>2161</v>
      </c>
    </row>
    <row r="71">
      <c r="A71" s="4" t="s">
        <v>2160</v>
      </c>
    </row>
    <row r="72">
      <c r="A72" s="4" t="s">
        <v>2158</v>
      </c>
    </row>
    <row r="73">
      <c r="A73" s="4" t="s">
        <v>1657</v>
      </c>
    </row>
    <row r="74">
      <c r="A74" s="4" t="s">
        <v>869</v>
      </c>
    </row>
    <row r="75">
      <c r="A75" s="4" t="s">
        <v>952</v>
      </c>
    </row>
    <row r="76">
      <c r="A76" s="4" t="s">
        <v>2169</v>
      </c>
    </row>
    <row r="77">
      <c r="A77" s="4" t="s">
        <v>2165</v>
      </c>
    </row>
    <row r="78">
      <c r="A78" s="4" t="s">
        <v>2160</v>
      </c>
    </row>
    <row r="79">
      <c r="A79" s="4" t="s">
        <v>1657</v>
      </c>
    </row>
    <row r="80">
      <c r="A80" s="4" t="s">
        <v>2168</v>
      </c>
    </row>
    <row r="81">
      <c r="A81" s="4" t="s">
        <v>2163</v>
      </c>
    </row>
    <row r="82">
      <c r="A82" s="4" t="s">
        <v>2159</v>
      </c>
    </row>
    <row r="83">
      <c r="A83" s="4" t="s">
        <v>2164</v>
      </c>
    </row>
    <row r="84">
      <c r="A84" s="4" t="s">
        <v>1657</v>
      </c>
    </row>
    <row r="85">
      <c r="A85" s="4" t="s">
        <v>939</v>
      </c>
    </row>
    <row r="86">
      <c r="A86" s="4" t="s">
        <v>2167</v>
      </c>
    </row>
    <row r="87">
      <c r="A87" s="4" t="s">
        <v>105</v>
      </c>
    </row>
    <row r="88">
      <c r="A88" s="4" t="s">
        <v>105</v>
      </c>
    </row>
    <row r="89">
      <c r="A89" s="4" t="s">
        <v>2159</v>
      </c>
    </row>
    <row r="90">
      <c r="A90" s="4" t="s">
        <v>1656</v>
      </c>
    </row>
    <row r="91">
      <c r="A91" s="4" t="s">
        <v>939</v>
      </c>
    </row>
    <row r="92">
      <c r="A92" s="4" t="s">
        <v>2167</v>
      </c>
    </row>
    <row r="93">
      <c r="A93" s="4" t="s">
        <v>1352</v>
      </c>
    </row>
    <row r="94">
      <c r="A94" s="4" t="s">
        <v>1657</v>
      </c>
    </row>
    <row r="95">
      <c r="A95" s="4" t="s">
        <v>2160</v>
      </c>
    </row>
    <row r="96">
      <c r="A96" s="4" t="s">
        <v>2166</v>
      </c>
    </row>
    <row r="97">
      <c r="A97" s="4" t="s">
        <v>2161</v>
      </c>
    </row>
    <row r="98">
      <c r="A98" s="4" t="s">
        <v>2163</v>
      </c>
    </row>
    <row r="99">
      <c r="A99" s="4" t="s">
        <v>1655</v>
      </c>
    </row>
    <row r="100">
      <c r="A100" s="4" t="s">
        <v>952</v>
      </c>
    </row>
    <row r="101">
      <c r="A101" s="4" t="s">
        <v>2158</v>
      </c>
    </row>
    <row r="102">
      <c r="A102" s="4" t="s">
        <v>2164</v>
      </c>
    </row>
    <row r="103">
      <c r="A103" s="4" t="s">
        <v>869</v>
      </c>
    </row>
    <row r="104">
      <c r="A104" s="4" t="s">
        <v>2158</v>
      </c>
    </row>
    <row r="105">
      <c r="A105" s="4" t="s">
        <v>2160</v>
      </c>
    </row>
    <row r="106">
      <c r="A106" s="4" t="s">
        <v>2164</v>
      </c>
    </row>
    <row r="107">
      <c r="A107" s="4" t="s">
        <v>952</v>
      </c>
    </row>
    <row r="108">
      <c r="A108" s="4" t="s">
        <v>2161</v>
      </c>
    </row>
    <row r="109">
      <c r="A109" s="4" t="s">
        <v>2161</v>
      </c>
    </row>
    <row r="110">
      <c r="A110" s="4" t="s">
        <v>2168</v>
      </c>
    </row>
    <row r="111">
      <c r="A111" s="4" t="s">
        <v>2165</v>
      </c>
    </row>
    <row r="112">
      <c r="A112" s="4" t="s">
        <v>2162</v>
      </c>
    </row>
    <row r="113">
      <c r="A113" s="4" t="s">
        <v>2165</v>
      </c>
    </row>
    <row r="114">
      <c r="A114" s="4" t="s">
        <v>1352</v>
      </c>
    </row>
    <row r="115">
      <c r="A115" s="4" t="s">
        <v>1656</v>
      </c>
    </row>
    <row r="116">
      <c r="A116" s="4" t="s">
        <v>939</v>
      </c>
    </row>
    <row r="117">
      <c r="A117" s="4" t="s">
        <v>2162</v>
      </c>
    </row>
    <row r="118">
      <c r="A118" s="4" t="s">
        <v>869</v>
      </c>
    </row>
    <row r="119">
      <c r="A119" s="4" t="s">
        <v>939</v>
      </c>
    </row>
    <row r="120">
      <c r="A120" s="4" t="s">
        <v>2165</v>
      </c>
    </row>
    <row r="121">
      <c r="A121" s="4" t="s">
        <v>2162</v>
      </c>
    </row>
    <row r="122">
      <c r="A122" s="4" t="s">
        <v>2166</v>
      </c>
    </row>
    <row r="123">
      <c r="A123" s="4" t="s">
        <v>2162</v>
      </c>
    </row>
    <row r="124">
      <c r="A124" s="4" t="s">
        <v>1657</v>
      </c>
    </row>
    <row r="125">
      <c r="A125" s="4" t="s">
        <v>2169</v>
      </c>
    </row>
    <row r="126">
      <c r="A126" s="4" t="s">
        <v>1655</v>
      </c>
    </row>
    <row r="127">
      <c r="A127" s="4" t="s">
        <v>2158</v>
      </c>
    </row>
    <row r="128">
      <c r="A128" s="4" t="s">
        <v>939</v>
      </c>
    </row>
    <row r="129">
      <c r="A129" s="4" t="s">
        <v>1655</v>
      </c>
    </row>
    <row r="130">
      <c r="A130" s="4" t="s">
        <v>1352</v>
      </c>
    </row>
    <row r="131">
      <c r="A131" s="4" t="s">
        <v>2169</v>
      </c>
    </row>
    <row r="132">
      <c r="A132" s="4" t="s">
        <v>2158</v>
      </c>
    </row>
    <row r="133">
      <c r="A133" s="4" t="s">
        <v>105</v>
      </c>
    </row>
    <row r="134">
      <c r="A134" s="4" t="s">
        <v>2163</v>
      </c>
    </row>
    <row r="135">
      <c r="A135" s="4" t="s">
        <v>2164</v>
      </c>
    </row>
    <row r="136">
      <c r="A136" s="4" t="s">
        <v>1655</v>
      </c>
    </row>
    <row r="137">
      <c r="A137" s="4" t="s">
        <v>2164</v>
      </c>
    </row>
    <row r="138">
      <c r="A138" s="4" t="s">
        <v>2160</v>
      </c>
    </row>
    <row r="139">
      <c r="A139" s="4" t="s">
        <v>1352</v>
      </c>
    </row>
    <row r="140">
      <c r="A140" s="4" t="s">
        <v>1352</v>
      </c>
    </row>
    <row r="141">
      <c r="A141" s="4" t="s">
        <v>1352</v>
      </c>
    </row>
    <row r="142">
      <c r="A142" s="4" t="s">
        <v>952</v>
      </c>
    </row>
    <row r="143">
      <c r="A143" s="4" t="s">
        <v>2159</v>
      </c>
    </row>
    <row r="144">
      <c r="A144" s="4" t="s">
        <v>869</v>
      </c>
    </row>
    <row r="145">
      <c r="A145" s="4" t="s">
        <v>2158</v>
      </c>
    </row>
    <row r="146">
      <c r="A146" s="4" t="s">
        <v>1657</v>
      </c>
    </row>
    <row r="147">
      <c r="A147" s="4" t="s">
        <v>2166</v>
      </c>
    </row>
    <row r="148">
      <c r="A148" s="4" t="s">
        <v>2165</v>
      </c>
    </row>
    <row r="149">
      <c r="A149" s="4" t="s">
        <v>1352</v>
      </c>
    </row>
    <row r="150">
      <c r="A150" s="4" t="s">
        <v>2165</v>
      </c>
    </row>
    <row r="151">
      <c r="A151" s="4" t="s">
        <v>2166</v>
      </c>
    </row>
    <row r="152">
      <c r="A152" s="4" t="s">
        <v>2162</v>
      </c>
    </row>
    <row r="153">
      <c r="A153" s="4" t="s">
        <v>2167</v>
      </c>
    </row>
    <row r="154">
      <c r="A154" s="4" t="s">
        <v>1656</v>
      </c>
    </row>
    <row r="155">
      <c r="A155" s="4" t="s">
        <v>939</v>
      </c>
    </row>
    <row r="156">
      <c r="A156" s="4" t="s">
        <v>1656</v>
      </c>
    </row>
    <row r="157">
      <c r="A157" s="4" t="s">
        <v>2161</v>
      </c>
    </row>
    <row r="158">
      <c r="A158" s="4" t="s">
        <v>1655</v>
      </c>
    </row>
    <row r="159">
      <c r="A159" s="4" t="s">
        <v>2167</v>
      </c>
    </row>
    <row r="160">
      <c r="A160" s="4" t="s">
        <v>1352</v>
      </c>
    </row>
    <row r="161">
      <c r="A161" s="4" t="s">
        <v>2165</v>
      </c>
    </row>
    <row r="162">
      <c r="A162" s="4" t="s">
        <v>1655</v>
      </c>
    </row>
    <row r="163">
      <c r="A163" s="4" t="s">
        <v>952</v>
      </c>
    </row>
    <row r="164">
      <c r="A164" s="4" t="s">
        <v>1655</v>
      </c>
    </row>
    <row r="165">
      <c r="A165" s="4" t="s">
        <v>2166</v>
      </c>
    </row>
    <row r="166">
      <c r="A166" s="4" t="s">
        <v>2169</v>
      </c>
    </row>
    <row r="167">
      <c r="A167" s="4" t="s">
        <v>2164</v>
      </c>
    </row>
    <row r="168">
      <c r="A168" s="4" t="s">
        <v>1352</v>
      </c>
    </row>
    <row r="169">
      <c r="A169" s="4" t="s">
        <v>952</v>
      </c>
    </row>
    <row r="170">
      <c r="A170" s="4" t="s">
        <v>2165</v>
      </c>
    </row>
    <row r="171">
      <c r="A171" s="4" t="s">
        <v>1656</v>
      </c>
    </row>
    <row r="172">
      <c r="A172" s="4" t="s">
        <v>105</v>
      </c>
    </row>
    <row r="173">
      <c r="A173" s="4" t="s">
        <v>869</v>
      </c>
    </row>
    <row r="174">
      <c r="A174" s="4" t="s">
        <v>2168</v>
      </c>
    </row>
    <row r="175">
      <c r="A175" s="4" t="s">
        <v>105</v>
      </c>
    </row>
    <row r="176">
      <c r="A176" s="4" t="s">
        <v>2167</v>
      </c>
    </row>
    <row r="177">
      <c r="A177" s="4" t="s">
        <v>952</v>
      </c>
    </row>
    <row r="178">
      <c r="A178" s="4" t="s">
        <v>2160</v>
      </c>
    </row>
    <row r="179">
      <c r="A179" s="4" t="s">
        <v>2166</v>
      </c>
    </row>
    <row r="180">
      <c r="A180" s="4" t="s">
        <v>1655</v>
      </c>
    </row>
    <row r="181">
      <c r="A181" s="4" t="s">
        <v>869</v>
      </c>
    </row>
    <row r="182">
      <c r="A182" s="4" t="s">
        <v>952</v>
      </c>
    </row>
    <row r="183">
      <c r="A183" s="4" t="s">
        <v>2160</v>
      </c>
    </row>
    <row r="184">
      <c r="A184" s="4" t="s">
        <v>105</v>
      </c>
    </row>
    <row r="185">
      <c r="A185" s="4" t="s">
        <v>2163</v>
      </c>
    </row>
    <row r="186">
      <c r="A186" s="4" t="s">
        <v>2166</v>
      </c>
    </row>
    <row r="187">
      <c r="A187" s="4" t="s">
        <v>952</v>
      </c>
    </row>
    <row r="188">
      <c r="A188" s="4" t="s">
        <v>2167</v>
      </c>
    </row>
    <row r="189">
      <c r="A189" s="4" t="s">
        <v>2159</v>
      </c>
    </row>
    <row r="190">
      <c r="A190" s="4" t="s">
        <v>2158</v>
      </c>
    </row>
    <row r="191">
      <c r="A191" s="4" t="s">
        <v>2167</v>
      </c>
    </row>
    <row r="192">
      <c r="A192" s="4" t="s">
        <v>2160</v>
      </c>
    </row>
    <row r="193">
      <c r="A193" s="4" t="s">
        <v>2166</v>
      </c>
    </row>
    <row r="194">
      <c r="A194" s="4" t="s">
        <v>939</v>
      </c>
    </row>
    <row r="195">
      <c r="A195" s="4" t="s">
        <v>2166</v>
      </c>
    </row>
    <row r="196">
      <c r="A196" s="4" t="s">
        <v>1656</v>
      </c>
    </row>
    <row r="197">
      <c r="A197" s="4" t="s">
        <v>1657</v>
      </c>
    </row>
    <row r="198">
      <c r="A198" s="4" t="s">
        <v>2166</v>
      </c>
    </row>
    <row r="199">
      <c r="A199" s="4" t="s">
        <v>2165</v>
      </c>
    </row>
    <row r="200">
      <c r="A200" s="4" t="s">
        <v>2164</v>
      </c>
    </row>
    <row r="201">
      <c r="A201" s="4" t="s">
        <v>2166</v>
      </c>
    </row>
    <row r="202">
      <c r="A202" s="4" t="s">
        <v>2163</v>
      </c>
    </row>
    <row r="203">
      <c r="A203" s="4" t="s">
        <v>2162</v>
      </c>
    </row>
    <row r="204">
      <c r="A204" s="4" t="s">
        <v>939</v>
      </c>
    </row>
    <row r="205">
      <c r="A205" s="4" t="s">
        <v>1352</v>
      </c>
    </row>
    <row r="206">
      <c r="A206" s="4" t="s">
        <v>2164</v>
      </c>
    </row>
    <row r="207">
      <c r="A207" s="4" t="s">
        <v>869</v>
      </c>
    </row>
    <row r="208">
      <c r="A208" s="4" t="s">
        <v>869</v>
      </c>
    </row>
    <row r="209">
      <c r="A209" s="4" t="s">
        <v>2165</v>
      </c>
    </row>
    <row r="210">
      <c r="A210" s="4" t="s">
        <v>1656</v>
      </c>
    </row>
    <row r="211">
      <c r="A211" s="4" t="s">
        <v>2164</v>
      </c>
    </row>
    <row r="212">
      <c r="A212" s="4" t="s">
        <v>2167</v>
      </c>
    </row>
    <row r="213">
      <c r="A213" s="4" t="s">
        <v>2159</v>
      </c>
    </row>
    <row r="214">
      <c r="A214" s="4" t="s">
        <v>2168</v>
      </c>
    </row>
    <row r="215">
      <c r="A215" s="4" t="s">
        <v>2169</v>
      </c>
    </row>
    <row r="216">
      <c r="A216" s="4" t="s">
        <v>2165</v>
      </c>
    </row>
    <row r="217">
      <c r="A217" s="4" t="s">
        <v>2159</v>
      </c>
    </row>
    <row r="218">
      <c r="A218" s="4" t="s">
        <v>952</v>
      </c>
    </row>
    <row r="219">
      <c r="A219" s="4" t="s">
        <v>2167</v>
      </c>
    </row>
    <row r="220">
      <c r="A220" s="4" t="s">
        <v>2167</v>
      </c>
    </row>
    <row r="221">
      <c r="A221" s="4" t="s">
        <v>1657</v>
      </c>
    </row>
    <row r="222">
      <c r="A222" s="4" t="s">
        <v>1655</v>
      </c>
    </row>
    <row r="223">
      <c r="A223" s="4" t="s">
        <v>2158</v>
      </c>
    </row>
    <row r="224">
      <c r="A224" s="4" t="s">
        <v>2167</v>
      </c>
    </row>
    <row r="225">
      <c r="A225" s="4" t="s">
        <v>1657</v>
      </c>
    </row>
    <row r="226">
      <c r="A226" s="4" t="s">
        <v>2158</v>
      </c>
    </row>
    <row r="227">
      <c r="A227" s="4" t="s">
        <v>939</v>
      </c>
    </row>
    <row r="228">
      <c r="A228" s="4" t="s">
        <v>1655</v>
      </c>
    </row>
    <row r="229">
      <c r="A229" s="4" t="s">
        <v>2166</v>
      </c>
    </row>
    <row r="230">
      <c r="A230" s="4" t="s">
        <v>1656</v>
      </c>
    </row>
    <row r="231">
      <c r="A231" s="4" t="s">
        <v>2162</v>
      </c>
    </row>
    <row r="232">
      <c r="A232" s="4" t="s">
        <v>2167</v>
      </c>
    </row>
    <row r="233">
      <c r="A233" s="4" t="s">
        <v>2164</v>
      </c>
    </row>
    <row r="234">
      <c r="A234" s="4" t="s">
        <v>2159</v>
      </c>
    </row>
    <row r="235">
      <c r="A235" s="4" t="s">
        <v>2166</v>
      </c>
    </row>
    <row r="236">
      <c r="A236" s="4" t="s">
        <v>2166</v>
      </c>
    </row>
    <row r="237">
      <c r="A237" s="4" t="s">
        <v>1657</v>
      </c>
    </row>
    <row r="238">
      <c r="A238" s="4" t="s">
        <v>869</v>
      </c>
    </row>
    <row r="239">
      <c r="A239" s="4" t="s">
        <v>2159</v>
      </c>
    </row>
    <row r="240">
      <c r="A240" s="4" t="s">
        <v>2169</v>
      </c>
    </row>
    <row r="241">
      <c r="A241" s="4" t="s">
        <v>2169</v>
      </c>
    </row>
    <row r="242">
      <c r="A242" s="4" t="s">
        <v>2163</v>
      </c>
    </row>
    <row r="243">
      <c r="A243" s="4" t="s">
        <v>1352</v>
      </c>
    </row>
    <row r="244">
      <c r="A244" s="4" t="s">
        <v>2165</v>
      </c>
    </row>
    <row r="245">
      <c r="A245" s="4" t="s">
        <v>1657</v>
      </c>
    </row>
    <row r="246">
      <c r="A246" s="4" t="s">
        <v>2167</v>
      </c>
    </row>
    <row r="247">
      <c r="A247" s="4" t="s">
        <v>2160</v>
      </c>
    </row>
    <row r="248">
      <c r="A248" s="4" t="s">
        <v>2161</v>
      </c>
    </row>
    <row r="249">
      <c r="A249" s="4" t="s">
        <v>2158</v>
      </c>
    </row>
    <row r="250">
      <c r="A250" s="4" t="s">
        <v>2168</v>
      </c>
    </row>
    <row r="251">
      <c r="A251" s="4" t="s">
        <v>869</v>
      </c>
    </row>
    <row r="252">
      <c r="A252" s="4" t="s">
        <v>2161</v>
      </c>
    </row>
    <row r="253">
      <c r="A253" s="4" t="s">
        <v>2169</v>
      </c>
    </row>
    <row r="254">
      <c r="A254" s="4" t="s">
        <v>2160</v>
      </c>
    </row>
    <row r="255">
      <c r="A255" s="4" t="s">
        <v>2163</v>
      </c>
    </row>
    <row r="256">
      <c r="A256" s="4" t="s">
        <v>2168</v>
      </c>
    </row>
    <row r="257">
      <c r="A257" s="4" t="s">
        <v>2169</v>
      </c>
    </row>
    <row r="258">
      <c r="A258" s="4" t="s">
        <v>2168</v>
      </c>
    </row>
    <row r="259">
      <c r="A259" s="4" t="s">
        <v>2162</v>
      </c>
    </row>
    <row r="260">
      <c r="A260" s="4" t="s">
        <v>869</v>
      </c>
    </row>
    <row r="261">
      <c r="A261" s="4" t="s">
        <v>1656</v>
      </c>
    </row>
    <row r="262">
      <c r="A262" s="4" t="s">
        <v>2167</v>
      </c>
    </row>
    <row r="263">
      <c r="A263" s="4" t="s">
        <v>2158</v>
      </c>
    </row>
    <row r="264">
      <c r="A264" s="4" t="s">
        <v>2165</v>
      </c>
    </row>
    <row r="265">
      <c r="A265" s="4" t="s">
        <v>2161</v>
      </c>
    </row>
    <row r="266">
      <c r="A266" s="4" t="s">
        <v>2166</v>
      </c>
    </row>
    <row r="267">
      <c r="A267" s="4" t="s">
        <v>2160</v>
      </c>
    </row>
    <row r="268">
      <c r="A268" s="4" t="s">
        <v>2162</v>
      </c>
    </row>
    <row r="269">
      <c r="A269" s="4" t="s">
        <v>105</v>
      </c>
    </row>
    <row r="270">
      <c r="A270" s="4" t="s">
        <v>1656</v>
      </c>
    </row>
    <row r="271">
      <c r="A271" s="4" t="s">
        <v>2158</v>
      </c>
    </row>
    <row r="272">
      <c r="A272" s="4" t="s">
        <v>2166</v>
      </c>
    </row>
    <row r="273">
      <c r="A273" s="4" t="s">
        <v>105</v>
      </c>
    </row>
    <row r="274">
      <c r="A274" s="4" t="s">
        <v>2161</v>
      </c>
    </row>
    <row r="275">
      <c r="A275" s="4" t="s">
        <v>105</v>
      </c>
    </row>
    <row r="276">
      <c r="A276" s="4" t="s">
        <v>2164</v>
      </c>
    </row>
    <row r="277">
      <c r="A277" s="4" t="s">
        <v>2168</v>
      </c>
    </row>
    <row r="278">
      <c r="A278" s="4" t="s">
        <v>2163</v>
      </c>
    </row>
    <row r="279">
      <c r="A279" s="4" t="s">
        <v>2164</v>
      </c>
    </row>
    <row r="280">
      <c r="A280" s="4" t="s">
        <v>939</v>
      </c>
    </row>
    <row r="281">
      <c r="A281" s="4" t="s">
        <v>2159</v>
      </c>
    </row>
    <row r="282">
      <c r="A282" s="4" t="s">
        <v>2161</v>
      </c>
    </row>
    <row r="283">
      <c r="A283" s="4" t="s">
        <v>1656</v>
      </c>
    </row>
    <row r="284">
      <c r="A284" s="4" t="s">
        <v>2162</v>
      </c>
    </row>
    <row r="285">
      <c r="A285" s="4" t="s">
        <v>2169</v>
      </c>
    </row>
    <row r="286">
      <c r="A286" s="4" t="s">
        <v>939</v>
      </c>
    </row>
    <row r="287">
      <c r="A287" s="4" t="s">
        <v>2160</v>
      </c>
    </row>
    <row r="288">
      <c r="A288" s="4" t="s">
        <v>952</v>
      </c>
    </row>
    <row r="289">
      <c r="A289" s="4" t="s">
        <v>2163</v>
      </c>
    </row>
    <row r="290">
      <c r="A290" s="4" t="s">
        <v>939</v>
      </c>
    </row>
    <row r="291">
      <c r="A291" s="4" t="s">
        <v>952</v>
      </c>
    </row>
    <row r="292">
      <c r="A292" s="4" t="s">
        <v>2166</v>
      </c>
    </row>
    <row r="293">
      <c r="A293" s="4" t="s">
        <v>2162</v>
      </c>
    </row>
    <row r="294">
      <c r="A294" s="4" t="s">
        <v>2164</v>
      </c>
    </row>
    <row r="295">
      <c r="A295" s="4" t="s">
        <v>2164</v>
      </c>
    </row>
    <row r="296">
      <c r="A296" s="4" t="s">
        <v>2158</v>
      </c>
    </row>
    <row r="297">
      <c r="A297" s="4" t="s">
        <v>2165</v>
      </c>
    </row>
    <row r="298">
      <c r="A298" s="4" t="s">
        <v>939</v>
      </c>
    </row>
    <row r="299">
      <c r="A299" s="4" t="s">
        <v>2158</v>
      </c>
    </row>
    <row r="300">
      <c r="A300" s="4" t="s">
        <v>1352</v>
      </c>
    </row>
    <row r="301">
      <c r="A301" s="4" t="s">
        <v>1657</v>
      </c>
    </row>
    <row r="302">
      <c r="A302" s="4" t="s">
        <v>2167</v>
      </c>
    </row>
    <row r="303">
      <c r="A303" s="4" t="s">
        <v>1655</v>
      </c>
    </row>
    <row r="304">
      <c r="A304" s="4" t="s">
        <v>2159</v>
      </c>
    </row>
    <row r="305">
      <c r="A305" s="4" t="s">
        <v>2159</v>
      </c>
    </row>
    <row r="306">
      <c r="A306" s="4" t="s">
        <v>869</v>
      </c>
    </row>
    <row r="307">
      <c r="A307" s="4" t="s">
        <v>2162</v>
      </c>
    </row>
    <row r="308">
      <c r="A308" s="4" t="s">
        <v>939</v>
      </c>
    </row>
    <row r="309">
      <c r="A309" s="4" t="s">
        <v>2161</v>
      </c>
    </row>
    <row r="310">
      <c r="A310" s="4" t="s">
        <v>2165</v>
      </c>
    </row>
    <row r="311">
      <c r="A311" s="4" t="s">
        <v>2159</v>
      </c>
    </row>
    <row r="312">
      <c r="A312" s="4" t="s">
        <v>2158</v>
      </c>
    </row>
    <row r="313">
      <c r="A313" s="4" t="s">
        <v>2164</v>
      </c>
    </row>
    <row r="314">
      <c r="A314" s="4" t="s">
        <v>2164</v>
      </c>
    </row>
    <row r="315">
      <c r="A315" s="4" t="s">
        <v>952</v>
      </c>
    </row>
    <row r="316">
      <c r="A316" s="4" t="s">
        <v>2160</v>
      </c>
    </row>
    <row r="317">
      <c r="A317" s="4" t="s">
        <v>2164</v>
      </c>
    </row>
    <row r="318">
      <c r="A318" s="4" t="s">
        <v>952</v>
      </c>
    </row>
    <row r="319">
      <c r="A319" s="4" t="s">
        <v>1656</v>
      </c>
    </row>
    <row r="320">
      <c r="A320" s="4" t="s">
        <v>2159</v>
      </c>
    </row>
    <row r="321">
      <c r="A321" s="4" t="s">
        <v>2160</v>
      </c>
    </row>
    <row r="322">
      <c r="A322" s="4" t="s">
        <v>2168</v>
      </c>
    </row>
    <row r="323">
      <c r="A323" s="4" t="s">
        <v>2165</v>
      </c>
    </row>
    <row r="324">
      <c r="A324" s="4" t="s">
        <v>1656</v>
      </c>
    </row>
    <row r="325">
      <c r="A325" s="4" t="s">
        <v>1656</v>
      </c>
    </row>
    <row r="326">
      <c r="A326" s="4" t="s">
        <v>2166</v>
      </c>
    </row>
    <row r="327">
      <c r="A327" s="4" t="s">
        <v>1655</v>
      </c>
    </row>
    <row r="328">
      <c r="A328" s="4" t="s">
        <v>2167</v>
      </c>
    </row>
    <row r="329">
      <c r="A329" s="4" t="s">
        <v>2168</v>
      </c>
    </row>
    <row r="330">
      <c r="A330" s="4" t="s">
        <v>1352</v>
      </c>
    </row>
    <row r="331">
      <c r="A331" s="4" t="s">
        <v>2166</v>
      </c>
    </row>
    <row r="332">
      <c r="A332" s="4" t="s">
        <v>2165</v>
      </c>
    </row>
    <row r="333">
      <c r="A333" s="4" t="s">
        <v>105</v>
      </c>
    </row>
    <row r="334">
      <c r="A334" s="4" t="s">
        <v>2159</v>
      </c>
    </row>
    <row r="335">
      <c r="A335" s="4" t="s">
        <v>2158</v>
      </c>
    </row>
    <row r="336">
      <c r="A336" s="4" t="s">
        <v>2162</v>
      </c>
    </row>
    <row r="337">
      <c r="A337" s="4" t="s">
        <v>2165</v>
      </c>
    </row>
    <row r="338">
      <c r="A338" s="4" t="s">
        <v>952</v>
      </c>
    </row>
    <row r="339">
      <c r="A339" s="4" t="s">
        <v>2164</v>
      </c>
    </row>
    <row r="340">
      <c r="A340" s="4" t="s">
        <v>952</v>
      </c>
    </row>
    <row r="341">
      <c r="A341" s="4" t="s">
        <v>1352</v>
      </c>
    </row>
    <row r="342">
      <c r="A342" s="4" t="s">
        <v>2161</v>
      </c>
    </row>
    <row r="343">
      <c r="A343" s="4" t="s">
        <v>952</v>
      </c>
    </row>
    <row r="344">
      <c r="A344" s="4" t="s">
        <v>2160</v>
      </c>
    </row>
    <row r="345">
      <c r="A345" s="4" t="s">
        <v>1657</v>
      </c>
    </row>
    <row r="346">
      <c r="A346" s="4" t="s">
        <v>2158</v>
      </c>
    </row>
    <row r="347">
      <c r="A347" s="4" t="s">
        <v>2164</v>
      </c>
    </row>
    <row r="348">
      <c r="A348" s="4" t="s">
        <v>2163</v>
      </c>
    </row>
    <row r="349">
      <c r="A349" s="4" t="s">
        <v>952</v>
      </c>
    </row>
    <row r="350">
      <c r="A350" s="4" t="s">
        <v>939</v>
      </c>
    </row>
    <row r="351">
      <c r="A351" s="4" t="s">
        <v>1655</v>
      </c>
    </row>
    <row r="352">
      <c r="A352" s="4" t="s">
        <v>2166</v>
      </c>
    </row>
    <row r="353">
      <c r="A353" s="4" t="s">
        <v>2168</v>
      </c>
    </row>
    <row r="354">
      <c r="A354" s="4" t="s">
        <v>2161</v>
      </c>
    </row>
    <row r="355">
      <c r="A355" s="4" t="s">
        <v>2167</v>
      </c>
    </row>
    <row r="356">
      <c r="A356" s="4" t="s">
        <v>1656</v>
      </c>
    </row>
    <row r="357">
      <c r="A357" s="4" t="s">
        <v>1655</v>
      </c>
    </row>
    <row r="358">
      <c r="A358" s="4" t="s">
        <v>1655</v>
      </c>
    </row>
    <row r="359">
      <c r="A359" s="4" t="s">
        <v>1352</v>
      </c>
    </row>
    <row r="360">
      <c r="A360" s="4" t="s">
        <v>2167</v>
      </c>
    </row>
    <row r="361">
      <c r="A361" s="4" t="s">
        <v>1655</v>
      </c>
    </row>
    <row r="362">
      <c r="A362" s="4" t="s">
        <v>2162</v>
      </c>
    </row>
    <row r="363">
      <c r="A363" s="4" t="s">
        <v>2159</v>
      </c>
    </row>
    <row r="364">
      <c r="A364" s="4" t="s">
        <v>2161</v>
      </c>
    </row>
    <row r="365">
      <c r="A365" s="4" t="s">
        <v>939</v>
      </c>
    </row>
    <row r="366">
      <c r="A366" s="4" t="s">
        <v>105</v>
      </c>
    </row>
    <row r="367">
      <c r="A367" s="4" t="s">
        <v>869</v>
      </c>
    </row>
    <row r="368">
      <c r="A368" s="4" t="s">
        <v>2166</v>
      </c>
    </row>
    <row r="369">
      <c r="A369" s="4" t="s">
        <v>2169</v>
      </c>
    </row>
    <row r="370">
      <c r="A370" s="4" t="s">
        <v>2167</v>
      </c>
    </row>
    <row r="371">
      <c r="A371" s="4" t="s">
        <v>105</v>
      </c>
    </row>
    <row r="372">
      <c r="A372" s="4" t="s">
        <v>939</v>
      </c>
    </row>
    <row r="373">
      <c r="A373" s="4" t="s">
        <v>2159</v>
      </c>
    </row>
    <row r="374">
      <c r="A374" s="4" t="s">
        <v>1352</v>
      </c>
    </row>
    <row r="375">
      <c r="A375" s="4" t="s">
        <v>2165</v>
      </c>
    </row>
    <row r="376">
      <c r="A376" s="4" t="s">
        <v>1655</v>
      </c>
    </row>
    <row r="377">
      <c r="A377" s="4" t="s">
        <v>2163</v>
      </c>
    </row>
    <row r="378">
      <c r="A378" s="4" t="s">
        <v>869</v>
      </c>
    </row>
    <row r="379">
      <c r="A379" s="4" t="s">
        <v>2160</v>
      </c>
    </row>
    <row r="380">
      <c r="A380" s="4" t="s">
        <v>1655</v>
      </c>
    </row>
    <row r="381">
      <c r="A381" s="4" t="s">
        <v>2159</v>
      </c>
    </row>
    <row r="382">
      <c r="A382" s="4" t="s">
        <v>1352</v>
      </c>
    </row>
    <row r="383">
      <c r="A383" s="4" t="s">
        <v>1657</v>
      </c>
    </row>
    <row r="384">
      <c r="A384" s="4" t="s">
        <v>1656</v>
      </c>
    </row>
    <row r="385">
      <c r="A385" s="4" t="s">
        <v>2165</v>
      </c>
    </row>
    <row r="386">
      <c r="A386" s="4" t="s">
        <v>1657</v>
      </c>
    </row>
    <row r="387">
      <c r="A387" s="4" t="s">
        <v>2159</v>
      </c>
    </row>
    <row r="388">
      <c r="A388" s="4" t="s">
        <v>2165</v>
      </c>
    </row>
    <row r="389">
      <c r="A389" s="4" t="s">
        <v>2163</v>
      </c>
    </row>
    <row r="390">
      <c r="A390" s="4" t="s">
        <v>2158</v>
      </c>
    </row>
    <row r="391">
      <c r="A391" s="4" t="s">
        <v>2168</v>
      </c>
    </row>
    <row r="392">
      <c r="A392" s="4" t="s">
        <v>2166</v>
      </c>
    </row>
    <row r="393">
      <c r="A393" s="4" t="s">
        <v>2168</v>
      </c>
    </row>
    <row r="394">
      <c r="A394" s="4" t="s">
        <v>1656</v>
      </c>
    </row>
    <row r="395">
      <c r="A395" s="4" t="s">
        <v>2166</v>
      </c>
    </row>
    <row r="396">
      <c r="A396" s="4" t="s">
        <v>2167</v>
      </c>
    </row>
    <row r="397">
      <c r="A397" s="4" t="s">
        <v>2164</v>
      </c>
    </row>
    <row r="398">
      <c r="A398" s="4" t="s">
        <v>105</v>
      </c>
    </row>
    <row r="399">
      <c r="A399" s="4" t="s">
        <v>2165</v>
      </c>
    </row>
    <row r="400">
      <c r="A400" s="4" t="s">
        <v>2164</v>
      </c>
    </row>
    <row r="401">
      <c r="A401" s="4" t="s">
        <v>2159</v>
      </c>
    </row>
    <row r="402">
      <c r="A402" s="4" t="s">
        <v>869</v>
      </c>
    </row>
    <row r="403">
      <c r="A403" s="4" t="s">
        <v>939</v>
      </c>
    </row>
    <row r="404">
      <c r="A404" s="4" t="s">
        <v>2168</v>
      </c>
    </row>
    <row r="405">
      <c r="A405" s="4" t="s">
        <v>1657</v>
      </c>
    </row>
    <row r="406">
      <c r="A406" s="4" t="s">
        <v>2167</v>
      </c>
    </row>
    <row r="407">
      <c r="A407" s="4" t="s">
        <v>952</v>
      </c>
    </row>
    <row r="408">
      <c r="A408" s="4" t="s">
        <v>2159</v>
      </c>
    </row>
    <row r="409">
      <c r="A409" s="4" t="s">
        <v>2161</v>
      </c>
    </row>
    <row r="410">
      <c r="A410" s="4" t="s">
        <v>1352</v>
      </c>
    </row>
    <row r="411">
      <c r="A411" s="4" t="s">
        <v>105</v>
      </c>
    </row>
    <row r="412">
      <c r="A412" s="4" t="s">
        <v>2160</v>
      </c>
    </row>
    <row r="413">
      <c r="A413" s="4" t="s">
        <v>2168</v>
      </c>
    </row>
    <row r="414">
      <c r="A414" s="4" t="s">
        <v>105</v>
      </c>
    </row>
    <row r="415">
      <c r="A415" s="4" t="s">
        <v>1657</v>
      </c>
    </row>
    <row r="416">
      <c r="A416" s="4" t="s">
        <v>952</v>
      </c>
    </row>
    <row r="417">
      <c r="A417" s="4" t="s">
        <v>1656</v>
      </c>
    </row>
    <row r="418">
      <c r="A418" s="4" t="s">
        <v>2158</v>
      </c>
    </row>
    <row r="419">
      <c r="A419" s="4" t="s">
        <v>2167</v>
      </c>
    </row>
    <row r="420">
      <c r="A420" s="4" t="s">
        <v>2159</v>
      </c>
    </row>
    <row r="421">
      <c r="A421" s="4" t="s">
        <v>2163</v>
      </c>
    </row>
    <row r="422">
      <c r="A422" s="4" t="s">
        <v>2158</v>
      </c>
    </row>
    <row r="423">
      <c r="A423" s="4" t="s">
        <v>2163</v>
      </c>
    </row>
    <row r="424">
      <c r="A424" s="4" t="s">
        <v>2169</v>
      </c>
    </row>
    <row r="425">
      <c r="A425" s="4" t="s">
        <v>2169</v>
      </c>
    </row>
    <row r="426">
      <c r="A426" s="4" t="s">
        <v>2158</v>
      </c>
    </row>
    <row r="427">
      <c r="A427" s="4" t="s">
        <v>1656</v>
      </c>
    </row>
    <row r="428">
      <c r="A428" s="4" t="s">
        <v>2167</v>
      </c>
    </row>
    <row r="429">
      <c r="A429" s="4" t="s">
        <v>1656</v>
      </c>
    </row>
    <row r="430">
      <c r="A430" s="4" t="s">
        <v>2164</v>
      </c>
    </row>
    <row r="431">
      <c r="A431" s="4" t="s">
        <v>2167</v>
      </c>
    </row>
    <row r="432">
      <c r="A432" s="4" t="s">
        <v>2163</v>
      </c>
    </row>
    <row r="433">
      <c r="A433" s="4" t="s">
        <v>2169</v>
      </c>
    </row>
    <row r="434">
      <c r="A434" s="4" t="s">
        <v>1352</v>
      </c>
    </row>
    <row r="435">
      <c r="A435" s="4" t="s">
        <v>105</v>
      </c>
    </row>
    <row r="436">
      <c r="A436" s="4" t="s">
        <v>2162</v>
      </c>
    </row>
    <row r="437">
      <c r="A437" s="4" t="s">
        <v>2160</v>
      </c>
    </row>
    <row r="438">
      <c r="A438" s="4" t="s">
        <v>2166</v>
      </c>
    </row>
    <row r="439">
      <c r="A439" s="4" t="s">
        <v>1352</v>
      </c>
    </row>
    <row r="440">
      <c r="A440" s="4" t="s">
        <v>2169</v>
      </c>
    </row>
    <row r="441">
      <c r="A441" s="4" t="s">
        <v>939</v>
      </c>
    </row>
    <row r="442">
      <c r="A442" s="4" t="s">
        <v>1352</v>
      </c>
    </row>
    <row r="443">
      <c r="A443" s="4" t="s">
        <v>939</v>
      </c>
    </row>
    <row r="444">
      <c r="A444" s="4" t="s">
        <v>105</v>
      </c>
    </row>
    <row r="445">
      <c r="A445" s="4" t="s">
        <v>1655</v>
      </c>
    </row>
    <row r="446">
      <c r="A446" s="4" t="s">
        <v>2161</v>
      </c>
    </row>
    <row r="447">
      <c r="A447" s="4" t="s">
        <v>2168</v>
      </c>
    </row>
    <row r="448">
      <c r="A448" s="4" t="s">
        <v>1352</v>
      </c>
    </row>
    <row r="449">
      <c r="A449" s="4" t="s">
        <v>2158</v>
      </c>
    </row>
    <row r="450">
      <c r="A450" s="4" t="s">
        <v>2165</v>
      </c>
    </row>
    <row r="451">
      <c r="A451" s="4" t="s">
        <v>939</v>
      </c>
    </row>
    <row r="452">
      <c r="A452" s="4" t="s">
        <v>2158</v>
      </c>
    </row>
    <row r="453">
      <c r="A453" s="4" t="s">
        <v>2158</v>
      </c>
    </row>
    <row r="454">
      <c r="A454" s="4" t="s">
        <v>869</v>
      </c>
    </row>
    <row r="455">
      <c r="A455" s="4" t="s">
        <v>105</v>
      </c>
    </row>
    <row r="456">
      <c r="A456" s="4" t="s">
        <v>939</v>
      </c>
    </row>
    <row r="457">
      <c r="A457" s="4" t="s">
        <v>2166</v>
      </c>
    </row>
    <row r="458">
      <c r="A458" s="4" t="s">
        <v>1655</v>
      </c>
    </row>
    <row r="459">
      <c r="A459" s="4" t="s">
        <v>2163</v>
      </c>
    </row>
    <row r="460">
      <c r="A460" s="4" t="s">
        <v>1657</v>
      </c>
    </row>
    <row r="461">
      <c r="A461" s="4" t="s">
        <v>869</v>
      </c>
    </row>
    <row r="462">
      <c r="A462" s="4" t="s">
        <v>2169</v>
      </c>
    </row>
    <row r="463">
      <c r="A463" s="4" t="s">
        <v>2161</v>
      </c>
    </row>
    <row r="464">
      <c r="A464" s="4" t="s">
        <v>2163</v>
      </c>
    </row>
    <row r="465">
      <c r="A465" s="4" t="s">
        <v>2158</v>
      </c>
    </row>
    <row r="466">
      <c r="A466" s="4" t="s">
        <v>2164</v>
      </c>
    </row>
    <row r="467">
      <c r="A467" s="4" t="s">
        <v>105</v>
      </c>
    </row>
    <row r="468">
      <c r="A468" s="4" t="s">
        <v>869</v>
      </c>
    </row>
    <row r="469">
      <c r="A469" s="4" t="s">
        <v>1655</v>
      </c>
    </row>
    <row r="470">
      <c r="A470" s="4" t="s">
        <v>105</v>
      </c>
    </row>
    <row r="471">
      <c r="A471" s="4" t="s">
        <v>2159</v>
      </c>
    </row>
    <row r="472">
      <c r="A472" s="4" t="s">
        <v>952</v>
      </c>
    </row>
    <row r="473">
      <c r="A473" s="4" t="s">
        <v>2158</v>
      </c>
    </row>
    <row r="474">
      <c r="A474" s="4" t="s">
        <v>2165</v>
      </c>
    </row>
    <row r="475">
      <c r="A475" s="4" t="s">
        <v>952</v>
      </c>
    </row>
    <row r="476">
      <c r="A476" s="4" t="s">
        <v>1656</v>
      </c>
    </row>
    <row r="477">
      <c r="A477" s="4" t="s">
        <v>1352</v>
      </c>
    </row>
    <row r="478">
      <c r="A478" s="4" t="s">
        <v>1657</v>
      </c>
    </row>
    <row r="479">
      <c r="A479" s="4" t="s">
        <v>2168</v>
      </c>
    </row>
    <row r="480">
      <c r="A480" s="4" t="s">
        <v>2169</v>
      </c>
    </row>
    <row r="481">
      <c r="A481" s="4" t="s">
        <v>1352</v>
      </c>
    </row>
    <row r="482">
      <c r="A482" s="4" t="s">
        <v>2161</v>
      </c>
    </row>
    <row r="483">
      <c r="A483" s="4" t="s">
        <v>1655</v>
      </c>
    </row>
    <row r="484">
      <c r="A484" s="4" t="s">
        <v>869</v>
      </c>
    </row>
    <row r="485">
      <c r="A485" s="4" t="s">
        <v>2169</v>
      </c>
    </row>
    <row r="486">
      <c r="A486" s="4" t="s">
        <v>939</v>
      </c>
    </row>
    <row r="487">
      <c r="A487" s="4" t="s">
        <v>105</v>
      </c>
    </row>
    <row r="488">
      <c r="A488" s="4" t="s">
        <v>2167</v>
      </c>
    </row>
    <row r="489">
      <c r="A489" s="4" t="s">
        <v>2159</v>
      </c>
    </row>
    <row r="490">
      <c r="A490" s="4" t="s">
        <v>2166</v>
      </c>
    </row>
    <row r="491">
      <c r="A491" s="4" t="s">
        <v>1352</v>
      </c>
    </row>
    <row r="492">
      <c r="A492" s="4" t="s">
        <v>2160</v>
      </c>
    </row>
    <row r="493">
      <c r="A493" s="4" t="s">
        <v>1655</v>
      </c>
    </row>
    <row r="494">
      <c r="A494" s="4" t="s">
        <v>2162</v>
      </c>
    </row>
    <row r="495">
      <c r="A495" s="4" t="s">
        <v>1352</v>
      </c>
    </row>
    <row r="496">
      <c r="A496" s="4" t="s">
        <v>1352</v>
      </c>
    </row>
    <row r="497">
      <c r="A497" s="4" t="s">
        <v>2161</v>
      </c>
    </row>
    <row r="498">
      <c r="A498" s="4" t="s">
        <v>2167</v>
      </c>
    </row>
    <row r="499">
      <c r="A499" s="4" t="s">
        <v>1657</v>
      </c>
    </row>
    <row r="500">
      <c r="A500" s="4" t="s">
        <v>105</v>
      </c>
    </row>
    <row r="501">
      <c r="A501" s="4" t="s">
        <v>2161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29.13"/>
    <col customWidth="1" min="6" max="7" width="21.38"/>
    <col customWidth="1" min="8" max="8" width="8.75"/>
    <col customWidth="1" min="16" max="16" width="20.63"/>
  </cols>
  <sheetData>
    <row r="1">
      <c r="A1" s="4"/>
      <c r="B1" s="4"/>
      <c r="C1" s="4" t="s">
        <v>2170</v>
      </c>
      <c r="D1" s="5" t="s">
        <v>172</v>
      </c>
      <c r="E1" s="4" t="s">
        <v>5</v>
      </c>
      <c r="F1" s="14" t="s">
        <v>171</v>
      </c>
      <c r="G1" s="5" t="s">
        <v>172</v>
      </c>
      <c r="H1" s="5" t="s">
        <v>7</v>
      </c>
      <c r="I1" s="5" t="s">
        <v>9</v>
      </c>
      <c r="P1" s="6" t="s">
        <v>1655</v>
      </c>
      <c r="Q1" s="10">
        <v>27.0</v>
      </c>
    </row>
    <row r="2">
      <c r="A2" s="4"/>
      <c r="B2" s="4"/>
      <c r="C2" s="4" t="s">
        <v>1693</v>
      </c>
      <c r="D2" s="6" t="str">
        <f t="shared" ref="D2:D501" si="1">C2</f>
        <v>{"valorA":"microondas","valorB":1}</v>
      </c>
      <c r="E2" s="8" t="str">
        <f t="shared" ref="E2:E501" si="2">SUBSTITUTE(MID(C2,FIND(":",C2)+1,FIND(",",C2)-FIND(":",C2)-1),"""","")</f>
        <v>microondas</v>
      </c>
      <c r="F2" s="8" t="str">
        <f>IFERROR(__xludf.DUMMYFUNCTION("UNIQUE(E2:E501)"),"microondas")</f>
        <v>microondas</v>
      </c>
      <c r="G2" s="15" t="str">
        <f t="shared" ref="G2:G501" si="3">MID(C2,FIND("valorB",C2)+8,FIND("}",C2)-FIND("valorB",C2)-8)</f>
        <v>1</v>
      </c>
      <c r="H2" s="9">
        <f t="shared" ref="H2:H501" si="4">VALUE(SUBSTITUTE(G2,".",","))</f>
        <v>1</v>
      </c>
      <c r="I2" s="10">
        <f>IFERROR(__xludf.DUMMYFUNCTION("MAX(FILTER($H$2:$H501,$E$2:$E501=F2))"),24.0)</f>
        <v>24</v>
      </c>
      <c r="P2" s="6" t="s">
        <v>1352</v>
      </c>
      <c r="Q2" s="10">
        <v>31.0</v>
      </c>
    </row>
    <row r="3">
      <c r="A3" s="4"/>
      <c r="B3" s="4"/>
      <c r="C3" s="4" t="s">
        <v>2171</v>
      </c>
      <c r="D3" s="6" t="str">
        <f t="shared" si="1"/>
        <v>{"valorA":"celular","valorB":1}</v>
      </c>
      <c r="E3" s="8" t="str">
        <f t="shared" si="2"/>
        <v>celular</v>
      </c>
      <c r="F3" s="8" t="str">
        <f>IFERROR(__xludf.DUMMYFUNCTION("""COMPUTED_VALUE"""),"celular")</f>
        <v>celular</v>
      </c>
      <c r="G3" s="15" t="str">
        <f t="shared" si="3"/>
        <v>1</v>
      </c>
      <c r="H3" s="9">
        <f t="shared" si="4"/>
        <v>1</v>
      </c>
      <c r="I3" s="10">
        <f>IFERROR(__xludf.DUMMYFUNCTION("MAX(FILTER($H$2:$H501,$E$2:$E501=F3))"),20.0)</f>
        <v>20</v>
      </c>
      <c r="P3" s="6" t="s">
        <v>2162</v>
      </c>
      <c r="Q3" s="10">
        <v>18.0</v>
      </c>
    </row>
    <row r="4">
      <c r="A4" s="4"/>
      <c r="B4" s="4"/>
      <c r="C4" s="4" t="s">
        <v>2172</v>
      </c>
      <c r="D4" s="6" t="str">
        <f t="shared" si="1"/>
        <v>{"valorA":"ventilador","valorB":1}</v>
      </c>
      <c r="E4" s="8" t="str">
        <f t="shared" si="2"/>
        <v>ventilador</v>
      </c>
      <c r="F4" s="8" t="str">
        <f>IFERROR(__xludf.DUMMYFUNCTION("""COMPUTED_VALUE"""),"ventilador")</f>
        <v>ventilador</v>
      </c>
      <c r="G4" s="15" t="str">
        <f t="shared" si="3"/>
        <v>1</v>
      </c>
      <c r="H4" s="9">
        <f t="shared" si="4"/>
        <v>1</v>
      </c>
      <c r="I4" s="10">
        <f>IFERROR(__xludf.DUMMYFUNCTION("MAX(FILTER($H$2:$H501,$E$2:$E501=F4))"),28.0)</f>
        <v>28</v>
      </c>
      <c r="P4" s="6" t="s">
        <v>2164</v>
      </c>
      <c r="Q4" s="10">
        <v>25.0</v>
      </c>
    </row>
    <row r="5">
      <c r="A5" s="4"/>
      <c r="B5" s="4"/>
      <c r="C5" s="4" t="s">
        <v>1658</v>
      </c>
      <c r="D5" s="6" t="str">
        <f t="shared" si="1"/>
        <v>{"valorA":"ar condicionado","valorB":1}</v>
      </c>
      <c r="E5" s="8" t="str">
        <f t="shared" si="2"/>
        <v>ar condicionado</v>
      </c>
      <c r="F5" s="8" t="str">
        <f>IFERROR(__xludf.DUMMYFUNCTION("""COMPUTED_VALUE"""),"ar condicionado")</f>
        <v>ar condicionado</v>
      </c>
      <c r="G5" s="15" t="str">
        <f t="shared" si="3"/>
        <v>1</v>
      </c>
      <c r="H5" s="9">
        <f t="shared" si="4"/>
        <v>1</v>
      </c>
      <c r="I5" s="10">
        <f>IFERROR(__xludf.DUMMYFUNCTION("MAX(FILTER($H$2:$H501,$E$2:$E501=F5))"),27.0)</f>
        <v>27</v>
      </c>
      <c r="P5" s="6" t="s">
        <v>869</v>
      </c>
      <c r="Q5" s="10">
        <v>20.0</v>
      </c>
    </row>
    <row r="6">
      <c r="A6" s="4"/>
      <c r="B6" s="4"/>
      <c r="C6" s="4" t="s">
        <v>2173</v>
      </c>
      <c r="D6" s="6" t="str">
        <f t="shared" si="1"/>
        <v>{"valorA":"ventilador","valorB":2}</v>
      </c>
      <c r="E6" s="8" t="str">
        <f t="shared" si="2"/>
        <v>ventilador</v>
      </c>
      <c r="F6" s="8" t="str">
        <f>IFERROR(__xludf.DUMMYFUNCTION("""COMPUTED_VALUE"""),"chuveiro elétrico")</f>
        <v>chuveiro elétrico</v>
      </c>
      <c r="G6" s="15" t="str">
        <f t="shared" si="3"/>
        <v>2</v>
      </c>
      <c r="H6" s="9">
        <f t="shared" si="4"/>
        <v>2</v>
      </c>
      <c r="I6" s="10">
        <f>IFERROR(__xludf.DUMMYFUNCTION("MAX(FILTER($H$2:$H501,$E$2:$E501=F6))"),33.0)</f>
        <v>33</v>
      </c>
      <c r="P6" s="6" t="s">
        <v>2158</v>
      </c>
      <c r="Q6" s="10">
        <v>33.0</v>
      </c>
    </row>
    <row r="7">
      <c r="A7" s="4"/>
      <c r="B7" s="4"/>
      <c r="C7" s="4" t="s">
        <v>2174</v>
      </c>
      <c r="D7" s="6" t="str">
        <f t="shared" si="1"/>
        <v>{"valorA":"chuveiro elétrico","valorB":1}</v>
      </c>
      <c r="E7" s="8" t="str">
        <f t="shared" si="2"/>
        <v>chuveiro elétrico</v>
      </c>
      <c r="F7" s="8" t="str">
        <f>IFERROR(__xludf.DUMMYFUNCTION("""COMPUTED_VALUE"""),"fogão")</f>
        <v>fogão</v>
      </c>
      <c r="G7" s="15" t="str">
        <f t="shared" si="3"/>
        <v>1</v>
      </c>
      <c r="H7" s="9">
        <f t="shared" si="4"/>
        <v>1</v>
      </c>
      <c r="I7" s="10">
        <f>IFERROR(__xludf.DUMMYFUNCTION("MAX(FILTER($H$2:$H501,$E$2:$E501=F7))"),25.0)</f>
        <v>25</v>
      </c>
      <c r="P7" s="6" t="s">
        <v>939</v>
      </c>
      <c r="Q7" s="10">
        <v>27.0</v>
      </c>
    </row>
    <row r="8">
      <c r="A8" s="4"/>
      <c r="B8" s="4"/>
      <c r="C8" s="4" t="s">
        <v>2175</v>
      </c>
      <c r="D8" s="6" t="str">
        <f t="shared" si="1"/>
        <v>{"valorA":"fogão","valorB":1}</v>
      </c>
      <c r="E8" s="8" t="str">
        <f t="shared" si="2"/>
        <v>fogão</v>
      </c>
      <c r="F8" s="8" t="str">
        <f>IFERROR(__xludf.DUMMYFUNCTION("""COMPUTED_VALUE"""),"fone de ouvido")</f>
        <v>fone de ouvido</v>
      </c>
      <c r="G8" s="15" t="str">
        <f t="shared" si="3"/>
        <v>1</v>
      </c>
      <c r="H8" s="9">
        <f t="shared" si="4"/>
        <v>1</v>
      </c>
      <c r="I8" s="10">
        <f>IFERROR(__xludf.DUMMYFUNCTION("MAX(FILTER($H$2:$H501,$E$2:$E501=F8))"),24.0)</f>
        <v>24</v>
      </c>
      <c r="P8" s="6" t="s">
        <v>2165</v>
      </c>
      <c r="Q8" s="10">
        <v>25.0</v>
      </c>
    </row>
    <row r="9">
      <c r="A9" s="4"/>
      <c r="B9" s="4"/>
      <c r="C9" s="4" t="s">
        <v>2176</v>
      </c>
      <c r="D9" s="6" t="str">
        <f t="shared" si="1"/>
        <v>{"valorA":"fone de ouvido","valorB":1}</v>
      </c>
      <c r="E9" s="8" t="str">
        <f t="shared" si="2"/>
        <v>fone de ouvido</v>
      </c>
      <c r="F9" s="8" t="str">
        <f>IFERROR(__xludf.DUMMYFUNCTION("""COMPUTED_VALUE"""),"relógio")</f>
        <v>relógio</v>
      </c>
      <c r="G9" s="15" t="str">
        <f t="shared" si="3"/>
        <v>1</v>
      </c>
      <c r="H9" s="9">
        <f t="shared" si="4"/>
        <v>1</v>
      </c>
      <c r="I9" s="10">
        <f>IFERROR(__xludf.DUMMYFUNCTION("MAX(FILTER($H$2:$H501,$E$2:$E501=F9))"),28.0)</f>
        <v>28</v>
      </c>
      <c r="K9" s="8"/>
      <c r="L9" s="9"/>
      <c r="P9" s="6" t="s">
        <v>952</v>
      </c>
      <c r="Q9" s="10">
        <v>25.0</v>
      </c>
    </row>
    <row r="10">
      <c r="A10" s="4"/>
      <c r="B10" s="4"/>
      <c r="C10" s="4" t="s">
        <v>2177</v>
      </c>
      <c r="D10" s="6" t="str">
        <f t="shared" si="1"/>
        <v>{"valorA":"relógio","valorB":1}</v>
      </c>
      <c r="E10" s="8" t="str">
        <f t="shared" si="2"/>
        <v>relógio</v>
      </c>
      <c r="F10" s="8" t="str">
        <f>IFERROR(__xludf.DUMMYFUNCTION("""COMPUTED_VALUE"""),"liquidificador")</f>
        <v>liquidificador</v>
      </c>
      <c r="G10" s="15" t="str">
        <f t="shared" si="3"/>
        <v>1</v>
      </c>
      <c r="H10" s="9">
        <f t="shared" si="4"/>
        <v>1</v>
      </c>
      <c r="I10" s="10">
        <f>IFERROR(__xludf.DUMMYFUNCTION("MAX(FILTER($H$2:$H501,$E$2:$E501=F10))"),25.0)</f>
        <v>25</v>
      </c>
      <c r="K10" s="8"/>
      <c r="L10" s="9"/>
      <c r="P10" s="6" t="s">
        <v>2161</v>
      </c>
      <c r="Q10" s="10">
        <v>24.0</v>
      </c>
    </row>
    <row r="11">
      <c r="A11" s="4"/>
      <c r="B11" s="4"/>
      <c r="C11" s="4" t="s">
        <v>2178</v>
      </c>
      <c r="D11" s="6" t="str">
        <f t="shared" si="1"/>
        <v>{"valorA":"liquidificador","valorB":1}</v>
      </c>
      <c r="E11" s="8" t="str">
        <f t="shared" si="2"/>
        <v>liquidificador</v>
      </c>
      <c r="F11" s="8" t="str">
        <f>IFERROR(__xludf.DUMMYFUNCTION("""COMPUTED_VALUE"""),"computador")</f>
        <v>computador</v>
      </c>
      <c r="G11" s="15" t="str">
        <f t="shared" si="3"/>
        <v>1</v>
      </c>
      <c r="H11" s="9">
        <f t="shared" si="4"/>
        <v>1</v>
      </c>
      <c r="I11" s="10">
        <f>IFERROR(__xludf.DUMMYFUNCTION("MAX(FILTER($H$2:$H501,$E$2:$E501=F11))"),27.0)</f>
        <v>27</v>
      </c>
      <c r="P11" s="6" t="s">
        <v>1657</v>
      </c>
      <c r="Q11" s="10">
        <v>22.0</v>
      </c>
    </row>
    <row r="12">
      <c r="A12" s="4"/>
      <c r="B12" s="4"/>
      <c r="C12" s="4" t="s">
        <v>2179</v>
      </c>
      <c r="D12" s="6" t="str">
        <f t="shared" si="1"/>
        <v>{"valorA":"chuveiro elétrico","valorB":2}</v>
      </c>
      <c r="E12" s="8" t="str">
        <f t="shared" si="2"/>
        <v>chuveiro elétrico</v>
      </c>
      <c r="F12" s="8" t="str">
        <f>IFERROR(__xludf.DUMMYFUNCTION("""COMPUTED_VALUE"""),"freezer")</f>
        <v>freezer</v>
      </c>
      <c r="G12" s="15" t="str">
        <f t="shared" si="3"/>
        <v>2</v>
      </c>
      <c r="H12" s="9">
        <f t="shared" si="4"/>
        <v>2</v>
      </c>
      <c r="I12" s="10">
        <f>IFERROR(__xludf.DUMMYFUNCTION("MAX(FILTER($H$2:$H501,$E$2:$E501=F12))"),22.0)</f>
        <v>22</v>
      </c>
      <c r="P12" s="6" t="s">
        <v>2160</v>
      </c>
      <c r="Q12" s="10">
        <v>25.0</v>
      </c>
    </row>
    <row r="13">
      <c r="A13" s="4"/>
      <c r="B13" s="4"/>
      <c r="C13" s="4" t="s">
        <v>1694</v>
      </c>
      <c r="D13" s="6" t="str">
        <f t="shared" si="1"/>
        <v>{"valorA":"microondas","valorB":2}</v>
      </c>
      <c r="E13" s="8" t="str">
        <f t="shared" si="2"/>
        <v>microondas</v>
      </c>
      <c r="F13" s="8" t="str">
        <f>IFERROR(__xludf.DUMMYFUNCTION("""COMPUTED_VALUE"""),"carregador de celular")</f>
        <v>carregador de celular</v>
      </c>
      <c r="G13" s="15" t="str">
        <f t="shared" si="3"/>
        <v>2</v>
      </c>
      <c r="H13" s="9">
        <f t="shared" si="4"/>
        <v>2</v>
      </c>
      <c r="I13" s="10">
        <f>IFERROR(__xludf.DUMMYFUNCTION("MAX(FILTER($H$2:$H501,$E$2:$E501=F13))"),18.0)</f>
        <v>18</v>
      </c>
      <c r="P13" s="6" t="s">
        <v>2168</v>
      </c>
      <c r="Q13" s="10">
        <v>20.0</v>
      </c>
    </row>
    <row r="14">
      <c r="A14" s="4"/>
      <c r="B14" s="4"/>
      <c r="C14" s="4" t="s">
        <v>2180</v>
      </c>
      <c r="D14" s="6" t="str">
        <f t="shared" si="1"/>
        <v>{"valorA":"computador","valorB":1}</v>
      </c>
      <c r="E14" s="8" t="str">
        <f t="shared" si="2"/>
        <v>computador</v>
      </c>
      <c r="F14" s="8" t="str">
        <f>IFERROR(__xludf.DUMMYFUNCTION("""COMPUTED_VALUE"""),"purificador de água")</f>
        <v>purificador de água</v>
      </c>
      <c r="G14" s="15" t="str">
        <f t="shared" si="3"/>
        <v>1</v>
      </c>
      <c r="H14" s="9">
        <f t="shared" si="4"/>
        <v>1</v>
      </c>
      <c r="I14" s="10">
        <f>IFERROR(__xludf.DUMMYFUNCTION("MAX(FILTER($H$2:$H501,$E$2:$E501=F14))"),21.0)</f>
        <v>21</v>
      </c>
      <c r="P14" s="6" t="s">
        <v>1656</v>
      </c>
      <c r="Q14" s="10">
        <v>24.0</v>
      </c>
    </row>
    <row r="15">
      <c r="A15" s="4"/>
      <c r="B15" s="4"/>
      <c r="C15" s="4" t="s">
        <v>2181</v>
      </c>
      <c r="D15" s="6" t="str">
        <f t="shared" si="1"/>
        <v>{"valorA":"liquidificador","valorB":2}</v>
      </c>
      <c r="E15" s="8" t="str">
        <f t="shared" si="2"/>
        <v>liquidificador</v>
      </c>
      <c r="F15" s="8" t="str">
        <f>IFERROR(__xludf.DUMMYFUNCTION("""COMPUTED_VALUE"""),"carregador de computador")</f>
        <v>carregador de computador</v>
      </c>
      <c r="G15" s="15" t="str">
        <f t="shared" si="3"/>
        <v>2</v>
      </c>
      <c r="H15" s="9">
        <f t="shared" si="4"/>
        <v>2</v>
      </c>
      <c r="I15" s="10">
        <f>IFERROR(__xludf.DUMMYFUNCTION("MAX(FILTER($H$2:$H501,$E$2:$E501=F15))"),25.0)</f>
        <v>25</v>
      </c>
      <c r="P15" s="6" t="s">
        <v>2169</v>
      </c>
      <c r="Q15" s="10">
        <v>20.0</v>
      </c>
    </row>
    <row r="16">
      <c r="A16" s="4"/>
      <c r="B16" s="4"/>
      <c r="C16" s="4" t="s">
        <v>2182</v>
      </c>
      <c r="D16" s="6" t="str">
        <f t="shared" si="1"/>
        <v>{"valorA":"relógio","valorB":2}</v>
      </c>
      <c r="E16" s="8" t="str">
        <f t="shared" si="2"/>
        <v>relógio</v>
      </c>
      <c r="F16" s="8" t="str">
        <f>IFERROR(__xludf.DUMMYFUNCTION("""COMPUTED_VALUE"""),"filtro de linha")</f>
        <v>filtro de linha</v>
      </c>
      <c r="G16" s="15" t="str">
        <f t="shared" si="3"/>
        <v>2</v>
      </c>
      <c r="H16" s="9">
        <f t="shared" si="4"/>
        <v>2</v>
      </c>
      <c r="I16" s="10">
        <f>IFERROR(__xludf.DUMMYFUNCTION("MAX(FILTER($H$2:$H501,$E$2:$E501=F16))"),25.0)</f>
        <v>25</v>
      </c>
      <c r="P16" s="6" t="s">
        <v>2163</v>
      </c>
      <c r="Q16" s="10">
        <v>21.0</v>
      </c>
    </row>
    <row r="17">
      <c r="A17" s="4"/>
      <c r="B17" s="4"/>
      <c r="C17" s="4" t="s">
        <v>1659</v>
      </c>
      <c r="D17" s="6" t="str">
        <f t="shared" si="1"/>
        <v>{"valorA":"freezer","valorB":1}</v>
      </c>
      <c r="E17" s="8" t="str">
        <f t="shared" si="2"/>
        <v>freezer</v>
      </c>
      <c r="F17" s="8" t="str">
        <f>IFERROR(__xludf.DUMMYFUNCTION("""COMPUTED_VALUE"""),"teclado de computador")</f>
        <v>teclado de computador</v>
      </c>
      <c r="G17" s="15" t="str">
        <f t="shared" si="3"/>
        <v>1</v>
      </c>
      <c r="H17" s="9">
        <f t="shared" si="4"/>
        <v>1</v>
      </c>
      <c r="I17" s="10">
        <f>IFERROR(__xludf.DUMMYFUNCTION("MAX(FILTER($H$2:$H501,$E$2:$E501=F17))"),29.0)</f>
        <v>29</v>
      </c>
      <c r="P17" s="6" t="s">
        <v>105</v>
      </c>
      <c r="Q17" s="10">
        <v>28.0</v>
      </c>
    </row>
    <row r="18">
      <c r="A18" s="4"/>
      <c r="B18" s="4"/>
      <c r="C18" s="4" t="s">
        <v>2183</v>
      </c>
      <c r="D18" s="6" t="str">
        <f t="shared" si="1"/>
        <v>{"valorA":"chuveiro elétrico","valorB":3}</v>
      </c>
      <c r="E18" s="8" t="str">
        <f t="shared" si="2"/>
        <v>chuveiro elétrico</v>
      </c>
      <c r="F18" s="8" t="str">
        <f>IFERROR(__xludf.DUMMYFUNCTION("""COMPUTED_VALUE"""),"roteador")</f>
        <v>roteador</v>
      </c>
      <c r="G18" s="15" t="str">
        <f t="shared" si="3"/>
        <v>3</v>
      </c>
      <c r="H18" s="9">
        <f t="shared" si="4"/>
        <v>3</v>
      </c>
      <c r="I18" s="10">
        <f>IFERROR(__xludf.DUMMYFUNCTION("MAX(FILTER($H$2:$H501,$E$2:$E501=F18))"),28.0)</f>
        <v>28</v>
      </c>
      <c r="P18" s="6" t="s">
        <v>2167</v>
      </c>
      <c r="Q18" s="10">
        <v>28.0</v>
      </c>
    </row>
    <row r="19">
      <c r="A19" s="4"/>
      <c r="B19" s="4"/>
      <c r="C19" s="4" t="s">
        <v>2184</v>
      </c>
      <c r="D19" s="6" t="str">
        <f t="shared" si="1"/>
        <v>{"valorA":"chuveiro elétrico","valorB":4}</v>
      </c>
      <c r="E19" s="8" t="str">
        <f t="shared" si="2"/>
        <v>chuveiro elétrico</v>
      </c>
      <c r="F19" s="8" t="str">
        <f>IFERROR(__xludf.DUMMYFUNCTION("""COMPUTED_VALUE"""),"lustre")</f>
        <v>lustre</v>
      </c>
      <c r="G19" s="15" t="str">
        <f t="shared" si="3"/>
        <v>4</v>
      </c>
      <c r="H19" s="9">
        <f t="shared" si="4"/>
        <v>4</v>
      </c>
      <c r="I19" s="10">
        <f>IFERROR(__xludf.DUMMYFUNCTION("MAX(FILTER($H$2:$H501,$E$2:$E501=F19))"),20.0)</f>
        <v>20</v>
      </c>
      <c r="P19" s="6" t="s">
        <v>2166</v>
      </c>
      <c r="Q19" s="10">
        <v>29.0</v>
      </c>
    </row>
    <row r="20">
      <c r="A20" s="4"/>
      <c r="B20" s="4"/>
      <c r="C20" s="4" t="s">
        <v>2185</v>
      </c>
      <c r="D20" s="6" t="str">
        <f t="shared" si="1"/>
        <v>{"valorA":"carregador de celular","valorB":1}</v>
      </c>
      <c r="E20" s="8" t="str">
        <f t="shared" si="2"/>
        <v>carregador de celular</v>
      </c>
      <c r="F20" s="8" t="str">
        <f>IFERROR(__xludf.DUMMYFUNCTION("""COMPUTED_VALUE"""),"aspirador")</f>
        <v>aspirador</v>
      </c>
      <c r="G20" s="15" t="str">
        <f t="shared" si="3"/>
        <v>1</v>
      </c>
      <c r="H20" s="9">
        <f t="shared" si="4"/>
        <v>1</v>
      </c>
      <c r="I20" s="10">
        <f>IFERROR(__xludf.DUMMYFUNCTION("MAX(FILTER($H$2:$H501,$E$2:$E501=F20))"),31.0)</f>
        <v>31</v>
      </c>
      <c r="P20" s="6" t="s">
        <v>2159</v>
      </c>
      <c r="Q20" s="10">
        <v>28.0</v>
      </c>
    </row>
    <row r="21">
      <c r="A21" s="4"/>
      <c r="B21" s="4"/>
      <c r="C21" s="4" t="s">
        <v>2186</v>
      </c>
      <c r="D21" s="6" t="str">
        <f t="shared" si="1"/>
        <v>{"valorA":"fone de ouvido","valorB":2}</v>
      </c>
      <c r="E21" s="8" t="str">
        <f t="shared" si="2"/>
        <v>fone de ouvido</v>
      </c>
      <c r="F21" s="8" t="str">
        <f>IFERROR(__xludf.DUMMYFUNCTION("""COMPUTED_VALUE"""),"mouse de computador")</f>
        <v>mouse de computador</v>
      </c>
      <c r="G21" s="15" t="str">
        <f t="shared" si="3"/>
        <v>2</v>
      </c>
      <c r="H21" s="9">
        <f t="shared" si="4"/>
        <v>2</v>
      </c>
      <c r="I21" s="10">
        <f>IFERROR(__xludf.DUMMYFUNCTION("MAX(FILTER($H$2:$H501,$E$2:$E501=F21))"),20.0)</f>
        <v>20</v>
      </c>
    </row>
    <row r="22">
      <c r="A22" s="4"/>
      <c r="B22" s="4"/>
      <c r="C22" s="4" t="s">
        <v>2187</v>
      </c>
      <c r="D22" s="6" t="str">
        <f t="shared" si="1"/>
        <v>{"valorA":"relógio","valorB":3}</v>
      </c>
      <c r="E22" s="8" t="str">
        <f t="shared" si="2"/>
        <v>relógio</v>
      </c>
      <c r="F22" s="8"/>
      <c r="G22" s="15" t="str">
        <f t="shared" si="3"/>
        <v>3</v>
      </c>
      <c r="H22" s="9">
        <f t="shared" si="4"/>
        <v>3</v>
      </c>
      <c r="I22" s="6" t="str">
        <f>IFERROR(__xludf.DUMMYFUNCTION("MAX(FILTER($H$2:$H501,$E$2:$E501=F22))"),"#N/A")</f>
        <v>#N/A</v>
      </c>
    </row>
    <row r="23">
      <c r="A23" s="4"/>
      <c r="B23" s="4"/>
      <c r="C23" s="4" t="s">
        <v>2188</v>
      </c>
      <c r="D23" s="6" t="str">
        <f t="shared" si="1"/>
        <v>{"valorA":"relógio","valorB":4}</v>
      </c>
      <c r="E23" s="8" t="str">
        <f t="shared" si="2"/>
        <v>relógio</v>
      </c>
      <c r="F23" s="8"/>
      <c r="G23" s="15" t="str">
        <f t="shared" si="3"/>
        <v>4</v>
      </c>
      <c r="H23" s="9">
        <f t="shared" si="4"/>
        <v>4</v>
      </c>
      <c r="I23" s="6" t="str">
        <f>IFERROR(__xludf.DUMMYFUNCTION("MAX(FILTER($H$2:$H501,$E$2:$E501=F23))"),"#N/A")</f>
        <v>#N/A</v>
      </c>
    </row>
    <row r="24">
      <c r="A24" s="4"/>
      <c r="B24" s="4"/>
      <c r="C24" s="4" t="s">
        <v>2189</v>
      </c>
      <c r="D24" s="6" t="str">
        <f t="shared" si="1"/>
        <v>{"valorA":"purificador de água","valorB":1}</v>
      </c>
      <c r="E24" s="8" t="str">
        <f t="shared" si="2"/>
        <v>purificador de água</v>
      </c>
      <c r="F24" s="8"/>
      <c r="G24" s="15" t="str">
        <f t="shared" si="3"/>
        <v>1</v>
      </c>
      <c r="H24" s="9">
        <f t="shared" si="4"/>
        <v>1</v>
      </c>
      <c r="I24" s="6" t="str">
        <f>IFERROR(__xludf.DUMMYFUNCTION("MAX(FILTER($H$2:$H501,$E$2:$E501=F24))"),"#N/A")</f>
        <v>#N/A</v>
      </c>
    </row>
    <row r="25">
      <c r="A25" s="4"/>
      <c r="B25" s="4"/>
      <c r="C25" s="4" t="s">
        <v>2190</v>
      </c>
      <c r="D25" s="6" t="str">
        <f t="shared" si="1"/>
        <v>{"valorA":"relógio","valorB":5}</v>
      </c>
      <c r="E25" s="8" t="str">
        <f t="shared" si="2"/>
        <v>relógio</v>
      </c>
      <c r="F25" s="8"/>
      <c r="G25" s="15" t="str">
        <f t="shared" si="3"/>
        <v>5</v>
      </c>
      <c r="H25" s="9">
        <f t="shared" si="4"/>
        <v>5</v>
      </c>
      <c r="I25" s="6" t="str">
        <f>IFERROR(__xludf.DUMMYFUNCTION("MAX(FILTER($H$2:$H501,$E$2:$E501=F25))"),"#N/A")</f>
        <v>#N/A</v>
      </c>
    </row>
    <row r="26">
      <c r="A26" s="4"/>
      <c r="B26" s="4"/>
      <c r="C26" s="4" t="s">
        <v>2191</v>
      </c>
      <c r="D26" s="6" t="str">
        <f t="shared" si="1"/>
        <v>{"valorA":"carregador de computador","valorB":1}</v>
      </c>
      <c r="E26" s="8" t="str">
        <f t="shared" si="2"/>
        <v>carregador de computador</v>
      </c>
      <c r="F26" s="8"/>
      <c r="G26" s="15" t="str">
        <f t="shared" si="3"/>
        <v>1</v>
      </c>
      <c r="H26" s="9">
        <f t="shared" si="4"/>
        <v>1</v>
      </c>
      <c r="I26" s="6" t="str">
        <f>IFERROR(__xludf.DUMMYFUNCTION("MAX(FILTER($H$2:$H501,$E$2:$E501=F26))"),"#N/A")</f>
        <v>#N/A</v>
      </c>
    </row>
    <row r="27">
      <c r="A27" s="4"/>
      <c r="B27" s="4"/>
      <c r="C27" s="4" t="s">
        <v>2192</v>
      </c>
      <c r="D27" s="6" t="str">
        <f t="shared" si="1"/>
        <v>{"valorA":"purificador de água","valorB":2}</v>
      </c>
      <c r="E27" s="8" t="str">
        <f t="shared" si="2"/>
        <v>purificador de água</v>
      </c>
      <c r="F27" s="8"/>
      <c r="G27" s="15" t="str">
        <f t="shared" si="3"/>
        <v>2</v>
      </c>
      <c r="H27" s="9">
        <f t="shared" si="4"/>
        <v>2</v>
      </c>
      <c r="I27" s="6" t="str">
        <f>IFERROR(__xludf.DUMMYFUNCTION("MAX(FILTER($H$2:$H501,$E$2:$E501=F27))"),"#N/A")</f>
        <v>#N/A</v>
      </c>
    </row>
    <row r="28">
      <c r="A28" s="4"/>
      <c r="B28" s="4"/>
      <c r="C28" s="4" t="s">
        <v>2193</v>
      </c>
      <c r="D28" s="6" t="str">
        <f t="shared" si="1"/>
        <v>{"valorA":"filtro de linha","valorB":1}</v>
      </c>
      <c r="E28" s="8" t="str">
        <f t="shared" si="2"/>
        <v>filtro de linha</v>
      </c>
      <c r="F28" s="8"/>
      <c r="G28" s="15" t="str">
        <f t="shared" si="3"/>
        <v>1</v>
      </c>
      <c r="H28" s="9">
        <f t="shared" si="4"/>
        <v>1</v>
      </c>
      <c r="I28" s="6" t="str">
        <f>IFERROR(__xludf.DUMMYFUNCTION("MAX(FILTER($H$2:$H501,$E$2:$E501=F28))"),"#N/A")</f>
        <v>#N/A</v>
      </c>
    </row>
    <row r="29">
      <c r="A29" s="4"/>
      <c r="B29" s="4"/>
      <c r="C29" s="4" t="s">
        <v>2194</v>
      </c>
      <c r="D29" s="6" t="str">
        <f t="shared" si="1"/>
        <v>{"valorA":"relógio","valorB":6}</v>
      </c>
      <c r="E29" s="8" t="str">
        <f t="shared" si="2"/>
        <v>relógio</v>
      </c>
      <c r="F29" s="8"/>
      <c r="G29" s="15" t="str">
        <f t="shared" si="3"/>
        <v>6</v>
      </c>
      <c r="H29" s="9">
        <f t="shared" si="4"/>
        <v>6</v>
      </c>
      <c r="I29" s="6" t="str">
        <f>IFERROR(__xludf.DUMMYFUNCTION("MAX(FILTER($H$2:$H501,$E$2:$E501=F29))"),"#N/A")</f>
        <v>#N/A</v>
      </c>
    </row>
    <row r="30">
      <c r="A30" s="4"/>
      <c r="B30" s="4"/>
      <c r="C30" s="4" t="s">
        <v>2195</v>
      </c>
      <c r="D30" s="6" t="str">
        <f t="shared" si="1"/>
        <v>{"valorA":"teclado de computador","valorB":1}</v>
      </c>
      <c r="E30" s="8" t="str">
        <f t="shared" si="2"/>
        <v>teclado de computador</v>
      </c>
      <c r="F30" s="8"/>
      <c r="G30" s="15" t="str">
        <f t="shared" si="3"/>
        <v>1</v>
      </c>
      <c r="H30" s="9">
        <f t="shared" si="4"/>
        <v>1</v>
      </c>
      <c r="I30" s="6" t="str">
        <f>IFERROR(__xludf.DUMMYFUNCTION("MAX(FILTER($H$2:$H501,$E$2:$E501=F30))"),"#N/A")</f>
        <v>#N/A</v>
      </c>
    </row>
    <row r="31">
      <c r="A31" s="4"/>
      <c r="B31" s="4"/>
      <c r="C31" s="4" t="s">
        <v>2196</v>
      </c>
      <c r="D31" s="6" t="str">
        <f t="shared" si="1"/>
        <v>{"valorA":"carregador de computador","valorB":2}</v>
      </c>
      <c r="E31" s="8" t="str">
        <f t="shared" si="2"/>
        <v>carregador de computador</v>
      </c>
      <c r="F31" s="8"/>
      <c r="G31" s="15" t="str">
        <f t="shared" si="3"/>
        <v>2</v>
      </c>
      <c r="H31" s="9">
        <f t="shared" si="4"/>
        <v>2</v>
      </c>
      <c r="I31" s="6" t="str">
        <f>IFERROR(__xludf.DUMMYFUNCTION("MAX(FILTER($H$2:$H501,$E$2:$E501=F31))"),"#N/A")</f>
        <v>#N/A</v>
      </c>
    </row>
    <row r="32">
      <c r="A32" s="4"/>
      <c r="B32" s="4"/>
      <c r="C32" s="4" t="s">
        <v>1660</v>
      </c>
      <c r="D32" s="6" t="str">
        <f t="shared" si="1"/>
        <v>{"valorA":"freezer","valorB":2}</v>
      </c>
      <c r="E32" s="8" t="str">
        <f t="shared" si="2"/>
        <v>freezer</v>
      </c>
      <c r="F32" s="8"/>
      <c r="G32" s="15" t="str">
        <f t="shared" si="3"/>
        <v>2</v>
      </c>
      <c r="H32" s="9">
        <f t="shared" si="4"/>
        <v>2</v>
      </c>
      <c r="I32" s="6" t="str">
        <f>IFERROR(__xludf.DUMMYFUNCTION("MAX(FILTER($H$2:$H501,$E$2:$E501=F32))"),"#N/A")</f>
        <v>#N/A</v>
      </c>
    </row>
    <row r="33">
      <c r="A33" s="4"/>
      <c r="B33" s="4"/>
      <c r="C33" s="4" t="s">
        <v>2197</v>
      </c>
      <c r="D33" s="6" t="str">
        <f t="shared" si="1"/>
        <v>{"valorA":"chuveiro elétrico","valorB":5}</v>
      </c>
      <c r="E33" s="8" t="str">
        <f t="shared" si="2"/>
        <v>chuveiro elétrico</v>
      </c>
      <c r="F33" s="8"/>
      <c r="G33" s="15" t="str">
        <f t="shared" si="3"/>
        <v>5</v>
      </c>
      <c r="H33" s="9">
        <f t="shared" si="4"/>
        <v>5</v>
      </c>
      <c r="I33" s="6" t="str">
        <f>IFERROR(__xludf.DUMMYFUNCTION("MAX(FILTER($H$2:$H501,$E$2:$E501=F33))"),"#N/A")</f>
        <v>#N/A</v>
      </c>
    </row>
    <row r="34">
      <c r="A34" s="4"/>
      <c r="B34" s="4"/>
      <c r="C34" s="4" t="s">
        <v>2198</v>
      </c>
      <c r="D34" s="6" t="str">
        <f t="shared" si="1"/>
        <v>{"valorA":"computador","valorB":2}</v>
      </c>
      <c r="E34" s="8" t="str">
        <f t="shared" si="2"/>
        <v>computador</v>
      </c>
      <c r="F34" s="8"/>
      <c r="G34" s="15" t="str">
        <f t="shared" si="3"/>
        <v>2</v>
      </c>
      <c r="H34" s="9">
        <f t="shared" si="4"/>
        <v>2</v>
      </c>
      <c r="I34" s="6" t="str">
        <f>IFERROR(__xludf.DUMMYFUNCTION("MAX(FILTER($H$2:$H501,$E$2:$E501=F34))"),"#N/A")</f>
        <v>#N/A</v>
      </c>
    </row>
    <row r="35">
      <c r="A35" s="4"/>
      <c r="B35" s="4"/>
      <c r="C35" s="4" t="s">
        <v>2199</v>
      </c>
      <c r="D35" s="6" t="str">
        <f t="shared" si="1"/>
        <v>{"valorA":"ventilador","valorB":3}</v>
      </c>
      <c r="E35" s="8" t="str">
        <f t="shared" si="2"/>
        <v>ventilador</v>
      </c>
      <c r="F35" s="8"/>
      <c r="G35" s="15" t="str">
        <f t="shared" si="3"/>
        <v>3</v>
      </c>
      <c r="H35" s="9">
        <f t="shared" si="4"/>
        <v>3</v>
      </c>
      <c r="I35" s="6" t="str">
        <f>IFERROR(__xludf.DUMMYFUNCTION("MAX(FILTER($H$2:$H501,$E$2:$E501=F35))"),"#N/A")</f>
        <v>#N/A</v>
      </c>
    </row>
    <row r="36">
      <c r="A36" s="4"/>
      <c r="B36" s="4"/>
      <c r="C36" s="4" t="s">
        <v>2200</v>
      </c>
      <c r="D36" s="6" t="str">
        <f t="shared" si="1"/>
        <v>{"valorA":"roteador","valorB":1}</v>
      </c>
      <c r="E36" s="8" t="str">
        <f t="shared" si="2"/>
        <v>roteador</v>
      </c>
      <c r="F36" s="8"/>
      <c r="G36" s="15" t="str">
        <f t="shared" si="3"/>
        <v>1</v>
      </c>
      <c r="H36" s="9">
        <f t="shared" si="4"/>
        <v>1</v>
      </c>
      <c r="I36" s="6" t="str">
        <f>IFERROR(__xludf.DUMMYFUNCTION("MAX(FILTER($H$2:$H501,$E$2:$E501=F36))"),"#N/A")</f>
        <v>#N/A</v>
      </c>
    </row>
    <row r="37">
      <c r="A37" s="4"/>
      <c r="B37" s="4"/>
      <c r="C37" s="4" t="s">
        <v>2201</v>
      </c>
      <c r="D37" s="6" t="str">
        <f t="shared" si="1"/>
        <v>{"valorA":"purificador de água","valorB":3}</v>
      </c>
      <c r="E37" s="8" t="str">
        <f t="shared" si="2"/>
        <v>purificador de água</v>
      </c>
      <c r="F37" s="8"/>
      <c r="G37" s="15" t="str">
        <f t="shared" si="3"/>
        <v>3</v>
      </c>
      <c r="H37" s="9">
        <f t="shared" si="4"/>
        <v>3</v>
      </c>
      <c r="I37" s="6" t="str">
        <f>IFERROR(__xludf.DUMMYFUNCTION("MAX(FILTER($H$2:$H501,$E$2:$E501=F37))"),"#N/A")</f>
        <v>#N/A</v>
      </c>
    </row>
    <row r="38">
      <c r="A38" s="4"/>
      <c r="B38" s="4"/>
      <c r="C38" s="4" t="s">
        <v>2202</v>
      </c>
      <c r="D38" s="6" t="str">
        <f t="shared" si="1"/>
        <v>{"valorA":"liquidificador","valorB":3}</v>
      </c>
      <c r="E38" s="8" t="str">
        <f t="shared" si="2"/>
        <v>liquidificador</v>
      </c>
      <c r="F38" s="8"/>
      <c r="G38" s="15" t="str">
        <f t="shared" si="3"/>
        <v>3</v>
      </c>
      <c r="H38" s="9">
        <f t="shared" si="4"/>
        <v>3</v>
      </c>
      <c r="I38" s="6" t="str">
        <f>IFERROR(__xludf.DUMMYFUNCTION("MAX(FILTER($H$2:$H501,$E$2:$E501=F38))"),"#N/A")</f>
        <v>#N/A</v>
      </c>
    </row>
    <row r="39">
      <c r="A39" s="4"/>
      <c r="B39" s="4"/>
      <c r="C39" s="4" t="s">
        <v>2203</v>
      </c>
      <c r="D39" s="6" t="str">
        <f t="shared" si="1"/>
        <v>{"valorA":"lustre","valorB":1}</v>
      </c>
      <c r="E39" s="8" t="str">
        <f t="shared" si="2"/>
        <v>lustre</v>
      </c>
      <c r="F39" s="8"/>
      <c r="G39" s="15" t="str">
        <f t="shared" si="3"/>
        <v>1</v>
      </c>
      <c r="H39" s="9">
        <f t="shared" si="4"/>
        <v>1</v>
      </c>
      <c r="I39" s="6" t="str">
        <f>IFERROR(__xludf.DUMMYFUNCTION("MAX(FILTER($H$2:$H501,$E$2:$E501=F39))"),"#N/A")</f>
        <v>#N/A</v>
      </c>
    </row>
    <row r="40">
      <c r="A40" s="4"/>
      <c r="B40" s="4"/>
      <c r="C40" s="4" t="s">
        <v>2204</v>
      </c>
      <c r="D40" s="6" t="str">
        <f t="shared" si="1"/>
        <v>{"valorA":"chuveiro elétrico","valorB":6}</v>
      </c>
      <c r="E40" s="8" t="str">
        <f t="shared" si="2"/>
        <v>chuveiro elétrico</v>
      </c>
      <c r="F40" s="8"/>
      <c r="G40" s="15" t="str">
        <f t="shared" si="3"/>
        <v>6</v>
      </c>
      <c r="H40" s="9">
        <f t="shared" si="4"/>
        <v>6</v>
      </c>
      <c r="I40" s="6" t="str">
        <f>IFERROR(__xludf.DUMMYFUNCTION("MAX(FILTER($H$2:$H501,$E$2:$E501=F40))"),"#N/A")</f>
        <v>#N/A</v>
      </c>
    </row>
    <row r="41">
      <c r="A41" s="4"/>
      <c r="B41" s="4"/>
      <c r="C41" s="4" t="s">
        <v>2205</v>
      </c>
      <c r="D41" s="6" t="str">
        <f t="shared" si="1"/>
        <v>{"valorA":"fone de ouvido","valorB":3}</v>
      </c>
      <c r="E41" s="8" t="str">
        <f t="shared" si="2"/>
        <v>fone de ouvido</v>
      </c>
      <c r="F41" s="8"/>
      <c r="G41" s="15" t="str">
        <f t="shared" si="3"/>
        <v>3</v>
      </c>
      <c r="H41" s="9">
        <f t="shared" si="4"/>
        <v>3</v>
      </c>
      <c r="I41" s="6" t="str">
        <f>IFERROR(__xludf.DUMMYFUNCTION("MAX(FILTER($H$2:$H501,$E$2:$E501=F41))"),"#N/A")</f>
        <v>#N/A</v>
      </c>
    </row>
    <row r="42">
      <c r="A42" s="4"/>
      <c r="B42" s="4"/>
      <c r="C42" s="4" t="s">
        <v>2206</v>
      </c>
      <c r="D42" s="6" t="str">
        <f t="shared" si="1"/>
        <v>{"valorA":"computador","valorB":3}</v>
      </c>
      <c r="E42" s="8" t="str">
        <f t="shared" si="2"/>
        <v>computador</v>
      </c>
      <c r="F42" s="8"/>
      <c r="G42" s="15" t="str">
        <f t="shared" si="3"/>
        <v>3</v>
      </c>
      <c r="H42" s="9">
        <f t="shared" si="4"/>
        <v>3</v>
      </c>
      <c r="I42" s="6" t="str">
        <f>IFERROR(__xludf.DUMMYFUNCTION("MAX(FILTER($H$2:$H501,$E$2:$E501=F42))"),"#N/A")</f>
        <v>#N/A</v>
      </c>
    </row>
    <row r="43">
      <c r="A43" s="4"/>
      <c r="B43" s="4"/>
      <c r="C43" s="4" t="s">
        <v>1695</v>
      </c>
      <c r="D43" s="6" t="str">
        <f t="shared" si="1"/>
        <v>{"valorA":"ar condicionado","valorB":2}</v>
      </c>
      <c r="E43" s="8" t="str">
        <f t="shared" si="2"/>
        <v>ar condicionado</v>
      </c>
      <c r="F43" s="8"/>
      <c r="G43" s="15" t="str">
        <f t="shared" si="3"/>
        <v>2</v>
      </c>
      <c r="H43" s="9">
        <f t="shared" si="4"/>
        <v>2</v>
      </c>
      <c r="I43" s="6" t="str">
        <f>IFERROR(__xludf.DUMMYFUNCTION("MAX(FILTER($H$2:$H501,$E$2:$E501=F43))"),"#N/A")</f>
        <v>#N/A</v>
      </c>
    </row>
    <row r="44">
      <c r="A44" s="4"/>
      <c r="B44" s="4"/>
      <c r="C44" s="4" t="s">
        <v>2207</v>
      </c>
      <c r="D44" s="6" t="str">
        <f t="shared" si="1"/>
        <v>{"valorA":"ventilador","valorB":4}</v>
      </c>
      <c r="E44" s="8" t="str">
        <f t="shared" si="2"/>
        <v>ventilador</v>
      </c>
      <c r="F44" s="8"/>
      <c r="G44" s="15" t="str">
        <f t="shared" si="3"/>
        <v>4</v>
      </c>
      <c r="H44" s="9">
        <f t="shared" si="4"/>
        <v>4</v>
      </c>
      <c r="I44" s="6" t="str">
        <f>IFERROR(__xludf.DUMMYFUNCTION("MAX(FILTER($H$2:$H501,$E$2:$E501=F44))"),"#N/A")</f>
        <v>#N/A</v>
      </c>
    </row>
    <row r="45">
      <c r="A45" s="4"/>
      <c r="B45" s="4"/>
      <c r="C45" s="4" t="s">
        <v>2208</v>
      </c>
      <c r="D45" s="6" t="str">
        <f t="shared" si="1"/>
        <v>{"valorA":"fogão","valorB":2}</v>
      </c>
      <c r="E45" s="8" t="str">
        <f t="shared" si="2"/>
        <v>fogão</v>
      </c>
      <c r="F45" s="8"/>
      <c r="G45" s="15" t="str">
        <f t="shared" si="3"/>
        <v>2</v>
      </c>
      <c r="H45" s="9">
        <f t="shared" si="4"/>
        <v>2</v>
      </c>
      <c r="I45" s="6" t="str">
        <f>IFERROR(__xludf.DUMMYFUNCTION("MAX(FILTER($H$2:$H501,$E$2:$E501=F45))"),"#N/A")</f>
        <v>#N/A</v>
      </c>
    </row>
    <row r="46">
      <c r="A46" s="4"/>
      <c r="B46" s="4"/>
      <c r="C46" s="4" t="s">
        <v>1697</v>
      </c>
      <c r="D46" s="6" t="str">
        <f t="shared" si="1"/>
        <v>{"valorA":"ar condicionado","valorB":3}</v>
      </c>
      <c r="E46" s="8" t="str">
        <f t="shared" si="2"/>
        <v>ar condicionado</v>
      </c>
      <c r="F46" s="8"/>
      <c r="G46" s="15" t="str">
        <f t="shared" si="3"/>
        <v>3</v>
      </c>
      <c r="H46" s="9">
        <f t="shared" si="4"/>
        <v>3</v>
      </c>
      <c r="I46" s="6" t="str">
        <f>IFERROR(__xludf.DUMMYFUNCTION("MAX(FILTER($H$2:$H501,$E$2:$E501=F46))"),"#N/A")</f>
        <v>#N/A</v>
      </c>
    </row>
    <row r="47">
      <c r="A47" s="4"/>
      <c r="B47" s="4"/>
      <c r="C47" s="4" t="s">
        <v>2209</v>
      </c>
      <c r="D47" s="6" t="str">
        <f t="shared" si="1"/>
        <v>{"valorA":"teclado de computador","valorB":2}</v>
      </c>
      <c r="E47" s="8" t="str">
        <f t="shared" si="2"/>
        <v>teclado de computador</v>
      </c>
      <c r="F47" s="8"/>
      <c r="G47" s="15" t="str">
        <f t="shared" si="3"/>
        <v>2</v>
      </c>
      <c r="H47" s="9">
        <f t="shared" si="4"/>
        <v>2</v>
      </c>
      <c r="I47" s="6" t="str">
        <f>IFERROR(__xludf.DUMMYFUNCTION("MAX(FILTER($H$2:$H501,$E$2:$E501=F47))"),"#N/A")</f>
        <v>#N/A</v>
      </c>
    </row>
    <row r="48">
      <c r="A48" s="4"/>
      <c r="B48" s="4"/>
      <c r="C48" s="4" t="s">
        <v>2210</v>
      </c>
      <c r="D48" s="6" t="str">
        <f t="shared" si="1"/>
        <v>{"valorA":"lustre","valorB":2}</v>
      </c>
      <c r="E48" s="8" t="str">
        <f t="shared" si="2"/>
        <v>lustre</v>
      </c>
      <c r="F48" s="8"/>
      <c r="G48" s="15" t="str">
        <f t="shared" si="3"/>
        <v>2</v>
      </c>
      <c r="H48" s="9">
        <f t="shared" si="4"/>
        <v>2</v>
      </c>
      <c r="I48" s="6" t="str">
        <f>IFERROR(__xludf.DUMMYFUNCTION("MAX(FILTER($H$2:$H501,$E$2:$E501=F48))"),"#N/A")</f>
        <v>#N/A</v>
      </c>
    </row>
    <row r="49">
      <c r="A49" s="4"/>
      <c r="B49" s="4"/>
      <c r="C49" s="4" t="s">
        <v>2211</v>
      </c>
      <c r="D49" s="6" t="str">
        <f t="shared" si="1"/>
        <v>{"valorA":"liquidificador","valorB":4}</v>
      </c>
      <c r="E49" s="8" t="str">
        <f t="shared" si="2"/>
        <v>liquidificador</v>
      </c>
      <c r="F49" s="8"/>
      <c r="G49" s="15" t="str">
        <f t="shared" si="3"/>
        <v>4</v>
      </c>
      <c r="H49" s="9">
        <f t="shared" si="4"/>
        <v>4</v>
      </c>
      <c r="I49" s="6" t="str">
        <f>IFERROR(__xludf.DUMMYFUNCTION("MAX(FILTER($H$2:$H501,$E$2:$E501=F49))"),"#N/A")</f>
        <v>#N/A</v>
      </c>
    </row>
    <row r="50">
      <c r="A50" s="4"/>
      <c r="B50" s="4"/>
      <c r="C50" s="4" t="s">
        <v>2212</v>
      </c>
      <c r="D50" s="6" t="str">
        <f t="shared" si="1"/>
        <v>{"valorA":"fogão","valorB":3}</v>
      </c>
      <c r="E50" s="8" t="str">
        <f t="shared" si="2"/>
        <v>fogão</v>
      </c>
      <c r="F50" s="8"/>
      <c r="G50" s="15" t="str">
        <f t="shared" si="3"/>
        <v>3</v>
      </c>
      <c r="H50" s="9">
        <f t="shared" si="4"/>
        <v>3</v>
      </c>
      <c r="I50" s="6" t="str">
        <f>IFERROR(__xludf.DUMMYFUNCTION("MAX(FILTER($H$2:$H501,$E$2:$E501=F50))"),"#N/A")</f>
        <v>#N/A</v>
      </c>
    </row>
    <row r="51">
      <c r="A51" s="4"/>
      <c r="B51" s="4"/>
      <c r="C51" s="4" t="s">
        <v>2213</v>
      </c>
      <c r="D51" s="6" t="str">
        <f t="shared" si="1"/>
        <v>{"valorA":"fone de ouvido","valorB":4}</v>
      </c>
      <c r="E51" s="8" t="str">
        <f t="shared" si="2"/>
        <v>fone de ouvido</v>
      </c>
      <c r="F51" s="8"/>
      <c r="G51" s="15" t="str">
        <f t="shared" si="3"/>
        <v>4</v>
      </c>
      <c r="H51" s="9">
        <f t="shared" si="4"/>
        <v>4</v>
      </c>
      <c r="I51" s="6" t="str">
        <f>IFERROR(__xludf.DUMMYFUNCTION("MAX(FILTER($H$2:$H501,$E$2:$E501=F51))"),"#N/A")</f>
        <v>#N/A</v>
      </c>
    </row>
    <row r="52">
      <c r="A52" s="4"/>
      <c r="B52" s="4"/>
      <c r="C52" s="4" t="s">
        <v>2214</v>
      </c>
      <c r="D52" s="6" t="str">
        <f t="shared" si="1"/>
        <v>{"valorA":"teclado de computador","valorB":3}</v>
      </c>
      <c r="E52" s="8" t="str">
        <f t="shared" si="2"/>
        <v>teclado de computador</v>
      </c>
      <c r="F52" s="8"/>
      <c r="G52" s="15" t="str">
        <f t="shared" si="3"/>
        <v>3</v>
      </c>
      <c r="H52" s="9">
        <f t="shared" si="4"/>
        <v>3</v>
      </c>
      <c r="I52" s="6" t="str">
        <f>IFERROR(__xludf.DUMMYFUNCTION("MAX(FILTER($H$2:$H501,$E$2:$E501=F52))"),"#N/A")</f>
        <v>#N/A</v>
      </c>
    </row>
    <row r="53">
      <c r="A53" s="4"/>
      <c r="B53" s="4"/>
      <c r="C53" s="4" t="s">
        <v>2215</v>
      </c>
      <c r="D53" s="6" t="str">
        <f t="shared" si="1"/>
        <v>{"valorA":"lustre","valorB":3}</v>
      </c>
      <c r="E53" s="8" t="str">
        <f t="shared" si="2"/>
        <v>lustre</v>
      </c>
      <c r="F53" s="8"/>
      <c r="G53" s="15" t="str">
        <f t="shared" si="3"/>
        <v>3</v>
      </c>
      <c r="H53" s="9">
        <f t="shared" si="4"/>
        <v>3</v>
      </c>
      <c r="I53" s="6" t="str">
        <f>IFERROR(__xludf.DUMMYFUNCTION("MAX(FILTER($H$2:$H501,$E$2:$E501=F53))"),"#N/A")</f>
        <v>#N/A</v>
      </c>
    </row>
    <row r="54">
      <c r="A54" s="4"/>
      <c r="B54" s="4"/>
      <c r="C54" s="4" t="s">
        <v>2216</v>
      </c>
      <c r="D54" s="6" t="str">
        <f t="shared" si="1"/>
        <v>{"valorA":"purificador de água","valorB":4}</v>
      </c>
      <c r="E54" s="8" t="str">
        <f t="shared" si="2"/>
        <v>purificador de água</v>
      </c>
      <c r="F54" s="8"/>
      <c r="G54" s="15" t="str">
        <f t="shared" si="3"/>
        <v>4</v>
      </c>
      <c r="H54" s="9">
        <f t="shared" si="4"/>
        <v>4</v>
      </c>
      <c r="I54" s="6" t="str">
        <f>IFERROR(__xludf.DUMMYFUNCTION("MAX(FILTER($H$2:$H501,$E$2:$E501=F54))"),"#N/A")</f>
        <v>#N/A</v>
      </c>
    </row>
    <row r="55">
      <c r="A55" s="4"/>
      <c r="B55" s="4"/>
      <c r="C55" s="4" t="s">
        <v>2217</v>
      </c>
      <c r="D55" s="6" t="str">
        <f t="shared" si="1"/>
        <v>{"valorA":"aspirador","valorB":1}</v>
      </c>
      <c r="E55" s="8" t="str">
        <f t="shared" si="2"/>
        <v>aspirador</v>
      </c>
      <c r="F55" s="8"/>
      <c r="G55" s="15" t="str">
        <f t="shared" si="3"/>
        <v>1</v>
      </c>
      <c r="H55" s="9">
        <f t="shared" si="4"/>
        <v>1</v>
      </c>
      <c r="I55" s="6" t="str">
        <f>IFERROR(__xludf.DUMMYFUNCTION("MAX(FILTER($H$2:$H501,$E$2:$E501=F55))"),"#N/A")</f>
        <v>#N/A</v>
      </c>
    </row>
    <row r="56">
      <c r="A56" s="4"/>
      <c r="B56" s="4"/>
      <c r="C56" s="4" t="s">
        <v>2218</v>
      </c>
      <c r="D56" s="6" t="str">
        <f t="shared" si="1"/>
        <v>{"valorA":"aspirador","valorB":2}</v>
      </c>
      <c r="E56" s="8" t="str">
        <f t="shared" si="2"/>
        <v>aspirador</v>
      </c>
      <c r="F56" s="8"/>
      <c r="G56" s="15" t="str">
        <f t="shared" si="3"/>
        <v>2</v>
      </c>
      <c r="H56" s="9">
        <f t="shared" si="4"/>
        <v>2</v>
      </c>
      <c r="I56" s="6" t="str">
        <f>IFERROR(__xludf.DUMMYFUNCTION("MAX(FILTER($H$2:$H501,$E$2:$E501=F56))"),"#N/A")</f>
        <v>#N/A</v>
      </c>
    </row>
    <row r="57">
      <c r="A57" s="4"/>
      <c r="B57" s="4"/>
      <c r="C57" s="4" t="s">
        <v>1698</v>
      </c>
      <c r="D57" s="6" t="str">
        <f t="shared" si="1"/>
        <v>{"valorA":"ar condicionado","valorB":4}</v>
      </c>
      <c r="E57" s="8" t="str">
        <f t="shared" si="2"/>
        <v>ar condicionado</v>
      </c>
      <c r="F57" s="8"/>
      <c r="G57" s="15" t="str">
        <f t="shared" si="3"/>
        <v>4</v>
      </c>
      <c r="H57" s="9">
        <f t="shared" si="4"/>
        <v>4</v>
      </c>
      <c r="I57" s="6" t="str">
        <f>IFERROR(__xludf.DUMMYFUNCTION("MAX(FILTER($H$2:$H501,$E$2:$E501=F57))"),"#N/A")</f>
        <v>#N/A</v>
      </c>
    </row>
    <row r="58">
      <c r="A58" s="4"/>
      <c r="B58" s="4"/>
      <c r="C58" s="4" t="s">
        <v>2219</v>
      </c>
      <c r="D58" s="6" t="str">
        <f t="shared" si="1"/>
        <v>{"valorA":"chuveiro elétrico","valorB":7}</v>
      </c>
      <c r="E58" s="8" t="str">
        <f t="shared" si="2"/>
        <v>chuveiro elétrico</v>
      </c>
      <c r="F58" s="8"/>
      <c r="G58" s="15" t="str">
        <f t="shared" si="3"/>
        <v>7</v>
      </c>
      <c r="H58" s="9">
        <f t="shared" si="4"/>
        <v>7</v>
      </c>
      <c r="I58" s="6" t="str">
        <f>IFERROR(__xludf.DUMMYFUNCTION("MAX(FILTER($H$2:$H501,$E$2:$E501=F58))"),"#N/A")</f>
        <v>#N/A</v>
      </c>
    </row>
    <row r="59">
      <c r="A59" s="4"/>
      <c r="B59" s="4"/>
      <c r="C59" s="4" t="s">
        <v>2220</v>
      </c>
      <c r="D59" s="6" t="str">
        <f t="shared" si="1"/>
        <v>{"valorA":"computador","valorB":4}</v>
      </c>
      <c r="E59" s="8" t="str">
        <f t="shared" si="2"/>
        <v>computador</v>
      </c>
      <c r="F59" s="8"/>
      <c r="G59" s="15" t="str">
        <f t="shared" si="3"/>
        <v>4</v>
      </c>
      <c r="H59" s="9">
        <f t="shared" si="4"/>
        <v>4</v>
      </c>
      <c r="I59" s="6" t="str">
        <f>IFERROR(__xludf.DUMMYFUNCTION("MAX(FILTER($H$2:$H501,$E$2:$E501=F59))"),"#N/A")</f>
        <v>#N/A</v>
      </c>
    </row>
    <row r="60">
      <c r="A60" s="4"/>
      <c r="B60" s="4"/>
      <c r="C60" s="4" t="s">
        <v>2221</v>
      </c>
      <c r="D60" s="6" t="str">
        <f t="shared" si="1"/>
        <v>{"valorA":"aspirador","valorB":3}</v>
      </c>
      <c r="E60" s="8" t="str">
        <f t="shared" si="2"/>
        <v>aspirador</v>
      </c>
      <c r="F60" s="8"/>
      <c r="G60" s="15" t="str">
        <f t="shared" si="3"/>
        <v>3</v>
      </c>
      <c r="H60" s="9">
        <f t="shared" si="4"/>
        <v>3</v>
      </c>
      <c r="I60" s="6" t="str">
        <f>IFERROR(__xludf.DUMMYFUNCTION("MAX(FILTER($H$2:$H501,$E$2:$E501=F60))"),"#N/A")</f>
        <v>#N/A</v>
      </c>
    </row>
    <row r="61">
      <c r="A61" s="4"/>
      <c r="B61" s="4"/>
      <c r="C61" s="4" t="s">
        <v>2222</v>
      </c>
      <c r="D61" s="6" t="str">
        <f t="shared" si="1"/>
        <v>{"valorA":"mouse de computador","valorB":1}</v>
      </c>
      <c r="E61" s="8" t="str">
        <f t="shared" si="2"/>
        <v>mouse de computador</v>
      </c>
      <c r="F61" s="8"/>
      <c r="G61" s="15" t="str">
        <f t="shared" si="3"/>
        <v>1</v>
      </c>
      <c r="H61" s="9">
        <f t="shared" si="4"/>
        <v>1</v>
      </c>
      <c r="I61" s="6" t="str">
        <f>IFERROR(__xludf.DUMMYFUNCTION("MAX(FILTER($H$2:$H501,$E$2:$E501=F61))"),"#N/A")</f>
        <v>#N/A</v>
      </c>
    </row>
    <row r="62">
      <c r="A62" s="4"/>
      <c r="B62" s="4"/>
      <c r="C62" s="4" t="s">
        <v>2223</v>
      </c>
      <c r="D62" s="6" t="str">
        <f t="shared" si="1"/>
        <v>{"valorA":"roteador","valorB":2}</v>
      </c>
      <c r="E62" s="8" t="str">
        <f t="shared" si="2"/>
        <v>roteador</v>
      </c>
      <c r="F62" s="8"/>
      <c r="G62" s="15" t="str">
        <f t="shared" si="3"/>
        <v>2</v>
      </c>
      <c r="H62" s="9">
        <f t="shared" si="4"/>
        <v>2</v>
      </c>
      <c r="I62" s="6" t="str">
        <f>IFERROR(__xludf.DUMMYFUNCTION("MAX(FILTER($H$2:$H501,$E$2:$E501=F62))"),"#N/A")</f>
        <v>#N/A</v>
      </c>
    </row>
    <row r="63">
      <c r="A63" s="4"/>
      <c r="B63" s="4"/>
      <c r="C63" s="4" t="s">
        <v>2224</v>
      </c>
      <c r="D63" s="6" t="str">
        <f t="shared" si="1"/>
        <v>{"valorA":"liquidificador","valorB":5}</v>
      </c>
      <c r="E63" s="8" t="str">
        <f t="shared" si="2"/>
        <v>liquidificador</v>
      </c>
      <c r="F63" s="8"/>
      <c r="G63" s="15" t="str">
        <f t="shared" si="3"/>
        <v>5</v>
      </c>
      <c r="H63" s="9">
        <f t="shared" si="4"/>
        <v>5</v>
      </c>
      <c r="I63" s="6" t="str">
        <f>IFERROR(__xludf.DUMMYFUNCTION("MAX(FILTER($H$2:$H501,$E$2:$E501=F63))"),"#N/A")</f>
        <v>#N/A</v>
      </c>
    </row>
    <row r="64">
      <c r="A64" s="4"/>
      <c r="B64" s="4"/>
      <c r="C64" s="4" t="s">
        <v>1696</v>
      </c>
      <c r="D64" s="6" t="str">
        <f t="shared" si="1"/>
        <v>{"valorA":"microondas","valorB":3}</v>
      </c>
      <c r="E64" s="8" t="str">
        <f t="shared" si="2"/>
        <v>microondas</v>
      </c>
      <c r="F64" s="8"/>
      <c r="G64" s="15" t="str">
        <f t="shared" si="3"/>
        <v>3</v>
      </c>
      <c r="H64" s="9">
        <f t="shared" si="4"/>
        <v>3</v>
      </c>
      <c r="I64" s="6" t="str">
        <f>IFERROR(__xludf.DUMMYFUNCTION("MAX(FILTER($H$2:$H501,$E$2:$E501=F64))"),"#N/A")</f>
        <v>#N/A</v>
      </c>
    </row>
    <row r="65">
      <c r="A65" s="4"/>
      <c r="B65" s="4"/>
      <c r="C65" s="4" t="s">
        <v>2225</v>
      </c>
      <c r="D65" s="6" t="str">
        <f t="shared" si="1"/>
        <v>{"valorA":"ventilador","valorB":5}</v>
      </c>
      <c r="E65" s="8" t="str">
        <f t="shared" si="2"/>
        <v>ventilador</v>
      </c>
      <c r="F65" s="8"/>
      <c r="G65" s="15" t="str">
        <f t="shared" si="3"/>
        <v>5</v>
      </c>
      <c r="H65" s="9">
        <f t="shared" si="4"/>
        <v>5</v>
      </c>
      <c r="I65" s="6" t="str">
        <f>IFERROR(__xludf.DUMMYFUNCTION("MAX(FILTER($H$2:$H501,$E$2:$E501=F65))"),"#N/A")</f>
        <v>#N/A</v>
      </c>
    </row>
    <row r="66">
      <c r="A66" s="4"/>
      <c r="B66" s="4"/>
      <c r="C66" s="4" t="s">
        <v>2226</v>
      </c>
      <c r="D66" s="6" t="str">
        <f t="shared" si="1"/>
        <v>{"valorA":"mouse de computador","valorB":2}</v>
      </c>
      <c r="E66" s="8" t="str">
        <f t="shared" si="2"/>
        <v>mouse de computador</v>
      </c>
      <c r="F66" s="8"/>
      <c r="G66" s="15" t="str">
        <f t="shared" si="3"/>
        <v>2</v>
      </c>
      <c r="H66" s="9">
        <f t="shared" si="4"/>
        <v>2</v>
      </c>
      <c r="I66" s="6" t="str">
        <f>IFERROR(__xludf.DUMMYFUNCTION("MAX(FILTER($H$2:$H501,$E$2:$E501=F66))"),"#N/A")</f>
        <v>#N/A</v>
      </c>
    </row>
    <row r="67">
      <c r="A67" s="4"/>
      <c r="B67" s="4"/>
      <c r="C67" s="4" t="s">
        <v>2227</v>
      </c>
      <c r="D67" s="6" t="str">
        <f t="shared" si="1"/>
        <v>{"valorA":"carregador de celular","valorB":2}</v>
      </c>
      <c r="E67" s="8" t="str">
        <f t="shared" si="2"/>
        <v>carregador de celular</v>
      </c>
      <c r="F67" s="8"/>
      <c r="G67" s="15" t="str">
        <f t="shared" si="3"/>
        <v>2</v>
      </c>
      <c r="H67" s="9">
        <f t="shared" si="4"/>
        <v>2</v>
      </c>
      <c r="I67" s="6" t="str">
        <f>IFERROR(__xludf.DUMMYFUNCTION("MAX(FILTER($H$2:$H501,$E$2:$E501=F67))"),"#N/A")</f>
        <v>#N/A</v>
      </c>
    </row>
    <row r="68">
      <c r="A68" s="4"/>
      <c r="B68" s="4"/>
      <c r="C68" s="4" t="s">
        <v>2228</v>
      </c>
      <c r="D68" s="6" t="str">
        <f t="shared" si="1"/>
        <v>{"valorA":"aspirador","valorB":4}</v>
      </c>
      <c r="E68" s="8" t="str">
        <f t="shared" si="2"/>
        <v>aspirador</v>
      </c>
      <c r="F68" s="8"/>
      <c r="G68" s="15" t="str">
        <f t="shared" si="3"/>
        <v>4</v>
      </c>
      <c r="H68" s="9">
        <f t="shared" si="4"/>
        <v>4</v>
      </c>
      <c r="I68" s="6" t="str">
        <f>IFERROR(__xludf.DUMMYFUNCTION("MAX(FILTER($H$2:$H501,$E$2:$E501=F68))"),"#N/A")</f>
        <v>#N/A</v>
      </c>
    </row>
    <row r="69">
      <c r="A69" s="4"/>
      <c r="B69" s="4"/>
      <c r="C69" s="4" t="s">
        <v>2229</v>
      </c>
      <c r="D69" s="6" t="str">
        <f t="shared" si="1"/>
        <v>{"valorA":"liquidificador","valorB":6}</v>
      </c>
      <c r="E69" s="8" t="str">
        <f t="shared" si="2"/>
        <v>liquidificador</v>
      </c>
      <c r="F69" s="8"/>
      <c r="G69" s="15" t="str">
        <f t="shared" si="3"/>
        <v>6</v>
      </c>
      <c r="H69" s="9">
        <f t="shared" si="4"/>
        <v>6</v>
      </c>
      <c r="I69" s="6" t="str">
        <f>IFERROR(__xludf.DUMMYFUNCTION("MAX(FILTER($H$2:$H501,$E$2:$E501=F69))"),"#N/A")</f>
        <v>#N/A</v>
      </c>
    </row>
    <row r="70">
      <c r="A70" s="4"/>
      <c r="B70" s="4"/>
      <c r="C70" s="4" t="s">
        <v>2230</v>
      </c>
      <c r="D70" s="6" t="str">
        <f t="shared" si="1"/>
        <v>{"valorA":"fone de ouvido","valorB":5}</v>
      </c>
      <c r="E70" s="8" t="str">
        <f t="shared" si="2"/>
        <v>fone de ouvido</v>
      </c>
      <c r="F70" s="8"/>
      <c r="G70" s="15" t="str">
        <f t="shared" si="3"/>
        <v>5</v>
      </c>
      <c r="H70" s="9">
        <f t="shared" si="4"/>
        <v>5</v>
      </c>
      <c r="I70" s="6" t="str">
        <f>IFERROR(__xludf.DUMMYFUNCTION("MAX(FILTER($H$2:$H501,$E$2:$E501=F70))"),"#N/A")</f>
        <v>#N/A</v>
      </c>
    </row>
    <row r="71">
      <c r="A71" s="4"/>
      <c r="B71" s="4"/>
      <c r="C71" s="4" t="s">
        <v>2231</v>
      </c>
      <c r="D71" s="6" t="str">
        <f t="shared" si="1"/>
        <v>{"valorA":"liquidificador","valorB":7}</v>
      </c>
      <c r="E71" s="8" t="str">
        <f t="shared" si="2"/>
        <v>liquidificador</v>
      </c>
      <c r="F71" s="8"/>
      <c r="G71" s="15" t="str">
        <f t="shared" si="3"/>
        <v>7</v>
      </c>
      <c r="H71" s="9">
        <f t="shared" si="4"/>
        <v>7</v>
      </c>
      <c r="I71" s="6" t="str">
        <f>IFERROR(__xludf.DUMMYFUNCTION("MAX(FILTER($H$2:$H501,$E$2:$E501=F71))"),"#N/A")</f>
        <v>#N/A</v>
      </c>
    </row>
    <row r="72">
      <c r="A72" s="4"/>
      <c r="B72" s="4"/>
      <c r="C72" s="4" t="s">
        <v>2232</v>
      </c>
      <c r="D72" s="6" t="str">
        <f t="shared" si="1"/>
        <v>{"valorA":"chuveiro elétrico","valorB":8}</v>
      </c>
      <c r="E72" s="8" t="str">
        <f t="shared" si="2"/>
        <v>chuveiro elétrico</v>
      </c>
      <c r="F72" s="8"/>
      <c r="G72" s="15" t="str">
        <f t="shared" si="3"/>
        <v>8</v>
      </c>
      <c r="H72" s="9">
        <f t="shared" si="4"/>
        <v>8</v>
      </c>
      <c r="I72" s="6" t="str">
        <f>IFERROR(__xludf.DUMMYFUNCTION("MAX(FILTER($H$2:$H501,$E$2:$E501=F72))"),"#N/A")</f>
        <v>#N/A</v>
      </c>
    </row>
    <row r="73">
      <c r="A73" s="4"/>
      <c r="B73" s="4"/>
      <c r="C73" s="4" t="s">
        <v>1661</v>
      </c>
      <c r="D73" s="6" t="str">
        <f t="shared" si="1"/>
        <v>{"valorA":"freezer","valorB":3}</v>
      </c>
      <c r="E73" s="8" t="str">
        <f t="shared" si="2"/>
        <v>freezer</v>
      </c>
      <c r="F73" s="8"/>
      <c r="G73" s="15" t="str">
        <f t="shared" si="3"/>
        <v>3</v>
      </c>
      <c r="H73" s="9">
        <f t="shared" si="4"/>
        <v>3</v>
      </c>
      <c r="I73" s="6" t="str">
        <f>IFERROR(__xludf.DUMMYFUNCTION("MAX(FILTER($H$2:$H501,$E$2:$E501=F73))"),"#N/A")</f>
        <v>#N/A</v>
      </c>
    </row>
    <row r="74">
      <c r="A74" s="4"/>
      <c r="B74" s="4"/>
      <c r="C74" s="4" t="s">
        <v>2233</v>
      </c>
      <c r="D74" s="6" t="str">
        <f t="shared" si="1"/>
        <v>{"valorA":"celular","valorB":2}</v>
      </c>
      <c r="E74" s="8" t="str">
        <f t="shared" si="2"/>
        <v>celular</v>
      </c>
      <c r="F74" s="8"/>
      <c r="G74" s="15" t="str">
        <f t="shared" si="3"/>
        <v>2</v>
      </c>
      <c r="H74" s="9">
        <f t="shared" si="4"/>
        <v>2</v>
      </c>
      <c r="I74" s="6" t="str">
        <f>IFERROR(__xludf.DUMMYFUNCTION("MAX(FILTER($H$2:$H501,$E$2:$E501=F74))"),"#N/A")</f>
        <v>#N/A</v>
      </c>
    </row>
    <row r="75">
      <c r="A75" s="4"/>
      <c r="B75" s="4"/>
      <c r="C75" s="4" t="s">
        <v>2234</v>
      </c>
      <c r="D75" s="6" t="str">
        <f t="shared" si="1"/>
        <v>{"valorA":"fogão","valorB":4}</v>
      </c>
      <c r="E75" s="8" t="str">
        <f t="shared" si="2"/>
        <v>fogão</v>
      </c>
      <c r="F75" s="8"/>
      <c r="G75" s="15" t="str">
        <f t="shared" si="3"/>
        <v>4</v>
      </c>
      <c r="H75" s="9">
        <f t="shared" si="4"/>
        <v>4</v>
      </c>
      <c r="I75" s="6" t="str">
        <f>IFERROR(__xludf.DUMMYFUNCTION("MAX(FILTER($H$2:$H501,$E$2:$E501=F75))"),"#N/A")</f>
        <v>#N/A</v>
      </c>
    </row>
    <row r="76">
      <c r="A76" s="4"/>
      <c r="B76" s="4"/>
      <c r="C76" s="4" t="s">
        <v>2235</v>
      </c>
      <c r="D76" s="6" t="str">
        <f t="shared" si="1"/>
        <v>{"valorA":"mouse de computador","valorB":3}</v>
      </c>
      <c r="E76" s="8" t="str">
        <f t="shared" si="2"/>
        <v>mouse de computador</v>
      </c>
      <c r="F76" s="8"/>
      <c r="G76" s="15" t="str">
        <f t="shared" si="3"/>
        <v>3</v>
      </c>
      <c r="H76" s="9">
        <f t="shared" si="4"/>
        <v>3</v>
      </c>
      <c r="I76" s="6" t="str">
        <f>IFERROR(__xludf.DUMMYFUNCTION("MAX(FILTER($H$2:$H501,$E$2:$E501=F76))"),"#N/A")</f>
        <v>#N/A</v>
      </c>
    </row>
    <row r="77">
      <c r="A77" s="4"/>
      <c r="B77" s="4"/>
      <c r="C77" s="4" t="s">
        <v>2236</v>
      </c>
      <c r="D77" s="6" t="str">
        <f t="shared" si="1"/>
        <v>{"valorA":"filtro de linha","valorB":2}</v>
      </c>
      <c r="E77" s="8" t="str">
        <f t="shared" si="2"/>
        <v>filtro de linha</v>
      </c>
      <c r="F77" s="8"/>
      <c r="G77" s="15" t="str">
        <f t="shared" si="3"/>
        <v>2</v>
      </c>
      <c r="H77" s="9">
        <f t="shared" si="4"/>
        <v>2</v>
      </c>
      <c r="I77" s="6" t="str">
        <f>IFERROR(__xludf.DUMMYFUNCTION("MAX(FILTER($H$2:$H501,$E$2:$E501=F77))"),"#N/A")</f>
        <v>#N/A</v>
      </c>
    </row>
    <row r="78">
      <c r="A78" s="4"/>
      <c r="B78" s="4"/>
      <c r="C78" s="4" t="s">
        <v>2237</v>
      </c>
      <c r="D78" s="6" t="str">
        <f t="shared" si="1"/>
        <v>{"valorA":"liquidificador","valorB":8}</v>
      </c>
      <c r="E78" s="8" t="str">
        <f t="shared" si="2"/>
        <v>liquidificador</v>
      </c>
      <c r="F78" s="8"/>
      <c r="G78" s="15" t="str">
        <f t="shared" si="3"/>
        <v>8</v>
      </c>
      <c r="H78" s="9">
        <f t="shared" si="4"/>
        <v>8</v>
      </c>
      <c r="I78" s="6" t="str">
        <f>IFERROR(__xludf.DUMMYFUNCTION("MAX(FILTER($H$2:$H501,$E$2:$E501=F78))"),"#N/A")</f>
        <v>#N/A</v>
      </c>
    </row>
    <row r="79">
      <c r="A79" s="4"/>
      <c r="B79" s="4"/>
      <c r="C79" s="4" t="s">
        <v>1662</v>
      </c>
      <c r="D79" s="6" t="str">
        <f t="shared" si="1"/>
        <v>{"valorA":"freezer","valorB":4}</v>
      </c>
      <c r="E79" s="8" t="str">
        <f t="shared" si="2"/>
        <v>freezer</v>
      </c>
      <c r="F79" s="8"/>
      <c r="G79" s="15" t="str">
        <f t="shared" si="3"/>
        <v>4</v>
      </c>
      <c r="H79" s="9">
        <f t="shared" si="4"/>
        <v>4</v>
      </c>
      <c r="I79" s="6" t="str">
        <f>IFERROR(__xludf.DUMMYFUNCTION("MAX(FILTER($H$2:$H501,$E$2:$E501=F79))"),"#N/A")</f>
        <v>#N/A</v>
      </c>
    </row>
    <row r="80">
      <c r="A80" s="4"/>
      <c r="B80" s="4"/>
      <c r="C80" s="4" t="s">
        <v>2238</v>
      </c>
      <c r="D80" s="6" t="str">
        <f t="shared" si="1"/>
        <v>{"valorA":"lustre","valorB":4}</v>
      </c>
      <c r="E80" s="8" t="str">
        <f t="shared" si="2"/>
        <v>lustre</v>
      </c>
      <c r="F80" s="8"/>
      <c r="G80" s="15" t="str">
        <f t="shared" si="3"/>
        <v>4</v>
      </c>
      <c r="H80" s="9">
        <f t="shared" si="4"/>
        <v>4</v>
      </c>
      <c r="I80" s="6" t="str">
        <f>IFERROR(__xludf.DUMMYFUNCTION("MAX(FILTER($H$2:$H501,$E$2:$E501=F80))"),"#N/A")</f>
        <v>#N/A</v>
      </c>
    </row>
    <row r="81">
      <c r="A81" s="4"/>
      <c r="B81" s="4"/>
      <c r="C81" s="4" t="s">
        <v>2239</v>
      </c>
      <c r="D81" s="6" t="str">
        <f t="shared" si="1"/>
        <v>{"valorA":"purificador de água","valorB":5}</v>
      </c>
      <c r="E81" s="8" t="str">
        <f t="shared" si="2"/>
        <v>purificador de água</v>
      </c>
      <c r="F81" s="8"/>
      <c r="G81" s="15" t="str">
        <f t="shared" si="3"/>
        <v>5</v>
      </c>
      <c r="H81" s="9">
        <f t="shared" si="4"/>
        <v>5</v>
      </c>
      <c r="I81" s="6" t="str">
        <f>IFERROR(__xludf.DUMMYFUNCTION("MAX(FILTER($H$2:$H501,$E$2:$E501=F81))"),"#N/A")</f>
        <v>#N/A</v>
      </c>
    </row>
    <row r="82">
      <c r="A82" s="4"/>
      <c r="B82" s="4"/>
      <c r="C82" s="4" t="s">
        <v>2240</v>
      </c>
      <c r="D82" s="6" t="str">
        <f t="shared" si="1"/>
        <v>{"valorA":"ventilador","valorB":6}</v>
      </c>
      <c r="E82" s="8" t="str">
        <f t="shared" si="2"/>
        <v>ventilador</v>
      </c>
      <c r="F82" s="8"/>
      <c r="G82" s="15" t="str">
        <f t="shared" si="3"/>
        <v>6</v>
      </c>
      <c r="H82" s="9">
        <f t="shared" si="4"/>
        <v>6</v>
      </c>
      <c r="I82" s="6" t="str">
        <f>IFERROR(__xludf.DUMMYFUNCTION("MAX(FILTER($H$2:$H501,$E$2:$E501=F82))"),"#N/A")</f>
        <v>#N/A</v>
      </c>
    </row>
    <row r="83">
      <c r="A83" s="4"/>
      <c r="B83" s="4"/>
      <c r="C83" s="4" t="s">
        <v>2241</v>
      </c>
      <c r="D83" s="6" t="str">
        <f t="shared" si="1"/>
        <v>{"valorA":"carregador de computador","valorB":3}</v>
      </c>
      <c r="E83" s="8" t="str">
        <f t="shared" si="2"/>
        <v>carregador de computador</v>
      </c>
      <c r="F83" s="8"/>
      <c r="G83" s="15" t="str">
        <f t="shared" si="3"/>
        <v>3</v>
      </c>
      <c r="H83" s="9">
        <f t="shared" si="4"/>
        <v>3</v>
      </c>
      <c r="I83" s="6" t="str">
        <f>IFERROR(__xludf.DUMMYFUNCTION("MAX(FILTER($H$2:$H501,$E$2:$E501=F83))"),"#N/A")</f>
        <v>#N/A</v>
      </c>
    </row>
    <row r="84">
      <c r="A84" s="4"/>
      <c r="B84" s="4"/>
      <c r="C84" s="4" t="s">
        <v>1663</v>
      </c>
      <c r="D84" s="6" t="str">
        <f t="shared" si="1"/>
        <v>{"valorA":"freezer","valorB":5}</v>
      </c>
      <c r="E84" s="8" t="str">
        <f t="shared" si="2"/>
        <v>freezer</v>
      </c>
      <c r="F84" s="8"/>
      <c r="G84" s="15" t="str">
        <f t="shared" si="3"/>
        <v>5</v>
      </c>
      <c r="H84" s="9">
        <f t="shared" si="4"/>
        <v>5</v>
      </c>
      <c r="I84" s="6" t="str">
        <f>IFERROR(__xludf.DUMMYFUNCTION("MAX(FILTER($H$2:$H501,$E$2:$E501=F84))"),"#N/A")</f>
        <v>#N/A</v>
      </c>
    </row>
    <row r="85">
      <c r="A85" s="4"/>
      <c r="B85" s="4"/>
      <c r="C85" s="4" t="s">
        <v>2242</v>
      </c>
      <c r="D85" s="6" t="str">
        <f t="shared" si="1"/>
        <v>{"valorA":"computador","valorB":5}</v>
      </c>
      <c r="E85" s="8" t="str">
        <f t="shared" si="2"/>
        <v>computador</v>
      </c>
      <c r="F85" s="8"/>
      <c r="G85" s="15" t="str">
        <f t="shared" si="3"/>
        <v>5</v>
      </c>
      <c r="H85" s="9">
        <f t="shared" si="4"/>
        <v>5</v>
      </c>
      <c r="I85" s="6" t="str">
        <f>IFERROR(__xludf.DUMMYFUNCTION("MAX(FILTER($H$2:$H501,$E$2:$E501=F85))"),"#N/A")</f>
        <v>#N/A</v>
      </c>
    </row>
    <row r="86">
      <c r="A86" s="4"/>
      <c r="B86" s="4"/>
      <c r="C86" s="4" t="s">
        <v>2243</v>
      </c>
      <c r="D86" s="6" t="str">
        <f t="shared" si="1"/>
        <v>{"valorA":"roteador","valorB":3}</v>
      </c>
      <c r="E86" s="8" t="str">
        <f t="shared" si="2"/>
        <v>roteador</v>
      </c>
      <c r="F86" s="8"/>
      <c r="G86" s="15" t="str">
        <f t="shared" si="3"/>
        <v>3</v>
      </c>
      <c r="H86" s="9">
        <f t="shared" si="4"/>
        <v>3</v>
      </c>
      <c r="I86" s="6" t="str">
        <f>IFERROR(__xludf.DUMMYFUNCTION("MAX(FILTER($H$2:$H501,$E$2:$E501=F86))"),"#N/A")</f>
        <v>#N/A</v>
      </c>
    </row>
    <row r="87">
      <c r="A87" s="4"/>
      <c r="B87" s="4"/>
      <c r="C87" s="4" t="s">
        <v>2244</v>
      </c>
      <c r="D87" s="6" t="str">
        <f t="shared" si="1"/>
        <v>{"valorA":"relógio","valorB":7}</v>
      </c>
      <c r="E87" s="8" t="str">
        <f t="shared" si="2"/>
        <v>relógio</v>
      </c>
      <c r="F87" s="8"/>
      <c r="G87" s="15" t="str">
        <f t="shared" si="3"/>
        <v>7</v>
      </c>
      <c r="H87" s="9">
        <f t="shared" si="4"/>
        <v>7</v>
      </c>
      <c r="I87" s="6" t="str">
        <f>IFERROR(__xludf.DUMMYFUNCTION("MAX(FILTER($H$2:$H501,$E$2:$E501=F87))"),"#N/A")</f>
        <v>#N/A</v>
      </c>
    </row>
    <row r="88">
      <c r="A88" s="4"/>
      <c r="B88" s="4"/>
      <c r="C88" s="4" t="s">
        <v>2245</v>
      </c>
      <c r="D88" s="6" t="str">
        <f t="shared" si="1"/>
        <v>{"valorA":"relógio","valorB":8}</v>
      </c>
      <c r="E88" s="8" t="str">
        <f t="shared" si="2"/>
        <v>relógio</v>
      </c>
      <c r="F88" s="8"/>
      <c r="G88" s="15" t="str">
        <f t="shared" si="3"/>
        <v>8</v>
      </c>
      <c r="H88" s="9">
        <f t="shared" si="4"/>
        <v>8</v>
      </c>
      <c r="I88" s="6" t="str">
        <f>IFERROR(__xludf.DUMMYFUNCTION("MAX(FILTER($H$2:$H501,$E$2:$E501=F88))"),"#N/A")</f>
        <v>#N/A</v>
      </c>
    </row>
    <row r="89">
      <c r="A89" s="4"/>
      <c r="B89" s="4"/>
      <c r="C89" s="4" t="s">
        <v>2246</v>
      </c>
      <c r="D89" s="6" t="str">
        <f t="shared" si="1"/>
        <v>{"valorA":"ventilador","valorB":7}</v>
      </c>
      <c r="E89" s="8" t="str">
        <f t="shared" si="2"/>
        <v>ventilador</v>
      </c>
      <c r="F89" s="8"/>
      <c r="G89" s="15" t="str">
        <f t="shared" si="3"/>
        <v>7</v>
      </c>
      <c r="H89" s="9">
        <f t="shared" si="4"/>
        <v>7</v>
      </c>
      <c r="I89" s="6" t="str">
        <f>IFERROR(__xludf.DUMMYFUNCTION("MAX(FILTER($H$2:$H501,$E$2:$E501=F89))"),"#N/A")</f>
        <v>#N/A</v>
      </c>
    </row>
    <row r="90">
      <c r="A90" s="4"/>
      <c r="B90" s="4"/>
      <c r="C90" s="4" t="s">
        <v>1699</v>
      </c>
      <c r="D90" s="6" t="str">
        <f t="shared" si="1"/>
        <v>{"valorA":"microondas","valorB":4}</v>
      </c>
      <c r="E90" s="8" t="str">
        <f t="shared" si="2"/>
        <v>microondas</v>
      </c>
      <c r="F90" s="8"/>
      <c r="G90" s="15" t="str">
        <f t="shared" si="3"/>
        <v>4</v>
      </c>
      <c r="H90" s="9">
        <f t="shared" si="4"/>
        <v>4</v>
      </c>
      <c r="I90" s="6" t="str">
        <f>IFERROR(__xludf.DUMMYFUNCTION("MAX(FILTER($H$2:$H501,$E$2:$E501=F90))"),"#N/A")</f>
        <v>#N/A</v>
      </c>
    </row>
    <row r="91">
      <c r="A91" s="4"/>
      <c r="B91" s="4"/>
      <c r="C91" s="4" t="s">
        <v>2247</v>
      </c>
      <c r="D91" s="6" t="str">
        <f t="shared" si="1"/>
        <v>{"valorA":"computador","valorB":6}</v>
      </c>
      <c r="E91" s="8" t="str">
        <f t="shared" si="2"/>
        <v>computador</v>
      </c>
      <c r="F91" s="8"/>
      <c r="G91" s="15" t="str">
        <f t="shared" si="3"/>
        <v>6</v>
      </c>
      <c r="H91" s="9">
        <f t="shared" si="4"/>
        <v>6</v>
      </c>
      <c r="I91" s="6" t="str">
        <f>IFERROR(__xludf.DUMMYFUNCTION("MAX(FILTER($H$2:$H501,$E$2:$E501=F91))"),"#N/A")</f>
        <v>#N/A</v>
      </c>
    </row>
    <row r="92">
      <c r="A92" s="4"/>
      <c r="B92" s="4"/>
      <c r="C92" s="4" t="s">
        <v>2248</v>
      </c>
      <c r="D92" s="6" t="str">
        <f t="shared" si="1"/>
        <v>{"valorA":"roteador","valorB":4}</v>
      </c>
      <c r="E92" s="8" t="str">
        <f t="shared" si="2"/>
        <v>roteador</v>
      </c>
      <c r="F92" s="8"/>
      <c r="G92" s="15" t="str">
        <f t="shared" si="3"/>
        <v>4</v>
      </c>
      <c r="H92" s="9">
        <f t="shared" si="4"/>
        <v>4</v>
      </c>
      <c r="I92" s="6" t="str">
        <f>IFERROR(__xludf.DUMMYFUNCTION("MAX(FILTER($H$2:$H501,$E$2:$E501=F92))"),"#N/A")</f>
        <v>#N/A</v>
      </c>
    </row>
    <row r="93">
      <c r="A93" s="4"/>
      <c r="B93" s="4"/>
      <c r="C93" s="4" t="s">
        <v>2249</v>
      </c>
      <c r="D93" s="6" t="str">
        <f t="shared" si="1"/>
        <v>{"valorA":"aspirador","valorB":5}</v>
      </c>
      <c r="E93" s="8" t="str">
        <f t="shared" si="2"/>
        <v>aspirador</v>
      </c>
      <c r="F93" s="8"/>
      <c r="G93" s="15" t="str">
        <f t="shared" si="3"/>
        <v>5</v>
      </c>
      <c r="H93" s="9">
        <f t="shared" si="4"/>
        <v>5</v>
      </c>
      <c r="I93" s="6" t="str">
        <f>IFERROR(__xludf.DUMMYFUNCTION("MAX(FILTER($H$2:$H501,$E$2:$E501=F93))"),"#N/A")</f>
        <v>#N/A</v>
      </c>
    </row>
    <row r="94">
      <c r="A94" s="4"/>
      <c r="B94" s="4"/>
      <c r="C94" s="4" t="s">
        <v>1664</v>
      </c>
      <c r="D94" s="6" t="str">
        <f t="shared" si="1"/>
        <v>{"valorA":"freezer","valorB":6}</v>
      </c>
      <c r="E94" s="8" t="str">
        <f t="shared" si="2"/>
        <v>freezer</v>
      </c>
      <c r="F94" s="8"/>
      <c r="G94" s="15" t="str">
        <f t="shared" si="3"/>
        <v>6</v>
      </c>
      <c r="H94" s="9">
        <f t="shared" si="4"/>
        <v>6</v>
      </c>
      <c r="I94" s="6" t="str">
        <f>IFERROR(__xludf.DUMMYFUNCTION("MAX(FILTER($H$2:$H501,$E$2:$E501=F94))"),"#N/A")</f>
        <v>#N/A</v>
      </c>
    </row>
    <row r="95">
      <c r="A95" s="4"/>
      <c r="B95" s="4"/>
      <c r="C95" s="4" t="s">
        <v>2250</v>
      </c>
      <c r="D95" s="6" t="str">
        <f t="shared" si="1"/>
        <v>{"valorA":"liquidificador","valorB":9}</v>
      </c>
      <c r="E95" s="8" t="str">
        <f t="shared" si="2"/>
        <v>liquidificador</v>
      </c>
      <c r="F95" s="8"/>
      <c r="G95" s="15" t="str">
        <f t="shared" si="3"/>
        <v>9</v>
      </c>
      <c r="H95" s="9">
        <f t="shared" si="4"/>
        <v>9</v>
      </c>
      <c r="I95" s="6" t="str">
        <f>IFERROR(__xludf.DUMMYFUNCTION("MAX(FILTER($H$2:$H501,$E$2:$E501=F95))"),"#N/A")</f>
        <v>#N/A</v>
      </c>
    </row>
    <row r="96">
      <c r="A96" s="4"/>
      <c r="B96" s="4"/>
      <c r="C96" s="4" t="s">
        <v>2251</v>
      </c>
      <c r="D96" s="6" t="str">
        <f t="shared" si="1"/>
        <v>{"valorA":"teclado de computador","valorB":4}</v>
      </c>
      <c r="E96" s="8" t="str">
        <f t="shared" si="2"/>
        <v>teclado de computador</v>
      </c>
      <c r="F96" s="8"/>
      <c r="G96" s="15" t="str">
        <f t="shared" si="3"/>
        <v>4</v>
      </c>
      <c r="H96" s="9">
        <f t="shared" si="4"/>
        <v>4</v>
      </c>
      <c r="I96" s="6" t="str">
        <f>IFERROR(__xludf.DUMMYFUNCTION("MAX(FILTER($H$2:$H501,$E$2:$E501=F96))"),"#N/A")</f>
        <v>#N/A</v>
      </c>
    </row>
    <row r="97">
      <c r="A97" s="4"/>
      <c r="B97" s="4"/>
      <c r="C97" s="4" t="s">
        <v>2252</v>
      </c>
      <c r="D97" s="6" t="str">
        <f t="shared" si="1"/>
        <v>{"valorA":"fone de ouvido","valorB":6}</v>
      </c>
      <c r="E97" s="8" t="str">
        <f t="shared" si="2"/>
        <v>fone de ouvido</v>
      </c>
      <c r="F97" s="8"/>
      <c r="G97" s="15" t="str">
        <f t="shared" si="3"/>
        <v>6</v>
      </c>
      <c r="H97" s="9">
        <f t="shared" si="4"/>
        <v>6</v>
      </c>
      <c r="I97" s="6" t="str">
        <f>IFERROR(__xludf.DUMMYFUNCTION("MAX(FILTER($H$2:$H501,$E$2:$E501=F97))"),"#N/A")</f>
        <v>#N/A</v>
      </c>
    </row>
    <row r="98">
      <c r="A98" s="4"/>
      <c r="B98" s="4"/>
      <c r="C98" s="4" t="s">
        <v>2253</v>
      </c>
      <c r="D98" s="6" t="str">
        <f t="shared" si="1"/>
        <v>{"valorA":"purificador de água","valorB":6}</v>
      </c>
      <c r="E98" s="8" t="str">
        <f t="shared" si="2"/>
        <v>purificador de água</v>
      </c>
      <c r="F98" s="8"/>
      <c r="G98" s="15" t="str">
        <f t="shared" si="3"/>
        <v>6</v>
      </c>
      <c r="H98" s="9">
        <f t="shared" si="4"/>
        <v>6</v>
      </c>
      <c r="I98" s="6" t="str">
        <f>IFERROR(__xludf.DUMMYFUNCTION("MAX(FILTER($H$2:$H501,$E$2:$E501=F98))"),"#N/A")</f>
        <v>#N/A</v>
      </c>
    </row>
    <row r="99">
      <c r="A99" s="4"/>
      <c r="B99" s="4"/>
      <c r="C99" s="4" t="s">
        <v>1700</v>
      </c>
      <c r="D99" s="6" t="str">
        <f t="shared" si="1"/>
        <v>{"valorA":"ar condicionado","valorB":5}</v>
      </c>
      <c r="E99" s="8" t="str">
        <f t="shared" si="2"/>
        <v>ar condicionado</v>
      </c>
      <c r="F99" s="8"/>
      <c r="G99" s="15" t="str">
        <f t="shared" si="3"/>
        <v>5</v>
      </c>
      <c r="H99" s="9">
        <f t="shared" si="4"/>
        <v>5</v>
      </c>
      <c r="I99" s="6" t="str">
        <f>IFERROR(__xludf.DUMMYFUNCTION("MAX(FILTER($H$2:$H501,$E$2:$E501=F99))"),"#N/A")</f>
        <v>#N/A</v>
      </c>
    </row>
    <row r="100">
      <c r="A100" s="4"/>
      <c r="B100" s="4"/>
      <c r="C100" s="4" t="s">
        <v>2254</v>
      </c>
      <c r="D100" s="6" t="str">
        <f t="shared" si="1"/>
        <v>{"valorA":"fogão","valorB":5}</v>
      </c>
      <c r="E100" s="8" t="str">
        <f t="shared" si="2"/>
        <v>fogão</v>
      </c>
      <c r="F100" s="8"/>
      <c r="G100" s="15" t="str">
        <f t="shared" si="3"/>
        <v>5</v>
      </c>
      <c r="H100" s="9">
        <f t="shared" si="4"/>
        <v>5</v>
      </c>
      <c r="I100" s="6" t="str">
        <f>IFERROR(__xludf.DUMMYFUNCTION("MAX(FILTER($H$2:$H501,$E$2:$E501=F100))"),"#N/A")</f>
        <v>#N/A</v>
      </c>
    </row>
    <row r="101">
      <c r="A101" s="4"/>
      <c r="B101" s="4"/>
      <c r="C101" s="4" t="s">
        <v>2255</v>
      </c>
      <c r="D101" s="6" t="str">
        <f t="shared" si="1"/>
        <v>{"valorA":"chuveiro elétrico","valorB":9}</v>
      </c>
      <c r="E101" s="8" t="str">
        <f t="shared" si="2"/>
        <v>chuveiro elétrico</v>
      </c>
      <c r="F101" s="8"/>
      <c r="G101" s="15" t="str">
        <f t="shared" si="3"/>
        <v>9</v>
      </c>
      <c r="H101" s="9">
        <f t="shared" si="4"/>
        <v>9</v>
      </c>
      <c r="I101" s="6" t="str">
        <f>IFERROR(__xludf.DUMMYFUNCTION("MAX(FILTER($H$2:$H501,$E$2:$E501=F101))"),"#N/A")</f>
        <v>#N/A</v>
      </c>
    </row>
    <row r="102">
      <c r="A102" s="4"/>
      <c r="B102" s="4"/>
      <c r="C102" s="4" t="s">
        <v>2256</v>
      </c>
      <c r="D102" s="6" t="str">
        <f t="shared" si="1"/>
        <v>{"valorA":"carregador de computador","valorB":4}</v>
      </c>
      <c r="E102" s="8" t="str">
        <f t="shared" si="2"/>
        <v>carregador de computador</v>
      </c>
      <c r="F102" s="8"/>
      <c r="G102" s="15" t="str">
        <f t="shared" si="3"/>
        <v>4</v>
      </c>
      <c r="H102" s="9">
        <f t="shared" si="4"/>
        <v>4</v>
      </c>
      <c r="I102" s="6" t="str">
        <f>IFERROR(__xludf.DUMMYFUNCTION("MAX(FILTER($H$2:$H501,$E$2:$E501=F102))"),"#N/A")</f>
        <v>#N/A</v>
      </c>
    </row>
    <row r="103">
      <c r="A103" s="4"/>
      <c r="B103" s="4"/>
      <c r="C103" s="4" t="s">
        <v>2257</v>
      </c>
      <c r="D103" s="6" t="str">
        <f t="shared" si="1"/>
        <v>{"valorA":"celular","valorB":3}</v>
      </c>
      <c r="E103" s="8" t="str">
        <f t="shared" si="2"/>
        <v>celular</v>
      </c>
      <c r="F103" s="8"/>
      <c r="G103" s="15" t="str">
        <f t="shared" si="3"/>
        <v>3</v>
      </c>
      <c r="H103" s="9">
        <f t="shared" si="4"/>
        <v>3</v>
      </c>
      <c r="I103" s="6" t="str">
        <f>IFERROR(__xludf.DUMMYFUNCTION("MAX(FILTER($H$2:$H501,$E$2:$E501=F103))"),"#N/A")</f>
        <v>#N/A</v>
      </c>
    </row>
    <row r="104">
      <c r="A104" s="4"/>
      <c r="B104" s="4"/>
      <c r="C104" s="4" t="s">
        <v>2258</v>
      </c>
      <c r="D104" s="6" t="str">
        <f t="shared" si="1"/>
        <v>{"valorA":"chuveiro elétrico","valorB":10}</v>
      </c>
      <c r="E104" s="8" t="str">
        <f t="shared" si="2"/>
        <v>chuveiro elétrico</v>
      </c>
      <c r="F104" s="8"/>
      <c r="G104" s="15" t="str">
        <f t="shared" si="3"/>
        <v>10</v>
      </c>
      <c r="H104" s="9">
        <f t="shared" si="4"/>
        <v>10</v>
      </c>
      <c r="I104" s="6" t="str">
        <f>IFERROR(__xludf.DUMMYFUNCTION("MAX(FILTER($H$2:$H501,$E$2:$E501=F104))"),"#N/A")</f>
        <v>#N/A</v>
      </c>
    </row>
    <row r="105">
      <c r="A105" s="4"/>
      <c r="B105" s="4"/>
      <c r="C105" s="4" t="s">
        <v>2259</v>
      </c>
      <c r="D105" s="6" t="str">
        <f t="shared" si="1"/>
        <v>{"valorA":"liquidificador","valorB":10}</v>
      </c>
      <c r="E105" s="8" t="str">
        <f t="shared" si="2"/>
        <v>liquidificador</v>
      </c>
      <c r="F105" s="8"/>
      <c r="G105" s="15" t="str">
        <f t="shared" si="3"/>
        <v>10</v>
      </c>
      <c r="H105" s="9">
        <f t="shared" si="4"/>
        <v>10</v>
      </c>
      <c r="I105" s="6" t="str">
        <f>IFERROR(__xludf.DUMMYFUNCTION("MAX(FILTER($H$2:$H501,$E$2:$E501=F105))"),"#N/A")</f>
        <v>#N/A</v>
      </c>
    </row>
    <row r="106">
      <c r="A106" s="4"/>
      <c r="B106" s="4"/>
      <c r="C106" s="4" t="s">
        <v>2260</v>
      </c>
      <c r="D106" s="6" t="str">
        <f t="shared" si="1"/>
        <v>{"valorA":"carregador de computador","valorB":5}</v>
      </c>
      <c r="E106" s="8" t="str">
        <f t="shared" si="2"/>
        <v>carregador de computador</v>
      </c>
      <c r="F106" s="8"/>
      <c r="G106" s="15" t="str">
        <f t="shared" si="3"/>
        <v>5</v>
      </c>
      <c r="H106" s="9">
        <f t="shared" si="4"/>
        <v>5</v>
      </c>
      <c r="I106" s="6" t="str">
        <f>IFERROR(__xludf.DUMMYFUNCTION("MAX(FILTER($H$2:$H501,$E$2:$E501=F106))"),"#N/A")</f>
        <v>#N/A</v>
      </c>
    </row>
    <row r="107">
      <c r="A107" s="4"/>
      <c r="B107" s="4"/>
      <c r="C107" s="4" t="s">
        <v>2261</v>
      </c>
      <c r="D107" s="6" t="str">
        <f t="shared" si="1"/>
        <v>{"valorA":"fogão","valorB":6}</v>
      </c>
      <c r="E107" s="8" t="str">
        <f t="shared" si="2"/>
        <v>fogão</v>
      </c>
      <c r="F107" s="8"/>
      <c r="G107" s="15" t="str">
        <f t="shared" si="3"/>
        <v>6</v>
      </c>
      <c r="H107" s="9">
        <f t="shared" si="4"/>
        <v>6</v>
      </c>
      <c r="I107" s="6" t="str">
        <f>IFERROR(__xludf.DUMMYFUNCTION("MAX(FILTER($H$2:$H501,$E$2:$E501=F107))"),"#N/A")</f>
        <v>#N/A</v>
      </c>
    </row>
    <row r="108">
      <c r="A108" s="4"/>
      <c r="B108" s="4"/>
      <c r="C108" s="4" t="s">
        <v>2262</v>
      </c>
      <c r="D108" s="6" t="str">
        <f t="shared" si="1"/>
        <v>{"valorA":"fone de ouvido","valorB":7}</v>
      </c>
      <c r="E108" s="8" t="str">
        <f t="shared" si="2"/>
        <v>fone de ouvido</v>
      </c>
      <c r="F108" s="8"/>
      <c r="G108" s="15" t="str">
        <f t="shared" si="3"/>
        <v>7</v>
      </c>
      <c r="H108" s="9">
        <f t="shared" si="4"/>
        <v>7</v>
      </c>
      <c r="I108" s="6" t="str">
        <f>IFERROR(__xludf.DUMMYFUNCTION("MAX(FILTER($H$2:$H501,$E$2:$E501=F108))"),"#N/A")</f>
        <v>#N/A</v>
      </c>
    </row>
    <row r="109">
      <c r="A109" s="4"/>
      <c r="B109" s="4"/>
      <c r="C109" s="4" t="s">
        <v>2263</v>
      </c>
      <c r="D109" s="6" t="str">
        <f t="shared" si="1"/>
        <v>{"valorA":"fone de ouvido","valorB":8}</v>
      </c>
      <c r="E109" s="8" t="str">
        <f t="shared" si="2"/>
        <v>fone de ouvido</v>
      </c>
      <c r="F109" s="8"/>
      <c r="G109" s="15" t="str">
        <f t="shared" si="3"/>
        <v>8</v>
      </c>
      <c r="H109" s="9">
        <f t="shared" si="4"/>
        <v>8</v>
      </c>
      <c r="I109" s="6" t="str">
        <f>IFERROR(__xludf.DUMMYFUNCTION("MAX(FILTER($H$2:$H501,$E$2:$E501=F109))"),"#N/A")</f>
        <v>#N/A</v>
      </c>
    </row>
    <row r="110">
      <c r="A110" s="4"/>
      <c r="B110" s="4"/>
      <c r="C110" s="4" t="s">
        <v>2264</v>
      </c>
      <c r="D110" s="6" t="str">
        <f t="shared" si="1"/>
        <v>{"valorA":"lustre","valorB":5}</v>
      </c>
      <c r="E110" s="8" t="str">
        <f t="shared" si="2"/>
        <v>lustre</v>
      </c>
      <c r="F110" s="8"/>
      <c r="G110" s="15" t="str">
        <f t="shared" si="3"/>
        <v>5</v>
      </c>
      <c r="H110" s="9">
        <f t="shared" si="4"/>
        <v>5</v>
      </c>
      <c r="I110" s="6" t="str">
        <f>IFERROR(__xludf.DUMMYFUNCTION("MAX(FILTER($H$2:$H501,$E$2:$E501=F110))"),"#N/A")</f>
        <v>#N/A</v>
      </c>
    </row>
    <row r="111">
      <c r="A111" s="4"/>
      <c r="B111" s="4"/>
      <c r="C111" s="4" t="s">
        <v>2265</v>
      </c>
      <c r="D111" s="6" t="str">
        <f t="shared" si="1"/>
        <v>{"valorA":"filtro de linha","valorB":3}</v>
      </c>
      <c r="E111" s="8" t="str">
        <f t="shared" si="2"/>
        <v>filtro de linha</v>
      </c>
      <c r="F111" s="8"/>
      <c r="G111" s="15" t="str">
        <f t="shared" si="3"/>
        <v>3</v>
      </c>
      <c r="H111" s="9">
        <f t="shared" si="4"/>
        <v>3</v>
      </c>
      <c r="I111" s="6" t="str">
        <f>IFERROR(__xludf.DUMMYFUNCTION("MAX(FILTER($H$2:$H501,$E$2:$E501=F111))"),"#N/A")</f>
        <v>#N/A</v>
      </c>
    </row>
    <row r="112">
      <c r="A112" s="4"/>
      <c r="B112" s="4"/>
      <c r="C112" s="4" t="s">
        <v>2266</v>
      </c>
      <c r="D112" s="6" t="str">
        <f t="shared" si="1"/>
        <v>{"valorA":"carregador de celular","valorB":3}</v>
      </c>
      <c r="E112" s="8" t="str">
        <f t="shared" si="2"/>
        <v>carregador de celular</v>
      </c>
      <c r="F112" s="8"/>
      <c r="G112" s="15" t="str">
        <f t="shared" si="3"/>
        <v>3</v>
      </c>
      <c r="H112" s="9">
        <f t="shared" si="4"/>
        <v>3</v>
      </c>
      <c r="I112" s="6" t="str">
        <f>IFERROR(__xludf.DUMMYFUNCTION("MAX(FILTER($H$2:$H501,$E$2:$E501=F112))"),"#N/A")</f>
        <v>#N/A</v>
      </c>
    </row>
    <row r="113">
      <c r="A113" s="4"/>
      <c r="B113" s="4"/>
      <c r="C113" s="4" t="s">
        <v>2267</v>
      </c>
      <c r="D113" s="6" t="str">
        <f t="shared" si="1"/>
        <v>{"valorA":"filtro de linha","valorB":4}</v>
      </c>
      <c r="E113" s="8" t="str">
        <f t="shared" si="2"/>
        <v>filtro de linha</v>
      </c>
      <c r="F113" s="8"/>
      <c r="G113" s="15" t="str">
        <f t="shared" si="3"/>
        <v>4</v>
      </c>
      <c r="H113" s="9">
        <f t="shared" si="4"/>
        <v>4</v>
      </c>
      <c r="I113" s="6" t="str">
        <f>IFERROR(__xludf.DUMMYFUNCTION("MAX(FILTER($H$2:$H501,$E$2:$E501=F113))"),"#N/A")</f>
        <v>#N/A</v>
      </c>
    </row>
    <row r="114">
      <c r="A114" s="4"/>
      <c r="B114" s="4"/>
      <c r="C114" s="4" t="s">
        <v>2268</v>
      </c>
      <c r="D114" s="6" t="str">
        <f t="shared" si="1"/>
        <v>{"valorA":"aspirador","valorB":6}</v>
      </c>
      <c r="E114" s="8" t="str">
        <f t="shared" si="2"/>
        <v>aspirador</v>
      </c>
      <c r="F114" s="8"/>
      <c r="G114" s="15" t="str">
        <f t="shared" si="3"/>
        <v>6</v>
      </c>
      <c r="H114" s="9">
        <f t="shared" si="4"/>
        <v>6</v>
      </c>
      <c r="I114" s="6" t="str">
        <f>IFERROR(__xludf.DUMMYFUNCTION("MAX(FILTER($H$2:$H501,$E$2:$E501=F114))"),"#N/A")</f>
        <v>#N/A</v>
      </c>
    </row>
    <row r="115">
      <c r="A115" s="4"/>
      <c r="B115" s="4"/>
      <c r="C115" s="4" t="s">
        <v>1701</v>
      </c>
      <c r="D115" s="6" t="str">
        <f t="shared" si="1"/>
        <v>{"valorA":"microondas","valorB":5}</v>
      </c>
      <c r="E115" s="8" t="str">
        <f t="shared" si="2"/>
        <v>microondas</v>
      </c>
      <c r="F115" s="8"/>
      <c r="G115" s="15" t="str">
        <f t="shared" si="3"/>
        <v>5</v>
      </c>
      <c r="H115" s="9">
        <f t="shared" si="4"/>
        <v>5</v>
      </c>
      <c r="I115" s="6" t="str">
        <f>IFERROR(__xludf.DUMMYFUNCTION("MAX(FILTER($H$2:$H501,$E$2:$E501=F115))"),"#N/A")</f>
        <v>#N/A</v>
      </c>
    </row>
    <row r="116">
      <c r="A116" s="4"/>
      <c r="B116" s="4"/>
      <c r="C116" s="4" t="s">
        <v>2269</v>
      </c>
      <c r="D116" s="6" t="str">
        <f t="shared" si="1"/>
        <v>{"valorA":"computador","valorB":7}</v>
      </c>
      <c r="E116" s="8" t="str">
        <f t="shared" si="2"/>
        <v>computador</v>
      </c>
      <c r="F116" s="8"/>
      <c r="G116" s="15" t="str">
        <f t="shared" si="3"/>
        <v>7</v>
      </c>
      <c r="H116" s="9">
        <f t="shared" si="4"/>
        <v>7</v>
      </c>
      <c r="I116" s="6" t="str">
        <f>IFERROR(__xludf.DUMMYFUNCTION("MAX(FILTER($H$2:$H501,$E$2:$E501=F116))"),"#N/A")</f>
        <v>#N/A</v>
      </c>
    </row>
    <row r="117">
      <c r="A117" s="4"/>
      <c r="B117" s="4"/>
      <c r="C117" s="4" t="s">
        <v>2270</v>
      </c>
      <c r="D117" s="6" t="str">
        <f t="shared" si="1"/>
        <v>{"valorA":"carregador de celular","valorB":4}</v>
      </c>
      <c r="E117" s="8" t="str">
        <f t="shared" si="2"/>
        <v>carregador de celular</v>
      </c>
      <c r="F117" s="8"/>
      <c r="G117" s="15" t="str">
        <f t="shared" si="3"/>
        <v>4</v>
      </c>
      <c r="H117" s="9">
        <f t="shared" si="4"/>
        <v>4</v>
      </c>
      <c r="I117" s="6" t="str">
        <f>IFERROR(__xludf.DUMMYFUNCTION("MAX(FILTER($H$2:$H501,$E$2:$E501=F117))"),"#N/A")</f>
        <v>#N/A</v>
      </c>
    </row>
    <row r="118">
      <c r="A118" s="4"/>
      <c r="B118" s="4"/>
      <c r="C118" s="4" t="s">
        <v>2271</v>
      </c>
      <c r="D118" s="6" t="str">
        <f t="shared" si="1"/>
        <v>{"valorA":"celular","valorB":4}</v>
      </c>
      <c r="E118" s="8" t="str">
        <f t="shared" si="2"/>
        <v>celular</v>
      </c>
      <c r="F118" s="8"/>
      <c r="G118" s="15" t="str">
        <f t="shared" si="3"/>
        <v>4</v>
      </c>
      <c r="H118" s="9">
        <f t="shared" si="4"/>
        <v>4</v>
      </c>
      <c r="I118" s="6" t="str">
        <f>IFERROR(__xludf.DUMMYFUNCTION("MAX(FILTER($H$2:$H501,$E$2:$E501=F118))"),"#N/A")</f>
        <v>#N/A</v>
      </c>
    </row>
    <row r="119">
      <c r="A119" s="4"/>
      <c r="B119" s="4"/>
      <c r="C119" s="4" t="s">
        <v>2272</v>
      </c>
      <c r="D119" s="6" t="str">
        <f t="shared" si="1"/>
        <v>{"valorA":"computador","valorB":8}</v>
      </c>
      <c r="E119" s="8" t="str">
        <f t="shared" si="2"/>
        <v>computador</v>
      </c>
      <c r="F119" s="8"/>
      <c r="G119" s="15" t="str">
        <f t="shared" si="3"/>
        <v>8</v>
      </c>
      <c r="H119" s="9">
        <f t="shared" si="4"/>
        <v>8</v>
      </c>
      <c r="I119" s="6" t="str">
        <f>IFERROR(__xludf.DUMMYFUNCTION("MAX(FILTER($H$2:$H501,$E$2:$E501=F119))"),"#N/A")</f>
        <v>#N/A</v>
      </c>
    </row>
    <row r="120">
      <c r="A120" s="4"/>
      <c r="B120" s="4"/>
      <c r="C120" s="4" t="s">
        <v>2273</v>
      </c>
      <c r="D120" s="6" t="str">
        <f t="shared" si="1"/>
        <v>{"valorA":"filtro de linha","valorB":5}</v>
      </c>
      <c r="E120" s="8" t="str">
        <f t="shared" si="2"/>
        <v>filtro de linha</v>
      </c>
      <c r="F120" s="8"/>
      <c r="G120" s="15" t="str">
        <f t="shared" si="3"/>
        <v>5</v>
      </c>
      <c r="H120" s="9">
        <f t="shared" si="4"/>
        <v>5</v>
      </c>
      <c r="I120" s="6" t="str">
        <f>IFERROR(__xludf.DUMMYFUNCTION("MAX(FILTER($H$2:$H501,$E$2:$E501=F120))"),"#N/A")</f>
        <v>#N/A</v>
      </c>
    </row>
    <row r="121">
      <c r="A121" s="4"/>
      <c r="B121" s="4"/>
      <c r="C121" s="4" t="s">
        <v>2274</v>
      </c>
      <c r="D121" s="6" t="str">
        <f t="shared" si="1"/>
        <v>{"valorA":"carregador de celular","valorB":5}</v>
      </c>
      <c r="E121" s="8" t="str">
        <f t="shared" si="2"/>
        <v>carregador de celular</v>
      </c>
      <c r="F121" s="8"/>
      <c r="G121" s="15" t="str">
        <f t="shared" si="3"/>
        <v>5</v>
      </c>
      <c r="H121" s="9">
        <f t="shared" si="4"/>
        <v>5</v>
      </c>
      <c r="I121" s="6" t="str">
        <f>IFERROR(__xludf.DUMMYFUNCTION("MAX(FILTER($H$2:$H501,$E$2:$E501=F121))"),"#N/A")</f>
        <v>#N/A</v>
      </c>
    </row>
    <row r="122">
      <c r="A122" s="4"/>
      <c r="B122" s="4"/>
      <c r="C122" s="4" t="s">
        <v>2275</v>
      </c>
      <c r="D122" s="6" t="str">
        <f t="shared" si="1"/>
        <v>{"valorA":"teclado de computador","valorB":5}</v>
      </c>
      <c r="E122" s="8" t="str">
        <f t="shared" si="2"/>
        <v>teclado de computador</v>
      </c>
      <c r="F122" s="8"/>
      <c r="G122" s="15" t="str">
        <f t="shared" si="3"/>
        <v>5</v>
      </c>
      <c r="H122" s="9">
        <f t="shared" si="4"/>
        <v>5</v>
      </c>
      <c r="I122" s="6" t="str">
        <f>IFERROR(__xludf.DUMMYFUNCTION("MAX(FILTER($H$2:$H501,$E$2:$E501=F122))"),"#N/A")</f>
        <v>#N/A</v>
      </c>
    </row>
    <row r="123">
      <c r="A123" s="4"/>
      <c r="B123" s="4"/>
      <c r="C123" s="4" t="s">
        <v>2276</v>
      </c>
      <c r="D123" s="6" t="str">
        <f t="shared" si="1"/>
        <v>{"valorA":"carregador de celular","valorB":6}</v>
      </c>
      <c r="E123" s="8" t="str">
        <f t="shared" si="2"/>
        <v>carregador de celular</v>
      </c>
      <c r="F123" s="8"/>
      <c r="G123" s="15" t="str">
        <f t="shared" si="3"/>
        <v>6</v>
      </c>
      <c r="H123" s="9">
        <f t="shared" si="4"/>
        <v>6</v>
      </c>
      <c r="I123" s="6" t="str">
        <f>IFERROR(__xludf.DUMMYFUNCTION("MAX(FILTER($H$2:$H501,$E$2:$E501=F123))"),"#N/A")</f>
        <v>#N/A</v>
      </c>
    </row>
    <row r="124">
      <c r="A124" s="4"/>
      <c r="B124" s="4"/>
      <c r="C124" s="4" t="s">
        <v>1665</v>
      </c>
      <c r="D124" s="6" t="str">
        <f t="shared" si="1"/>
        <v>{"valorA":"freezer","valorB":7}</v>
      </c>
      <c r="E124" s="8" t="str">
        <f t="shared" si="2"/>
        <v>freezer</v>
      </c>
      <c r="F124" s="8"/>
      <c r="G124" s="15" t="str">
        <f t="shared" si="3"/>
        <v>7</v>
      </c>
      <c r="H124" s="9">
        <f t="shared" si="4"/>
        <v>7</v>
      </c>
      <c r="I124" s="6" t="str">
        <f>IFERROR(__xludf.DUMMYFUNCTION("MAX(FILTER($H$2:$H501,$E$2:$E501=F124))"),"#N/A")</f>
        <v>#N/A</v>
      </c>
    </row>
    <row r="125">
      <c r="A125" s="4"/>
      <c r="B125" s="4"/>
      <c r="C125" s="4" t="s">
        <v>2277</v>
      </c>
      <c r="D125" s="6" t="str">
        <f t="shared" si="1"/>
        <v>{"valorA":"mouse de computador","valorB":4}</v>
      </c>
      <c r="E125" s="8" t="str">
        <f t="shared" si="2"/>
        <v>mouse de computador</v>
      </c>
      <c r="F125" s="8"/>
      <c r="G125" s="15" t="str">
        <f t="shared" si="3"/>
        <v>4</v>
      </c>
      <c r="H125" s="9">
        <f t="shared" si="4"/>
        <v>4</v>
      </c>
      <c r="I125" s="6" t="str">
        <f>IFERROR(__xludf.DUMMYFUNCTION("MAX(FILTER($H$2:$H501,$E$2:$E501=F125))"),"#N/A")</f>
        <v>#N/A</v>
      </c>
    </row>
    <row r="126">
      <c r="A126" s="4"/>
      <c r="B126" s="4"/>
      <c r="C126" s="4" t="s">
        <v>1702</v>
      </c>
      <c r="D126" s="6" t="str">
        <f t="shared" si="1"/>
        <v>{"valorA":"ar condicionado","valorB":6}</v>
      </c>
      <c r="E126" s="8" t="str">
        <f t="shared" si="2"/>
        <v>ar condicionado</v>
      </c>
      <c r="F126" s="8"/>
      <c r="G126" s="15" t="str">
        <f t="shared" si="3"/>
        <v>6</v>
      </c>
      <c r="H126" s="9">
        <f t="shared" si="4"/>
        <v>6</v>
      </c>
      <c r="I126" s="6" t="str">
        <f>IFERROR(__xludf.DUMMYFUNCTION("MAX(FILTER($H$2:$H501,$E$2:$E501=F126))"),"#N/A")</f>
        <v>#N/A</v>
      </c>
    </row>
    <row r="127">
      <c r="A127" s="4"/>
      <c r="B127" s="4"/>
      <c r="C127" s="4" t="s">
        <v>2278</v>
      </c>
      <c r="D127" s="6" t="str">
        <f t="shared" si="1"/>
        <v>{"valorA":"chuveiro elétrico","valorB":11}</v>
      </c>
      <c r="E127" s="8" t="str">
        <f t="shared" si="2"/>
        <v>chuveiro elétrico</v>
      </c>
      <c r="F127" s="8"/>
      <c r="G127" s="15" t="str">
        <f t="shared" si="3"/>
        <v>11</v>
      </c>
      <c r="H127" s="9">
        <f t="shared" si="4"/>
        <v>11</v>
      </c>
      <c r="I127" s="6" t="str">
        <f>IFERROR(__xludf.DUMMYFUNCTION("MAX(FILTER($H$2:$H501,$E$2:$E501=F127))"),"#N/A")</f>
        <v>#N/A</v>
      </c>
    </row>
    <row r="128">
      <c r="A128" s="4"/>
      <c r="B128" s="4"/>
      <c r="C128" s="4" t="s">
        <v>2279</v>
      </c>
      <c r="D128" s="6" t="str">
        <f t="shared" si="1"/>
        <v>{"valorA":"computador","valorB":9}</v>
      </c>
      <c r="E128" s="8" t="str">
        <f t="shared" si="2"/>
        <v>computador</v>
      </c>
      <c r="F128" s="8"/>
      <c r="G128" s="15" t="str">
        <f t="shared" si="3"/>
        <v>9</v>
      </c>
      <c r="H128" s="9">
        <f t="shared" si="4"/>
        <v>9</v>
      </c>
      <c r="I128" s="6" t="str">
        <f>IFERROR(__xludf.DUMMYFUNCTION("MAX(FILTER($H$2:$H501,$E$2:$E501=F128))"),"#N/A")</f>
        <v>#N/A</v>
      </c>
    </row>
    <row r="129">
      <c r="A129" s="4"/>
      <c r="B129" s="4"/>
      <c r="C129" s="4" t="s">
        <v>1705</v>
      </c>
      <c r="D129" s="6" t="str">
        <f t="shared" si="1"/>
        <v>{"valorA":"ar condicionado","valorB":7}</v>
      </c>
      <c r="E129" s="8" t="str">
        <f t="shared" si="2"/>
        <v>ar condicionado</v>
      </c>
      <c r="F129" s="8"/>
      <c r="G129" s="15" t="str">
        <f t="shared" si="3"/>
        <v>7</v>
      </c>
      <c r="H129" s="9">
        <f t="shared" si="4"/>
        <v>7</v>
      </c>
      <c r="I129" s="6" t="str">
        <f>IFERROR(__xludf.DUMMYFUNCTION("MAX(FILTER($H$2:$H501,$E$2:$E501=F129))"),"#N/A")</f>
        <v>#N/A</v>
      </c>
    </row>
    <row r="130">
      <c r="A130" s="4"/>
      <c r="B130" s="4"/>
      <c r="C130" s="4" t="s">
        <v>2280</v>
      </c>
      <c r="D130" s="6" t="str">
        <f t="shared" si="1"/>
        <v>{"valorA":"aspirador","valorB":7}</v>
      </c>
      <c r="E130" s="8" t="str">
        <f t="shared" si="2"/>
        <v>aspirador</v>
      </c>
      <c r="F130" s="8"/>
      <c r="G130" s="15" t="str">
        <f t="shared" si="3"/>
        <v>7</v>
      </c>
      <c r="H130" s="9">
        <f t="shared" si="4"/>
        <v>7</v>
      </c>
      <c r="I130" s="6" t="str">
        <f>IFERROR(__xludf.DUMMYFUNCTION("MAX(FILTER($H$2:$H501,$E$2:$E501=F130))"),"#N/A")</f>
        <v>#N/A</v>
      </c>
    </row>
    <row r="131">
      <c r="A131" s="4"/>
      <c r="B131" s="4"/>
      <c r="C131" s="4" t="s">
        <v>2281</v>
      </c>
      <c r="D131" s="6" t="str">
        <f t="shared" si="1"/>
        <v>{"valorA":"mouse de computador","valorB":5}</v>
      </c>
      <c r="E131" s="8" t="str">
        <f t="shared" si="2"/>
        <v>mouse de computador</v>
      </c>
      <c r="F131" s="8"/>
      <c r="G131" s="15" t="str">
        <f t="shared" si="3"/>
        <v>5</v>
      </c>
      <c r="H131" s="9">
        <f t="shared" si="4"/>
        <v>5</v>
      </c>
      <c r="I131" s="6" t="str">
        <f>IFERROR(__xludf.DUMMYFUNCTION("MAX(FILTER($H$2:$H501,$E$2:$E501=F131))"),"#N/A")</f>
        <v>#N/A</v>
      </c>
    </row>
    <row r="132">
      <c r="A132" s="4"/>
      <c r="B132" s="4"/>
      <c r="C132" s="4" t="s">
        <v>2282</v>
      </c>
      <c r="D132" s="6" t="str">
        <f t="shared" si="1"/>
        <v>{"valorA":"chuveiro elétrico","valorB":12}</v>
      </c>
      <c r="E132" s="8" t="str">
        <f t="shared" si="2"/>
        <v>chuveiro elétrico</v>
      </c>
      <c r="F132" s="8"/>
      <c r="G132" s="15" t="str">
        <f t="shared" si="3"/>
        <v>12</v>
      </c>
      <c r="H132" s="9">
        <f t="shared" si="4"/>
        <v>12</v>
      </c>
      <c r="I132" s="6" t="str">
        <f>IFERROR(__xludf.DUMMYFUNCTION("MAX(FILTER($H$2:$H501,$E$2:$E501=F132))"),"#N/A")</f>
        <v>#N/A</v>
      </c>
    </row>
    <row r="133">
      <c r="A133" s="4"/>
      <c r="B133" s="4"/>
      <c r="C133" s="4" t="s">
        <v>2283</v>
      </c>
      <c r="D133" s="6" t="str">
        <f t="shared" si="1"/>
        <v>{"valorA":"relógio","valorB":9}</v>
      </c>
      <c r="E133" s="8" t="str">
        <f t="shared" si="2"/>
        <v>relógio</v>
      </c>
      <c r="F133" s="8"/>
      <c r="G133" s="15" t="str">
        <f t="shared" si="3"/>
        <v>9</v>
      </c>
      <c r="H133" s="9">
        <f t="shared" si="4"/>
        <v>9</v>
      </c>
      <c r="I133" s="6" t="str">
        <f>IFERROR(__xludf.DUMMYFUNCTION("MAX(FILTER($H$2:$H501,$E$2:$E501=F133))"),"#N/A")</f>
        <v>#N/A</v>
      </c>
    </row>
    <row r="134">
      <c r="A134" s="4"/>
      <c r="B134" s="4"/>
      <c r="C134" s="4" t="s">
        <v>2284</v>
      </c>
      <c r="D134" s="6" t="str">
        <f t="shared" si="1"/>
        <v>{"valorA":"purificador de água","valorB":7}</v>
      </c>
      <c r="E134" s="8" t="str">
        <f t="shared" si="2"/>
        <v>purificador de água</v>
      </c>
      <c r="F134" s="8"/>
      <c r="G134" s="15" t="str">
        <f t="shared" si="3"/>
        <v>7</v>
      </c>
      <c r="H134" s="9">
        <f t="shared" si="4"/>
        <v>7</v>
      </c>
      <c r="I134" s="6" t="str">
        <f>IFERROR(__xludf.DUMMYFUNCTION("MAX(FILTER($H$2:$H501,$E$2:$E501=F134))"),"#N/A")</f>
        <v>#N/A</v>
      </c>
    </row>
    <row r="135">
      <c r="A135" s="4"/>
      <c r="B135" s="4"/>
      <c r="C135" s="4" t="s">
        <v>2285</v>
      </c>
      <c r="D135" s="6" t="str">
        <f t="shared" si="1"/>
        <v>{"valorA":"carregador de computador","valorB":6}</v>
      </c>
      <c r="E135" s="8" t="str">
        <f t="shared" si="2"/>
        <v>carregador de computador</v>
      </c>
      <c r="F135" s="8"/>
      <c r="G135" s="15" t="str">
        <f t="shared" si="3"/>
        <v>6</v>
      </c>
      <c r="H135" s="9">
        <f t="shared" si="4"/>
        <v>6</v>
      </c>
      <c r="I135" s="6" t="str">
        <f>IFERROR(__xludf.DUMMYFUNCTION("MAX(FILTER($H$2:$H501,$E$2:$E501=F135))"),"#N/A")</f>
        <v>#N/A</v>
      </c>
    </row>
    <row r="136">
      <c r="A136" s="4"/>
      <c r="B136" s="4"/>
      <c r="C136" s="4" t="s">
        <v>1706</v>
      </c>
      <c r="D136" s="6" t="str">
        <f t="shared" si="1"/>
        <v>{"valorA":"ar condicionado","valorB":8}</v>
      </c>
      <c r="E136" s="8" t="str">
        <f t="shared" si="2"/>
        <v>ar condicionado</v>
      </c>
      <c r="F136" s="8"/>
      <c r="G136" s="15" t="str">
        <f t="shared" si="3"/>
        <v>8</v>
      </c>
      <c r="H136" s="9">
        <f t="shared" si="4"/>
        <v>8</v>
      </c>
      <c r="I136" s="6" t="str">
        <f>IFERROR(__xludf.DUMMYFUNCTION("MAX(FILTER($H$2:$H501,$E$2:$E501=F136))"),"#N/A")</f>
        <v>#N/A</v>
      </c>
    </row>
    <row r="137">
      <c r="A137" s="4"/>
      <c r="B137" s="4"/>
      <c r="C137" s="4" t="s">
        <v>2286</v>
      </c>
      <c r="D137" s="6" t="str">
        <f t="shared" si="1"/>
        <v>{"valorA":"carregador de computador","valorB":7}</v>
      </c>
      <c r="E137" s="8" t="str">
        <f t="shared" si="2"/>
        <v>carregador de computador</v>
      </c>
      <c r="F137" s="8"/>
      <c r="G137" s="15" t="str">
        <f t="shared" si="3"/>
        <v>7</v>
      </c>
      <c r="H137" s="9">
        <f t="shared" si="4"/>
        <v>7</v>
      </c>
      <c r="I137" s="6" t="str">
        <f>IFERROR(__xludf.DUMMYFUNCTION("MAX(FILTER($H$2:$H501,$E$2:$E501=F137))"),"#N/A")</f>
        <v>#N/A</v>
      </c>
    </row>
    <row r="138">
      <c r="A138" s="4"/>
      <c r="B138" s="4"/>
      <c r="C138" s="4" t="s">
        <v>2287</v>
      </c>
      <c r="D138" s="6" t="str">
        <f t="shared" si="1"/>
        <v>{"valorA":"liquidificador","valorB":11}</v>
      </c>
      <c r="E138" s="8" t="str">
        <f t="shared" si="2"/>
        <v>liquidificador</v>
      </c>
      <c r="F138" s="8"/>
      <c r="G138" s="15" t="str">
        <f t="shared" si="3"/>
        <v>11</v>
      </c>
      <c r="H138" s="9">
        <f t="shared" si="4"/>
        <v>11</v>
      </c>
      <c r="I138" s="6" t="str">
        <f>IFERROR(__xludf.DUMMYFUNCTION("MAX(FILTER($H$2:$H501,$E$2:$E501=F138))"),"#N/A")</f>
        <v>#N/A</v>
      </c>
    </row>
    <row r="139">
      <c r="A139" s="4"/>
      <c r="B139" s="4"/>
      <c r="C139" s="4" t="s">
        <v>2288</v>
      </c>
      <c r="D139" s="6" t="str">
        <f t="shared" si="1"/>
        <v>{"valorA":"aspirador","valorB":8}</v>
      </c>
      <c r="E139" s="8" t="str">
        <f t="shared" si="2"/>
        <v>aspirador</v>
      </c>
      <c r="F139" s="8"/>
      <c r="G139" s="15" t="str">
        <f t="shared" si="3"/>
        <v>8</v>
      </c>
      <c r="H139" s="9">
        <f t="shared" si="4"/>
        <v>8</v>
      </c>
      <c r="I139" s="6" t="str">
        <f>IFERROR(__xludf.DUMMYFUNCTION("MAX(FILTER($H$2:$H501,$E$2:$E501=F139))"),"#N/A")</f>
        <v>#N/A</v>
      </c>
    </row>
    <row r="140">
      <c r="A140" s="4"/>
      <c r="B140" s="4"/>
      <c r="C140" s="4" t="s">
        <v>2289</v>
      </c>
      <c r="D140" s="6" t="str">
        <f t="shared" si="1"/>
        <v>{"valorA":"aspirador","valorB":9}</v>
      </c>
      <c r="E140" s="8" t="str">
        <f t="shared" si="2"/>
        <v>aspirador</v>
      </c>
      <c r="F140" s="8"/>
      <c r="G140" s="15" t="str">
        <f t="shared" si="3"/>
        <v>9</v>
      </c>
      <c r="H140" s="9">
        <f t="shared" si="4"/>
        <v>9</v>
      </c>
      <c r="I140" s="6" t="str">
        <f>IFERROR(__xludf.DUMMYFUNCTION("MAX(FILTER($H$2:$H501,$E$2:$E501=F140))"),"#N/A")</f>
        <v>#N/A</v>
      </c>
    </row>
    <row r="141">
      <c r="A141" s="4"/>
      <c r="B141" s="4"/>
      <c r="C141" s="4" t="s">
        <v>2290</v>
      </c>
      <c r="D141" s="6" t="str">
        <f t="shared" si="1"/>
        <v>{"valorA":"aspirador","valorB":10}</v>
      </c>
      <c r="E141" s="8" t="str">
        <f t="shared" si="2"/>
        <v>aspirador</v>
      </c>
      <c r="F141" s="8"/>
      <c r="G141" s="15" t="str">
        <f t="shared" si="3"/>
        <v>10</v>
      </c>
      <c r="H141" s="9">
        <f t="shared" si="4"/>
        <v>10</v>
      </c>
      <c r="I141" s="6" t="str">
        <f>IFERROR(__xludf.DUMMYFUNCTION("MAX(FILTER($H$2:$H501,$E$2:$E501=F141))"),"#N/A")</f>
        <v>#N/A</v>
      </c>
    </row>
    <row r="142">
      <c r="A142" s="4"/>
      <c r="B142" s="4"/>
      <c r="C142" s="4" t="s">
        <v>2291</v>
      </c>
      <c r="D142" s="6" t="str">
        <f t="shared" si="1"/>
        <v>{"valorA":"fogão","valorB":7}</v>
      </c>
      <c r="E142" s="8" t="str">
        <f t="shared" si="2"/>
        <v>fogão</v>
      </c>
      <c r="F142" s="8"/>
      <c r="G142" s="15" t="str">
        <f t="shared" si="3"/>
        <v>7</v>
      </c>
      <c r="H142" s="9">
        <f t="shared" si="4"/>
        <v>7</v>
      </c>
      <c r="I142" s="6" t="str">
        <f>IFERROR(__xludf.DUMMYFUNCTION("MAX(FILTER($H$2:$H501,$E$2:$E501=F142))"),"#N/A")</f>
        <v>#N/A</v>
      </c>
    </row>
    <row r="143">
      <c r="A143" s="4"/>
      <c r="B143" s="4"/>
      <c r="C143" s="4" t="s">
        <v>2292</v>
      </c>
      <c r="D143" s="6" t="str">
        <f t="shared" si="1"/>
        <v>{"valorA":"ventilador","valorB":8}</v>
      </c>
      <c r="E143" s="8" t="str">
        <f t="shared" si="2"/>
        <v>ventilador</v>
      </c>
      <c r="F143" s="8"/>
      <c r="G143" s="15" t="str">
        <f t="shared" si="3"/>
        <v>8</v>
      </c>
      <c r="H143" s="9">
        <f t="shared" si="4"/>
        <v>8</v>
      </c>
      <c r="I143" s="6" t="str">
        <f>IFERROR(__xludf.DUMMYFUNCTION("MAX(FILTER($H$2:$H501,$E$2:$E501=F143))"),"#N/A")</f>
        <v>#N/A</v>
      </c>
    </row>
    <row r="144">
      <c r="A144" s="4"/>
      <c r="B144" s="4"/>
      <c r="C144" s="4" t="s">
        <v>2293</v>
      </c>
      <c r="D144" s="6" t="str">
        <f t="shared" si="1"/>
        <v>{"valorA":"celular","valorB":5}</v>
      </c>
      <c r="E144" s="8" t="str">
        <f t="shared" si="2"/>
        <v>celular</v>
      </c>
      <c r="F144" s="8"/>
      <c r="G144" s="15" t="str">
        <f t="shared" si="3"/>
        <v>5</v>
      </c>
      <c r="H144" s="9">
        <f t="shared" si="4"/>
        <v>5</v>
      </c>
      <c r="I144" s="6" t="str">
        <f>IFERROR(__xludf.DUMMYFUNCTION("MAX(FILTER($H$2:$H501,$E$2:$E501=F144))"),"#N/A")</f>
        <v>#N/A</v>
      </c>
    </row>
    <row r="145">
      <c r="A145" s="4"/>
      <c r="B145" s="4"/>
      <c r="C145" s="4" t="s">
        <v>2294</v>
      </c>
      <c r="D145" s="6" t="str">
        <f t="shared" si="1"/>
        <v>{"valorA":"chuveiro elétrico","valorB":13}</v>
      </c>
      <c r="E145" s="8" t="str">
        <f t="shared" si="2"/>
        <v>chuveiro elétrico</v>
      </c>
      <c r="F145" s="8"/>
      <c r="G145" s="15" t="str">
        <f t="shared" si="3"/>
        <v>13</v>
      </c>
      <c r="H145" s="9">
        <f t="shared" si="4"/>
        <v>13</v>
      </c>
      <c r="I145" s="6" t="str">
        <f>IFERROR(__xludf.DUMMYFUNCTION("MAX(FILTER($H$2:$H501,$E$2:$E501=F145))"),"#N/A")</f>
        <v>#N/A</v>
      </c>
    </row>
    <row r="146">
      <c r="A146" s="4"/>
      <c r="B146" s="4"/>
      <c r="C146" s="4" t="s">
        <v>1666</v>
      </c>
      <c r="D146" s="6" t="str">
        <f t="shared" si="1"/>
        <v>{"valorA":"freezer","valorB":8}</v>
      </c>
      <c r="E146" s="8" t="str">
        <f t="shared" si="2"/>
        <v>freezer</v>
      </c>
      <c r="F146" s="8"/>
      <c r="G146" s="15" t="str">
        <f t="shared" si="3"/>
        <v>8</v>
      </c>
      <c r="H146" s="9">
        <f t="shared" si="4"/>
        <v>8</v>
      </c>
      <c r="I146" s="6" t="str">
        <f>IFERROR(__xludf.DUMMYFUNCTION("MAX(FILTER($H$2:$H501,$E$2:$E501=F146))"),"#N/A")</f>
        <v>#N/A</v>
      </c>
    </row>
    <row r="147">
      <c r="A147" s="4"/>
      <c r="B147" s="4"/>
      <c r="C147" s="4" t="s">
        <v>2295</v>
      </c>
      <c r="D147" s="6" t="str">
        <f t="shared" si="1"/>
        <v>{"valorA":"teclado de computador","valorB":6}</v>
      </c>
      <c r="E147" s="8" t="str">
        <f t="shared" si="2"/>
        <v>teclado de computador</v>
      </c>
      <c r="F147" s="8"/>
      <c r="G147" s="15" t="str">
        <f t="shared" si="3"/>
        <v>6</v>
      </c>
      <c r="H147" s="9">
        <f t="shared" si="4"/>
        <v>6</v>
      </c>
      <c r="I147" s="6" t="str">
        <f>IFERROR(__xludf.DUMMYFUNCTION("MAX(FILTER($H$2:$H501,$E$2:$E501=F147))"),"#N/A")</f>
        <v>#N/A</v>
      </c>
    </row>
    <row r="148">
      <c r="A148" s="4"/>
      <c r="B148" s="4"/>
      <c r="C148" s="4" t="s">
        <v>2296</v>
      </c>
      <c r="D148" s="6" t="str">
        <f t="shared" si="1"/>
        <v>{"valorA":"filtro de linha","valorB":6}</v>
      </c>
      <c r="E148" s="8" t="str">
        <f t="shared" si="2"/>
        <v>filtro de linha</v>
      </c>
      <c r="F148" s="8"/>
      <c r="G148" s="15" t="str">
        <f t="shared" si="3"/>
        <v>6</v>
      </c>
      <c r="H148" s="9">
        <f t="shared" si="4"/>
        <v>6</v>
      </c>
      <c r="I148" s="6" t="str">
        <f>IFERROR(__xludf.DUMMYFUNCTION("MAX(FILTER($H$2:$H501,$E$2:$E501=F148))"),"#N/A")</f>
        <v>#N/A</v>
      </c>
    </row>
    <row r="149">
      <c r="A149" s="4"/>
      <c r="B149" s="4"/>
      <c r="C149" s="4" t="s">
        <v>2297</v>
      </c>
      <c r="D149" s="6" t="str">
        <f t="shared" si="1"/>
        <v>{"valorA":"aspirador","valorB":11}</v>
      </c>
      <c r="E149" s="8" t="str">
        <f t="shared" si="2"/>
        <v>aspirador</v>
      </c>
      <c r="F149" s="8"/>
      <c r="G149" s="15" t="str">
        <f t="shared" si="3"/>
        <v>11</v>
      </c>
      <c r="H149" s="9">
        <f t="shared" si="4"/>
        <v>11</v>
      </c>
      <c r="I149" s="6" t="str">
        <f>IFERROR(__xludf.DUMMYFUNCTION("MAX(FILTER($H$2:$H501,$E$2:$E501=F149))"),"#N/A")</f>
        <v>#N/A</v>
      </c>
    </row>
    <row r="150">
      <c r="A150" s="4"/>
      <c r="B150" s="4"/>
      <c r="C150" s="4" t="s">
        <v>2298</v>
      </c>
      <c r="D150" s="6" t="str">
        <f t="shared" si="1"/>
        <v>{"valorA":"filtro de linha","valorB":7}</v>
      </c>
      <c r="E150" s="8" t="str">
        <f t="shared" si="2"/>
        <v>filtro de linha</v>
      </c>
      <c r="F150" s="8"/>
      <c r="G150" s="15" t="str">
        <f t="shared" si="3"/>
        <v>7</v>
      </c>
      <c r="H150" s="9">
        <f t="shared" si="4"/>
        <v>7</v>
      </c>
      <c r="I150" s="6" t="str">
        <f>IFERROR(__xludf.DUMMYFUNCTION("MAX(FILTER($H$2:$H501,$E$2:$E501=F150))"),"#N/A")</f>
        <v>#N/A</v>
      </c>
    </row>
    <row r="151">
      <c r="A151" s="4"/>
      <c r="B151" s="4"/>
      <c r="C151" s="4" t="s">
        <v>2299</v>
      </c>
      <c r="D151" s="6" t="str">
        <f t="shared" si="1"/>
        <v>{"valorA":"teclado de computador","valorB":7}</v>
      </c>
      <c r="E151" s="8" t="str">
        <f t="shared" si="2"/>
        <v>teclado de computador</v>
      </c>
      <c r="F151" s="8"/>
      <c r="G151" s="15" t="str">
        <f t="shared" si="3"/>
        <v>7</v>
      </c>
      <c r="H151" s="9">
        <f t="shared" si="4"/>
        <v>7</v>
      </c>
      <c r="I151" s="6" t="str">
        <f>IFERROR(__xludf.DUMMYFUNCTION("MAX(FILTER($H$2:$H501,$E$2:$E501=F151))"),"#N/A")</f>
        <v>#N/A</v>
      </c>
    </row>
    <row r="152">
      <c r="A152" s="4"/>
      <c r="B152" s="4"/>
      <c r="C152" s="4" t="s">
        <v>2300</v>
      </c>
      <c r="D152" s="6" t="str">
        <f t="shared" si="1"/>
        <v>{"valorA":"carregador de celular","valorB":7}</v>
      </c>
      <c r="E152" s="8" t="str">
        <f t="shared" si="2"/>
        <v>carregador de celular</v>
      </c>
      <c r="F152" s="8"/>
      <c r="G152" s="15" t="str">
        <f t="shared" si="3"/>
        <v>7</v>
      </c>
      <c r="H152" s="9">
        <f t="shared" si="4"/>
        <v>7</v>
      </c>
      <c r="I152" s="6" t="str">
        <f>IFERROR(__xludf.DUMMYFUNCTION("MAX(FILTER($H$2:$H501,$E$2:$E501=F152))"),"#N/A")</f>
        <v>#N/A</v>
      </c>
    </row>
    <row r="153">
      <c r="A153" s="4"/>
      <c r="B153" s="4"/>
      <c r="C153" s="4" t="s">
        <v>2301</v>
      </c>
      <c r="D153" s="6" t="str">
        <f t="shared" si="1"/>
        <v>{"valorA":"roteador","valorB":5}</v>
      </c>
      <c r="E153" s="8" t="str">
        <f t="shared" si="2"/>
        <v>roteador</v>
      </c>
      <c r="F153" s="8"/>
      <c r="G153" s="15" t="str">
        <f t="shared" si="3"/>
        <v>5</v>
      </c>
      <c r="H153" s="9">
        <f t="shared" si="4"/>
        <v>5</v>
      </c>
      <c r="I153" s="6" t="str">
        <f>IFERROR(__xludf.DUMMYFUNCTION("MAX(FILTER($H$2:$H501,$E$2:$E501=F153))"),"#N/A")</f>
        <v>#N/A</v>
      </c>
    </row>
    <row r="154">
      <c r="A154" s="4"/>
      <c r="B154" s="4"/>
      <c r="C154" s="4" t="s">
        <v>1703</v>
      </c>
      <c r="D154" s="6" t="str">
        <f t="shared" si="1"/>
        <v>{"valorA":"microondas","valorB":6}</v>
      </c>
      <c r="E154" s="8" t="str">
        <f t="shared" si="2"/>
        <v>microondas</v>
      </c>
      <c r="F154" s="8"/>
      <c r="G154" s="15" t="str">
        <f t="shared" si="3"/>
        <v>6</v>
      </c>
      <c r="H154" s="9">
        <f t="shared" si="4"/>
        <v>6</v>
      </c>
      <c r="I154" s="6" t="str">
        <f>IFERROR(__xludf.DUMMYFUNCTION("MAX(FILTER($H$2:$H501,$E$2:$E501=F154))"),"#N/A")</f>
        <v>#N/A</v>
      </c>
    </row>
    <row r="155">
      <c r="A155" s="4"/>
      <c r="B155" s="4"/>
      <c r="C155" s="4" t="s">
        <v>2302</v>
      </c>
      <c r="D155" s="6" t="str">
        <f t="shared" si="1"/>
        <v>{"valorA":"computador","valorB":10}</v>
      </c>
      <c r="E155" s="8" t="str">
        <f t="shared" si="2"/>
        <v>computador</v>
      </c>
      <c r="F155" s="8"/>
      <c r="G155" s="15" t="str">
        <f t="shared" si="3"/>
        <v>10</v>
      </c>
      <c r="H155" s="9">
        <f t="shared" si="4"/>
        <v>10</v>
      </c>
      <c r="I155" s="6" t="str">
        <f>IFERROR(__xludf.DUMMYFUNCTION("MAX(FILTER($H$2:$H501,$E$2:$E501=F155))"),"#N/A")</f>
        <v>#N/A</v>
      </c>
    </row>
    <row r="156">
      <c r="A156" s="4"/>
      <c r="B156" s="4"/>
      <c r="C156" s="4" t="s">
        <v>1704</v>
      </c>
      <c r="D156" s="6" t="str">
        <f t="shared" si="1"/>
        <v>{"valorA":"microondas","valorB":7}</v>
      </c>
      <c r="E156" s="8" t="str">
        <f t="shared" si="2"/>
        <v>microondas</v>
      </c>
      <c r="F156" s="8"/>
      <c r="G156" s="15" t="str">
        <f t="shared" si="3"/>
        <v>7</v>
      </c>
      <c r="H156" s="9">
        <f t="shared" si="4"/>
        <v>7</v>
      </c>
      <c r="I156" s="6" t="str">
        <f>IFERROR(__xludf.DUMMYFUNCTION("MAX(FILTER($H$2:$H501,$E$2:$E501=F156))"),"#N/A")</f>
        <v>#N/A</v>
      </c>
    </row>
    <row r="157">
      <c r="A157" s="4"/>
      <c r="B157" s="4"/>
      <c r="C157" s="4" t="s">
        <v>2303</v>
      </c>
      <c r="D157" s="6" t="str">
        <f t="shared" si="1"/>
        <v>{"valorA":"fone de ouvido","valorB":9}</v>
      </c>
      <c r="E157" s="8" t="str">
        <f t="shared" si="2"/>
        <v>fone de ouvido</v>
      </c>
      <c r="F157" s="8"/>
      <c r="G157" s="15" t="str">
        <f t="shared" si="3"/>
        <v>9</v>
      </c>
      <c r="H157" s="9">
        <f t="shared" si="4"/>
        <v>9</v>
      </c>
      <c r="I157" s="6" t="str">
        <f>IFERROR(__xludf.DUMMYFUNCTION("MAX(FILTER($H$2:$H501,$E$2:$E501=F157))"),"#N/A")</f>
        <v>#N/A</v>
      </c>
    </row>
    <row r="158">
      <c r="A158" s="4"/>
      <c r="B158" s="4"/>
      <c r="C158" s="4" t="s">
        <v>1707</v>
      </c>
      <c r="D158" s="6" t="str">
        <f t="shared" si="1"/>
        <v>{"valorA":"ar condicionado","valorB":9}</v>
      </c>
      <c r="E158" s="8" t="str">
        <f t="shared" si="2"/>
        <v>ar condicionado</v>
      </c>
      <c r="F158" s="8"/>
      <c r="G158" s="15" t="str">
        <f t="shared" si="3"/>
        <v>9</v>
      </c>
      <c r="H158" s="9">
        <f t="shared" si="4"/>
        <v>9</v>
      </c>
      <c r="I158" s="6" t="str">
        <f>IFERROR(__xludf.DUMMYFUNCTION("MAX(FILTER($H$2:$H501,$E$2:$E501=F158))"),"#N/A")</f>
        <v>#N/A</v>
      </c>
    </row>
    <row r="159">
      <c r="A159" s="4"/>
      <c r="B159" s="4"/>
      <c r="C159" s="4" t="s">
        <v>2304</v>
      </c>
      <c r="D159" s="6" t="str">
        <f t="shared" si="1"/>
        <v>{"valorA":"roteador","valorB":6}</v>
      </c>
      <c r="E159" s="8" t="str">
        <f t="shared" si="2"/>
        <v>roteador</v>
      </c>
      <c r="F159" s="8"/>
      <c r="G159" s="15" t="str">
        <f t="shared" si="3"/>
        <v>6</v>
      </c>
      <c r="H159" s="9">
        <f t="shared" si="4"/>
        <v>6</v>
      </c>
      <c r="I159" s="6" t="str">
        <f>IFERROR(__xludf.DUMMYFUNCTION("MAX(FILTER($H$2:$H501,$E$2:$E501=F159))"),"#N/A")</f>
        <v>#N/A</v>
      </c>
    </row>
    <row r="160">
      <c r="A160" s="4"/>
      <c r="B160" s="4"/>
      <c r="C160" s="4" t="s">
        <v>2305</v>
      </c>
      <c r="D160" s="6" t="str">
        <f t="shared" si="1"/>
        <v>{"valorA":"aspirador","valorB":12}</v>
      </c>
      <c r="E160" s="8" t="str">
        <f t="shared" si="2"/>
        <v>aspirador</v>
      </c>
      <c r="F160" s="8"/>
      <c r="G160" s="15" t="str">
        <f t="shared" si="3"/>
        <v>12</v>
      </c>
      <c r="H160" s="9">
        <f t="shared" si="4"/>
        <v>12</v>
      </c>
      <c r="I160" s="6" t="str">
        <f>IFERROR(__xludf.DUMMYFUNCTION("MAX(FILTER($H$2:$H501,$E$2:$E501=F160))"),"#N/A")</f>
        <v>#N/A</v>
      </c>
    </row>
    <row r="161">
      <c r="A161" s="4"/>
      <c r="B161" s="4"/>
      <c r="C161" s="4" t="s">
        <v>2306</v>
      </c>
      <c r="D161" s="6" t="str">
        <f t="shared" si="1"/>
        <v>{"valorA":"filtro de linha","valorB":8}</v>
      </c>
      <c r="E161" s="8" t="str">
        <f t="shared" si="2"/>
        <v>filtro de linha</v>
      </c>
      <c r="F161" s="8"/>
      <c r="G161" s="15" t="str">
        <f t="shared" si="3"/>
        <v>8</v>
      </c>
      <c r="H161" s="9">
        <f t="shared" si="4"/>
        <v>8</v>
      </c>
      <c r="I161" s="6" t="str">
        <f>IFERROR(__xludf.DUMMYFUNCTION("MAX(FILTER($H$2:$H501,$E$2:$E501=F161))"),"#N/A")</f>
        <v>#N/A</v>
      </c>
    </row>
    <row r="162">
      <c r="A162" s="4"/>
      <c r="B162" s="4"/>
      <c r="C162" s="4" t="s">
        <v>1709</v>
      </c>
      <c r="D162" s="6" t="str">
        <f t="shared" si="1"/>
        <v>{"valorA":"ar condicionado","valorB":10}</v>
      </c>
      <c r="E162" s="8" t="str">
        <f t="shared" si="2"/>
        <v>ar condicionado</v>
      </c>
      <c r="F162" s="8"/>
      <c r="G162" s="15" t="str">
        <f t="shared" si="3"/>
        <v>10</v>
      </c>
      <c r="H162" s="9">
        <f t="shared" si="4"/>
        <v>10</v>
      </c>
      <c r="I162" s="6" t="str">
        <f>IFERROR(__xludf.DUMMYFUNCTION("MAX(FILTER($H$2:$H501,$E$2:$E501=F162))"),"#N/A")</f>
        <v>#N/A</v>
      </c>
    </row>
    <row r="163">
      <c r="A163" s="4"/>
      <c r="B163" s="4"/>
      <c r="C163" s="4" t="s">
        <v>2307</v>
      </c>
      <c r="D163" s="6" t="str">
        <f t="shared" si="1"/>
        <v>{"valorA":"fogão","valorB":8}</v>
      </c>
      <c r="E163" s="8" t="str">
        <f t="shared" si="2"/>
        <v>fogão</v>
      </c>
      <c r="F163" s="8"/>
      <c r="G163" s="15" t="str">
        <f t="shared" si="3"/>
        <v>8</v>
      </c>
      <c r="H163" s="9">
        <f t="shared" si="4"/>
        <v>8</v>
      </c>
      <c r="I163" s="6" t="str">
        <f>IFERROR(__xludf.DUMMYFUNCTION("MAX(FILTER($H$2:$H501,$E$2:$E501=F163))"),"#N/A")</f>
        <v>#N/A</v>
      </c>
    </row>
    <row r="164">
      <c r="A164" s="4"/>
      <c r="B164" s="4"/>
      <c r="C164" s="4" t="s">
        <v>1710</v>
      </c>
      <c r="D164" s="6" t="str">
        <f t="shared" si="1"/>
        <v>{"valorA":"ar condicionado","valorB":11}</v>
      </c>
      <c r="E164" s="8" t="str">
        <f t="shared" si="2"/>
        <v>ar condicionado</v>
      </c>
      <c r="F164" s="8"/>
      <c r="G164" s="15" t="str">
        <f t="shared" si="3"/>
        <v>11</v>
      </c>
      <c r="H164" s="9">
        <f t="shared" si="4"/>
        <v>11</v>
      </c>
      <c r="I164" s="6" t="str">
        <f>IFERROR(__xludf.DUMMYFUNCTION("MAX(FILTER($H$2:$H501,$E$2:$E501=F164))"),"#N/A")</f>
        <v>#N/A</v>
      </c>
    </row>
    <row r="165">
      <c r="A165" s="4"/>
      <c r="B165" s="4"/>
      <c r="C165" s="4" t="s">
        <v>2308</v>
      </c>
      <c r="D165" s="6" t="str">
        <f t="shared" si="1"/>
        <v>{"valorA":"teclado de computador","valorB":8}</v>
      </c>
      <c r="E165" s="8" t="str">
        <f t="shared" si="2"/>
        <v>teclado de computador</v>
      </c>
      <c r="F165" s="8"/>
      <c r="G165" s="15" t="str">
        <f t="shared" si="3"/>
        <v>8</v>
      </c>
      <c r="H165" s="9">
        <f t="shared" si="4"/>
        <v>8</v>
      </c>
      <c r="I165" s="6" t="str">
        <f>IFERROR(__xludf.DUMMYFUNCTION("MAX(FILTER($H$2:$H501,$E$2:$E501=F165))"),"#N/A")</f>
        <v>#N/A</v>
      </c>
    </row>
    <row r="166">
      <c r="A166" s="4"/>
      <c r="B166" s="4"/>
      <c r="C166" s="4" t="s">
        <v>2309</v>
      </c>
      <c r="D166" s="6" t="str">
        <f t="shared" si="1"/>
        <v>{"valorA":"mouse de computador","valorB":6}</v>
      </c>
      <c r="E166" s="8" t="str">
        <f t="shared" si="2"/>
        <v>mouse de computador</v>
      </c>
      <c r="F166" s="8"/>
      <c r="G166" s="15" t="str">
        <f t="shared" si="3"/>
        <v>6</v>
      </c>
      <c r="H166" s="9">
        <f t="shared" si="4"/>
        <v>6</v>
      </c>
      <c r="I166" s="6" t="str">
        <f>IFERROR(__xludf.DUMMYFUNCTION("MAX(FILTER($H$2:$H501,$E$2:$E501=F166))"),"#N/A")</f>
        <v>#N/A</v>
      </c>
    </row>
    <row r="167">
      <c r="A167" s="4"/>
      <c r="B167" s="4"/>
      <c r="C167" s="4" t="s">
        <v>2310</v>
      </c>
      <c r="D167" s="6" t="str">
        <f t="shared" si="1"/>
        <v>{"valorA":"carregador de computador","valorB":8}</v>
      </c>
      <c r="E167" s="8" t="str">
        <f t="shared" si="2"/>
        <v>carregador de computador</v>
      </c>
      <c r="F167" s="8"/>
      <c r="G167" s="15" t="str">
        <f t="shared" si="3"/>
        <v>8</v>
      </c>
      <c r="H167" s="9">
        <f t="shared" si="4"/>
        <v>8</v>
      </c>
      <c r="I167" s="6" t="str">
        <f>IFERROR(__xludf.DUMMYFUNCTION("MAX(FILTER($H$2:$H501,$E$2:$E501=F167))"),"#N/A")</f>
        <v>#N/A</v>
      </c>
    </row>
    <row r="168">
      <c r="A168" s="4"/>
      <c r="B168" s="4"/>
      <c r="C168" s="4" t="s">
        <v>2311</v>
      </c>
      <c r="D168" s="6" t="str">
        <f t="shared" si="1"/>
        <v>{"valorA":"aspirador","valorB":13}</v>
      </c>
      <c r="E168" s="8" t="str">
        <f t="shared" si="2"/>
        <v>aspirador</v>
      </c>
      <c r="F168" s="8"/>
      <c r="G168" s="15" t="str">
        <f t="shared" si="3"/>
        <v>13</v>
      </c>
      <c r="H168" s="9">
        <f t="shared" si="4"/>
        <v>13</v>
      </c>
      <c r="I168" s="6" t="str">
        <f>IFERROR(__xludf.DUMMYFUNCTION("MAX(FILTER($H$2:$H501,$E$2:$E501=F168))"),"#N/A")</f>
        <v>#N/A</v>
      </c>
    </row>
    <row r="169">
      <c r="A169" s="4"/>
      <c r="B169" s="4"/>
      <c r="C169" s="4" t="s">
        <v>2312</v>
      </c>
      <c r="D169" s="6" t="str">
        <f t="shared" si="1"/>
        <v>{"valorA":"fogão","valorB":9}</v>
      </c>
      <c r="E169" s="8" t="str">
        <f t="shared" si="2"/>
        <v>fogão</v>
      </c>
      <c r="F169" s="8"/>
      <c r="G169" s="15" t="str">
        <f t="shared" si="3"/>
        <v>9</v>
      </c>
      <c r="H169" s="9">
        <f t="shared" si="4"/>
        <v>9</v>
      </c>
      <c r="I169" s="6" t="str">
        <f>IFERROR(__xludf.DUMMYFUNCTION("MAX(FILTER($H$2:$H501,$E$2:$E501=F169))"),"#N/A")</f>
        <v>#N/A</v>
      </c>
    </row>
    <row r="170">
      <c r="A170" s="4"/>
      <c r="B170" s="4"/>
      <c r="C170" s="4" t="s">
        <v>2313</v>
      </c>
      <c r="D170" s="6" t="str">
        <f t="shared" si="1"/>
        <v>{"valorA":"filtro de linha","valorB":9}</v>
      </c>
      <c r="E170" s="8" t="str">
        <f t="shared" si="2"/>
        <v>filtro de linha</v>
      </c>
      <c r="F170" s="8"/>
      <c r="G170" s="15" t="str">
        <f t="shared" si="3"/>
        <v>9</v>
      </c>
      <c r="H170" s="9">
        <f t="shared" si="4"/>
        <v>9</v>
      </c>
      <c r="I170" s="6" t="str">
        <f>IFERROR(__xludf.DUMMYFUNCTION("MAX(FILTER($H$2:$H501,$E$2:$E501=F170))"),"#N/A")</f>
        <v>#N/A</v>
      </c>
    </row>
    <row r="171">
      <c r="A171" s="4"/>
      <c r="B171" s="4"/>
      <c r="C171" s="4" t="s">
        <v>1708</v>
      </c>
      <c r="D171" s="6" t="str">
        <f t="shared" si="1"/>
        <v>{"valorA":"microondas","valorB":8}</v>
      </c>
      <c r="E171" s="8" t="str">
        <f t="shared" si="2"/>
        <v>microondas</v>
      </c>
      <c r="F171" s="8"/>
      <c r="G171" s="15" t="str">
        <f t="shared" si="3"/>
        <v>8</v>
      </c>
      <c r="H171" s="9">
        <f t="shared" si="4"/>
        <v>8</v>
      </c>
      <c r="I171" s="6" t="str">
        <f>IFERROR(__xludf.DUMMYFUNCTION("MAX(FILTER($H$2:$H501,$E$2:$E501=F171))"),"#N/A")</f>
        <v>#N/A</v>
      </c>
    </row>
    <row r="172">
      <c r="A172" s="4"/>
      <c r="B172" s="4"/>
      <c r="C172" s="4" t="s">
        <v>2314</v>
      </c>
      <c r="D172" s="6" t="str">
        <f t="shared" si="1"/>
        <v>{"valorA":"relógio","valorB":10}</v>
      </c>
      <c r="E172" s="8" t="str">
        <f t="shared" si="2"/>
        <v>relógio</v>
      </c>
      <c r="F172" s="8"/>
      <c r="G172" s="15" t="str">
        <f t="shared" si="3"/>
        <v>10</v>
      </c>
      <c r="H172" s="9">
        <f t="shared" si="4"/>
        <v>10</v>
      </c>
      <c r="I172" s="6" t="str">
        <f>IFERROR(__xludf.DUMMYFUNCTION("MAX(FILTER($H$2:$H501,$E$2:$E501=F172))"),"#N/A")</f>
        <v>#N/A</v>
      </c>
    </row>
    <row r="173">
      <c r="A173" s="4"/>
      <c r="B173" s="4"/>
      <c r="C173" s="4" t="s">
        <v>2315</v>
      </c>
      <c r="D173" s="6" t="str">
        <f t="shared" si="1"/>
        <v>{"valorA":"celular","valorB":6}</v>
      </c>
      <c r="E173" s="8" t="str">
        <f t="shared" si="2"/>
        <v>celular</v>
      </c>
      <c r="F173" s="8"/>
      <c r="G173" s="15" t="str">
        <f t="shared" si="3"/>
        <v>6</v>
      </c>
      <c r="H173" s="9">
        <f t="shared" si="4"/>
        <v>6</v>
      </c>
      <c r="I173" s="6" t="str">
        <f>IFERROR(__xludf.DUMMYFUNCTION("MAX(FILTER($H$2:$H501,$E$2:$E501=F173))"),"#N/A")</f>
        <v>#N/A</v>
      </c>
    </row>
    <row r="174">
      <c r="A174" s="4"/>
      <c r="B174" s="4"/>
      <c r="C174" s="4" t="s">
        <v>2316</v>
      </c>
      <c r="D174" s="6" t="str">
        <f t="shared" si="1"/>
        <v>{"valorA":"lustre","valorB":6}</v>
      </c>
      <c r="E174" s="8" t="str">
        <f t="shared" si="2"/>
        <v>lustre</v>
      </c>
      <c r="F174" s="8"/>
      <c r="G174" s="15" t="str">
        <f t="shared" si="3"/>
        <v>6</v>
      </c>
      <c r="H174" s="9">
        <f t="shared" si="4"/>
        <v>6</v>
      </c>
      <c r="I174" s="6" t="str">
        <f>IFERROR(__xludf.DUMMYFUNCTION("MAX(FILTER($H$2:$H501,$E$2:$E501=F174))"),"#N/A")</f>
        <v>#N/A</v>
      </c>
    </row>
    <row r="175">
      <c r="A175" s="4"/>
      <c r="B175" s="4"/>
      <c r="C175" s="4" t="s">
        <v>2317</v>
      </c>
      <c r="D175" s="6" t="str">
        <f t="shared" si="1"/>
        <v>{"valorA":"relógio","valorB":11}</v>
      </c>
      <c r="E175" s="8" t="str">
        <f t="shared" si="2"/>
        <v>relógio</v>
      </c>
      <c r="F175" s="8"/>
      <c r="G175" s="15" t="str">
        <f t="shared" si="3"/>
        <v>11</v>
      </c>
      <c r="H175" s="9">
        <f t="shared" si="4"/>
        <v>11</v>
      </c>
      <c r="I175" s="6" t="str">
        <f>IFERROR(__xludf.DUMMYFUNCTION("MAX(FILTER($H$2:$H501,$E$2:$E501=F175))"),"#N/A")</f>
        <v>#N/A</v>
      </c>
    </row>
    <row r="176">
      <c r="A176" s="4"/>
      <c r="B176" s="4"/>
      <c r="C176" s="4" t="s">
        <v>2318</v>
      </c>
      <c r="D176" s="6" t="str">
        <f t="shared" si="1"/>
        <v>{"valorA":"roteador","valorB":7}</v>
      </c>
      <c r="E176" s="8" t="str">
        <f t="shared" si="2"/>
        <v>roteador</v>
      </c>
      <c r="F176" s="8"/>
      <c r="G176" s="15" t="str">
        <f t="shared" si="3"/>
        <v>7</v>
      </c>
      <c r="H176" s="9">
        <f t="shared" si="4"/>
        <v>7</v>
      </c>
      <c r="I176" s="6" t="str">
        <f>IFERROR(__xludf.DUMMYFUNCTION("MAX(FILTER($H$2:$H501,$E$2:$E501=F176))"),"#N/A")</f>
        <v>#N/A</v>
      </c>
    </row>
    <row r="177">
      <c r="A177" s="4"/>
      <c r="B177" s="4"/>
      <c r="C177" s="4" t="s">
        <v>2319</v>
      </c>
      <c r="D177" s="6" t="str">
        <f t="shared" si="1"/>
        <v>{"valorA":"fogão","valorB":10}</v>
      </c>
      <c r="E177" s="8" t="str">
        <f t="shared" si="2"/>
        <v>fogão</v>
      </c>
      <c r="F177" s="8"/>
      <c r="G177" s="15" t="str">
        <f t="shared" si="3"/>
        <v>10</v>
      </c>
      <c r="H177" s="9">
        <f t="shared" si="4"/>
        <v>10</v>
      </c>
      <c r="I177" s="6" t="str">
        <f>IFERROR(__xludf.DUMMYFUNCTION("MAX(FILTER($H$2:$H501,$E$2:$E501=F177))"),"#N/A")</f>
        <v>#N/A</v>
      </c>
    </row>
    <row r="178">
      <c r="A178" s="4"/>
      <c r="B178" s="4"/>
      <c r="C178" s="4" t="s">
        <v>2320</v>
      </c>
      <c r="D178" s="6" t="str">
        <f t="shared" si="1"/>
        <v>{"valorA":"liquidificador","valorB":12}</v>
      </c>
      <c r="E178" s="8" t="str">
        <f t="shared" si="2"/>
        <v>liquidificador</v>
      </c>
      <c r="F178" s="8"/>
      <c r="G178" s="15" t="str">
        <f t="shared" si="3"/>
        <v>12</v>
      </c>
      <c r="H178" s="9">
        <f t="shared" si="4"/>
        <v>12</v>
      </c>
      <c r="I178" s="6" t="str">
        <f>IFERROR(__xludf.DUMMYFUNCTION("MAX(FILTER($H$2:$H501,$E$2:$E501=F178))"),"#N/A")</f>
        <v>#N/A</v>
      </c>
    </row>
    <row r="179">
      <c r="A179" s="4"/>
      <c r="B179" s="4"/>
      <c r="C179" s="4" t="s">
        <v>2321</v>
      </c>
      <c r="D179" s="6" t="str">
        <f t="shared" si="1"/>
        <v>{"valorA":"teclado de computador","valorB":9}</v>
      </c>
      <c r="E179" s="8" t="str">
        <f t="shared" si="2"/>
        <v>teclado de computador</v>
      </c>
      <c r="F179" s="8"/>
      <c r="G179" s="15" t="str">
        <f t="shared" si="3"/>
        <v>9</v>
      </c>
      <c r="H179" s="9">
        <f t="shared" si="4"/>
        <v>9</v>
      </c>
      <c r="I179" s="6" t="str">
        <f>IFERROR(__xludf.DUMMYFUNCTION("MAX(FILTER($H$2:$H501,$E$2:$E501=F179))"),"#N/A")</f>
        <v>#N/A</v>
      </c>
    </row>
    <row r="180">
      <c r="A180" s="4"/>
      <c r="B180" s="4"/>
      <c r="C180" s="4" t="s">
        <v>1711</v>
      </c>
      <c r="D180" s="6" t="str">
        <f t="shared" si="1"/>
        <v>{"valorA":"ar condicionado","valorB":12}</v>
      </c>
      <c r="E180" s="8" t="str">
        <f t="shared" si="2"/>
        <v>ar condicionado</v>
      </c>
      <c r="F180" s="8"/>
      <c r="G180" s="15" t="str">
        <f t="shared" si="3"/>
        <v>12</v>
      </c>
      <c r="H180" s="9">
        <f t="shared" si="4"/>
        <v>12</v>
      </c>
      <c r="I180" s="6" t="str">
        <f>IFERROR(__xludf.DUMMYFUNCTION("MAX(FILTER($H$2:$H501,$E$2:$E501=F180))"),"#N/A")</f>
        <v>#N/A</v>
      </c>
    </row>
    <row r="181">
      <c r="A181" s="4"/>
      <c r="B181" s="4"/>
      <c r="C181" s="4" t="s">
        <v>2322</v>
      </c>
      <c r="D181" s="6" t="str">
        <f t="shared" si="1"/>
        <v>{"valorA":"celular","valorB":7}</v>
      </c>
      <c r="E181" s="8" t="str">
        <f t="shared" si="2"/>
        <v>celular</v>
      </c>
      <c r="F181" s="8"/>
      <c r="G181" s="15" t="str">
        <f t="shared" si="3"/>
        <v>7</v>
      </c>
      <c r="H181" s="9">
        <f t="shared" si="4"/>
        <v>7</v>
      </c>
      <c r="I181" s="6" t="str">
        <f>IFERROR(__xludf.DUMMYFUNCTION("MAX(FILTER($H$2:$H501,$E$2:$E501=F181))"),"#N/A")</f>
        <v>#N/A</v>
      </c>
    </row>
    <row r="182">
      <c r="A182" s="4"/>
      <c r="B182" s="4"/>
      <c r="C182" s="4" t="s">
        <v>2323</v>
      </c>
      <c r="D182" s="6" t="str">
        <f t="shared" si="1"/>
        <v>{"valorA":"fogão","valorB":11}</v>
      </c>
      <c r="E182" s="8" t="str">
        <f t="shared" si="2"/>
        <v>fogão</v>
      </c>
      <c r="F182" s="8"/>
      <c r="G182" s="15" t="str">
        <f t="shared" si="3"/>
        <v>11</v>
      </c>
      <c r="H182" s="9">
        <f t="shared" si="4"/>
        <v>11</v>
      </c>
      <c r="I182" s="6" t="str">
        <f>IFERROR(__xludf.DUMMYFUNCTION("MAX(FILTER($H$2:$H501,$E$2:$E501=F182))"),"#N/A")</f>
        <v>#N/A</v>
      </c>
    </row>
    <row r="183">
      <c r="A183" s="4"/>
      <c r="B183" s="4"/>
      <c r="C183" s="4" t="s">
        <v>2324</v>
      </c>
      <c r="D183" s="6" t="str">
        <f t="shared" si="1"/>
        <v>{"valorA":"liquidificador","valorB":13}</v>
      </c>
      <c r="E183" s="8" t="str">
        <f t="shared" si="2"/>
        <v>liquidificador</v>
      </c>
      <c r="F183" s="8"/>
      <c r="G183" s="15" t="str">
        <f t="shared" si="3"/>
        <v>13</v>
      </c>
      <c r="H183" s="9">
        <f t="shared" si="4"/>
        <v>13</v>
      </c>
      <c r="I183" s="6" t="str">
        <f>IFERROR(__xludf.DUMMYFUNCTION("MAX(FILTER($H$2:$H501,$E$2:$E501=F183))"),"#N/A")</f>
        <v>#N/A</v>
      </c>
    </row>
    <row r="184">
      <c r="A184" s="4"/>
      <c r="B184" s="4"/>
      <c r="C184" s="4" t="s">
        <v>2325</v>
      </c>
      <c r="D184" s="6" t="str">
        <f t="shared" si="1"/>
        <v>{"valorA":"relógio","valorB":12}</v>
      </c>
      <c r="E184" s="8" t="str">
        <f t="shared" si="2"/>
        <v>relógio</v>
      </c>
      <c r="F184" s="8"/>
      <c r="G184" s="15" t="str">
        <f t="shared" si="3"/>
        <v>12</v>
      </c>
      <c r="H184" s="9">
        <f t="shared" si="4"/>
        <v>12</v>
      </c>
      <c r="I184" s="6" t="str">
        <f>IFERROR(__xludf.DUMMYFUNCTION("MAX(FILTER($H$2:$H501,$E$2:$E501=F184))"),"#N/A")</f>
        <v>#N/A</v>
      </c>
    </row>
    <row r="185">
      <c r="A185" s="4"/>
      <c r="B185" s="4"/>
      <c r="C185" s="4" t="s">
        <v>2326</v>
      </c>
      <c r="D185" s="6" t="str">
        <f t="shared" si="1"/>
        <v>{"valorA":"purificador de água","valorB":8}</v>
      </c>
      <c r="E185" s="8" t="str">
        <f t="shared" si="2"/>
        <v>purificador de água</v>
      </c>
      <c r="F185" s="8"/>
      <c r="G185" s="15" t="str">
        <f t="shared" si="3"/>
        <v>8</v>
      </c>
      <c r="H185" s="9">
        <f t="shared" si="4"/>
        <v>8</v>
      </c>
      <c r="I185" s="6" t="str">
        <f>IFERROR(__xludf.DUMMYFUNCTION("MAX(FILTER($H$2:$H501,$E$2:$E501=F185))"),"#N/A")</f>
        <v>#N/A</v>
      </c>
    </row>
    <row r="186">
      <c r="A186" s="4"/>
      <c r="B186" s="4"/>
      <c r="C186" s="4" t="s">
        <v>2327</v>
      </c>
      <c r="D186" s="6" t="str">
        <f t="shared" si="1"/>
        <v>{"valorA":"teclado de computador","valorB":10}</v>
      </c>
      <c r="E186" s="8" t="str">
        <f t="shared" si="2"/>
        <v>teclado de computador</v>
      </c>
      <c r="F186" s="8"/>
      <c r="G186" s="15" t="str">
        <f t="shared" si="3"/>
        <v>10</v>
      </c>
      <c r="H186" s="9">
        <f t="shared" si="4"/>
        <v>10</v>
      </c>
      <c r="I186" s="6" t="str">
        <f>IFERROR(__xludf.DUMMYFUNCTION("MAX(FILTER($H$2:$H501,$E$2:$E501=F186))"),"#N/A")</f>
        <v>#N/A</v>
      </c>
    </row>
    <row r="187">
      <c r="A187" s="4"/>
      <c r="B187" s="4"/>
      <c r="C187" s="4" t="s">
        <v>2328</v>
      </c>
      <c r="D187" s="6" t="str">
        <f t="shared" si="1"/>
        <v>{"valorA":"fogão","valorB":12}</v>
      </c>
      <c r="E187" s="8" t="str">
        <f t="shared" si="2"/>
        <v>fogão</v>
      </c>
      <c r="F187" s="8"/>
      <c r="G187" s="15" t="str">
        <f t="shared" si="3"/>
        <v>12</v>
      </c>
      <c r="H187" s="9">
        <f t="shared" si="4"/>
        <v>12</v>
      </c>
      <c r="I187" s="6" t="str">
        <f>IFERROR(__xludf.DUMMYFUNCTION("MAX(FILTER($H$2:$H501,$E$2:$E501=F187))"),"#N/A")</f>
        <v>#N/A</v>
      </c>
    </row>
    <row r="188">
      <c r="A188" s="4"/>
      <c r="B188" s="4"/>
      <c r="C188" s="4" t="s">
        <v>2329</v>
      </c>
      <c r="D188" s="6" t="str">
        <f t="shared" si="1"/>
        <v>{"valorA":"roteador","valorB":8}</v>
      </c>
      <c r="E188" s="8" t="str">
        <f t="shared" si="2"/>
        <v>roteador</v>
      </c>
      <c r="F188" s="8"/>
      <c r="G188" s="15" t="str">
        <f t="shared" si="3"/>
        <v>8</v>
      </c>
      <c r="H188" s="9">
        <f t="shared" si="4"/>
        <v>8</v>
      </c>
      <c r="I188" s="6" t="str">
        <f>IFERROR(__xludf.DUMMYFUNCTION("MAX(FILTER($H$2:$H501,$E$2:$E501=F188))"),"#N/A")</f>
        <v>#N/A</v>
      </c>
    </row>
    <row r="189">
      <c r="A189" s="4"/>
      <c r="B189" s="4"/>
      <c r="C189" s="4" t="s">
        <v>2330</v>
      </c>
      <c r="D189" s="6" t="str">
        <f t="shared" si="1"/>
        <v>{"valorA":"ventilador","valorB":9}</v>
      </c>
      <c r="E189" s="8" t="str">
        <f t="shared" si="2"/>
        <v>ventilador</v>
      </c>
      <c r="F189" s="8"/>
      <c r="G189" s="15" t="str">
        <f t="shared" si="3"/>
        <v>9</v>
      </c>
      <c r="H189" s="9">
        <f t="shared" si="4"/>
        <v>9</v>
      </c>
      <c r="I189" s="6" t="str">
        <f>IFERROR(__xludf.DUMMYFUNCTION("MAX(FILTER($H$2:$H501,$E$2:$E501=F189))"),"#N/A")</f>
        <v>#N/A</v>
      </c>
    </row>
    <row r="190">
      <c r="A190" s="4"/>
      <c r="B190" s="4"/>
      <c r="C190" s="4" t="s">
        <v>2331</v>
      </c>
      <c r="D190" s="6" t="str">
        <f t="shared" si="1"/>
        <v>{"valorA":"chuveiro elétrico","valorB":14}</v>
      </c>
      <c r="E190" s="8" t="str">
        <f t="shared" si="2"/>
        <v>chuveiro elétrico</v>
      </c>
      <c r="F190" s="8"/>
      <c r="G190" s="15" t="str">
        <f t="shared" si="3"/>
        <v>14</v>
      </c>
      <c r="H190" s="9">
        <f t="shared" si="4"/>
        <v>14</v>
      </c>
      <c r="I190" s="6" t="str">
        <f>IFERROR(__xludf.DUMMYFUNCTION("MAX(FILTER($H$2:$H501,$E$2:$E501=F190))"),"#N/A")</f>
        <v>#N/A</v>
      </c>
    </row>
    <row r="191">
      <c r="A191" s="4"/>
      <c r="B191" s="4"/>
      <c r="C191" s="4" t="s">
        <v>2332</v>
      </c>
      <c r="D191" s="6" t="str">
        <f t="shared" si="1"/>
        <v>{"valorA":"roteador","valorB":9}</v>
      </c>
      <c r="E191" s="8" t="str">
        <f t="shared" si="2"/>
        <v>roteador</v>
      </c>
      <c r="F191" s="8"/>
      <c r="G191" s="15" t="str">
        <f t="shared" si="3"/>
        <v>9</v>
      </c>
      <c r="H191" s="9">
        <f t="shared" si="4"/>
        <v>9</v>
      </c>
      <c r="I191" s="6" t="str">
        <f>IFERROR(__xludf.DUMMYFUNCTION("MAX(FILTER($H$2:$H501,$E$2:$E501=F191))"),"#N/A")</f>
        <v>#N/A</v>
      </c>
    </row>
    <row r="192">
      <c r="A192" s="4"/>
      <c r="B192" s="4"/>
      <c r="C192" s="4" t="s">
        <v>2333</v>
      </c>
      <c r="D192" s="6" t="str">
        <f t="shared" si="1"/>
        <v>{"valorA":"liquidificador","valorB":14}</v>
      </c>
      <c r="E192" s="8" t="str">
        <f t="shared" si="2"/>
        <v>liquidificador</v>
      </c>
      <c r="F192" s="8"/>
      <c r="G192" s="15" t="str">
        <f t="shared" si="3"/>
        <v>14</v>
      </c>
      <c r="H192" s="9">
        <f t="shared" si="4"/>
        <v>14</v>
      </c>
      <c r="I192" s="6" t="str">
        <f>IFERROR(__xludf.DUMMYFUNCTION("MAX(FILTER($H$2:$H501,$E$2:$E501=F192))"),"#N/A")</f>
        <v>#N/A</v>
      </c>
    </row>
    <row r="193">
      <c r="A193" s="4"/>
      <c r="B193" s="4"/>
      <c r="C193" s="4" t="s">
        <v>2334</v>
      </c>
      <c r="D193" s="6" t="str">
        <f t="shared" si="1"/>
        <v>{"valorA":"teclado de computador","valorB":11}</v>
      </c>
      <c r="E193" s="8" t="str">
        <f t="shared" si="2"/>
        <v>teclado de computador</v>
      </c>
      <c r="F193" s="8"/>
      <c r="G193" s="15" t="str">
        <f t="shared" si="3"/>
        <v>11</v>
      </c>
      <c r="H193" s="9">
        <f t="shared" si="4"/>
        <v>11</v>
      </c>
      <c r="I193" s="6" t="str">
        <f>IFERROR(__xludf.DUMMYFUNCTION("MAX(FILTER($H$2:$H501,$E$2:$E501=F193))"),"#N/A")</f>
        <v>#N/A</v>
      </c>
    </row>
    <row r="194">
      <c r="A194" s="4"/>
      <c r="B194" s="4"/>
      <c r="C194" s="4" t="s">
        <v>2335</v>
      </c>
      <c r="D194" s="6" t="str">
        <f t="shared" si="1"/>
        <v>{"valorA":"computador","valorB":11}</v>
      </c>
      <c r="E194" s="8" t="str">
        <f t="shared" si="2"/>
        <v>computador</v>
      </c>
      <c r="F194" s="8"/>
      <c r="G194" s="15" t="str">
        <f t="shared" si="3"/>
        <v>11</v>
      </c>
      <c r="H194" s="9">
        <f t="shared" si="4"/>
        <v>11</v>
      </c>
      <c r="I194" s="6" t="str">
        <f>IFERROR(__xludf.DUMMYFUNCTION("MAX(FILTER($H$2:$H501,$E$2:$E501=F194))"),"#N/A")</f>
        <v>#N/A</v>
      </c>
    </row>
    <row r="195">
      <c r="A195" s="4"/>
      <c r="B195" s="4"/>
      <c r="C195" s="4" t="s">
        <v>2336</v>
      </c>
      <c r="D195" s="6" t="str">
        <f t="shared" si="1"/>
        <v>{"valorA":"teclado de computador","valorB":12}</v>
      </c>
      <c r="E195" s="8" t="str">
        <f t="shared" si="2"/>
        <v>teclado de computador</v>
      </c>
      <c r="F195" s="8"/>
      <c r="G195" s="15" t="str">
        <f t="shared" si="3"/>
        <v>12</v>
      </c>
      <c r="H195" s="9">
        <f t="shared" si="4"/>
        <v>12</v>
      </c>
      <c r="I195" s="6" t="str">
        <f>IFERROR(__xludf.DUMMYFUNCTION("MAX(FILTER($H$2:$H501,$E$2:$E501=F195))"),"#N/A")</f>
        <v>#N/A</v>
      </c>
    </row>
    <row r="196">
      <c r="A196" s="4"/>
      <c r="B196" s="4"/>
      <c r="C196" s="4" t="s">
        <v>1712</v>
      </c>
      <c r="D196" s="6" t="str">
        <f t="shared" si="1"/>
        <v>{"valorA":"microondas","valorB":9}</v>
      </c>
      <c r="E196" s="8" t="str">
        <f t="shared" si="2"/>
        <v>microondas</v>
      </c>
      <c r="F196" s="8"/>
      <c r="G196" s="15" t="str">
        <f t="shared" si="3"/>
        <v>9</v>
      </c>
      <c r="H196" s="9">
        <f t="shared" si="4"/>
        <v>9</v>
      </c>
      <c r="I196" s="6" t="str">
        <f>IFERROR(__xludf.DUMMYFUNCTION("MAX(FILTER($H$2:$H501,$E$2:$E501=F196))"),"#N/A")</f>
        <v>#N/A</v>
      </c>
    </row>
    <row r="197">
      <c r="A197" s="4"/>
      <c r="B197" s="4"/>
      <c r="C197" s="4" t="s">
        <v>1667</v>
      </c>
      <c r="D197" s="6" t="str">
        <f t="shared" si="1"/>
        <v>{"valorA":"freezer","valorB":9}</v>
      </c>
      <c r="E197" s="8" t="str">
        <f t="shared" si="2"/>
        <v>freezer</v>
      </c>
      <c r="F197" s="8"/>
      <c r="G197" s="15" t="str">
        <f t="shared" si="3"/>
        <v>9</v>
      </c>
      <c r="H197" s="9">
        <f t="shared" si="4"/>
        <v>9</v>
      </c>
      <c r="I197" s="6" t="str">
        <f>IFERROR(__xludf.DUMMYFUNCTION("MAX(FILTER($H$2:$H501,$E$2:$E501=F197))"),"#N/A")</f>
        <v>#N/A</v>
      </c>
    </row>
    <row r="198">
      <c r="A198" s="4"/>
      <c r="B198" s="4"/>
      <c r="C198" s="4" t="s">
        <v>2337</v>
      </c>
      <c r="D198" s="6" t="str">
        <f t="shared" si="1"/>
        <v>{"valorA":"teclado de computador","valorB":13}</v>
      </c>
      <c r="E198" s="8" t="str">
        <f t="shared" si="2"/>
        <v>teclado de computador</v>
      </c>
      <c r="F198" s="8"/>
      <c r="G198" s="15" t="str">
        <f t="shared" si="3"/>
        <v>13</v>
      </c>
      <c r="H198" s="9">
        <f t="shared" si="4"/>
        <v>13</v>
      </c>
      <c r="I198" s="6" t="str">
        <f>IFERROR(__xludf.DUMMYFUNCTION("MAX(FILTER($H$2:$H501,$E$2:$E501=F198))"),"#N/A")</f>
        <v>#N/A</v>
      </c>
    </row>
    <row r="199">
      <c r="A199" s="4"/>
      <c r="B199" s="4"/>
      <c r="C199" s="4" t="s">
        <v>2338</v>
      </c>
      <c r="D199" s="6" t="str">
        <f t="shared" si="1"/>
        <v>{"valorA":"filtro de linha","valorB":10}</v>
      </c>
      <c r="E199" s="8" t="str">
        <f t="shared" si="2"/>
        <v>filtro de linha</v>
      </c>
      <c r="F199" s="8"/>
      <c r="G199" s="15" t="str">
        <f t="shared" si="3"/>
        <v>10</v>
      </c>
      <c r="H199" s="9">
        <f t="shared" si="4"/>
        <v>10</v>
      </c>
      <c r="I199" s="6" t="str">
        <f>IFERROR(__xludf.DUMMYFUNCTION("MAX(FILTER($H$2:$H501,$E$2:$E501=F199))"),"#N/A")</f>
        <v>#N/A</v>
      </c>
    </row>
    <row r="200">
      <c r="A200" s="4"/>
      <c r="B200" s="4"/>
      <c r="C200" s="4" t="s">
        <v>2339</v>
      </c>
      <c r="D200" s="6" t="str">
        <f t="shared" si="1"/>
        <v>{"valorA":"carregador de computador","valorB":9}</v>
      </c>
      <c r="E200" s="8" t="str">
        <f t="shared" si="2"/>
        <v>carregador de computador</v>
      </c>
      <c r="F200" s="8"/>
      <c r="G200" s="15" t="str">
        <f t="shared" si="3"/>
        <v>9</v>
      </c>
      <c r="H200" s="9">
        <f t="shared" si="4"/>
        <v>9</v>
      </c>
      <c r="I200" s="6" t="str">
        <f>IFERROR(__xludf.DUMMYFUNCTION("MAX(FILTER($H$2:$H501,$E$2:$E501=F200))"),"#N/A")</f>
        <v>#N/A</v>
      </c>
    </row>
    <row r="201">
      <c r="A201" s="4"/>
      <c r="B201" s="4"/>
      <c r="C201" s="4" t="s">
        <v>2340</v>
      </c>
      <c r="D201" s="6" t="str">
        <f t="shared" si="1"/>
        <v>{"valorA":"teclado de computador","valorB":14}</v>
      </c>
      <c r="E201" s="8" t="str">
        <f t="shared" si="2"/>
        <v>teclado de computador</v>
      </c>
      <c r="F201" s="8"/>
      <c r="G201" s="15" t="str">
        <f t="shared" si="3"/>
        <v>14</v>
      </c>
      <c r="H201" s="9">
        <f t="shared" si="4"/>
        <v>14</v>
      </c>
      <c r="I201" s="6" t="str">
        <f>IFERROR(__xludf.DUMMYFUNCTION("MAX(FILTER($H$2:$H501,$E$2:$E501=F201))"),"#N/A")</f>
        <v>#N/A</v>
      </c>
    </row>
    <row r="202">
      <c r="A202" s="4"/>
      <c r="B202" s="4"/>
      <c r="C202" s="4" t="s">
        <v>2341</v>
      </c>
      <c r="D202" s="6" t="str">
        <f t="shared" si="1"/>
        <v>{"valorA":"purificador de água","valorB":9}</v>
      </c>
      <c r="E202" s="8" t="str">
        <f t="shared" si="2"/>
        <v>purificador de água</v>
      </c>
      <c r="F202" s="8"/>
      <c r="G202" s="15" t="str">
        <f t="shared" si="3"/>
        <v>9</v>
      </c>
      <c r="H202" s="9">
        <f t="shared" si="4"/>
        <v>9</v>
      </c>
      <c r="I202" s="6" t="str">
        <f>IFERROR(__xludf.DUMMYFUNCTION("MAX(FILTER($H$2:$H501,$E$2:$E501=F202))"),"#N/A")</f>
        <v>#N/A</v>
      </c>
    </row>
    <row r="203">
      <c r="A203" s="4"/>
      <c r="B203" s="4"/>
      <c r="C203" s="4" t="s">
        <v>2342</v>
      </c>
      <c r="D203" s="6" t="str">
        <f t="shared" si="1"/>
        <v>{"valorA":"carregador de celular","valorB":8}</v>
      </c>
      <c r="E203" s="8" t="str">
        <f t="shared" si="2"/>
        <v>carregador de celular</v>
      </c>
      <c r="F203" s="8"/>
      <c r="G203" s="15" t="str">
        <f t="shared" si="3"/>
        <v>8</v>
      </c>
      <c r="H203" s="9">
        <f t="shared" si="4"/>
        <v>8</v>
      </c>
      <c r="I203" s="6" t="str">
        <f>IFERROR(__xludf.DUMMYFUNCTION("MAX(FILTER($H$2:$H501,$E$2:$E501=F203))"),"#N/A")</f>
        <v>#N/A</v>
      </c>
    </row>
    <row r="204">
      <c r="A204" s="4"/>
      <c r="B204" s="4"/>
      <c r="C204" s="4" t="s">
        <v>2343</v>
      </c>
      <c r="D204" s="6" t="str">
        <f t="shared" si="1"/>
        <v>{"valorA":"computador","valorB":12}</v>
      </c>
      <c r="E204" s="8" t="str">
        <f t="shared" si="2"/>
        <v>computador</v>
      </c>
      <c r="F204" s="8"/>
      <c r="G204" s="15" t="str">
        <f t="shared" si="3"/>
        <v>12</v>
      </c>
      <c r="H204" s="9">
        <f t="shared" si="4"/>
        <v>12</v>
      </c>
      <c r="I204" s="6" t="str">
        <f>IFERROR(__xludf.DUMMYFUNCTION("MAX(FILTER($H$2:$H501,$E$2:$E501=F204))"),"#N/A")</f>
        <v>#N/A</v>
      </c>
    </row>
    <row r="205">
      <c r="A205" s="4"/>
      <c r="B205" s="4"/>
      <c r="C205" s="4" t="s">
        <v>2344</v>
      </c>
      <c r="D205" s="6" t="str">
        <f t="shared" si="1"/>
        <v>{"valorA":"aspirador","valorB":14}</v>
      </c>
      <c r="E205" s="8" t="str">
        <f t="shared" si="2"/>
        <v>aspirador</v>
      </c>
      <c r="F205" s="8"/>
      <c r="G205" s="15" t="str">
        <f t="shared" si="3"/>
        <v>14</v>
      </c>
      <c r="H205" s="9">
        <f t="shared" si="4"/>
        <v>14</v>
      </c>
      <c r="I205" s="6" t="str">
        <f>IFERROR(__xludf.DUMMYFUNCTION("MAX(FILTER($H$2:$H501,$E$2:$E501=F205))"),"#N/A")</f>
        <v>#N/A</v>
      </c>
    </row>
    <row r="206">
      <c r="A206" s="4"/>
      <c r="B206" s="4"/>
      <c r="C206" s="4" t="s">
        <v>2345</v>
      </c>
      <c r="D206" s="6" t="str">
        <f t="shared" si="1"/>
        <v>{"valorA":"carregador de computador","valorB":10}</v>
      </c>
      <c r="E206" s="8" t="str">
        <f t="shared" si="2"/>
        <v>carregador de computador</v>
      </c>
      <c r="F206" s="8"/>
      <c r="G206" s="15" t="str">
        <f t="shared" si="3"/>
        <v>10</v>
      </c>
      <c r="H206" s="9">
        <f t="shared" si="4"/>
        <v>10</v>
      </c>
      <c r="I206" s="6" t="str">
        <f>IFERROR(__xludf.DUMMYFUNCTION("MAX(FILTER($H$2:$H501,$E$2:$E501=F206))"),"#N/A")</f>
        <v>#N/A</v>
      </c>
    </row>
    <row r="207">
      <c r="A207" s="4"/>
      <c r="B207" s="4"/>
      <c r="C207" s="4" t="s">
        <v>2346</v>
      </c>
      <c r="D207" s="6" t="str">
        <f t="shared" si="1"/>
        <v>{"valorA":"celular","valorB":8}</v>
      </c>
      <c r="E207" s="8" t="str">
        <f t="shared" si="2"/>
        <v>celular</v>
      </c>
      <c r="F207" s="8"/>
      <c r="G207" s="15" t="str">
        <f t="shared" si="3"/>
        <v>8</v>
      </c>
      <c r="H207" s="9">
        <f t="shared" si="4"/>
        <v>8</v>
      </c>
      <c r="I207" s="6" t="str">
        <f>IFERROR(__xludf.DUMMYFUNCTION("MAX(FILTER($H$2:$H501,$E$2:$E501=F207))"),"#N/A")</f>
        <v>#N/A</v>
      </c>
    </row>
    <row r="208">
      <c r="A208" s="4"/>
      <c r="B208" s="4"/>
      <c r="C208" s="4" t="s">
        <v>2347</v>
      </c>
      <c r="D208" s="6" t="str">
        <f t="shared" si="1"/>
        <v>{"valorA":"celular","valorB":9}</v>
      </c>
      <c r="E208" s="8" t="str">
        <f t="shared" si="2"/>
        <v>celular</v>
      </c>
      <c r="F208" s="8"/>
      <c r="G208" s="15" t="str">
        <f t="shared" si="3"/>
        <v>9</v>
      </c>
      <c r="H208" s="9">
        <f t="shared" si="4"/>
        <v>9</v>
      </c>
      <c r="I208" s="6" t="str">
        <f>IFERROR(__xludf.DUMMYFUNCTION("MAX(FILTER($H$2:$H501,$E$2:$E501=F208))"),"#N/A")</f>
        <v>#N/A</v>
      </c>
    </row>
    <row r="209">
      <c r="A209" s="4"/>
      <c r="B209" s="4"/>
      <c r="C209" s="4" t="s">
        <v>2348</v>
      </c>
      <c r="D209" s="6" t="str">
        <f t="shared" si="1"/>
        <v>{"valorA":"filtro de linha","valorB":11}</v>
      </c>
      <c r="E209" s="8" t="str">
        <f t="shared" si="2"/>
        <v>filtro de linha</v>
      </c>
      <c r="F209" s="8"/>
      <c r="G209" s="15" t="str">
        <f t="shared" si="3"/>
        <v>11</v>
      </c>
      <c r="H209" s="9">
        <f t="shared" si="4"/>
        <v>11</v>
      </c>
      <c r="I209" s="6" t="str">
        <f>IFERROR(__xludf.DUMMYFUNCTION("MAX(FILTER($H$2:$H501,$E$2:$E501=F209))"),"#N/A")</f>
        <v>#N/A</v>
      </c>
    </row>
    <row r="210">
      <c r="A210" s="4"/>
      <c r="B210" s="4"/>
      <c r="C210" s="4" t="s">
        <v>1713</v>
      </c>
      <c r="D210" s="6" t="str">
        <f t="shared" si="1"/>
        <v>{"valorA":"microondas","valorB":10}</v>
      </c>
      <c r="E210" s="8" t="str">
        <f t="shared" si="2"/>
        <v>microondas</v>
      </c>
      <c r="F210" s="8"/>
      <c r="G210" s="15" t="str">
        <f t="shared" si="3"/>
        <v>10</v>
      </c>
      <c r="H210" s="9">
        <f t="shared" si="4"/>
        <v>10</v>
      </c>
      <c r="I210" s="6" t="str">
        <f>IFERROR(__xludf.DUMMYFUNCTION("MAX(FILTER($H$2:$H501,$E$2:$E501=F210))"),"#N/A")</f>
        <v>#N/A</v>
      </c>
    </row>
    <row r="211">
      <c r="A211" s="4"/>
      <c r="B211" s="4"/>
      <c r="C211" s="4" t="s">
        <v>2349</v>
      </c>
      <c r="D211" s="6" t="str">
        <f t="shared" si="1"/>
        <v>{"valorA":"carregador de computador","valorB":11}</v>
      </c>
      <c r="E211" s="8" t="str">
        <f t="shared" si="2"/>
        <v>carregador de computador</v>
      </c>
      <c r="F211" s="8"/>
      <c r="G211" s="15" t="str">
        <f t="shared" si="3"/>
        <v>11</v>
      </c>
      <c r="H211" s="9">
        <f t="shared" si="4"/>
        <v>11</v>
      </c>
      <c r="I211" s="6" t="str">
        <f>IFERROR(__xludf.DUMMYFUNCTION("MAX(FILTER($H$2:$H501,$E$2:$E501=F211))"),"#N/A")</f>
        <v>#N/A</v>
      </c>
    </row>
    <row r="212">
      <c r="A212" s="4"/>
      <c r="B212" s="4"/>
      <c r="C212" s="4" t="s">
        <v>2350</v>
      </c>
      <c r="D212" s="6" t="str">
        <f t="shared" si="1"/>
        <v>{"valorA":"roteador","valorB":10}</v>
      </c>
      <c r="E212" s="8" t="str">
        <f t="shared" si="2"/>
        <v>roteador</v>
      </c>
      <c r="F212" s="8"/>
      <c r="G212" s="15" t="str">
        <f t="shared" si="3"/>
        <v>10</v>
      </c>
      <c r="H212" s="9">
        <f t="shared" si="4"/>
        <v>10</v>
      </c>
      <c r="I212" s="6" t="str">
        <f>IFERROR(__xludf.DUMMYFUNCTION("MAX(FILTER($H$2:$H501,$E$2:$E501=F212))"),"#N/A")</f>
        <v>#N/A</v>
      </c>
    </row>
    <row r="213">
      <c r="A213" s="4"/>
      <c r="B213" s="4"/>
      <c r="C213" s="4" t="s">
        <v>2351</v>
      </c>
      <c r="D213" s="6" t="str">
        <f t="shared" si="1"/>
        <v>{"valorA":"ventilador","valorB":10}</v>
      </c>
      <c r="E213" s="8" t="str">
        <f t="shared" si="2"/>
        <v>ventilador</v>
      </c>
      <c r="F213" s="8"/>
      <c r="G213" s="15" t="str">
        <f t="shared" si="3"/>
        <v>10</v>
      </c>
      <c r="H213" s="9">
        <f t="shared" si="4"/>
        <v>10</v>
      </c>
      <c r="I213" s="6" t="str">
        <f>IFERROR(__xludf.DUMMYFUNCTION("MAX(FILTER($H$2:$H501,$E$2:$E501=F213))"),"#N/A")</f>
        <v>#N/A</v>
      </c>
    </row>
    <row r="214">
      <c r="A214" s="4"/>
      <c r="B214" s="4"/>
      <c r="C214" s="4" t="s">
        <v>2352</v>
      </c>
      <c r="D214" s="6" t="str">
        <f t="shared" si="1"/>
        <v>{"valorA":"lustre","valorB":7}</v>
      </c>
      <c r="E214" s="8" t="str">
        <f t="shared" si="2"/>
        <v>lustre</v>
      </c>
      <c r="F214" s="8"/>
      <c r="G214" s="15" t="str">
        <f t="shared" si="3"/>
        <v>7</v>
      </c>
      <c r="H214" s="9">
        <f t="shared" si="4"/>
        <v>7</v>
      </c>
      <c r="I214" s="6" t="str">
        <f>IFERROR(__xludf.DUMMYFUNCTION("MAX(FILTER($H$2:$H501,$E$2:$E501=F214))"),"#N/A")</f>
        <v>#N/A</v>
      </c>
    </row>
    <row r="215">
      <c r="A215" s="4"/>
      <c r="B215" s="4"/>
      <c r="C215" s="4" t="s">
        <v>2353</v>
      </c>
      <c r="D215" s="6" t="str">
        <f t="shared" si="1"/>
        <v>{"valorA":"mouse de computador","valorB":7}</v>
      </c>
      <c r="E215" s="8" t="str">
        <f t="shared" si="2"/>
        <v>mouse de computador</v>
      </c>
      <c r="F215" s="8"/>
      <c r="G215" s="15" t="str">
        <f t="shared" si="3"/>
        <v>7</v>
      </c>
      <c r="H215" s="9">
        <f t="shared" si="4"/>
        <v>7</v>
      </c>
      <c r="I215" s="6" t="str">
        <f>IFERROR(__xludf.DUMMYFUNCTION("MAX(FILTER($H$2:$H501,$E$2:$E501=F215))"),"#N/A")</f>
        <v>#N/A</v>
      </c>
    </row>
    <row r="216">
      <c r="A216" s="4"/>
      <c r="B216" s="4"/>
      <c r="C216" s="4" t="s">
        <v>2354</v>
      </c>
      <c r="D216" s="6" t="str">
        <f t="shared" si="1"/>
        <v>{"valorA":"filtro de linha","valorB":12}</v>
      </c>
      <c r="E216" s="8" t="str">
        <f t="shared" si="2"/>
        <v>filtro de linha</v>
      </c>
      <c r="F216" s="8"/>
      <c r="G216" s="15" t="str">
        <f t="shared" si="3"/>
        <v>12</v>
      </c>
      <c r="H216" s="9">
        <f t="shared" si="4"/>
        <v>12</v>
      </c>
      <c r="I216" s="6" t="str">
        <f>IFERROR(__xludf.DUMMYFUNCTION("MAX(FILTER($H$2:$H501,$E$2:$E501=F216))"),"#N/A")</f>
        <v>#N/A</v>
      </c>
    </row>
    <row r="217">
      <c r="A217" s="4"/>
      <c r="B217" s="4"/>
      <c r="C217" s="4" t="s">
        <v>2355</v>
      </c>
      <c r="D217" s="6" t="str">
        <f t="shared" si="1"/>
        <v>{"valorA":"ventilador","valorB":11}</v>
      </c>
      <c r="E217" s="8" t="str">
        <f t="shared" si="2"/>
        <v>ventilador</v>
      </c>
      <c r="F217" s="8"/>
      <c r="G217" s="15" t="str">
        <f t="shared" si="3"/>
        <v>11</v>
      </c>
      <c r="H217" s="9">
        <f t="shared" si="4"/>
        <v>11</v>
      </c>
      <c r="I217" s="6" t="str">
        <f>IFERROR(__xludf.DUMMYFUNCTION("MAX(FILTER($H$2:$H501,$E$2:$E501=F217))"),"#N/A")</f>
        <v>#N/A</v>
      </c>
    </row>
    <row r="218">
      <c r="A218" s="4"/>
      <c r="B218" s="4"/>
      <c r="C218" s="4" t="s">
        <v>2356</v>
      </c>
      <c r="D218" s="6" t="str">
        <f t="shared" si="1"/>
        <v>{"valorA":"fogão","valorB":13}</v>
      </c>
      <c r="E218" s="8" t="str">
        <f t="shared" si="2"/>
        <v>fogão</v>
      </c>
      <c r="F218" s="8"/>
      <c r="G218" s="15" t="str">
        <f t="shared" si="3"/>
        <v>13</v>
      </c>
      <c r="H218" s="9">
        <f t="shared" si="4"/>
        <v>13</v>
      </c>
      <c r="I218" s="6" t="str">
        <f>IFERROR(__xludf.DUMMYFUNCTION("MAX(FILTER($H$2:$H501,$E$2:$E501=F218))"),"#N/A")</f>
        <v>#N/A</v>
      </c>
    </row>
    <row r="219">
      <c r="A219" s="4"/>
      <c r="B219" s="4"/>
      <c r="C219" s="4" t="s">
        <v>2357</v>
      </c>
      <c r="D219" s="6" t="str">
        <f t="shared" si="1"/>
        <v>{"valorA":"roteador","valorB":11}</v>
      </c>
      <c r="E219" s="8" t="str">
        <f t="shared" si="2"/>
        <v>roteador</v>
      </c>
      <c r="F219" s="8"/>
      <c r="G219" s="15" t="str">
        <f t="shared" si="3"/>
        <v>11</v>
      </c>
      <c r="H219" s="9">
        <f t="shared" si="4"/>
        <v>11</v>
      </c>
      <c r="I219" s="6" t="str">
        <f>IFERROR(__xludf.DUMMYFUNCTION("MAX(FILTER($H$2:$H501,$E$2:$E501=F219))"),"#N/A")</f>
        <v>#N/A</v>
      </c>
    </row>
    <row r="220">
      <c r="A220" s="4"/>
      <c r="B220" s="4"/>
      <c r="C220" s="4" t="s">
        <v>2358</v>
      </c>
      <c r="D220" s="6" t="str">
        <f t="shared" si="1"/>
        <v>{"valorA":"roteador","valorB":12}</v>
      </c>
      <c r="E220" s="8" t="str">
        <f t="shared" si="2"/>
        <v>roteador</v>
      </c>
      <c r="F220" s="8"/>
      <c r="G220" s="15" t="str">
        <f t="shared" si="3"/>
        <v>12</v>
      </c>
      <c r="H220" s="9">
        <f t="shared" si="4"/>
        <v>12</v>
      </c>
      <c r="I220" s="6" t="str">
        <f>IFERROR(__xludf.DUMMYFUNCTION("MAX(FILTER($H$2:$H501,$E$2:$E501=F220))"),"#N/A")</f>
        <v>#N/A</v>
      </c>
    </row>
    <row r="221">
      <c r="A221" s="4"/>
      <c r="B221" s="4"/>
      <c r="C221" s="4" t="s">
        <v>1668</v>
      </c>
      <c r="D221" s="6" t="str">
        <f t="shared" si="1"/>
        <v>{"valorA":"freezer","valorB":10}</v>
      </c>
      <c r="E221" s="8" t="str">
        <f t="shared" si="2"/>
        <v>freezer</v>
      </c>
      <c r="F221" s="8"/>
      <c r="G221" s="15" t="str">
        <f t="shared" si="3"/>
        <v>10</v>
      </c>
      <c r="H221" s="9">
        <f t="shared" si="4"/>
        <v>10</v>
      </c>
      <c r="I221" s="6" t="str">
        <f>IFERROR(__xludf.DUMMYFUNCTION("MAX(FILTER($H$2:$H501,$E$2:$E501=F221))"),"#N/A")</f>
        <v>#N/A</v>
      </c>
    </row>
    <row r="222">
      <c r="A222" s="4"/>
      <c r="B222" s="4"/>
      <c r="C222" s="4" t="s">
        <v>1715</v>
      </c>
      <c r="D222" s="6" t="str">
        <f t="shared" si="1"/>
        <v>{"valorA":"ar condicionado","valorB":13}</v>
      </c>
      <c r="E222" s="8" t="str">
        <f t="shared" si="2"/>
        <v>ar condicionado</v>
      </c>
      <c r="F222" s="8"/>
      <c r="G222" s="15" t="str">
        <f t="shared" si="3"/>
        <v>13</v>
      </c>
      <c r="H222" s="9">
        <f t="shared" si="4"/>
        <v>13</v>
      </c>
      <c r="I222" s="6" t="str">
        <f>IFERROR(__xludf.DUMMYFUNCTION("MAX(FILTER($H$2:$H501,$E$2:$E501=F222))"),"#N/A")</f>
        <v>#N/A</v>
      </c>
    </row>
    <row r="223">
      <c r="A223" s="4"/>
      <c r="B223" s="4"/>
      <c r="C223" s="4" t="s">
        <v>2359</v>
      </c>
      <c r="D223" s="6" t="str">
        <f t="shared" si="1"/>
        <v>{"valorA":"chuveiro elétrico","valorB":15}</v>
      </c>
      <c r="E223" s="8" t="str">
        <f t="shared" si="2"/>
        <v>chuveiro elétrico</v>
      </c>
      <c r="F223" s="8"/>
      <c r="G223" s="15" t="str">
        <f t="shared" si="3"/>
        <v>15</v>
      </c>
      <c r="H223" s="9">
        <f t="shared" si="4"/>
        <v>15</v>
      </c>
      <c r="I223" s="6" t="str">
        <f>IFERROR(__xludf.DUMMYFUNCTION("MAX(FILTER($H$2:$H501,$E$2:$E501=F223))"),"#N/A")</f>
        <v>#N/A</v>
      </c>
    </row>
    <row r="224">
      <c r="A224" s="4"/>
      <c r="B224" s="4"/>
      <c r="C224" s="4" t="s">
        <v>2360</v>
      </c>
      <c r="D224" s="6" t="str">
        <f t="shared" si="1"/>
        <v>{"valorA":"roteador","valorB":13}</v>
      </c>
      <c r="E224" s="8" t="str">
        <f t="shared" si="2"/>
        <v>roteador</v>
      </c>
      <c r="F224" s="8"/>
      <c r="G224" s="15" t="str">
        <f t="shared" si="3"/>
        <v>13</v>
      </c>
      <c r="H224" s="9">
        <f t="shared" si="4"/>
        <v>13</v>
      </c>
      <c r="I224" s="6" t="str">
        <f>IFERROR(__xludf.DUMMYFUNCTION("MAX(FILTER($H$2:$H501,$E$2:$E501=F224))"),"#N/A")</f>
        <v>#N/A</v>
      </c>
    </row>
    <row r="225">
      <c r="A225" s="4"/>
      <c r="B225" s="4"/>
      <c r="C225" s="4" t="s">
        <v>1669</v>
      </c>
      <c r="D225" s="6" t="str">
        <f t="shared" si="1"/>
        <v>{"valorA":"freezer","valorB":11}</v>
      </c>
      <c r="E225" s="8" t="str">
        <f t="shared" si="2"/>
        <v>freezer</v>
      </c>
      <c r="F225" s="8"/>
      <c r="G225" s="15" t="str">
        <f t="shared" si="3"/>
        <v>11</v>
      </c>
      <c r="H225" s="9">
        <f t="shared" si="4"/>
        <v>11</v>
      </c>
      <c r="I225" s="6" t="str">
        <f>IFERROR(__xludf.DUMMYFUNCTION("MAX(FILTER($H$2:$H501,$E$2:$E501=F225))"),"#N/A")</f>
        <v>#N/A</v>
      </c>
    </row>
    <row r="226">
      <c r="A226" s="4"/>
      <c r="B226" s="4"/>
      <c r="C226" s="4" t="s">
        <v>2361</v>
      </c>
      <c r="D226" s="6" t="str">
        <f t="shared" si="1"/>
        <v>{"valorA":"chuveiro elétrico","valorB":16}</v>
      </c>
      <c r="E226" s="8" t="str">
        <f t="shared" si="2"/>
        <v>chuveiro elétrico</v>
      </c>
      <c r="F226" s="8"/>
      <c r="G226" s="15" t="str">
        <f t="shared" si="3"/>
        <v>16</v>
      </c>
      <c r="H226" s="9">
        <f t="shared" si="4"/>
        <v>16</v>
      </c>
      <c r="I226" s="6" t="str">
        <f>IFERROR(__xludf.DUMMYFUNCTION("MAX(FILTER($H$2:$H501,$E$2:$E501=F226))"),"#N/A")</f>
        <v>#N/A</v>
      </c>
    </row>
    <row r="227">
      <c r="A227" s="4"/>
      <c r="B227" s="4"/>
      <c r="C227" s="4" t="s">
        <v>2362</v>
      </c>
      <c r="D227" s="6" t="str">
        <f t="shared" si="1"/>
        <v>{"valorA":"computador","valorB":13}</v>
      </c>
      <c r="E227" s="8" t="str">
        <f t="shared" si="2"/>
        <v>computador</v>
      </c>
      <c r="F227" s="8"/>
      <c r="G227" s="15" t="str">
        <f t="shared" si="3"/>
        <v>13</v>
      </c>
      <c r="H227" s="9">
        <f t="shared" si="4"/>
        <v>13</v>
      </c>
      <c r="I227" s="6" t="str">
        <f>IFERROR(__xludf.DUMMYFUNCTION("MAX(FILTER($H$2:$H501,$E$2:$E501=F227))"),"#N/A")</f>
        <v>#N/A</v>
      </c>
    </row>
    <row r="228">
      <c r="A228" s="4"/>
      <c r="B228" s="4"/>
      <c r="C228" s="4" t="s">
        <v>1717</v>
      </c>
      <c r="D228" s="6" t="str">
        <f t="shared" si="1"/>
        <v>{"valorA":"ar condicionado","valorB":14}</v>
      </c>
      <c r="E228" s="8" t="str">
        <f t="shared" si="2"/>
        <v>ar condicionado</v>
      </c>
      <c r="F228" s="8"/>
      <c r="G228" s="15" t="str">
        <f t="shared" si="3"/>
        <v>14</v>
      </c>
      <c r="H228" s="9">
        <f t="shared" si="4"/>
        <v>14</v>
      </c>
      <c r="I228" s="6" t="str">
        <f>IFERROR(__xludf.DUMMYFUNCTION("MAX(FILTER($H$2:$H501,$E$2:$E501=F228))"),"#N/A")</f>
        <v>#N/A</v>
      </c>
    </row>
    <row r="229">
      <c r="A229" s="4"/>
      <c r="B229" s="4"/>
      <c r="C229" s="4" t="s">
        <v>2363</v>
      </c>
      <c r="D229" s="6" t="str">
        <f t="shared" si="1"/>
        <v>{"valorA":"teclado de computador","valorB":15}</v>
      </c>
      <c r="E229" s="8" t="str">
        <f t="shared" si="2"/>
        <v>teclado de computador</v>
      </c>
      <c r="F229" s="8"/>
      <c r="G229" s="15" t="str">
        <f t="shared" si="3"/>
        <v>15</v>
      </c>
      <c r="H229" s="9">
        <f t="shared" si="4"/>
        <v>15</v>
      </c>
      <c r="I229" s="6" t="str">
        <f>IFERROR(__xludf.DUMMYFUNCTION("MAX(FILTER($H$2:$H501,$E$2:$E501=F229))"),"#N/A")</f>
        <v>#N/A</v>
      </c>
    </row>
    <row r="230">
      <c r="A230" s="4"/>
      <c r="B230" s="4"/>
      <c r="C230" s="4" t="s">
        <v>1714</v>
      </c>
      <c r="D230" s="6" t="str">
        <f t="shared" si="1"/>
        <v>{"valorA":"microondas","valorB":11}</v>
      </c>
      <c r="E230" s="8" t="str">
        <f t="shared" si="2"/>
        <v>microondas</v>
      </c>
      <c r="F230" s="8"/>
      <c r="G230" s="15" t="str">
        <f t="shared" si="3"/>
        <v>11</v>
      </c>
      <c r="H230" s="9">
        <f t="shared" si="4"/>
        <v>11</v>
      </c>
      <c r="I230" s="6" t="str">
        <f>IFERROR(__xludf.DUMMYFUNCTION("MAX(FILTER($H$2:$H501,$E$2:$E501=F230))"),"#N/A")</f>
        <v>#N/A</v>
      </c>
    </row>
    <row r="231">
      <c r="A231" s="4"/>
      <c r="B231" s="4"/>
      <c r="C231" s="4" t="s">
        <v>2364</v>
      </c>
      <c r="D231" s="6" t="str">
        <f t="shared" si="1"/>
        <v>{"valorA":"carregador de celular","valorB":9}</v>
      </c>
      <c r="E231" s="8" t="str">
        <f t="shared" si="2"/>
        <v>carregador de celular</v>
      </c>
      <c r="F231" s="8"/>
      <c r="G231" s="15" t="str">
        <f t="shared" si="3"/>
        <v>9</v>
      </c>
      <c r="H231" s="9">
        <f t="shared" si="4"/>
        <v>9</v>
      </c>
      <c r="I231" s="6" t="str">
        <f>IFERROR(__xludf.DUMMYFUNCTION("MAX(FILTER($H$2:$H501,$E$2:$E501=F231))"),"#N/A")</f>
        <v>#N/A</v>
      </c>
    </row>
    <row r="232">
      <c r="A232" s="4"/>
      <c r="B232" s="4"/>
      <c r="C232" s="4" t="s">
        <v>2365</v>
      </c>
      <c r="D232" s="6" t="str">
        <f t="shared" si="1"/>
        <v>{"valorA":"roteador","valorB":14}</v>
      </c>
      <c r="E232" s="8" t="str">
        <f t="shared" si="2"/>
        <v>roteador</v>
      </c>
      <c r="F232" s="8"/>
      <c r="G232" s="15" t="str">
        <f t="shared" si="3"/>
        <v>14</v>
      </c>
      <c r="H232" s="9">
        <f t="shared" si="4"/>
        <v>14</v>
      </c>
      <c r="I232" s="6" t="str">
        <f>IFERROR(__xludf.DUMMYFUNCTION("MAX(FILTER($H$2:$H501,$E$2:$E501=F232))"),"#N/A")</f>
        <v>#N/A</v>
      </c>
    </row>
    <row r="233">
      <c r="A233" s="4"/>
      <c r="B233" s="4"/>
      <c r="C233" s="4" t="s">
        <v>2366</v>
      </c>
      <c r="D233" s="6" t="str">
        <f t="shared" si="1"/>
        <v>{"valorA":"carregador de computador","valorB":12}</v>
      </c>
      <c r="E233" s="8" t="str">
        <f t="shared" si="2"/>
        <v>carregador de computador</v>
      </c>
      <c r="F233" s="8"/>
      <c r="G233" s="15" t="str">
        <f t="shared" si="3"/>
        <v>12</v>
      </c>
      <c r="H233" s="9">
        <f t="shared" si="4"/>
        <v>12</v>
      </c>
      <c r="I233" s="6" t="str">
        <f>IFERROR(__xludf.DUMMYFUNCTION("MAX(FILTER($H$2:$H501,$E$2:$E501=F233))"),"#N/A")</f>
        <v>#N/A</v>
      </c>
    </row>
    <row r="234">
      <c r="A234" s="4"/>
      <c r="B234" s="4"/>
      <c r="C234" s="4" t="s">
        <v>2367</v>
      </c>
      <c r="D234" s="6" t="str">
        <f t="shared" si="1"/>
        <v>{"valorA":"ventilador","valorB":12}</v>
      </c>
      <c r="E234" s="8" t="str">
        <f t="shared" si="2"/>
        <v>ventilador</v>
      </c>
      <c r="F234" s="8"/>
      <c r="G234" s="15" t="str">
        <f t="shared" si="3"/>
        <v>12</v>
      </c>
      <c r="H234" s="9">
        <f t="shared" si="4"/>
        <v>12</v>
      </c>
      <c r="I234" s="6" t="str">
        <f>IFERROR(__xludf.DUMMYFUNCTION("MAX(FILTER($H$2:$H501,$E$2:$E501=F234))"),"#N/A")</f>
        <v>#N/A</v>
      </c>
    </row>
    <row r="235">
      <c r="A235" s="4"/>
      <c r="B235" s="4"/>
      <c r="C235" s="4" t="s">
        <v>2368</v>
      </c>
      <c r="D235" s="6" t="str">
        <f t="shared" si="1"/>
        <v>{"valorA":"teclado de computador","valorB":16}</v>
      </c>
      <c r="E235" s="8" t="str">
        <f t="shared" si="2"/>
        <v>teclado de computador</v>
      </c>
      <c r="F235" s="8"/>
      <c r="G235" s="15" t="str">
        <f t="shared" si="3"/>
        <v>16</v>
      </c>
      <c r="H235" s="9">
        <f t="shared" si="4"/>
        <v>16</v>
      </c>
      <c r="I235" s="6" t="str">
        <f>IFERROR(__xludf.DUMMYFUNCTION("MAX(FILTER($H$2:$H501,$E$2:$E501=F235))"),"#N/A")</f>
        <v>#N/A</v>
      </c>
    </row>
    <row r="236">
      <c r="A236" s="4"/>
      <c r="B236" s="4"/>
      <c r="C236" s="4" t="s">
        <v>2369</v>
      </c>
      <c r="D236" s="6" t="str">
        <f t="shared" si="1"/>
        <v>{"valorA":"teclado de computador","valorB":17}</v>
      </c>
      <c r="E236" s="8" t="str">
        <f t="shared" si="2"/>
        <v>teclado de computador</v>
      </c>
      <c r="F236" s="8"/>
      <c r="G236" s="15" t="str">
        <f t="shared" si="3"/>
        <v>17</v>
      </c>
      <c r="H236" s="9">
        <f t="shared" si="4"/>
        <v>17</v>
      </c>
      <c r="I236" s="6" t="str">
        <f>IFERROR(__xludf.DUMMYFUNCTION("MAX(FILTER($H$2:$H501,$E$2:$E501=F236))"),"#N/A")</f>
        <v>#N/A</v>
      </c>
    </row>
    <row r="237">
      <c r="A237" s="4"/>
      <c r="B237" s="4"/>
      <c r="C237" s="4" t="s">
        <v>1670</v>
      </c>
      <c r="D237" s="6" t="str">
        <f t="shared" si="1"/>
        <v>{"valorA":"freezer","valorB":12}</v>
      </c>
      <c r="E237" s="8" t="str">
        <f t="shared" si="2"/>
        <v>freezer</v>
      </c>
      <c r="F237" s="8"/>
      <c r="G237" s="15" t="str">
        <f t="shared" si="3"/>
        <v>12</v>
      </c>
      <c r="H237" s="9">
        <f t="shared" si="4"/>
        <v>12</v>
      </c>
      <c r="I237" s="6" t="str">
        <f>IFERROR(__xludf.DUMMYFUNCTION("MAX(FILTER($H$2:$H501,$E$2:$E501=F237))"),"#N/A")</f>
        <v>#N/A</v>
      </c>
    </row>
    <row r="238">
      <c r="A238" s="4"/>
      <c r="B238" s="4"/>
      <c r="C238" s="4" t="s">
        <v>2370</v>
      </c>
      <c r="D238" s="6" t="str">
        <f t="shared" si="1"/>
        <v>{"valorA":"celular","valorB":10}</v>
      </c>
      <c r="E238" s="8" t="str">
        <f t="shared" si="2"/>
        <v>celular</v>
      </c>
      <c r="F238" s="8"/>
      <c r="G238" s="15" t="str">
        <f t="shared" si="3"/>
        <v>10</v>
      </c>
      <c r="H238" s="9">
        <f t="shared" si="4"/>
        <v>10</v>
      </c>
      <c r="I238" s="6" t="str">
        <f>IFERROR(__xludf.DUMMYFUNCTION("MAX(FILTER($H$2:$H501,$E$2:$E501=F238))"),"#N/A")</f>
        <v>#N/A</v>
      </c>
    </row>
    <row r="239">
      <c r="A239" s="4"/>
      <c r="B239" s="4"/>
      <c r="C239" s="4" t="s">
        <v>2371</v>
      </c>
      <c r="D239" s="6" t="str">
        <f t="shared" si="1"/>
        <v>{"valorA":"ventilador","valorB":13}</v>
      </c>
      <c r="E239" s="8" t="str">
        <f t="shared" si="2"/>
        <v>ventilador</v>
      </c>
      <c r="F239" s="8"/>
      <c r="G239" s="15" t="str">
        <f t="shared" si="3"/>
        <v>13</v>
      </c>
      <c r="H239" s="9">
        <f t="shared" si="4"/>
        <v>13</v>
      </c>
      <c r="I239" s="6" t="str">
        <f>IFERROR(__xludf.DUMMYFUNCTION("MAX(FILTER($H$2:$H501,$E$2:$E501=F239))"),"#N/A")</f>
        <v>#N/A</v>
      </c>
    </row>
    <row r="240">
      <c r="A240" s="4"/>
      <c r="B240" s="4"/>
      <c r="C240" s="4" t="s">
        <v>2372</v>
      </c>
      <c r="D240" s="6" t="str">
        <f t="shared" si="1"/>
        <v>{"valorA":"mouse de computador","valorB":8}</v>
      </c>
      <c r="E240" s="8" t="str">
        <f t="shared" si="2"/>
        <v>mouse de computador</v>
      </c>
      <c r="F240" s="8"/>
      <c r="G240" s="15" t="str">
        <f t="shared" si="3"/>
        <v>8</v>
      </c>
      <c r="H240" s="9">
        <f t="shared" si="4"/>
        <v>8</v>
      </c>
      <c r="I240" s="6" t="str">
        <f>IFERROR(__xludf.DUMMYFUNCTION("MAX(FILTER($H$2:$H501,$E$2:$E501=F240))"),"#N/A")</f>
        <v>#N/A</v>
      </c>
    </row>
    <row r="241">
      <c r="A241" s="4"/>
      <c r="B241" s="4"/>
      <c r="C241" s="4" t="s">
        <v>2373</v>
      </c>
      <c r="D241" s="6" t="str">
        <f t="shared" si="1"/>
        <v>{"valorA":"mouse de computador","valorB":9}</v>
      </c>
      <c r="E241" s="8" t="str">
        <f t="shared" si="2"/>
        <v>mouse de computador</v>
      </c>
      <c r="F241" s="8"/>
      <c r="G241" s="15" t="str">
        <f t="shared" si="3"/>
        <v>9</v>
      </c>
      <c r="H241" s="9">
        <f t="shared" si="4"/>
        <v>9</v>
      </c>
      <c r="I241" s="6" t="str">
        <f>IFERROR(__xludf.DUMMYFUNCTION("MAX(FILTER($H$2:$H501,$E$2:$E501=F241))"),"#N/A")</f>
        <v>#N/A</v>
      </c>
    </row>
    <row r="242">
      <c r="A242" s="4"/>
      <c r="B242" s="4"/>
      <c r="C242" s="4" t="s">
        <v>2374</v>
      </c>
      <c r="D242" s="6" t="str">
        <f t="shared" si="1"/>
        <v>{"valorA":"purificador de água","valorB":10}</v>
      </c>
      <c r="E242" s="8" t="str">
        <f t="shared" si="2"/>
        <v>purificador de água</v>
      </c>
      <c r="F242" s="8"/>
      <c r="G242" s="15" t="str">
        <f t="shared" si="3"/>
        <v>10</v>
      </c>
      <c r="H242" s="9">
        <f t="shared" si="4"/>
        <v>10</v>
      </c>
      <c r="I242" s="6" t="str">
        <f>IFERROR(__xludf.DUMMYFUNCTION("MAX(FILTER($H$2:$H501,$E$2:$E501=F242))"),"#N/A")</f>
        <v>#N/A</v>
      </c>
    </row>
    <row r="243">
      <c r="A243" s="4"/>
      <c r="B243" s="4"/>
      <c r="C243" s="4" t="s">
        <v>2375</v>
      </c>
      <c r="D243" s="6" t="str">
        <f t="shared" si="1"/>
        <v>{"valorA":"aspirador","valorB":15}</v>
      </c>
      <c r="E243" s="8" t="str">
        <f t="shared" si="2"/>
        <v>aspirador</v>
      </c>
      <c r="F243" s="8"/>
      <c r="G243" s="15" t="str">
        <f t="shared" si="3"/>
        <v>15</v>
      </c>
      <c r="H243" s="9">
        <f t="shared" si="4"/>
        <v>15</v>
      </c>
      <c r="I243" s="6" t="str">
        <f>IFERROR(__xludf.DUMMYFUNCTION("MAX(FILTER($H$2:$H501,$E$2:$E501=F243))"),"#N/A")</f>
        <v>#N/A</v>
      </c>
    </row>
    <row r="244">
      <c r="A244" s="4"/>
      <c r="B244" s="4"/>
      <c r="C244" s="4" t="s">
        <v>2376</v>
      </c>
      <c r="D244" s="6" t="str">
        <f t="shared" si="1"/>
        <v>{"valorA":"filtro de linha","valorB":13}</v>
      </c>
      <c r="E244" s="8" t="str">
        <f t="shared" si="2"/>
        <v>filtro de linha</v>
      </c>
      <c r="F244" s="8"/>
      <c r="G244" s="15" t="str">
        <f t="shared" si="3"/>
        <v>13</v>
      </c>
      <c r="H244" s="9">
        <f t="shared" si="4"/>
        <v>13</v>
      </c>
      <c r="I244" s="6" t="str">
        <f>IFERROR(__xludf.DUMMYFUNCTION("MAX(FILTER($H$2:$H501,$E$2:$E501=F244))"),"#N/A")</f>
        <v>#N/A</v>
      </c>
    </row>
    <row r="245">
      <c r="A245" s="4"/>
      <c r="B245" s="4"/>
      <c r="C245" s="4" t="s">
        <v>1671</v>
      </c>
      <c r="D245" s="6" t="str">
        <f t="shared" si="1"/>
        <v>{"valorA":"freezer","valorB":13}</v>
      </c>
      <c r="E245" s="8" t="str">
        <f t="shared" si="2"/>
        <v>freezer</v>
      </c>
      <c r="F245" s="8"/>
      <c r="G245" s="15" t="str">
        <f t="shared" si="3"/>
        <v>13</v>
      </c>
      <c r="H245" s="9">
        <f t="shared" si="4"/>
        <v>13</v>
      </c>
      <c r="I245" s="6" t="str">
        <f>IFERROR(__xludf.DUMMYFUNCTION("MAX(FILTER($H$2:$H501,$E$2:$E501=F245))"),"#N/A")</f>
        <v>#N/A</v>
      </c>
    </row>
    <row r="246">
      <c r="A246" s="4"/>
      <c r="B246" s="4"/>
      <c r="C246" s="4" t="s">
        <v>2377</v>
      </c>
      <c r="D246" s="6" t="str">
        <f t="shared" si="1"/>
        <v>{"valorA":"roteador","valorB":15}</v>
      </c>
      <c r="E246" s="8" t="str">
        <f t="shared" si="2"/>
        <v>roteador</v>
      </c>
      <c r="F246" s="8"/>
      <c r="G246" s="15" t="str">
        <f t="shared" si="3"/>
        <v>15</v>
      </c>
      <c r="H246" s="9">
        <f t="shared" si="4"/>
        <v>15</v>
      </c>
      <c r="I246" s="6" t="str">
        <f>IFERROR(__xludf.DUMMYFUNCTION("MAX(FILTER($H$2:$H501,$E$2:$E501=F246))"),"#N/A")</f>
        <v>#N/A</v>
      </c>
    </row>
    <row r="247">
      <c r="A247" s="4"/>
      <c r="B247" s="4"/>
      <c r="C247" s="4" t="s">
        <v>2378</v>
      </c>
      <c r="D247" s="6" t="str">
        <f t="shared" si="1"/>
        <v>{"valorA":"liquidificador","valorB":15}</v>
      </c>
      <c r="E247" s="8" t="str">
        <f t="shared" si="2"/>
        <v>liquidificador</v>
      </c>
      <c r="F247" s="8"/>
      <c r="G247" s="15" t="str">
        <f t="shared" si="3"/>
        <v>15</v>
      </c>
      <c r="H247" s="9">
        <f t="shared" si="4"/>
        <v>15</v>
      </c>
      <c r="I247" s="6" t="str">
        <f>IFERROR(__xludf.DUMMYFUNCTION("MAX(FILTER($H$2:$H501,$E$2:$E501=F247))"),"#N/A")</f>
        <v>#N/A</v>
      </c>
    </row>
    <row r="248">
      <c r="A248" s="4"/>
      <c r="B248" s="4"/>
      <c r="C248" s="4" t="s">
        <v>2379</v>
      </c>
      <c r="D248" s="6" t="str">
        <f t="shared" si="1"/>
        <v>{"valorA":"fone de ouvido","valorB":10}</v>
      </c>
      <c r="E248" s="8" t="str">
        <f t="shared" si="2"/>
        <v>fone de ouvido</v>
      </c>
      <c r="F248" s="8"/>
      <c r="G248" s="15" t="str">
        <f t="shared" si="3"/>
        <v>10</v>
      </c>
      <c r="H248" s="9">
        <f t="shared" si="4"/>
        <v>10</v>
      </c>
      <c r="I248" s="6" t="str">
        <f>IFERROR(__xludf.DUMMYFUNCTION("MAX(FILTER($H$2:$H501,$E$2:$E501=F248))"),"#N/A")</f>
        <v>#N/A</v>
      </c>
    </row>
    <row r="249">
      <c r="A249" s="4"/>
      <c r="B249" s="4"/>
      <c r="C249" s="4" t="s">
        <v>2380</v>
      </c>
      <c r="D249" s="6" t="str">
        <f t="shared" si="1"/>
        <v>{"valorA":"chuveiro elétrico","valorB":17}</v>
      </c>
      <c r="E249" s="8" t="str">
        <f t="shared" si="2"/>
        <v>chuveiro elétrico</v>
      </c>
      <c r="F249" s="8"/>
      <c r="G249" s="15" t="str">
        <f t="shared" si="3"/>
        <v>17</v>
      </c>
      <c r="H249" s="9">
        <f t="shared" si="4"/>
        <v>17</v>
      </c>
      <c r="I249" s="6" t="str">
        <f>IFERROR(__xludf.DUMMYFUNCTION("MAX(FILTER($H$2:$H501,$E$2:$E501=F249))"),"#N/A")</f>
        <v>#N/A</v>
      </c>
    </row>
    <row r="250">
      <c r="A250" s="4"/>
      <c r="B250" s="4"/>
      <c r="C250" s="4" t="s">
        <v>2381</v>
      </c>
      <c r="D250" s="6" t="str">
        <f t="shared" si="1"/>
        <v>{"valorA":"lustre","valorB":8}</v>
      </c>
      <c r="E250" s="8" t="str">
        <f t="shared" si="2"/>
        <v>lustre</v>
      </c>
      <c r="F250" s="8"/>
      <c r="G250" s="15" t="str">
        <f t="shared" si="3"/>
        <v>8</v>
      </c>
      <c r="H250" s="9">
        <f t="shared" si="4"/>
        <v>8</v>
      </c>
      <c r="I250" s="6" t="str">
        <f>IFERROR(__xludf.DUMMYFUNCTION("MAX(FILTER($H$2:$H501,$E$2:$E501=F250))"),"#N/A")</f>
        <v>#N/A</v>
      </c>
    </row>
    <row r="251">
      <c r="A251" s="4"/>
      <c r="B251" s="4"/>
      <c r="C251" s="4" t="s">
        <v>2382</v>
      </c>
      <c r="D251" s="6" t="str">
        <f t="shared" si="1"/>
        <v>{"valorA":"celular","valorB":11}</v>
      </c>
      <c r="E251" s="8" t="str">
        <f t="shared" si="2"/>
        <v>celular</v>
      </c>
      <c r="F251" s="8"/>
      <c r="G251" s="15" t="str">
        <f t="shared" si="3"/>
        <v>11</v>
      </c>
      <c r="H251" s="9">
        <f t="shared" si="4"/>
        <v>11</v>
      </c>
      <c r="I251" s="6" t="str">
        <f>IFERROR(__xludf.DUMMYFUNCTION("MAX(FILTER($H$2:$H501,$E$2:$E501=F251))"),"#N/A")</f>
        <v>#N/A</v>
      </c>
    </row>
    <row r="252">
      <c r="A252" s="4"/>
      <c r="B252" s="4"/>
      <c r="C252" s="4" t="s">
        <v>2383</v>
      </c>
      <c r="D252" s="6" t="str">
        <f t="shared" si="1"/>
        <v>{"valorA":"fone de ouvido","valorB":11}</v>
      </c>
      <c r="E252" s="8" t="str">
        <f t="shared" si="2"/>
        <v>fone de ouvido</v>
      </c>
      <c r="F252" s="8"/>
      <c r="G252" s="15" t="str">
        <f t="shared" si="3"/>
        <v>11</v>
      </c>
      <c r="H252" s="9">
        <f t="shared" si="4"/>
        <v>11</v>
      </c>
      <c r="I252" s="6" t="str">
        <f>IFERROR(__xludf.DUMMYFUNCTION("MAX(FILTER($H$2:$H501,$E$2:$E501=F252))"),"#N/A")</f>
        <v>#N/A</v>
      </c>
    </row>
    <row r="253">
      <c r="A253" s="4"/>
      <c r="B253" s="4"/>
      <c r="C253" s="4" t="s">
        <v>2384</v>
      </c>
      <c r="D253" s="6" t="str">
        <f t="shared" si="1"/>
        <v>{"valorA":"mouse de computador","valorB":10}</v>
      </c>
      <c r="E253" s="8" t="str">
        <f t="shared" si="2"/>
        <v>mouse de computador</v>
      </c>
      <c r="F253" s="8"/>
      <c r="G253" s="15" t="str">
        <f t="shared" si="3"/>
        <v>10</v>
      </c>
      <c r="H253" s="9">
        <f t="shared" si="4"/>
        <v>10</v>
      </c>
      <c r="I253" s="6" t="str">
        <f>IFERROR(__xludf.DUMMYFUNCTION("MAX(FILTER($H$2:$H501,$E$2:$E501=F253))"),"#N/A")</f>
        <v>#N/A</v>
      </c>
    </row>
    <row r="254">
      <c r="A254" s="4"/>
      <c r="B254" s="4"/>
      <c r="C254" s="4" t="s">
        <v>2385</v>
      </c>
      <c r="D254" s="6" t="str">
        <f t="shared" si="1"/>
        <v>{"valorA":"liquidificador","valorB":16}</v>
      </c>
      <c r="E254" s="8" t="str">
        <f t="shared" si="2"/>
        <v>liquidificador</v>
      </c>
      <c r="F254" s="8"/>
      <c r="G254" s="15" t="str">
        <f t="shared" si="3"/>
        <v>16</v>
      </c>
      <c r="H254" s="9">
        <f t="shared" si="4"/>
        <v>16</v>
      </c>
      <c r="I254" s="6" t="str">
        <f>IFERROR(__xludf.DUMMYFUNCTION("MAX(FILTER($H$2:$H501,$E$2:$E501=F254))"),"#N/A")</f>
        <v>#N/A</v>
      </c>
    </row>
    <row r="255">
      <c r="A255" s="4"/>
      <c r="B255" s="4"/>
      <c r="C255" s="4" t="s">
        <v>2386</v>
      </c>
      <c r="D255" s="6" t="str">
        <f t="shared" si="1"/>
        <v>{"valorA":"purificador de água","valorB":11}</v>
      </c>
      <c r="E255" s="8" t="str">
        <f t="shared" si="2"/>
        <v>purificador de água</v>
      </c>
      <c r="F255" s="8"/>
      <c r="G255" s="15" t="str">
        <f t="shared" si="3"/>
        <v>11</v>
      </c>
      <c r="H255" s="9">
        <f t="shared" si="4"/>
        <v>11</v>
      </c>
      <c r="I255" s="6" t="str">
        <f>IFERROR(__xludf.DUMMYFUNCTION("MAX(FILTER($H$2:$H501,$E$2:$E501=F255))"),"#N/A")</f>
        <v>#N/A</v>
      </c>
    </row>
    <row r="256">
      <c r="A256" s="4"/>
      <c r="B256" s="4"/>
      <c r="C256" s="4" t="s">
        <v>2387</v>
      </c>
      <c r="D256" s="6" t="str">
        <f t="shared" si="1"/>
        <v>{"valorA":"lustre","valorB":9}</v>
      </c>
      <c r="E256" s="8" t="str">
        <f t="shared" si="2"/>
        <v>lustre</v>
      </c>
      <c r="F256" s="8"/>
      <c r="G256" s="15" t="str">
        <f t="shared" si="3"/>
        <v>9</v>
      </c>
      <c r="H256" s="9">
        <f t="shared" si="4"/>
        <v>9</v>
      </c>
      <c r="I256" s="6" t="str">
        <f>IFERROR(__xludf.DUMMYFUNCTION("MAX(FILTER($H$2:$H501,$E$2:$E501=F256))"),"#N/A")</f>
        <v>#N/A</v>
      </c>
    </row>
    <row r="257">
      <c r="A257" s="4"/>
      <c r="B257" s="4"/>
      <c r="C257" s="4" t="s">
        <v>2388</v>
      </c>
      <c r="D257" s="6" t="str">
        <f t="shared" si="1"/>
        <v>{"valorA":"mouse de computador","valorB":11}</v>
      </c>
      <c r="E257" s="8" t="str">
        <f t="shared" si="2"/>
        <v>mouse de computador</v>
      </c>
      <c r="F257" s="8"/>
      <c r="G257" s="15" t="str">
        <f t="shared" si="3"/>
        <v>11</v>
      </c>
      <c r="H257" s="9">
        <f t="shared" si="4"/>
        <v>11</v>
      </c>
      <c r="I257" s="6" t="str">
        <f>IFERROR(__xludf.DUMMYFUNCTION("MAX(FILTER($H$2:$H501,$E$2:$E501=F257))"),"#N/A")</f>
        <v>#N/A</v>
      </c>
    </row>
    <row r="258">
      <c r="A258" s="4"/>
      <c r="B258" s="4"/>
      <c r="C258" s="4" t="s">
        <v>2389</v>
      </c>
      <c r="D258" s="6" t="str">
        <f t="shared" si="1"/>
        <v>{"valorA":"lustre","valorB":10}</v>
      </c>
      <c r="E258" s="8" t="str">
        <f t="shared" si="2"/>
        <v>lustre</v>
      </c>
      <c r="F258" s="8"/>
      <c r="G258" s="15" t="str">
        <f t="shared" si="3"/>
        <v>10</v>
      </c>
      <c r="H258" s="9">
        <f t="shared" si="4"/>
        <v>10</v>
      </c>
      <c r="I258" s="6" t="str">
        <f>IFERROR(__xludf.DUMMYFUNCTION("MAX(FILTER($H$2:$H501,$E$2:$E501=F258))"),"#N/A")</f>
        <v>#N/A</v>
      </c>
    </row>
    <row r="259">
      <c r="A259" s="4"/>
      <c r="B259" s="4"/>
      <c r="C259" s="4" t="s">
        <v>2390</v>
      </c>
      <c r="D259" s="6" t="str">
        <f t="shared" si="1"/>
        <v>{"valorA":"carregador de celular","valorB":10}</v>
      </c>
      <c r="E259" s="8" t="str">
        <f t="shared" si="2"/>
        <v>carregador de celular</v>
      </c>
      <c r="F259" s="8"/>
      <c r="G259" s="15" t="str">
        <f t="shared" si="3"/>
        <v>10</v>
      </c>
      <c r="H259" s="9">
        <f t="shared" si="4"/>
        <v>10</v>
      </c>
      <c r="I259" s="6" t="str">
        <f>IFERROR(__xludf.DUMMYFUNCTION("MAX(FILTER($H$2:$H501,$E$2:$E501=F259))"),"#N/A")</f>
        <v>#N/A</v>
      </c>
    </row>
    <row r="260">
      <c r="A260" s="4"/>
      <c r="B260" s="4"/>
      <c r="C260" s="4" t="s">
        <v>2391</v>
      </c>
      <c r="D260" s="6" t="str">
        <f t="shared" si="1"/>
        <v>{"valorA":"celular","valorB":12}</v>
      </c>
      <c r="E260" s="8" t="str">
        <f t="shared" si="2"/>
        <v>celular</v>
      </c>
      <c r="F260" s="8"/>
      <c r="G260" s="15" t="str">
        <f t="shared" si="3"/>
        <v>12</v>
      </c>
      <c r="H260" s="9">
        <f t="shared" si="4"/>
        <v>12</v>
      </c>
      <c r="I260" s="6" t="str">
        <f>IFERROR(__xludf.DUMMYFUNCTION("MAX(FILTER($H$2:$H501,$E$2:$E501=F260))"),"#N/A")</f>
        <v>#N/A</v>
      </c>
    </row>
    <row r="261">
      <c r="A261" s="4"/>
      <c r="B261" s="4"/>
      <c r="C261" s="4" t="s">
        <v>1716</v>
      </c>
      <c r="D261" s="6" t="str">
        <f t="shared" si="1"/>
        <v>{"valorA":"microondas","valorB":12}</v>
      </c>
      <c r="E261" s="8" t="str">
        <f t="shared" si="2"/>
        <v>microondas</v>
      </c>
      <c r="F261" s="8"/>
      <c r="G261" s="15" t="str">
        <f t="shared" si="3"/>
        <v>12</v>
      </c>
      <c r="H261" s="9">
        <f t="shared" si="4"/>
        <v>12</v>
      </c>
      <c r="I261" s="6" t="str">
        <f>IFERROR(__xludf.DUMMYFUNCTION("MAX(FILTER($H$2:$H501,$E$2:$E501=F261))"),"#N/A")</f>
        <v>#N/A</v>
      </c>
    </row>
    <row r="262">
      <c r="A262" s="4"/>
      <c r="B262" s="4"/>
      <c r="C262" s="4" t="s">
        <v>2392</v>
      </c>
      <c r="D262" s="6" t="str">
        <f t="shared" si="1"/>
        <v>{"valorA":"roteador","valorB":16}</v>
      </c>
      <c r="E262" s="8" t="str">
        <f t="shared" si="2"/>
        <v>roteador</v>
      </c>
      <c r="F262" s="8"/>
      <c r="G262" s="15" t="str">
        <f t="shared" si="3"/>
        <v>16</v>
      </c>
      <c r="H262" s="9">
        <f t="shared" si="4"/>
        <v>16</v>
      </c>
      <c r="I262" s="6" t="str">
        <f>IFERROR(__xludf.DUMMYFUNCTION("MAX(FILTER($H$2:$H501,$E$2:$E501=F262))"),"#N/A")</f>
        <v>#N/A</v>
      </c>
    </row>
    <row r="263">
      <c r="A263" s="4"/>
      <c r="B263" s="4"/>
      <c r="C263" s="4" t="s">
        <v>2393</v>
      </c>
      <c r="D263" s="6" t="str">
        <f t="shared" si="1"/>
        <v>{"valorA":"chuveiro elétrico","valorB":18}</v>
      </c>
      <c r="E263" s="8" t="str">
        <f t="shared" si="2"/>
        <v>chuveiro elétrico</v>
      </c>
      <c r="F263" s="8"/>
      <c r="G263" s="15" t="str">
        <f t="shared" si="3"/>
        <v>18</v>
      </c>
      <c r="H263" s="9">
        <f t="shared" si="4"/>
        <v>18</v>
      </c>
      <c r="I263" s="6" t="str">
        <f>IFERROR(__xludf.DUMMYFUNCTION("MAX(FILTER($H$2:$H501,$E$2:$E501=F263))"),"#N/A")</f>
        <v>#N/A</v>
      </c>
    </row>
    <row r="264">
      <c r="A264" s="4"/>
      <c r="B264" s="4"/>
      <c r="C264" s="4" t="s">
        <v>2394</v>
      </c>
      <c r="D264" s="6" t="str">
        <f t="shared" si="1"/>
        <v>{"valorA":"filtro de linha","valorB":14}</v>
      </c>
      <c r="E264" s="8" t="str">
        <f t="shared" si="2"/>
        <v>filtro de linha</v>
      </c>
      <c r="F264" s="8"/>
      <c r="G264" s="15" t="str">
        <f t="shared" si="3"/>
        <v>14</v>
      </c>
      <c r="H264" s="9">
        <f t="shared" si="4"/>
        <v>14</v>
      </c>
      <c r="I264" s="6" t="str">
        <f>IFERROR(__xludf.DUMMYFUNCTION("MAX(FILTER($H$2:$H501,$E$2:$E501=F264))"),"#N/A")</f>
        <v>#N/A</v>
      </c>
    </row>
    <row r="265">
      <c r="A265" s="4"/>
      <c r="B265" s="4"/>
      <c r="C265" s="4" t="s">
        <v>2395</v>
      </c>
      <c r="D265" s="6" t="str">
        <f t="shared" si="1"/>
        <v>{"valorA":"fone de ouvido","valorB":12}</v>
      </c>
      <c r="E265" s="8" t="str">
        <f t="shared" si="2"/>
        <v>fone de ouvido</v>
      </c>
      <c r="F265" s="8"/>
      <c r="G265" s="15" t="str">
        <f t="shared" si="3"/>
        <v>12</v>
      </c>
      <c r="H265" s="9">
        <f t="shared" si="4"/>
        <v>12</v>
      </c>
      <c r="I265" s="6" t="str">
        <f>IFERROR(__xludf.DUMMYFUNCTION("MAX(FILTER($H$2:$H501,$E$2:$E501=F265))"),"#N/A")</f>
        <v>#N/A</v>
      </c>
    </row>
    <row r="266">
      <c r="A266" s="4"/>
      <c r="B266" s="4"/>
      <c r="C266" s="4" t="s">
        <v>2396</v>
      </c>
      <c r="D266" s="6" t="str">
        <f t="shared" si="1"/>
        <v>{"valorA":"teclado de computador","valorB":18}</v>
      </c>
      <c r="E266" s="8" t="str">
        <f t="shared" si="2"/>
        <v>teclado de computador</v>
      </c>
      <c r="F266" s="8"/>
      <c r="G266" s="15" t="str">
        <f t="shared" si="3"/>
        <v>18</v>
      </c>
      <c r="H266" s="9">
        <f t="shared" si="4"/>
        <v>18</v>
      </c>
      <c r="I266" s="6" t="str">
        <f>IFERROR(__xludf.DUMMYFUNCTION("MAX(FILTER($H$2:$H501,$E$2:$E501=F266))"),"#N/A")</f>
        <v>#N/A</v>
      </c>
    </row>
    <row r="267">
      <c r="A267" s="4"/>
      <c r="B267" s="4"/>
      <c r="C267" s="4" t="s">
        <v>2397</v>
      </c>
      <c r="D267" s="6" t="str">
        <f t="shared" si="1"/>
        <v>{"valorA":"liquidificador","valorB":17}</v>
      </c>
      <c r="E267" s="8" t="str">
        <f t="shared" si="2"/>
        <v>liquidificador</v>
      </c>
      <c r="F267" s="8"/>
      <c r="G267" s="15" t="str">
        <f t="shared" si="3"/>
        <v>17</v>
      </c>
      <c r="H267" s="9">
        <f t="shared" si="4"/>
        <v>17</v>
      </c>
      <c r="I267" s="6" t="str">
        <f>IFERROR(__xludf.DUMMYFUNCTION("MAX(FILTER($H$2:$H501,$E$2:$E501=F267))"),"#N/A")</f>
        <v>#N/A</v>
      </c>
    </row>
    <row r="268">
      <c r="A268" s="4"/>
      <c r="B268" s="4"/>
      <c r="C268" s="4" t="s">
        <v>2398</v>
      </c>
      <c r="D268" s="6" t="str">
        <f t="shared" si="1"/>
        <v>{"valorA":"carregador de celular","valorB":11}</v>
      </c>
      <c r="E268" s="8" t="str">
        <f t="shared" si="2"/>
        <v>carregador de celular</v>
      </c>
      <c r="F268" s="8"/>
      <c r="G268" s="15" t="str">
        <f t="shared" si="3"/>
        <v>11</v>
      </c>
      <c r="H268" s="9">
        <f t="shared" si="4"/>
        <v>11</v>
      </c>
      <c r="I268" s="6" t="str">
        <f>IFERROR(__xludf.DUMMYFUNCTION("MAX(FILTER($H$2:$H501,$E$2:$E501=F268))"),"#N/A")</f>
        <v>#N/A</v>
      </c>
    </row>
    <row r="269">
      <c r="A269" s="4"/>
      <c r="B269" s="4"/>
      <c r="C269" s="4" t="s">
        <v>2399</v>
      </c>
      <c r="D269" s="6" t="str">
        <f t="shared" si="1"/>
        <v>{"valorA":"relógio","valorB":13}</v>
      </c>
      <c r="E269" s="8" t="str">
        <f t="shared" si="2"/>
        <v>relógio</v>
      </c>
      <c r="F269" s="8"/>
      <c r="G269" s="15" t="str">
        <f t="shared" si="3"/>
        <v>13</v>
      </c>
      <c r="H269" s="9">
        <f t="shared" si="4"/>
        <v>13</v>
      </c>
      <c r="I269" s="6" t="str">
        <f>IFERROR(__xludf.DUMMYFUNCTION("MAX(FILTER($H$2:$H501,$E$2:$E501=F269))"),"#N/A")</f>
        <v>#N/A</v>
      </c>
    </row>
    <row r="270">
      <c r="A270" s="4"/>
      <c r="B270" s="4"/>
      <c r="C270" s="4" t="s">
        <v>1720</v>
      </c>
      <c r="D270" s="6" t="str">
        <f t="shared" si="1"/>
        <v>{"valorA":"microondas","valorB":13}</v>
      </c>
      <c r="E270" s="8" t="str">
        <f t="shared" si="2"/>
        <v>microondas</v>
      </c>
      <c r="F270" s="8"/>
      <c r="G270" s="15" t="str">
        <f t="shared" si="3"/>
        <v>13</v>
      </c>
      <c r="H270" s="9">
        <f t="shared" si="4"/>
        <v>13</v>
      </c>
      <c r="I270" s="6" t="str">
        <f>IFERROR(__xludf.DUMMYFUNCTION("MAX(FILTER($H$2:$H501,$E$2:$E501=F270))"),"#N/A")</f>
        <v>#N/A</v>
      </c>
    </row>
    <row r="271">
      <c r="A271" s="4"/>
      <c r="B271" s="4"/>
      <c r="C271" s="4" t="s">
        <v>2400</v>
      </c>
      <c r="D271" s="6" t="str">
        <f t="shared" si="1"/>
        <v>{"valorA":"chuveiro elétrico","valorB":19}</v>
      </c>
      <c r="E271" s="8" t="str">
        <f t="shared" si="2"/>
        <v>chuveiro elétrico</v>
      </c>
      <c r="F271" s="8"/>
      <c r="G271" s="15" t="str">
        <f t="shared" si="3"/>
        <v>19</v>
      </c>
      <c r="H271" s="9">
        <f t="shared" si="4"/>
        <v>19</v>
      </c>
      <c r="I271" s="6" t="str">
        <f>IFERROR(__xludf.DUMMYFUNCTION("MAX(FILTER($H$2:$H501,$E$2:$E501=F271))"),"#N/A")</f>
        <v>#N/A</v>
      </c>
    </row>
    <row r="272">
      <c r="A272" s="4"/>
      <c r="B272" s="4"/>
      <c r="C272" s="4" t="s">
        <v>2401</v>
      </c>
      <c r="D272" s="6" t="str">
        <f t="shared" si="1"/>
        <v>{"valorA":"teclado de computador","valorB":19}</v>
      </c>
      <c r="E272" s="8" t="str">
        <f t="shared" si="2"/>
        <v>teclado de computador</v>
      </c>
      <c r="F272" s="8"/>
      <c r="G272" s="15" t="str">
        <f t="shared" si="3"/>
        <v>19</v>
      </c>
      <c r="H272" s="9">
        <f t="shared" si="4"/>
        <v>19</v>
      </c>
      <c r="I272" s="6" t="str">
        <f>IFERROR(__xludf.DUMMYFUNCTION("MAX(FILTER($H$2:$H501,$E$2:$E501=F272))"),"#N/A")</f>
        <v>#N/A</v>
      </c>
    </row>
    <row r="273">
      <c r="A273" s="4"/>
      <c r="B273" s="4"/>
      <c r="C273" s="4" t="s">
        <v>2402</v>
      </c>
      <c r="D273" s="6" t="str">
        <f t="shared" si="1"/>
        <v>{"valorA":"relógio","valorB":14}</v>
      </c>
      <c r="E273" s="8" t="str">
        <f t="shared" si="2"/>
        <v>relógio</v>
      </c>
      <c r="F273" s="8"/>
      <c r="G273" s="15" t="str">
        <f t="shared" si="3"/>
        <v>14</v>
      </c>
      <c r="H273" s="9">
        <f t="shared" si="4"/>
        <v>14</v>
      </c>
      <c r="I273" s="6" t="str">
        <f>IFERROR(__xludf.DUMMYFUNCTION("MAX(FILTER($H$2:$H501,$E$2:$E501=F273))"),"#N/A")</f>
        <v>#N/A</v>
      </c>
    </row>
    <row r="274">
      <c r="A274" s="4"/>
      <c r="B274" s="4"/>
      <c r="C274" s="4" t="s">
        <v>2403</v>
      </c>
      <c r="D274" s="6" t="str">
        <f t="shared" si="1"/>
        <v>{"valorA":"fone de ouvido","valorB":13}</v>
      </c>
      <c r="E274" s="8" t="str">
        <f t="shared" si="2"/>
        <v>fone de ouvido</v>
      </c>
      <c r="F274" s="8"/>
      <c r="G274" s="15" t="str">
        <f t="shared" si="3"/>
        <v>13</v>
      </c>
      <c r="H274" s="9">
        <f t="shared" si="4"/>
        <v>13</v>
      </c>
      <c r="I274" s="6" t="str">
        <f>IFERROR(__xludf.DUMMYFUNCTION("MAX(FILTER($H$2:$H501,$E$2:$E501=F274))"),"#N/A")</f>
        <v>#N/A</v>
      </c>
    </row>
    <row r="275">
      <c r="A275" s="4"/>
      <c r="B275" s="4"/>
      <c r="C275" s="4" t="s">
        <v>2404</v>
      </c>
      <c r="D275" s="6" t="str">
        <f t="shared" si="1"/>
        <v>{"valorA":"relógio","valorB":15}</v>
      </c>
      <c r="E275" s="8" t="str">
        <f t="shared" si="2"/>
        <v>relógio</v>
      </c>
      <c r="F275" s="8"/>
      <c r="G275" s="15" t="str">
        <f t="shared" si="3"/>
        <v>15</v>
      </c>
      <c r="H275" s="9">
        <f t="shared" si="4"/>
        <v>15</v>
      </c>
      <c r="I275" s="6" t="str">
        <f>IFERROR(__xludf.DUMMYFUNCTION("MAX(FILTER($H$2:$H501,$E$2:$E501=F275))"),"#N/A")</f>
        <v>#N/A</v>
      </c>
    </row>
    <row r="276">
      <c r="A276" s="4"/>
      <c r="B276" s="4"/>
      <c r="C276" s="4" t="s">
        <v>2405</v>
      </c>
      <c r="D276" s="6" t="str">
        <f t="shared" si="1"/>
        <v>{"valorA":"carregador de computador","valorB":13}</v>
      </c>
      <c r="E276" s="8" t="str">
        <f t="shared" si="2"/>
        <v>carregador de computador</v>
      </c>
      <c r="F276" s="8"/>
      <c r="G276" s="15" t="str">
        <f t="shared" si="3"/>
        <v>13</v>
      </c>
      <c r="H276" s="9">
        <f t="shared" si="4"/>
        <v>13</v>
      </c>
      <c r="I276" s="6" t="str">
        <f>IFERROR(__xludf.DUMMYFUNCTION("MAX(FILTER($H$2:$H501,$E$2:$E501=F276))"),"#N/A")</f>
        <v>#N/A</v>
      </c>
    </row>
    <row r="277">
      <c r="A277" s="4"/>
      <c r="B277" s="4"/>
      <c r="C277" s="4" t="s">
        <v>2406</v>
      </c>
      <c r="D277" s="6" t="str">
        <f t="shared" si="1"/>
        <v>{"valorA":"lustre","valorB":11}</v>
      </c>
      <c r="E277" s="8" t="str">
        <f t="shared" si="2"/>
        <v>lustre</v>
      </c>
      <c r="F277" s="8"/>
      <c r="G277" s="15" t="str">
        <f t="shared" si="3"/>
        <v>11</v>
      </c>
      <c r="H277" s="9">
        <f t="shared" si="4"/>
        <v>11</v>
      </c>
      <c r="I277" s="6" t="str">
        <f>IFERROR(__xludf.DUMMYFUNCTION("MAX(FILTER($H$2:$H501,$E$2:$E501=F277))"),"#N/A")</f>
        <v>#N/A</v>
      </c>
    </row>
    <row r="278">
      <c r="A278" s="4"/>
      <c r="B278" s="4"/>
      <c r="C278" s="4" t="s">
        <v>2407</v>
      </c>
      <c r="D278" s="6" t="str">
        <f t="shared" si="1"/>
        <v>{"valorA":"purificador de água","valorB":12}</v>
      </c>
      <c r="E278" s="8" t="str">
        <f t="shared" si="2"/>
        <v>purificador de água</v>
      </c>
      <c r="F278" s="8"/>
      <c r="G278" s="15" t="str">
        <f t="shared" si="3"/>
        <v>12</v>
      </c>
      <c r="H278" s="9">
        <f t="shared" si="4"/>
        <v>12</v>
      </c>
      <c r="I278" s="6" t="str">
        <f>IFERROR(__xludf.DUMMYFUNCTION("MAX(FILTER($H$2:$H501,$E$2:$E501=F278))"),"#N/A")</f>
        <v>#N/A</v>
      </c>
    </row>
    <row r="279">
      <c r="A279" s="4"/>
      <c r="B279" s="4"/>
      <c r="C279" s="4" t="s">
        <v>2408</v>
      </c>
      <c r="D279" s="6" t="str">
        <f t="shared" si="1"/>
        <v>{"valorA":"carregador de computador","valorB":14}</v>
      </c>
      <c r="E279" s="8" t="str">
        <f t="shared" si="2"/>
        <v>carregador de computador</v>
      </c>
      <c r="F279" s="8"/>
      <c r="G279" s="15" t="str">
        <f t="shared" si="3"/>
        <v>14</v>
      </c>
      <c r="H279" s="9">
        <f t="shared" si="4"/>
        <v>14</v>
      </c>
      <c r="I279" s="6" t="str">
        <f>IFERROR(__xludf.DUMMYFUNCTION("MAX(FILTER($H$2:$H501,$E$2:$E501=F279))"),"#N/A")</f>
        <v>#N/A</v>
      </c>
    </row>
    <row r="280">
      <c r="A280" s="4"/>
      <c r="B280" s="4"/>
      <c r="C280" s="4" t="s">
        <v>2409</v>
      </c>
      <c r="D280" s="6" t="str">
        <f t="shared" si="1"/>
        <v>{"valorA":"computador","valorB":14}</v>
      </c>
      <c r="E280" s="8" t="str">
        <f t="shared" si="2"/>
        <v>computador</v>
      </c>
      <c r="F280" s="8"/>
      <c r="G280" s="15" t="str">
        <f t="shared" si="3"/>
        <v>14</v>
      </c>
      <c r="H280" s="9">
        <f t="shared" si="4"/>
        <v>14</v>
      </c>
      <c r="I280" s="6" t="str">
        <f>IFERROR(__xludf.DUMMYFUNCTION("MAX(FILTER($H$2:$H501,$E$2:$E501=F280))"),"#N/A")</f>
        <v>#N/A</v>
      </c>
    </row>
    <row r="281">
      <c r="A281" s="4"/>
      <c r="B281" s="4"/>
      <c r="C281" s="4" t="s">
        <v>2410</v>
      </c>
      <c r="D281" s="6" t="str">
        <f t="shared" si="1"/>
        <v>{"valorA":"ventilador","valorB":14}</v>
      </c>
      <c r="E281" s="8" t="str">
        <f t="shared" si="2"/>
        <v>ventilador</v>
      </c>
      <c r="F281" s="8"/>
      <c r="G281" s="15" t="str">
        <f t="shared" si="3"/>
        <v>14</v>
      </c>
      <c r="H281" s="9">
        <f t="shared" si="4"/>
        <v>14</v>
      </c>
      <c r="I281" s="6" t="str">
        <f>IFERROR(__xludf.DUMMYFUNCTION("MAX(FILTER($H$2:$H501,$E$2:$E501=F281))"),"#N/A")</f>
        <v>#N/A</v>
      </c>
    </row>
    <row r="282">
      <c r="A282" s="4"/>
      <c r="B282" s="4"/>
      <c r="C282" s="4" t="s">
        <v>2411</v>
      </c>
      <c r="D282" s="6" t="str">
        <f t="shared" si="1"/>
        <v>{"valorA":"fone de ouvido","valorB":14}</v>
      </c>
      <c r="E282" s="8" t="str">
        <f t="shared" si="2"/>
        <v>fone de ouvido</v>
      </c>
      <c r="F282" s="8"/>
      <c r="G282" s="15" t="str">
        <f t="shared" si="3"/>
        <v>14</v>
      </c>
      <c r="H282" s="9">
        <f t="shared" si="4"/>
        <v>14</v>
      </c>
      <c r="I282" s="6" t="str">
        <f>IFERROR(__xludf.DUMMYFUNCTION("MAX(FILTER($H$2:$H501,$E$2:$E501=F282))"),"#N/A")</f>
        <v>#N/A</v>
      </c>
    </row>
    <row r="283">
      <c r="A283" s="4"/>
      <c r="B283" s="4"/>
      <c r="C283" s="4" t="s">
        <v>1721</v>
      </c>
      <c r="D283" s="6" t="str">
        <f t="shared" si="1"/>
        <v>{"valorA":"microondas","valorB":14}</v>
      </c>
      <c r="E283" s="8" t="str">
        <f t="shared" si="2"/>
        <v>microondas</v>
      </c>
      <c r="F283" s="8"/>
      <c r="G283" s="15" t="str">
        <f t="shared" si="3"/>
        <v>14</v>
      </c>
      <c r="H283" s="9">
        <f t="shared" si="4"/>
        <v>14</v>
      </c>
      <c r="I283" s="6" t="str">
        <f>IFERROR(__xludf.DUMMYFUNCTION("MAX(FILTER($H$2:$H501,$E$2:$E501=F283))"),"#N/A")</f>
        <v>#N/A</v>
      </c>
    </row>
    <row r="284">
      <c r="A284" s="4"/>
      <c r="B284" s="4"/>
      <c r="C284" s="4" t="s">
        <v>2412</v>
      </c>
      <c r="D284" s="6" t="str">
        <f t="shared" si="1"/>
        <v>{"valorA":"carregador de celular","valorB":12}</v>
      </c>
      <c r="E284" s="8" t="str">
        <f t="shared" si="2"/>
        <v>carregador de celular</v>
      </c>
      <c r="F284" s="8"/>
      <c r="G284" s="15" t="str">
        <f t="shared" si="3"/>
        <v>12</v>
      </c>
      <c r="H284" s="9">
        <f t="shared" si="4"/>
        <v>12</v>
      </c>
      <c r="I284" s="6" t="str">
        <f>IFERROR(__xludf.DUMMYFUNCTION("MAX(FILTER($H$2:$H501,$E$2:$E501=F284))"),"#N/A")</f>
        <v>#N/A</v>
      </c>
    </row>
    <row r="285">
      <c r="A285" s="4"/>
      <c r="B285" s="4"/>
      <c r="C285" s="4" t="s">
        <v>2413</v>
      </c>
      <c r="D285" s="6" t="str">
        <f t="shared" si="1"/>
        <v>{"valorA":"mouse de computador","valorB":12}</v>
      </c>
      <c r="E285" s="8" t="str">
        <f t="shared" si="2"/>
        <v>mouse de computador</v>
      </c>
      <c r="F285" s="8"/>
      <c r="G285" s="15" t="str">
        <f t="shared" si="3"/>
        <v>12</v>
      </c>
      <c r="H285" s="9">
        <f t="shared" si="4"/>
        <v>12</v>
      </c>
      <c r="I285" s="6" t="str">
        <f>IFERROR(__xludf.DUMMYFUNCTION("MAX(FILTER($H$2:$H501,$E$2:$E501=F285))"),"#N/A")</f>
        <v>#N/A</v>
      </c>
    </row>
    <row r="286">
      <c r="A286" s="4"/>
      <c r="B286" s="4"/>
      <c r="C286" s="4" t="s">
        <v>2414</v>
      </c>
      <c r="D286" s="6" t="str">
        <f t="shared" si="1"/>
        <v>{"valorA":"computador","valorB":15}</v>
      </c>
      <c r="E286" s="8" t="str">
        <f t="shared" si="2"/>
        <v>computador</v>
      </c>
      <c r="F286" s="8"/>
      <c r="G286" s="15" t="str">
        <f t="shared" si="3"/>
        <v>15</v>
      </c>
      <c r="H286" s="9">
        <f t="shared" si="4"/>
        <v>15</v>
      </c>
      <c r="I286" s="6" t="str">
        <f>IFERROR(__xludf.DUMMYFUNCTION("MAX(FILTER($H$2:$H501,$E$2:$E501=F286))"),"#N/A")</f>
        <v>#N/A</v>
      </c>
    </row>
    <row r="287">
      <c r="A287" s="4"/>
      <c r="B287" s="4"/>
      <c r="C287" s="4" t="s">
        <v>2415</v>
      </c>
      <c r="D287" s="6" t="str">
        <f t="shared" si="1"/>
        <v>{"valorA":"liquidificador","valorB":18}</v>
      </c>
      <c r="E287" s="8" t="str">
        <f t="shared" si="2"/>
        <v>liquidificador</v>
      </c>
      <c r="F287" s="8"/>
      <c r="G287" s="15" t="str">
        <f t="shared" si="3"/>
        <v>18</v>
      </c>
      <c r="H287" s="9">
        <f t="shared" si="4"/>
        <v>18</v>
      </c>
      <c r="I287" s="6" t="str">
        <f>IFERROR(__xludf.DUMMYFUNCTION("MAX(FILTER($H$2:$H501,$E$2:$E501=F287))"),"#N/A")</f>
        <v>#N/A</v>
      </c>
    </row>
    <row r="288">
      <c r="A288" s="4"/>
      <c r="B288" s="4"/>
      <c r="C288" s="4" t="s">
        <v>2416</v>
      </c>
      <c r="D288" s="6" t="str">
        <f t="shared" si="1"/>
        <v>{"valorA":"fogão","valorB":14}</v>
      </c>
      <c r="E288" s="8" t="str">
        <f t="shared" si="2"/>
        <v>fogão</v>
      </c>
      <c r="F288" s="8"/>
      <c r="G288" s="15" t="str">
        <f t="shared" si="3"/>
        <v>14</v>
      </c>
      <c r="H288" s="9">
        <f t="shared" si="4"/>
        <v>14</v>
      </c>
      <c r="I288" s="6" t="str">
        <f>IFERROR(__xludf.DUMMYFUNCTION("MAX(FILTER($H$2:$H501,$E$2:$E501=F288))"),"#N/A")</f>
        <v>#N/A</v>
      </c>
    </row>
    <row r="289">
      <c r="A289" s="4"/>
      <c r="B289" s="4"/>
      <c r="C289" s="4" t="s">
        <v>2417</v>
      </c>
      <c r="D289" s="6" t="str">
        <f t="shared" si="1"/>
        <v>{"valorA":"purificador de água","valorB":13}</v>
      </c>
      <c r="E289" s="8" t="str">
        <f t="shared" si="2"/>
        <v>purificador de água</v>
      </c>
      <c r="F289" s="8"/>
      <c r="G289" s="15" t="str">
        <f t="shared" si="3"/>
        <v>13</v>
      </c>
      <c r="H289" s="9">
        <f t="shared" si="4"/>
        <v>13</v>
      </c>
      <c r="I289" s="6" t="str">
        <f>IFERROR(__xludf.DUMMYFUNCTION("MAX(FILTER($H$2:$H501,$E$2:$E501=F289))"),"#N/A")</f>
        <v>#N/A</v>
      </c>
    </row>
    <row r="290">
      <c r="A290" s="4"/>
      <c r="B290" s="4"/>
      <c r="C290" s="4" t="s">
        <v>2418</v>
      </c>
      <c r="D290" s="6" t="str">
        <f t="shared" si="1"/>
        <v>{"valorA":"computador","valorB":16}</v>
      </c>
      <c r="E290" s="8" t="str">
        <f t="shared" si="2"/>
        <v>computador</v>
      </c>
      <c r="F290" s="8"/>
      <c r="G290" s="15" t="str">
        <f t="shared" si="3"/>
        <v>16</v>
      </c>
      <c r="H290" s="9">
        <f t="shared" si="4"/>
        <v>16</v>
      </c>
      <c r="I290" s="6" t="str">
        <f>IFERROR(__xludf.DUMMYFUNCTION("MAX(FILTER($H$2:$H501,$E$2:$E501=F290))"),"#N/A")</f>
        <v>#N/A</v>
      </c>
    </row>
    <row r="291">
      <c r="A291" s="4"/>
      <c r="B291" s="4"/>
      <c r="C291" s="4" t="s">
        <v>2419</v>
      </c>
      <c r="D291" s="6" t="str">
        <f t="shared" si="1"/>
        <v>{"valorA":"fogão","valorB":15}</v>
      </c>
      <c r="E291" s="8" t="str">
        <f t="shared" si="2"/>
        <v>fogão</v>
      </c>
      <c r="F291" s="8"/>
      <c r="G291" s="15" t="str">
        <f t="shared" si="3"/>
        <v>15</v>
      </c>
      <c r="H291" s="9">
        <f t="shared" si="4"/>
        <v>15</v>
      </c>
      <c r="I291" s="6" t="str">
        <f>IFERROR(__xludf.DUMMYFUNCTION("MAX(FILTER($H$2:$H501,$E$2:$E501=F291))"),"#N/A")</f>
        <v>#N/A</v>
      </c>
    </row>
    <row r="292">
      <c r="A292" s="4"/>
      <c r="B292" s="4"/>
      <c r="C292" s="4" t="s">
        <v>2420</v>
      </c>
      <c r="D292" s="6" t="str">
        <f t="shared" si="1"/>
        <v>{"valorA":"teclado de computador","valorB":20}</v>
      </c>
      <c r="E292" s="8" t="str">
        <f t="shared" si="2"/>
        <v>teclado de computador</v>
      </c>
      <c r="F292" s="8"/>
      <c r="G292" s="15" t="str">
        <f t="shared" si="3"/>
        <v>20</v>
      </c>
      <c r="H292" s="9">
        <f t="shared" si="4"/>
        <v>20</v>
      </c>
      <c r="I292" s="6" t="str">
        <f>IFERROR(__xludf.DUMMYFUNCTION("MAX(FILTER($H$2:$H501,$E$2:$E501=F292))"),"#N/A")</f>
        <v>#N/A</v>
      </c>
    </row>
    <row r="293">
      <c r="A293" s="4"/>
      <c r="B293" s="4"/>
      <c r="C293" s="4" t="s">
        <v>2421</v>
      </c>
      <c r="D293" s="6" t="str">
        <f t="shared" si="1"/>
        <v>{"valorA":"carregador de celular","valorB":13}</v>
      </c>
      <c r="E293" s="8" t="str">
        <f t="shared" si="2"/>
        <v>carregador de celular</v>
      </c>
      <c r="F293" s="8"/>
      <c r="G293" s="15" t="str">
        <f t="shared" si="3"/>
        <v>13</v>
      </c>
      <c r="H293" s="9">
        <f t="shared" si="4"/>
        <v>13</v>
      </c>
      <c r="I293" s="6" t="str">
        <f>IFERROR(__xludf.DUMMYFUNCTION("MAX(FILTER($H$2:$H501,$E$2:$E501=F293))"),"#N/A")</f>
        <v>#N/A</v>
      </c>
    </row>
    <row r="294">
      <c r="A294" s="4"/>
      <c r="B294" s="4"/>
      <c r="C294" s="4" t="s">
        <v>2422</v>
      </c>
      <c r="D294" s="6" t="str">
        <f t="shared" si="1"/>
        <v>{"valorA":"carregador de computador","valorB":15}</v>
      </c>
      <c r="E294" s="8" t="str">
        <f t="shared" si="2"/>
        <v>carregador de computador</v>
      </c>
      <c r="F294" s="8"/>
      <c r="G294" s="15" t="str">
        <f t="shared" si="3"/>
        <v>15</v>
      </c>
      <c r="H294" s="9">
        <f t="shared" si="4"/>
        <v>15</v>
      </c>
      <c r="I294" s="6" t="str">
        <f>IFERROR(__xludf.DUMMYFUNCTION("MAX(FILTER($H$2:$H501,$E$2:$E501=F294))"),"#N/A")</f>
        <v>#N/A</v>
      </c>
    </row>
    <row r="295">
      <c r="A295" s="4"/>
      <c r="B295" s="4"/>
      <c r="C295" s="4" t="s">
        <v>2423</v>
      </c>
      <c r="D295" s="6" t="str">
        <f t="shared" si="1"/>
        <v>{"valorA":"carregador de computador","valorB":16}</v>
      </c>
      <c r="E295" s="8" t="str">
        <f t="shared" si="2"/>
        <v>carregador de computador</v>
      </c>
      <c r="F295" s="8"/>
      <c r="G295" s="15" t="str">
        <f t="shared" si="3"/>
        <v>16</v>
      </c>
      <c r="H295" s="9">
        <f t="shared" si="4"/>
        <v>16</v>
      </c>
      <c r="I295" s="6" t="str">
        <f>IFERROR(__xludf.DUMMYFUNCTION("MAX(FILTER($H$2:$H501,$E$2:$E501=F295))"),"#N/A")</f>
        <v>#N/A</v>
      </c>
    </row>
    <row r="296">
      <c r="A296" s="4"/>
      <c r="B296" s="4"/>
      <c r="C296" s="4" t="s">
        <v>2424</v>
      </c>
      <c r="D296" s="6" t="str">
        <f t="shared" si="1"/>
        <v>{"valorA":"chuveiro elétrico","valorB":20}</v>
      </c>
      <c r="E296" s="8" t="str">
        <f t="shared" si="2"/>
        <v>chuveiro elétrico</v>
      </c>
      <c r="F296" s="8"/>
      <c r="G296" s="15" t="str">
        <f t="shared" si="3"/>
        <v>20</v>
      </c>
      <c r="H296" s="9">
        <f t="shared" si="4"/>
        <v>20</v>
      </c>
      <c r="I296" s="6" t="str">
        <f>IFERROR(__xludf.DUMMYFUNCTION("MAX(FILTER($H$2:$H501,$E$2:$E501=F296))"),"#N/A")</f>
        <v>#N/A</v>
      </c>
    </row>
    <row r="297">
      <c r="A297" s="4"/>
      <c r="B297" s="4"/>
      <c r="C297" s="4" t="s">
        <v>2425</v>
      </c>
      <c r="D297" s="6" t="str">
        <f t="shared" si="1"/>
        <v>{"valorA":"filtro de linha","valorB":15}</v>
      </c>
      <c r="E297" s="8" t="str">
        <f t="shared" si="2"/>
        <v>filtro de linha</v>
      </c>
      <c r="F297" s="8"/>
      <c r="G297" s="15" t="str">
        <f t="shared" si="3"/>
        <v>15</v>
      </c>
      <c r="H297" s="9">
        <f t="shared" si="4"/>
        <v>15</v>
      </c>
      <c r="I297" s="6" t="str">
        <f>IFERROR(__xludf.DUMMYFUNCTION("MAX(FILTER($H$2:$H501,$E$2:$E501=F297))"),"#N/A")</f>
        <v>#N/A</v>
      </c>
    </row>
    <row r="298">
      <c r="A298" s="4"/>
      <c r="B298" s="4"/>
      <c r="C298" s="4" t="s">
        <v>2426</v>
      </c>
      <c r="D298" s="6" t="str">
        <f t="shared" si="1"/>
        <v>{"valorA":"computador","valorB":17}</v>
      </c>
      <c r="E298" s="8" t="str">
        <f t="shared" si="2"/>
        <v>computador</v>
      </c>
      <c r="F298" s="8"/>
      <c r="G298" s="15" t="str">
        <f t="shared" si="3"/>
        <v>17</v>
      </c>
      <c r="H298" s="9">
        <f t="shared" si="4"/>
        <v>17</v>
      </c>
      <c r="I298" s="6" t="str">
        <f>IFERROR(__xludf.DUMMYFUNCTION("MAX(FILTER($H$2:$H501,$E$2:$E501=F298))"),"#N/A")</f>
        <v>#N/A</v>
      </c>
    </row>
    <row r="299">
      <c r="A299" s="4"/>
      <c r="B299" s="4"/>
      <c r="C299" s="4" t="s">
        <v>2427</v>
      </c>
      <c r="D299" s="6" t="str">
        <f t="shared" si="1"/>
        <v>{"valorA":"chuveiro elétrico","valorB":21}</v>
      </c>
      <c r="E299" s="8" t="str">
        <f t="shared" si="2"/>
        <v>chuveiro elétrico</v>
      </c>
      <c r="F299" s="8"/>
      <c r="G299" s="15" t="str">
        <f t="shared" si="3"/>
        <v>21</v>
      </c>
      <c r="H299" s="9">
        <f t="shared" si="4"/>
        <v>21</v>
      </c>
      <c r="I299" s="6" t="str">
        <f>IFERROR(__xludf.DUMMYFUNCTION("MAX(FILTER($H$2:$H501,$E$2:$E501=F299))"),"#N/A")</f>
        <v>#N/A</v>
      </c>
    </row>
    <row r="300">
      <c r="A300" s="4"/>
      <c r="B300" s="4"/>
      <c r="C300" s="4" t="s">
        <v>2428</v>
      </c>
      <c r="D300" s="6" t="str">
        <f t="shared" si="1"/>
        <v>{"valorA":"aspirador","valorB":16}</v>
      </c>
      <c r="E300" s="8" t="str">
        <f t="shared" si="2"/>
        <v>aspirador</v>
      </c>
      <c r="F300" s="8"/>
      <c r="G300" s="15" t="str">
        <f t="shared" si="3"/>
        <v>16</v>
      </c>
      <c r="H300" s="9">
        <f t="shared" si="4"/>
        <v>16</v>
      </c>
      <c r="I300" s="6" t="str">
        <f>IFERROR(__xludf.DUMMYFUNCTION("MAX(FILTER($H$2:$H501,$E$2:$E501=F300))"),"#N/A")</f>
        <v>#N/A</v>
      </c>
    </row>
    <row r="301">
      <c r="A301" s="4"/>
      <c r="B301" s="4"/>
      <c r="C301" s="4" t="s">
        <v>1672</v>
      </c>
      <c r="D301" s="6" t="str">
        <f t="shared" si="1"/>
        <v>{"valorA":"freezer","valorB":14}</v>
      </c>
      <c r="E301" s="8" t="str">
        <f t="shared" si="2"/>
        <v>freezer</v>
      </c>
      <c r="F301" s="8"/>
      <c r="G301" s="15" t="str">
        <f t="shared" si="3"/>
        <v>14</v>
      </c>
      <c r="H301" s="9">
        <f t="shared" si="4"/>
        <v>14</v>
      </c>
      <c r="I301" s="6" t="str">
        <f>IFERROR(__xludf.DUMMYFUNCTION("MAX(FILTER($H$2:$H501,$E$2:$E501=F301))"),"#N/A")</f>
        <v>#N/A</v>
      </c>
    </row>
    <row r="302">
      <c r="A302" s="4"/>
      <c r="B302" s="4"/>
      <c r="C302" s="4" t="s">
        <v>2429</v>
      </c>
      <c r="D302" s="6" t="str">
        <f t="shared" si="1"/>
        <v>{"valorA":"roteador","valorB":17}</v>
      </c>
      <c r="E302" s="8" t="str">
        <f t="shared" si="2"/>
        <v>roteador</v>
      </c>
      <c r="F302" s="8"/>
      <c r="G302" s="15" t="str">
        <f t="shared" si="3"/>
        <v>17</v>
      </c>
      <c r="H302" s="9">
        <f t="shared" si="4"/>
        <v>17</v>
      </c>
      <c r="I302" s="6" t="str">
        <f>IFERROR(__xludf.DUMMYFUNCTION("MAX(FILTER($H$2:$H501,$E$2:$E501=F302))"),"#N/A")</f>
        <v>#N/A</v>
      </c>
    </row>
    <row r="303">
      <c r="A303" s="4"/>
      <c r="B303" s="4"/>
      <c r="C303" s="4" t="s">
        <v>1718</v>
      </c>
      <c r="D303" s="6" t="str">
        <f t="shared" si="1"/>
        <v>{"valorA":"ar condicionado","valorB":15}</v>
      </c>
      <c r="E303" s="8" t="str">
        <f t="shared" si="2"/>
        <v>ar condicionado</v>
      </c>
      <c r="F303" s="8"/>
      <c r="G303" s="15" t="str">
        <f t="shared" si="3"/>
        <v>15</v>
      </c>
      <c r="H303" s="9">
        <f t="shared" si="4"/>
        <v>15</v>
      </c>
      <c r="I303" s="6" t="str">
        <f>IFERROR(__xludf.DUMMYFUNCTION("MAX(FILTER($H$2:$H501,$E$2:$E501=F303))"),"#N/A")</f>
        <v>#N/A</v>
      </c>
    </row>
    <row r="304">
      <c r="A304" s="4"/>
      <c r="B304" s="4"/>
      <c r="C304" s="4" t="s">
        <v>2430</v>
      </c>
      <c r="D304" s="6" t="str">
        <f t="shared" si="1"/>
        <v>{"valorA":"ventilador","valorB":15}</v>
      </c>
      <c r="E304" s="8" t="str">
        <f t="shared" si="2"/>
        <v>ventilador</v>
      </c>
      <c r="F304" s="8"/>
      <c r="G304" s="15" t="str">
        <f t="shared" si="3"/>
        <v>15</v>
      </c>
      <c r="H304" s="9">
        <f t="shared" si="4"/>
        <v>15</v>
      </c>
      <c r="I304" s="6" t="str">
        <f>IFERROR(__xludf.DUMMYFUNCTION("MAX(FILTER($H$2:$H501,$E$2:$E501=F304))"),"#N/A")</f>
        <v>#N/A</v>
      </c>
    </row>
    <row r="305">
      <c r="A305" s="4"/>
      <c r="B305" s="4"/>
      <c r="C305" s="4" t="s">
        <v>2431</v>
      </c>
      <c r="D305" s="6" t="str">
        <f t="shared" si="1"/>
        <v>{"valorA":"ventilador","valorB":16}</v>
      </c>
      <c r="E305" s="8" t="str">
        <f t="shared" si="2"/>
        <v>ventilador</v>
      </c>
      <c r="F305" s="8"/>
      <c r="G305" s="15" t="str">
        <f t="shared" si="3"/>
        <v>16</v>
      </c>
      <c r="H305" s="9">
        <f t="shared" si="4"/>
        <v>16</v>
      </c>
      <c r="I305" s="6" t="str">
        <f>IFERROR(__xludf.DUMMYFUNCTION("MAX(FILTER($H$2:$H501,$E$2:$E501=F305))"),"#N/A")</f>
        <v>#N/A</v>
      </c>
    </row>
    <row r="306">
      <c r="A306" s="4"/>
      <c r="B306" s="4"/>
      <c r="C306" s="4" t="s">
        <v>2432</v>
      </c>
      <c r="D306" s="6" t="str">
        <f t="shared" si="1"/>
        <v>{"valorA":"celular","valorB":13}</v>
      </c>
      <c r="E306" s="8" t="str">
        <f t="shared" si="2"/>
        <v>celular</v>
      </c>
      <c r="F306" s="8"/>
      <c r="G306" s="15" t="str">
        <f t="shared" si="3"/>
        <v>13</v>
      </c>
      <c r="H306" s="9">
        <f t="shared" si="4"/>
        <v>13</v>
      </c>
      <c r="I306" s="6" t="str">
        <f>IFERROR(__xludf.DUMMYFUNCTION("MAX(FILTER($H$2:$H501,$E$2:$E501=F306))"),"#N/A")</f>
        <v>#N/A</v>
      </c>
    </row>
    <row r="307">
      <c r="A307" s="4"/>
      <c r="B307" s="4"/>
      <c r="C307" s="4" t="s">
        <v>2433</v>
      </c>
      <c r="D307" s="6" t="str">
        <f t="shared" si="1"/>
        <v>{"valorA":"carregador de celular","valorB":14}</v>
      </c>
      <c r="E307" s="8" t="str">
        <f t="shared" si="2"/>
        <v>carregador de celular</v>
      </c>
      <c r="F307" s="8"/>
      <c r="G307" s="15" t="str">
        <f t="shared" si="3"/>
        <v>14</v>
      </c>
      <c r="H307" s="9">
        <f t="shared" si="4"/>
        <v>14</v>
      </c>
      <c r="I307" s="6" t="str">
        <f>IFERROR(__xludf.DUMMYFUNCTION("MAX(FILTER($H$2:$H501,$E$2:$E501=F307))"),"#N/A")</f>
        <v>#N/A</v>
      </c>
    </row>
    <row r="308">
      <c r="A308" s="4"/>
      <c r="B308" s="4"/>
      <c r="C308" s="4" t="s">
        <v>2434</v>
      </c>
      <c r="D308" s="6" t="str">
        <f t="shared" si="1"/>
        <v>{"valorA":"computador","valorB":18}</v>
      </c>
      <c r="E308" s="8" t="str">
        <f t="shared" si="2"/>
        <v>computador</v>
      </c>
      <c r="F308" s="8"/>
      <c r="G308" s="15" t="str">
        <f t="shared" si="3"/>
        <v>18</v>
      </c>
      <c r="H308" s="9">
        <f t="shared" si="4"/>
        <v>18</v>
      </c>
      <c r="I308" s="6" t="str">
        <f>IFERROR(__xludf.DUMMYFUNCTION("MAX(FILTER($H$2:$H501,$E$2:$E501=F308))"),"#N/A")</f>
        <v>#N/A</v>
      </c>
    </row>
    <row r="309">
      <c r="A309" s="4"/>
      <c r="B309" s="4"/>
      <c r="C309" s="4" t="s">
        <v>2435</v>
      </c>
      <c r="D309" s="6" t="str">
        <f t="shared" si="1"/>
        <v>{"valorA":"fone de ouvido","valorB":15}</v>
      </c>
      <c r="E309" s="8" t="str">
        <f t="shared" si="2"/>
        <v>fone de ouvido</v>
      </c>
      <c r="F309" s="8"/>
      <c r="G309" s="15" t="str">
        <f t="shared" si="3"/>
        <v>15</v>
      </c>
      <c r="H309" s="9">
        <f t="shared" si="4"/>
        <v>15</v>
      </c>
      <c r="I309" s="6" t="str">
        <f>IFERROR(__xludf.DUMMYFUNCTION("MAX(FILTER($H$2:$H501,$E$2:$E501=F309))"),"#N/A")</f>
        <v>#N/A</v>
      </c>
    </row>
    <row r="310">
      <c r="A310" s="4"/>
      <c r="B310" s="4"/>
      <c r="C310" s="4" t="s">
        <v>2436</v>
      </c>
      <c r="D310" s="6" t="str">
        <f t="shared" si="1"/>
        <v>{"valorA":"filtro de linha","valorB":16}</v>
      </c>
      <c r="E310" s="8" t="str">
        <f t="shared" si="2"/>
        <v>filtro de linha</v>
      </c>
      <c r="F310" s="8"/>
      <c r="G310" s="15" t="str">
        <f t="shared" si="3"/>
        <v>16</v>
      </c>
      <c r="H310" s="9">
        <f t="shared" si="4"/>
        <v>16</v>
      </c>
      <c r="I310" s="6" t="str">
        <f>IFERROR(__xludf.DUMMYFUNCTION("MAX(FILTER($H$2:$H501,$E$2:$E501=F310))"),"#N/A")</f>
        <v>#N/A</v>
      </c>
    </row>
    <row r="311">
      <c r="A311" s="4"/>
      <c r="B311" s="4"/>
      <c r="C311" s="4" t="s">
        <v>2437</v>
      </c>
      <c r="D311" s="6" t="str">
        <f t="shared" si="1"/>
        <v>{"valorA":"ventilador","valorB":17}</v>
      </c>
      <c r="E311" s="8" t="str">
        <f t="shared" si="2"/>
        <v>ventilador</v>
      </c>
      <c r="F311" s="8"/>
      <c r="G311" s="15" t="str">
        <f t="shared" si="3"/>
        <v>17</v>
      </c>
      <c r="H311" s="9">
        <f t="shared" si="4"/>
        <v>17</v>
      </c>
      <c r="I311" s="6" t="str">
        <f>IFERROR(__xludf.DUMMYFUNCTION("MAX(FILTER($H$2:$H501,$E$2:$E501=F311))"),"#N/A")</f>
        <v>#N/A</v>
      </c>
    </row>
    <row r="312">
      <c r="A312" s="4"/>
      <c r="B312" s="4"/>
      <c r="C312" s="4" t="s">
        <v>2438</v>
      </c>
      <c r="D312" s="6" t="str">
        <f t="shared" si="1"/>
        <v>{"valorA":"chuveiro elétrico","valorB":22}</v>
      </c>
      <c r="E312" s="8" t="str">
        <f t="shared" si="2"/>
        <v>chuveiro elétrico</v>
      </c>
      <c r="F312" s="8"/>
      <c r="G312" s="15" t="str">
        <f t="shared" si="3"/>
        <v>22</v>
      </c>
      <c r="H312" s="9">
        <f t="shared" si="4"/>
        <v>22</v>
      </c>
      <c r="I312" s="6" t="str">
        <f>IFERROR(__xludf.DUMMYFUNCTION("MAX(FILTER($H$2:$H501,$E$2:$E501=F312))"),"#N/A")</f>
        <v>#N/A</v>
      </c>
    </row>
    <row r="313">
      <c r="A313" s="4"/>
      <c r="B313" s="4"/>
      <c r="C313" s="4" t="s">
        <v>2439</v>
      </c>
      <c r="D313" s="6" t="str">
        <f t="shared" si="1"/>
        <v>{"valorA":"carregador de computador","valorB":17}</v>
      </c>
      <c r="E313" s="8" t="str">
        <f t="shared" si="2"/>
        <v>carregador de computador</v>
      </c>
      <c r="F313" s="8"/>
      <c r="G313" s="15" t="str">
        <f t="shared" si="3"/>
        <v>17</v>
      </c>
      <c r="H313" s="9">
        <f t="shared" si="4"/>
        <v>17</v>
      </c>
      <c r="I313" s="6" t="str">
        <f>IFERROR(__xludf.DUMMYFUNCTION("MAX(FILTER($H$2:$H501,$E$2:$E501=F313))"),"#N/A")</f>
        <v>#N/A</v>
      </c>
    </row>
    <row r="314">
      <c r="A314" s="4"/>
      <c r="B314" s="4"/>
      <c r="C314" s="4" t="s">
        <v>2440</v>
      </c>
      <c r="D314" s="6" t="str">
        <f t="shared" si="1"/>
        <v>{"valorA":"carregador de computador","valorB":18}</v>
      </c>
      <c r="E314" s="8" t="str">
        <f t="shared" si="2"/>
        <v>carregador de computador</v>
      </c>
      <c r="F314" s="8"/>
      <c r="G314" s="15" t="str">
        <f t="shared" si="3"/>
        <v>18</v>
      </c>
      <c r="H314" s="9">
        <f t="shared" si="4"/>
        <v>18</v>
      </c>
      <c r="I314" s="6" t="str">
        <f>IFERROR(__xludf.DUMMYFUNCTION("MAX(FILTER($H$2:$H501,$E$2:$E501=F314))"),"#N/A")</f>
        <v>#N/A</v>
      </c>
    </row>
    <row r="315">
      <c r="A315" s="4"/>
      <c r="B315" s="4"/>
      <c r="C315" s="4" t="s">
        <v>2441</v>
      </c>
      <c r="D315" s="6" t="str">
        <f t="shared" si="1"/>
        <v>{"valorA":"fogão","valorB":16}</v>
      </c>
      <c r="E315" s="8" t="str">
        <f t="shared" si="2"/>
        <v>fogão</v>
      </c>
      <c r="F315" s="8"/>
      <c r="G315" s="15" t="str">
        <f t="shared" si="3"/>
        <v>16</v>
      </c>
      <c r="H315" s="9">
        <f t="shared" si="4"/>
        <v>16</v>
      </c>
      <c r="I315" s="6" t="str">
        <f>IFERROR(__xludf.DUMMYFUNCTION("MAX(FILTER($H$2:$H501,$E$2:$E501=F315))"),"#N/A")</f>
        <v>#N/A</v>
      </c>
    </row>
    <row r="316">
      <c r="A316" s="4"/>
      <c r="B316" s="4"/>
      <c r="C316" s="4" t="s">
        <v>2442</v>
      </c>
      <c r="D316" s="6" t="str">
        <f t="shared" si="1"/>
        <v>{"valorA":"liquidificador","valorB":19}</v>
      </c>
      <c r="E316" s="8" t="str">
        <f t="shared" si="2"/>
        <v>liquidificador</v>
      </c>
      <c r="F316" s="8"/>
      <c r="G316" s="15" t="str">
        <f t="shared" si="3"/>
        <v>19</v>
      </c>
      <c r="H316" s="9">
        <f t="shared" si="4"/>
        <v>19</v>
      </c>
      <c r="I316" s="6" t="str">
        <f>IFERROR(__xludf.DUMMYFUNCTION("MAX(FILTER($H$2:$H501,$E$2:$E501=F316))"),"#N/A")</f>
        <v>#N/A</v>
      </c>
    </row>
    <row r="317">
      <c r="A317" s="4"/>
      <c r="B317" s="4"/>
      <c r="C317" s="4" t="s">
        <v>2443</v>
      </c>
      <c r="D317" s="6" t="str">
        <f t="shared" si="1"/>
        <v>{"valorA":"carregador de computador","valorB":19}</v>
      </c>
      <c r="E317" s="8" t="str">
        <f t="shared" si="2"/>
        <v>carregador de computador</v>
      </c>
      <c r="F317" s="8"/>
      <c r="G317" s="15" t="str">
        <f t="shared" si="3"/>
        <v>19</v>
      </c>
      <c r="H317" s="9">
        <f t="shared" si="4"/>
        <v>19</v>
      </c>
      <c r="I317" s="6" t="str">
        <f>IFERROR(__xludf.DUMMYFUNCTION("MAX(FILTER($H$2:$H501,$E$2:$E501=F317))"),"#N/A")</f>
        <v>#N/A</v>
      </c>
    </row>
    <row r="318">
      <c r="A318" s="4"/>
      <c r="B318" s="4"/>
      <c r="C318" s="4" t="s">
        <v>2444</v>
      </c>
      <c r="D318" s="6" t="str">
        <f t="shared" si="1"/>
        <v>{"valorA":"fogão","valorB":17}</v>
      </c>
      <c r="E318" s="8" t="str">
        <f t="shared" si="2"/>
        <v>fogão</v>
      </c>
      <c r="F318" s="8"/>
      <c r="G318" s="15" t="str">
        <f t="shared" si="3"/>
        <v>17</v>
      </c>
      <c r="H318" s="9">
        <f t="shared" si="4"/>
        <v>17</v>
      </c>
      <c r="I318" s="6" t="str">
        <f>IFERROR(__xludf.DUMMYFUNCTION("MAX(FILTER($H$2:$H501,$E$2:$E501=F318))"),"#N/A")</f>
        <v>#N/A</v>
      </c>
    </row>
    <row r="319">
      <c r="A319" s="4"/>
      <c r="B319" s="4"/>
      <c r="C319" s="4" t="s">
        <v>1722</v>
      </c>
      <c r="D319" s="6" t="str">
        <f t="shared" si="1"/>
        <v>{"valorA":"microondas","valorB":15}</v>
      </c>
      <c r="E319" s="8" t="str">
        <f t="shared" si="2"/>
        <v>microondas</v>
      </c>
      <c r="F319" s="8"/>
      <c r="G319" s="15" t="str">
        <f t="shared" si="3"/>
        <v>15</v>
      </c>
      <c r="H319" s="9">
        <f t="shared" si="4"/>
        <v>15</v>
      </c>
      <c r="I319" s="6" t="str">
        <f>IFERROR(__xludf.DUMMYFUNCTION("MAX(FILTER($H$2:$H501,$E$2:$E501=F319))"),"#N/A")</f>
        <v>#N/A</v>
      </c>
    </row>
    <row r="320">
      <c r="A320" s="4"/>
      <c r="B320" s="4"/>
      <c r="C320" s="4" t="s">
        <v>2445</v>
      </c>
      <c r="D320" s="6" t="str">
        <f t="shared" si="1"/>
        <v>{"valorA":"ventilador","valorB":18}</v>
      </c>
      <c r="E320" s="8" t="str">
        <f t="shared" si="2"/>
        <v>ventilador</v>
      </c>
      <c r="F320" s="8"/>
      <c r="G320" s="15" t="str">
        <f t="shared" si="3"/>
        <v>18</v>
      </c>
      <c r="H320" s="9">
        <f t="shared" si="4"/>
        <v>18</v>
      </c>
      <c r="I320" s="6" t="str">
        <f>IFERROR(__xludf.DUMMYFUNCTION("MAX(FILTER($H$2:$H501,$E$2:$E501=F320))"),"#N/A")</f>
        <v>#N/A</v>
      </c>
    </row>
    <row r="321">
      <c r="A321" s="4"/>
      <c r="B321" s="4"/>
      <c r="C321" s="4" t="s">
        <v>2446</v>
      </c>
      <c r="D321" s="6" t="str">
        <f t="shared" si="1"/>
        <v>{"valorA":"liquidificador","valorB":20}</v>
      </c>
      <c r="E321" s="8" t="str">
        <f t="shared" si="2"/>
        <v>liquidificador</v>
      </c>
      <c r="F321" s="8"/>
      <c r="G321" s="15" t="str">
        <f t="shared" si="3"/>
        <v>20</v>
      </c>
      <c r="H321" s="9">
        <f t="shared" si="4"/>
        <v>20</v>
      </c>
      <c r="I321" s="6" t="str">
        <f>IFERROR(__xludf.DUMMYFUNCTION("MAX(FILTER($H$2:$H501,$E$2:$E501=F321))"),"#N/A")</f>
        <v>#N/A</v>
      </c>
    </row>
    <row r="322">
      <c r="A322" s="4"/>
      <c r="B322" s="4"/>
      <c r="C322" s="4" t="s">
        <v>2447</v>
      </c>
      <c r="D322" s="6" t="str">
        <f t="shared" si="1"/>
        <v>{"valorA":"lustre","valorB":12}</v>
      </c>
      <c r="E322" s="8" t="str">
        <f t="shared" si="2"/>
        <v>lustre</v>
      </c>
      <c r="F322" s="8"/>
      <c r="G322" s="15" t="str">
        <f t="shared" si="3"/>
        <v>12</v>
      </c>
      <c r="H322" s="9">
        <f t="shared" si="4"/>
        <v>12</v>
      </c>
      <c r="I322" s="6" t="str">
        <f>IFERROR(__xludf.DUMMYFUNCTION("MAX(FILTER($H$2:$H501,$E$2:$E501=F322))"),"#N/A")</f>
        <v>#N/A</v>
      </c>
    </row>
    <row r="323">
      <c r="A323" s="4"/>
      <c r="B323" s="4"/>
      <c r="C323" s="4" t="s">
        <v>2448</v>
      </c>
      <c r="D323" s="6" t="str">
        <f t="shared" si="1"/>
        <v>{"valorA":"filtro de linha","valorB":17}</v>
      </c>
      <c r="E323" s="8" t="str">
        <f t="shared" si="2"/>
        <v>filtro de linha</v>
      </c>
      <c r="F323" s="8"/>
      <c r="G323" s="15" t="str">
        <f t="shared" si="3"/>
        <v>17</v>
      </c>
      <c r="H323" s="9">
        <f t="shared" si="4"/>
        <v>17</v>
      </c>
      <c r="I323" s="6" t="str">
        <f>IFERROR(__xludf.DUMMYFUNCTION("MAX(FILTER($H$2:$H501,$E$2:$E501=F323))"),"#N/A")</f>
        <v>#N/A</v>
      </c>
    </row>
    <row r="324">
      <c r="A324" s="4"/>
      <c r="B324" s="4"/>
      <c r="C324" s="4" t="s">
        <v>1725</v>
      </c>
      <c r="D324" s="6" t="str">
        <f t="shared" si="1"/>
        <v>{"valorA":"microondas","valorB":16}</v>
      </c>
      <c r="E324" s="8" t="str">
        <f t="shared" si="2"/>
        <v>microondas</v>
      </c>
      <c r="F324" s="8"/>
      <c r="G324" s="15" t="str">
        <f t="shared" si="3"/>
        <v>16</v>
      </c>
      <c r="H324" s="9">
        <f t="shared" si="4"/>
        <v>16</v>
      </c>
      <c r="I324" s="6" t="str">
        <f>IFERROR(__xludf.DUMMYFUNCTION("MAX(FILTER($H$2:$H501,$E$2:$E501=F324))"),"#N/A")</f>
        <v>#N/A</v>
      </c>
    </row>
    <row r="325">
      <c r="A325" s="4"/>
      <c r="B325" s="4"/>
      <c r="C325" s="4" t="s">
        <v>1727</v>
      </c>
      <c r="D325" s="6" t="str">
        <f t="shared" si="1"/>
        <v>{"valorA":"microondas","valorB":17}</v>
      </c>
      <c r="E325" s="8" t="str">
        <f t="shared" si="2"/>
        <v>microondas</v>
      </c>
      <c r="F325" s="8"/>
      <c r="G325" s="15" t="str">
        <f t="shared" si="3"/>
        <v>17</v>
      </c>
      <c r="H325" s="9">
        <f t="shared" si="4"/>
        <v>17</v>
      </c>
      <c r="I325" s="6" t="str">
        <f>IFERROR(__xludf.DUMMYFUNCTION("MAX(FILTER($H$2:$H501,$E$2:$E501=F325))"),"#N/A")</f>
        <v>#N/A</v>
      </c>
    </row>
    <row r="326">
      <c r="A326" s="4"/>
      <c r="B326" s="4"/>
      <c r="C326" s="4" t="s">
        <v>2449</v>
      </c>
      <c r="D326" s="6" t="str">
        <f t="shared" si="1"/>
        <v>{"valorA":"teclado de computador","valorB":21}</v>
      </c>
      <c r="E326" s="8" t="str">
        <f t="shared" si="2"/>
        <v>teclado de computador</v>
      </c>
      <c r="F326" s="8"/>
      <c r="G326" s="15" t="str">
        <f t="shared" si="3"/>
        <v>21</v>
      </c>
      <c r="H326" s="9">
        <f t="shared" si="4"/>
        <v>21</v>
      </c>
      <c r="I326" s="6" t="str">
        <f>IFERROR(__xludf.DUMMYFUNCTION("MAX(FILTER($H$2:$H501,$E$2:$E501=F326))"),"#N/A")</f>
        <v>#N/A</v>
      </c>
    </row>
    <row r="327">
      <c r="A327" s="4"/>
      <c r="B327" s="4"/>
      <c r="C327" s="4" t="s">
        <v>1719</v>
      </c>
      <c r="D327" s="6" t="str">
        <f t="shared" si="1"/>
        <v>{"valorA":"ar condicionado","valorB":16}</v>
      </c>
      <c r="E327" s="8" t="str">
        <f t="shared" si="2"/>
        <v>ar condicionado</v>
      </c>
      <c r="F327" s="8"/>
      <c r="G327" s="15" t="str">
        <f t="shared" si="3"/>
        <v>16</v>
      </c>
      <c r="H327" s="9">
        <f t="shared" si="4"/>
        <v>16</v>
      </c>
      <c r="I327" s="6" t="str">
        <f>IFERROR(__xludf.DUMMYFUNCTION("MAX(FILTER($H$2:$H501,$E$2:$E501=F327))"),"#N/A")</f>
        <v>#N/A</v>
      </c>
    </row>
    <row r="328">
      <c r="A328" s="4"/>
      <c r="B328" s="4"/>
      <c r="C328" s="4" t="s">
        <v>2450</v>
      </c>
      <c r="D328" s="6" t="str">
        <f t="shared" si="1"/>
        <v>{"valorA":"roteador","valorB":18}</v>
      </c>
      <c r="E328" s="8" t="str">
        <f t="shared" si="2"/>
        <v>roteador</v>
      </c>
      <c r="F328" s="8"/>
      <c r="G328" s="15" t="str">
        <f t="shared" si="3"/>
        <v>18</v>
      </c>
      <c r="H328" s="9">
        <f t="shared" si="4"/>
        <v>18</v>
      </c>
      <c r="I328" s="6" t="str">
        <f>IFERROR(__xludf.DUMMYFUNCTION("MAX(FILTER($H$2:$H501,$E$2:$E501=F328))"),"#N/A")</f>
        <v>#N/A</v>
      </c>
    </row>
    <row r="329">
      <c r="A329" s="4"/>
      <c r="B329" s="4"/>
      <c r="C329" s="4" t="s">
        <v>2451</v>
      </c>
      <c r="D329" s="6" t="str">
        <f t="shared" si="1"/>
        <v>{"valorA":"lustre","valorB":13}</v>
      </c>
      <c r="E329" s="8" t="str">
        <f t="shared" si="2"/>
        <v>lustre</v>
      </c>
      <c r="F329" s="8"/>
      <c r="G329" s="15" t="str">
        <f t="shared" si="3"/>
        <v>13</v>
      </c>
      <c r="H329" s="9">
        <f t="shared" si="4"/>
        <v>13</v>
      </c>
      <c r="I329" s="6" t="str">
        <f>IFERROR(__xludf.DUMMYFUNCTION("MAX(FILTER($H$2:$H501,$E$2:$E501=F329))"),"#N/A")</f>
        <v>#N/A</v>
      </c>
    </row>
    <row r="330">
      <c r="A330" s="4"/>
      <c r="B330" s="4"/>
      <c r="C330" s="4" t="s">
        <v>2452</v>
      </c>
      <c r="D330" s="6" t="str">
        <f t="shared" si="1"/>
        <v>{"valorA":"aspirador","valorB":17}</v>
      </c>
      <c r="E330" s="8" t="str">
        <f t="shared" si="2"/>
        <v>aspirador</v>
      </c>
      <c r="F330" s="8"/>
      <c r="G330" s="15" t="str">
        <f t="shared" si="3"/>
        <v>17</v>
      </c>
      <c r="H330" s="9">
        <f t="shared" si="4"/>
        <v>17</v>
      </c>
      <c r="I330" s="6" t="str">
        <f>IFERROR(__xludf.DUMMYFUNCTION("MAX(FILTER($H$2:$H501,$E$2:$E501=F330))"),"#N/A")</f>
        <v>#N/A</v>
      </c>
    </row>
    <row r="331">
      <c r="A331" s="4"/>
      <c r="B331" s="4"/>
      <c r="C331" s="4" t="s">
        <v>2453</v>
      </c>
      <c r="D331" s="6" t="str">
        <f t="shared" si="1"/>
        <v>{"valorA":"teclado de computador","valorB":22}</v>
      </c>
      <c r="E331" s="8" t="str">
        <f t="shared" si="2"/>
        <v>teclado de computador</v>
      </c>
      <c r="F331" s="8"/>
      <c r="G331" s="15" t="str">
        <f t="shared" si="3"/>
        <v>22</v>
      </c>
      <c r="H331" s="9">
        <f t="shared" si="4"/>
        <v>22</v>
      </c>
      <c r="I331" s="6" t="str">
        <f>IFERROR(__xludf.DUMMYFUNCTION("MAX(FILTER($H$2:$H501,$E$2:$E501=F331))"),"#N/A")</f>
        <v>#N/A</v>
      </c>
    </row>
    <row r="332">
      <c r="A332" s="4"/>
      <c r="B332" s="4"/>
      <c r="C332" s="4" t="s">
        <v>2454</v>
      </c>
      <c r="D332" s="6" t="str">
        <f t="shared" si="1"/>
        <v>{"valorA":"filtro de linha","valorB":18}</v>
      </c>
      <c r="E332" s="8" t="str">
        <f t="shared" si="2"/>
        <v>filtro de linha</v>
      </c>
      <c r="F332" s="8"/>
      <c r="G332" s="15" t="str">
        <f t="shared" si="3"/>
        <v>18</v>
      </c>
      <c r="H332" s="9">
        <f t="shared" si="4"/>
        <v>18</v>
      </c>
      <c r="I332" s="6" t="str">
        <f>IFERROR(__xludf.DUMMYFUNCTION("MAX(FILTER($H$2:$H501,$E$2:$E501=F332))"),"#N/A")</f>
        <v>#N/A</v>
      </c>
    </row>
    <row r="333">
      <c r="A333" s="4"/>
      <c r="B333" s="4"/>
      <c r="C333" s="4" t="s">
        <v>2455</v>
      </c>
      <c r="D333" s="6" t="str">
        <f t="shared" si="1"/>
        <v>{"valorA":"relógio","valorB":16}</v>
      </c>
      <c r="E333" s="8" t="str">
        <f t="shared" si="2"/>
        <v>relógio</v>
      </c>
      <c r="F333" s="8"/>
      <c r="G333" s="15" t="str">
        <f t="shared" si="3"/>
        <v>16</v>
      </c>
      <c r="H333" s="9">
        <f t="shared" si="4"/>
        <v>16</v>
      </c>
      <c r="I333" s="6" t="str">
        <f>IFERROR(__xludf.DUMMYFUNCTION("MAX(FILTER($H$2:$H501,$E$2:$E501=F333))"),"#N/A")</f>
        <v>#N/A</v>
      </c>
    </row>
    <row r="334">
      <c r="A334" s="4"/>
      <c r="B334" s="4"/>
      <c r="C334" s="4" t="s">
        <v>2456</v>
      </c>
      <c r="D334" s="6" t="str">
        <f t="shared" si="1"/>
        <v>{"valorA":"ventilador","valorB":19}</v>
      </c>
      <c r="E334" s="8" t="str">
        <f t="shared" si="2"/>
        <v>ventilador</v>
      </c>
      <c r="F334" s="8"/>
      <c r="G334" s="15" t="str">
        <f t="shared" si="3"/>
        <v>19</v>
      </c>
      <c r="H334" s="9">
        <f t="shared" si="4"/>
        <v>19</v>
      </c>
      <c r="I334" s="6" t="str">
        <f>IFERROR(__xludf.DUMMYFUNCTION("MAX(FILTER($H$2:$H501,$E$2:$E501=F334))"),"#N/A")</f>
        <v>#N/A</v>
      </c>
    </row>
    <row r="335">
      <c r="A335" s="4"/>
      <c r="B335" s="4"/>
      <c r="C335" s="4" t="s">
        <v>2457</v>
      </c>
      <c r="D335" s="6" t="str">
        <f t="shared" si="1"/>
        <v>{"valorA":"chuveiro elétrico","valorB":23}</v>
      </c>
      <c r="E335" s="8" t="str">
        <f t="shared" si="2"/>
        <v>chuveiro elétrico</v>
      </c>
      <c r="F335" s="8"/>
      <c r="G335" s="15" t="str">
        <f t="shared" si="3"/>
        <v>23</v>
      </c>
      <c r="H335" s="9">
        <f t="shared" si="4"/>
        <v>23</v>
      </c>
      <c r="I335" s="6" t="str">
        <f>IFERROR(__xludf.DUMMYFUNCTION("MAX(FILTER($H$2:$H501,$E$2:$E501=F335))"),"#N/A")</f>
        <v>#N/A</v>
      </c>
    </row>
    <row r="336">
      <c r="A336" s="4"/>
      <c r="B336" s="4"/>
      <c r="C336" s="4" t="s">
        <v>2458</v>
      </c>
      <c r="D336" s="6" t="str">
        <f t="shared" si="1"/>
        <v>{"valorA":"carregador de celular","valorB":15}</v>
      </c>
      <c r="E336" s="8" t="str">
        <f t="shared" si="2"/>
        <v>carregador de celular</v>
      </c>
      <c r="F336" s="8"/>
      <c r="G336" s="15" t="str">
        <f t="shared" si="3"/>
        <v>15</v>
      </c>
      <c r="H336" s="9">
        <f t="shared" si="4"/>
        <v>15</v>
      </c>
      <c r="I336" s="6" t="str">
        <f>IFERROR(__xludf.DUMMYFUNCTION("MAX(FILTER($H$2:$H501,$E$2:$E501=F336))"),"#N/A")</f>
        <v>#N/A</v>
      </c>
    </row>
    <row r="337">
      <c r="A337" s="4"/>
      <c r="B337" s="4"/>
      <c r="C337" s="4" t="s">
        <v>2459</v>
      </c>
      <c r="D337" s="6" t="str">
        <f t="shared" si="1"/>
        <v>{"valorA":"filtro de linha","valorB":19}</v>
      </c>
      <c r="E337" s="8" t="str">
        <f t="shared" si="2"/>
        <v>filtro de linha</v>
      </c>
      <c r="F337" s="8"/>
      <c r="G337" s="15" t="str">
        <f t="shared" si="3"/>
        <v>19</v>
      </c>
      <c r="H337" s="9">
        <f t="shared" si="4"/>
        <v>19</v>
      </c>
      <c r="I337" s="6" t="str">
        <f>IFERROR(__xludf.DUMMYFUNCTION("MAX(FILTER($H$2:$H501,$E$2:$E501=F337))"),"#N/A")</f>
        <v>#N/A</v>
      </c>
    </row>
    <row r="338">
      <c r="A338" s="4"/>
      <c r="B338" s="4"/>
      <c r="C338" s="4" t="s">
        <v>2460</v>
      </c>
      <c r="D338" s="6" t="str">
        <f t="shared" si="1"/>
        <v>{"valorA":"fogão","valorB":18}</v>
      </c>
      <c r="E338" s="8" t="str">
        <f t="shared" si="2"/>
        <v>fogão</v>
      </c>
      <c r="F338" s="8"/>
      <c r="G338" s="15" t="str">
        <f t="shared" si="3"/>
        <v>18</v>
      </c>
      <c r="H338" s="9">
        <f t="shared" si="4"/>
        <v>18</v>
      </c>
      <c r="I338" s="6" t="str">
        <f>IFERROR(__xludf.DUMMYFUNCTION("MAX(FILTER($H$2:$H501,$E$2:$E501=F338))"),"#N/A")</f>
        <v>#N/A</v>
      </c>
    </row>
    <row r="339">
      <c r="A339" s="4"/>
      <c r="B339" s="4"/>
      <c r="C339" s="4" t="s">
        <v>2461</v>
      </c>
      <c r="D339" s="6" t="str">
        <f t="shared" si="1"/>
        <v>{"valorA":"carregador de computador","valorB":20}</v>
      </c>
      <c r="E339" s="8" t="str">
        <f t="shared" si="2"/>
        <v>carregador de computador</v>
      </c>
      <c r="F339" s="8"/>
      <c r="G339" s="15" t="str">
        <f t="shared" si="3"/>
        <v>20</v>
      </c>
      <c r="H339" s="9">
        <f t="shared" si="4"/>
        <v>20</v>
      </c>
      <c r="I339" s="6" t="str">
        <f>IFERROR(__xludf.DUMMYFUNCTION("MAX(FILTER($H$2:$H501,$E$2:$E501=F339))"),"#N/A")</f>
        <v>#N/A</v>
      </c>
    </row>
    <row r="340">
      <c r="A340" s="4"/>
      <c r="B340" s="4"/>
      <c r="C340" s="4" t="s">
        <v>2462</v>
      </c>
      <c r="D340" s="6" t="str">
        <f t="shared" si="1"/>
        <v>{"valorA":"fogão","valorB":19}</v>
      </c>
      <c r="E340" s="8" t="str">
        <f t="shared" si="2"/>
        <v>fogão</v>
      </c>
      <c r="F340" s="8"/>
      <c r="G340" s="15" t="str">
        <f t="shared" si="3"/>
        <v>19</v>
      </c>
      <c r="H340" s="9">
        <f t="shared" si="4"/>
        <v>19</v>
      </c>
      <c r="I340" s="6" t="str">
        <f>IFERROR(__xludf.DUMMYFUNCTION("MAX(FILTER($H$2:$H501,$E$2:$E501=F340))"),"#N/A")</f>
        <v>#N/A</v>
      </c>
    </row>
    <row r="341">
      <c r="A341" s="4"/>
      <c r="B341" s="4"/>
      <c r="C341" s="4" t="s">
        <v>2463</v>
      </c>
      <c r="D341" s="6" t="str">
        <f t="shared" si="1"/>
        <v>{"valorA":"aspirador","valorB":18}</v>
      </c>
      <c r="E341" s="8" t="str">
        <f t="shared" si="2"/>
        <v>aspirador</v>
      </c>
      <c r="F341" s="8"/>
      <c r="G341" s="15" t="str">
        <f t="shared" si="3"/>
        <v>18</v>
      </c>
      <c r="H341" s="9">
        <f t="shared" si="4"/>
        <v>18</v>
      </c>
      <c r="I341" s="6" t="str">
        <f>IFERROR(__xludf.DUMMYFUNCTION("MAX(FILTER($H$2:$H501,$E$2:$E501=F341))"),"#N/A")</f>
        <v>#N/A</v>
      </c>
    </row>
    <row r="342">
      <c r="A342" s="4"/>
      <c r="B342" s="4"/>
      <c r="C342" s="4" t="s">
        <v>2464</v>
      </c>
      <c r="D342" s="6" t="str">
        <f t="shared" si="1"/>
        <v>{"valorA":"fone de ouvido","valorB":16}</v>
      </c>
      <c r="E342" s="8" t="str">
        <f t="shared" si="2"/>
        <v>fone de ouvido</v>
      </c>
      <c r="F342" s="8"/>
      <c r="G342" s="15" t="str">
        <f t="shared" si="3"/>
        <v>16</v>
      </c>
      <c r="H342" s="9">
        <f t="shared" si="4"/>
        <v>16</v>
      </c>
      <c r="I342" s="6" t="str">
        <f>IFERROR(__xludf.DUMMYFUNCTION("MAX(FILTER($H$2:$H501,$E$2:$E501=F342))"),"#N/A")</f>
        <v>#N/A</v>
      </c>
    </row>
    <row r="343">
      <c r="A343" s="4"/>
      <c r="B343" s="4"/>
      <c r="C343" s="4" t="s">
        <v>2465</v>
      </c>
      <c r="D343" s="6" t="str">
        <f t="shared" si="1"/>
        <v>{"valorA":"fogão","valorB":20}</v>
      </c>
      <c r="E343" s="8" t="str">
        <f t="shared" si="2"/>
        <v>fogão</v>
      </c>
      <c r="F343" s="8"/>
      <c r="G343" s="15" t="str">
        <f t="shared" si="3"/>
        <v>20</v>
      </c>
      <c r="H343" s="9">
        <f t="shared" si="4"/>
        <v>20</v>
      </c>
      <c r="I343" s="6" t="str">
        <f>IFERROR(__xludf.DUMMYFUNCTION("MAX(FILTER($H$2:$H501,$E$2:$E501=F343))"),"#N/A")</f>
        <v>#N/A</v>
      </c>
    </row>
    <row r="344">
      <c r="A344" s="4"/>
      <c r="B344" s="4"/>
      <c r="C344" s="4" t="s">
        <v>2466</v>
      </c>
      <c r="D344" s="6" t="str">
        <f t="shared" si="1"/>
        <v>{"valorA":"liquidificador","valorB":21}</v>
      </c>
      <c r="E344" s="8" t="str">
        <f t="shared" si="2"/>
        <v>liquidificador</v>
      </c>
      <c r="F344" s="8"/>
      <c r="G344" s="15" t="str">
        <f t="shared" si="3"/>
        <v>21</v>
      </c>
      <c r="H344" s="9">
        <f t="shared" si="4"/>
        <v>21</v>
      </c>
      <c r="I344" s="6" t="str">
        <f>IFERROR(__xludf.DUMMYFUNCTION("MAX(FILTER($H$2:$H501,$E$2:$E501=F344))"),"#N/A")</f>
        <v>#N/A</v>
      </c>
    </row>
    <row r="345">
      <c r="A345" s="4"/>
      <c r="B345" s="4"/>
      <c r="C345" s="4" t="s">
        <v>1673</v>
      </c>
      <c r="D345" s="6" t="str">
        <f t="shared" si="1"/>
        <v>{"valorA":"freezer","valorB":15}</v>
      </c>
      <c r="E345" s="8" t="str">
        <f t="shared" si="2"/>
        <v>freezer</v>
      </c>
      <c r="F345" s="8"/>
      <c r="G345" s="15" t="str">
        <f t="shared" si="3"/>
        <v>15</v>
      </c>
      <c r="H345" s="9">
        <f t="shared" si="4"/>
        <v>15</v>
      </c>
      <c r="I345" s="6" t="str">
        <f>IFERROR(__xludf.DUMMYFUNCTION("MAX(FILTER($H$2:$H501,$E$2:$E501=F345))"),"#N/A")</f>
        <v>#N/A</v>
      </c>
    </row>
    <row r="346">
      <c r="A346" s="4"/>
      <c r="B346" s="4"/>
      <c r="C346" s="4" t="s">
        <v>2467</v>
      </c>
      <c r="D346" s="6" t="str">
        <f t="shared" si="1"/>
        <v>{"valorA":"chuveiro elétrico","valorB":24}</v>
      </c>
      <c r="E346" s="8" t="str">
        <f t="shared" si="2"/>
        <v>chuveiro elétrico</v>
      </c>
      <c r="F346" s="8"/>
      <c r="G346" s="15" t="str">
        <f t="shared" si="3"/>
        <v>24</v>
      </c>
      <c r="H346" s="9">
        <f t="shared" si="4"/>
        <v>24</v>
      </c>
      <c r="I346" s="6" t="str">
        <f>IFERROR(__xludf.DUMMYFUNCTION("MAX(FILTER($H$2:$H501,$E$2:$E501=F346))"),"#N/A")</f>
        <v>#N/A</v>
      </c>
    </row>
    <row r="347">
      <c r="A347" s="4"/>
      <c r="B347" s="4"/>
      <c r="C347" s="4" t="s">
        <v>2468</v>
      </c>
      <c r="D347" s="6" t="str">
        <f t="shared" si="1"/>
        <v>{"valorA":"carregador de computador","valorB":21}</v>
      </c>
      <c r="E347" s="8" t="str">
        <f t="shared" si="2"/>
        <v>carregador de computador</v>
      </c>
      <c r="F347" s="8"/>
      <c r="G347" s="15" t="str">
        <f t="shared" si="3"/>
        <v>21</v>
      </c>
      <c r="H347" s="9">
        <f t="shared" si="4"/>
        <v>21</v>
      </c>
      <c r="I347" s="6" t="str">
        <f>IFERROR(__xludf.DUMMYFUNCTION("MAX(FILTER($H$2:$H501,$E$2:$E501=F347))"),"#N/A")</f>
        <v>#N/A</v>
      </c>
    </row>
    <row r="348">
      <c r="A348" s="4"/>
      <c r="B348" s="4"/>
      <c r="C348" s="4" t="s">
        <v>2469</v>
      </c>
      <c r="D348" s="6" t="str">
        <f t="shared" si="1"/>
        <v>{"valorA":"purificador de água","valorB":14}</v>
      </c>
      <c r="E348" s="8" t="str">
        <f t="shared" si="2"/>
        <v>purificador de água</v>
      </c>
      <c r="F348" s="8"/>
      <c r="G348" s="15" t="str">
        <f t="shared" si="3"/>
        <v>14</v>
      </c>
      <c r="H348" s="9">
        <f t="shared" si="4"/>
        <v>14</v>
      </c>
      <c r="I348" s="6" t="str">
        <f>IFERROR(__xludf.DUMMYFUNCTION("MAX(FILTER($H$2:$H501,$E$2:$E501=F348))"),"#N/A")</f>
        <v>#N/A</v>
      </c>
    </row>
    <row r="349">
      <c r="A349" s="4"/>
      <c r="B349" s="4"/>
      <c r="C349" s="4" t="s">
        <v>2470</v>
      </c>
      <c r="D349" s="6" t="str">
        <f t="shared" si="1"/>
        <v>{"valorA":"fogão","valorB":21}</v>
      </c>
      <c r="E349" s="8" t="str">
        <f t="shared" si="2"/>
        <v>fogão</v>
      </c>
      <c r="F349" s="8"/>
      <c r="G349" s="15" t="str">
        <f t="shared" si="3"/>
        <v>21</v>
      </c>
      <c r="H349" s="9">
        <f t="shared" si="4"/>
        <v>21</v>
      </c>
      <c r="I349" s="6" t="str">
        <f>IFERROR(__xludf.DUMMYFUNCTION("MAX(FILTER($H$2:$H501,$E$2:$E501=F349))"),"#N/A")</f>
        <v>#N/A</v>
      </c>
    </row>
    <row r="350">
      <c r="A350" s="4"/>
      <c r="B350" s="4"/>
      <c r="C350" s="4" t="s">
        <v>2471</v>
      </c>
      <c r="D350" s="6" t="str">
        <f t="shared" si="1"/>
        <v>{"valorA":"computador","valorB":19}</v>
      </c>
      <c r="E350" s="8" t="str">
        <f t="shared" si="2"/>
        <v>computador</v>
      </c>
      <c r="F350" s="8"/>
      <c r="G350" s="15" t="str">
        <f t="shared" si="3"/>
        <v>19</v>
      </c>
      <c r="H350" s="9">
        <f t="shared" si="4"/>
        <v>19</v>
      </c>
      <c r="I350" s="6" t="str">
        <f>IFERROR(__xludf.DUMMYFUNCTION("MAX(FILTER($H$2:$H501,$E$2:$E501=F350))"),"#N/A")</f>
        <v>#N/A</v>
      </c>
    </row>
    <row r="351">
      <c r="A351" s="4"/>
      <c r="B351" s="4"/>
      <c r="C351" s="4" t="s">
        <v>1723</v>
      </c>
      <c r="D351" s="6" t="str">
        <f t="shared" si="1"/>
        <v>{"valorA":"ar condicionado","valorB":17}</v>
      </c>
      <c r="E351" s="8" t="str">
        <f t="shared" si="2"/>
        <v>ar condicionado</v>
      </c>
      <c r="F351" s="8"/>
      <c r="G351" s="15" t="str">
        <f t="shared" si="3"/>
        <v>17</v>
      </c>
      <c r="H351" s="9">
        <f t="shared" si="4"/>
        <v>17</v>
      </c>
      <c r="I351" s="6" t="str">
        <f>IFERROR(__xludf.DUMMYFUNCTION("MAX(FILTER($H$2:$H501,$E$2:$E501=F351))"),"#N/A")</f>
        <v>#N/A</v>
      </c>
    </row>
    <row r="352">
      <c r="A352" s="4"/>
      <c r="B352" s="4"/>
      <c r="C352" s="4" t="s">
        <v>2472</v>
      </c>
      <c r="D352" s="6" t="str">
        <f t="shared" si="1"/>
        <v>{"valorA":"teclado de computador","valorB":23}</v>
      </c>
      <c r="E352" s="8" t="str">
        <f t="shared" si="2"/>
        <v>teclado de computador</v>
      </c>
      <c r="F352" s="8"/>
      <c r="G352" s="15" t="str">
        <f t="shared" si="3"/>
        <v>23</v>
      </c>
      <c r="H352" s="9">
        <f t="shared" si="4"/>
        <v>23</v>
      </c>
      <c r="I352" s="6" t="str">
        <f>IFERROR(__xludf.DUMMYFUNCTION("MAX(FILTER($H$2:$H501,$E$2:$E501=F352))"),"#N/A")</f>
        <v>#N/A</v>
      </c>
    </row>
    <row r="353">
      <c r="A353" s="4"/>
      <c r="B353" s="4"/>
      <c r="C353" s="4" t="s">
        <v>2473</v>
      </c>
      <c r="D353" s="6" t="str">
        <f t="shared" si="1"/>
        <v>{"valorA":"lustre","valorB":14}</v>
      </c>
      <c r="E353" s="8" t="str">
        <f t="shared" si="2"/>
        <v>lustre</v>
      </c>
      <c r="F353" s="8"/>
      <c r="G353" s="15" t="str">
        <f t="shared" si="3"/>
        <v>14</v>
      </c>
      <c r="H353" s="9">
        <f t="shared" si="4"/>
        <v>14</v>
      </c>
      <c r="I353" s="6" t="str">
        <f>IFERROR(__xludf.DUMMYFUNCTION("MAX(FILTER($H$2:$H501,$E$2:$E501=F353))"),"#N/A")</f>
        <v>#N/A</v>
      </c>
    </row>
    <row r="354">
      <c r="A354" s="4"/>
      <c r="B354" s="4"/>
      <c r="C354" s="4" t="s">
        <v>2474</v>
      </c>
      <c r="D354" s="6" t="str">
        <f t="shared" si="1"/>
        <v>{"valorA":"fone de ouvido","valorB":17}</v>
      </c>
      <c r="E354" s="8" t="str">
        <f t="shared" si="2"/>
        <v>fone de ouvido</v>
      </c>
      <c r="F354" s="8"/>
      <c r="G354" s="15" t="str">
        <f t="shared" si="3"/>
        <v>17</v>
      </c>
      <c r="H354" s="9">
        <f t="shared" si="4"/>
        <v>17</v>
      </c>
      <c r="I354" s="6" t="str">
        <f>IFERROR(__xludf.DUMMYFUNCTION("MAX(FILTER($H$2:$H501,$E$2:$E501=F354))"),"#N/A")</f>
        <v>#N/A</v>
      </c>
    </row>
    <row r="355">
      <c r="A355" s="4"/>
      <c r="B355" s="4"/>
      <c r="C355" s="4" t="s">
        <v>2475</v>
      </c>
      <c r="D355" s="6" t="str">
        <f t="shared" si="1"/>
        <v>{"valorA":"roteador","valorB":19}</v>
      </c>
      <c r="E355" s="8" t="str">
        <f t="shared" si="2"/>
        <v>roteador</v>
      </c>
      <c r="F355" s="8"/>
      <c r="G355" s="15" t="str">
        <f t="shared" si="3"/>
        <v>19</v>
      </c>
      <c r="H355" s="9">
        <f t="shared" si="4"/>
        <v>19</v>
      </c>
      <c r="I355" s="6" t="str">
        <f>IFERROR(__xludf.DUMMYFUNCTION("MAX(FILTER($H$2:$H501,$E$2:$E501=F355))"),"#N/A")</f>
        <v>#N/A</v>
      </c>
    </row>
    <row r="356">
      <c r="A356" s="4"/>
      <c r="B356" s="4"/>
      <c r="C356" s="4" t="s">
        <v>1728</v>
      </c>
      <c r="D356" s="6" t="str">
        <f t="shared" si="1"/>
        <v>{"valorA":"microondas","valorB":18}</v>
      </c>
      <c r="E356" s="8" t="str">
        <f t="shared" si="2"/>
        <v>microondas</v>
      </c>
      <c r="F356" s="8"/>
      <c r="G356" s="15" t="str">
        <f t="shared" si="3"/>
        <v>18</v>
      </c>
      <c r="H356" s="9">
        <f t="shared" si="4"/>
        <v>18</v>
      </c>
      <c r="I356" s="6" t="str">
        <f>IFERROR(__xludf.DUMMYFUNCTION("MAX(FILTER($H$2:$H501,$E$2:$E501=F356))"),"#N/A")</f>
        <v>#N/A</v>
      </c>
    </row>
    <row r="357">
      <c r="A357" s="4"/>
      <c r="B357" s="4"/>
      <c r="C357" s="4" t="s">
        <v>1724</v>
      </c>
      <c r="D357" s="6" t="str">
        <f t="shared" si="1"/>
        <v>{"valorA":"ar condicionado","valorB":18}</v>
      </c>
      <c r="E357" s="8" t="str">
        <f t="shared" si="2"/>
        <v>ar condicionado</v>
      </c>
      <c r="F357" s="8"/>
      <c r="G357" s="15" t="str">
        <f t="shared" si="3"/>
        <v>18</v>
      </c>
      <c r="H357" s="9">
        <f t="shared" si="4"/>
        <v>18</v>
      </c>
      <c r="I357" s="6" t="str">
        <f>IFERROR(__xludf.DUMMYFUNCTION("MAX(FILTER($H$2:$H501,$E$2:$E501=F357))"),"#N/A")</f>
        <v>#N/A</v>
      </c>
    </row>
    <row r="358">
      <c r="A358" s="4"/>
      <c r="B358" s="4"/>
      <c r="C358" s="4" t="s">
        <v>1726</v>
      </c>
      <c r="D358" s="6" t="str">
        <f t="shared" si="1"/>
        <v>{"valorA":"ar condicionado","valorB":19}</v>
      </c>
      <c r="E358" s="8" t="str">
        <f t="shared" si="2"/>
        <v>ar condicionado</v>
      </c>
      <c r="F358" s="8"/>
      <c r="G358" s="15" t="str">
        <f t="shared" si="3"/>
        <v>19</v>
      </c>
      <c r="H358" s="9">
        <f t="shared" si="4"/>
        <v>19</v>
      </c>
      <c r="I358" s="6" t="str">
        <f>IFERROR(__xludf.DUMMYFUNCTION("MAX(FILTER($H$2:$H501,$E$2:$E501=F358))"),"#N/A")</f>
        <v>#N/A</v>
      </c>
    </row>
    <row r="359">
      <c r="A359" s="4"/>
      <c r="B359" s="4"/>
      <c r="C359" s="4" t="s">
        <v>2476</v>
      </c>
      <c r="D359" s="6" t="str">
        <f t="shared" si="1"/>
        <v>{"valorA":"aspirador","valorB":19}</v>
      </c>
      <c r="E359" s="8" t="str">
        <f t="shared" si="2"/>
        <v>aspirador</v>
      </c>
      <c r="F359" s="8"/>
      <c r="G359" s="15" t="str">
        <f t="shared" si="3"/>
        <v>19</v>
      </c>
      <c r="H359" s="9">
        <f t="shared" si="4"/>
        <v>19</v>
      </c>
      <c r="I359" s="6" t="str">
        <f>IFERROR(__xludf.DUMMYFUNCTION("MAX(FILTER($H$2:$H501,$E$2:$E501=F359))"),"#N/A")</f>
        <v>#N/A</v>
      </c>
    </row>
    <row r="360">
      <c r="A360" s="4"/>
      <c r="B360" s="4"/>
      <c r="C360" s="4" t="s">
        <v>2477</v>
      </c>
      <c r="D360" s="6" t="str">
        <f t="shared" si="1"/>
        <v>{"valorA":"roteador","valorB":20}</v>
      </c>
      <c r="E360" s="8" t="str">
        <f t="shared" si="2"/>
        <v>roteador</v>
      </c>
      <c r="F360" s="8"/>
      <c r="G360" s="15" t="str">
        <f t="shared" si="3"/>
        <v>20</v>
      </c>
      <c r="H360" s="9">
        <f t="shared" si="4"/>
        <v>20</v>
      </c>
      <c r="I360" s="6" t="str">
        <f>IFERROR(__xludf.DUMMYFUNCTION("MAX(FILTER($H$2:$H501,$E$2:$E501=F360))"),"#N/A")</f>
        <v>#N/A</v>
      </c>
    </row>
    <row r="361">
      <c r="A361" s="4"/>
      <c r="B361" s="4"/>
      <c r="C361" s="4" t="s">
        <v>1729</v>
      </c>
      <c r="D361" s="6" t="str">
        <f t="shared" si="1"/>
        <v>{"valorA":"ar condicionado","valorB":20}</v>
      </c>
      <c r="E361" s="8" t="str">
        <f t="shared" si="2"/>
        <v>ar condicionado</v>
      </c>
      <c r="F361" s="8"/>
      <c r="G361" s="15" t="str">
        <f t="shared" si="3"/>
        <v>20</v>
      </c>
      <c r="H361" s="9">
        <f t="shared" si="4"/>
        <v>20</v>
      </c>
      <c r="I361" s="6" t="str">
        <f>IFERROR(__xludf.DUMMYFUNCTION("MAX(FILTER($H$2:$H501,$E$2:$E501=F361))"),"#N/A")</f>
        <v>#N/A</v>
      </c>
    </row>
    <row r="362">
      <c r="A362" s="4"/>
      <c r="B362" s="4"/>
      <c r="C362" s="4" t="s">
        <v>2478</v>
      </c>
      <c r="D362" s="6" t="str">
        <f t="shared" si="1"/>
        <v>{"valorA":"carregador de celular","valorB":16}</v>
      </c>
      <c r="E362" s="8" t="str">
        <f t="shared" si="2"/>
        <v>carregador de celular</v>
      </c>
      <c r="F362" s="8"/>
      <c r="G362" s="15" t="str">
        <f t="shared" si="3"/>
        <v>16</v>
      </c>
      <c r="H362" s="9">
        <f t="shared" si="4"/>
        <v>16</v>
      </c>
      <c r="I362" s="6" t="str">
        <f>IFERROR(__xludf.DUMMYFUNCTION("MAX(FILTER($H$2:$H501,$E$2:$E501=F362))"),"#N/A")</f>
        <v>#N/A</v>
      </c>
    </row>
    <row r="363">
      <c r="A363" s="4"/>
      <c r="B363" s="4"/>
      <c r="C363" s="4" t="s">
        <v>2479</v>
      </c>
      <c r="D363" s="6" t="str">
        <f t="shared" si="1"/>
        <v>{"valorA":"ventilador","valorB":20}</v>
      </c>
      <c r="E363" s="8" t="str">
        <f t="shared" si="2"/>
        <v>ventilador</v>
      </c>
      <c r="F363" s="8"/>
      <c r="G363" s="15" t="str">
        <f t="shared" si="3"/>
        <v>20</v>
      </c>
      <c r="H363" s="9">
        <f t="shared" si="4"/>
        <v>20</v>
      </c>
      <c r="I363" s="6" t="str">
        <f>IFERROR(__xludf.DUMMYFUNCTION("MAX(FILTER($H$2:$H501,$E$2:$E501=F363))"),"#N/A")</f>
        <v>#N/A</v>
      </c>
    </row>
    <row r="364">
      <c r="A364" s="4"/>
      <c r="B364" s="4"/>
      <c r="C364" s="4" t="s">
        <v>2480</v>
      </c>
      <c r="D364" s="6" t="str">
        <f t="shared" si="1"/>
        <v>{"valorA":"fone de ouvido","valorB":18}</v>
      </c>
      <c r="E364" s="8" t="str">
        <f t="shared" si="2"/>
        <v>fone de ouvido</v>
      </c>
      <c r="F364" s="8"/>
      <c r="G364" s="15" t="str">
        <f t="shared" si="3"/>
        <v>18</v>
      </c>
      <c r="H364" s="9">
        <f t="shared" si="4"/>
        <v>18</v>
      </c>
      <c r="I364" s="6" t="str">
        <f>IFERROR(__xludf.DUMMYFUNCTION("MAX(FILTER($H$2:$H501,$E$2:$E501=F364))"),"#N/A")</f>
        <v>#N/A</v>
      </c>
    </row>
    <row r="365">
      <c r="A365" s="4"/>
      <c r="B365" s="4"/>
      <c r="C365" s="4" t="s">
        <v>2481</v>
      </c>
      <c r="D365" s="6" t="str">
        <f t="shared" si="1"/>
        <v>{"valorA":"computador","valorB":20}</v>
      </c>
      <c r="E365" s="8" t="str">
        <f t="shared" si="2"/>
        <v>computador</v>
      </c>
      <c r="F365" s="8"/>
      <c r="G365" s="15" t="str">
        <f t="shared" si="3"/>
        <v>20</v>
      </c>
      <c r="H365" s="9">
        <f t="shared" si="4"/>
        <v>20</v>
      </c>
      <c r="I365" s="6" t="str">
        <f>IFERROR(__xludf.DUMMYFUNCTION("MAX(FILTER($H$2:$H501,$E$2:$E501=F365))"),"#N/A")</f>
        <v>#N/A</v>
      </c>
    </row>
    <row r="366">
      <c r="A366" s="4"/>
      <c r="B366" s="4"/>
      <c r="C366" s="4" t="s">
        <v>2482</v>
      </c>
      <c r="D366" s="6" t="str">
        <f t="shared" si="1"/>
        <v>{"valorA":"relógio","valorB":17}</v>
      </c>
      <c r="E366" s="8" t="str">
        <f t="shared" si="2"/>
        <v>relógio</v>
      </c>
      <c r="F366" s="8"/>
      <c r="G366" s="15" t="str">
        <f t="shared" si="3"/>
        <v>17</v>
      </c>
      <c r="H366" s="9">
        <f t="shared" si="4"/>
        <v>17</v>
      </c>
      <c r="I366" s="6" t="str">
        <f>IFERROR(__xludf.DUMMYFUNCTION("MAX(FILTER($H$2:$H501,$E$2:$E501=F366))"),"#N/A")</f>
        <v>#N/A</v>
      </c>
    </row>
    <row r="367">
      <c r="A367" s="4"/>
      <c r="B367" s="4"/>
      <c r="C367" s="4" t="s">
        <v>2483</v>
      </c>
      <c r="D367" s="6" t="str">
        <f t="shared" si="1"/>
        <v>{"valorA":"celular","valorB":14}</v>
      </c>
      <c r="E367" s="8" t="str">
        <f t="shared" si="2"/>
        <v>celular</v>
      </c>
      <c r="F367" s="8"/>
      <c r="G367" s="15" t="str">
        <f t="shared" si="3"/>
        <v>14</v>
      </c>
      <c r="H367" s="9">
        <f t="shared" si="4"/>
        <v>14</v>
      </c>
      <c r="I367" s="6" t="str">
        <f>IFERROR(__xludf.DUMMYFUNCTION("MAX(FILTER($H$2:$H501,$E$2:$E501=F367))"),"#N/A")</f>
        <v>#N/A</v>
      </c>
    </row>
    <row r="368">
      <c r="A368" s="4"/>
      <c r="B368" s="4"/>
      <c r="C368" s="4" t="s">
        <v>2484</v>
      </c>
      <c r="D368" s="6" t="str">
        <f t="shared" si="1"/>
        <v>{"valorA":"teclado de computador","valorB":24}</v>
      </c>
      <c r="E368" s="8" t="str">
        <f t="shared" si="2"/>
        <v>teclado de computador</v>
      </c>
      <c r="F368" s="8"/>
      <c r="G368" s="15" t="str">
        <f t="shared" si="3"/>
        <v>24</v>
      </c>
      <c r="H368" s="9">
        <f t="shared" si="4"/>
        <v>24</v>
      </c>
      <c r="I368" s="6" t="str">
        <f>IFERROR(__xludf.DUMMYFUNCTION("MAX(FILTER($H$2:$H501,$E$2:$E501=F368))"),"#N/A")</f>
        <v>#N/A</v>
      </c>
    </row>
    <row r="369">
      <c r="A369" s="4"/>
      <c r="B369" s="4"/>
      <c r="C369" s="4" t="s">
        <v>2485</v>
      </c>
      <c r="D369" s="6" t="str">
        <f t="shared" si="1"/>
        <v>{"valorA":"mouse de computador","valorB":13}</v>
      </c>
      <c r="E369" s="8" t="str">
        <f t="shared" si="2"/>
        <v>mouse de computador</v>
      </c>
      <c r="F369" s="8"/>
      <c r="G369" s="15" t="str">
        <f t="shared" si="3"/>
        <v>13</v>
      </c>
      <c r="H369" s="9">
        <f t="shared" si="4"/>
        <v>13</v>
      </c>
      <c r="I369" s="6" t="str">
        <f>IFERROR(__xludf.DUMMYFUNCTION("MAX(FILTER($H$2:$H501,$E$2:$E501=F369))"),"#N/A")</f>
        <v>#N/A</v>
      </c>
    </row>
    <row r="370">
      <c r="A370" s="4"/>
      <c r="B370" s="4"/>
      <c r="C370" s="4" t="s">
        <v>2486</v>
      </c>
      <c r="D370" s="6" t="str">
        <f t="shared" si="1"/>
        <v>{"valorA":"roteador","valorB":21}</v>
      </c>
      <c r="E370" s="8" t="str">
        <f t="shared" si="2"/>
        <v>roteador</v>
      </c>
      <c r="F370" s="8"/>
      <c r="G370" s="15" t="str">
        <f t="shared" si="3"/>
        <v>21</v>
      </c>
      <c r="H370" s="9">
        <f t="shared" si="4"/>
        <v>21</v>
      </c>
      <c r="I370" s="6" t="str">
        <f>IFERROR(__xludf.DUMMYFUNCTION("MAX(FILTER($H$2:$H501,$E$2:$E501=F370))"),"#N/A")</f>
        <v>#N/A</v>
      </c>
    </row>
    <row r="371">
      <c r="A371" s="4"/>
      <c r="B371" s="4"/>
      <c r="C371" s="4" t="s">
        <v>2487</v>
      </c>
      <c r="D371" s="6" t="str">
        <f t="shared" si="1"/>
        <v>{"valorA":"relógio","valorB":18}</v>
      </c>
      <c r="E371" s="8" t="str">
        <f t="shared" si="2"/>
        <v>relógio</v>
      </c>
      <c r="F371" s="8"/>
      <c r="G371" s="15" t="str">
        <f t="shared" si="3"/>
        <v>18</v>
      </c>
      <c r="H371" s="9">
        <f t="shared" si="4"/>
        <v>18</v>
      </c>
      <c r="I371" s="6" t="str">
        <f>IFERROR(__xludf.DUMMYFUNCTION("MAX(FILTER($H$2:$H501,$E$2:$E501=F371))"),"#N/A")</f>
        <v>#N/A</v>
      </c>
    </row>
    <row r="372">
      <c r="A372" s="4"/>
      <c r="B372" s="4"/>
      <c r="C372" s="4" t="s">
        <v>2488</v>
      </c>
      <c r="D372" s="6" t="str">
        <f t="shared" si="1"/>
        <v>{"valorA":"computador","valorB":21}</v>
      </c>
      <c r="E372" s="8" t="str">
        <f t="shared" si="2"/>
        <v>computador</v>
      </c>
      <c r="F372" s="8"/>
      <c r="G372" s="15" t="str">
        <f t="shared" si="3"/>
        <v>21</v>
      </c>
      <c r="H372" s="9">
        <f t="shared" si="4"/>
        <v>21</v>
      </c>
      <c r="I372" s="6" t="str">
        <f>IFERROR(__xludf.DUMMYFUNCTION("MAX(FILTER($H$2:$H501,$E$2:$E501=F372))"),"#N/A")</f>
        <v>#N/A</v>
      </c>
    </row>
    <row r="373">
      <c r="A373" s="4"/>
      <c r="B373" s="4"/>
      <c r="C373" s="4" t="s">
        <v>2489</v>
      </c>
      <c r="D373" s="6" t="str">
        <f t="shared" si="1"/>
        <v>{"valorA":"ventilador","valorB":21}</v>
      </c>
      <c r="E373" s="8" t="str">
        <f t="shared" si="2"/>
        <v>ventilador</v>
      </c>
      <c r="F373" s="8"/>
      <c r="G373" s="15" t="str">
        <f t="shared" si="3"/>
        <v>21</v>
      </c>
      <c r="H373" s="9">
        <f t="shared" si="4"/>
        <v>21</v>
      </c>
      <c r="I373" s="6" t="str">
        <f>IFERROR(__xludf.DUMMYFUNCTION("MAX(FILTER($H$2:$H501,$E$2:$E501=F373))"),"#N/A")</f>
        <v>#N/A</v>
      </c>
    </row>
    <row r="374">
      <c r="A374" s="4"/>
      <c r="B374" s="4"/>
      <c r="C374" s="4" t="s">
        <v>2490</v>
      </c>
      <c r="D374" s="6" t="str">
        <f t="shared" si="1"/>
        <v>{"valorA":"aspirador","valorB":20}</v>
      </c>
      <c r="E374" s="8" t="str">
        <f t="shared" si="2"/>
        <v>aspirador</v>
      </c>
      <c r="F374" s="8"/>
      <c r="G374" s="15" t="str">
        <f t="shared" si="3"/>
        <v>20</v>
      </c>
      <c r="H374" s="9">
        <f t="shared" si="4"/>
        <v>20</v>
      </c>
      <c r="I374" s="6" t="str">
        <f>IFERROR(__xludf.DUMMYFUNCTION("MAX(FILTER($H$2:$H501,$E$2:$E501=F374))"),"#N/A")</f>
        <v>#N/A</v>
      </c>
    </row>
    <row r="375">
      <c r="A375" s="4"/>
      <c r="B375" s="4"/>
      <c r="C375" s="4" t="s">
        <v>2491</v>
      </c>
      <c r="D375" s="6" t="str">
        <f t="shared" si="1"/>
        <v>{"valorA":"filtro de linha","valorB":20}</v>
      </c>
      <c r="E375" s="8" t="str">
        <f t="shared" si="2"/>
        <v>filtro de linha</v>
      </c>
      <c r="F375" s="8"/>
      <c r="G375" s="15" t="str">
        <f t="shared" si="3"/>
        <v>20</v>
      </c>
      <c r="H375" s="9">
        <f t="shared" si="4"/>
        <v>20</v>
      </c>
      <c r="I375" s="6" t="str">
        <f>IFERROR(__xludf.DUMMYFUNCTION("MAX(FILTER($H$2:$H501,$E$2:$E501=F375))"),"#N/A")</f>
        <v>#N/A</v>
      </c>
    </row>
    <row r="376">
      <c r="A376" s="4"/>
      <c r="B376" s="4"/>
      <c r="C376" s="4" t="s">
        <v>1731</v>
      </c>
      <c r="D376" s="6" t="str">
        <f t="shared" si="1"/>
        <v>{"valorA":"ar condicionado","valorB":21}</v>
      </c>
      <c r="E376" s="8" t="str">
        <f t="shared" si="2"/>
        <v>ar condicionado</v>
      </c>
      <c r="F376" s="8"/>
      <c r="G376" s="15" t="str">
        <f t="shared" si="3"/>
        <v>21</v>
      </c>
      <c r="H376" s="9">
        <f t="shared" si="4"/>
        <v>21</v>
      </c>
      <c r="I376" s="6" t="str">
        <f>IFERROR(__xludf.DUMMYFUNCTION("MAX(FILTER($H$2:$H501,$E$2:$E501=F376))"),"#N/A")</f>
        <v>#N/A</v>
      </c>
    </row>
    <row r="377">
      <c r="A377" s="4"/>
      <c r="B377" s="4"/>
      <c r="C377" s="4" t="s">
        <v>2492</v>
      </c>
      <c r="D377" s="6" t="str">
        <f t="shared" si="1"/>
        <v>{"valorA":"purificador de água","valorB":15}</v>
      </c>
      <c r="E377" s="8" t="str">
        <f t="shared" si="2"/>
        <v>purificador de água</v>
      </c>
      <c r="F377" s="8"/>
      <c r="G377" s="15" t="str">
        <f t="shared" si="3"/>
        <v>15</v>
      </c>
      <c r="H377" s="9">
        <f t="shared" si="4"/>
        <v>15</v>
      </c>
      <c r="I377" s="6" t="str">
        <f>IFERROR(__xludf.DUMMYFUNCTION("MAX(FILTER($H$2:$H501,$E$2:$E501=F377))"),"#N/A")</f>
        <v>#N/A</v>
      </c>
    </row>
    <row r="378">
      <c r="A378" s="4"/>
      <c r="B378" s="4"/>
      <c r="C378" s="4" t="s">
        <v>2493</v>
      </c>
      <c r="D378" s="6" t="str">
        <f t="shared" si="1"/>
        <v>{"valorA":"celular","valorB":15}</v>
      </c>
      <c r="E378" s="8" t="str">
        <f t="shared" si="2"/>
        <v>celular</v>
      </c>
      <c r="F378" s="8"/>
      <c r="G378" s="15" t="str">
        <f t="shared" si="3"/>
        <v>15</v>
      </c>
      <c r="H378" s="9">
        <f t="shared" si="4"/>
        <v>15</v>
      </c>
      <c r="I378" s="6" t="str">
        <f>IFERROR(__xludf.DUMMYFUNCTION("MAX(FILTER($H$2:$H501,$E$2:$E501=F378))"),"#N/A")</f>
        <v>#N/A</v>
      </c>
    </row>
    <row r="379">
      <c r="A379" s="4"/>
      <c r="B379" s="4"/>
      <c r="C379" s="4" t="s">
        <v>2494</v>
      </c>
      <c r="D379" s="6" t="str">
        <f t="shared" si="1"/>
        <v>{"valorA":"liquidificador","valorB":22}</v>
      </c>
      <c r="E379" s="8" t="str">
        <f t="shared" si="2"/>
        <v>liquidificador</v>
      </c>
      <c r="F379" s="8"/>
      <c r="G379" s="15" t="str">
        <f t="shared" si="3"/>
        <v>22</v>
      </c>
      <c r="H379" s="9">
        <f t="shared" si="4"/>
        <v>22</v>
      </c>
      <c r="I379" s="6" t="str">
        <f>IFERROR(__xludf.DUMMYFUNCTION("MAX(FILTER($H$2:$H501,$E$2:$E501=F379))"),"#N/A")</f>
        <v>#N/A</v>
      </c>
    </row>
    <row r="380">
      <c r="A380" s="4"/>
      <c r="B380" s="4"/>
      <c r="C380" s="4" t="s">
        <v>1732</v>
      </c>
      <c r="D380" s="6" t="str">
        <f t="shared" si="1"/>
        <v>{"valorA":"ar condicionado","valorB":22}</v>
      </c>
      <c r="E380" s="8" t="str">
        <f t="shared" si="2"/>
        <v>ar condicionado</v>
      </c>
      <c r="F380" s="8"/>
      <c r="G380" s="15" t="str">
        <f t="shared" si="3"/>
        <v>22</v>
      </c>
      <c r="H380" s="9">
        <f t="shared" si="4"/>
        <v>22</v>
      </c>
      <c r="I380" s="6" t="str">
        <f>IFERROR(__xludf.DUMMYFUNCTION("MAX(FILTER($H$2:$H501,$E$2:$E501=F380))"),"#N/A")</f>
        <v>#N/A</v>
      </c>
    </row>
    <row r="381">
      <c r="A381" s="4"/>
      <c r="B381" s="4"/>
      <c r="C381" s="4" t="s">
        <v>2495</v>
      </c>
      <c r="D381" s="6" t="str">
        <f t="shared" si="1"/>
        <v>{"valorA":"ventilador","valorB":22}</v>
      </c>
      <c r="E381" s="8" t="str">
        <f t="shared" si="2"/>
        <v>ventilador</v>
      </c>
      <c r="F381" s="8"/>
      <c r="G381" s="15" t="str">
        <f t="shared" si="3"/>
        <v>22</v>
      </c>
      <c r="H381" s="9">
        <f t="shared" si="4"/>
        <v>22</v>
      </c>
      <c r="I381" s="6" t="str">
        <f>IFERROR(__xludf.DUMMYFUNCTION("MAX(FILTER($H$2:$H501,$E$2:$E501=F381))"),"#N/A")</f>
        <v>#N/A</v>
      </c>
    </row>
    <row r="382">
      <c r="A382" s="4"/>
      <c r="B382" s="4"/>
      <c r="C382" s="4" t="s">
        <v>2496</v>
      </c>
      <c r="D382" s="6" t="str">
        <f t="shared" si="1"/>
        <v>{"valorA":"aspirador","valorB":21}</v>
      </c>
      <c r="E382" s="8" t="str">
        <f t="shared" si="2"/>
        <v>aspirador</v>
      </c>
      <c r="F382" s="8"/>
      <c r="G382" s="15" t="str">
        <f t="shared" si="3"/>
        <v>21</v>
      </c>
      <c r="H382" s="9">
        <f t="shared" si="4"/>
        <v>21</v>
      </c>
      <c r="I382" s="6" t="str">
        <f>IFERROR(__xludf.DUMMYFUNCTION("MAX(FILTER($H$2:$H501,$E$2:$E501=F382))"),"#N/A")</f>
        <v>#N/A</v>
      </c>
    </row>
    <row r="383">
      <c r="A383" s="4"/>
      <c r="B383" s="4"/>
      <c r="C383" s="4" t="s">
        <v>1674</v>
      </c>
      <c r="D383" s="6" t="str">
        <f t="shared" si="1"/>
        <v>{"valorA":"freezer","valorB":16}</v>
      </c>
      <c r="E383" s="8" t="str">
        <f t="shared" si="2"/>
        <v>freezer</v>
      </c>
      <c r="F383" s="8"/>
      <c r="G383" s="15" t="str">
        <f t="shared" si="3"/>
        <v>16</v>
      </c>
      <c r="H383" s="9">
        <f t="shared" si="4"/>
        <v>16</v>
      </c>
      <c r="I383" s="6" t="str">
        <f>IFERROR(__xludf.DUMMYFUNCTION("MAX(FILTER($H$2:$H501,$E$2:$E501=F383))"),"#N/A")</f>
        <v>#N/A</v>
      </c>
    </row>
    <row r="384">
      <c r="A384" s="4"/>
      <c r="B384" s="4"/>
      <c r="C384" s="4" t="s">
        <v>1730</v>
      </c>
      <c r="D384" s="6" t="str">
        <f t="shared" si="1"/>
        <v>{"valorA":"microondas","valorB":19}</v>
      </c>
      <c r="E384" s="8" t="str">
        <f t="shared" si="2"/>
        <v>microondas</v>
      </c>
      <c r="F384" s="8"/>
      <c r="G384" s="15" t="str">
        <f t="shared" si="3"/>
        <v>19</v>
      </c>
      <c r="H384" s="9">
        <f t="shared" si="4"/>
        <v>19</v>
      </c>
      <c r="I384" s="6" t="str">
        <f>IFERROR(__xludf.DUMMYFUNCTION("MAX(FILTER($H$2:$H501,$E$2:$E501=F384))"),"#N/A")</f>
        <v>#N/A</v>
      </c>
    </row>
    <row r="385">
      <c r="A385" s="4"/>
      <c r="B385" s="4"/>
      <c r="C385" s="4" t="s">
        <v>2497</v>
      </c>
      <c r="D385" s="6" t="str">
        <f t="shared" si="1"/>
        <v>{"valorA":"filtro de linha","valorB":21}</v>
      </c>
      <c r="E385" s="8" t="str">
        <f t="shared" si="2"/>
        <v>filtro de linha</v>
      </c>
      <c r="F385" s="8"/>
      <c r="G385" s="15" t="str">
        <f t="shared" si="3"/>
        <v>21</v>
      </c>
      <c r="H385" s="9">
        <f t="shared" si="4"/>
        <v>21</v>
      </c>
      <c r="I385" s="6" t="str">
        <f>IFERROR(__xludf.DUMMYFUNCTION("MAX(FILTER($H$2:$H501,$E$2:$E501=F385))"),"#N/A")</f>
        <v>#N/A</v>
      </c>
    </row>
    <row r="386">
      <c r="A386" s="4"/>
      <c r="B386" s="4"/>
      <c r="C386" s="4" t="s">
        <v>1675</v>
      </c>
      <c r="D386" s="6" t="str">
        <f t="shared" si="1"/>
        <v>{"valorA":"freezer","valorB":17}</v>
      </c>
      <c r="E386" s="8" t="str">
        <f t="shared" si="2"/>
        <v>freezer</v>
      </c>
      <c r="F386" s="8"/>
      <c r="G386" s="15" t="str">
        <f t="shared" si="3"/>
        <v>17</v>
      </c>
      <c r="H386" s="9">
        <f t="shared" si="4"/>
        <v>17</v>
      </c>
      <c r="I386" s="6" t="str">
        <f>IFERROR(__xludf.DUMMYFUNCTION("MAX(FILTER($H$2:$H501,$E$2:$E501=F386))"),"#N/A")</f>
        <v>#N/A</v>
      </c>
    </row>
    <row r="387">
      <c r="A387" s="4"/>
      <c r="B387" s="4"/>
      <c r="C387" s="4" t="s">
        <v>2498</v>
      </c>
      <c r="D387" s="6" t="str">
        <f t="shared" si="1"/>
        <v>{"valorA":"ventilador","valorB":23}</v>
      </c>
      <c r="E387" s="8" t="str">
        <f t="shared" si="2"/>
        <v>ventilador</v>
      </c>
      <c r="F387" s="8"/>
      <c r="G387" s="15" t="str">
        <f t="shared" si="3"/>
        <v>23</v>
      </c>
      <c r="H387" s="9">
        <f t="shared" si="4"/>
        <v>23</v>
      </c>
      <c r="I387" s="6" t="str">
        <f>IFERROR(__xludf.DUMMYFUNCTION("MAX(FILTER($H$2:$H501,$E$2:$E501=F387))"),"#N/A")</f>
        <v>#N/A</v>
      </c>
    </row>
    <row r="388">
      <c r="A388" s="4"/>
      <c r="B388" s="4"/>
      <c r="C388" s="4" t="s">
        <v>2499</v>
      </c>
      <c r="D388" s="6" t="str">
        <f t="shared" si="1"/>
        <v>{"valorA":"filtro de linha","valorB":22}</v>
      </c>
      <c r="E388" s="8" t="str">
        <f t="shared" si="2"/>
        <v>filtro de linha</v>
      </c>
      <c r="F388" s="8"/>
      <c r="G388" s="15" t="str">
        <f t="shared" si="3"/>
        <v>22</v>
      </c>
      <c r="H388" s="9">
        <f t="shared" si="4"/>
        <v>22</v>
      </c>
      <c r="I388" s="6" t="str">
        <f>IFERROR(__xludf.DUMMYFUNCTION("MAX(FILTER($H$2:$H501,$E$2:$E501=F388))"),"#N/A")</f>
        <v>#N/A</v>
      </c>
    </row>
    <row r="389">
      <c r="A389" s="4"/>
      <c r="B389" s="4"/>
      <c r="C389" s="4" t="s">
        <v>2500</v>
      </c>
      <c r="D389" s="6" t="str">
        <f t="shared" si="1"/>
        <v>{"valorA":"purificador de água","valorB":16}</v>
      </c>
      <c r="E389" s="8" t="str">
        <f t="shared" si="2"/>
        <v>purificador de água</v>
      </c>
      <c r="F389" s="8"/>
      <c r="G389" s="15" t="str">
        <f t="shared" si="3"/>
        <v>16</v>
      </c>
      <c r="H389" s="9">
        <f t="shared" si="4"/>
        <v>16</v>
      </c>
      <c r="I389" s="6" t="str">
        <f>IFERROR(__xludf.DUMMYFUNCTION("MAX(FILTER($H$2:$H501,$E$2:$E501=F389))"),"#N/A")</f>
        <v>#N/A</v>
      </c>
    </row>
    <row r="390">
      <c r="A390" s="4"/>
      <c r="B390" s="4"/>
      <c r="C390" s="4" t="s">
        <v>2501</v>
      </c>
      <c r="D390" s="6" t="str">
        <f t="shared" si="1"/>
        <v>{"valorA":"chuveiro elétrico","valorB":25}</v>
      </c>
      <c r="E390" s="8" t="str">
        <f t="shared" si="2"/>
        <v>chuveiro elétrico</v>
      </c>
      <c r="F390" s="8"/>
      <c r="G390" s="15" t="str">
        <f t="shared" si="3"/>
        <v>25</v>
      </c>
      <c r="H390" s="9">
        <f t="shared" si="4"/>
        <v>25</v>
      </c>
      <c r="I390" s="6" t="str">
        <f>IFERROR(__xludf.DUMMYFUNCTION("MAX(FILTER($H$2:$H501,$E$2:$E501=F390))"),"#N/A")</f>
        <v>#N/A</v>
      </c>
    </row>
    <row r="391">
      <c r="A391" s="4"/>
      <c r="B391" s="4"/>
      <c r="C391" s="4" t="s">
        <v>2502</v>
      </c>
      <c r="D391" s="6" t="str">
        <f t="shared" si="1"/>
        <v>{"valorA":"lustre","valorB":15}</v>
      </c>
      <c r="E391" s="8" t="str">
        <f t="shared" si="2"/>
        <v>lustre</v>
      </c>
      <c r="F391" s="8"/>
      <c r="G391" s="15" t="str">
        <f t="shared" si="3"/>
        <v>15</v>
      </c>
      <c r="H391" s="9">
        <f t="shared" si="4"/>
        <v>15</v>
      </c>
      <c r="I391" s="6" t="str">
        <f>IFERROR(__xludf.DUMMYFUNCTION("MAX(FILTER($H$2:$H501,$E$2:$E501=F391))"),"#N/A")</f>
        <v>#N/A</v>
      </c>
    </row>
    <row r="392">
      <c r="A392" s="4"/>
      <c r="B392" s="4"/>
      <c r="C392" s="4" t="s">
        <v>2503</v>
      </c>
      <c r="D392" s="6" t="str">
        <f t="shared" si="1"/>
        <v>{"valorA":"teclado de computador","valorB":25}</v>
      </c>
      <c r="E392" s="8" t="str">
        <f t="shared" si="2"/>
        <v>teclado de computador</v>
      </c>
      <c r="F392" s="8"/>
      <c r="G392" s="15" t="str">
        <f t="shared" si="3"/>
        <v>25</v>
      </c>
      <c r="H392" s="9">
        <f t="shared" si="4"/>
        <v>25</v>
      </c>
      <c r="I392" s="6" t="str">
        <f>IFERROR(__xludf.DUMMYFUNCTION("MAX(FILTER($H$2:$H501,$E$2:$E501=F392))"),"#N/A")</f>
        <v>#N/A</v>
      </c>
    </row>
    <row r="393">
      <c r="A393" s="4"/>
      <c r="B393" s="4"/>
      <c r="C393" s="4" t="s">
        <v>2504</v>
      </c>
      <c r="D393" s="6" t="str">
        <f t="shared" si="1"/>
        <v>{"valorA":"lustre","valorB":16}</v>
      </c>
      <c r="E393" s="8" t="str">
        <f t="shared" si="2"/>
        <v>lustre</v>
      </c>
      <c r="F393" s="8"/>
      <c r="G393" s="15" t="str">
        <f t="shared" si="3"/>
        <v>16</v>
      </c>
      <c r="H393" s="9">
        <f t="shared" si="4"/>
        <v>16</v>
      </c>
      <c r="I393" s="6" t="str">
        <f>IFERROR(__xludf.DUMMYFUNCTION("MAX(FILTER($H$2:$H501,$E$2:$E501=F393))"),"#N/A")</f>
        <v>#N/A</v>
      </c>
    </row>
    <row r="394">
      <c r="A394" s="4"/>
      <c r="B394" s="4"/>
      <c r="C394" s="4" t="s">
        <v>1734</v>
      </c>
      <c r="D394" s="6" t="str">
        <f t="shared" si="1"/>
        <v>{"valorA":"microondas","valorB":20}</v>
      </c>
      <c r="E394" s="8" t="str">
        <f t="shared" si="2"/>
        <v>microondas</v>
      </c>
      <c r="F394" s="8"/>
      <c r="G394" s="15" t="str">
        <f t="shared" si="3"/>
        <v>20</v>
      </c>
      <c r="H394" s="9">
        <f t="shared" si="4"/>
        <v>20</v>
      </c>
      <c r="I394" s="6" t="str">
        <f>IFERROR(__xludf.DUMMYFUNCTION("MAX(FILTER($H$2:$H501,$E$2:$E501=F394))"),"#N/A")</f>
        <v>#N/A</v>
      </c>
    </row>
    <row r="395">
      <c r="A395" s="4"/>
      <c r="B395" s="4"/>
      <c r="C395" s="4" t="s">
        <v>2505</v>
      </c>
      <c r="D395" s="6" t="str">
        <f t="shared" si="1"/>
        <v>{"valorA":"teclado de computador","valorB":26}</v>
      </c>
      <c r="E395" s="8" t="str">
        <f t="shared" si="2"/>
        <v>teclado de computador</v>
      </c>
      <c r="F395" s="8"/>
      <c r="G395" s="15" t="str">
        <f t="shared" si="3"/>
        <v>26</v>
      </c>
      <c r="H395" s="9">
        <f t="shared" si="4"/>
        <v>26</v>
      </c>
      <c r="I395" s="6" t="str">
        <f>IFERROR(__xludf.DUMMYFUNCTION("MAX(FILTER($H$2:$H501,$E$2:$E501=F395))"),"#N/A")</f>
        <v>#N/A</v>
      </c>
    </row>
    <row r="396">
      <c r="A396" s="4"/>
      <c r="B396" s="4"/>
      <c r="C396" s="4" t="s">
        <v>2506</v>
      </c>
      <c r="D396" s="6" t="str">
        <f t="shared" si="1"/>
        <v>{"valorA":"roteador","valorB":22}</v>
      </c>
      <c r="E396" s="8" t="str">
        <f t="shared" si="2"/>
        <v>roteador</v>
      </c>
      <c r="F396" s="8"/>
      <c r="G396" s="15" t="str">
        <f t="shared" si="3"/>
        <v>22</v>
      </c>
      <c r="H396" s="9">
        <f t="shared" si="4"/>
        <v>22</v>
      </c>
      <c r="I396" s="6" t="str">
        <f>IFERROR(__xludf.DUMMYFUNCTION("MAX(FILTER($H$2:$H501,$E$2:$E501=F396))"),"#N/A")</f>
        <v>#N/A</v>
      </c>
    </row>
    <row r="397">
      <c r="A397" s="4"/>
      <c r="B397" s="4"/>
      <c r="C397" s="4" t="s">
        <v>2507</v>
      </c>
      <c r="D397" s="6" t="str">
        <f t="shared" si="1"/>
        <v>{"valorA":"carregador de computador","valorB":22}</v>
      </c>
      <c r="E397" s="8" t="str">
        <f t="shared" si="2"/>
        <v>carregador de computador</v>
      </c>
      <c r="F397" s="8"/>
      <c r="G397" s="15" t="str">
        <f t="shared" si="3"/>
        <v>22</v>
      </c>
      <c r="H397" s="9">
        <f t="shared" si="4"/>
        <v>22</v>
      </c>
      <c r="I397" s="6" t="str">
        <f>IFERROR(__xludf.DUMMYFUNCTION("MAX(FILTER($H$2:$H501,$E$2:$E501=F397))"),"#N/A")</f>
        <v>#N/A</v>
      </c>
    </row>
    <row r="398">
      <c r="A398" s="4"/>
      <c r="B398" s="4"/>
      <c r="C398" s="4" t="s">
        <v>2508</v>
      </c>
      <c r="D398" s="6" t="str">
        <f t="shared" si="1"/>
        <v>{"valorA":"relógio","valorB":19}</v>
      </c>
      <c r="E398" s="8" t="str">
        <f t="shared" si="2"/>
        <v>relógio</v>
      </c>
      <c r="F398" s="8"/>
      <c r="G398" s="15" t="str">
        <f t="shared" si="3"/>
        <v>19</v>
      </c>
      <c r="H398" s="9">
        <f t="shared" si="4"/>
        <v>19</v>
      </c>
      <c r="I398" s="6" t="str">
        <f>IFERROR(__xludf.DUMMYFUNCTION("MAX(FILTER($H$2:$H501,$E$2:$E501=F398))"),"#N/A")</f>
        <v>#N/A</v>
      </c>
    </row>
    <row r="399">
      <c r="A399" s="4"/>
      <c r="B399" s="4"/>
      <c r="C399" s="4" t="s">
        <v>2509</v>
      </c>
      <c r="D399" s="6" t="str">
        <f t="shared" si="1"/>
        <v>{"valorA":"filtro de linha","valorB":23}</v>
      </c>
      <c r="E399" s="8" t="str">
        <f t="shared" si="2"/>
        <v>filtro de linha</v>
      </c>
      <c r="F399" s="8"/>
      <c r="G399" s="15" t="str">
        <f t="shared" si="3"/>
        <v>23</v>
      </c>
      <c r="H399" s="9">
        <f t="shared" si="4"/>
        <v>23</v>
      </c>
      <c r="I399" s="6" t="str">
        <f>IFERROR(__xludf.DUMMYFUNCTION("MAX(FILTER($H$2:$H501,$E$2:$E501=F399))"),"#N/A")</f>
        <v>#N/A</v>
      </c>
    </row>
    <row r="400">
      <c r="A400" s="4"/>
      <c r="B400" s="4"/>
      <c r="C400" s="4" t="s">
        <v>2510</v>
      </c>
      <c r="D400" s="6" t="str">
        <f t="shared" si="1"/>
        <v>{"valorA":"carregador de computador","valorB":23}</v>
      </c>
      <c r="E400" s="8" t="str">
        <f t="shared" si="2"/>
        <v>carregador de computador</v>
      </c>
      <c r="F400" s="8"/>
      <c r="G400" s="15" t="str">
        <f t="shared" si="3"/>
        <v>23</v>
      </c>
      <c r="H400" s="9">
        <f t="shared" si="4"/>
        <v>23</v>
      </c>
      <c r="I400" s="6" t="str">
        <f>IFERROR(__xludf.DUMMYFUNCTION("MAX(FILTER($H$2:$H501,$E$2:$E501=F400))"),"#N/A")</f>
        <v>#N/A</v>
      </c>
    </row>
    <row r="401">
      <c r="A401" s="4"/>
      <c r="B401" s="4"/>
      <c r="C401" s="4" t="s">
        <v>2511</v>
      </c>
      <c r="D401" s="6" t="str">
        <f t="shared" si="1"/>
        <v>{"valorA":"ventilador","valorB":24}</v>
      </c>
      <c r="E401" s="8" t="str">
        <f t="shared" si="2"/>
        <v>ventilador</v>
      </c>
      <c r="F401" s="8"/>
      <c r="G401" s="15" t="str">
        <f t="shared" si="3"/>
        <v>24</v>
      </c>
      <c r="H401" s="9">
        <f t="shared" si="4"/>
        <v>24</v>
      </c>
      <c r="I401" s="6" t="str">
        <f>IFERROR(__xludf.DUMMYFUNCTION("MAX(FILTER($H$2:$H501,$E$2:$E501=F401))"),"#N/A")</f>
        <v>#N/A</v>
      </c>
    </row>
    <row r="402">
      <c r="A402" s="4"/>
      <c r="B402" s="4"/>
      <c r="C402" s="4" t="s">
        <v>2512</v>
      </c>
      <c r="D402" s="6" t="str">
        <f t="shared" si="1"/>
        <v>{"valorA":"celular","valorB":16}</v>
      </c>
      <c r="E402" s="8" t="str">
        <f t="shared" si="2"/>
        <v>celular</v>
      </c>
      <c r="F402" s="8"/>
      <c r="G402" s="15" t="str">
        <f t="shared" si="3"/>
        <v>16</v>
      </c>
      <c r="H402" s="9">
        <f t="shared" si="4"/>
        <v>16</v>
      </c>
      <c r="I402" s="6" t="str">
        <f>IFERROR(__xludf.DUMMYFUNCTION("MAX(FILTER($H$2:$H501,$E$2:$E501=F402))"),"#N/A")</f>
        <v>#N/A</v>
      </c>
    </row>
    <row r="403">
      <c r="A403" s="4"/>
      <c r="B403" s="4"/>
      <c r="C403" s="4" t="s">
        <v>2513</v>
      </c>
      <c r="D403" s="6" t="str">
        <f t="shared" si="1"/>
        <v>{"valorA":"computador","valorB":22}</v>
      </c>
      <c r="E403" s="8" t="str">
        <f t="shared" si="2"/>
        <v>computador</v>
      </c>
      <c r="F403" s="8"/>
      <c r="G403" s="15" t="str">
        <f t="shared" si="3"/>
        <v>22</v>
      </c>
      <c r="H403" s="9">
        <f t="shared" si="4"/>
        <v>22</v>
      </c>
      <c r="I403" s="6" t="str">
        <f>IFERROR(__xludf.DUMMYFUNCTION("MAX(FILTER($H$2:$H501,$E$2:$E501=F403))"),"#N/A")</f>
        <v>#N/A</v>
      </c>
    </row>
    <row r="404">
      <c r="A404" s="4"/>
      <c r="B404" s="4"/>
      <c r="C404" s="4" t="s">
        <v>2514</v>
      </c>
      <c r="D404" s="6" t="str">
        <f t="shared" si="1"/>
        <v>{"valorA":"lustre","valorB":17}</v>
      </c>
      <c r="E404" s="8" t="str">
        <f t="shared" si="2"/>
        <v>lustre</v>
      </c>
      <c r="F404" s="8"/>
      <c r="G404" s="15" t="str">
        <f t="shared" si="3"/>
        <v>17</v>
      </c>
      <c r="H404" s="9">
        <f t="shared" si="4"/>
        <v>17</v>
      </c>
      <c r="I404" s="6" t="str">
        <f>IFERROR(__xludf.DUMMYFUNCTION("MAX(FILTER($H$2:$H501,$E$2:$E501=F404))"),"#N/A")</f>
        <v>#N/A</v>
      </c>
    </row>
    <row r="405">
      <c r="A405" s="4"/>
      <c r="B405" s="4"/>
      <c r="C405" s="4" t="s">
        <v>1676</v>
      </c>
      <c r="D405" s="6" t="str">
        <f t="shared" si="1"/>
        <v>{"valorA":"freezer","valorB":18}</v>
      </c>
      <c r="E405" s="8" t="str">
        <f t="shared" si="2"/>
        <v>freezer</v>
      </c>
      <c r="F405" s="8"/>
      <c r="G405" s="15" t="str">
        <f t="shared" si="3"/>
        <v>18</v>
      </c>
      <c r="H405" s="9">
        <f t="shared" si="4"/>
        <v>18</v>
      </c>
      <c r="I405" s="6" t="str">
        <f>IFERROR(__xludf.DUMMYFUNCTION("MAX(FILTER($H$2:$H501,$E$2:$E501=F405))"),"#N/A")</f>
        <v>#N/A</v>
      </c>
    </row>
    <row r="406">
      <c r="A406" s="4"/>
      <c r="B406" s="4"/>
      <c r="C406" s="4" t="s">
        <v>2515</v>
      </c>
      <c r="D406" s="6" t="str">
        <f t="shared" si="1"/>
        <v>{"valorA":"roteador","valorB":23}</v>
      </c>
      <c r="E406" s="8" t="str">
        <f t="shared" si="2"/>
        <v>roteador</v>
      </c>
      <c r="F406" s="8"/>
      <c r="G406" s="15" t="str">
        <f t="shared" si="3"/>
        <v>23</v>
      </c>
      <c r="H406" s="9">
        <f t="shared" si="4"/>
        <v>23</v>
      </c>
      <c r="I406" s="6" t="str">
        <f>IFERROR(__xludf.DUMMYFUNCTION("MAX(FILTER($H$2:$H501,$E$2:$E501=F406))"),"#N/A")</f>
        <v>#N/A</v>
      </c>
    </row>
    <row r="407">
      <c r="A407" s="4"/>
      <c r="B407" s="4"/>
      <c r="C407" s="4" t="s">
        <v>2516</v>
      </c>
      <c r="D407" s="6" t="str">
        <f t="shared" si="1"/>
        <v>{"valorA":"fogão","valorB":22}</v>
      </c>
      <c r="E407" s="8" t="str">
        <f t="shared" si="2"/>
        <v>fogão</v>
      </c>
      <c r="F407" s="8"/>
      <c r="G407" s="15" t="str">
        <f t="shared" si="3"/>
        <v>22</v>
      </c>
      <c r="H407" s="9">
        <f t="shared" si="4"/>
        <v>22</v>
      </c>
      <c r="I407" s="6" t="str">
        <f>IFERROR(__xludf.DUMMYFUNCTION("MAX(FILTER($H$2:$H501,$E$2:$E501=F407))"),"#N/A")</f>
        <v>#N/A</v>
      </c>
    </row>
    <row r="408">
      <c r="A408" s="4"/>
      <c r="B408" s="4"/>
      <c r="C408" s="4" t="s">
        <v>2517</v>
      </c>
      <c r="D408" s="6" t="str">
        <f t="shared" si="1"/>
        <v>{"valorA":"ventilador","valorB":25}</v>
      </c>
      <c r="E408" s="8" t="str">
        <f t="shared" si="2"/>
        <v>ventilador</v>
      </c>
      <c r="F408" s="8"/>
      <c r="G408" s="15" t="str">
        <f t="shared" si="3"/>
        <v>25</v>
      </c>
      <c r="H408" s="9">
        <f t="shared" si="4"/>
        <v>25</v>
      </c>
      <c r="I408" s="6" t="str">
        <f>IFERROR(__xludf.DUMMYFUNCTION("MAX(FILTER($H$2:$H501,$E$2:$E501=F408))"),"#N/A")</f>
        <v>#N/A</v>
      </c>
    </row>
    <row r="409">
      <c r="A409" s="4"/>
      <c r="B409" s="4"/>
      <c r="C409" s="4" t="s">
        <v>2518</v>
      </c>
      <c r="D409" s="6" t="str">
        <f t="shared" si="1"/>
        <v>{"valorA":"fone de ouvido","valorB":19}</v>
      </c>
      <c r="E409" s="8" t="str">
        <f t="shared" si="2"/>
        <v>fone de ouvido</v>
      </c>
      <c r="F409" s="8"/>
      <c r="G409" s="15" t="str">
        <f t="shared" si="3"/>
        <v>19</v>
      </c>
      <c r="H409" s="9">
        <f t="shared" si="4"/>
        <v>19</v>
      </c>
      <c r="I409" s="6" t="str">
        <f>IFERROR(__xludf.DUMMYFUNCTION("MAX(FILTER($H$2:$H501,$E$2:$E501=F409))"),"#N/A")</f>
        <v>#N/A</v>
      </c>
    </row>
    <row r="410">
      <c r="A410" s="4"/>
      <c r="B410" s="4"/>
      <c r="C410" s="4" t="s">
        <v>2519</v>
      </c>
      <c r="D410" s="6" t="str">
        <f t="shared" si="1"/>
        <v>{"valorA":"aspirador","valorB":22}</v>
      </c>
      <c r="E410" s="8" t="str">
        <f t="shared" si="2"/>
        <v>aspirador</v>
      </c>
      <c r="F410" s="8"/>
      <c r="G410" s="15" t="str">
        <f t="shared" si="3"/>
        <v>22</v>
      </c>
      <c r="H410" s="9">
        <f t="shared" si="4"/>
        <v>22</v>
      </c>
      <c r="I410" s="6" t="str">
        <f>IFERROR(__xludf.DUMMYFUNCTION("MAX(FILTER($H$2:$H501,$E$2:$E501=F410))"),"#N/A")</f>
        <v>#N/A</v>
      </c>
    </row>
    <row r="411">
      <c r="A411" s="4"/>
      <c r="B411" s="4"/>
      <c r="C411" s="4" t="s">
        <v>2520</v>
      </c>
      <c r="D411" s="6" t="str">
        <f t="shared" si="1"/>
        <v>{"valorA":"relógio","valorB":20}</v>
      </c>
      <c r="E411" s="8" t="str">
        <f t="shared" si="2"/>
        <v>relógio</v>
      </c>
      <c r="F411" s="8"/>
      <c r="G411" s="15" t="str">
        <f t="shared" si="3"/>
        <v>20</v>
      </c>
      <c r="H411" s="9">
        <f t="shared" si="4"/>
        <v>20</v>
      </c>
      <c r="I411" s="6" t="str">
        <f>IFERROR(__xludf.DUMMYFUNCTION("MAX(FILTER($H$2:$H501,$E$2:$E501=F411))"),"#N/A")</f>
        <v>#N/A</v>
      </c>
    </row>
    <row r="412">
      <c r="A412" s="4"/>
      <c r="B412" s="4"/>
      <c r="C412" s="4" t="s">
        <v>2521</v>
      </c>
      <c r="D412" s="6" t="str">
        <f t="shared" si="1"/>
        <v>{"valorA":"liquidificador","valorB":23}</v>
      </c>
      <c r="E412" s="8" t="str">
        <f t="shared" si="2"/>
        <v>liquidificador</v>
      </c>
      <c r="F412" s="8"/>
      <c r="G412" s="15" t="str">
        <f t="shared" si="3"/>
        <v>23</v>
      </c>
      <c r="H412" s="9">
        <f t="shared" si="4"/>
        <v>23</v>
      </c>
      <c r="I412" s="6" t="str">
        <f>IFERROR(__xludf.DUMMYFUNCTION("MAX(FILTER($H$2:$H501,$E$2:$E501=F412))"),"#N/A")</f>
        <v>#N/A</v>
      </c>
    </row>
    <row r="413">
      <c r="A413" s="4"/>
      <c r="B413" s="4"/>
      <c r="C413" s="4" t="s">
        <v>2522</v>
      </c>
      <c r="D413" s="6" t="str">
        <f t="shared" si="1"/>
        <v>{"valorA":"lustre","valorB":18}</v>
      </c>
      <c r="E413" s="8" t="str">
        <f t="shared" si="2"/>
        <v>lustre</v>
      </c>
      <c r="F413" s="8"/>
      <c r="G413" s="15" t="str">
        <f t="shared" si="3"/>
        <v>18</v>
      </c>
      <c r="H413" s="9">
        <f t="shared" si="4"/>
        <v>18</v>
      </c>
      <c r="I413" s="6" t="str">
        <f>IFERROR(__xludf.DUMMYFUNCTION("MAX(FILTER($H$2:$H501,$E$2:$E501=F413))"),"#N/A")</f>
        <v>#N/A</v>
      </c>
    </row>
    <row r="414">
      <c r="A414" s="4"/>
      <c r="B414" s="4"/>
      <c r="C414" s="4" t="s">
        <v>2523</v>
      </c>
      <c r="D414" s="6" t="str">
        <f t="shared" si="1"/>
        <v>{"valorA":"relógio","valorB":21}</v>
      </c>
      <c r="E414" s="8" t="str">
        <f t="shared" si="2"/>
        <v>relógio</v>
      </c>
      <c r="F414" s="8"/>
      <c r="G414" s="15" t="str">
        <f t="shared" si="3"/>
        <v>21</v>
      </c>
      <c r="H414" s="9">
        <f t="shared" si="4"/>
        <v>21</v>
      </c>
      <c r="I414" s="6" t="str">
        <f>IFERROR(__xludf.DUMMYFUNCTION("MAX(FILTER($H$2:$H501,$E$2:$E501=F414))"),"#N/A")</f>
        <v>#N/A</v>
      </c>
    </row>
    <row r="415">
      <c r="A415" s="4"/>
      <c r="B415" s="4"/>
      <c r="C415" s="4" t="s">
        <v>1677</v>
      </c>
      <c r="D415" s="6" t="str">
        <f t="shared" si="1"/>
        <v>{"valorA":"freezer","valorB":19}</v>
      </c>
      <c r="E415" s="8" t="str">
        <f t="shared" si="2"/>
        <v>freezer</v>
      </c>
      <c r="F415" s="8"/>
      <c r="G415" s="15" t="str">
        <f t="shared" si="3"/>
        <v>19</v>
      </c>
      <c r="H415" s="9">
        <f t="shared" si="4"/>
        <v>19</v>
      </c>
      <c r="I415" s="6" t="str">
        <f>IFERROR(__xludf.DUMMYFUNCTION("MAX(FILTER($H$2:$H501,$E$2:$E501=F415))"),"#N/A")</f>
        <v>#N/A</v>
      </c>
    </row>
    <row r="416">
      <c r="A416" s="4"/>
      <c r="B416" s="4"/>
      <c r="C416" s="4" t="s">
        <v>2524</v>
      </c>
      <c r="D416" s="6" t="str">
        <f t="shared" si="1"/>
        <v>{"valorA":"fogão","valorB":23}</v>
      </c>
      <c r="E416" s="8" t="str">
        <f t="shared" si="2"/>
        <v>fogão</v>
      </c>
      <c r="F416" s="8"/>
      <c r="G416" s="15" t="str">
        <f t="shared" si="3"/>
        <v>23</v>
      </c>
      <c r="H416" s="9">
        <f t="shared" si="4"/>
        <v>23</v>
      </c>
      <c r="I416" s="6" t="str">
        <f>IFERROR(__xludf.DUMMYFUNCTION("MAX(FILTER($H$2:$H501,$E$2:$E501=F416))"),"#N/A")</f>
        <v>#N/A</v>
      </c>
    </row>
    <row r="417">
      <c r="A417" s="4"/>
      <c r="B417" s="4"/>
      <c r="C417" s="4" t="s">
        <v>1735</v>
      </c>
      <c r="D417" s="6" t="str">
        <f t="shared" si="1"/>
        <v>{"valorA":"microondas","valorB":21}</v>
      </c>
      <c r="E417" s="8" t="str">
        <f t="shared" si="2"/>
        <v>microondas</v>
      </c>
      <c r="F417" s="8"/>
      <c r="G417" s="15" t="str">
        <f t="shared" si="3"/>
        <v>21</v>
      </c>
      <c r="H417" s="9">
        <f t="shared" si="4"/>
        <v>21</v>
      </c>
      <c r="I417" s="6" t="str">
        <f>IFERROR(__xludf.DUMMYFUNCTION("MAX(FILTER($H$2:$H501,$E$2:$E501=F417))"),"#N/A")</f>
        <v>#N/A</v>
      </c>
    </row>
    <row r="418">
      <c r="A418" s="4"/>
      <c r="B418" s="4"/>
      <c r="C418" s="4" t="s">
        <v>2525</v>
      </c>
      <c r="D418" s="6" t="str">
        <f t="shared" si="1"/>
        <v>{"valorA":"chuveiro elétrico","valorB":26}</v>
      </c>
      <c r="E418" s="8" t="str">
        <f t="shared" si="2"/>
        <v>chuveiro elétrico</v>
      </c>
      <c r="F418" s="8"/>
      <c r="G418" s="15" t="str">
        <f t="shared" si="3"/>
        <v>26</v>
      </c>
      <c r="H418" s="9">
        <f t="shared" si="4"/>
        <v>26</v>
      </c>
      <c r="I418" s="6" t="str">
        <f>IFERROR(__xludf.DUMMYFUNCTION("MAX(FILTER($H$2:$H501,$E$2:$E501=F418))"),"#N/A")</f>
        <v>#N/A</v>
      </c>
    </row>
    <row r="419">
      <c r="A419" s="4"/>
      <c r="B419" s="4"/>
      <c r="C419" s="4" t="s">
        <v>2526</v>
      </c>
      <c r="D419" s="6" t="str">
        <f t="shared" si="1"/>
        <v>{"valorA":"roteador","valorB":24}</v>
      </c>
      <c r="E419" s="8" t="str">
        <f t="shared" si="2"/>
        <v>roteador</v>
      </c>
      <c r="F419" s="8"/>
      <c r="G419" s="15" t="str">
        <f t="shared" si="3"/>
        <v>24</v>
      </c>
      <c r="H419" s="9">
        <f t="shared" si="4"/>
        <v>24</v>
      </c>
      <c r="I419" s="6" t="str">
        <f>IFERROR(__xludf.DUMMYFUNCTION("MAX(FILTER($H$2:$H501,$E$2:$E501=F419))"),"#N/A")</f>
        <v>#N/A</v>
      </c>
    </row>
    <row r="420">
      <c r="A420" s="4"/>
      <c r="B420" s="4"/>
      <c r="C420" s="4" t="s">
        <v>2527</v>
      </c>
      <c r="D420" s="6" t="str">
        <f t="shared" si="1"/>
        <v>{"valorA":"ventilador","valorB":26}</v>
      </c>
      <c r="E420" s="8" t="str">
        <f t="shared" si="2"/>
        <v>ventilador</v>
      </c>
      <c r="F420" s="8"/>
      <c r="G420" s="15" t="str">
        <f t="shared" si="3"/>
        <v>26</v>
      </c>
      <c r="H420" s="9">
        <f t="shared" si="4"/>
        <v>26</v>
      </c>
      <c r="I420" s="6" t="str">
        <f>IFERROR(__xludf.DUMMYFUNCTION("MAX(FILTER($H$2:$H501,$E$2:$E501=F420))"),"#N/A")</f>
        <v>#N/A</v>
      </c>
    </row>
    <row r="421">
      <c r="A421" s="4"/>
      <c r="B421" s="4"/>
      <c r="C421" s="4" t="s">
        <v>2528</v>
      </c>
      <c r="D421" s="6" t="str">
        <f t="shared" si="1"/>
        <v>{"valorA":"purificador de água","valorB":17}</v>
      </c>
      <c r="E421" s="8" t="str">
        <f t="shared" si="2"/>
        <v>purificador de água</v>
      </c>
      <c r="F421" s="8"/>
      <c r="G421" s="15" t="str">
        <f t="shared" si="3"/>
        <v>17</v>
      </c>
      <c r="H421" s="9">
        <f t="shared" si="4"/>
        <v>17</v>
      </c>
      <c r="I421" s="6" t="str">
        <f>IFERROR(__xludf.DUMMYFUNCTION("MAX(FILTER($H$2:$H501,$E$2:$E501=F421))"),"#N/A")</f>
        <v>#N/A</v>
      </c>
    </row>
    <row r="422">
      <c r="A422" s="4"/>
      <c r="B422" s="4"/>
      <c r="C422" s="4" t="s">
        <v>2529</v>
      </c>
      <c r="D422" s="6" t="str">
        <f t="shared" si="1"/>
        <v>{"valorA":"chuveiro elétrico","valorB":27}</v>
      </c>
      <c r="E422" s="8" t="str">
        <f t="shared" si="2"/>
        <v>chuveiro elétrico</v>
      </c>
      <c r="F422" s="8"/>
      <c r="G422" s="15" t="str">
        <f t="shared" si="3"/>
        <v>27</v>
      </c>
      <c r="H422" s="9">
        <f t="shared" si="4"/>
        <v>27</v>
      </c>
      <c r="I422" s="6" t="str">
        <f>IFERROR(__xludf.DUMMYFUNCTION("MAX(FILTER($H$2:$H501,$E$2:$E501=F422))"),"#N/A")</f>
        <v>#N/A</v>
      </c>
    </row>
    <row r="423">
      <c r="A423" s="4"/>
      <c r="B423" s="4"/>
      <c r="C423" s="4" t="s">
        <v>2530</v>
      </c>
      <c r="D423" s="6" t="str">
        <f t="shared" si="1"/>
        <v>{"valorA":"purificador de água","valorB":18}</v>
      </c>
      <c r="E423" s="8" t="str">
        <f t="shared" si="2"/>
        <v>purificador de água</v>
      </c>
      <c r="F423" s="8"/>
      <c r="G423" s="15" t="str">
        <f t="shared" si="3"/>
        <v>18</v>
      </c>
      <c r="H423" s="9">
        <f t="shared" si="4"/>
        <v>18</v>
      </c>
      <c r="I423" s="6" t="str">
        <f>IFERROR(__xludf.DUMMYFUNCTION("MAX(FILTER($H$2:$H501,$E$2:$E501=F423))"),"#N/A")</f>
        <v>#N/A</v>
      </c>
    </row>
    <row r="424">
      <c r="A424" s="4"/>
      <c r="B424" s="4"/>
      <c r="C424" s="4" t="s">
        <v>2531</v>
      </c>
      <c r="D424" s="6" t="str">
        <f t="shared" si="1"/>
        <v>{"valorA":"mouse de computador","valorB":14}</v>
      </c>
      <c r="E424" s="8" t="str">
        <f t="shared" si="2"/>
        <v>mouse de computador</v>
      </c>
      <c r="F424" s="8"/>
      <c r="G424" s="15" t="str">
        <f t="shared" si="3"/>
        <v>14</v>
      </c>
      <c r="H424" s="9">
        <f t="shared" si="4"/>
        <v>14</v>
      </c>
      <c r="I424" s="6" t="str">
        <f>IFERROR(__xludf.DUMMYFUNCTION("MAX(FILTER($H$2:$H501,$E$2:$E501=F424))"),"#N/A")</f>
        <v>#N/A</v>
      </c>
    </row>
    <row r="425">
      <c r="A425" s="4"/>
      <c r="B425" s="4"/>
      <c r="C425" s="4" t="s">
        <v>2532</v>
      </c>
      <c r="D425" s="6" t="str">
        <f t="shared" si="1"/>
        <v>{"valorA":"mouse de computador","valorB":15}</v>
      </c>
      <c r="E425" s="8" t="str">
        <f t="shared" si="2"/>
        <v>mouse de computador</v>
      </c>
      <c r="F425" s="8"/>
      <c r="G425" s="15" t="str">
        <f t="shared" si="3"/>
        <v>15</v>
      </c>
      <c r="H425" s="9">
        <f t="shared" si="4"/>
        <v>15</v>
      </c>
      <c r="I425" s="6" t="str">
        <f>IFERROR(__xludf.DUMMYFUNCTION("MAX(FILTER($H$2:$H501,$E$2:$E501=F425))"),"#N/A")</f>
        <v>#N/A</v>
      </c>
    </row>
    <row r="426">
      <c r="A426" s="4"/>
      <c r="B426" s="4"/>
      <c r="C426" s="4" t="s">
        <v>2533</v>
      </c>
      <c r="D426" s="6" t="str">
        <f t="shared" si="1"/>
        <v>{"valorA":"chuveiro elétrico","valorB":28}</v>
      </c>
      <c r="E426" s="8" t="str">
        <f t="shared" si="2"/>
        <v>chuveiro elétrico</v>
      </c>
      <c r="F426" s="8"/>
      <c r="G426" s="15" t="str">
        <f t="shared" si="3"/>
        <v>28</v>
      </c>
      <c r="H426" s="9">
        <f t="shared" si="4"/>
        <v>28</v>
      </c>
      <c r="I426" s="6" t="str">
        <f>IFERROR(__xludf.DUMMYFUNCTION("MAX(FILTER($H$2:$H501,$E$2:$E501=F426))"),"#N/A")</f>
        <v>#N/A</v>
      </c>
    </row>
    <row r="427">
      <c r="A427" s="4"/>
      <c r="B427" s="4"/>
      <c r="C427" s="4" t="s">
        <v>1737</v>
      </c>
      <c r="D427" s="6" t="str">
        <f t="shared" si="1"/>
        <v>{"valorA":"microondas","valorB":22}</v>
      </c>
      <c r="E427" s="8" t="str">
        <f t="shared" si="2"/>
        <v>microondas</v>
      </c>
      <c r="F427" s="8"/>
      <c r="G427" s="15" t="str">
        <f t="shared" si="3"/>
        <v>22</v>
      </c>
      <c r="H427" s="9">
        <f t="shared" si="4"/>
        <v>22</v>
      </c>
      <c r="I427" s="6" t="str">
        <f>IFERROR(__xludf.DUMMYFUNCTION("MAX(FILTER($H$2:$H501,$E$2:$E501=F427))"),"#N/A")</f>
        <v>#N/A</v>
      </c>
    </row>
    <row r="428">
      <c r="A428" s="4"/>
      <c r="B428" s="4"/>
      <c r="C428" s="4" t="s">
        <v>2534</v>
      </c>
      <c r="D428" s="6" t="str">
        <f t="shared" si="1"/>
        <v>{"valorA":"roteador","valorB":25}</v>
      </c>
      <c r="E428" s="8" t="str">
        <f t="shared" si="2"/>
        <v>roteador</v>
      </c>
      <c r="F428" s="8"/>
      <c r="G428" s="15" t="str">
        <f t="shared" si="3"/>
        <v>25</v>
      </c>
      <c r="H428" s="9">
        <f t="shared" si="4"/>
        <v>25</v>
      </c>
      <c r="I428" s="6" t="str">
        <f>IFERROR(__xludf.DUMMYFUNCTION("MAX(FILTER($H$2:$H501,$E$2:$E501=F428))"),"#N/A")</f>
        <v>#N/A</v>
      </c>
    </row>
    <row r="429">
      <c r="A429" s="4"/>
      <c r="B429" s="4"/>
      <c r="C429" s="4" t="s">
        <v>1738</v>
      </c>
      <c r="D429" s="6" t="str">
        <f t="shared" si="1"/>
        <v>{"valorA":"microondas","valorB":23}</v>
      </c>
      <c r="E429" s="8" t="str">
        <f t="shared" si="2"/>
        <v>microondas</v>
      </c>
      <c r="F429" s="8"/>
      <c r="G429" s="15" t="str">
        <f t="shared" si="3"/>
        <v>23</v>
      </c>
      <c r="H429" s="9">
        <f t="shared" si="4"/>
        <v>23</v>
      </c>
      <c r="I429" s="6" t="str">
        <f>IFERROR(__xludf.DUMMYFUNCTION("MAX(FILTER($H$2:$H501,$E$2:$E501=F429))"),"#N/A")</f>
        <v>#N/A</v>
      </c>
    </row>
    <row r="430">
      <c r="A430" s="4"/>
      <c r="B430" s="4"/>
      <c r="C430" s="4" t="s">
        <v>2535</v>
      </c>
      <c r="D430" s="6" t="str">
        <f t="shared" si="1"/>
        <v>{"valorA":"carregador de computador","valorB":24}</v>
      </c>
      <c r="E430" s="8" t="str">
        <f t="shared" si="2"/>
        <v>carregador de computador</v>
      </c>
      <c r="F430" s="8"/>
      <c r="G430" s="15" t="str">
        <f t="shared" si="3"/>
        <v>24</v>
      </c>
      <c r="H430" s="9">
        <f t="shared" si="4"/>
        <v>24</v>
      </c>
      <c r="I430" s="6" t="str">
        <f>IFERROR(__xludf.DUMMYFUNCTION("MAX(FILTER($H$2:$H501,$E$2:$E501=F430))"),"#N/A")</f>
        <v>#N/A</v>
      </c>
    </row>
    <row r="431">
      <c r="A431" s="4"/>
      <c r="B431" s="4"/>
      <c r="C431" s="4" t="s">
        <v>2536</v>
      </c>
      <c r="D431" s="6" t="str">
        <f t="shared" si="1"/>
        <v>{"valorA":"roteador","valorB":26}</v>
      </c>
      <c r="E431" s="8" t="str">
        <f t="shared" si="2"/>
        <v>roteador</v>
      </c>
      <c r="F431" s="8"/>
      <c r="G431" s="15" t="str">
        <f t="shared" si="3"/>
        <v>26</v>
      </c>
      <c r="H431" s="9">
        <f t="shared" si="4"/>
        <v>26</v>
      </c>
      <c r="I431" s="6" t="str">
        <f>IFERROR(__xludf.DUMMYFUNCTION("MAX(FILTER($H$2:$H501,$E$2:$E501=F431))"),"#N/A")</f>
        <v>#N/A</v>
      </c>
    </row>
    <row r="432">
      <c r="A432" s="4"/>
      <c r="B432" s="4"/>
      <c r="C432" s="4" t="s">
        <v>2537</v>
      </c>
      <c r="D432" s="6" t="str">
        <f t="shared" si="1"/>
        <v>{"valorA":"purificador de água","valorB":19}</v>
      </c>
      <c r="E432" s="8" t="str">
        <f t="shared" si="2"/>
        <v>purificador de água</v>
      </c>
      <c r="F432" s="8"/>
      <c r="G432" s="15" t="str">
        <f t="shared" si="3"/>
        <v>19</v>
      </c>
      <c r="H432" s="9">
        <f t="shared" si="4"/>
        <v>19</v>
      </c>
      <c r="I432" s="6" t="str">
        <f>IFERROR(__xludf.DUMMYFUNCTION("MAX(FILTER($H$2:$H501,$E$2:$E501=F432))"),"#N/A")</f>
        <v>#N/A</v>
      </c>
    </row>
    <row r="433">
      <c r="A433" s="4"/>
      <c r="B433" s="4"/>
      <c r="C433" s="4" t="s">
        <v>2538</v>
      </c>
      <c r="D433" s="6" t="str">
        <f t="shared" si="1"/>
        <v>{"valorA":"mouse de computador","valorB":16}</v>
      </c>
      <c r="E433" s="8" t="str">
        <f t="shared" si="2"/>
        <v>mouse de computador</v>
      </c>
      <c r="F433" s="8"/>
      <c r="G433" s="15" t="str">
        <f t="shared" si="3"/>
        <v>16</v>
      </c>
      <c r="H433" s="9">
        <f t="shared" si="4"/>
        <v>16</v>
      </c>
      <c r="I433" s="6" t="str">
        <f>IFERROR(__xludf.DUMMYFUNCTION("MAX(FILTER($H$2:$H501,$E$2:$E501=F433))"),"#N/A")</f>
        <v>#N/A</v>
      </c>
    </row>
    <row r="434">
      <c r="A434" s="4"/>
      <c r="B434" s="4"/>
      <c r="C434" s="4" t="s">
        <v>2539</v>
      </c>
      <c r="D434" s="6" t="str">
        <f t="shared" si="1"/>
        <v>{"valorA":"aspirador","valorB":23}</v>
      </c>
      <c r="E434" s="8" t="str">
        <f t="shared" si="2"/>
        <v>aspirador</v>
      </c>
      <c r="F434" s="8"/>
      <c r="G434" s="15" t="str">
        <f t="shared" si="3"/>
        <v>23</v>
      </c>
      <c r="H434" s="9">
        <f t="shared" si="4"/>
        <v>23</v>
      </c>
      <c r="I434" s="6" t="str">
        <f>IFERROR(__xludf.DUMMYFUNCTION("MAX(FILTER($H$2:$H501,$E$2:$E501=F434))"),"#N/A")</f>
        <v>#N/A</v>
      </c>
    </row>
    <row r="435">
      <c r="A435" s="4"/>
      <c r="B435" s="4"/>
      <c r="C435" s="4" t="s">
        <v>2540</v>
      </c>
      <c r="D435" s="6" t="str">
        <f t="shared" si="1"/>
        <v>{"valorA":"relógio","valorB":22}</v>
      </c>
      <c r="E435" s="8" t="str">
        <f t="shared" si="2"/>
        <v>relógio</v>
      </c>
      <c r="F435" s="8"/>
      <c r="G435" s="15" t="str">
        <f t="shared" si="3"/>
        <v>22</v>
      </c>
      <c r="H435" s="9">
        <f t="shared" si="4"/>
        <v>22</v>
      </c>
      <c r="I435" s="6" t="str">
        <f>IFERROR(__xludf.DUMMYFUNCTION("MAX(FILTER($H$2:$H501,$E$2:$E501=F435))"),"#N/A")</f>
        <v>#N/A</v>
      </c>
    </row>
    <row r="436">
      <c r="A436" s="4"/>
      <c r="B436" s="4"/>
      <c r="C436" s="4" t="s">
        <v>2541</v>
      </c>
      <c r="D436" s="6" t="str">
        <f t="shared" si="1"/>
        <v>{"valorA":"carregador de celular","valorB":17}</v>
      </c>
      <c r="E436" s="8" t="str">
        <f t="shared" si="2"/>
        <v>carregador de celular</v>
      </c>
      <c r="F436" s="8"/>
      <c r="G436" s="15" t="str">
        <f t="shared" si="3"/>
        <v>17</v>
      </c>
      <c r="H436" s="9">
        <f t="shared" si="4"/>
        <v>17</v>
      </c>
      <c r="I436" s="6" t="str">
        <f>IFERROR(__xludf.DUMMYFUNCTION("MAX(FILTER($H$2:$H501,$E$2:$E501=F436))"),"#N/A")</f>
        <v>#N/A</v>
      </c>
    </row>
    <row r="437">
      <c r="A437" s="4"/>
      <c r="B437" s="4"/>
      <c r="C437" s="4" t="s">
        <v>2542</v>
      </c>
      <c r="D437" s="6" t="str">
        <f t="shared" si="1"/>
        <v>{"valorA":"liquidificador","valorB":24}</v>
      </c>
      <c r="E437" s="8" t="str">
        <f t="shared" si="2"/>
        <v>liquidificador</v>
      </c>
      <c r="F437" s="8"/>
      <c r="G437" s="15" t="str">
        <f t="shared" si="3"/>
        <v>24</v>
      </c>
      <c r="H437" s="9">
        <f t="shared" si="4"/>
        <v>24</v>
      </c>
      <c r="I437" s="6" t="str">
        <f>IFERROR(__xludf.DUMMYFUNCTION("MAX(FILTER($H$2:$H501,$E$2:$E501=F437))"),"#N/A")</f>
        <v>#N/A</v>
      </c>
    </row>
    <row r="438">
      <c r="A438" s="4"/>
      <c r="B438" s="4"/>
      <c r="C438" s="4" t="s">
        <v>2543</v>
      </c>
      <c r="D438" s="6" t="str">
        <f t="shared" si="1"/>
        <v>{"valorA":"teclado de computador","valorB":27}</v>
      </c>
      <c r="E438" s="8" t="str">
        <f t="shared" si="2"/>
        <v>teclado de computador</v>
      </c>
      <c r="F438" s="8"/>
      <c r="G438" s="15" t="str">
        <f t="shared" si="3"/>
        <v>27</v>
      </c>
      <c r="H438" s="9">
        <f t="shared" si="4"/>
        <v>27</v>
      </c>
      <c r="I438" s="6" t="str">
        <f>IFERROR(__xludf.DUMMYFUNCTION("MAX(FILTER($H$2:$H501,$E$2:$E501=F438))"),"#N/A")</f>
        <v>#N/A</v>
      </c>
    </row>
    <row r="439">
      <c r="A439" s="4"/>
      <c r="B439" s="4"/>
      <c r="C439" s="4" t="s">
        <v>2544</v>
      </c>
      <c r="D439" s="6" t="str">
        <f t="shared" si="1"/>
        <v>{"valorA":"aspirador","valorB":24}</v>
      </c>
      <c r="E439" s="8" t="str">
        <f t="shared" si="2"/>
        <v>aspirador</v>
      </c>
      <c r="F439" s="8"/>
      <c r="G439" s="15" t="str">
        <f t="shared" si="3"/>
        <v>24</v>
      </c>
      <c r="H439" s="9">
        <f t="shared" si="4"/>
        <v>24</v>
      </c>
      <c r="I439" s="6" t="str">
        <f>IFERROR(__xludf.DUMMYFUNCTION("MAX(FILTER($H$2:$H501,$E$2:$E501=F439))"),"#N/A")</f>
        <v>#N/A</v>
      </c>
    </row>
    <row r="440">
      <c r="A440" s="4"/>
      <c r="B440" s="4"/>
      <c r="C440" s="4" t="s">
        <v>2545</v>
      </c>
      <c r="D440" s="6" t="str">
        <f t="shared" si="1"/>
        <v>{"valorA":"mouse de computador","valorB":17}</v>
      </c>
      <c r="E440" s="8" t="str">
        <f t="shared" si="2"/>
        <v>mouse de computador</v>
      </c>
      <c r="F440" s="8"/>
      <c r="G440" s="15" t="str">
        <f t="shared" si="3"/>
        <v>17</v>
      </c>
      <c r="H440" s="9">
        <f t="shared" si="4"/>
        <v>17</v>
      </c>
      <c r="I440" s="6" t="str">
        <f>IFERROR(__xludf.DUMMYFUNCTION("MAX(FILTER($H$2:$H501,$E$2:$E501=F440))"),"#N/A")</f>
        <v>#N/A</v>
      </c>
    </row>
    <row r="441">
      <c r="A441" s="4"/>
      <c r="B441" s="4"/>
      <c r="C441" s="4" t="s">
        <v>2546</v>
      </c>
      <c r="D441" s="6" t="str">
        <f t="shared" si="1"/>
        <v>{"valorA":"computador","valorB":23}</v>
      </c>
      <c r="E441" s="8" t="str">
        <f t="shared" si="2"/>
        <v>computador</v>
      </c>
      <c r="F441" s="8"/>
      <c r="G441" s="15" t="str">
        <f t="shared" si="3"/>
        <v>23</v>
      </c>
      <c r="H441" s="9">
        <f t="shared" si="4"/>
        <v>23</v>
      </c>
      <c r="I441" s="6" t="str">
        <f>IFERROR(__xludf.DUMMYFUNCTION("MAX(FILTER($H$2:$H501,$E$2:$E501=F441))"),"#N/A")</f>
        <v>#N/A</v>
      </c>
    </row>
    <row r="442">
      <c r="A442" s="4"/>
      <c r="B442" s="4"/>
      <c r="C442" s="4" t="s">
        <v>2547</v>
      </c>
      <c r="D442" s="6" t="str">
        <f t="shared" si="1"/>
        <v>{"valorA":"aspirador","valorB":25}</v>
      </c>
      <c r="E442" s="8" t="str">
        <f t="shared" si="2"/>
        <v>aspirador</v>
      </c>
      <c r="F442" s="8"/>
      <c r="G442" s="15" t="str">
        <f t="shared" si="3"/>
        <v>25</v>
      </c>
      <c r="H442" s="9">
        <f t="shared" si="4"/>
        <v>25</v>
      </c>
      <c r="I442" s="6" t="str">
        <f>IFERROR(__xludf.DUMMYFUNCTION("MAX(FILTER($H$2:$H501,$E$2:$E501=F442))"),"#N/A")</f>
        <v>#N/A</v>
      </c>
    </row>
    <row r="443">
      <c r="A443" s="4"/>
      <c r="B443" s="4"/>
      <c r="C443" s="4" t="s">
        <v>2548</v>
      </c>
      <c r="D443" s="6" t="str">
        <f t="shared" si="1"/>
        <v>{"valorA":"computador","valorB":24}</v>
      </c>
      <c r="E443" s="8" t="str">
        <f t="shared" si="2"/>
        <v>computador</v>
      </c>
      <c r="F443" s="8"/>
      <c r="G443" s="15" t="str">
        <f t="shared" si="3"/>
        <v>24</v>
      </c>
      <c r="H443" s="9">
        <f t="shared" si="4"/>
        <v>24</v>
      </c>
      <c r="I443" s="6" t="str">
        <f>IFERROR(__xludf.DUMMYFUNCTION("MAX(FILTER($H$2:$H501,$E$2:$E501=F443))"),"#N/A")</f>
        <v>#N/A</v>
      </c>
    </row>
    <row r="444">
      <c r="A444" s="4"/>
      <c r="B444" s="4"/>
      <c r="C444" s="4" t="s">
        <v>2549</v>
      </c>
      <c r="D444" s="6" t="str">
        <f t="shared" si="1"/>
        <v>{"valorA":"relógio","valorB":23}</v>
      </c>
      <c r="E444" s="8" t="str">
        <f t="shared" si="2"/>
        <v>relógio</v>
      </c>
      <c r="F444" s="8"/>
      <c r="G444" s="15" t="str">
        <f t="shared" si="3"/>
        <v>23</v>
      </c>
      <c r="H444" s="9">
        <f t="shared" si="4"/>
        <v>23</v>
      </c>
      <c r="I444" s="6" t="str">
        <f>IFERROR(__xludf.DUMMYFUNCTION("MAX(FILTER($H$2:$H501,$E$2:$E501=F444))"),"#N/A")</f>
        <v>#N/A</v>
      </c>
    </row>
    <row r="445">
      <c r="A445" s="4"/>
      <c r="B445" s="4"/>
      <c r="C445" s="4" t="s">
        <v>1733</v>
      </c>
      <c r="D445" s="6" t="str">
        <f t="shared" si="1"/>
        <v>{"valorA":"ar condicionado","valorB":23}</v>
      </c>
      <c r="E445" s="8" t="str">
        <f t="shared" si="2"/>
        <v>ar condicionado</v>
      </c>
      <c r="F445" s="8"/>
      <c r="G445" s="15" t="str">
        <f t="shared" si="3"/>
        <v>23</v>
      </c>
      <c r="H445" s="9">
        <f t="shared" si="4"/>
        <v>23</v>
      </c>
      <c r="I445" s="6" t="str">
        <f>IFERROR(__xludf.DUMMYFUNCTION("MAX(FILTER($H$2:$H501,$E$2:$E501=F445))"),"#N/A")</f>
        <v>#N/A</v>
      </c>
    </row>
    <row r="446">
      <c r="A446" s="4"/>
      <c r="B446" s="4"/>
      <c r="C446" s="4" t="s">
        <v>2550</v>
      </c>
      <c r="D446" s="6" t="str">
        <f t="shared" si="1"/>
        <v>{"valorA":"fone de ouvido","valorB":20}</v>
      </c>
      <c r="E446" s="8" t="str">
        <f t="shared" si="2"/>
        <v>fone de ouvido</v>
      </c>
      <c r="F446" s="8"/>
      <c r="G446" s="15" t="str">
        <f t="shared" si="3"/>
        <v>20</v>
      </c>
      <c r="H446" s="9">
        <f t="shared" si="4"/>
        <v>20</v>
      </c>
      <c r="I446" s="6" t="str">
        <f>IFERROR(__xludf.DUMMYFUNCTION("MAX(FILTER($H$2:$H501,$E$2:$E501=F446))"),"#N/A")</f>
        <v>#N/A</v>
      </c>
    </row>
    <row r="447">
      <c r="A447" s="4"/>
      <c r="B447" s="4"/>
      <c r="C447" s="4" t="s">
        <v>2551</v>
      </c>
      <c r="D447" s="6" t="str">
        <f t="shared" si="1"/>
        <v>{"valorA":"lustre","valorB":19}</v>
      </c>
      <c r="E447" s="8" t="str">
        <f t="shared" si="2"/>
        <v>lustre</v>
      </c>
      <c r="F447" s="8"/>
      <c r="G447" s="15" t="str">
        <f t="shared" si="3"/>
        <v>19</v>
      </c>
      <c r="H447" s="9">
        <f t="shared" si="4"/>
        <v>19</v>
      </c>
      <c r="I447" s="6" t="str">
        <f>IFERROR(__xludf.DUMMYFUNCTION("MAX(FILTER($H$2:$H501,$E$2:$E501=F447))"),"#N/A")</f>
        <v>#N/A</v>
      </c>
    </row>
    <row r="448">
      <c r="A448" s="4"/>
      <c r="B448" s="4"/>
      <c r="C448" s="4" t="s">
        <v>2552</v>
      </c>
      <c r="D448" s="6" t="str">
        <f t="shared" si="1"/>
        <v>{"valorA":"aspirador","valorB":26}</v>
      </c>
      <c r="E448" s="8" t="str">
        <f t="shared" si="2"/>
        <v>aspirador</v>
      </c>
      <c r="F448" s="8"/>
      <c r="G448" s="15" t="str">
        <f t="shared" si="3"/>
        <v>26</v>
      </c>
      <c r="H448" s="9">
        <f t="shared" si="4"/>
        <v>26</v>
      </c>
      <c r="I448" s="6" t="str">
        <f>IFERROR(__xludf.DUMMYFUNCTION("MAX(FILTER($H$2:$H501,$E$2:$E501=F448))"),"#N/A")</f>
        <v>#N/A</v>
      </c>
    </row>
    <row r="449">
      <c r="A449" s="4"/>
      <c r="B449" s="4"/>
      <c r="C449" s="4" t="s">
        <v>2553</v>
      </c>
      <c r="D449" s="6" t="str">
        <f t="shared" si="1"/>
        <v>{"valorA":"chuveiro elétrico","valorB":29}</v>
      </c>
      <c r="E449" s="8" t="str">
        <f t="shared" si="2"/>
        <v>chuveiro elétrico</v>
      </c>
      <c r="F449" s="8"/>
      <c r="G449" s="15" t="str">
        <f t="shared" si="3"/>
        <v>29</v>
      </c>
      <c r="H449" s="9">
        <f t="shared" si="4"/>
        <v>29</v>
      </c>
      <c r="I449" s="6" t="str">
        <f>IFERROR(__xludf.DUMMYFUNCTION("MAX(FILTER($H$2:$H501,$E$2:$E501=F449))"),"#N/A")</f>
        <v>#N/A</v>
      </c>
    </row>
    <row r="450">
      <c r="A450" s="4"/>
      <c r="B450" s="4"/>
      <c r="C450" s="4" t="s">
        <v>2554</v>
      </c>
      <c r="D450" s="6" t="str">
        <f t="shared" si="1"/>
        <v>{"valorA":"filtro de linha","valorB":24}</v>
      </c>
      <c r="E450" s="8" t="str">
        <f t="shared" si="2"/>
        <v>filtro de linha</v>
      </c>
      <c r="F450" s="8"/>
      <c r="G450" s="15" t="str">
        <f t="shared" si="3"/>
        <v>24</v>
      </c>
      <c r="H450" s="9">
        <f t="shared" si="4"/>
        <v>24</v>
      </c>
      <c r="I450" s="6" t="str">
        <f>IFERROR(__xludf.DUMMYFUNCTION("MAX(FILTER($H$2:$H501,$E$2:$E501=F450))"),"#N/A")</f>
        <v>#N/A</v>
      </c>
    </row>
    <row r="451">
      <c r="A451" s="4"/>
      <c r="B451" s="4"/>
      <c r="C451" s="4" t="s">
        <v>2555</v>
      </c>
      <c r="D451" s="6" t="str">
        <f t="shared" si="1"/>
        <v>{"valorA":"computador","valorB":25}</v>
      </c>
      <c r="E451" s="8" t="str">
        <f t="shared" si="2"/>
        <v>computador</v>
      </c>
      <c r="F451" s="8"/>
      <c r="G451" s="15" t="str">
        <f t="shared" si="3"/>
        <v>25</v>
      </c>
      <c r="H451" s="9">
        <f t="shared" si="4"/>
        <v>25</v>
      </c>
      <c r="I451" s="6" t="str">
        <f>IFERROR(__xludf.DUMMYFUNCTION("MAX(FILTER($H$2:$H501,$E$2:$E501=F451))"),"#N/A")</f>
        <v>#N/A</v>
      </c>
    </row>
    <row r="452">
      <c r="A452" s="4"/>
      <c r="B452" s="4"/>
      <c r="C452" s="4" t="s">
        <v>2556</v>
      </c>
      <c r="D452" s="6" t="str">
        <f t="shared" si="1"/>
        <v>{"valorA":"chuveiro elétrico","valorB":30}</v>
      </c>
      <c r="E452" s="8" t="str">
        <f t="shared" si="2"/>
        <v>chuveiro elétrico</v>
      </c>
      <c r="F452" s="8"/>
      <c r="G452" s="15" t="str">
        <f t="shared" si="3"/>
        <v>30</v>
      </c>
      <c r="H452" s="9">
        <f t="shared" si="4"/>
        <v>30</v>
      </c>
      <c r="I452" s="6" t="str">
        <f>IFERROR(__xludf.DUMMYFUNCTION("MAX(FILTER($H$2:$H501,$E$2:$E501=F452))"),"#N/A")</f>
        <v>#N/A</v>
      </c>
    </row>
    <row r="453">
      <c r="A453" s="4"/>
      <c r="B453" s="4"/>
      <c r="C453" s="4" t="s">
        <v>2557</v>
      </c>
      <c r="D453" s="6" t="str">
        <f t="shared" si="1"/>
        <v>{"valorA":"chuveiro elétrico","valorB":31}</v>
      </c>
      <c r="E453" s="8" t="str">
        <f t="shared" si="2"/>
        <v>chuveiro elétrico</v>
      </c>
      <c r="F453" s="8"/>
      <c r="G453" s="15" t="str">
        <f t="shared" si="3"/>
        <v>31</v>
      </c>
      <c r="H453" s="9">
        <f t="shared" si="4"/>
        <v>31</v>
      </c>
      <c r="I453" s="6" t="str">
        <f>IFERROR(__xludf.DUMMYFUNCTION("MAX(FILTER($H$2:$H501,$E$2:$E501=F453))"),"#N/A")</f>
        <v>#N/A</v>
      </c>
    </row>
    <row r="454">
      <c r="A454" s="4"/>
      <c r="B454" s="4"/>
      <c r="C454" s="4" t="s">
        <v>2558</v>
      </c>
      <c r="D454" s="6" t="str">
        <f t="shared" si="1"/>
        <v>{"valorA":"celular","valorB":17}</v>
      </c>
      <c r="E454" s="8" t="str">
        <f t="shared" si="2"/>
        <v>celular</v>
      </c>
      <c r="F454" s="8"/>
      <c r="G454" s="15" t="str">
        <f t="shared" si="3"/>
        <v>17</v>
      </c>
      <c r="H454" s="9">
        <f t="shared" si="4"/>
        <v>17</v>
      </c>
      <c r="I454" s="6" t="str">
        <f>IFERROR(__xludf.DUMMYFUNCTION("MAX(FILTER($H$2:$H501,$E$2:$E501=F454))"),"#N/A")</f>
        <v>#N/A</v>
      </c>
    </row>
    <row r="455">
      <c r="A455" s="4"/>
      <c r="B455" s="4"/>
      <c r="C455" s="4" t="s">
        <v>2559</v>
      </c>
      <c r="D455" s="6" t="str">
        <f t="shared" si="1"/>
        <v>{"valorA":"relógio","valorB":24}</v>
      </c>
      <c r="E455" s="8" t="str">
        <f t="shared" si="2"/>
        <v>relógio</v>
      </c>
      <c r="F455" s="8"/>
      <c r="G455" s="15" t="str">
        <f t="shared" si="3"/>
        <v>24</v>
      </c>
      <c r="H455" s="9">
        <f t="shared" si="4"/>
        <v>24</v>
      </c>
      <c r="I455" s="6" t="str">
        <f>IFERROR(__xludf.DUMMYFUNCTION("MAX(FILTER($H$2:$H501,$E$2:$E501=F455))"),"#N/A")</f>
        <v>#N/A</v>
      </c>
    </row>
    <row r="456">
      <c r="A456" s="4"/>
      <c r="B456" s="4"/>
      <c r="C456" s="4" t="s">
        <v>2560</v>
      </c>
      <c r="D456" s="6" t="str">
        <f t="shared" si="1"/>
        <v>{"valorA":"computador","valorB":26}</v>
      </c>
      <c r="E456" s="8" t="str">
        <f t="shared" si="2"/>
        <v>computador</v>
      </c>
      <c r="F456" s="8"/>
      <c r="G456" s="15" t="str">
        <f t="shared" si="3"/>
        <v>26</v>
      </c>
      <c r="H456" s="9">
        <f t="shared" si="4"/>
        <v>26</v>
      </c>
      <c r="I456" s="6" t="str">
        <f>IFERROR(__xludf.DUMMYFUNCTION("MAX(FILTER($H$2:$H501,$E$2:$E501=F456))"),"#N/A")</f>
        <v>#N/A</v>
      </c>
    </row>
    <row r="457">
      <c r="A457" s="4"/>
      <c r="B457" s="4"/>
      <c r="C457" s="4" t="s">
        <v>2561</v>
      </c>
      <c r="D457" s="6" t="str">
        <f t="shared" si="1"/>
        <v>{"valorA":"teclado de computador","valorB":28}</v>
      </c>
      <c r="E457" s="8" t="str">
        <f t="shared" si="2"/>
        <v>teclado de computador</v>
      </c>
      <c r="F457" s="8"/>
      <c r="G457" s="15" t="str">
        <f t="shared" si="3"/>
        <v>28</v>
      </c>
      <c r="H457" s="9">
        <f t="shared" si="4"/>
        <v>28</v>
      </c>
      <c r="I457" s="6" t="str">
        <f>IFERROR(__xludf.DUMMYFUNCTION("MAX(FILTER($H$2:$H501,$E$2:$E501=F457))"),"#N/A")</f>
        <v>#N/A</v>
      </c>
    </row>
    <row r="458">
      <c r="A458" s="4"/>
      <c r="B458" s="4"/>
      <c r="C458" s="4" t="s">
        <v>1736</v>
      </c>
      <c r="D458" s="6" t="str">
        <f t="shared" si="1"/>
        <v>{"valorA":"ar condicionado","valorB":24}</v>
      </c>
      <c r="E458" s="8" t="str">
        <f t="shared" si="2"/>
        <v>ar condicionado</v>
      </c>
      <c r="F458" s="8"/>
      <c r="G458" s="15" t="str">
        <f t="shared" si="3"/>
        <v>24</v>
      </c>
      <c r="H458" s="9">
        <f t="shared" si="4"/>
        <v>24</v>
      </c>
      <c r="I458" s="6" t="str">
        <f>IFERROR(__xludf.DUMMYFUNCTION("MAX(FILTER($H$2:$H501,$E$2:$E501=F458))"),"#N/A")</f>
        <v>#N/A</v>
      </c>
    </row>
    <row r="459">
      <c r="A459" s="4"/>
      <c r="B459" s="4"/>
      <c r="C459" s="4" t="s">
        <v>2562</v>
      </c>
      <c r="D459" s="6" t="str">
        <f t="shared" si="1"/>
        <v>{"valorA":"purificador de água","valorB":20}</v>
      </c>
      <c r="E459" s="8" t="str">
        <f t="shared" si="2"/>
        <v>purificador de água</v>
      </c>
      <c r="F459" s="8"/>
      <c r="G459" s="15" t="str">
        <f t="shared" si="3"/>
        <v>20</v>
      </c>
      <c r="H459" s="9">
        <f t="shared" si="4"/>
        <v>20</v>
      </c>
      <c r="I459" s="6" t="str">
        <f>IFERROR(__xludf.DUMMYFUNCTION("MAX(FILTER($H$2:$H501,$E$2:$E501=F459))"),"#N/A")</f>
        <v>#N/A</v>
      </c>
    </row>
    <row r="460">
      <c r="A460" s="4"/>
      <c r="B460" s="4"/>
      <c r="C460" s="4" t="s">
        <v>1678</v>
      </c>
      <c r="D460" s="6" t="str">
        <f t="shared" si="1"/>
        <v>{"valorA":"freezer","valorB":20}</v>
      </c>
      <c r="E460" s="8" t="str">
        <f t="shared" si="2"/>
        <v>freezer</v>
      </c>
      <c r="F460" s="8"/>
      <c r="G460" s="15" t="str">
        <f t="shared" si="3"/>
        <v>20</v>
      </c>
      <c r="H460" s="9">
        <f t="shared" si="4"/>
        <v>20</v>
      </c>
      <c r="I460" s="6" t="str">
        <f>IFERROR(__xludf.DUMMYFUNCTION("MAX(FILTER($H$2:$H501,$E$2:$E501=F460))"),"#N/A")</f>
        <v>#N/A</v>
      </c>
    </row>
    <row r="461">
      <c r="A461" s="4"/>
      <c r="B461" s="4"/>
      <c r="C461" s="4" t="s">
        <v>2563</v>
      </c>
      <c r="D461" s="6" t="str">
        <f t="shared" si="1"/>
        <v>{"valorA":"celular","valorB":18}</v>
      </c>
      <c r="E461" s="8" t="str">
        <f t="shared" si="2"/>
        <v>celular</v>
      </c>
      <c r="F461" s="8"/>
      <c r="G461" s="15" t="str">
        <f t="shared" si="3"/>
        <v>18</v>
      </c>
      <c r="H461" s="9">
        <f t="shared" si="4"/>
        <v>18</v>
      </c>
      <c r="I461" s="6" t="str">
        <f>IFERROR(__xludf.DUMMYFUNCTION("MAX(FILTER($H$2:$H501,$E$2:$E501=F461))"),"#N/A")</f>
        <v>#N/A</v>
      </c>
    </row>
    <row r="462">
      <c r="A462" s="4"/>
      <c r="B462" s="4"/>
      <c r="C462" s="4" t="s">
        <v>2564</v>
      </c>
      <c r="D462" s="6" t="str">
        <f t="shared" si="1"/>
        <v>{"valorA":"mouse de computador","valorB":18}</v>
      </c>
      <c r="E462" s="8" t="str">
        <f t="shared" si="2"/>
        <v>mouse de computador</v>
      </c>
      <c r="F462" s="8"/>
      <c r="G462" s="15" t="str">
        <f t="shared" si="3"/>
        <v>18</v>
      </c>
      <c r="H462" s="9">
        <f t="shared" si="4"/>
        <v>18</v>
      </c>
      <c r="I462" s="6" t="str">
        <f>IFERROR(__xludf.DUMMYFUNCTION("MAX(FILTER($H$2:$H501,$E$2:$E501=F462))"),"#N/A")</f>
        <v>#N/A</v>
      </c>
    </row>
    <row r="463">
      <c r="A463" s="4"/>
      <c r="B463" s="4"/>
      <c r="C463" s="4" t="s">
        <v>2565</v>
      </c>
      <c r="D463" s="6" t="str">
        <f t="shared" si="1"/>
        <v>{"valorA":"fone de ouvido","valorB":21}</v>
      </c>
      <c r="E463" s="8" t="str">
        <f t="shared" si="2"/>
        <v>fone de ouvido</v>
      </c>
      <c r="F463" s="8"/>
      <c r="G463" s="15" t="str">
        <f t="shared" si="3"/>
        <v>21</v>
      </c>
      <c r="H463" s="9">
        <f t="shared" si="4"/>
        <v>21</v>
      </c>
      <c r="I463" s="6" t="str">
        <f>IFERROR(__xludf.DUMMYFUNCTION("MAX(FILTER($H$2:$H501,$E$2:$E501=F463))"),"#N/A")</f>
        <v>#N/A</v>
      </c>
    </row>
    <row r="464">
      <c r="A464" s="4"/>
      <c r="B464" s="4"/>
      <c r="C464" s="4" t="s">
        <v>2566</v>
      </c>
      <c r="D464" s="6" t="str">
        <f t="shared" si="1"/>
        <v>{"valorA":"purificador de água","valorB":21}</v>
      </c>
      <c r="E464" s="8" t="str">
        <f t="shared" si="2"/>
        <v>purificador de água</v>
      </c>
      <c r="F464" s="8"/>
      <c r="G464" s="15" t="str">
        <f t="shared" si="3"/>
        <v>21</v>
      </c>
      <c r="H464" s="9">
        <f t="shared" si="4"/>
        <v>21</v>
      </c>
      <c r="I464" s="6" t="str">
        <f>IFERROR(__xludf.DUMMYFUNCTION("MAX(FILTER($H$2:$H501,$E$2:$E501=F464))"),"#N/A")</f>
        <v>#N/A</v>
      </c>
    </row>
    <row r="465">
      <c r="A465" s="4"/>
      <c r="B465" s="4"/>
      <c r="C465" s="4" t="s">
        <v>2567</v>
      </c>
      <c r="D465" s="6" t="str">
        <f t="shared" si="1"/>
        <v>{"valorA":"chuveiro elétrico","valorB":32}</v>
      </c>
      <c r="E465" s="8" t="str">
        <f t="shared" si="2"/>
        <v>chuveiro elétrico</v>
      </c>
      <c r="F465" s="8"/>
      <c r="G465" s="15" t="str">
        <f t="shared" si="3"/>
        <v>32</v>
      </c>
      <c r="H465" s="9">
        <f t="shared" si="4"/>
        <v>32</v>
      </c>
      <c r="I465" s="6" t="str">
        <f>IFERROR(__xludf.DUMMYFUNCTION("MAX(FILTER($H$2:$H501,$E$2:$E501=F465))"),"#N/A")</f>
        <v>#N/A</v>
      </c>
    </row>
    <row r="466">
      <c r="A466" s="4"/>
      <c r="B466" s="4"/>
      <c r="C466" s="4" t="s">
        <v>2568</v>
      </c>
      <c r="D466" s="6" t="str">
        <f t="shared" si="1"/>
        <v>{"valorA":"carregador de computador","valorB":25}</v>
      </c>
      <c r="E466" s="8" t="str">
        <f t="shared" si="2"/>
        <v>carregador de computador</v>
      </c>
      <c r="F466" s="8"/>
      <c r="G466" s="15" t="str">
        <f t="shared" si="3"/>
        <v>25</v>
      </c>
      <c r="H466" s="9">
        <f t="shared" si="4"/>
        <v>25</v>
      </c>
      <c r="I466" s="6" t="str">
        <f>IFERROR(__xludf.DUMMYFUNCTION("MAX(FILTER($H$2:$H501,$E$2:$E501=F466))"),"#N/A")</f>
        <v>#N/A</v>
      </c>
    </row>
    <row r="467">
      <c r="A467" s="4"/>
      <c r="B467" s="4"/>
      <c r="C467" s="4" t="s">
        <v>2569</v>
      </c>
      <c r="D467" s="6" t="str">
        <f t="shared" si="1"/>
        <v>{"valorA":"relógio","valorB":25}</v>
      </c>
      <c r="E467" s="8" t="str">
        <f t="shared" si="2"/>
        <v>relógio</v>
      </c>
      <c r="F467" s="8"/>
      <c r="G467" s="15" t="str">
        <f t="shared" si="3"/>
        <v>25</v>
      </c>
      <c r="H467" s="9">
        <f t="shared" si="4"/>
        <v>25</v>
      </c>
      <c r="I467" s="6" t="str">
        <f>IFERROR(__xludf.DUMMYFUNCTION("MAX(FILTER($H$2:$H501,$E$2:$E501=F467))"),"#N/A")</f>
        <v>#N/A</v>
      </c>
    </row>
    <row r="468">
      <c r="A468" s="4"/>
      <c r="B468" s="4"/>
      <c r="C468" s="4" t="s">
        <v>2570</v>
      </c>
      <c r="D468" s="6" t="str">
        <f t="shared" si="1"/>
        <v>{"valorA":"celular","valorB":19}</v>
      </c>
      <c r="E468" s="8" t="str">
        <f t="shared" si="2"/>
        <v>celular</v>
      </c>
      <c r="F468" s="8"/>
      <c r="G468" s="15" t="str">
        <f t="shared" si="3"/>
        <v>19</v>
      </c>
      <c r="H468" s="9">
        <f t="shared" si="4"/>
        <v>19</v>
      </c>
      <c r="I468" s="6" t="str">
        <f>IFERROR(__xludf.DUMMYFUNCTION("MAX(FILTER($H$2:$H501,$E$2:$E501=F468))"),"#N/A")</f>
        <v>#N/A</v>
      </c>
    </row>
    <row r="469">
      <c r="A469" s="4"/>
      <c r="B469" s="4"/>
      <c r="C469" s="4" t="s">
        <v>1739</v>
      </c>
      <c r="D469" s="6" t="str">
        <f t="shared" si="1"/>
        <v>{"valorA":"ar condicionado","valorB":25}</v>
      </c>
      <c r="E469" s="8" t="str">
        <f t="shared" si="2"/>
        <v>ar condicionado</v>
      </c>
      <c r="F469" s="8"/>
      <c r="G469" s="15" t="str">
        <f t="shared" si="3"/>
        <v>25</v>
      </c>
      <c r="H469" s="9">
        <f t="shared" si="4"/>
        <v>25</v>
      </c>
      <c r="I469" s="6" t="str">
        <f>IFERROR(__xludf.DUMMYFUNCTION("MAX(FILTER($H$2:$H501,$E$2:$E501=F469))"),"#N/A")</f>
        <v>#N/A</v>
      </c>
    </row>
    <row r="470">
      <c r="A470" s="4"/>
      <c r="B470" s="4"/>
      <c r="C470" s="4" t="s">
        <v>2571</v>
      </c>
      <c r="D470" s="6" t="str">
        <f t="shared" si="1"/>
        <v>{"valorA":"relógio","valorB":26}</v>
      </c>
      <c r="E470" s="8" t="str">
        <f t="shared" si="2"/>
        <v>relógio</v>
      </c>
      <c r="F470" s="8"/>
      <c r="G470" s="15" t="str">
        <f t="shared" si="3"/>
        <v>26</v>
      </c>
      <c r="H470" s="9">
        <f t="shared" si="4"/>
        <v>26</v>
      </c>
      <c r="I470" s="6" t="str">
        <f>IFERROR(__xludf.DUMMYFUNCTION("MAX(FILTER($H$2:$H501,$E$2:$E501=F470))"),"#N/A")</f>
        <v>#N/A</v>
      </c>
    </row>
    <row r="471">
      <c r="A471" s="4"/>
      <c r="B471" s="4"/>
      <c r="C471" s="4" t="s">
        <v>2572</v>
      </c>
      <c r="D471" s="6" t="str">
        <f t="shared" si="1"/>
        <v>{"valorA":"ventilador","valorB":27}</v>
      </c>
      <c r="E471" s="8" t="str">
        <f t="shared" si="2"/>
        <v>ventilador</v>
      </c>
      <c r="F471" s="8"/>
      <c r="G471" s="15" t="str">
        <f t="shared" si="3"/>
        <v>27</v>
      </c>
      <c r="H471" s="9">
        <f t="shared" si="4"/>
        <v>27</v>
      </c>
      <c r="I471" s="6" t="str">
        <f>IFERROR(__xludf.DUMMYFUNCTION("MAX(FILTER($H$2:$H501,$E$2:$E501=F471))"),"#N/A")</f>
        <v>#N/A</v>
      </c>
    </row>
    <row r="472">
      <c r="A472" s="4"/>
      <c r="B472" s="4"/>
      <c r="C472" s="4" t="s">
        <v>2573</v>
      </c>
      <c r="D472" s="6" t="str">
        <f t="shared" si="1"/>
        <v>{"valorA":"fogão","valorB":24}</v>
      </c>
      <c r="E472" s="8" t="str">
        <f t="shared" si="2"/>
        <v>fogão</v>
      </c>
      <c r="F472" s="8"/>
      <c r="G472" s="15" t="str">
        <f t="shared" si="3"/>
        <v>24</v>
      </c>
      <c r="H472" s="9">
        <f t="shared" si="4"/>
        <v>24</v>
      </c>
      <c r="I472" s="6" t="str">
        <f>IFERROR(__xludf.DUMMYFUNCTION("MAX(FILTER($H$2:$H501,$E$2:$E501=F472))"),"#N/A")</f>
        <v>#N/A</v>
      </c>
    </row>
    <row r="473">
      <c r="A473" s="4"/>
      <c r="B473" s="4"/>
      <c r="C473" s="4" t="s">
        <v>2574</v>
      </c>
      <c r="D473" s="6" t="str">
        <f t="shared" si="1"/>
        <v>{"valorA":"chuveiro elétrico","valorB":33}</v>
      </c>
      <c r="E473" s="8" t="str">
        <f t="shared" si="2"/>
        <v>chuveiro elétrico</v>
      </c>
      <c r="F473" s="8"/>
      <c r="G473" s="15" t="str">
        <f t="shared" si="3"/>
        <v>33</v>
      </c>
      <c r="H473" s="9">
        <f t="shared" si="4"/>
        <v>33</v>
      </c>
      <c r="I473" s="6" t="str">
        <f>IFERROR(__xludf.DUMMYFUNCTION("MAX(FILTER($H$2:$H501,$E$2:$E501=F473))"),"#N/A")</f>
        <v>#N/A</v>
      </c>
    </row>
    <row r="474">
      <c r="A474" s="4"/>
      <c r="B474" s="4"/>
      <c r="C474" s="4" t="s">
        <v>2575</v>
      </c>
      <c r="D474" s="6" t="str">
        <f t="shared" si="1"/>
        <v>{"valorA":"filtro de linha","valorB":25}</v>
      </c>
      <c r="E474" s="8" t="str">
        <f t="shared" si="2"/>
        <v>filtro de linha</v>
      </c>
      <c r="F474" s="8"/>
      <c r="G474" s="15" t="str">
        <f t="shared" si="3"/>
        <v>25</v>
      </c>
      <c r="H474" s="9">
        <f t="shared" si="4"/>
        <v>25</v>
      </c>
      <c r="I474" s="6" t="str">
        <f>IFERROR(__xludf.DUMMYFUNCTION("MAX(FILTER($H$2:$H501,$E$2:$E501=F474))"),"#N/A")</f>
        <v>#N/A</v>
      </c>
    </row>
    <row r="475">
      <c r="A475" s="4"/>
      <c r="B475" s="4"/>
      <c r="C475" s="4" t="s">
        <v>2576</v>
      </c>
      <c r="D475" s="6" t="str">
        <f t="shared" si="1"/>
        <v>{"valorA":"fogão","valorB":25}</v>
      </c>
      <c r="E475" s="8" t="str">
        <f t="shared" si="2"/>
        <v>fogão</v>
      </c>
      <c r="F475" s="8"/>
      <c r="G475" s="15" t="str">
        <f t="shared" si="3"/>
        <v>25</v>
      </c>
      <c r="H475" s="9">
        <f t="shared" si="4"/>
        <v>25</v>
      </c>
      <c r="I475" s="6" t="str">
        <f>IFERROR(__xludf.DUMMYFUNCTION("MAX(FILTER($H$2:$H501,$E$2:$E501=F475))"),"#N/A")</f>
        <v>#N/A</v>
      </c>
    </row>
    <row r="476">
      <c r="A476" s="4"/>
      <c r="B476" s="4"/>
      <c r="C476" s="4" t="s">
        <v>1740</v>
      </c>
      <c r="D476" s="6" t="str">
        <f t="shared" si="1"/>
        <v>{"valorA":"microondas","valorB":24}</v>
      </c>
      <c r="E476" s="8" t="str">
        <f t="shared" si="2"/>
        <v>microondas</v>
      </c>
      <c r="F476" s="8"/>
      <c r="G476" s="15" t="str">
        <f t="shared" si="3"/>
        <v>24</v>
      </c>
      <c r="H476" s="9">
        <f t="shared" si="4"/>
        <v>24</v>
      </c>
      <c r="I476" s="6" t="str">
        <f>IFERROR(__xludf.DUMMYFUNCTION("MAX(FILTER($H$2:$H501,$E$2:$E501=F476))"),"#N/A")</f>
        <v>#N/A</v>
      </c>
    </row>
    <row r="477">
      <c r="A477" s="4"/>
      <c r="B477" s="4"/>
      <c r="C477" s="4" t="s">
        <v>2577</v>
      </c>
      <c r="D477" s="6" t="str">
        <f t="shared" si="1"/>
        <v>{"valorA":"aspirador","valorB":27}</v>
      </c>
      <c r="E477" s="8" t="str">
        <f t="shared" si="2"/>
        <v>aspirador</v>
      </c>
      <c r="F477" s="8"/>
      <c r="G477" s="15" t="str">
        <f t="shared" si="3"/>
        <v>27</v>
      </c>
      <c r="H477" s="9">
        <f t="shared" si="4"/>
        <v>27</v>
      </c>
      <c r="I477" s="6" t="str">
        <f>IFERROR(__xludf.DUMMYFUNCTION("MAX(FILTER($H$2:$H501,$E$2:$E501=F477))"),"#N/A")</f>
        <v>#N/A</v>
      </c>
    </row>
    <row r="478">
      <c r="A478" s="4"/>
      <c r="B478" s="4"/>
      <c r="C478" s="4" t="s">
        <v>1679</v>
      </c>
      <c r="D478" s="6" t="str">
        <f t="shared" si="1"/>
        <v>{"valorA":"freezer","valorB":21}</v>
      </c>
      <c r="E478" s="8" t="str">
        <f t="shared" si="2"/>
        <v>freezer</v>
      </c>
      <c r="F478" s="8"/>
      <c r="G478" s="15" t="str">
        <f t="shared" si="3"/>
        <v>21</v>
      </c>
      <c r="H478" s="9">
        <f t="shared" si="4"/>
        <v>21</v>
      </c>
      <c r="I478" s="6" t="str">
        <f>IFERROR(__xludf.DUMMYFUNCTION("MAX(FILTER($H$2:$H501,$E$2:$E501=F478))"),"#N/A")</f>
        <v>#N/A</v>
      </c>
    </row>
    <row r="479">
      <c r="A479" s="4"/>
      <c r="B479" s="4"/>
      <c r="C479" s="4" t="s">
        <v>2578</v>
      </c>
      <c r="D479" s="6" t="str">
        <f t="shared" si="1"/>
        <v>{"valorA":"lustre","valorB":20}</v>
      </c>
      <c r="E479" s="8" t="str">
        <f t="shared" si="2"/>
        <v>lustre</v>
      </c>
      <c r="F479" s="8"/>
      <c r="G479" s="15" t="str">
        <f t="shared" si="3"/>
        <v>20</v>
      </c>
      <c r="H479" s="9">
        <f t="shared" si="4"/>
        <v>20</v>
      </c>
      <c r="I479" s="6" t="str">
        <f>IFERROR(__xludf.DUMMYFUNCTION("MAX(FILTER($H$2:$H501,$E$2:$E501=F479))"),"#N/A")</f>
        <v>#N/A</v>
      </c>
    </row>
    <row r="480">
      <c r="A480" s="4"/>
      <c r="B480" s="4"/>
      <c r="C480" s="4" t="s">
        <v>2579</v>
      </c>
      <c r="D480" s="6" t="str">
        <f t="shared" si="1"/>
        <v>{"valorA":"mouse de computador","valorB":19}</v>
      </c>
      <c r="E480" s="8" t="str">
        <f t="shared" si="2"/>
        <v>mouse de computador</v>
      </c>
      <c r="F480" s="8"/>
      <c r="G480" s="15" t="str">
        <f t="shared" si="3"/>
        <v>19</v>
      </c>
      <c r="H480" s="9">
        <f t="shared" si="4"/>
        <v>19</v>
      </c>
      <c r="I480" s="6" t="str">
        <f>IFERROR(__xludf.DUMMYFUNCTION("MAX(FILTER($H$2:$H501,$E$2:$E501=F480))"),"#N/A")</f>
        <v>#N/A</v>
      </c>
    </row>
    <row r="481">
      <c r="A481" s="4"/>
      <c r="B481" s="4"/>
      <c r="C481" s="4" t="s">
        <v>2580</v>
      </c>
      <c r="D481" s="6" t="str">
        <f t="shared" si="1"/>
        <v>{"valorA":"aspirador","valorB":28}</v>
      </c>
      <c r="E481" s="8" t="str">
        <f t="shared" si="2"/>
        <v>aspirador</v>
      </c>
      <c r="F481" s="8"/>
      <c r="G481" s="15" t="str">
        <f t="shared" si="3"/>
        <v>28</v>
      </c>
      <c r="H481" s="9">
        <f t="shared" si="4"/>
        <v>28</v>
      </c>
      <c r="I481" s="6" t="str">
        <f>IFERROR(__xludf.DUMMYFUNCTION("MAX(FILTER($H$2:$H501,$E$2:$E501=F481))"),"#N/A")</f>
        <v>#N/A</v>
      </c>
    </row>
    <row r="482">
      <c r="A482" s="4"/>
      <c r="B482" s="4"/>
      <c r="C482" s="4" t="s">
        <v>2581</v>
      </c>
      <c r="D482" s="6" t="str">
        <f t="shared" si="1"/>
        <v>{"valorA":"fone de ouvido","valorB":22}</v>
      </c>
      <c r="E482" s="8" t="str">
        <f t="shared" si="2"/>
        <v>fone de ouvido</v>
      </c>
      <c r="F482" s="8"/>
      <c r="G482" s="15" t="str">
        <f t="shared" si="3"/>
        <v>22</v>
      </c>
      <c r="H482" s="9">
        <f t="shared" si="4"/>
        <v>22</v>
      </c>
      <c r="I482" s="6" t="str">
        <f>IFERROR(__xludf.DUMMYFUNCTION("MAX(FILTER($H$2:$H501,$E$2:$E501=F482))"),"#N/A")</f>
        <v>#N/A</v>
      </c>
    </row>
    <row r="483">
      <c r="A483" s="4"/>
      <c r="B483" s="4"/>
      <c r="C483" s="4" t="s">
        <v>1741</v>
      </c>
      <c r="D483" s="6" t="str">
        <f t="shared" si="1"/>
        <v>{"valorA":"ar condicionado","valorB":26}</v>
      </c>
      <c r="E483" s="8" t="str">
        <f t="shared" si="2"/>
        <v>ar condicionado</v>
      </c>
      <c r="F483" s="8"/>
      <c r="G483" s="15" t="str">
        <f t="shared" si="3"/>
        <v>26</v>
      </c>
      <c r="H483" s="9">
        <f t="shared" si="4"/>
        <v>26</v>
      </c>
      <c r="I483" s="6" t="str">
        <f>IFERROR(__xludf.DUMMYFUNCTION("MAX(FILTER($H$2:$H501,$E$2:$E501=F483))"),"#N/A")</f>
        <v>#N/A</v>
      </c>
    </row>
    <row r="484">
      <c r="A484" s="4"/>
      <c r="B484" s="4"/>
      <c r="C484" s="4" t="s">
        <v>2582</v>
      </c>
      <c r="D484" s="6" t="str">
        <f t="shared" si="1"/>
        <v>{"valorA":"celular","valorB":20}</v>
      </c>
      <c r="E484" s="8" t="str">
        <f t="shared" si="2"/>
        <v>celular</v>
      </c>
      <c r="F484" s="8"/>
      <c r="G484" s="15" t="str">
        <f t="shared" si="3"/>
        <v>20</v>
      </c>
      <c r="H484" s="9">
        <f t="shared" si="4"/>
        <v>20</v>
      </c>
      <c r="I484" s="6" t="str">
        <f>IFERROR(__xludf.DUMMYFUNCTION("MAX(FILTER($H$2:$H501,$E$2:$E501=F484))"),"#N/A")</f>
        <v>#N/A</v>
      </c>
    </row>
    <row r="485">
      <c r="A485" s="4"/>
      <c r="B485" s="4"/>
      <c r="C485" s="4" t="s">
        <v>2583</v>
      </c>
      <c r="D485" s="6" t="str">
        <f t="shared" si="1"/>
        <v>{"valorA":"mouse de computador","valorB":20}</v>
      </c>
      <c r="E485" s="8" t="str">
        <f t="shared" si="2"/>
        <v>mouse de computador</v>
      </c>
      <c r="F485" s="8"/>
      <c r="G485" s="15" t="str">
        <f t="shared" si="3"/>
        <v>20</v>
      </c>
      <c r="H485" s="9">
        <f t="shared" si="4"/>
        <v>20</v>
      </c>
      <c r="I485" s="6" t="str">
        <f>IFERROR(__xludf.DUMMYFUNCTION("MAX(FILTER($H$2:$H501,$E$2:$E501=F485))"),"#N/A")</f>
        <v>#N/A</v>
      </c>
    </row>
    <row r="486">
      <c r="A486" s="4"/>
      <c r="B486" s="4"/>
      <c r="C486" s="4" t="s">
        <v>2584</v>
      </c>
      <c r="D486" s="6" t="str">
        <f t="shared" si="1"/>
        <v>{"valorA":"computador","valorB":27}</v>
      </c>
      <c r="E486" s="8" t="str">
        <f t="shared" si="2"/>
        <v>computador</v>
      </c>
      <c r="F486" s="8"/>
      <c r="G486" s="15" t="str">
        <f t="shared" si="3"/>
        <v>27</v>
      </c>
      <c r="H486" s="9">
        <f t="shared" si="4"/>
        <v>27</v>
      </c>
      <c r="I486" s="6" t="str">
        <f>IFERROR(__xludf.DUMMYFUNCTION("MAX(FILTER($H$2:$H501,$E$2:$E501=F486))"),"#N/A")</f>
        <v>#N/A</v>
      </c>
    </row>
    <row r="487">
      <c r="A487" s="4"/>
      <c r="B487" s="4"/>
      <c r="C487" s="4" t="s">
        <v>2585</v>
      </c>
      <c r="D487" s="6" t="str">
        <f t="shared" si="1"/>
        <v>{"valorA":"relógio","valorB":27}</v>
      </c>
      <c r="E487" s="8" t="str">
        <f t="shared" si="2"/>
        <v>relógio</v>
      </c>
      <c r="F487" s="8"/>
      <c r="G487" s="15" t="str">
        <f t="shared" si="3"/>
        <v>27</v>
      </c>
      <c r="H487" s="9">
        <f t="shared" si="4"/>
        <v>27</v>
      </c>
      <c r="I487" s="6" t="str">
        <f>IFERROR(__xludf.DUMMYFUNCTION("MAX(FILTER($H$2:$H501,$E$2:$E501=F487))"),"#N/A")</f>
        <v>#N/A</v>
      </c>
    </row>
    <row r="488">
      <c r="A488" s="4"/>
      <c r="B488" s="4"/>
      <c r="C488" s="4" t="s">
        <v>2586</v>
      </c>
      <c r="D488" s="6" t="str">
        <f t="shared" si="1"/>
        <v>{"valorA":"roteador","valorB":27}</v>
      </c>
      <c r="E488" s="8" t="str">
        <f t="shared" si="2"/>
        <v>roteador</v>
      </c>
      <c r="F488" s="8"/>
      <c r="G488" s="15" t="str">
        <f t="shared" si="3"/>
        <v>27</v>
      </c>
      <c r="H488" s="9">
        <f t="shared" si="4"/>
        <v>27</v>
      </c>
      <c r="I488" s="6" t="str">
        <f>IFERROR(__xludf.DUMMYFUNCTION("MAX(FILTER($H$2:$H501,$E$2:$E501=F488))"),"#N/A")</f>
        <v>#N/A</v>
      </c>
    </row>
    <row r="489">
      <c r="A489" s="4"/>
      <c r="B489" s="4"/>
      <c r="C489" s="4" t="s">
        <v>2587</v>
      </c>
      <c r="D489" s="6" t="str">
        <f t="shared" si="1"/>
        <v>{"valorA":"ventilador","valorB":28}</v>
      </c>
      <c r="E489" s="8" t="str">
        <f t="shared" si="2"/>
        <v>ventilador</v>
      </c>
      <c r="F489" s="8"/>
      <c r="G489" s="15" t="str">
        <f t="shared" si="3"/>
        <v>28</v>
      </c>
      <c r="H489" s="9">
        <f t="shared" si="4"/>
        <v>28</v>
      </c>
      <c r="I489" s="6" t="str">
        <f>IFERROR(__xludf.DUMMYFUNCTION("MAX(FILTER($H$2:$H501,$E$2:$E501=F489))"),"#N/A")</f>
        <v>#N/A</v>
      </c>
    </row>
    <row r="490">
      <c r="A490" s="4"/>
      <c r="B490" s="4"/>
      <c r="C490" s="4" t="s">
        <v>2588</v>
      </c>
      <c r="D490" s="6" t="str">
        <f t="shared" si="1"/>
        <v>{"valorA":"teclado de computador","valorB":29}</v>
      </c>
      <c r="E490" s="8" t="str">
        <f t="shared" si="2"/>
        <v>teclado de computador</v>
      </c>
      <c r="F490" s="8"/>
      <c r="G490" s="15" t="str">
        <f t="shared" si="3"/>
        <v>29</v>
      </c>
      <c r="H490" s="9">
        <f t="shared" si="4"/>
        <v>29</v>
      </c>
      <c r="I490" s="6" t="str">
        <f>IFERROR(__xludf.DUMMYFUNCTION("MAX(FILTER($H$2:$H501,$E$2:$E501=F490))"),"#N/A")</f>
        <v>#N/A</v>
      </c>
    </row>
    <row r="491">
      <c r="A491" s="4"/>
      <c r="B491" s="4"/>
      <c r="C491" s="4" t="s">
        <v>2589</v>
      </c>
      <c r="D491" s="6" t="str">
        <f t="shared" si="1"/>
        <v>{"valorA":"aspirador","valorB":29}</v>
      </c>
      <c r="E491" s="8" t="str">
        <f t="shared" si="2"/>
        <v>aspirador</v>
      </c>
      <c r="F491" s="8"/>
      <c r="G491" s="15" t="str">
        <f t="shared" si="3"/>
        <v>29</v>
      </c>
      <c r="H491" s="9">
        <f t="shared" si="4"/>
        <v>29</v>
      </c>
      <c r="I491" s="6" t="str">
        <f>IFERROR(__xludf.DUMMYFUNCTION("MAX(FILTER($H$2:$H501,$E$2:$E501=F491))"),"#N/A")</f>
        <v>#N/A</v>
      </c>
    </row>
    <row r="492">
      <c r="A492" s="4"/>
      <c r="B492" s="4"/>
      <c r="C492" s="4" t="s">
        <v>2590</v>
      </c>
      <c r="D492" s="6" t="str">
        <f t="shared" si="1"/>
        <v>{"valorA":"liquidificador","valorB":25}</v>
      </c>
      <c r="E492" s="8" t="str">
        <f t="shared" si="2"/>
        <v>liquidificador</v>
      </c>
      <c r="F492" s="8"/>
      <c r="G492" s="15" t="str">
        <f t="shared" si="3"/>
        <v>25</v>
      </c>
      <c r="H492" s="9">
        <f t="shared" si="4"/>
        <v>25</v>
      </c>
      <c r="I492" s="6" t="str">
        <f>IFERROR(__xludf.DUMMYFUNCTION("MAX(FILTER($H$2:$H501,$E$2:$E501=F492))"),"#N/A")</f>
        <v>#N/A</v>
      </c>
    </row>
    <row r="493">
      <c r="A493" s="4"/>
      <c r="B493" s="4"/>
      <c r="C493" s="4" t="s">
        <v>1742</v>
      </c>
      <c r="D493" s="6" t="str">
        <f t="shared" si="1"/>
        <v>{"valorA":"ar condicionado","valorB":27}</v>
      </c>
      <c r="E493" s="8" t="str">
        <f t="shared" si="2"/>
        <v>ar condicionado</v>
      </c>
      <c r="F493" s="8"/>
      <c r="G493" s="15" t="str">
        <f t="shared" si="3"/>
        <v>27</v>
      </c>
      <c r="H493" s="9">
        <f t="shared" si="4"/>
        <v>27</v>
      </c>
      <c r="I493" s="6" t="str">
        <f>IFERROR(__xludf.DUMMYFUNCTION("MAX(FILTER($H$2:$H501,$E$2:$E501=F493))"),"#N/A")</f>
        <v>#N/A</v>
      </c>
    </row>
    <row r="494">
      <c r="A494" s="4"/>
      <c r="B494" s="4"/>
      <c r="C494" s="4" t="s">
        <v>2591</v>
      </c>
      <c r="D494" s="6" t="str">
        <f t="shared" si="1"/>
        <v>{"valorA":"carregador de celular","valorB":18}</v>
      </c>
      <c r="E494" s="8" t="str">
        <f t="shared" si="2"/>
        <v>carregador de celular</v>
      </c>
      <c r="F494" s="8"/>
      <c r="G494" s="15" t="str">
        <f t="shared" si="3"/>
        <v>18</v>
      </c>
      <c r="H494" s="9">
        <f t="shared" si="4"/>
        <v>18</v>
      </c>
      <c r="I494" s="6" t="str">
        <f>IFERROR(__xludf.DUMMYFUNCTION("MAX(FILTER($H$2:$H501,$E$2:$E501=F494))"),"#N/A")</f>
        <v>#N/A</v>
      </c>
    </row>
    <row r="495">
      <c r="A495" s="4"/>
      <c r="B495" s="4"/>
      <c r="C495" s="4" t="s">
        <v>2592</v>
      </c>
      <c r="D495" s="6" t="str">
        <f t="shared" si="1"/>
        <v>{"valorA":"aspirador","valorB":30}</v>
      </c>
      <c r="E495" s="8" t="str">
        <f t="shared" si="2"/>
        <v>aspirador</v>
      </c>
      <c r="F495" s="8"/>
      <c r="G495" s="15" t="str">
        <f t="shared" si="3"/>
        <v>30</v>
      </c>
      <c r="H495" s="9">
        <f t="shared" si="4"/>
        <v>30</v>
      </c>
      <c r="I495" s="6" t="str">
        <f>IFERROR(__xludf.DUMMYFUNCTION("MAX(FILTER($H$2:$H501,$E$2:$E501=F495))"),"#N/A")</f>
        <v>#N/A</v>
      </c>
    </row>
    <row r="496">
      <c r="A496" s="4"/>
      <c r="B496" s="4"/>
      <c r="C496" s="4" t="s">
        <v>2593</v>
      </c>
      <c r="D496" s="6" t="str">
        <f t="shared" si="1"/>
        <v>{"valorA":"aspirador","valorB":31}</v>
      </c>
      <c r="E496" s="8" t="str">
        <f t="shared" si="2"/>
        <v>aspirador</v>
      </c>
      <c r="F496" s="8"/>
      <c r="G496" s="15" t="str">
        <f t="shared" si="3"/>
        <v>31</v>
      </c>
      <c r="H496" s="9">
        <f t="shared" si="4"/>
        <v>31</v>
      </c>
      <c r="I496" s="6" t="str">
        <f>IFERROR(__xludf.DUMMYFUNCTION("MAX(FILTER($H$2:$H501,$E$2:$E501=F496))"),"#N/A")</f>
        <v>#N/A</v>
      </c>
    </row>
    <row r="497">
      <c r="A497" s="4"/>
      <c r="B497" s="4"/>
      <c r="C497" s="4" t="s">
        <v>2594</v>
      </c>
      <c r="D497" s="6" t="str">
        <f t="shared" si="1"/>
        <v>{"valorA":"fone de ouvido","valorB":23}</v>
      </c>
      <c r="E497" s="8" t="str">
        <f t="shared" si="2"/>
        <v>fone de ouvido</v>
      </c>
      <c r="F497" s="8"/>
      <c r="G497" s="15" t="str">
        <f t="shared" si="3"/>
        <v>23</v>
      </c>
      <c r="H497" s="9">
        <f t="shared" si="4"/>
        <v>23</v>
      </c>
      <c r="I497" s="6" t="str">
        <f>IFERROR(__xludf.DUMMYFUNCTION("MAX(FILTER($H$2:$H501,$E$2:$E501=F497))"),"#N/A")</f>
        <v>#N/A</v>
      </c>
    </row>
    <row r="498">
      <c r="A498" s="4"/>
      <c r="B498" s="4"/>
      <c r="C498" s="4" t="s">
        <v>2595</v>
      </c>
      <c r="D498" s="6" t="str">
        <f t="shared" si="1"/>
        <v>{"valorA":"roteador","valorB":28}</v>
      </c>
      <c r="E498" s="8" t="str">
        <f t="shared" si="2"/>
        <v>roteador</v>
      </c>
      <c r="F498" s="8"/>
      <c r="G498" s="15" t="str">
        <f t="shared" si="3"/>
        <v>28</v>
      </c>
      <c r="H498" s="9">
        <f t="shared" si="4"/>
        <v>28</v>
      </c>
      <c r="I498" s="6" t="str">
        <f>IFERROR(__xludf.DUMMYFUNCTION("MAX(FILTER($H$2:$H501,$E$2:$E501=F498))"),"#N/A")</f>
        <v>#N/A</v>
      </c>
    </row>
    <row r="499">
      <c r="A499" s="4"/>
      <c r="B499" s="4"/>
      <c r="C499" s="4" t="s">
        <v>1680</v>
      </c>
      <c r="D499" s="6" t="str">
        <f t="shared" si="1"/>
        <v>{"valorA":"freezer","valorB":22}</v>
      </c>
      <c r="E499" s="8" t="str">
        <f t="shared" si="2"/>
        <v>freezer</v>
      </c>
      <c r="F499" s="8"/>
      <c r="G499" s="15" t="str">
        <f t="shared" si="3"/>
        <v>22</v>
      </c>
      <c r="H499" s="9">
        <f t="shared" si="4"/>
        <v>22</v>
      </c>
      <c r="I499" s="6" t="str">
        <f>IFERROR(__xludf.DUMMYFUNCTION("MAX(FILTER($H$2:$H501,$E$2:$E501=F499))"),"#N/A")</f>
        <v>#N/A</v>
      </c>
    </row>
    <row r="500">
      <c r="A500" s="4"/>
      <c r="B500" s="4"/>
      <c r="C500" s="4" t="s">
        <v>2596</v>
      </c>
      <c r="D500" s="6" t="str">
        <f t="shared" si="1"/>
        <v>{"valorA":"relógio","valorB":28}</v>
      </c>
      <c r="E500" s="8" t="str">
        <f t="shared" si="2"/>
        <v>relógio</v>
      </c>
      <c r="F500" s="8"/>
      <c r="G500" s="15" t="str">
        <f t="shared" si="3"/>
        <v>28</v>
      </c>
      <c r="H500" s="9">
        <f t="shared" si="4"/>
        <v>28</v>
      </c>
      <c r="I500" s="6" t="str">
        <f>IFERROR(__xludf.DUMMYFUNCTION("MAX(FILTER($H$2:$H501,$E$2:$E501=F500))"),"#N/A")</f>
        <v>#N/A</v>
      </c>
    </row>
    <row r="501">
      <c r="A501" s="4"/>
      <c r="B501" s="4"/>
      <c r="C501" s="4" t="s">
        <v>2597</v>
      </c>
      <c r="D501" s="6" t="str">
        <f t="shared" si="1"/>
        <v>{"valorA":"fone de ouvido","valorB":24}</v>
      </c>
      <c r="E501" s="8" t="str">
        <f t="shared" si="2"/>
        <v>fone de ouvido</v>
      </c>
      <c r="F501" s="8"/>
      <c r="G501" s="15" t="str">
        <f t="shared" si="3"/>
        <v>24</v>
      </c>
      <c r="H501" s="9">
        <f t="shared" si="4"/>
        <v>24</v>
      </c>
      <c r="I501" s="6" t="str">
        <f>IFERROR(__xludf.DUMMYFUNCTION("MAX(FILTER($H$2:$H501,$E$2:$E501=F501))"),"#N/A")</f>
        <v>#N/A</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c r="A2" s="4" t="s">
        <v>2598</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33</v>
      </c>
    </row>
    <row r="3">
      <c r="A3" s="4" t="s">
        <v>36</v>
      </c>
    </row>
    <row r="4">
      <c r="A4" s="4" t="s">
        <v>71</v>
      </c>
    </row>
    <row r="5">
      <c r="A5" s="4" t="s">
        <v>44</v>
      </c>
    </row>
    <row r="6">
      <c r="A6" s="4" t="s">
        <v>72</v>
      </c>
    </row>
    <row r="7">
      <c r="A7" s="4" t="s">
        <v>77</v>
      </c>
    </row>
    <row r="8">
      <c r="A8" s="4" t="s">
        <v>2599</v>
      </c>
    </row>
    <row r="9">
      <c r="A9" s="4" t="s">
        <v>79</v>
      </c>
    </row>
    <row r="10">
      <c r="A10" s="4" t="s">
        <v>2600</v>
      </c>
    </row>
    <row r="11">
      <c r="A11" s="4" t="s">
        <v>33</v>
      </c>
    </row>
    <row r="12">
      <c r="A12" s="4" t="s">
        <v>34</v>
      </c>
    </row>
    <row r="13">
      <c r="A13" s="4" t="s">
        <v>36</v>
      </c>
    </row>
    <row r="14">
      <c r="A14" s="4" t="s">
        <v>1217</v>
      </c>
    </row>
    <row r="15">
      <c r="A15" s="4" t="s">
        <v>88</v>
      </c>
    </row>
    <row r="16">
      <c r="A16" s="4" t="s">
        <v>89</v>
      </c>
    </row>
    <row r="17">
      <c r="A17" s="4" t="s">
        <v>33</v>
      </c>
    </row>
    <row r="18">
      <c r="A18" s="4" t="s">
        <v>51</v>
      </c>
    </row>
    <row r="19">
      <c r="A19" s="4" t="s">
        <v>1217</v>
      </c>
    </row>
    <row r="20">
      <c r="A20" s="4" t="s">
        <v>50</v>
      </c>
    </row>
    <row r="21">
      <c r="A21" s="4" t="s">
        <v>40</v>
      </c>
    </row>
    <row r="22">
      <c r="A22" s="4" t="s">
        <v>129</v>
      </c>
    </row>
    <row r="23">
      <c r="A23" s="4" t="s">
        <v>120</v>
      </c>
    </row>
    <row r="24">
      <c r="A24" s="4" t="s">
        <v>33</v>
      </c>
    </row>
    <row r="25">
      <c r="A25" s="4" t="s">
        <v>48</v>
      </c>
    </row>
    <row r="26">
      <c r="A26" s="4" t="s">
        <v>1230</v>
      </c>
    </row>
    <row r="27">
      <c r="A27" s="4" t="s">
        <v>521</v>
      </c>
    </row>
    <row r="28">
      <c r="A28" s="4" t="s">
        <v>523</v>
      </c>
    </row>
    <row r="29">
      <c r="A29" s="4" t="s">
        <v>33</v>
      </c>
    </row>
    <row r="30">
      <c r="A30" s="4" t="s">
        <v>34</v>
      </c>
    </row>
    <row r="31">
      <c r="A31" s="4" t="s">
        <v>121</v>
      </c>
    </row>
    <row r="32">
      <c r="A32" s="4" t="s">
        <v>92</v>
      </c>
    </row>
    <row r="33">
      <c r="A33" s="4" t="s">
        <v>122</v>
      </c>
    </row>
    <row r="34">
      <c r="A34" s="4" t="s">
        <v>119</v>
      </c>
    </row>
    <row r="35">
      <c r="A35" s="4" t="s">
        <v>500</v>
      </c>
    </row>
    <row r="36">
      <c r="A36" s="4" t="s">
        <v>109</v>
      </c>
    </row>
    <row r="37">
      <c r="A37" s="4" t="s">
        <v>501</v>
      </c>
    </row>
    <row r="38">
      <c r="A38" s="4" t="s">
        <v>33</v>
      </c>
    </row>
    <row r="39">
      <c r="A39" s="4" t="s">
        <v>34</v>
      </c>
    </row>
    <row r="40">
      <c r="A40" s="4" t="s">
        <v>40</v>
      </c>
    </row>
    <row r="41">
      <c r="A41" s="4" t="s">
        <v>53</v>
      </c>
    </row>
    <row r="42">
      <c r="A42" s="4" t="s">
        <v>115</v>
      </c>
    </row>
    <row r="43">
      <c r="A43" s="4" t="s">
        <v>92</v>
      </c>
    </row>
    <row r="44">
      <c r="A44" s="4" t="s">
        <v>93</v>
      </c>
    </row>
    <row r="45">
      <c r="A45" s="4" t="s">
        <v>33</v>
      </c>
    </row>
    <row r="46">
      <c r="A46" s="4" t="s">
        <v>34</v>
      </c>
    </row>
    <row r="47">
      <c r="A47" s="4" t="s">
        <v>62</v>
      </c>
    </row>
    <row r="48">
      <c r="A48" s="4" t="s">
        <v>1363</v>
      </c>
    </row>
    <row r="49">
      <c r="A49" s="4" t="s">
        <v>1356</v>
      </c>
    </row>
    <row r="50">
      <c r="A50" s="4" t="s">
        <v>970</v>
      </c>
    </row>
    <row r="51">
      <c r="A51" s="4" t="s">
        <v>33</v>
      </c>
    </row>
    <row r="52">
      <c r="A52" s="4" t="s">
        <v>34</v>
      </c>
    </row>
    <row r="53">
      <c r="A53" s="4" t="s">
        <v>88</v>
      </c>
    </row>
    <row r="54">
      <c r="A54" s="4" t="s">
        <v>75</v>
      </c>
    </row>
    <row r="55">
      <c r="A55" s="4" t="s">
        <v>48</v>
      </c>
    </row>
    <row r="56">
      <c r="A56" s="4" t="s">
        <v>35</v>
      </c>
    </row>
    <row r="57">
      <c r="A57" s="4" t="s">
        <v>107</v>
      </c>
    </row>
    <row r="58">
      <c r="A58" s="4" t="s">
        <v>41</v>
      </c>
    </row>
    <row r="59">
      <c r="A59" s="4" t="s">
        <v>42</v>
      </c>
    </row>
    <row r="60">
      <c r="A60" s="4" t="s">
        <v>33</v>
      </c>
    </row>
    <row r="61">
      <c r="A61" s="4" t="s">
        <v>34</v>
      </c>
    </row>
    <row r="62">
      <c r="A62" s="4" t="s">
        <v>80</v>
      </c>
    </row>
    <row r="63">
      <c r="A63" s="4" t="s">
        <v>37</v>
      </c>
    </row>
    <row r="64">
      <c r="A64" s="4" t="s">
        <v>38</v>
      </c>
    </row>
    <row r="65">
      <c r="A65" s="4" t="s">
        <v>2601</v>
      </c>
    </row>
    <row r="66">
      <c r="A66" s="4" t="s">
        <v>92</v>
      </c>
    </row>
    <row r="67">
      <c r="A67" s="4" t="s">
        <v>93</v>
      </c>
    </row>
    <row r="68">
      <c r="A68" s="4" t="s">
        <v>33</v>
      </c>
    </row>
    <row r="69">
      <c r="A69" s="4" t="s">
        <v>34</v>
      </c>
    </row>
    <row r="70">
      <c r="A70" s="4" t="s">
        <v>61</v>
      </c>
    </row>
    <row r="71">
      <c r="A71" s="4" t="s">
        <v>119</v>
      </c>
    </row>
    <row r="72">
      <c r="A72" s="4" t="s">
        <v>120</v>
      </c>
    </row>
    <row r="73">
      <c r="A73" s="4" t="s">
        <v>33</v>
      </c>
    </row>
    <row r="74">
      <c r="A74" s="4" t="s">
        <v>48</v>
      </c>
    </row>
    <row r="75">
      <c r="A75" s="4" t="s">
        <v>147</v>
      </c>
    </row>
    <row r="76">
      <c r="A76" s="4" t="s">
        <v>80</v>
      </c>
    </row>
    <row r="77">
      <c r="A77" s="4" t="s">
        <v>866</v>
      </c>
    </row>
    <row r="78">
      <c r="A78" s="4" t="s">
        <v>109</v>
      </c>
    </row>
    <row r="79">
      <c r="A79" s="4" t="s">
        <v>110</v>
      </c>
    </row>
    <row r="80">
      <c r="A80" s="4" t="s">
        <v>33</v>
      </c>
    </row>
    <row r="81">
      <c r="A81" s="4" t="s">
        <v>34</v>
      </c>
    </row>
    <row r="82">
      <c r="A82" s="4" t="s">
        <v>50</v>
      </c>
    </row>
    <row r="83">
      <c r="A83" s="4" t="s">
        <v>40</v>
      </c>
    </row>
    <row r="84">
      <c r="A84" s="4" t="s">
        <v>129</v>
      </c>
    </row>
    <row r="85">
      <c r="A85" s="4" t="s">
        <v>120</v>
      </c>
    </row>
    <row r="86">
      <c r="A86" s="4" t="s">
        <v>33</v>
      </c>
    </row>
    <row r="87">
      <c r="A87" s="4" t="s">
        <v>2602</v>
      </c>
    </row>
    <row r="88">
      <c r="A88" s="4" t="s">
        <v>109</v>
      </c>
    </row>
    <row r="89">
      <c r="A89" s="4" t="s">
        <v>110</v>
      </c>
    </row>
    <row r="90">
      <c r="A90" s="4" t="s">
        <v>111</v>
      </c>
    </row>
    <row r="91">
      <c r="A91" s="4" t="s">
        <v>88</v>
      </c>
    </row>
    <row r="92">
      <c r="A92" s="4" t="s">
        <v>89</v>
      </c>
    </row>
    <row r="93">
      <c r="A93" s="4" t="s">
        <v>33</v>
      </c>
    </row>
    <row r="94">
      <c r="A94" s="4" t="s">
        <v>34</v>
      </c>
    </row>
    <row r="95">
      <c r="A95" s="4" t="s">
        <v>88</v>
      </c>
    </row>
    <row r="96">
      <c r="A96" s="4" t="s">
        <v>89</v>
      </c>
    </row>
    <row r="97">
      <c r="A97" s="4" t="s">
        <v>48</v>
      </c>
    </row>
    <row r="98">
      <c r="A98" s="4" t="s">
        <v>35</v>
      </c>
    </row>
    <row r="99">
      <c r="A99" s="4" t="s">
        <v>107</v>
      </c>
    </row>
    <row r="100">
      <c r="A100" s="4" t="s">
        <v>41</v>
      </c>
    </row>
    <row r="101">
      <c r="A101" s="4" t="s">
        <v>42</v>
      </c>
    </row>
    <row r="102">
      <c r="A102" s="4" t="s">
        <v>33</v>
      </c>
    </row>
    <row r="103">
      <c r="A103" s="4" t="s">
        <v>34</v>
      </c>
    </row>
    <row r="104">
      <c r="A104" s="4" t="s">
        <v>90</v>
      </c>
    </row>
    <row r="105">
      <c r="A105" s="4" t="s">
        <v>33</v>
      </c>
    </row>
    <row r="106">
      <c r="A106" s="4" t="s">
        <v>34</v>
      </c>
    </row>
    <row r="107">
      <c r="A107" s="4" t="s">
        <v>2603</v>
      </c>
    </row>
    <row r="108">
      <c r="A108" s="4" t="s">
        <v>75</v>
      </c>
    </row>
    <row r="109">
      <c r="A109" s="4" t="s">
        <v>44</v>
      </c>
    </row>
    <row r="110">
      <c r="A110" s="4" t="s">
        <v>2604</v>
      </c>
    </row>
    <row r="111">
      <c r="A111" s="4" t="s">
        <v>33</v>
      </c>
    </row>
    <row r="112">
      <c r="A112" s="4" t="s">
        <v>144</v>
      </c>
    </row>
    <row r="113">
      <c r="A113" s="4" t="s">
        <v>2605</v>
      </c>
    </row>
    <row r="114">
      <c r="A114" s="4" t="s">
        <v>44</v>
      </c>
    </row>
    <row r="115">
      <c r="A115" s="4" t="s">
        <v>513</v>
      </c>
    </row>
    <row r="116">
      <c r="A116" s="4" t="s">
        <v>543</v>
      </c>
    </row>
    <row r="117">
      <c r="A117" s="4" t="s">
        <v>41</v>
      </c>
    </row>
    <row r="118">
      <c r="A118" s="4" t="s">
        <v>2606</v>
      </c>
    </row>
    <row r="119">
      <c r="A119" s="4" t="s">
        <v>2607</v>
      </c>
    </row>
    <row r="120">
      <c r="A120" s="4" t="s">
        <v>48</v>
      </c>
    </row>
    <row r="121">
      <c r="A121" s="4" t="s">
        <v>107</v>
      </c>
    </row>
    <row r="122">
      <c r="A122" s="4" t="s">
        <v>41</v>
      </c>
    </row>
    <row r="123">
      <c r="A123" s="4" t="s">
        <v>42</v>
      </c>
    </row>
    <row r="124">
      <c r="A124" s="4" t="s">
        <v>33</v>
      </c>
    </row>
    <row r="125">
      <c r="A125" s="4" t="s">
        <v>48</v>
      </c>
    </row>
    <row r="126">
      <c r="A126" s="4" t="s">
        <v>147</v>
      </c>
    </row>
    <row r="127">
      <c r="A127" s="4" t="s">
        <v>80</v>
      </c>
    </row>
    <row r="128">
      <c r="A128" s="4" t="s">
        <v>866</v>
      </c>
    </row>
    <row r="129">
      <c r="A129" s="4" t="s">
        <v>41</v>
      </c>
    </row>
    <row r="130">
      <c r="A130" s="4" t="s">
        <v>867</v>
      </c>
    </row>
    <row r="131">
      <c r="A131" s="4" t="s">
        <v>109</v>
      </c>
    </row>
    <row r="132">
      <c r="A132" s="4" t="s">
        <v>110</v>
      </c>
    </row>
    <row r="133">
      <c r="A133" s="4" t="s">
        <v>33</v>
      </c>
    </row>
    <row r="134">
      <c r="A134" s="4" t="s">
        <v>34</v>
      </c>
    </row>
    <row r="135">
      <c r="A135" s="4" t="s">
        <v>80</v>
      </c>
    </row>
    <row r="136">
      <c r="A136" s="4" t="s">
        <v>37</v>
      </c>
    </row>
    <row r="137">
      <c r="A137" s="4" t="s">
        <v>44</v>
      </c>
    </row>
    <row r="138">
      <c r="A138" s="4" t="s">
        <v>81</v>
      </c>
    </row>
    <row r="139">
      <c r="A139" s="4" t="s">
        <v>82</v>
      </c>
    </row>
    <row r="140">
      <c r="A140" s="4" t="s">
        <v>88</v>
      </c>
    </row>
    <row r="141">
      <c r="A141" s="4" t="s">
        <v>89</v>
      </c>
    </row>
    <row r="142">
      <c r="A142" s="4" t="s">
        <v>33</v>
      </c>
    </row>
    <row r="143">
      <c r="A143" s="4" t="s">
        <v>64</v>
      </c>
    </row>
    <row r="144">
      <c r="A144" s="4" t="s">
        <v>88</v>
      </c>
    </row>
    <row r="145">
      <c r="A145" s="4" t="s">
        <v>89</v>
      </c>
    </row>
    <row r="146">
      <c r="A146" s="4" t="s">
        <v>35</v>
      </c>
    </row>
    <row r="147">
      <c r="A147" s="4" t="s">
        <v>147</v>
      </c>
    </row>
    <row r="148">
      <c r="A148" s="4" t="s">
        <v>48</v>
      </c>
    </row>
    <row r="149">
      <c r="A149" s="4" t="s">
        <v>1534</v>
      </c>
    </row>
    <row r="150">
      <c r="A150" s="4" t="s">
        <v>33</v>
      </c>
    </row>
    <row r="151">
      <c r="A151" s="4" t="s">
        <v>34</v>
      </c>
    </row>
    <row r="152">
      <c r="A152" s="4" t="s">
        <v>75</v>
      </c>
    </row>
    <row r="153">
      <c r="A153" s="4" t="s">
        <v>128</v>
      </c>
    </row>
    <row r="154">
      <c r="A154" s="4" t="s">
        <v>101</v>
      </c>
    </row>
    <row r="155">
      <c r="A155" s="4" t="s">
        <v>129</v>
      </c>
    </row>
    <row r="156">
      <c r="A156" s="4" t="s">
        <v>109</v>
      </c>
    </row>
    <row r="157">
      <c r="A157" s="4" t="s">
        <v>119</v>
      </c>
    </row>
    <row r="158">
      <c r="A158" s="4" t="s">
        <v>62</v>
      </c>
    </row>
    <row r="159">
      <c r="A159" s="4" t="s">
        <v>2608</v>
      </c>
    </row>
    <row r="160">
      <c r="A160" s="4" t="s">
        <v>48</v>
      </c>
    </row>
    <row r="161">
      <c r="A161" s="4" t="s">
        <v>88</v>
      </c>
    </row>
    <row r="162">
      <c r="A162" s="4" t="s">
        <v>89</v>
      </c>
    </row>
    <row r="163">
      <c r="A163" s="4" t="s">
        <v>33</v>
      </c>
    </row>
    <row r="164">
      <c r="A164" s="4" t="s">
        <v>36</v>
      </c>
    </row>
    <row r="165">
      <c r="A165" s="4" t="s">
        <v>943</v>
      </c>
    </row>
    <row r="166">
      <c r="A166" s="4" t="s">
        <v>1241</v>
      </c>
    </row>
    <row r="167">
      <c r="A167" s="4" t="s">
        <v>50</v>
      </c>
    </row>
    <row r="168">
      <c r="A168" s="4" t="s">
        <v>40</v>
      </c>
    </row>
    <row r="169">
      <c r="A169" s="4" t="s">
        <v>33</v>
      </c>
    </row>
    <row r="170">
      <c r="A170" s="4" t="s">
        <v>34</v>
      </c>
    </row>
    <row r="171">
      <c r="A171" s="4" t="s">
        <v>40</v>
      </c>
    </row>
    <row r="172">
      <c r="A172" s="4" t="s">
        <v>53</v>
      </c>
    </row>
    <row r="173">
      <c r="A173" s="4" t="s">
        <v>33</v>
      </c>
    </row>
    <row r="174">
      <c r="A174" s="4" t="s">
        <v>34</v>
      </c>
    </row>
    <row r="175">
      <c r="A175" s="4" t="s">
        <v>80</v>
      </c>
    </row>
    <row r="176">
      <c r="A176" s="4" t="s">
        <v>155</v>
      </c>
    </row>
    <row r="177">
      <c r="A177" s="4" t="s">
        <v>2609</v>
      </c>
    </row>
    <row r="178">
      <c r="A178" s="4" t="s">
        <v>33</v>
      </c>
    </row>
    <row r="179">
      <c r="A179" s="4" t="s">
        <v>34</v>
      </c>
    </row>
    <row r="180">
      <c r="A180" s="4" t="s">
        <v>80</v>
      </c>
    </row>
    <row r="181">
      <c r="A181" s="4" t="s">
        <v>866</v>
      </c>
    </row>
    <row r="182">
      <c r="A182" s="4" t="s">
        <v>149</v>
      </c>
    </row>
    <row r="183">
      <c r="A183" s="4" t="s">
        <v>44</v>
      </c>
    </row>
    <row r="184">
      <c r="A184" s="4" t="s">
        <v>84</v>
      </c>
    </row>
    <row r="185">
      <c r="A185" s="4" t="s">
        <v>2610</v>
      </c>
    </row>
    <row r="186">
      <c r="A186" s="4" t="s">
        <v>33</v>
      </c>
    </row>
    <row r="187">
      <c r="A187" s="4" t="s">
        <v>34</v>
      </c>
    </row>
    <row r="188">
      <c r="A188" s="4" t="s">
        <v>40</v>
      </c>
    </row>
    <row r="189">
      <c r="A189" s="4" t="s">
        <v>53</v>
      </c>
    </row>
    <row r="190">
      <c r="A190" s="4" t="s">
        <v>115</v>
      </c>
    </row>
    <row r="191">
      <c r="A191" s="4" t="s">
        <v>119</v>
      </c>
    </row>
    <row r="192">
      <c r="A192" s="4" t="s">
        <v>500</v>
      </c>
    </row>
    <row r="193">
      <c r="A193" s="4" t="s">
        <v>33</v>
      </c>
    </row>
    <row r="194">
      <c r="A194" s="4" t="s">
        <v>144</v>
      </c>
    </row>
    <row r="195">
      <c r="A195" s="4" t="s">
        <v>88</v>
      </c>
    </row>
    <row r="196">
      <c r="A196" s="4" t="s">
        <v>89</v>
      </c>
    </row>
    <row r="197">
      <c r="A197" s="4" t="s">
        <v>48</v>
      </c>
    </row>
    <row r="198">
      <c r="A198" s="4" t="s">
        <v>35</v>
      </c>
    </row>
    <row r="199">
      <c r="A199" s="4" t="s">
        <v>2611</v>
      </c>
    </row>
    <row r="200">
      <c r="A200" s="4" t="s">
        <v>1362</v>
      </c>
    </row>
    <row r="201">
      <c r="A201" s="4" t="s">
        <v>33</v>
      </c>
    </row>
    <row r="202">
      <c r="A202" s="4" t="s">
        <v>158</v>
      </c>
    </row>
    <row r="203">
      <c r="A203" s="4" t="s">
        <v>109</v>
      </c>
    </row>
    <row r="204">
      <c r="A204" s="4" t="s">
        <v>110</v>
      </c>
    </row>
    <row r="205">
      <c r="A205" s="4" t="s">
        <v>111</v>
      </c>
    </row>
    <row r="206">
      <c r="A206" s="4" t="s">
        <v>1235</v>
      </c>
    </row>
    <row r="207">
      <c r="A207" s="4" t="s">
        <v>44</v>
      </c>
    </row>
    <row r="208">
      <c r="A208" s="4" t="s">
        <v>2604</v>
      </c>
    </row>
    <row r="209">
      <c r="A209" s="4" t="s">
        <v>33</v>
      </c>
    </row>
    <row r="210">
      <c r="A210" s="4" t="s">
        <v>34</v>
      </c>
    </row>
    <row r="211">
      <c r="A211" s="4" t="s">
        <v>50</v>
      </c>
    </row>
    <row r="212">
      <c r="A212" s="4" t="s">
        <v>40</v>
      </c>
    </row>
    <row r="213">
      <c r="A213" s="4" t="s">
        <v>129</v>
      </c>
    </row>
    <row r="214">
      <c r="A214" s="4" t="s">
        <v>120</v>
      </c>
    </row>
    <row r="215">
      <c r="A215" s="4" t="s">
        <v>33</v>
      </c>
    </row>
    <row r="216">
      <c r="A216" s="4" t="s">
        <v>51</v>
      </c>
    </row>
    <row r="217">
      <c r="A217" s="4" t="s">
        <v>71</v>
      </c>
    </row>
    <row r="218">
      <c r="A218" s="4" t="s">
        <v>44</v>
      </c>
    </row>
    <row r="219">
      <c r="A219" s="4" t="s">
        <v>2612</v>
      </c>
    </row>
    <row r="220">
      <c r="A220" s="4" t="s">
        <v>970</v>
      </c>
    </row>
    <row r="221">
      <c r="A221" s="4" t="s">
        <v>1356</v>
      </c>
    </row>
    <row r="222">
      <c r="A222" s="4" t="s">
        <v>2600</v>
      </c>
    </row>
    <row r="223">
      <c r="A223" s="4" t="s">
        <v>33</v>
      </c>
    </row>
    <row r="224">
      <c r="A224" s="4" t="s">
        <v>158</v>
      </c>
    </row>
    <row r="225">
      <c r="A225" s="4" t="s">
        <v>103</v>
      </c>
    </row>
    <row r="226">
      <c r="A226" s="4" t="s">
        <v>2613</v>
      </c>
    </row>
    <row r="227">
      <c r="A227" s="4" t="s">
        <v>33</v>
      </c>
    </row>
    <row r="228">
      <c r="A228" s="4" t="s">
        <v>144</v>
      </c>
    </row>
    <row r="229">
      <c r="A229" s="4" t="s">
        <v>149</v>
      </c>
    </row>
    <row r="230">
      <c r="A230" s="4" t="s">
        <v>44</v>
      </c>
    </row>
    <row r="231">
      <c r="A231" s="4" t="s">
        <v>513</v>
      </c>
    </row>
    <row r="232">
      <c r="A232" s="4" t="s">
        <v>2614</v>
      </c>
    </row>
    <row r="233">
      <c r="A233" s="4" t="s">
        <v>2615</v>
      </c>
    </row>
    <row r="234">
      <c r="A234" s="4" t="s">
        <v>92</v>
      </c>
    </row>
    <row r="235">
      <c r="A235" s="4" t="s">
        <v>2616</v>
      </c>
    </row>
    <row r="236">
      <c r="A236" s="4" t="s">
        <v>33</v>
      </c>
    </row>
    <row r="237">
      <c r="A237" s="4" t="s">
        <v>112</v>
      </c>
    </row>
    <row r="238">
      <c r="A238" s="4" t="s">
        <v>933</v>
      </c>
    </row>
    <row r="239">
      <c r="A239" s="4" t="s">
        <v>148</v>
      </c>
    </row>
    <row r="240">
      <c r="A240" s="4" t="s">
        <v>35</v>
      </c>
    </row>
    <row r="241">
      <c r="A241" s="4" t="s">
        <v>2617</v>
      </c>
    </row>
    <row r="242">
      <c r="A242" s="4" t="s">
        <v>44</v>
      </c>
    </row>
    <row r="243">
      <c r="A243" s="4" t="s">
        <v>2604</v>
      </c>
    </row>
    <row r="244">
      <c r="A244" s="4" t="s">
        <v>33</v>
      </c>
    </row>
    <row r="245">
      <c r="A245" s="4" t="s">
        <v>34</v>
      </c>
    </row>
    <row r="246">
      <c r="A246" s="4" t="s">
        <v>35</v>
      </c>
    </row>
    <row r="247">
      <c r="A247" s="4" t="s">
        <v>96</v>
      </c>
    </row>
    <row r="248">
      <c r="A248" s="4" t="s">
        <v>65</v>
      </c>
    </row>
    <row r="249">
      <c r="A249" s="4" t="s">
        <v>33</v>
      </c>
    </row>
    <row r="250">
      <c r="A250" s="4" t="s">
        <v>34</v>
      </c>
    </row>
    <row r="251">
      <c r="A251" s="4" t="s">
        <v>36</v>
      </c>
    </row>
    <row r="252">
      <c r="A252" s="4" t="s">
        <v>102</v>
      </c>
    </row>
    <row r="253">
      <c r="A253" s="4" t="s">
        <v>41</v>
      </c>
    </row>
    <row r="254">
      <c r="A254" s="4" t="s">
        <v>541</v>
      </c>
    </row>
    <row r="255">
      <c r="A255" s="4" t="s">
        <v>139</v>
      </c>
    </row>
    <row r="256">
      <c r="A256" s="4" t="s">
        <v>88</v>
      </c>
    </row>
    <row r="257">
      <c r="A257" s="4" t="s">
        <v>75</v>
      </c>
    </row>
    <row r="258">
      <c r="A258" s="4" t="s">
        <v>48</v>
      </c>
    </row>
    <row r="259">
      <c r="A259" s="4" t="s">
        <v>35</v>
      </c>
    </row>
    <row r="260">
      <c r="A260" s="4" t="s">
        <v>2618</v>
      </c>
    </row>
    <row r="261">
      <c r="A261" s="4" t="s">
        <v>33</v>
      </c>
    </row>
    <row r="262">
      <c r="A262" s="4" t="s">
        <v>34</v>
      </c>
    </row>
    <row r="263">
      <c r="A263" s="4" t="s">
        <v>121</v>
      </c>
    </row>
    <row r="264">
      <c r="A264" s="4" t="s">
        <v>92</v>
      </c>
    </row>
    <row r="265">
      <c r="A265" s="4" t="s">
        <v>122</v>
      </c>
    </row>
    <row r="266">
      <c r="A266" s="4" t="s">
        <v>119</v>
      </c>
    </row>
    <row r="267">
      <c r="A267" s="4" t="s">
        <v>500</v>
      </c>
    </row>
    <row r="268">
      <c r="A268" s="4" t="s">
        <v>109</v>
      </c>
    </row>
    <row r="269">
      <c r="A269" s="4" t="s">
        <v>501</v>
      </c>
    </row>
    <row r="270">
      <c r="A270" s="4" t="s">
        <v>33</v>
      </c>
    </row>
    <row r="271">
      <c r="A271" s="4" t="s">
        <v>34</v>
      </c>
    </row>
    <row r="272">
      <c r="A272" s="4" t="s">
        <v>39</v>
      </c>
    </row>
    <row r="273">
      <c r="A273" s="4" t="s">
        <v>40</v>
      </c>
    </row>
    <row r="274">
      <c r="A274" s="4" t="s">
        <v>33</v>
      </c>
    </row>
    <row r="275">
      <c r="A275" s="4" t="s">
        <v>34</v>
      </c>
    </row>
    <row r="276">
      <c r="A276" s="4" t="s">
        <v>75</v>
      </c>
    </row>
    <row r="277">
      <c r="A277" s="4" t="s">
        <v>1505</v>
      </c>
    </row>
    <row r="278">
      <c r="A278" s="4" t="s">
        <v>129</v>
      </c>
    </row>
    <row r="279">
      <c r="A279" s="4" t="s">
        <v>109</v>
      </c>
    </row>
    <row r="280">
      <c r="A280" s="4" t="s">
        <v>119</v>
      </c>
    </row>
    <row r="281">
      <c r="A281" s="4" t="s">
        <v>62</v>
      </c>
    </row>
    <row r="282">
      <c r="A282" s="4" t="s">
        <v>2608</v>
      </c>
    </row>
    <row r="283">
      <c r="A283" s="4" t="s">
        <v>33</v>
      </c>
    </row>
    <row r="284">
      <c r="A284" s="4" t="s">
        <v>521</v>
      </c>
    </row>
    <row r="285">
      <c r="A285" s="4" t="s">
        <v>34</v>
      </c>
    </row>
    <row r="286">
      <c r="A286" s="4" t="s">
        <v>35</v>
      </c>
    </row>
    <row r="287">
      <c r="A287" s="4" t="s">
        <v>65</v>
      </c>
    </row>
    <row r="288">
      <c r="A288" s="4" t="s">
        <v>121</v>
      </c>
    </row>
    <row r="289">
      <c r="A289" s="4" t="s">
        <v>92</v>
      </c>
    </row>
    <row r="290">
      <c r="A290" s="4" t="s">
        <v>122</v>
      </c>
    </row>
    <row r="291">
      <c r="A291" s="4" t="s">
        <v>537</v>
      </c>
    </row>
    <row r="292">
      <c r="A292" s="4" t="s">
        <v>33</v>
      </c>
    </row>
    <row r="293">
      <c r="A293" s="4" t="s">
        <v>34</v>
      </c>
    </row>
    <row r="294">
      <c r="A294" s="4" t="s">
        <v>36</v>
      </c>
    </row>
    <row r="295">
      <c r="A295" s="4" t="s">
        <v>164</v>
      </c>
    </row>
    <row r="296">
      <c r="A296" s="4" t="s">
        <v>50</v>
      </c>
    </row>
    <row r="297">
      <c r="A297" s="4" t="s">
        <v>40</v>
      </c>
    </row>
    <row r="298">
      <c r="A298" s="4" t="s">
        <v>126</v>
      </c>
    </row>
    <row r="299">
      <c r="A299" s="4" t="s">
        <v>139</v>
      </c>
    </row>
    <row r="300">
      <c r="A300" s="4" t="s">
        <v>33</v>
      </c>
    </row>
    <row r="301">
      <c r="A301" s="4" t="s">
        <v>34</v>
      </c>
    </row>
    <row r="302">
      <c r="A302" s="4" t="s">
        <v>551</v>
      </c>
    </row>
    <row r="303">
      <c r="A303" s="4" t="s">
        <v>512</v>
      </c>
    </row>
    <row r="304">
      <c r="A304" s="4" t="s">
        <v>115</v>
      </c>
    </row>
    <row r="305">
      <c r="A305" s="4" t="s">
        <v>92</v>
      </c>
    </row>
    <row r="306">
      <c r="A306" s="4" t="s">
        <v>93</v>
      </c>
    </row>
    <row r="307">
      <c r="A307" s="4" t="s">
        <v>33</v>
      </c>
    </row>
    <row r="308">
      <c r="A308" s="4" t="s">
        <v>34</v>
      </c>
    </row>
    <row r="309">
      <c r="A309" s="4" t="s">
        <v>36</v>
      </c>
    </row>
    <row r="310">
      <c r="A310" s="4" t="s">
        <v>2619</v>
      </c>
    </row>
    <row r="311">
      <c r="A311" s="4" t="s">
        <v>50</v>
      </c>
    </row>
    <row r="312">
      <c r="A312" s="4" t="s">
        <v>40</v>
      </c>
    </row>
    <row r="313">
      <c r="A313" s="4" t="s">
        <v>33</v>
      </c>
    </row>
    <row r="314">
      <c r="A314" s="4" t="s">
        <v>34</v>
      </c>
    </row>
    <row r="315">
      <c r="A315" s="4" t="s">
        <v>132</v>
      </c>
    </row>
    <row r="316">
      <c r="A316" s="4" t="s">
        <v>133</v>
      </c>
    </row>
    <row r="317">
      <c r="A317" s="4" t="s">
        <v>46</v>
      </c>
    </row>
    <row r="318">
      <c r="A318" s="4" t="s">
        <v>39</v>
      </c>
    </row>
    <row r="319">
      <c r="A319" s="4" t="s">
        <v>40</v>
      </c>
    </row>
    <row r="320">
      <c r="A320" s="4" t="s">
        <v>33</v>
      </c>
    </row>
    <row r="321">
      <c r="A321" s="4" t="s">
        <v>34</v>
      </c>
    </row>
    <row r="322">
      <c r="A322" s="4" t="s">
        <v>35</v>
      </c>
    </row>
    <row r="323">
      <c r="A323" s="4" t="s">
        <v>119</v>
      </c>
    </row>
    <row r="324">
      <c r="A324" s="4" t="s">
        <v>1505</v>
      </c>
    </row>
    <row r="325">
      <c r="A325" s="4" t="s">
        <v>126</v>
      </c>
    </row>
    <row r="326">
      <c r="A326" s="4" t="s">
        <v>2620</v>
      </c>
    </row>
    <row r="327">
      <c r="A327" s="4" t="s">
        <v>62</v>
      </c>
    </row>
    <row r="328">
      <c r="A328" s="4" t="s">
        <v>63</v>
      </c>
    </row>
    <row r="329">
      <c r="A329" s="4" t="s">
        <v>64</v>
      </c>
    </row>
    <row r="330">
      <c r="A330" s="4" t="s">
        <v>35</v>
      </c>
    </row>
    <row r="331">
      <c r="A331" s="4" t="s">
        <v>65</v>
      </c>
    </row>
    <row r="332">
      <c r="A332" s="4" t="s">
        <v>40</v>
      </c>
    </row>
    <row r="333">
      <c r="A333" s="4" t="s">
        <v>53</v>
      </c>
    </row>
    <row r="334">
      <c r="A334" s="4" t="s">
        <v>115</v>
      </c>
    </row>
    <row r="335">
      <c r="A335" s="4" t="s">
        <v>92</v>
      </c>
    </row>
    <row r="336">
      <c r="A336" s="4" t="s">
        <v>93</v>
      </c>
    </row>
    <row r="337">
      <c r="A337" s="4" t="s">
        <v>33</v>
      </c>
    </row>
    <row r="338">
      <c r="A338" s="4" t="s">
        <v>34</v>
      </c>
    </row>
    <row r="339">
      <c r="A339" s="4" t="s">
        <v>96</v>
      </c>
    </row>
    <row r="340">
      <c r="A340" s="4" t="s">
        <v>1509</v>
      </c>
    </row>
    <row r="341">
      <c r="A341" s="4" t="s">
        <v>61</v>
      </c>
    </row>
    <row r="342">
      <c r="A342" s="4" t="s">
        <v>62</v>
      </c>
    </row>
    <row r="343">
      <c r="A343" s="4" t="s">
        <v>64</v>
      </c>
    </row>
    <row r="344">
      <c r="A344" s="4" t="s">
        <v>35</v>
      </c>
    </row>
    <row r="345">
      <c r="A345" s="4" t="s">
        <v>65</v>
      </c>
    </row>
    <row r="346">
      <c r="A346" s="4" t="s">
        <v>2617</v>
      </c>
    </row>
    <row r="347">
      <c r="A347" s="4" t="s">
        <v>44</v>
      </c>
    </row>
    <row r="348">
      <c r="A348" s="4" t="s">
        <v>2604</v>
      </c>
    </row>
    <row r="349">
      <c r="A349" s="4" t="s">
        <v>33</v>
      </c>
    </row>
    <row r="350">
      <c r="A350" s="4" t="s">
        <v>144</v>
      </c>
    </row>
    <row r="351">
      <c r="A351" s="4" t="s">
        <v>61</v>
      </c>
    </row>
    <row r="352">
      <c r="A352" s="4" t="s">
        <v>33</v>
      </c>
    </row>
    <row r="353">
      <c r="A353" s="4" t="s">
        <v>34</v>
      </c>
    </row>
    <row r="354">
      <c r="A354" s="4" t="s">
        <v>35</v>
      </c>
    </row>
    <row r="355">
      <c r="A355" s="4" t="s">
        <v>96</v>
      </c>
    </row>
    <row r="356">
      <c r="A356" s="4" t="s">
        <v>65</v>
      </c>
    </row>
    <row r="357">
      <c r="A357" s="4" t="s">
        <v>35</v>
      </c>
    </row>
    <row r="358">
      <c r="A358" s="4" t="s">
        <v>119</v>
      </c>
    </row>
    <row r="359">
      <c r="A359" s="4" t="s">
        <v>62</v>
      </c>
    </row>
    <row r="360">
      <c r="A360" s="4" t="s">
        <v>63</v>
      </c>
    </row>
    <row r="361">
      <c r="A361" s="4" t="s">
        <v>1216</v>
      </c>
    </row>
    <row r="362">
      <c r="A362" s="4" t="s">
        <v>33</v>
      </c>
    </row>
    <row r="363">
      <c r="A363" s="4" t="s">
        <v>36</v>
      </c>
    </row>
    <row r="364">
      <c r="A364" s="4" t="s">
        <v>148</v>
      </c>
    </row>
    <row r="365">
      <c r="A365" s="4" t="s">
        <v>41</v>
      </c>
    </row>
    <row r="366">
      <c r="A366" s="4" t="s">
        <v>2621</v>
      </c>
    </row>
    <row r="367">
      <c r="A367" s="4" t="s">
        <v>35</v>
      </c>
    </row>
    <row r="368">
      <c r="A368" s="4" t="s">
        <v>40</v>
      </c>
    </row>
    <row r="369">
      <c r="A369" s="4" t="s">
        <v>147</v>
      </c>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row r="1007">
      <c r="A1007" s="4"/>
    </row>
    <row r="1008">
      <c r="A1008" s="4"/>
    </row>
    <row r="1009">
      <c r="A1009" s="4"/>
    </row>
    <row r="1010">
      <c r="A1010" s="4"/>
    </row>
    <row r="1011">
      <c r="A1011" s="4"/>
    </row>
    <row r="1012">
      <c r="A1012" s="4"/>
    </row>
    <row r="1013">
      <c r="A1013" s="4"/>
    </row>
    <row r="1014">
      <c r="A1014" s="4"/>
    </row>
    <row r="1015">
      <c r="A1015" s="4"/>
    </row>
    <row r="1016">
      <c r="A1016" s="4"/>
    </row>
    <row r="1017">
      <c r="A1017" s="4"/>
    </row>
    <row r="1018">
      <c r="A1018" s="4"/>
    </row>
    <row r="1019">
      <c r="A1019" s="4"/>
    </row>
    <row r="1020">
      <c r="A1020" s="4"/>
    </row>
    <row r="1021">
      <c r="A1021" s="4"/>
    </row>
    <row r="1022">
      <c r="A1022" s="4"/>
    </row>
    <row r="1023">
      <c r="A1023" s="4"/>
    </row>
    <row r="1024">
      <c r="A1024" s="4"/>
    </row>
    <row r="1025">
      <c r="A1025" s="4"/>
    </row>
    <row r="1026">
      <c r="A1026" s="4"/>
    </row>
    <row r="1027">
      <c r="A1027" s="4"/>
    </row>
    <row r="1028">
      <c r="A1028" s="4"/>
    </row>
    <row r="1029">
      <c r="A1029" s="4"/>
    </row>
    <row r="1030">
      <c r="A1030" s="4"/>
    </row>
    <row r="1031">
      <c r="A1031" s="4"/>
    </row>
    <row r="1032">
      <c r="A1032" s="4"/>
    </row>
    <row r="1033">
      <c r="A1033" s="4"/>
    </row>
    <row r="1034">
      <c r="A1034" s="4"/>
    </row>
    <row r="1035">
      <c r="A1035" s="4"/>
    </row>
    <row r="1036">
      <c r="A1036" s="4"/>
    </row>
    <row r="1037">
      <c r="A1037" s="4"/>
    </row>
    <row r="1038">
      <c r="A1038" s="4"/>
    </row>
    <row r="1039">
      <c r="A1039" s="4"/>
    </row>
    <row r="1040">
      <c r="A1040" s="4"/>
    </row>
    <row r="1041">
      <c r="A1041" s="4"/>
    </row>
    <row r="1042">
      <c r="A1042" s="4"/>
    </row>
    <row r="1043">
      <c r="A1043" s="4"/>
    </row>
    <row r="1044">
      <c r="A1044" s="4"/>
    </row>
    <row r="1045">
      <c r="A1045" s="4"/>
    </row>
    <row r="1046">
      <c r="A1046" s="4"/>
    </row>
    <row r="1047">
      <c r="A1047" s="4"/>
    </row>
    <row r="1048">
      <c r="A1048" s="4"/>
    </row>
    <row r="1049">
      <c r="A1049" s="4"/>
    </row>
    <row r="1050">
      <c r="A1050" s="4"/>
    </row>
    <row r="1051">
      <c r="A1051" s="4"/>
    </row>
    <row r="1052">
      <c r="A1052" s="4"/>
    </row>
    <row r="1053">
      <c r="A1053" s="4"/>
    </row>
    <row r="1054">
      <c r="A1054" s="4"/>
    </row>
    <row r="1055">
      <c r="A1055" s="4"/>
    </row>
    <row r="1056">
      <c r="A1056" s="4"/>
    </row>
    <row r="1057">
      <c r="A1057" s="4"/>
    </row>
    <row r="1058">
      <c r="A1058" s="4"/>
    </row>
    <row r="1059">
      <c r="A1059" s="4"/>
    </row>
    <row r="1060">
      <c r="A1060" s="4"/>
    </row>
    <row r="1061">
      <c r="A1061" s="4"/>
    </row>
    <row r="1062">
      <c r="A1062" s="4"/>
    </row>
    <row r="1063">
      <c r="A1063" s="4"/>
    </row>
    <row r="1064">
      <c r="A1064" s="4"/>
    </row>
    <row r="1065">
      <c r="A1065" s="4"/>
    </row>
    <row r="1066">
      <c r="A1066" s="4"/>
    </row>
    <row r="1067">
      <c r="A1067" s="4"/>
    </row>
    <row r="1068">
      <c r="A1068" s="4"/>
    </row>
    <row r="1069">
      <c r="A1069" s="4"/>
    </row>
    <row r="1070">
      <c r="A1070" s="4"/>
    </row>
    <row r="1071">
      <c r="A1071" s="4"/>
    </row>
    <row r="1072">
      <c r="A1072" s="4"/>
    </row>
    <row r="1073">
      <c r="A1073" s="4"/>
    </row>
    <row r="1074">
      <c r="A1074" s="4"/>
    </row>
    <row r="1075">
      <c r="A1075" s="4"/>
    </row>
    <row r="1076">
      <c r="A1076" s="4"/>
    </row>
    <row r="1077">
      <c r="A1077" s="4"/>
    </row>
    <row r="1078">
      <c r="A1078" s="4"/>
    </row>
    <row r="1079">
      <c r="A1079" s="4"/>
    </row>
    <row r="1080">
      <c r="A1080" s="4"/>
    </row>
    <row r="1081">
      <c r="A1081" s="4"/>
    </row>
    <row r="1082">
      <c r="A1082" s="4"/>
    </row>
    <row r="1083">
      <c r="A1083" s="4"/>
    </row>
    <row r="1084">
      <c r="A1084" s="4"/>
    </row>
    <row r="1085">
      <c r="A1085" s="4"/>
    </row>
    <row r="1086">
      <c r="A1086" s="4"/>
    </row>
    <row r="1087">
      <c r="A1087" s="4"/>
    </row>
    <row r="1088">
      <c r="A1088" s="4"/>
    </row>
    <row r="1089">
      <c r="A1089" s="4"/>
    </row>
    <row r="1090">
      <c r="A1090" s="4"/>
    </row>
    <row r="1091">
      <c r="A1091" s="4"/>
    </row>
    <row r="1092">
      <c r="A1092" s="4"/>
    </row>
    <row r="1093">
      <c r="A1093" s="4"/>
    </row>
    <row r="1094">
      <c r="A1094" s="4"/>
    </row>
    <row r="1095">
      <c r="A1095" s="4"/>
    </row>
    <row r="1096">
      <c r="A1096" s="4"/>
    </row>
    <row r="1097">
      <c r="A1097" s="4"/>
    </row>
    <row r="1098">
      <c r="A1098" s="4"/>
    </row>
    <row r="1099">
      <c r="A1099" s="4"/>
    </row>
    <row r="1100">
      <c r="A1100" s="4"/>
    </row>
    <row r="1101">
      <c r="A1101" s="4"/>
    </row>
    <row r="1102">
      <c r="A1102" s="4"/>
    </row>
    <row r="1103">
      <c r="A1103" s="4"/>
    </row>
    <row r="1104">
      <c r="A1104" s="4"/>
    </row>
    <row r="1105">
      <c r="A1105" s="4"/>
    </row>
    <row r="1106">
      <c r="A1106" s="4"/>
    </row>
    <row r="1107">
      <c r="A1107" s="4"/>
    </row>
    <row r="1108">
      <c r="A1108" s="4"/>
    </row>
    <row r="1109">
      <c r="A1109" s="4"/>
    </row>
    <row r="1110">
      <c r="A1110" s="4"/>
    </row>
    <row r="1111">
      <c r="A1111" s="4"/>
    </row>
    <row r="1112">
      <c r="A1112" s="4"/>
    </row>
    <row r="1113">
      <c r="A1113" s="4"/>
    </row>
    <row r="1114">
      <c r="A1114" s="4"/>
    </row>
    <row r="1115">
      <c r="A1115" s="4"/>
    </row>
    <row r="1116">
      <c r="A1116" s="4"/>
    </row>
    <row r="1117">
      <c r="A1117" s="4"/>
    </row>
    <row r="1118">
      <c r="A1118" s="4"/>
    </row>
    <row r="1119">
      <c r="A1119" s="4"/>
    </row>
    <row r="1120">
      <c r="A1120" s="4"/>
    </row>
    <row r="1121">
      <c r="A1121" s="4"/>
    </row>
    <row r="1122">
      <c r="A1122" s="4"/>
    </row>
    <row r="1123">
      <c r="A1123" s="4"/>
    </row>
    <row r="1124">
      <c r="A1124" s="4"/>
    </row>
    <row r="1125">
      <c r="A1125" s="4"/>
    </row>
    <row r="1126">
      <c r="A1126" s="4"/>
    </row>
    <row r="1127">
      <c r="A1127" s="4"/>
    </row>
    <row r="1128">
      <c r="A1128" s="4"/>
    </row>
    <row r="1129">
      <c r="A1129" s="4"/>
    </row>
    <row r="1130">
      <c r="A1130" s="4"/>
    </row>
    <row r="1131">
      <c r="A1131" s="4"/>
    </row>
    <row r="1132">
      <c r="A1132" s="4"/>
    </row>
    <row r="1133">
      <c r="A1133" s="4"/>
    </row>
    <row r="1134">
      <c r="A1134" s="4"/>
    </row>
    <row r="1135">
      <c r="A1135" s="4"/>
    </row>
    <row r="1136">
      <c r="A1136" s="4"/>
    </row>
    <row r="1137">
      <c r="A1137" s="4"/>
    </row>
    <row r="1138">
      <c r="A1138" s="4"/>
    </row>
    <row r="1139">
      <c r="A1139" s="4"/>
    </row>
    <row r="1140">
      <c r="A1140" s="4"/>
    </row>
    <row r="1141">
      <c r="A1141" s="4"/>
    </row>
    <row r="1142">
      <c r="A1142" s="4"/>
    </row>
    <row r="1143">
      <c r="A1143" s="4"/>
    </row>
    <row r="1144">
      <c r="A1144" s="4"/>
    </row>
    <row r="1145">
      <c r="A1145" s="4"/>
    </row>
    <row r="1146">
      <c r="A1146" s="4"/>
    </row>
    <row r="1147">
      <c r="A1147" s="4"/>
    </row>
    <row r="1148">
      <c r="A1148" s="4"/>
    </row>
    <row r="1149">
      <c r="A1149" s="4"/>
    </row>
    <row r="1150">
      <c r="A1150" s="4"/>
    </row>
    <row r="1151">
      <c r="A1151" s="4"/>
    </row>
    <row r="1152">
      <c r="A1152" s="4"/>
    </row>
    <row r="1153">
      <c r="A1153" s="4"/>
    </row>
    <row r="1154">
      <c r="A1154" s="4"/>
    </row>
    <row r="1155">
      <c r="A1155" s="4"/>
    </row>
    <row r="1156">
      <c r="A1156" s="4"/>
    </row>
    <row r="1157">
      <c r="A1157" s="4"/>
    </row>
    <row r="1158">
      <c r="A1158" s="4"/>
    </row>
    <row r="1159">
      <c r="A1159" s="4"/>
    </row>
    <row r="1160">
      <c r="A1160" s="4"/>
    </row>
    <row r="1161">
      <c r="A1161" s="4"/>
    </row>
    <row r="1162">
      <c r="A1162" s="4"/>
    </row>
    <row r="1163">
      <c r="A1163" s="4"/>
    </row>
    <row r="1164">
      <c r="A1164" s="4"/>
    </row>
    <row r="1165">
      <c r="A1165" s="4"/>
    </row>
    <row r="1166">
      <c r="A1166" s="4"/>
    </row>
    <row r="1167">
      <c r="A1167" s="4"/>
    </row>
    <row r="1168">
      <c r="A1168" s="4"/>
    </row>
    <row r="1169">
      <c r="A1169" s="4"/>
    </row>
    <row r="1170">
      <c r="A1170" s="4"/>
    </row>
    <row r="1171">
      <c r="A1171" s="4"/>
    </row>
    <row r="1172">
      <c r="A1172" s="4"/>
    </row>
    <row r="1173">
      <c r="A1173" s="4"/>
    </row>
    <row r="1174">
      <c r="A1174" s="4"/>
    </row>
    <row r="1175">
      <c r="A1175" s="4"/>
    </row>
    <row r="1176">
      <c r="A1176" s="4"/>
    </row>
    <row r="1177">
      <c r="A1177" s="4"/>
    </row>
    <row r="1178">
      <c r="A1178" s="4"/>
    </row>
    <row r="1179">
      <c r="A1179" s="4"/>
    </row>
    <row r="1180">
      <c r="A1180" s="4"/>
    </row>
    <row r="1181">
      <c r="A1181" s="4"/>
    </row>
    <row r="1182">
      <c r="A1182" s="4"/>
    </row>
    <row r="1183">
      <c r="A1183" s="4"/>
    </row>
    <row r="1184">
      <c r="A1184" s="4"/>
    </row>
    <row r="1185">
      <c r="A1185" s="4"/>
    </row>
    <row r="1186">
      <c r="A1186" s="4"/>
    </row>
    <row r="1187">
      <c r="A1187" s="4"/>
    </row>
    <row r="1188">
      <c r="A1188" s="4"/>
    </row>
    <row r="1189">
      <c r="A1189" s="4"/>
    </row>
    <row r="1190">
      <c r="A1190" s="4"/>
    </row>
    <row r="1191">
      <c r="A1191" s="4"/>
    </row>
    <row r="1192">
      <c r="A1192" s="4"/>
    </row>
    <row r="1193">
      <c r="A1193" s="4"/>
    </row>
    <row r="1194">
      <c r="A1194" s="4"/>
    </row>
    <row r="1195">
      <c r="A1195" s="4"/>
    </row>
    <row r="1196">
      <c r="A1196" s="4"/>
    </row>
    <row r="1197">
      <c r="A1197" s="4"/>
    </row>
    <row r="1198">
      <c r="A1198" s="4"/>
    </row>
    <row r="1199">
      <c r="A1199" s="4"/>
    </row>
    <row r="1200">
      <c r="A1200" s="4"/>
    </row>
    <row r="1201">
      <c r="A1201" s="4"/>
    </row>
    <row r="1202">
      <c r="A1202" s="4"/>
    </row>
    <row r="1203">
      <c r="A1203" s="4"/>
    </row>
    <row r="1204">
      <c r="A1204" s="4"/>
    </row>
    <row r="1205">
      <c r="A1205" s="4"/>
    </row>
    <row r="1206">
      <c r="A1206" s="4"/>
    </row>
    <row r="1207">
      <c r="A1207" s="4"/>
    </row>
    <row r="1208">
      <c r="A1208" s="4"/>
    </row>
    <row r="1209">
      <c r="A1209" s="4"/>
    </row>
    <row r="1210">
      <c r="A1210" s="4"/>
    </row>
    <row r="1211">
      <c r="A1211" s="4"/>
    </row>
    <row r="1212">
      <c r="A1212" s="4"/>
    </row>
    <row r="1213">
      <c r="A1213" s="4"/>
    </row>
    <row r="1214">
      <c r="A1214" s="4"/>
    </row>
    <row r="1215">
      <c r="A1215" s="4"/>
    </row>
    <row r="1216">
      <c r="A1216" s="4"/>
    </row>
    <row r="1217">
      <c r="A1217" s="4"/>
    </row>
    <row r="1218">
      <c r="A1218" s="4"/>
    </row>
    <row r="1219">
      <c r="A1219" s="4"/>
    </row>
    <row r="1220">
      <c r="A1220" s="4"/>
    </row>
    <row r="1221">
      <c r="A1221" s="4"/>
    </row>
    <row r="1222">
      <c r="A1222" s="4"/>
    </row>
    <row r="1223">
      <c r="A1223" s="4"/>
    </row>
    <row r="1224">
      <c r="A1224" s="4"/>
    </row>
    <row r="1225">
      <c r="A1225" s="4"/>
    </row>
    <row r="1226">
      <c r="A1226" s="4"/>
    </row>
    <row r="1227">
      <c r="A1227" s="4"/>
    </row>
    <row r="1228">
      <c r="A1228" s="4"/>
    </row>
    <row r="1229">
      <c r="A1229" s="4"/>
    </row>
    <row r="1230">
      <c r="A1230" s="4"/>
    </row>
    <row r="1231">
      <c r="A1231" s="4"/>
    </row>
    <row r="1232">
      <c r="A1232" s="4"/>
    </row>
    <row r="1233">
      <c r="A1233" s="4"/>
    </row>
    <row r="1234">
      <c r="A1234" s="4"/>
    </row>
    <row r="1235">
      <c r="A1235" s="4"/>
    </row>
    <row r="1236">
      <c r="A1236" s="4"/>
    </row>
    <row r="1237">
      <c r="A1237" s="4"/>
    </row>
    <row r="1238">
      <c r="A1238" s="4"/>
    </row>
    <row r="1239">
      <c r="A1239" s="4"/>
    </row>
    <row r="1240">
      <c r="A1240" s="4"/>
    </row>
    <row r="1241">
      <c r="A1241" s="4"/>
    </row>
    <row r="1242">
      <c r="A1242" s="4"/>
    </row>
    <row r="1243">
      <c r="A1243" s="4"/>
    </row>
    <row r="1244">
      <c r="A1244" s="4"/>
    </row>
    <row r="1245">
      <c r="A1245" s="4"/>
    </row>
    <row r="1246">
      <c r="A1246" s="4"/>
    </row>
    <row r="1247">
      <c r="A1247" s="4"/>
    </row>
    <row r="1248">
      <c r="A1248" s="4"/>
    </row>
    <row r="1249">
      <c r="A1249" s="4"/>
    </row>
    <row r="1250">
      <c r="A1250" s="4"/>
    </row>
    <row r="1251">
      <c r="A1251" s="4"/>
    </row>
    <row r="1252">
      <c r="A1252" s="4"/>
    </row>
    <row r="1253">
      <c r="A1253" s="4"/>
    </row>
    <row r="1254">
      <c r="A1254" s="4"/>
    </row>
    <row r="1255">
      <c r="A1255" s="4"/>
    </row>
    <row r="1256">
      <c r="A1256" s="4"/>
    </row>
    <row r="1257">
      <c r="A1257" s="4"/>
    </row>
    <row r="1258">
      <c r="A1258" s="4"/>
    </row>
    <row r="1259">
      <c r="A1259" s="4"/>
    </row>
    <row r="1260">
      <c r="A1260" s="4"/>
    </row>
    <row r="1261">
      <c r="A1261" s="4"/>
    </row>
    <row r="1262">
      <c r="A1262" s="4"/>
    </row>
    <row r="1263">
      <c r="A1263" s="4"/>
    </row>
    <row r="1264">
      <c r="A1264" s="4"/>
    </row>
    <row r="1265">
      <c r="A1265" s="4"/>
    </row>
    <row r="1266">
      <c r="A1266" s="4"/>
    </row>
    <row r="1267">
      <c r="A1267" s="4"/>
    </row>
    <row r="1268">
      <c r="A1268" s="4"/>
    </row>
    <row r="1269">
      <c r="A1269" s="4"/>
    </row>
    <row r="1270">
      <c r="A1270" s="4"/>
    </row>
    <row r="1271">
      <c r="A1271" s="4"/>
    </row>
    <row r="1272">
      <c r="A1272" s="4"/>
    </row>
    <row r="1273">
      <c r="A1273" s="4"/>
    </row>
    <row r="1274">
      <c r="A1274" s="4"/>
    </row>
    <row r="1275">
      <c r="A1275" s="4"/>
    </row>
    <row r="1276">
      <c r="A1276" s="4"/>
    </row>
    <row r="1277">
      <c r="A1277" s="4"/>
    </row>
    <row r="1278">
      <c r="A1278" s="4"/>
    </row>
    <row r="1279">
      <c r="A1279" s="4"/>
    </row>
    <row r="1280">
      <c r="A1280" s="4"/>
    </row>
    <row r="1281">
      <c r="A1281" s="4"/>
    </row>
    <row r="1282">
      <c r="A1282" s="4"/>
    </row>
    <row r="1283">
      <c r="A1283" s="4"/>
    </row>
    <row r="1284">
      <c r="A1284" s="4"/>
    </row>
    <row r="1285">
      <c r="A1285" s="4"/>
    </row>
    <row r="1286">
      <c r="A1286" s="4"/>
    </row>
    <row r="1287">
      <c r="A1287" s="4"/>
    </row>
    <row r="1288">
      <c r="A1288" s="4"/>
    </row>
    <row r="1289">
      <c r="A1289" s="4"/>
    </row>
    <row r="1290">
      <c r="A1290" s="4"/>
    </row>
    <row r="1291">
      <c r="A1291" s="4"/>
    </row>
    <row r="1292">
      <c r="A1292" s="4"/>
    </row>
    <row r="1293">
      <c r="A1293" s="4"/>
    </row>
    <row r="1294">
      <c r="A1294" s="4"/>
    </row>
    <row r="1295">
      <c r="A1295" s="4"/>
    </row>
    <row r="1296">
      <c r="A1296" s="4"/>
    </row>
    <row r="1297">
      <c r="A1297" s="4"/>
    </row>
    <row r="1298">
      <c r="A1298" s="4"/>
    </row>
    <row r="1299">
      <c r="A1299" s="4"/>
    </row>
    <row r="1300">
      <c r="A1300" s="4"/>
    </row>
    <row r="1301">
      <c r="A1301" s="4"/>
    </row>
    <row r="1302">
      <c r="A1302" s="4"/>
    </row>
    <row r="1303">
      <c r="A1303" s="4"/>
    </row>
    <row r="1304">
      <c r="A1304" s="4"/>
    </row>
    <row r="1305">
      <c r="A1305" s="4"/>
    </row>
    <row r="1306">
      <c r="A1306" s="4"/>
    </row>
    <row r="1307">
      <c r="A1307" s="4"/>
    </row>
    <row r="1308">
      <c r="A1308" s="4"/>
    </row>
    <row r="1309">
      <c r="A1309" s="4"/>
    </row>
    <row r="1310">
      <c r="A1310" s="4"/>
    </row>
    <row r="1311">
      <c r="A1311" s="4"/>
    </row>
    <row r="1312">
      <c r="A1312" s="4"/>
    </row>
    <row r="1313">
      <c r="A1313" s="4"/>
    </row>
    <row r="1314">
      <c r="A1314" s="4"/>
    </row>
    <row r="1315">
      <c r="A1315" s="4"/>
    </row>
    <row r="1316">
      <c r="A1316" s="4"/>
    </row>
    <row r="1317">
      <c r="A1317" s="4"/>
    </row>
    <row r="1318">
      <c r="A1318" s="4"/>
    </row>
    <row r="1319">
      <c r="A1319" s="4"/>
    </row>
    <row r="1320">
      <c r="A1320" s="4"/>
    </row>
    <row r="1321">
      <c r="A1321" s="4"/>
    </row>
    <row r="1322">
      <c r="A1322" s="4"/>
    </row>
    <row r="1323">
      <c r="A1323" s="4"/>
    </row>
    <row r="1324">
      <c r="A1324" s="4"/>
    </row>
    <row r="1325">
      <c r="A1325" s="4"/>
    </row>
    <row r="1326">
      <c r="A1326" s="4"/>
    </row>
    <row r="1327">
      <c r="A1327" s="4"/>
    </row>
    <row r="1328">
      <c r="A1328" s="4"/>
    </row>
    <row r="1329">
      <c r="A1329" s="4"/>
    </row>
    <row r="1330">
      <c r="A1330" s="4"/>
    </row>
    <row r="1331">
      <c r="A1331" s="4"/>
    </row>
    <row r="1332">
      <c r="A1332" s="4"/>
    </row>
    <row r="1333">
      <c r="A1333" s="4"/>
    </row>
    <row r="1334">
      <c r="A1334" s="4"/>
    </row>
    <row r="1335">
      <c r="A1335" s="4"/>
    </row>
    <row r="1336">
      <c r="A1336" s="4"/>
    </row>
    <row r="1337">
      <c r="A1337" s="4"/>
    </row>
    <row r="1338">
      <c r="A1338" s="4"/>
    </row>
    <row r="1339">
      <c r="A1339" s="4"/>
    </row>
    <row r="1340">
      <c r="A1340" s="4"/>
    </row>
    <row r="1341">
      <c r="A1341" s="4"/>
    </row>
    <row r="1342">
      <c r="A1342" s="4"/>
    </row>
    <row r="1343">
      <c r="A1343" s="4"/>
    </row>
    <row r="1344">
      <c r="A1344" s="4"/>
    </row>
    <row r="1345">
      <c r="A1345" s="4"/>
    </row>
    <row r="1346">
      <c r="A1346" s="4"/>
    </row>
    <row r="1347">
      <c r="A1347" s="4"/>
    </row>
    <row r="1348">
      <c r="A1348" s="4"/>
    </row>
    <row r="1349">
      <c r="A1349" s="4"/>
    </row>
    <row r="1350">
      <c r="A1350" s="4"/>
    </row>
    <row r="1351">
      <c r="A1351" s="4"/>
    </row>
    <row r="1352">
      <c r="A1352" s="4"/>
    </row>
    <row r="1353">
      <c r="A1353" s="4"/>
    </row>
    <row r="1354">
      <c r="A1354" s="4"/>
    </row>
    <row r="1355">
      <c r="A1355" s="4"/>
    </row>
    <row r="1356">
      <c r="A1356" s="4"/>
    </row>
    <row r="1357">
      <c r="A1357" s="4"/>
    </row>
    <row r="1358">
      <c r="A1358" s="4"/>
    </row>
    <row r="1359">
      <c r="A1359" s="4"/>
    </row>
    <row r="1360">
      <c r="A1360" s="4"/>
    </row>
    <row r="1361">
      <c r="A1361" s="4"/>
    </row>
    <row r="1362">
      <c r="A1362" s="4"/>
    </row>
    <row r="1363">
      <c r="A1363" s="4"/>
    </row>
    <row r="1364">
      <c r="A1364" s="4"/>
    </row>
    <row r="1365">
      <c r="A1365" s="4"/>
    </row>
    <row r="1366">
      <c r="A1366" s="4"/>
    </row>
    <row r="1367">
      <c r="A1367" s="4"/>
    </row>
    <row r="1368">
      <c r="A1368" s="4"/>
    </row>
    <row r="1369">
      <c r="A1369" s="4"/>
    </row>
    <row r="1370">
      <c r="A1370" s="4"/>
    </row>
    <row r="1371">
      <c r="A1371" s="4"/>
    </row>
    <row r="1372">
      <c r="A1372" s="4"/>
    </row>
    <row r="1373">
      <c r="A1373" s="4"/>
    </row>
    <row r="1374">
      <c r="A1374" s="4"/>
    </row>
    <row r="1375">
      <c r="A1375" s="4"/>
    </row>
    <row r="1376">
      <c r="A1376" s="4"/>
    </row>
    <row r="1377">
      <c r="A1377" s="4"/>
    </row>
    <row r="1378">
      <c r="A1378" s="4"/>
    </row>
    <row r="1379">
      <c r="A1379" s="4"/>
    </row>
    <row r="1380">
      <c r="A1380" s="4"/>
    </row>
    <row r="1381">
      <c r="A1381" s="4"/>
    </row>
    <row r="1382">
      <c r="A1382" s="4"/>
    </row>
    <row r="1383">
      <c r="A1383" s="4"/>
    </row>
    <row r="1384">
      <c r="A1384" s="4"/>
    </row>
    <row r="1385">
      <c r="A1385" s="4"/>
    </row>
    <row r="1386">
      <c r="A1386" s="4"/>
    </row>
    <row r="1387">
      <c r="A1387" s="4"/>
    </row>
    <row r="1388">
      <c r="A1388" s="4"/>
    </row>
    <row r="1389">
      <c r="A1389" s="4"/>
    </row>
    <row r="1390">
      <c r="A1390" s="4"/>
    </row>
    <row r="1391">
      <c r="A1391" s="4"/>
    </row>
    <row r="1392">
      <c r="A1392" s="4"/>
    </row>
    <row r="1393">
      <c r="A1393" s="4"/>
    </row>
    <row r="1394">
      <c r="A1394" s="4"/>
    </row>
    <row r="1395">
      <c r="A1395" s="4"/>
    </row>
    <row r="1396">
      <c r="A1396" s="4"/>
    </row>
    <row r="1397">
      <c r="A1397" s="4"/>
    </row>
    <row r="1398">
      <c r="A1398" s="4"/>
    </row>
    <row r="1399">
      <c r="A1399" s="4"/>
    </row>
    <row r="1400">
      <c r="A1400" s="4"/>
    </row>
    <row r="1401">
      <c r="A1401" s="4"/>
    </row>
    <row r="1402">
      <c r="A1402" s="4"/>
    </row>
    <row r="1403">
      <c r="A1403" s="4"/>
    </row>
    <row r="1404">
      <c r="A1404" s="4"/>
    </row>
    <row r="1405">
      <c r="A1405" s="4"/>
    </row>
    <row r="1406">
      <c r="A1406" s="4"/>
    </row>
    <row r="1407">
      <c r="A1407" s="4"/>
    </row>
    <row r="1408">
      <c r="A1408" s="4"/>
    </row>
    <row r="1409">
      <c r="A1409" s="4"/>
    </row>
    <row r="1410">
      <c r="A1410" s="4"/>
    </row>
    <row r="1411">
      <c r="A1411" s="4"/>
    </row>
    <row r="1412">
      <c r="A1412" s="4"/>
    </row>
    <row r="1413">
      <c r="A1413" s="4"/>
    </row>
    <row r="1414">
      <c r="A1414" s="4"/>
    </row>
    <row r="1415">
      <c r="A1415" s="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 customWidth="1" min="11" max="11" width="32.13"/>
  </cols>
  <sheetData>
    <row r="1">
      <c r="C1" s="5" t="s">
        <v>168</v>
      </c>
      <c r="D1" s="5" t="s">
        <v>169</v>
      </c>
      <c r="E1" s="5" t="s">
        <v>170</v>
      </c>
      <c r="F1" s="5" t="s">
        <v>171</v>
      </c>
      <c r="G1" s="5" t="s">
        <v>172</v>
      </c>
      <c r="H1" s="7" t="s">
        <v>173</v>
      </c>
      <c r="I1" s="5" t="s">
        <v>174</v>
      </c>
    </row>
    <row r="2" ht="15.0" customHeight="1">
      <c r="A2" s="4"/>
      <c r="C2" s="4" t="s">
        <v>2622</v>
      </c>
      <c r="D2" s="4" t="str">
        <f t="shared" ref="D2:D369" si="1">C2</f>
        <v>{"valorA":"confiável","valorB":1}</v>
      </c>
      <c r="E2" s="8" t="str">
        <f t="shared" ref="E2:E369" si="2">SUBSTITUTE(MID(C2,FIND(":",C2)+1,FIND(",",C2)-FIND(":",C2)-1),"""","")</f>
        <v>confiável</v>
      </c>
      <c r="F2" s="8" t="str">
        <f>IFERROR(__xludf.DUMMYFUNCTION("UNIQUE(E2:E369)"),"confiável")</f>
        <v>confiável</v>
      </c>
      <c r="G2" s="8" t="str">
        <f t="shared" ref="G2:G369" si="3">MID(C2,FIND("valorB",C2)+8,FIND("}",C2)-FIND("valorB",C2)-8)</f>
        <v>1</v>
      </c>
      <c r="H2" s="9">
        <f t="shared" ref="H2:H369" si="4">VALUE(SUBSTITUTE(G2,".",","))</f>
        <v>1</v>
      </c>
      <c r="I2" s="10">
        <f>IFERROR(__xludf.DUMMYFUNCTION("MAX(FILTER($H$2:$H369,$E$2:$E369=F2))"),1.0)</f>
        <v>1</v>
      </c>
      <c r="K2" s="16" t="s">
        <v>2623</v>
      </c>
    </row>
    <row r="3">
      <c r="A3" s="4"/>
      <c r="C3" s="4" t="s">
        <v>2624</v>
      </c>
      <c r="D3" s="4" t="str">
        <f t="shared" si="1"/>
        <v>{"valorA":"funciona","valorB":1}</v>
      </c>
      <c r="E3" s="8" t="str">
        <f t="shared" si="2"/>
        <v>funciona</v>
      </c>
      <c r="F3" s="8" t="str">
        <f>IFERROR(__xludf.DUMMYFUNCTION("""COMPUTED_VALUE"""),"funciona")</f>
        <v>funciona</v>
      </c>
      <c r="G3" s="8" t="str">
        <f t="shared" si="3"/>
        <v>1</v>
      </c>
      <c r="H3" s="9">
        <f t="shared" si="4"/>
        <v>1</v>
      </c>
      <c r="I3" s="10">
        <f>IFERROR(__xludf.DUMMYFUNCTION("MAX(FILTER($H$2:$H369,$E$2:$E369=F3))"),9.0)</f>
        <v>9</v>
      </c>
      <c r="K3" s="17" t="s">
        <v>2625</v>
      </c>
    </row>
    <row r="4">
      <c r="A4" s="4"/>
      <c r="C4" s="4" t="s">
        <v>2626</v>
      </c>
      <c r="D4" s="4" t="str">
        <f t="shared" si="1"/>
        <v>{"valorA":"frigorífico","valorB":1}</v>
      </c>
      <c r="E4" s="8" t="str">
        <f t="shared" si="2"/>
        <v>frigorífico</v>
      </c>
      <c r="F4" s="8" t="str">
        <f>IFERROR(__xludf.DUMMYFUNCTION("""COMPUTED_VALUE"""),"frigorífico")</f>
        <v>frigorífico</v>
      </c>
      <c r="G4" s="8" t="str">
        <f t="shared" si="3"/>
        <v>1</v>
      </c>
      <c r="H4" s="9">
        <f t="shared" si="4"/>
        <v>1</v>
      </c>
      <c r="I4" s="10">
        <f>IFERROR(__xludf.DUMMYFUNCTION("MAX(FILTER($H$2:$H369,$E$2:$E369=F4))"),2.0)</f>
        <v>2</v>
      </c>
      <c r="K4" s="3"/>
    </row>
    <row r="5">
      <c r="A5" s="4"/>
      <c r="C5" s="4" t="s">
        <v>2627</v>
      </c>
      <c r="D5" s="4" t="str">
        <f t="shared" si="1"/>
        <v>{"valorA":"para","valorB":1}</v>
      </c>
      <c r="E5" s="8" t="str">
        <f t="shared" si="2"/>
        <v>para</v>
      </c>
      <c r="F5" s="8" t="str">
        <f>IFERROR(__xludf.DUMMYFUNCTION("""COMPUTED_VALUE"""),"para")</f>
        <v>para</v>
      </c>
      <c r="G5" s="8" t="str">
        <f t="shared" si="3"/>
        <v>1</v>
      </c>
      <c r="H5" s="9">
        <f t="shared" si="4"/>
        <v>1</v>
      </c>
      <c r="I5" s="10">
        <f>IFERROR(__xludf.DUMMYFUNCTION("MAX(FILTER($H$2:$H369,$E$2:$E369=F5))"),10.0)</f>
        <v>10</v>
      </c>
    </row>
    <row r="6">
      <c r="A6" s="4"/>
      <c r="C6" s="4" t="s">
        <v>2628</v>
      </c>
      <c r="D6" s="4" t="str">
        <f t="shared" si="1"/>
        <v>{"valorA":"gostei","valorB":1}</v>
      </c>
      <c r="E6" s="8" t="str">
        <f t="shared" si="2"/>
        <v>gostei</v>
      </c>
      <c r="F6" s="8" t="str">
        <f>IFERROR(__xludf.DUMMYFUNCTION("""COMPUTED_VALUE"""),"gostei")</f>
        <v>gostei</v>
      </c>
      <c r="G6" s="8" t="str">
        <f t="shared" si="3"/>
        <v>1</v>
      </c>
      <c r="H6" s="9">
        <f t="shared" si="4"/>
        <v>1</v>
      </c>
      <c r="I6" s="10">
        <f>IFERROR(__xludf.DUMMYFUNCTION("MAX(FILTER($H$2:$H369,$E$2:$E369=F6))"),6.0)</f>
        <v>6</v>
      </c>
      <c r="K6" s="16" t="s">
        <v>168</v>
      </c>
    </row>
    <row r="7">
      <c r="A7" s="4"/>
      <c r="C7" s="4" t="s">
        <v>2629</v>
      </c>
      <c r="D7" s="4" t="str">
        <f t="shared" si="1"/>
        <v>{"valorA":"este","valorB":1}</v>
      </c>
      <c r="E7" s="8" t="str">
        <f t="shared" si="2"/>
        <v>este</v>
      </c>
      <c r="F7" s="8" t="str">
        <f>IFERROR(__xludf.DUMMYFUNCTION("""COMPUTED_VALUE"""),"este")</f>
        <v>este</v>
      </c>
      <c r="G7" s="8" t="str">
        <f t="shared" si="3"/>
        <v>1</v>
      </c>
      <c r="H7" s="9">
        <f t="shared" si="4"/>
        <v>1</v>
      </c>
      <c r="I7" s="10">
        <f>IFERROR(__xludf.DUMMYFUNCTION("MAX(FILTER($H$2:$H369,$E$2:$E369=F7))"),2.0)</f>
        <v>2</v>
      </c>
      <c r="K7" s="18">
        <f>COUNTA('Página24'!A2:A369)</f>
        <v>368</v>
      </c>
    </row>
    <row r="8">
      <c r="A8" s="4"/>
      <c r="C8" s="4" t="s">
        <v>2630</v>
      </c>
      <c r="D8" s="4" t="str">
        <f t="shared" si="1"/>
        <v>{"valorA":"esse","valorB":1}</v>
      </c>
      <c r="E8" s="8" t="str">
        <f t="shared" si="2"/>
        <v>esse</v>
      </c>
      <c r="F8" s="8" t="str">
        <f>IFERROR(__xludf.DUMMYFUNCTION("""COMPUTED_VALUE"""),"esse")</f>
        <v>esse</v>
      </c>
      <c r="G8" s="8" t="str">
        <f t="shared" si="3"/>
        <v>1</v>
      </c>
      <c r="H8" s="9">
        <f t="shared" si="4"/>
        <v>1</v>
      </c>
      <c r="I8" s="10">
        <f>IFERROR(__xludf.DUMMYFUNCTION("MAX(FILTER($H$2:$H369,$E$2:$E369=F8))"),7.0)</f>
        <v>7</v>
      </c>
    </row>
    <row r="9">
      <c r="A9" s="4"/>
      <c r="C9" s="4" t="s">
        <v>2631</v>
      </c>
      <c r="D9" s="4" t="str">
        <f t="shared" si="1"/>
        <v>{"valorA":"crianças","valorB":1}</v>
      </c>
      <c r="E9" s="8" t="str">
        <f t="shared" si="2"/>
        <v>crianças</v>
      </c>
      <c r="F9" s="8" t="str">
        <f>IFERROR(__xludf.DUMMYFUNCTION("""COMPUTED_VALUE"""),"crianças")</f>
        <v>crianças</v>
      </c>
      <c r="G9" s="8" t="str">
        <f t="shared" si="3"/>
        <v>1</v>
      </c>
      <c r="H9" s="9">
        <f t="shared" si="4"/>
        <v>1</v>
      </c>
      <c r="I9" s="10">
        <f>IFERROR(__xludf.DUMMYFUNCTION("MAX(FILTER($H$2:$H369,$E$2:$E369=F9))"),1.0)</f>
        <v>1</v>
      </c>
    </row>
    <row r="10">
      <c r="A10" s="4"/>
      <c r="C10" s="4" t="s">
        <v>2632</v>
      </c>
      <c r="D10" s="4" t="str">
        <f t="shared" si="1"/>
        <v>{"valorA":"desse","valorB":1}</v>
      </c>
      <c r="E10" s="8" t="str">
        <f t="shared" si="2"/>
        <v>desse</v>
      </c>
      <c r="F10" s="8" t="str">
        <f>IFERROR(__xludf.DUMMYFUNCTION("""COMPUTED_VALUE"""),"desse")</f>
        <v>desse</v>
      </c>
      <c r="G10" s="8" t="str">
        <f t="shared" si="3"/>
        <v>1</v>
      </c>
      <c r="H10" s="9">
        <f t="shared" si="4"/>
        <v>1</v>
      </c>
      <c r="I10" s="10">
        <f>IFERROR(__xludf.DUMMYFUNCTION("MAX(FILTER($H$2:$H369,$E$2:$E369=F10))"),2.0)</f>
        <v>2</v>
      </c>
    </row>
    <row r="11">
      <c r="A11" s="4"/>
      <c r="C11" s="4" t="s">
        <v>2633</v>
      </c>
      <c r="D11" s="4" t="str">
        <f t="shared" si="1"/>
        <v>{"valorA":"adoram","valorB":1}</v>
      </c>
      <c r="E11" s="8" t="str">
        <f t="shared" si="2"/>
        <v>adoram</v>
      </c>
      <c r="F11" s="8" t="str">
        <f>IFERROR(__xludf.DUMMYFUNCTION("""COMPUTED_VALUE"""),"adoram")</f>
        <v>adoram</v>
      </c>
      <c r="G11" s="8" t="str">
        <f t="shared" si="3"/>
        <v>1</v>
      </c>
      <c r="H11" s="9">
        <f t="shared" si="4"/>
        <v>1</v>
      </c>
      <c r="I11" s="10">
        <f>IFERROR(__xludf.DUMMYFUNCTION("MAX(FILTER($H$2:$H369,$E$2:$E369=F11))"),1.0)</f>
        <v>1</v>
      </c>
    </row>
    <row r="12">
      <c r="A12" s="4"/>
      <c r="C12" s="4" t="s">
        <v>2634</v>
      </c>
      <c r="D12" s="4" t="str">
        <f t="shared" si="1"/>
        <v>{"valorA":"produto","valorB":1}</v>
      </c>
      <c r="E12" s="8" t="str">
        <f t="shared" si="2"/>
        <v>produto</v>
      </c>
      <c r="F12" s="8" t="str">
        <f>IFERROR(__xludf.DUMMYFUNCTION("""COMPUTED_VALUE"""),"produto")</f>
        <v>produto</v>
      </c>
      <c r="G12" s="8" t="str">
        <f t="shared" si="3"/>
        <v>1</v>
      </c>
      <c r="H12" s="9">
        <f t="shared" si="4"/>
        <v>1</v>
      </c>
      <c r="I12" s="10">
        <f>IFERROR(__xludf.DUMMYFUNCTION("MAX(FILTER($H$2:$H369,$E$2:$E369=F12))"),31.0)</f>
        <v>31</v>
      </c>
    </row>
    <row r="13">
      <c r="A13" s="4"/>
      <c r="C13" s="4" t="s">
        <v>2635</v>
      </c>
      <c r="D13" s="4" t="str">
        <f t="shared" si="1"/>
        <v>{"valorA":"scanner","valorB":1}</v>
      </c>
      <c r="E13" s="8" t="str">
        <f t="shared" si="2"/>
        <v>scanner</v>
      </c>
      <c r="F13" s="8" t="str">
        <f>IFERROR(__xludf.DUMMYFUNCTION("""COMPUTED_VALUE"""),"scanner")</f>
        <v>scanner</v>
      </c>
      <c r="G13" s="8" t="str">
        <f t="shared" si="3"/>
        <v>1</v>
      </c>
      <c r="H13" s="9">
        <f t="shared" si="4"/>
        <v>1</v>
      </c>
      <c r="I13" s="10">
        <f>IFERROR(__xludf.DUMMYFUNCTION("MAX(FILTER($H$2:$H369,$E$2:$E369=F13))"),1.0)</f>
        <v>1</v>
      </c>
    </row>
    <row r="14">
      <c r="A14" s="4"/>
      <c r="C14" s="4" t="s">
        <v>2636</v>
      </c>
      <c r="D14" s="4" t="str">
        <f t="shared" si="1"/>
        <v>{"valorA":"meus","valorB":1}</v>
      </c>
      <c r="E14" s="8" t="str">
        <f t="shared" si="2"/>
        <v>meus</v>
      </c>
      <c r="F14" s="8" t="str">
        <f>IFERROR(__xludf.DUMMYFUNCTION("""COMPUTED_VALUE"""),"meus")</f>
        <v>meus</v>
      </c>
      <c r="G14" s="8" t="str">
        <f t="shared" si="3"/>
        <v>1</v>
      </c>
      <c r="H14" s="9">
        <f t="shared" si="4"/>
        <v>1</v>
      </c>
      <c r="I14" s="10">
        <f>IFERROR(__xludf.DUMMYFUNCTION("MAX(FILTER($H$2:$H369,$E$2:$E369=F14))"),1.0)</f>
        <v>1</v>
      </c>
    </row>
    <row r="15">
      <c r="A15" s="4"/>
      <c r="C15" s="4" t="s">
        <v>2637</v>
      </c>
      <c r="D15" s="4" t="str">
        <f t="shared" si="1"/>
        <v>{"valorA":"muito","valorB":1}</v>
      </c>
      <c r="E15" s="8" t="str">
        <f t="shared" si="2"/>
        <v>muito</v>
      </c>
      <c r="F15" s="8" t="str">
        <f>IFERROR(__xludf.DUMMYFUNCTION("""COMPUTED_VALUE"""),"muito")</f>
        <v>muito</v>
      </c>
      <c r="G15" s="8" t="str">
        <f t="shared" si="3"/>
        <v>1</v>
      </c>
      <c r="H15" s="9">
        <f t="shared" si="4"/>
        <v>1</v>
      </c>
      <c r="I15" s="10">
        <f>IFERROR(__xludf.DUMMYFUNCTION("MAX(FILTER($H$2:$H369,$E$2:$E369=F15))"),13.0)</f>
        <v>13</v>
      </c>
    </row>
    <row r="16">
      <c r="A16" s="4"/>
      <c r="C16" s="4" t="s">
        <v>2638</v>
      </c>
      <c r="D16" s="4" t="str">
        <f t="shared" si="1"/>
        <v>{"valorA":"o","valorB":1}</v>
      </c>
      <c r="E16" s="8" t="str">
        <f t="shared" si="2"/>
        <v>o</v>
      </c>
      <c r="F16" s="8" t="str">
        <f>IFERROR(__xludf.DUMMYFUNCTION("""COMPUTED_VALUE"""),"o")</f>
        <v>o</v>
      </c>
      <c r="G16" s="8" t="str">
        <f t="shared" si="3"/>
        <v>1</v>
      </c>
      <c r="H16" s="9">
        <f t="shared" si="4"/>
        <v>1</v>
      </c>
      <c r="I16" s="10">
        <f>IFERROR(__xludf.DUMMYFUNCTION("MAX(FILTER($H$2:$H369,$E$2:$E369=F16))"),8.0)</f>
        <v>8</v>
      </c>
    </row>
    <row r="17">
      <c r="A17" s="4"/>
      <c r="C17" s="4" t="s">
        <v>2639</v>
      </c>
      <c r="D17" s="4" t="str">
        <f t="shared" si="1"/>
        <v>{"valorA":"ótimo","valorB":1}</v>
      </c>
      <c r="E17" s="8" t="str">
        <f t="shared" si="2"/>
        <v>ótimo</v>
      </c>
      <c r="F17" s="8" t="str">
        <f>IFERROR(__xludf.DUMMYFUNCTION("""COMPUTED_VALUE"""),"ótimo")</f>
        <v>ótimo</v>
      </c>
      <c r="G17" s="8" t="str">
        <f t="shared" si="3"/>
        <v>1</v>
      </c>
      <c r="H17" s="9">
        <f t="shared" si="4"/>
        <v>1</v>
      </c>
      <c r="I17" s="10">
        <f>IFERROR(__xludf.DUMMYFUNCTION("MAX(FILTER($H$2:$H369,$E$2:$E369=F17))"),48.0)</f>
        <v>48</v>
      </c>
    </row>
    <row r="18">
      <c r="A18" s="4"/>
      <c r="C18" s="4" t="s">
        <v>2640</v>
      </c>
      <c r="D18" s="4" t="str">
        <f t="shared" si="1"/>
        <v>{"valorA":"frigorífico","valorB":2}</v>
      </c>
      <c r="E18" s="8" t="str">
        <f t="shared" si="2"/>
        <v>frigorífico</v>
      </c>
      <c r="F18" s="8" t="str">
        <f>IFERROR(__xludf.DUMMYFUNCTION("""COMPUTED_VALUE"""),"vale")</f>
        <v>vale</v>
      </c>
      <c r="G18" s="8" t="str">
        <f t="shared" si="3"/>
        <v>2</v>
      </c>
      <c r="H18" s="9">
        <f t="shared" si="4"/>
        <v>2</v>
      </c>
      <c r="I18" s="10">
        <f>IFERROR(__xludf.DUMMYFUNCTION("MAX(FILTER($H$2:$H369,$E$2:$E369=F18))"),3.0)</f>
        <v>3</v>
      </c>
    </row>
    <row r="19">
      <c r="A19" s="4"/>
      <c r="C19" s="4" t="s">
        <v>2641</v>
      </c>
      <c r="D19" s="4" t="str">
        <f t="shared" si="1"/>
        <v>{"valorA":"vale","valorB":1}</v>
      </c>
      <c r="E19" s="8" t="str">
        <f t="shared" si="2"/>
        <v>vale</v>
      </c>
      <c r="F19" s="8" t="str">
        <f>IFERROR(__xludf.DUMMYFUNCTION("""COMPUTED_VALUE"""),"que")</f>
        <v>que</v>
      </c>
      <c r="G19" s="8" t="str">
        <f t="shared" si="3"/>
        <v>1</v>
      </c>
      <c r="H19" s="9">
        <f t="shared" si="4"/>
        <v>1</v>
      </c>
      <c r="I19" s="10">
        <f>IFERROR(__xludf.DUMMYFUNCTION("MAX(FILTER($H$2:$H369,$E$2:$E369=F19))"),8.0)</f>
        <v>8</v>
      </c>
    </row>
    <row r="20">
      <c r="A20" s="4"/>
      <c r="C20" s="4" t="s">
        <v>2642</v>
      </c>
      <c r="D20" s="4" t="str">
        <f t="shared" si="1"/>
        <v>{"valorA":"que","valorB":1}</v>
      </c>
      <c r="E20" s="8" t="str">
        <f t="shared" si="2"/>
        <v>que</v>
      </c>
      <c r="F20" s="8" t="str">
        <f>IFERROR(__xludf.DUMMYFUNCTION("""COMPUTED_VALUE"""),"brinquedo")</f>
        <v>brinquedo</v>
      </c>
      <c r="G20" s="8" t="str">
        <f t="shared" si="3"/>
        <v>1</v>
      </c>
      <c r="H20" s="9">
        <f t="shared" si="4"/>
        <v>1</v>
      </c>
      <c r="I20" s="10">
        <f>IFERROR(__xludf.DUMMYFUNCTION("MAX(FILTER($H$2:$H369,$E$2:$E369=F20))"),2.0)</f>
        <v>2</v>
      </c>
    </row>
    <row r="21">
      <c r="A21" s="4"/>
      <c r="C21" s="4" t="s">
        <v>2643</v>
      </c>
      <c r="D21" s="4" t="str">
        <f t="shared" si="1"/>
        <v>{"valorA":"brinquedo","valorB":1}</v>
      </c>
      <c r="E21" s="8" t="str">
        <f t="shared" si="2"/>
        <v>brinquedo</v>
      </c>
      <c r="F21" s="8" t="str">
        <f>IFERROR(__xludf.DUMMYFUNCTION("""COMPUTED_VALUE"""),"filhos")</f>
        <v>filhos</v>
      </c>
      <c r="G21" s="8" t="str">
        <f t="shared" si="3"/>
        <v>1</v>
      </c>
      <c r="H21" s="9">
        <f t="shared" si="4"/>
        <v>1</v>
      </c>
      <c r="I21" s="10">
        <f>IFERROR(__xludf.DUMMYFUNCTION("MAX(FILTER($H$2:$H369,$E$2:$E369=F21))"),1.0)</f>
        <v>1</v>
      </c>
    </row>
    <row r="22">
      <c r="A22" s="4"/>
      <c r="C22" s="4" t="s">
        <v>2644</v>
      </c>
      <c r="D22" s="4" t="str">
        <f t="shared" si="1"/>
        <v>{"valorA":"filhos","valorB":1}</v>
      </c>
      <c r="E22" s="8" t="str">
        <f t="shared" si="2"/>
        <v>filhos</v>
      </c>
      <c r="F22" s="8" t="str">
        <f>IFERROR(__xludf.DUMMYFUNCTION("""COMPUTED_VALUE"""),"jogálo")</f>
        <v>jogálo</v>
      </c>
      <c r="G22" s="8" t="str">
        <f t="shared" si="3"/>
        <v>1</v>
      </c>
      <c r="H22" s="9">
        <f t="shared" si="4"/>
        <v>1</v>
      </c>
      <c r="I22" s="10">
        <f>IFERROR(__xludf.DUMMYFUNCTION("MAX(FILTER($H$2:$H369,$E$2:$E369=F22))"),2.0)</f>
        <v>2</v>
      </c>
    </row>
    <row r="23">
      <c r="A23" s="4"/>
      <c r="C23" s="4" t="s">
        <v>2645</v>
      </c>
      <c r="D23" s="4" t="str">
        <f t="shared" si="1"/>
        <v>{"valorA":"jogálo","valorB":1}</v>
      </c>
      <c r="E23" s="8" t="str">
        <f t="shared" si="2"/>
        <v>jogálo</v>
      </c>
      <c r="F23" s="8" t="str">
        <f>IFERROR(__xludf.DUMMYFUNCTION("""COMPUTED_VALUE"""),"perfeitamente")</f>
        <v>perfeitamente</v>
      </c>
      <c r="G23" s="8" t="str">
        <f t="shared" si="3"/>
        <v>1</v>
      </c>
      <c r="H23" s="9">
        <f t="shared" si="4"/>
        <v>1</v>
      </c>
      <c r="I23" s="10">
        <f>IFERROR(__xludf.DUMMYFUNCTION("MAX(FILTER($H$2:$H369,$E$2:$E369=F23))"),7.0)</f>
        <v>7</v>
      </c>
    </row>
    <row r="24">
      <c r="A24" s="4"/>
      <c r="C24" s="4" t="s">
        <v>2646</v>
      </c>
      <c r="D24" s="4" t="str">
        <f t="shared" si="1"/>
        <v>{"valorA":"perfeitamente","valorB":1}</v>
      </c>
      <c r="E24" s="8" t="str">
        <f t="shared" si="2"/>
        <v>perfeitamente</v>
      </c>
      <c r="F24" s="8" t="str">
        <f>IFERROR(__xludf.DUMMYFUNCTION("""COMPUTED_VALUE"""),"a")</f>
        <v>a</v>
      </c>
      <c r="G24" s="8" t="str">
        <f t="shared" si="3"/>
        <v>1</v>
      </c>
      <c r="H24" s="9">
        <f t="shared" si="4"/>
        <v>1</v>
      </c>
      <c r="I24" s="10">
        <f>IFERROR(__xludf.DUMMYFUNCTION("MAX(FILTER($H$2:$H369,$E$2:$E369=F24))"),8.0)</f>
        <v>8</v>
      </c>
    </row>
    <row r="25">
      <c r="A25" s="4"/>
      <c r="C25" s="4" t="s">
        <v>2647</v>
      </c>
      <c r="D25" s="4" t="str">
        <f t="shared" si="1"/>
        <v>{"valorA":"a","valorB":1}</v>
      </c>
      <c r="E25" s="8" t="str">
        <f t="shared" si="2"/>
        <v>a</v>
      </c>
      <c r="F25" s="8" t="str">
        <f>IFERROR(__xludf.DUMMYFUNCTION("""COMPUTED_VALUE"""),"resultado")</f>
        <v>resultado</v>
      </c>
      <c r="G25" s="8" t="str">
        <f t="shared" si="3"/>
        <v>1</v>
      </c>
      <c r="H25" s="9">
        <f t="shared" si="4"/>
        <v>1</v>
      </c>
      <c r="I25" s="10">
        <f>IFERROR(__xludf.DUMMYFUNCTION("MAX(FILTER($H$2:$H369,$E$2:$E369=F25))"),4.0)</f>
        <v>4</v>
      </c>
    </row>
    <row r="26">
      <c r="A26" s="4"/>
      <c r="C26" s="4" t="s">
        <v>2648</v>
      </c>
      <c r="D26" s="4" t="str">
        <f t="shared" si="1"/>
        <v>{"valorA":"resultado","valorB":1}</v>
      </c>
      <c r="E26" s="8" t="str">
        <f t="shared" si="2"/>
        <v>resultado</v>
      </c>
      <c r="F26" s="8" t="str">
        <f>IFERROR(__xludf.DUMMYFUNCTION("""COMPUTED_VALUE"""),"pena")</f>
        <v>pena</v>
      </c>
      <c r="G26" s="8" t="str">
        <f t="shared" si="3"/>
        <v>1</v>
      </c>
      <c r="H26" s="9">
        <f t="shared" si="4"/>
        <v>1</v>
      </c>
      <c r="I26" s="10">
        <f>IFERROR(__xludf.DUMMYFUNCTION("MAX(FILTER($H$2:$H369,$E$2:$E369=F26))"),3.0)</f>
        <v>3</v>
      </c>
    </row>
    <row r="27">
      <c r="A27" s="4"/>
      <c r="C27" s="4" t="s">
        <v>2649</v>
      </c>
      <c r="D27" s="4" t="str">
        <f t="shared" si="1"/>
        <v>{"valorA":"pena","valorB":1}</v>
      </c>
      <c r="E27" s="8" t="str">
        <f t="shared" si="2"/>
        <v>pena</v>
      </c>
      <c r="F27" s="8" t="str">
        <f>IFERROR(__xludf.DUMMYFUNCTION("""COMPUTED_VALUE"""),"do")</f>
        <v>do</v>
      </c>
      <c r="G27" s="8" t="str">
        <f t="shared" si="3"/>
        <v>1</v>
      </c>
      <c r="H27" s="9">
        <f t="shared" si="4"/>
        <v>1</v>
      </c>
      <c r="I27" s="10">
        <f>IFERROR(__xludf.DUMMYFUNCTION("MAX(FILTER($H$2:$H369,$E$2:$E369=F27))"),5.0)</f>
        <v>5</v>
      </c>
    </row>
    <row r="28">
      <c r="A28" s="4"/>
      <c r="C28" s="4" t="s">
        <v>2650</v>
      </c>
      <c r="D28" s="4" t="str">
        <f t="shared" si="1"/>
        <v>{"valorA":"produto","valorB":2}</v>
      </c>
      <c r="E28" s="8" t="str">
        <f t="shared" si="2"/>
        <v>produto</v>
      </c>
      <c r="F28" s="8" t="str">
        <f>IFERROR(__xludf.DUMMYFUNCTION("""COMPUTED_VALUE"""),"preço")</f>
        <v>preço</v>
      </c>
      <c r="G28" s="8" t="str">
        <f t="shared" si="3"/>
        <v>2</v>
      </c>
      <c r="H28" s="9">
        <f t="shared" si="4"/>
        <v>2</v>
      </c>
      <c r="I28" s="10">
        <f>IFERROR(__xludf.DUMMYFUNCTION("MAX(FILTER($H$2:$H369,$E$2:$E369=F28))"),3.0)</f>
        <v>3</v>
      </c>
    </row>
    <row r="29">
      <c r="A29" s="4"/>
      <c r="C29" s="4" t="s">
        <v>2651</v>
      </c>
      <c r="D29" s="4" t="str">
        <f t="shared" si="1"/>
        <v>{"valorA":"esse","valorB":2}</v>
      </c>
      <c r="E29" s="8" t="str">
        <f t="shared" si="2"/>
        <v>esse</v>
      </c>
      <c r="F29" s="8" t="str">
        <f>IFERROR(__xludf.DUMMYFUNCTION("""COMPUTED_VALUE"""),"paguei")</f>
        <v>paguei</v>
      </c>
      <c r="G29" s="8" t="str">
        <f t="shared" si="3"/>
        <v>2</v>
      </c>
      <c r="H29" s="9">
        <f t="shared" si="4"/>
        <v>2</v>
      </c>
      <c r="I29" s="10">
        <f>IFERROR(__xludf.DUMMYFUNCTION("MAX(FILTER($H$2:$H369,$E$2:$E369=F29))"),2.0)</f>
        <v>2</v>
      </c>
    </row>
    <row r="30">
      <c r="A30" s="4"/>
      <c r="C30" s="4" t="s">
        <v>2652</v>
      </c>
      <c r="D30" s="4" t="str">
        <f t="shared" si="1"/>
        <v>{"valorA":"ótimo","valorB":2}</v>
      </c>
      <c r="E30" s="8" t="str">
        <f t="shared" si="2"/>
        <v>ótimo</v>
      </c>
      <c r="F30" s="8" t="str">
        <f>IFERROR(__xludf.DUMMYFUNCTION("""COMPUTED_VALUE"""),"e")</f>
        <v>e</v>
      </c>
      <c r="G30" s="8" t="str">
        <f t="shared" si="3"/>
        <v>2</v>
      </c>
      <c r="H30" s="9">
        <f t="shared" si="4"/>
        <v>2</v>
      </c>
      <c r="I30" s="10">
        <f>IFERROR(__xludf.DUMMYFUNCTION("MAX(FILTER($H$2:$H369,$E$2:$E369=F30))"),10.0)</f>
        <v>10</v>
      </c>
    </row>
    <row r="31">
      <c r="A31" s="4"/>
      <c r="C31" s="4" t="s">
        <v>2653</v>
      </c>
      <c r="D31" s="4" t="str">
        <f t="shared" si="1"/>
        <v>{"valorA":"ótimo","valorB":3}</v>
      </c>
      <c r="E31" s="8" t="str">
        <f t="shared" si="2"/>
        <v>ótimo</v>
      </c>
      <c r="F31" s="8" t="str">
        <f>IFERROR(__xludf.DUMMYFUNCTION("""COMPUTED_VALUE"""),"compra")</f>
        <v>compra</v>
      </c>
      <c r="G31" s="8" t="str">
        <f t="shared" si="3"/>
        <v>3</v>
      </c>
      <c r="H31" s="9">
        <f t="shared" si="4"/>
        <v>3</v>
      </c>
      <c r="I31" s="10">
        <f>IFERROR(__xludf.DUMMYFUNCTION("MAX(FILTER($H$2:$H369,$E$2:$E369=F31))"),4.0)</f>
        <v>4</v>
      </c>
    </row>
    <row r="32">
      <c r="A32" s="4"/>
      <c r="C32" s="4" t="s">
        <v>2654</v>
      </c>
      <c r="D32" s="4" t="str">
        <f t="shared" si="1"/>
        <v>{"valorA":"do","valorB":1}</v>
      </c>
      <c r="E32" s="8" t="str">
        <f t="shared" si="2"/>
        <v>do</v>
      </c>
      <c r="F32" s="8" t="str">
        <f>IFERROR(__xludf.DUMMYFUNCTION("""COMPUTED_VALUE"""),"satisfeito")</f>
        <v>satisfeito</v>
      </c>
      <c r="G32" s="8" t="str">
        <f t="shared" si="3"/>
        <v>1</v>
      </c>
      <c r="H32" s="9">
        <f t="shared" si="4"/>
        <v>1</v>
      </c>
      <c r="I32" s="10">
        <f>IFERROR(__xludf.DUMMYFUNCTION("MAX(FILTER($H$2:$H369,$E$2:$E369=F32))"),4.0)</f>
        <v>4</v>
      </c>
    </row>
    <row r="33">
      <c r="A33" s="4"/>
      <c r="C33" s="4" t="s">
        <v>2655</v>
      </c>
      <c r="D33" s="4" t="str">
        <f t="shared" si="1"/>
        <v>{"valorA":"preço","valorB":1}</v>
      </c>
      <c r="E33" s="8" t="str">
        <f t="shared" si="2"/>
        <v>preço</v>
      </c>
      <c r="F33" s="8" t="str">
        <f>IFERROR(__xludf.DUMMYFUNCTION("""COMPUTED_VALUE"""),"com")</f>
        <v>com</v>
      </c>
      <c r="G33" s="8" t="str">
        <f t="shared" si="3"/>
        <v>1</v>
      </c>
      <c r="H33" s="9">
        <f t="shared" si="4"/>
        <v>1</v>
      </c>
      <c r="I33" s="10">
        <f>IFERROR(__xludf.DUMMYFUNCTION("MAX(FILTER($H$2:$H369,$E$2:$E369=F33))"),4.0)</f>
        <v>4</v>
      </c>
    </row>
    <row r="34">
      <c r="A34" s="4"/>
      <c r="C34" s="4" t="s">
        <v>2656</v>
      </c>
      <c r="D34" s="4" t="str">
        <f t="shared" si="1"/>
        <v>{"valorA":"paguei","valorB":1}</v>
      </c>
      <c r="E34" s="8" t="str">
        <f t="shared" si="2"/>
        <v>paguei</v>
      </c>
      <c r="F34" s="8" t="str">
        <f>IFERROR(__xludf.DUMMYFUNCTION("""COMPUTED_VALUE"""),"filho")</f>
        <v>filho</v>
      </c>
      <c r="G34" s="8" t="str">
        <f t="shared" si="3"/>
        <v>1</v>
      </c>
      <c r="H34" s="9">
        <f t="shared" si="4"/>
        <v>1</v>
      </c>
      <c r="I34" s="10">
        <f>IFERROR(__xludf.DUMMYFUNCTION("MAX(FILTER($H$2:$H369,$E$2:$E369=F34))"),1.0)</f>
        <v>1</v>
      </c>
    </row>
    <row r="35">
      <c r="A35" s="4"/>
      <c r="C35" s="4" t="s">
        <v>2657</v>
      </c>
      <c r="D35" s="4" t="str">
        <f t="shared" si="1"/>
        <v>{"valorA":"ótimo","valorB":4}</v>
      </c>
      <c r="E35" s="8" t="str">
        <f t="shared" si="2"/>
        <v>ótimo</v>
      </c>
      <c r="F35" s="8" t="str">
        <f>IFERROR(__xludf.DUMMYFUNCTION("""COMPUTED_VALUE"""),"adora")</f>
        <v>adora</v>
      </c>
      <c r="G35" s="8" t="str">
        <f t="shared" si="3"/>
        <v>4</v>
      </c>
      <c r="H35" s="9">
        <f t="shared" si="4"/>
        <v>4</v>
      </c>
      <c r="I35" s="10">
        <f>IFERROR(__xludf.DUMMYFUNCTION("MAX(FILTER($H$2:$H369,$E$2:$E369=F35))"),2.0)</f>
        <v>2</v>
      </c>
    </row>
    <row r="36">
      <c r="A36" s="4"/>
      <c r="C36" s="4" t="s">
        <v>2658</v>
      </c>
      <c r="D36" s="4" t="str">
        <f t="shared" si="1"/>
        <v>{"valorA":"e","valorB":1}</v>
      </c>
      <c r="E36" s="8" t="str">
        <f t="shared" si="2"/>
        <v>e</v>
      </c>
      <c r="F36" s="8" t="str">
        <f>IFERROR(__xludf.DUMMYFUNCTION("""COMPUTED_VALUE"""),"meu")</f>
        <v>meu</v>
      </c>
      <c r="G36" s="8" t="str">
        <f t="shared" si="3"/>
        <v>1</v>
      </c>
      <c r="H36" s="9">
        <f t="shared" si="4"/>
        <v>1</v>
      </c>
      <c r="I36" s="10">
        <f>IFERROR(__xludf.DUMMYFUNCTION("MAX(FILTER($H$2:$H369,$E$2:$E369=F36))"),6.0)</f>
        <v>6</v>
      </c>
    </row>
    <row r="37">
      <c r="A37" s="4"/>
      <c r="C37" s="4" t="s">
        <v>2659</v>
      </c>
      <c r="D37" s="4" t="str">
        <f t="shared" si="1"/>
        <v>{"valorA":"ótimo","valorB":5}</v>
      </c>
      <c r="E37" s="8" t="str">
        <f t="shared" si="2"/>
        <v>ótimo</v>
      </c>
      <c r="F37" s="8" t="str">
        <f>IFERROR(__xludf.DUMMYFUNCTION("""COMPUTED_VALUE"""),"ele")</f>
        <v>ele</v>
      </c>
      <c r="G37" s="8" t="str">
        <f t="shared" si="3"/>
        <v>5</v>
      </c>
      <c r="H37" s="9">
        <f t="shared" si="4"/>
        <v>5</v>
      </c>
      <c r="I37" s="10">
        <f>IFERROR(__xludf.DUMMYFUNCTION("MAX(FILTER($H$2:$H369,$E$2:$E369=F37))"),2.0)</f>
        <v>2</v>
      </c>
    </row>
    <row r="38">
      <c r="A38" s="4"/>
      <c r="C38" s="4" t="s">
        <v>2660</v>
      </c>
      <c r="D38" s="4" t="str">
        <f t="shared" si="1"/>
        <v>{"valorA":"a","valorB":2}</v>
      </c>
      <c r="E38" s="8" t="str">
        <f t="shared" si="2"/>
        <v>a</v>
      </c>
      <c r="F38" s="8" t="str">
        <f>IFERROR(__xludf.DUMMYFUNCTION("""COMPUTED_VALUE"""),"bem")</f>
        <v>bem</v>
      </c>
      <c r="G38" s="8" t="str">
        <f t="shared" si="3"/>
        <v>2</v>
      </c>
      <c r="H38" s="9">
        <f t="shared" si="4"/>
        <v>2</v>
      </c>
      <c r="I38" s="10">
        <f>IFERROR(__xludf.DUMMYFUNCTION("MAX(FILTER($H$2:$H369,$E$2:$E369=F38))"),5.0)</f>
        <v>5</v>
      </c>
    </row>
    <row r="39">
      <c r="A39" s="4"/>
      <c r="C39" s="4" t="s">
        <v>2661</v>
      </c>
      <c r="D39" s="4" t="str">
        <f t="shared" si="1"/>
        <v>{"valorA":"produto","valorB":3}</v>
      </c>
      <c r="E39" s="8" t="str">
        <f t="shared" si="2"/>
        <v>produto</v>
      </c>
      <c r="F39" s="8" t="str">
        <f>IFERROR(__xludf.DUMMYFUNCTION("""COMPUTED_VALUE"""),"fácil")</f>
        <v>fácil</v>
      </c>
      <c r="G39" s="8" t="str">
        <f t="shared" si="3"/>
        <v>3</v>
      </c>
      <c r="H39" s="9">
        <f t="shared" si="4"/>
        <v>3</v>
      </c>
      <c r="I39" s="10">
        <f>IFERROR(__xludf.DUMMYFUNCTION("MAX(FILTER($H$2:$H369,$E$2:$E369=F39))"),3.0)</f>
        <v>3</v>
      </c>
    </row>
    <row r="40">
      <c r="A40" s="4"/>
      <c r="C40" s="4" t="s">
        <v>2662</v>
      </c>
      <c r="D40" s="4" t="str">
        <f t="shared" si="1"/>
        <v>{"valorA":"ótimo","valorB":6}</v>
      </c>
      <c r="E40" s="8" t="str">
        <f t="shared" si="2"/>
        <v>ótimo</v>
      </c>
      <c r="F40" s="8" t="str">
        <f>IFERROR(__xludf.DUMMYFUNCTION("""COMPUTED_VALUE"""),"é")</f>
        <v>é</v>
      </c>
      <c r="G40" s="8" t="str">
        <f t="shared" si="3"/>
        <v>6</v>
      </c>
      <c r="H40" s="9">
        <f t="shared" si="4"/>
        <v>6</v>
      </c>
      <c r="I40" s="10">
        <f>IFERROR(__xludf.DUMMYFUNCTION("MAX(FILTER($H$2:$H369,$E$2:$E369=F40))"),14.0)</f>
        <v>14</v>
      </c>
    </row>
    <row r="41">
      <c r="A41" s="4"/>
      <c r="C41" s="4" t="s">
        <v>2663</v>
      </c>
      <c r="D41" s="4" t="str">
        <f t="shared" si="1"/>
        <v>{"valorA":"muito","valorB":2}</v>
      </c>
      <c r="E41" s="8" t="str">
        <f t="shared" si="2"/>
        <v>muito</v>
      </c>
      <c r="F41" s="8" t="str">
        <f>IFERROR(__xludf.DUMMYFUNCTION("""COMPUTED_VALUE"""),"de")</f>
        <v>de</v>
      </c>
      <c r="G41" s="8" t="str">
        <f t="shared" si="3"/>
        <v>2</v>
      </c>
      <c r="H41" s="9">
        <f t="shared" si="4"/>
        <v>2</v>
      </c>
      <c r="I41" s="10">
        <f>IFERROR(__xludf.DUMMYFUNCTION("MAX(FILTER($H$2:$H369,$E$2:$E369=F41))"),7.0)</f>
        <v>7</v>
      </c>
    </row>
    <row r="42">
      <c r="A42" s="4"/>
      <c r="C42" s="4" t="s">
        <v>2664</v>
      </c>
      <c r="D42" s="4" t="str">
        <f t="shared" si="1"/>
        <v>{"valorA":"compra","valorB":1}</v>
      </c>
      <c r="E42" s="8" t="str">
        <f t="shared" si="2"/>
        <v>compra</v>
      </c>
      <c r="F42" s="8" t="str">
        <f>IFERROR(__xludf.DUMMYFUNCTION("""COMPUTED_VALUE"""),"usar")</f>
        <v>usar</v>
      </c>
      <c r="G42" s="8" t="str">
        <f t="shared" si="3"/>
        <v>1</v>
      </c>
      <c r="H42" s="9">
        <f t="shared" si="4"/>
        <v>1</v>
      </c>
      <c r="I42" s="10">
        <f>IFERROR(__xludf.DUMMYFUNCTION("MAX(FILTER($H$2:$H369,$E$2:$E369=F42))"),3.0)</f>
        <v>3</v>
      </c>
    </row>
    <row r="43">
      <c r="A43" s="4"/>
      <c r="C43" s="4" t="s">
        <v>2665</v>
      </c>
      <c r="D43" s="4" t="str">
        <f t="shared" si="1"/>
        <v>{"valorA":"satisfeito","valorB":1}</v>
      </c>
      <c r="E43" s="8" t="str">
        <f t="shared" si="2"/>
        <v>satisfeito</v>
      </c>
      <c r="F43" s="8" t="str">
        <f>IFERROR(__xludf.DUMMYFUNCTION("""COMPUTED_VALUE"""),"essa")</f>
        <v>essa</v>
      </c>
      <c r="G43" s="8" t="str">
        <f t="shared" si="3"/>
        <v>1</v>
      </c>
      <c r="H43" s="9">
        <f t="shared" si="4"/>
        <v>1</v>
      </c>
      <c r="I43" s="10">
        <f>IFERROR(__xludf.DUMMYFUNCTION("MAX(FILTER($H$2:$H369,$E$2:$E369=F43))"),6.0)</f>
        <v>6</v>
      </c>
    </row>
    <row r="44">
      <c r="A44" s="4"/>
      <c r="C44" s="4" t="s">
        <v>2666</v>
      </c>
      <c r="D44" s="4" t="str">
        <f t="shared" si="1"/>
        <v>{"valorA":"com","valorB":1}</v>
      </c>
      <c r="E44" s="8" t="str">
        <f t="shared" si="2"/>
        <v>com</v>
      </c>
      <c r="F44" s="8" t="str">
        <f>IFERROR(__xludf.DUMMYFUNCTION("""COMPUTED_VALUE"""),"agradeço")</f>
        <v>agradeço</v>
      </c>
      <c r="G44" s="8" t="str">
        <f t="shared" si="3"/>
        <v>1</v>
      </c>
      <c r="H44" s="9">
        <f t="shared" si="4"/>
        <v>1</v>
      </c>
      <c r="I44" s="10">
        <f>IFERROR(__xludf.DUMMYFUNCTION("MAX(FILTER($H$2:$H369,$E$2:$E369=F44))"),1.0)</f>
        <v>1</v>
      </c>
    </row>
    <row r="45">
      <c r="A45" s="4"/>
      <c r="C45" s="4" t="s">
        <v>2667</v>
      </c>
      <c r="D45" s="4" t="str">
        <f t="shared" si="1"/>
        <v>{"valorA":"produto","valorB":4}</v>
      </c>
      <c r="E45" s="8" t="str">
        <f t="shared" si="2"/>
        <v>produto</v>
      </c>
      <c r="F45" s="8" t="str">
        <f>IFERROR(__xludf.DUMMYFUNCTION("""COMPUTED_VALUE"""),"creme")</f>
        <v>creme</v>
      </c>
      <c r="G45" s="8" t="str">
        <f t="shared" si="3"/>
        <v>4</v>
      </c>
      <c r="H45" s="9">
        <f t="shared" si="4"/>
        <v>4</v>
      </c>
      <c r="I45" s="10">
        <f>IFERROR(__xludf.DUMMYFUNCTION("MAX(FILTER($H$2:$H369,$E$2:$E369=F45))"),2.0)</f>
        <v>2</v>
      </c>
    </row>
    <row r="46">
      <c r="A46" s="4"/>
      <c r="C46" s="4" t="s">
        <v>2668</v>
      </c>
      <c r="D46" s="4" t="str">
        <f t="shared" si="1"/>
        <v>{"valorA":"filho","valorB":1}</v>
      </c>
      <c r="E46" s="8" t="str">
        <f t="shared" si="2"/>
        <v>filho</v>
      </c>
      <c r="F46" s="8" t="str">
        <f>IFERROR(__xludf.DUMMYFUNCTION("""COMPUTED_VALUE"""),"hidratante")</f>
        <v>hidratante</v>
      </c>
      <c r="G46" s="8" t="str">
        <f t="shared" si="3"/>
        <v>1</v>
      </c>
      <c r="H46" s="9">
        <f t="shared" si="4"/>
        <v>1</v>
      </c>
      <c r="I46" s="10">
        <f>IFERROR(__xludf.DUMMYFUNCTION("MAX(FILTER($H$2:$H369,$E$2:$E369=F46))"),1.0)</f>
        <v>1</v>
      </c>
    </row>
    <row r="47">
      <c r="A47" s="4"/>
      <c r="C47" s="4" t="s">
        <v>2669</v>
      </c>
      <c r="D47" s="4" t="str">
        <f t="shared" si="1"/>
        <v>{"valorA":"adora","valorB":1}</v>
      </c>
      <c r="E47" s="8" t="str">
        <f t="shared" si="2"/>
        <v>adora</v>
      </c>
      <c r="F47" s="8" t="str">
        <f>IFERROR(__xludf.DUMMYFUNCTION("""COMPUTED_VALUE"""),"adorei")</f>
        <v>adorei</v>
      </c>
      <c r="G47" s="8" t="str">
        <f t="shared" si="3"/>
        <v>1</v>
      </c>
      <c r="H47" s="9">
        <f t="shared" si="4"/>
        <v>1</v>
      </c>
      <c r="I47" s="10">
        <f>IFERROR(__xludf.DUMMYFUNCTION("MAX(FILTER($H$2:$H369,$E$2:$E369=F47))"),3.0)</f>
        <v>3</v>
      </c>
    </row>
    <row r="48">
      <c r="A48" s="4"/>
      <c r="C48" s="4" t="s">
        <v>2670</v>
      </c>
      <c r="D48" s="4" t="str">
        <f t="shared" si="1"/>
        <v>{"valorA":"meu","valorB":1}</v>
      </c>
      <c r="E48" s="8" t="str">
        <f t="shared" si="2"/>
        <v>meu</v>
      </c>
      <c r="F48" s="8" t="str">
        <f>IFERROR(__xludf.DUMMYFUNCTION("""COMPUTED_VALUE"""),"cadeira")</f>
        <v>cadeira</v>
      </c>
      <c r="G48" s="8" t="str">
        <f t="shared" si="3"/>
        <v>1</v>
      </c>
      <c r="H48" s="9">
        <f t="shared" si="4"/>
        <v>1</v>
      </c>
      <c r="I48" s="10">
        <f>IFERROR(__xludf.DUMMYFUNCTION("MAX(FILTER($H$2:$H369,$E$2:$E369=F48))"),3.0)</f>
        <v>3</v>
      </c>
    </row>
    <row r="49">
      <c r="A49" s="4"/>
      <c r="C49" s="4" t="s">
        <v>2671</v>
      </c>
      <c r="D49" s="4" t="str">
        <f t="shared" si="1"/>
        <v>{"valorA":"ótimo","valorB":7}</v>
      </c>
      <c r="E49" s="8" t="str">
        <f t="shared" si="2"/>
        <v>ótimo</v>
      </c>
      <c r="F49" s="8" t="str">
        <f>IFERROR(__xludf.DUMMYFUNCTION("""COMPUTED_VALUE"""),"confortável")</f>
        <v>confortável</v>
      </c>
      <c r="G49" s="8" t="str">
        <f t="shared" si="3"/>
        <v>7</v>
      </c>
      <c r="H49" s="9">
        <f t="shared" si="4"/>
        <v>7</v>
      </c>
      <c r="I49" s="10">
        <f>IFERROR(__xludf.DUMMYFUNCTION("MAX(FILTER($H$2:$H369,$E$2:$E369=F49))"),4.0)</f>
        <v>4</v>
      </c>
    </row>
    <row r="50">
      <c r="A50" s="4"/>
      <c r="C50" s="4" t="s">
        <v>2672</v>
      </c>
      <c r="D50" s="4" t="str">
        <f t="shared" si="1"/>
        <v>{"valorA":"ele","valorB":1}</v>
      </c>
      <c r="E50" s="8" t="str">
        <f t="shared" si="2"/>
        <v>ele</v>
      </c>
      <c r="F50" s="8" t="str">
        <f>IFERROR(__xludf.DUMMYFUNCTION("""COMPUTED_VALUE"""),"comprei")</f>
        <v>comprei</v>
      </c>
      <c r="G50" s="8" t="str">
        <f t="shared" si="3"/>
        <v>1</v>
      </c>
      <c r="H50" s="9">
        <f t="shared" si="4"/>
        <v>1</v>
      </c>
      <c r="I50" s="10">
        <f>IFERROR(__xludf.DUMMYFUNCTION("MAX(FILTER($H$2:$H369,$E$2:$E369=F50))"),4.0)</f>
        <v>4</v>
      </c>
    </row>
    <row r="51">
      <c r="A51" s="4"/>
      <c r="C51" s="4" t="s">
        <v>2673</v>
      </c>
      <c r="D51" s="4" t="str">
        <f t="shared" si="1"/>
        <v>{"valorA":"ótimo","valorB":8}</v>
      </c>
      <c r="E51" s="8" t="str">
        <f t="shared" si="2"/>
        <v>ótimo</v>
      </c>
      <c r="F51" s="8" t="str">
        <f>IFERROR(__xludf.DUMMYFUNCTION("""COMPUTED_VALUE"""),"desequeiro")</f>
        <v>desequeiro</v>
      </c>
      <c r="G51" s="8" t="str">
        <f t="shared" si="3"/>
        <v>8</v>
      </c>
      <c r="H51" s="9">
        <f t="shared" si="4"/>
        <v>8</v>
      </c>
      <c r="I51" s="10">
        <f>IFERROR(__xludf.DUMMYFUNCTION("MAX(FILTER($H$2:$H369,$E$2:$E369=F51))"),1.0)</f>
        <v>1</v>
      </c>
    </row>
    <row r="52">
      <c r="A52" s="4"/>
      <c r="C52" s="4" t="s">
        <v>2674</v>
      </c>
      <c r="D52" s="4" t="str">
        <f t="shared" si="1"/>
        <v>{"valorA":"produto","valorB":5}</v>
      </c>
      <c r="E52" s="8" t="str">
        <f t="shared" si="2"/>
        <v>produto</v>
      </c>
      <c r="F52" s="8" t="str">
        <f>IFERROR(__xludf.DUMMYFUNCTION("""COMPUTED_VALUE"""),"ontem")</f>
        <v>ontem</v>
      </c>
      <c r="G52" s="8" t="str">
        <f t="shared" si="3"/>
        <v>5</v>
      </c>
      <c r="H52" s="9">
        <f t="shared" si="4"/>
        <v>5</v>
      </c>
      <c r="I52" s="10">
        <f>IFERROR(__xludf.DUMMYFUNCTION("MAX(FILTER($H$2:$H369,$E$2:$E369=F52))"),2.0)</f>
        <v>2</v>
      </c>
    </row>
    <row r="53">
      <c r="A53" s="4"/>
      <c r="C53" s="4" t="s">
        <v>2675</v>
      </c>
      <c r="D53" s="4" t="str">
        <f t="shared" si="1"/>
        <v>{"valorA":"bem","valorB":1}</v>
      </c>
      <c r="E53" s="8" t="str">
        <f t="shared" si="2"/>
        <v>bem</v>
      </c>
      <c r="F53" s="8" t="str">
        <f>IFERROR(__xludf.DUMMYFUNCTION("""COMPUTED_VALUE"""),"recomendo")</f>
        <v>recomendo</v>
      </c>
      <c r="G53" s="8" t="str">
        <f t="shared" si="3"/>
        <v>1</v>
      </c>
      <c r="H53" s="9">
        <f t="shared" si="4"/>
        <v>1</v>
      </c>
      <c r="I53" s="10">
        <f>IFERROR(__xludf.DUMMYFUNCTION("MAX(FILTER($H$2:$H369,$E$2:$E369=F53))"),1.0)</f>
        <v>1</v>
      </c>
    </row>
    <row r="54">
      <c r="A54" s="4"/>
      <c r="C54" s="4" t="s">
        <v>2676</v>
      </c>
      <c r="D54" s="4" t="str">
        <f t="shared" si="1"/>
        <v>{"valorA":"e","valorB":2}</v>
      </c>
      <c r="E54" s="8" t="str">
        <f t="shared" si="2"/>
        <v>e</v>
      </c>
      <c r="F54" s="8" t="str">
        <f>IFERROR(__xludf.DUMMYFUNCTION("""COMPUTED_VALUE"""),"serve")</f>
        <v>serve</v>
      </c>
      <c r="G54" s="8" t="str">
        <f t="shared" si="3"/>
        <v>2</v>
      </c>
      <c r="H54" s="9">
        <f t="shared" si="4"/>
        <v>2</v>
      </c>
      <c r="I54" s="10">
        <f>IFERROR(__xludf.DUMMYFUNCTION("MAX(FILTER($H$2:$H369,$E$2:$E369=F54))"),1.0)</f>
        <v>1</v>
      </c>
    </row>
    <row r="55">
      <c r="A55" s="4"/>
      <c r="C55" s="4" t="s">
        <v>2677</v>
      </c>
      <c r="D55" s="4" t="str">
        <f t="shared" si="1"/>
        <v>{"valorA":"fácil","valorB":1}</v>
      </c>
      <c r="E55" s="8" t="str">
        <f t="shared" si="2"/>
        <v>fácil</v>
      </c>
      <c r="F55" s="8" t="str">
        <f>IFERROR(__xludf.DUMMYFUNCTION("""COMPUTED_VALUE"""),"mim")</f>
        <v>mim</v>
      </c>
      <c r="G55" s="8" t="str">
        <f t="shared" si="3"/>
        <v>1</v>
      </c>
      <c r="H55" s="9">
        <f t="shared" si="4"/>
        <v>1</v>
      </c>
      <c r="I55" s="10">
        <f>IFERROR(__xludf.DUMMYFUNCTION("MAX(FILTER($H$2:$H369,$E$2:$E369=F55))"),4.0)</f>
        <v>4</v>
      </c>
    </row>
    <row r="56">
      <c r="A56" s="4"/>
      <c r="C56" s="4" t="s">
        <v>2678</v>
      </c>
      <c r="D56" s="4" t="str">
        <f t="shared" si="1"/>
        <v>{"valorA":"funciona","valorB":2}</v>
      </c>
      <c r="E56" s="8" t="str">
        <f t="shared" si="2"/>
        <v>funciona</v>
      </c>
      <c r="F56" s="8" t="str">
        <f>IFERROR(__xludf.DUMMYFUNCTION("""COMPUTED_VALUE"""),"quem")</f>
        <v>quem</v>
      </c>
      <c r="G56" s="8" t="str">
        <f t="shared" si="3"/>
        <v>2</v>
      </c>
      <c r="H56" s="9">
        <f t="shared" si="4"/>
        <v>2</v>
      </c>
      <c r="I56" s="10">
        <f>IFERROR(__xludf.DUMMYFUNCTION("MAX(FILTER($H$2:$H369,$E$2:$E369=F56))"),2.0)</f>
        <v>2</v>
      </c>
    </row>
    <row r="57">
      <c r="A57" s="4"/>
      <c r="C57" s="4" t="s">
        <v>2679</v>
      </c>
      <c r="D57" s="4" t="str">
        <f t="shared" si="1"/>
        <v>{"valorA":"é","valorB":1}</v>
      </c>
      <c r="E57" s="8" t="str">
        <f t="shared" si="2"/>
        <v>é</v>
      </c>
      <c r="F57" s="8" t="str">
        <f>IFERROR(__xludf.DUMMYFUNCTION("""COMPUTED_VALUE"""),"perfecta")</f>
        <v>perfecta</v>
      </c>
      <c r="G57" s="8" t="str">
        <f t="shared" si="3"/>
        <v>1</v>
      </c>
      <c r="H57" s="9">
        <f t="shared" si="4"/>
        <v>1</v>
      </c>
      <c r="I57" s="10">
        <f>IFERROR(__xludf.DUMMYFUNCTION("MAX(FILTER($H$2:$H369,$E$2:$E369=F57))"),1.0)</f>
        <v>1</v>
      </c>
    </row>
    <row r="58">
      <c r="A58" s="4"/>
      <c r="C58" s="4" t="s">
        <v>2680</v>
      </c>
      <c r="D58" s="4" t="str">
        <f t="shared" si="1"/>
        <v>{"valorA":"de","valorB":1}</v>
      </c>
      <c r="E58" s="8" t="str">
        <f t="shared" si="2"/>
        <v>de</v>
      </c>
      <c r="F58" s="8" t="str">
        <f>IFERROR(__xludf.DUMMYFUNCTION("""COMPUTED_VALUE"""),"simples")</f>
        <v>simples</v>
      </c>
      <c r="G58" s="8" t="str">
        <f t="shared" si="3"/>
        <v>1</v>
      </c>
      <c r="H58" s="9">
        <f t="shared" si="4"/>
        <v>1</v>
      </c>
      <c r="I58" s="10">
        <f>IFERROR(__xludf.DUMMYFUNCTION("MAX(FILTER($H$2:$H369,$E$2:$E369=F58))"),1.0)</f>
        <v>1</v>
      </c>
    </row>
    <row r="59">
      <c r="A59" s="4"/>
      <c r="C59" s="4" t="s">
        <v>2681</v>
      </c>
      <c r="D59" s="4" t="str">
        <f t="shared" si="1"/>
        <v>{"valorA":"usar","valorB":1}</v>
      </c>
      <c r="E59" s="8" t="str">
        <f t="shared" si="2"/>
        <v>usar</v>
      </c>
      <c r="F59" s="8" t="str">
        <f>IFERROR(__xludf.DUMMYFUNCTION("""COMPUTED_VALUE"""),"algo")</f>
        <v>algo</v>
      </c>
      <c r="G59" s="8" t="str">
        <f t="shared" si="3"/>
        <v>1</v>
      </c>
      <c r="H59" s="9">
        <f t="shared" si="4"/>
        <v>1</v>
      </c>
      <c r="I59" s="10">
        <f>IFERROR(__xludf.DUMMYFUNCTION("MAX(FILTER($H$2:$H369,$E$2:$E369=F59))"),1.0)</f>
        <v>1</v>
      </c>
    </row>
    <row r="60">
      <c r="A60" s="4"/>
      <c r="C60" s="4" t="s">
        <v>2682</v>
      </c>
      <c r="D60" s="4" t="str">
        <f t="shared" si="1"/>
        <v>{"valorA":"produto","valorB":6}</v>
      </c>
      <c r="E60" s="8" t="str">
        <f t="shared" si="2"/>
        <v>produto</v>
      </c>
      <c r="F60" s="8" t="str">
        <f>IFERROR(__xludf.DUMMYFUNCTION("""COMPUTED_VALUE"""),"relojoeira")</f>
        <v>relojoeira</v>
      </c>
      <c r="G60" s="8" t="str">
        <f t="shared" si="3"/>
        <v>6</v>
      </c>
      <c r="H60" s="9">
        <f t="shared" si="4"/>
        <v>6</v>
      </c>
      <c r="I60" s="10">
        <f>IFERROR(__xludf.DUMMYFUNCTION("MAX(FILTER($H$2:$H369,$E$2:$E369=F60))"),4.0)</f>
        <v>4</v>
      </c>
    </row>
    <row r="61">
      <c r="A61" s="4"/>
      <c r="C61" s="4" t="s">
        <v>2683</v>
      </c>
      <c r="D61" s="4" t="str">
        <f t="shared" si="1"/>
        <v>{"valorA":"essa","valorB":1}</v>
      </c>
      <c r="E61" s="8" t="str">
        <f t="shared" si="2"/>
        <v>essa</v>
      </c>
      <c r="F61" s="8" t="str">
        <f>IFERROR(__xludf.DUMMYFUNCTION("""COMPUTED_VALUE"""),"precisa")</f>
        <v>precisa</v>
      </c>
      <c r="G61" s="8" t="str">
        <f t="shared" si="3"/>
        <v>1</v>
      </c>
      <c r="H61" s="9">
        <f t="shared" si="4"/>
        <v>1</v>
      </c>
      <c r="I61" s="10">
        <f>IFERROR(__xludf.DUMMYFUNCTION("MAX(FILTER($H$2:$H369,$E$2:$E369=F61))"),1.0)</f>
        <v>1</v>
      </c>
    </row>
    <row r="62">
      <c r="A62" s="4"/>
      <c r="C62" s="4" t="s">
        <v>2684</v>
      </c>
      <c r="D62" s="4" t="str">
        <f t="shared" si="1"/>
        <v>{"valorA":"ótimo","valorB":9}</v>
      </c>
      <c r="E62" s="8" t="str">
        <f t="shared" si="2"/>
        <v>ótimo</v>
      </c>
      <c r="F62" s="8" t="str">
        <f>IFERROR(__xludf.DUMMYFUNCTION("""COMPUTED_VALUE"""),"escritório")</f>
        <v>escritório</v>
      </c>
      <c r="G62" s="8" t="str">
        <f t="shared" si="3"/>
        <v>9</v>
      </c>
      <c r="H62" s="9">
        <f t="shared" si="4"/>
        <v>9</v>
      </c>
      <c r="I62" s="10">
        <f>IFERROR(__xludf.DUMMYFUNCTION("MAX(FILTER($H$2:$H369,$E$2:$E369=F62))"),1.0)</f>
        <v>1</v>
      </c>
    </row>
    <row r="63">
      <c r="A63" s="4"/>
      <c r="C63" s="4" t="s">
        <v>2685</v>
      </c>
      <c r="D63" s="4" t="str">
        <f t="shared" si="1"/>
        <v>{"valorA":"agradeço","valorB":1}</v>
      </c>
      <c r="E63" s="8" t="str">
        <f t="shared" si="2"/>
        <v>agradeço</v>
      </c>
      <c r="F63" s="8" t="str">
        <f>IFERROR(__xludf.DUMMYFUNCTION("""COMPUTED_VALUE"""),"mãos")</f>
        <v>mãos</v>
      </c>
      <c r="G63" s="8" t="str">
        <f t="shared" si="3"/>
        <v>1</v>
      </c>
      <c r="H63" s="9">
        <f t="shared" si="4"/>
        <v>1</v>
      </c>
      <c r="I63" s="10">
        <f>IFERROR(__xludf.DUMMYFUNCTION("MAX(FILTER($H$2:$H369,$E$2:$E369=F63))"),1.0)</f>
        <v>1</v>
      </c>
    </row>
    <row r="64">
      <c r="A64" s="4"/>
      <c r="C64" s="4" t="s">
        <v>2686</v>
      </c>
      <c r="D64" s="4" t="str">
        <f t="shared" si="1"/>
        <v>{"valorA":"a","valorB":3}</v>
      </c>
      <c r="E64" s="8" t="str">
        <f t="shared" si="2"/>
        <v>a</v>
      </c>
      <c r="F64" s="8" t="str">
        <f>IFERROR(__xludf.DUMMYFUNCTION("""COMPUTED_VALUE"""),"as")</f>
        <v>as</v>
      </c>
      <c r="G64" s="8" t="str">
        <f t="shared" si="3"/>
        <v>3</v>
      </c>
      <c r="H64" s="9">
        <f t="shared" si="4"/>
        <v>3</v>
      </c>
      <c r="I64" s="10">
        <f>IFERROR(__xludf.DUMMYFUNCTION("MAX(FILTER($H$2:$H369,$E$2:$E369=F64))"),1.0)</f>
        <v>1</v>
      </c>
    </row>
    <row r="65">
      <c r="A65" s="4"/>
      <c r="C65" s="4" t="s">
        <v>2687</v>
      </c>
      <c r="D65" s="4" t="str">
        <f t="shared" si="1"/>
        <v>{"valorA":"compra","valorB":2}</v>
      </c>
      <c r="E65" s="8" t="str">
        <f t="shared" si="2"/>
        <v>compra</v>
      </c>
      <c r="F65" s="8" t="str">
        <f>IFERROR(__xludf.DUMMYFUNCTION("""COMPUTED_VALUE"""),"carro")</f>
        <v>carro</v>
      </c>
      <c r="G65" s="8" t="str">
        <f t="shared" si="3"/>
        <v>2</v>
      </c>
      <c r="H65" s="9">
        <f t="shared" si="4"/>
        <v>2</v>
      </c>
      <c r="I65" s="10">
        <f>IFERROR(__xludf.DUMMYFUNCTION("MAX(FILTER($H$2:$H369,$E$2:$E369=F65))"),3.0)</f>
        <v>3</v>
      </c>
    </row>
    <row r="66">
      <c r="A66" s="4"/>
      <c r="C66" s="4" t="s">
        <v>2688</v>
      </c>
      <c r="D66" s="4" t="str">
        <f t="shared" si="1"/>
        <v>{"valorA":"creme","valorB":1}</v>
      </c>
      <c r="E66" s="8" t="str">
        <f t="shared" si="2"/>
        <v>creme</v>
      </c>
      <c r="F66" s="8" t="str">
        <f>IFERROR(__xludf.DUMMYFUNCTION("""COMPUTED_VALUE"""),"seguro")</f>
        <v>seguro</v>
      </c>
      <c r="G66" s="8" t="str">
        <f t="shared" si="3"/>
        <v>1</v>
      </c>
      <c r="H66" s="9">
        <f t="shared" si="4"/>
        <v>1</v>
      </c>
      <c r="I66" s="10">
        <f>IFERROR(__xludf.DUMMYFUNCTION("MAX(FILTER($H$2:$H369,$E$2:$E369=F66))"),1.0)</f>
        <v>1</v>
      </c>
    </row>
    <row r="67">
      <c r="A67" s="4"/>
      <c r="C67" s="4" t="s">
        <v>2689</v>
      </c>
      <c r="D67" s="4" t="str">
        <f t="shared" si="1"/>
        <v>{"valorA":"hidratante","valorB":1}</v>
      </c>
      <c r="E67" s="8" t="str">
        <f t="shared" si="2"/>
        <v>hidratante</v>
      </c>
      <c r="F67" s="8" t="str">
        <f>IFERROR(__xludf.DUMMYFUNCTION("""COMPUTED_VALUE"""),"mais")</f>
        <v>mais</v>
      </c>
      <c r="G67" s="8" t="str">
        <f t="shared" si="3"/>
        <v>1</v>
      </c>
      <c r="H67" s="9">
        <f t="shared" si="4"/>
        <v>1</v>
      </c>
      <c r="I67" s="10">
        <f>IFERROR(__xludf.DUMMYFUNCTION("MAX(FILTER($H$2:$H369,$E$2:$E369=F67))"),1.0)</f>
        <v>1</v>
      </c>
    </row>
    <row r="68">
      <c r="A68" s="4"/>
      <c r="C68" s="4" t="s">
        <v>2690</v>
      </c>
      <c r="D68" s="4" t="str">
        <f t="shared" si="1"/>
        <v>{"valorA":"ótimo","valorB":10}</v>
      </c>
      <c r="E68" s="8" t="str">
        <f t="shared" si="2"/>
        <v>ótimo</v>
      </c>
      <c r="F68" s="8" t="str">
        <f>IFERROR(__xludf.DUMMYFUNCTION("""COMPUTED_VALUE"""),"barato")</f>
        <v>barato</v>
      </c>
      <c r="G68" s="8" t="str">
        <f t="shared" si="3"/>
        <v>10</v>
      </c>
      <c r="H68" s="9">
        <f t="shared" si="4"/>
        <v>10</v>
      </c>
      <c r="I68" s="10">
        <f>IFERROR(__xludf.DUMMYFUNCTION("MAX(FILTER($H$2:$H369,$E$2:$E369=F68))"),1.0)</f>
        <v>1</v>
      </c>
    </row>
    <row r="69">
      <c r="A69" s="4"/>
      <c r="C69" s="4" t="s">
        <v>2691</v>
      </c>
      <c r="D69" s="4" t="str">
        <f t="shared" si="1"/>
        <v>{"valorA":"o","valorB":2}</v>
      </c>
      <c r="E69" s="8" t="str">
        <f t="shared" si="2"/>
        <v>o</v>
      </c>
      <c r="F69" s="8" t="str">
        <f>IFERROR(__xludf.DUMMYFUNCTION("""COMPUTED_VALUE"""),"antigo")</f>
        <v>antigo</v>
      </c>
      <c r="G69" s="8" t="str">
        <f t="shared" si="3"/>
        <v>2</v>
      </c>
      <c r="H69" s="9">
        <f t="shared" si="4"/>
        <v>2</v>
      </c>
      <c r="I69" s="10">
        <f>IFERROR(__xludf.DUMMYFUNCTION("MAX(FILTER($H$2:$H369,$E$2:$E369=F69))"),2.0)</f>
        <v>2</v>
      </c>
    </row>
    <row r="70">
      <c r="A70" s="4"/>
      <c r="C70" s="4" t="s">
        <v>2692</v>
      </c>
      <c r="D70" s="4" t="str">
        <f t="shared" si="1"/>
        <v>{"valorA":"adorei","valorB":1}</v>
      </c>
      <c r="E70" s="8" t="str">
        <f t="shared" si="2"/>
        <v>adorei</v>
      </c>
      <c r="F70" s="8" t="str">
        <f>IFERROR(__xludf.DUMMYFUNCTION("""COMPUTED_VALUE"""),"fone")</f>
        <v>fone</v>
      </c>
      <c r="G70" s="8" t="str">
        <f t="shared" si="3"/>
        <v>1</v>
      </c>
      <c r="H70" s="9">
        <f t="shared" si="4"/>
        <v>1</v>
      </c>
      <c r="I70" s="10">
        <f>IFERROR(__xludf.DUMMYFUNCTION("MAX(FILTER($H$2:$H369,$E$2:$E369=F70))"),1.0)</f>
        <v>1</v>
      </c>
    </row>
    <row r="71">
      <c r="A71" s="4"/>
      <c r="C71" s="4" t="s">
        <v>2693</v>
      </c>
      <c r="D71" s="4" t="str">
        <f t="shared" si="1"/>
        <v>{"valorA":"produto","valorB":7}</v>
      </c>
      <c r="E71" s="8" t="str">
        <f t="shared" si="2"/>
        <v>produto</v>
      </c>
      <c r="F71" s="8" t="str">
        <f>IFERROR(__xludf.DUMMYFUNCTION("""COMPUTED_VALUE"""),"bluetooth")</f>
        <v>bluetooth</v>
      </c>
      <c r="G71" s="8" t="str">
        <f t="shared" si="3"/>
        <v>7</v>
      </c>
      <c r="H71" s="9">
        <f t="shared" si="4"/>
        <v>7</v>
      </c>
      <c r="I71" s="10">
        <f>IFERROR(__xludf.DUMMYFUNCTION("MAX(FILTER($H$2:$H369,$E$2:$E369=F71))"),1.0)</f>
        <v>1</v>
      </c>
    </row>
    <row r="72">
      <c r="A72" s="4"/>
      <c r="C72" s="4" t="s">
        <v>2694</v>
      </c>
      <c r="D72" s="4" t="str">
        <f t="shared" si="1"/>
        <v>{"valorA":"resultado","valorB":2}</v>
      </c>
      <c r="E72" s="8" t="str">
        <f t="shared" si="2"/>
        <v>resultado</v>
      </c>
      <c r="F72" s="8" t="str">
        <f>IFERROR(__xludf.DUMMYFUNCTION("""COMPUTED_VALUE"""),"fotoincríveis")</f>
        <v>fotoincríveis</v>
      </c>
      <c r="G72" s="8" t="str">
        <f t="shared" si="3"/>
        <v>2</v>
      </c>
      <c r="H72" s="9">
        <f t="shared" si="4"/>
        <v>2</v>
      </c>
      <c r="I72" s="10">
        <f>IFERROR(__xludf.DUMMYFUNCTION("MAX(FILTER($H$2:$H369,$E$2:$E369=F72))"),1.0)</f>
        <v>1</v>
      </c>
    </row>
    <row r="73">
      <c r="A73" s="4"/>
      <c r="C73" s="4" t="s">
        <v>2695</v>
      </c>
      <c r="D73" s="4" t="str">
        <f t="shared" si="1"/>
        <v>{"valorA":"que","valorB":2}</v>
      </c>
      <c r="E73" s="8" t="str">
        <f t="shared" si="2"/>
        <v>que</v>
      </c>
      <c r="F73" s="8" t="str">
        <f>IFERROR(__xludf.DUMMYFUNCTION("""COMPUTED_VALUE"""),"câmera")</f>
        <v>câmera</v>
      </c>
      <c r="G73" s="8" t="str">
        <f t="shared" si="3"/>
        <v>2</v>
      </c>
      <c r="H73" s="9">
        <f t="shared" si="4"/>
        <v>2</v>
      </c>
      <c r="I73" s="10">
        <f>IFERROR(__xludf.DUMMYFUNCTION("MAX(FILTER($H$2:$H369,$E$2:$E369=F73))"),1.0)</f>
        <v>1</v>
      </c>
    </row>
    <row r="74">
      <c r="A74" s="4"/>
      <c r="C74" s="4" t="s">
        <v>2696</v>
      </c>
      <c r="D74" s="4" t="str">
        <f t="shared" si="1"/>
        <v>{"valorA":"essa","valorB":2}</v>
      </c>
      <c r="E74" s="8" t="str">
        <f t="shared" si="2"/>
        <v>essa</v>
      </c>
      <c r="F74" s="8" t="str">
        <f>IFERROR(__xludf.DUMMYFUNCTION("""COMPUTED_VALUE"""),"minhas")</f>
        <v>minhas</v>
      </c>
      <c r="G74" s="8" t="str">
        <f t="shared" si="3"/>
        <v>2</v>
      </c>
      <c r="H74" s="9">
        <f t="shared" si="4"/>
        <v>2</v>
      </c>
      <c r="I74" s="10">
        <f>IFERROR(__xludf.DUMMYFUNCTION("MAX(FILTER($H$2:$H369,$E$2:$E369=F74))"),1.0)</f>
        <v>1</v>
      </c>
    </row>
    <row r="75">
      <c r="A75" s="4"/>
      <c r="C75" s="4" t="s">
        <v>2697</v>
      </c>
      <c r="D75" s="4" t="str">
        <f t="shared" si="1"/>
        <v>{"valorA":"cadeira","valorB":1}</v>
      </c>
      <c r="E75" s="8" t="str">
        <f t="shared" si="2"/>
        <v>cadeira</v>
      </c>
      <c r="F75" s="8" t="str">
        <f>IFERROR(__xludf.DUMMYFUNCTION("""COMPUTED_VALUE"""),"perfeita")</f>
        <v>perfeita</v>
      </c>
      <c r="G75" s="8" t="str">
        <f t="shared" si="3"/>
        <v>1</v>
      </c>
      <c r="H75" s="9">
        <f t="shared" si="4"/>
        <v>1</v>
      </c>
      <c r="I75" s="10">
        <f>IFERROR(__xludf.DUMMYFUNCTION("MAX(FILTER($H$2:$H369,$E$2:$E369=F75))"),2.0)</f>
        <v>2</v>
      </c>
    </row>
    <row r="76">
      <c r="A76" s="4"/>
      <c r="C76" s="4" t="s">
        <v>2698</v>
      </c>
      <c r="D76" s="4" t="str">
        <f t="shared" si="1"/>
        <v>{"valorA":"ótimo","valorB":11}</v>
      </c>
      <c r="E76" s="8" t="str">
        <f t="shared" si="2"/>
        <v>ótimo</v>
      </c>
      <c r="F76" s="8" t="str">
        <f>IFERROR(__xludf.DUMMYFUNCTION("""COMPUTED_VALUE"""),"necessidades")</f>
        <v>necessidades</v>
      </c>
      <c r="G76" s="8" t="str">
        <f t="shared" si="3"/>
        <v>11</v>
      </c>
      <c r="H76" s="9">
        <f t="shared" si="4"/>
        <v>11</v>
      </c>
      <c r="I76" s="10">
        <f>IFERROR(__xludf.DUMMYFUNCTION("MAX(FILTER($H$2:$H369,$E$2:$E369=F76))"),1.0)</f>
        <v>1</v>
      </c>
    </row>
    <row r="77">
      <c r="A77" s="4"/>
      <c r="C77" s="4" t="s">
        <v>2699</v>
      </c>
      <c r="D77" s="4" t="str">
        <f t="shared" si="1"/>
        <v>{"valorA":"confortável","valorB":1}</v>
      </c>
      <c r="E77" s="8" t="str">
        <f t="shared" si="2"/>
        <v>confortável</v>
      </c>
      <c r="F77" s="8" t="str">
        <f>IFERROR(__xludf.DUMMYFUNCTION("""COMPUTED_VALUE"""),"bela")</f>
        <v>bela</v>
      </c>
      <c r="G77" s="8" t="str">
        <f t="shared" si="3"/>
        <v>1</v>
      </c>
      <c r="H77" s="9">
        <f t="shared" si="4"/>
        <v>1</v>
      </c>
      <c r="I77" s="10">
        <f>IFERROR(__xludf.DUMMYFUNCTION("MAX(FILTER($H$2:$H369,$E$2:$E369=F77))"),1.0)</f>
        <v>1</v>
      </c>
    </row>
    <row r="78">
      <c r="A78" s="4"/>
      <c r="C78" s="4" t="s">
        <v>2700</v>
      </c>
      <c r="D78" s="4" t="str">
        <f t="shared" si="1"/>
        <v>{"valorA":"comprei","valorB":1}</v>
      </c>
      <c r="E78" s="8" t="str">
        <f t="shared" si="2"/>
        <v>comprei</v>
      </c>
      <c r="F78" s="8" t="str">
        <f>IFERROR(__xludf.DUMMYFUNCTION("""COMPUTED_VALUE"""),"também")</f>
        <v>também</v>
      </c>
      <c r="G78" s="8" t="str">
        <f t="shared" si="3"/>
        <v>1</v>
      </c>
      <c r="H78" s="9">
        <f t="shared" si="4"/>
        <v>1</v>
      </c>
      <c r="I78" s="10">
        <f>IFERROR(__xludf.DUMMYFUNCTION("MAX(FILTER($H$2:$H369,$E$2:$E369=F78))"),1.0)</f>
        <v>1</v>
      </c>
    </row>
    <row r="79">
      <c r="A79" s="4"/>
      <c r="C79" s="4" t="s">
        <v>2701</v>
      </c>
      <c r="D79" s="4" t="str">
        <f t="shared" si="1"/>
        <v>{"valorA":"e","valorB":3}</v>
      </c>
      <c r="E79" s="8" t="str">
        <f t="shared" si="2"/>
        <v>e</v>
      </c>
      <c r="F79" s="8" t="str">
        <f>IFERROR(__xludf.DUMMYFUNCTION("""COMPUTED_VALUE"""),"perfecto")</f>
        <v>perfecto</v>
      </c>
      <c r="G79" s="8" t="str">
        <f t="shared" si="3"/>
        <v>3</v>
      </c>
      <c r="H79" s="9">
        <f t="shared" si="4"/>
        <v>3</v>
      </c>
      <c r="I79" s="10">
        <f>IFERROR(__xludf.DUMMYFUNCTION("MAX(FILTER($H$2:$H369,$E$2:$E369=F79))"),1.0)</f>
        <v>1</v>
      </c>
    </row>
    <row r="80">
      <c r="A80" s="4"/>
      <c r="C80" s="4" t="s">
        <v>2702</v>
      </c>
      <c r="D80" s="4" t="str">
        <f t="shared" si="1"/>
        <v>{"valorA":"ótimo","valorB":12}</v>
      </c>
      <c r="E80" s="8" t="str">
        <f t="shared" si="2"/>
        <v>ótimo</v>
      </c>
      <c r="F80" s="8" t="str">
        <f>IFERROR(__xludf.DUMMYFUNCTION("""COMPUTED_VALUE"""),"relojoeiro")</f>
        <v>relojoeiro</v>
      </c>
      <c r="G80" s="8" t="str">
        <f t="shared" si="3"/>
        <v>12</v>
      </c>
      <c r="H80" s="9">
        <f t="shared" si="4"/>
        <v>12</v>
      </c>
      <c r="I80" s="10">
        <f>IFERROR(__xludf.DUMMYFUNCTION("MAX(FILTER($H$2:$H369,$E$2:$E369=F80))"),2.0)</f>
        <v>2</v>
      </c>
    </row>
    <row r="81">
      <c r="A81" s="4"/>
      <c r="C81" s="4" t="s">
        <v>2703</v>
      </c>
      <c r="D81" s="4" t="str">
        <f t="shared" si="1"/>
        <v>{"valorA":"gostei","valorB":2}</v>
      </c>
      <c r="E81" s="8" t="str">
        <f t="shared" si="2"/>
        <v>gostei</v>
      </c>
      <c r="F81" s="8" t="str">
        <f>IFERROR(__xludf.DUMMYFUNCTION("""COMPUTED_VALUE"""),"criança")</f>
        <v>criança</v>
      </c>
      <c r="G81" s="8" t="str">
        <f t="shared" si="3"/>
        <v>2</v>
      </c>
      <c r="H81" s="9">
        <f t="shared" si="4"/>
        <v>2</v>
      </c>
      <c r="I81" s="10">
        <f>IFERROR(__xludf.DUMMYFUNCTION("MAX(FILTER($H$2:$H369,$E$2:$E369=F81))"),1.0)</f>
        <v>1</v>
      </c>
    </row>
    <row r="82">
      <c r="A82" s="4"/>
      <c r="C82" s="4" t="s">
        <v>2704</v>
      </c>
      <c r="D82" s="4" t="str">
        <f t="shared" si="1"/>
        <v>{"valorA":"produto","valorB":8}</v>
      </c>
      <c r="E82" s="8" t="str">
        <f t="shared" si="2"/>
        <v>produto</v>
      </c>
      <c r="F82" s="8" t="str">
        <f>IFERROR(__xludf.DUMMYFUNCTION("""COMPUTED_VALUE"""),"encanta")</f>
        <v>encanta</v>
      </c>
      <c r="G82" s="8" t="str">
        <f t="shared" si="3"/>
        <v>8</v>
      </c>
      <c r="H82" s="9">
        <f t="shared" si="4"/>
        <v>8</v>
      </c>
      <c r="I82" s="10">
        <f>IFERROR(__xludf.DUMMYFUNCTION("MAX(FILTER($H$2:$H369,$E$2:$E369=F82))"),1.0)</f>
        <v>1</v>
      </c>
    </row>
    <row r="83">
      <c r="A83" s="4"/>
      <c r="C83" s="4" t="s">
        <v>2705</v>
      </c>
      <c r="D83" s="4" t="str">
        <f t="shared" si="1"/>
        <v>{"valorA":"muito","valorB":3}</v>
      </c>
      <c r="E83" s="8" t="str">
        <f t="shared" si="2"/>
        <v>muito</v>
      </c>
      <c r="F83" s="8" t="str">
        <f>IFERROR(__xludf.DUMMYFUNCTION("""COMPUTED_VALUE"""),"me")</f>
        <v>me</v>
      </c>
      <c r="G83" s="8" t="str">
        <f t="shared" si="3"/>
        <v>3</v>
      </c>
      <c r="H83" s="9">
        <f t="shared" si="4"/>
        <v>3</v>
      </c>
      <c r="I83" s="10">
        <f>IFERROR(__xludf.DUMMYFUNCTION("MAX(FILTER($H$2:$H369,$E$2:$E369=F83))"),1.0)</f>
        <v>1</v>
      </c>
    </row>
    <row r="84">
      <c r="A84" s="4"/>
      <c r="C84" s="4" t="s">
        <v>2706</v>
      </c>
      <c r="D84" s="4" t="str">
        <f t="shared" si="1"/>
        <v>{"valorA":"resultado","valorB":3}</v>
      </c>
      <c r="E84" s="8" t="str">
        <f t="shared" si="2"/>
        <v>resultado</v>
      </c>
      <c r="F84" s="8" t="str">
        <f>IFERROR(__xludf.DUMMYFUNCTION("""COMPUTED_VALUE"""),"treinar")</f>
        <v>treinar</v>
      </c>
      <c r="G84" s="8" t="str">
        <f t="shared" si="3"/>
        <v>3</v>
      </c>
      <c r="H84" s="9">
        <f t="shared" si="4"/>
        <v>3</v>
      </c>
      <c r="I84" s="10">
        <f>IFERROR(__xludf.DUMMYFUNCTION("MAX(FILTER($H$2:$H369,$E$2:$E369=F84))"),1.0)</f>
        <v>1</v>
      </c>
    </row>
    <row r="85">
      <c r="A85" s="4"/>
      <c r="C85" s="4" t="s">
        <v>2707</v>
      </c>
      <c r="D85" s="4" t="str">
        <f t="shared" si="1"/>
        <v>{"valorA":"do","valorB":2}</v>
      </c>
      <c r="E85" s="8" t="str">
        <f t="shared" si="2"/>
        <v>do</v>
      </c>
      <c r="F85" s="8" t="str">
        <f>IFERROR(__xludf.DUMMYFUNCTION("""COMPUTED_VALUE"""),"começando")</f>
        <v>começando</v>
      </c>
      <c r="G85" s="8" t="str">
        <f t="shared" si="3"/>
        <v>2</v>
      </c>
      <c r="H85" s="9">
        <f t="shared" si="4"/>
        <v>2</v>
      </c>
      <c r="I85" s="10">
        <f>IFERROR(__xludf.DUMMYFUNCTION("MAX(FILTER($H$2:$H369,$E$2:$E369=F85))"),1.0)</f>
        <v>1</v>
      </c>
    </row>
    <row r="86">
      <c r="A86" s="4"/>
      <c r="C86" s="4" t="s">
        <v>2708</v>
      </c>
      <c r="D86" s="4" t="str">
        <f t="shared" si="1"/>
        <v>{"valorA":"que","valorB":3}</v>
      </c>
      <c r="E86" s="8" t="str">
        <f t="shared" si="2"/>
        <v>que</v>
      </c>
      <c r="F86" s="8" t="str">
        <f>IFERROR(__xludf.DUMMYFUNCTION("""COMPUTED_VALUE"""),"está")</f>
        <v>está</v>
      </c>
      <c r="G86" s="8" t="str">
        <f t="shared" si="3"/>
        <v>3</v>
      </c>
      <c r="H86" s="9">
        <f t="shared" si="4"/>
        <v>3</v>
      </c>
      <c r="I86" s="10">
        <f>IFERROR(__xludf.DUMMYFUNCTION("MAX(FILTER($H$2:$H369,$E$2:$E369=F86))"),1.0)</f>
        <v>1</v>
      </c>
    </row>
    <row r="87">
      <c r="A87" s="4"/>
      <c r="C87" s="4" t="s">
        <v>2709</v>
      </c>
      <c r="D87" s="4" t="str">
        <f t="shared" si="1"/>
        <v>{"valorA":"desequeiro","valorB":1}</v>
      </c>
      <c r="E87" s="8" t="str">
        <f t="shared" si="2"/>
        <v>desequeiro</v>
      </c>
      <c r="F87" s="8" t="str">
        <f>IFERROR(__xludf.DUMMYFUNCTION("""COMPUTED_VALUE"""),"comprimento")</f>
        <v>comprimento</v>
      </c>
      <c r="G87" s="8" t="str">
        <f t="shared" si="3"/>
        <v>1</v>
      </c>
      <c r="H87" s="9">
        <f t="shared" si="4"/>
        <v>1</v>
      </c>
      <c r="I87" s="10">
        <f>IFERROR(__xludf.DUMMYFUNCTION("MAX(FILTER($H$2:$H369,$E$2:$E369=F87))"),1.0)</f>
        <v>1</v>
      </c>
    </row>
    <row r="88">
      <c r="A88" s="4"/>
      <c r="C88" s="4" t="s">
        <v>2710</v>
      </c>
      <c r="D88" s="4" t="str">
        <f t="shared" si="1"/>
        <v>{"valorA":"ótimo","valorB":13}</v>
      </c>
      <c r="E88" s="8" t="str">
        <f t="shared" si="2"/>
        <v>ótimo</v>
      </c>
      <c r="F88" s="8" t="str">
        <f>IFERROR(__xludf.DUMMYFUNCTION("""COMPUTED_VALUE"""),"chapéu")</f>
        <v>chapéu</v>
      </c>
      <c r="G88" s="8" t="str">
        <f t="shared" si="3"/>
        <v>13</v>
      </c>
      <c r="H88" s="9">
        <f t="shared" si="4"/>
        <v>13</v>
      </c>
      <c r="I88" s="10">
        <f>IFERROR(__xludf.DUMMYFUNCTION("MAX(FILTER($H$2:$H369,$E$2:$E369=F88))"),2.0)</f>
        <v>2</v>
      </c>
    </row>
    <row r="89">
      <c r="A89" s="4"/>
      <c r="C89" s="4" t="s">
        <v>2711</v>
      </c>
      <c r="D89" s="4" t="str">
        <f t="shared" si="1"/>
        <v>{"valorA":"comprei","valorB":2}</v>
      </c>
      <c r="E89" s="8" t="str">
        <f t="shared" si="2"/>
        <v>comprei</v>
      </c>
      <c r="F89" s="8" t="str">
        <f>IFERROR(__xludf.DUMMYFUNCTION("""COMPUTED_VALUE"""),"deste")</f>
        <v>deste</v>
      </c>
      <c r="G89" s="8" t="str">
        <f t="shared" si="3"/>
        <v>2</v>
      </c>
      <c r="H89" s="9">
        <f t="shared" si="4"/>
        <v>2</v>
      </c>
      <c r="I89" s="10">
        <f>IFERROR(__xludf.DUMMYFUNCTION("MAX(FILTER($H$2:$H369,$E$2:$E369=F89))"),1.0)</f>
        <v>1</v>
      </c>
    </row>
    <row r="90">
      <c r="A90" s="4"/>
      <c r="C90" s="4" t="s">
        <v>2712</v>
      </c>
      <c r="D90" s="4" t="str">
        <f t="shared" si="1"/>
        <v>{"valorA":"funciona","valorB":3}</v>
      </c>
      <c r="E90" s="8" t="str">
        <f t="shared" si="2"/>
        <v>funciona</v>
      </c>
      <c r="F90" s="8" t="str">
        <f>IFERROR(__xludf.DUMMYFUNCTION("""COMPUTED_VALUE"""),"perfeito")</f>
        <v>perfeito</v>
      </c>
      <c r="G90" s="8" t="str">
        <f t="shared" si="3"/>
        <v>3</v>
      </c>
      <c r="H90" s="9">
        <f t="shared" si="4"/>
        <v>3</v>
      </c>
      <c r="I90" s="10">
        <f>IFERROR(__xludf.DUMMYFUNCTION("MAX(FILTER($H$2:$H369,$E$2:$E369=F90))"),2.0)</f>
        <v>2</v>
      </c>
    </row>
    <row r="91">
      <c r="A91" s="4"/>
      <c r="C91" s="4" t="s">
        <v>2713</v>
      </c>
      <c r="D91" s="4" t="str">
        <f t="shared" si="1"/>
        <v>{"valorA":"ontem","valorB":1}</v>
      </c>
      <c r="E91" s="8" t="str">
        <f t="shared" si="2"/>
        <v>ontem</v>
      </c>
      <c r="F91" s="8" t="str">
        <f>IFERROR(__xludf.DUMMYFUNCTION("""COMPUTED_VALUE"""),"incrível")</f>
        <v>incrível</v>
      </c>
      <c r="G91" s="8" t="str">
        <f t="shared" si="3"/>
        <v>1</v>
      </c>
      <c r="H91" s="9">
        <f t="shared" si="4"/>
        <v>1</v>
      </c>
      <c r="I91" s="10">
        <f>IFERROR(__xludf.DUMMYFUNCTION("MAX(FILTER($H$2:$H369,$E$2:$E369=F91))"),5.0)</f>
        <v>5</v>
      </c>
    </row>
    <row r="92">
      <c r="A92" s="4"/>
      <c r="C92" s="4" t="s">
        <v>2714</v>
      </c>
      <c r="D92" s="4" t="str">
        <f t="shared" si="1"/>
        <v>{"valorA":"perfeitamente","valorB":2}</v>
      </c>
      <c r="E92" s="8" t="str">
        <f t="shared" si="2"/>
        <v>perfeitamente</v>
      </c>
      <c r="F92" s="8" t="str">
        <f>IFERROR(__xludf.DUMMYFUNCTION("""COMPUTED_VALUE"""),"realmente")</f>
        <v>realmente</v>
      </c>
      <c r="G92" s="8" t="str">
        <f t="shared" si="3"/>
        <v>2</v>
      </c>
      <c r="H92" s="9">
        <f t="shared" si="4"/>
        <v>2</v>
      </c>
      <c r="I92" s="10">
        <f>IFERROR(__xludf.DUMMYFUNCTION("MAX(FILTER($H$2:$H369,$E$2:$E369=F92))"),3.0)</f>
        <v>3</v>
      </c>
    </row>
    <row r="93">
      <c r="A93" s="4"/>
      <c r="C93" s="4" t="s">
        <v>2715</v>
      </c>
      <c r="D93" s="4" t="str">
        <f t="shared" si="1"/>
        <v>{"valorA":"funciona","valorB":4}</v>
      </c>
      <c r="E93" s="8" t="str">
        <f t="shared" si="2"/>
        <v>funciona</v>
      </c>
      <c r="F93" s="8" t="str">
        <f>IFERROR(__xludf.DUMMYFUNCTION("""COMPUTED_VALUE"""),"relogio")</f>
        <v>relogio</v>
      </c>
      <c r="G93" s="8" t="str">
        <f t="shared" si="3"/>
        <v>4</v>
      </c>
      <c r="H93" s="9">
        <f t="shared" si="4"/>
        <v>4</v>
      </c>
      <c r="I93" s="10">
        <f>IFERROR(__xludf.DUMMYFUNCTION("MAX(FILTER($H$2:$H369,$E$2:$E369=F93))"),1.0)</f>
        <v>1</v>
      </c>
    </row>
    <row r="94">
      <c r="A94" s="4"/>
      <c r="C94" s="4" t="s">
        <v>2716</v>
      </c>
      <c r="D94" s="4" t="str">
        <f t="shared" si="1"/>
        <v>{"valorA":"perfeitamente","valorB":3}</v>
      </c>
      <c r="E94" s="8" t="str">
        <f t="shared" si="2"/>
        <v>perfeitamente</v>
      </c>
      <c r="F94" s="8" t="str">
        <f>IFERROR(__xludf.DUMMYFUNCTION("""COMPUTED_VALUE"""),"alta")</f>
        <v>alta</v>
      </c>
      <c r="G94" s="8" t="str">
        <f t="shared" si="3"/>
        <v>3</v>
      </c>
      <c r="H94" s="9">
        <f t="shared" si="4"/>
        <v>3</v>
      </c>
      <c r="I94" s="10">
        <f>IFERROR(__xludf.DUMMYFUNCTION("MAX(FILTER($H$2:$H369,$E$2:$E369=F94))"),1.0)</f>
        <v>1</v>
      </c>
    </row>
    <row r="95">
      <c r="A95" s="4"/>
      <c r="C95" s="4" t="s">
        <v>2717</v>
      </c>
      <c r="D95" s="4" t="str">
        <f t="shared" si="1"/>
        <v>{"valorA":"produto","valorB":9}</v>
      </c>
      <c r="E95" s="8" t="str">
        <f t="shared" si="2"/>
        <v>produto</v>
      </c>
      <c r="F95" s="8" t="str">
        <f>IFERROR(__xludf.DUMMYFUNCTION("""COMPUTED_VALUE"""),"qualidade")</f>
        <v>qualidade</v>
      </c>
      <c r="G95" s="8" t="str">
        <f t="shared" si="3"/>
        <v>9</v>
      </c>
      <c r="H95" s="9">
        <f t="shared" si="4"/>
        <v>9</v>
      </c>
      <c r="I95" s="10">
        <f>IFERROR(__xludf.DUMMYFUNCTION("MAX(FILTER($H$2:$H369,$E$2:$E369=F95))"),2.0)</f>
        <v>2</v>
      </c>
    </row>
    <row r="96">
      <c r="A96" s="4"/>
      <c r="C96" s="4" t="s">
        <v>2718</v>
      </c>
      <c r="D96" s="4" t="str">
        <f t="shared" si="1"/>
        <v>{"valorA":"ótimo","valorB":14}</v>
      </c>
      <c r="E96" s="8" t="str">
        <f t="shared" si="2"/>
        <v>ótimo</v>
      </c>
      <c r="F96" s="8" t="str">
        <f>IFERROR(__xludf.DUMMYFUNCTION("""COMPUTED_VALUE"""),"precioso")</f>
        <v>precioso</v>
      </c>
      <c r="G96" s="8" t="str">
        <f t="shared" si="3"/>
        <v>14</v>
      </c>
      <c r="H96" s="9">
        <f t="shared" si="4"/>
        <v>14</v>
      </c>
      <c r="I96" s="10">
        <f>IFERROR(__xludf.DUMMYFUNCTION("MAX(FILTER($H$2:$H369,$E$2:$E369=F96))"),1.0)</f>
        <v>1</v>
      </c>
    </row>
    <row r="97">
      <c r="A97" s="4"/>
      <c r="C97" s="4" t="s">
        <v>2719</v>
      </c>
      <c r="D97" s="4" t="str">
        <f t="shared" si="1"/>
        <v>{"valorA":"é","valorB":2}</v>
      </c>
      <c r="E97" s="8" t="str">
        <f t="shared" si="2"/>
        <v>é</v>
      </c>
      <c r="F97" s="8" t="str">
        <f>IFERROR(__xludf.DUMMYFUNCTION("""COMPUTED_VALUE"""),"gosto")</f>
        <v>gosto</v>
      </c>
      <c r="G97" s="8" t="str">
        <f t="shared" si="3"/>
        <v>2</v>
      </c>
      <c r="H97" s="9">
        <f t="shared" si="4"/>
        <v>2</v>
      </c>
      <c r="I97" s="10">
        <f>IFERROR(__xludf.DUMMYFUNCTION("MAX(FILTER($H$2:$H369,$E$2:$E369=F97))"),2.0)</f>
        <v>2</v>
      </c>
    </row>
    <row r="98">
      <c r="A98" s="4"/>
      <c r="C98" s="4" t="s">
        <v>2720</v>
      </c>
      <c r="D98" s="4" t="str">
        <f t="shared" si="1"/>
        <v>{"valorA":"de","valorB":2}</v>
      </c>
      <c r="E98" s="8" t="str">
        <f t="shared" si="2"/>
        <v>de</v>
      </c>
      <c r="F98" s="8" t="str">
        <f>IFERROR(__xludf.DUMMYFUNCTION("""COMPUTED_VALUE"""),"melhor")</f>
        <v>melhor</v>
      </c>
      <c r="G98" s="8" t="str">
        <f t="shared" si="3"/>
        <v>2</v>
      </c>
      <c r="H98" s="9">
        <f t="shared" si="4"/>
        <v>2</v>
      </c>
      <c r="I98" s="10">
        <f>IFERROR(__xludf.DUMMYFUNCTION("MAX(FILTER($H$2:$H369,$E$2:$E369=F98))"),2.0)</f>
        <v>2</v>
      </c>
    </row>
    <row r="99">
      <c r="A99" s="4"/>
      <c r="C99" s="4" t="s">
        <v>2721</v>
      </c>
      <c r="D99" s="4" t="str">
        <f t="shared" si="1"/>
        <v>{"valorA":"e","valorB":4}</v>
      </c>
      <c r="E99" s="8" t="str">
        <f t="shared" si="2"/>
        <v>e</v>
      </c>
      <c r="F99" s="8" t="str">
        <f>IFERROR(__xludf.DUMMYFUNCTION("""COMPUTED_VALUE"""),"comprar")</f>
        <v>comprar</v>
      </c>
      <c r="G99" s="8" t="str">
        <f t="shared" si="3"/>
        <v>4</v>
      </c>
      <c r="H99" s="9">
        <f t="shared" si="4"/>
        <v>4</v>
      </c>
      <c r="I99" s="10">
        <f>IFERROR(__xludf.DUMMYFUNCTION("MAX(FILTER($H$2:$H369,$E$2:$E369=F99))"),1.0)</f>
        <v>1</v>
      </c>
    </row>
    <row r="100">
      <c r="A100" s="4"/>
      <c r="C100" s="4" t="s">
        <v>2722</v>
      </c>
      <c r="D100" s="4" t="str">
        <f t="shared" si="1"/>
        <v>{"valorA":"fácil","valorB":2}</v>
      </c>
      <c r="E100" s="8" t="str">
        <f t="shared" si="2"/>
        <v>fácil</v>
      </c>
      <c r="F100" s="8" t="str">
        <f>IFERROR(__xludf.DUMMYFUNCTION("""COMPUTED_VALUE"""),"da")</f>
        <v>da</v>
      </c>
      <c r="G100" s="8" t="str">
        <f t="shared" si="3"/>
        <v>2</v>
      </c>
      <c r="H100" s="9">
        <f t="shared" si="4"/>
        <v>2</v>
      </c>
      <c r="I100" s="10">
        <f>IFERROR(__xludf.DUMMYFUNCTION("MAX(FILTER($H$2:$H369,$E$2:$E369=F100))"),2.0)</f>
        <v>2</v>
      </c>
    </row>
    <row r="101">
      <c r="A101" s="4"/>
      <c r="C101" s="4" t="s">
        <v>2723</v>
      </c>
      <c r="D101" s="4" t="str">
        <f t="shared" si="1"/>
        <v>{"valorA":"usar","valorB":2}</v>
      </c>
      <c r="E101" s="8" t="str">
        <f t="shared" si="2"/>
        <v>usar</v>
      </c>
      <c r="F101" s="8" t="str">
        <f>IFERROR(__xludf.DUMMYFUNCTION("""COMPUTED_VALUE"""),"refrigerante")</f>
        <v>refrigerante</v>
      </c>
      <c r="G101" s="8" t="str">
        <f t="shared" si="3"/>
        <v>2</v>
      </c>
      <c r="H101" s="9">
        <f t="shared" si="4"/>
        <v>2</v>
      </c>
      <c r="I101" s="10">
        <f>IFERROR(__xludf.DUMMYFUNCTION("MAX(FILTER($H$2:$H369,$E$2:$E369=F101))"),1.0)</f>
        <v>1</v>
      </c>
    </row>
    <row r="102">
      <c r="A102" s="4"/>
      <c r="C102" s="4" t="s">
        <v>2724</v>
      </c>
      <c r="D102" s="4" t="str">
        <f t="shared" si="1"/>
        <v>{"valorA":"recomendo","valorB":1}</v>
      </c>
      <c r="E102" s="8" t="str">
        <f t="shared" si="2"/>
        <v>recomendo</v>
      </c>
      <c r="F102" s="8" t="str">
        <f>IFERROR(__xludf.DUMMYFUNCTION("""COMPUTED_VALUE"""),"fico")</f>
        <v>fico</v>
      </c>
      <c r="G102" s="8" t="str">
        <f t="shared" si="3"/>
        <v>1</v>
      </c>
      <c r="H102" s="9">
        <f t="shared" si="4"/>
        <v>1</v>
      </c>
      <c r="I102" s="10">
        <f>IFERROR(__xludf.DUMMYFUNCTION("MAX(FILTER($H$2:$H369,$E$2:$E369=F102))"),1.0)</f>
        <v>1</v>
      </c>
    </row>
    <row r="103">
      <c r="A103" s="4"/>
      <c r="C103" s="4" t="s">
        <v>2725</v>
      </c>
      <c r="D103" s="4" t="str">
        <f t="shared" si="1"/>
        <v>{"valorA":"produto","valorB":10}</v>
      </c>
      <c r="E103" s="8" t="str">
        <f t="shared" si="2"/>
        <v>produto</v>
      </c>
      <c r="F103" s="8" t="str">
        <f>IFERROR(__xludf.DUMMYFUNCTION("""COMPUTED_VALUE"""),"feliz")</f>
        <v>feliz</v>
      </c>
      <c r="G103" s="8" t="str">
        <f t="shared" si="3"/>
        <v>10</v>
      </c>
      <c r="H103" s="9">
        <f t="shared" si="4"/>
        <v>10</v>
      </c>
      <c r="I103" s="10">
        <f>IFERROR(__xludf.DUMMYFUNCTION("MAX(FILTER($H$2:$H369,$E$2:$E369=F103))"),1.0)</f>
        <v>1</v>
      </c>
    </row>
    <row r="104">
      <c r="A104" s="4"/>
      <c r="C104" s="4" t="s">
        <v>2726</v>
      </c>
      <c r="D104" s="4" t="str">
        <f t="shared" si="1"/>
        <v>{"valorA":"ótimo","valorB":15}</v>
      </c>
      <c r="E104" s="8" t="str">
        <f t="shared" si="2"/>
        <v>ótimo</v>
      </c>
      <c r="F104" s="8" t="str">
        <f>IFERROR(__xludf.DUMMYFUNCTION("""COMPUTED_VALUE"""),"lavalier")</f>
        <v>lavalier</v>
      </c>
      <c r="G104" s="8" t="str">
        <f t="shared" si="3"/>
        <v>15</v>
      </c>
      <c r="H104" s="9">
        <f t="shared" si="4"/>
        <v>15</v>
      </c>
      <c r="I104" s="10">
        <f>IFERROR(__xludf.DUMMYFUNCTION("MAX(FILTER($H$2:$H369,$E$2:$E369=F104))"),1.0)</f>
        <v>1</v>
      </c>
    </row>
    <row r="105">
      <c r="A105" s="4"/>
      <c r="C105" s="4" t="s">
        <v>2727</v>
      </c>
      <c r="D105" s="4" t="str">
        <f t="shared" si="1"/>
        <v>{"valorA":"para","valorB":2}</v>
      </c>
      <c r="E105" s="8" t="str">
        <f t="shared" si="2"/>
        <v>para</v>
      </c>
      <c r="F105" s="8" t="str">
        <f>IFERROR(__xludf.DUMMYFUNCTION("""COMPUTED_VALUE"""),"loja")</f>
        <v>loja</v>
      </c>
      <c r="G105" s="8" t="str">
        <f t="shared" si="3"/>
        <v>2</v>
      </c>
      <c r="H105" s="9">
        <f t="shared" si="4"/>
        <v>2</v>
      </c>
      <c r="I105" s="10">
        <f>IFERROR(__xludf.DUMMYFUNCTION("MAX(FILTER($H$2:$H369,$E$2:$E369=F105))"),1.0)</f>
        <v>1</v>
      </c>
    </row>
    <row r="106">
      <c r="A106" s="4"/>
      <c r="C106" s="4" t="s">
        <v>2728</v>
      </c>
      <c r="D106" s="4" t="str">
        <f t="shared" si="1"/>
        <v>{"valorA":"produto","valorB":11}</v>
      </c>
      <c r="E106" s="8" t="str">
        <f t="shared" si="2"/>
        <v>produto</v>
      </c>
      <c r="F106" s="8" t="str">
        <f>IFERROR(__xludf.DUMMYFUNCTION("""COMPUTED_VALUE"""),"dessa")</f>
        <v>dessa</v>
      </c>
      <c r="G106" s="8" t="str">
        <f t="shared" si="3"/>
        <v>11</v>
      </c>
      <c r="H106" s="9">
        <f t="shared" si="4"/>
        <v>11</v>
      </c>
      <c r="I106" s="10">
        <f>IFERROR(__xludf.DUMMYFUNCTION("MAX(FILTER($H$2:$H369,$E$2:$E369=F106))"),1.0)</f>
        <v>1</v>
      </c>
    </row>
    <row r="107">
      <c r="A107" s="4"/>
      <c r="C107" s="4" t="s">
        <v>2729</v>
      </c>
      <c r="D107" s="4" t="str">
        <f t="shared" si="1"/>
        <v>{"valorA":"ótimo","valorB":16}</v>
      </c>
      <c r="E107" s="8" t="str">
        <f t="shared" si="2"/>
        <v>ótimo</v>
      </c>
      <c r="F107" s="8" t="str">
        <f>IFERROR(__xludf.DUMMYFUNCTION("""COMPUTED_VALUE"""),"online")</f>
        <v>online</v>
      </c>
      <c r="G107" s="8" t="str">
        <f t="shared" si="3"/>
        <v>16</v>
      </c>
      <c r="H107" s="9">
        <f t="shared" si="4"/>
        <v>16</v>
      </c>
      <c r="I107" s="10">
        <f>IFERROR(__xludf.DUMMYFUNCTION("MAX(FILTER($H$2:$H369,$E$2:$E369=F107))"),1.0)</f>
        <v>1</v>
      </c>
    </row>
    <row r="108">
      <c r="A108" s="4"/>
      <c r="C108" s="4" t="s">
        <v>2730</v>
      </c>
      <c r="D108" s="4" t="str">
        <f t="shared" si="1"/>
        <v>{"valorA":"serve","valorB":1}</v>
      </c>
      <c r="E108" s="8" t="str">
        <f t="shared" si="2"/>
        <v>serve</v>
      </c>
      <c r="F108" s="8" t="str">
        <f>IFERROR(__xludf.DUMMYFUNCTION("""COMPUTED_VALUE"""),"categoría")</f>
        <v>categoría</v>
      </c>
      <c r="G108" s="8" t="str">
        <f t="shared" si="3"/>
        <v>1</v>
      </c>
      <c r="H108" s="9">
        <f t="shared" si="4"/>
        <v>1</v>
      </c>
      <c r="I108" s="10">
        <f>IFERROR(__xludf.DUMMYFUNCTION("MAX(FILTER($H$2:$H369,$E$2:$E369=F108))"),1.0)</f>
        <v>1</v>
      </c>
    </row>
    <row r="109">
      <c r="A109" s="4"/>
      <c r="C109" s="4" t="s">
        <v>2731</v>
      </c>
      <c r="D109" s="4" t="str">
        <f t="shared" si="1"/>
        <v>{"valorA":"bem","valorB":2}</v>
      </c>
      <c r="E109" s="8" t="str">
        <f t="shared" si="2"/>
        <v>bem</v>
      </c>
      <c r="F109" s="8" t="str">
        <f>IFERROR(__xludf.DUMMYFUNCTION("""COMPUTED_VALUE"""),"novo")</f>
        <v>novo</v>
      </c>
      <c r="G109" s="8" t="str">
        <f t="shared" si="3"/>
        <v>2</v>
      </c>
      <c r="H109" s="9">
        <f t="shared" si="4"/>
        <v>2</v>
      </c>
      <c r="I109" s="10">
        <f>IFERROR(__xludf.DUMMYFUNCTION("MAX(FILTER($H$2:$H369,$E$2:$E369=F109))"),2.0)</f>
        <v>2</v>
      </c>
    </row>
    <row r="110">
      <c r="A110" s="4"/>
      <c r="C110" s="4" t="s">
        <v>2732</v>
      </c>
      <c r="D110" s="4" t="str">
        <f t="shared" si="1"/>
        <v>{"valorA":"mim","valorB":1}</v>
      </c>
      <c r="E110" s="8" t="str">
        <f t="shared" si="2"/>
        <v>mim</v>
      </c>
      <c r="F110" s="8" t="str">
        <f>IFERROR(__xludf.DUMMYFUNCTION("""COMPUTED_VALUE"""),"útil")</f>
        <v>útil</v>
      </c>
      <c r="G110" s="8" t="str">
        <f t="shared" si="3"/>
        <v>1</v>
      </c>
      <c r="H110" s="9">
        <f t="shared" si="4"/>
        <v>1</v>
      </c>
      <c r="I110" s="10">
        <f>IFERROR(__xludf.DUMMYFUNCTION("MAX(FILTER($H$2:$H369,$E$2:$E369=F110))"),1.0)</f>
        <v>1</v>
      </c>
    </row>
    <row r="111">
      <c r="A111" s="4"/>
      <c r="C111" s="4" t="s">
        <v>2733</v>
      </c>
      <c r="D111" s="4" t="str">
        <f t="shared" si="1"/>
        <v>{"valorA":"quem","valorB":1}</v>
      </c>
      <c r="E111" s="8" t="str">
        <f t="shared" si="2"/>
        <v>quem</v>
      </c>
      <c r="F111" s="8" t="str">
        <f>IFERROR(__xludf.DUMMYFUNCTION("""COMPUTED_VALUE"""),"favorito")</f>
        <v>favorito</v>
      </c>
      <c r="G111" s="8" t="str">
        <f t="shared" si="3"/>
        <v>1</v>
      </c>
      <c r="H111" s="9">
        <f t="shared" si="4"/>
        <v>1</v>
      </c>
      <c r="I111" s="10">
        <f>IFERROR(__xludf.DUMMYFUNCTION("MAX(FILTER($H$2:$H369,$E$2:$E369=F111))"),1.0)</f>
        <v>1</v>
      </c>
    </row>
    <row r="112">
      <c r="A112" s="4"/>
      <c r="C112" s="4" t="s">
        <v>2734</v>
      </c>
      <c r="D112" s="4" t="str">
        <f t="shared" si="1"/>
        <v>{"valorA":"perfecta","valorB":1}</v>
      </c>
      <c r="E112" s="8" t="str">
        <f t="shared" si="2"/>
        <v>perfecta</v>
      </c>
      <c r="F112" s="8" t="str">
        <f>IFERROR(__xludf.DUMMYFUNCTION("""COMPUTED_VALUE"""),"sol")</f>
        <v>sol</v>
      </c>
      <c r="G112" s="8" t="str">
        <f t="shared" si="3"/>
        <v>1</v>
      </c>
      <c r="H112" s="9">
        <f t="shared" si="4"/>
        <v>1</v>
      </c>
      <c r="I112" s="10">
        <f>IFERROR(__xludf.DUMMYFUNCTION("MAX(FILTER($H$2:$H369,$E$2:$E369=F112))"),1.0)</f>
        <v>1</v>
      </c>
    </row>
    <row r="113">
      <c r="A113" s="4"/>
      <c r="C113" s="4" t="s">
        <v>2735</v>
      </c>
      <c r="D113" s="4" t="str">
        <f t="shared" si="1"/>
        <v>{"valorA":"ótimo","valorB":17}</v>
      </c>
      <c r="E113" s="8" t="str">
        <f t="shared" si="2"/>
        <v>ótimo</v>
      </c>
      <c r="F113" s="8"/>
      <c r="G113" s="8" t="str">
        <f t="shared" si="3"/>
        <v>17</v>
      </c>
      <c r="H113" s="9">
        <f t="shared" si="4"/>
        <v>17</v>
      </c>
      <c r="I113" s="6" t="str">
        <f>IFERROR(__xludf.DUMMYFUNCTION("MAX(FILTER($H$2:$H369,$E$2:$E369=F113))"),"#N/A")</f>
        <v>#N/A</v>
      </c>
    </row>
    <row r="114">
      <c r="A114" s="4"/>
      <c r="C114" s="4" t="s">
        <v>2736</v>
      </c>
      <c r="D114" s="4" t="str">
        <f t="shared" si="1"/>
        <v>{"valorA":"de","valorB":3}</v>
      </c>
      <c r="E114" s="8" t="str">
        <f t="shared" si="2"/>
        <v>de</v>
      </c>
      <c r="F114" s="8"/>
      <c r="G114" s="8" t="str">
        <f t="shared" si="3"/>
        <v>3</v>
      </c>
      <c r="H114" s="9">
        <f t="shared" si="4"/>
        <v>3</v>
      </c>
      <c r="I114" s="6" t="str">
        <f>IFERROR(__xludf.DUMMYFUNCTION("MAX(FILTER($H$2:$H369,$E$2:$E369=F114))"),"#N/A")</f>
        <v>#N/A</v>
      </c>
    </row>
    <row r="115">
      <c r="A115" s="4"/>
      <c r="C115" s="4" t="s">
        <v>2737</v>
      </c>
      <c r="D115" s="4" t="str">
        <f t="shared" si="1"/>
        <v>{"valorA":"simples","valorB":1}</v>
      </c>
      <c r="E115" s="8" t="str">
        <f t="shared" si="2"/>
        <v>simples</v>
      </c>
      <c r="F115" s="8"/>
      <c r="G115" s="8" t="str">
        <f t="shared" si="3"/>
        <v>1</v>
      </c>
      <c r="H115" s="9">
        <f t="shared" si="4"/>
        <v>1</v>
      </c>
      <c r="I115" s="6" t="str">
        <f>IFERROR(__xludf.DUMMYFUNCTION("MAX(FILTER($H$2:$H369,$E$2:$E369=F115))"),"#N/A")</f>
        <v>#N/A</v>
      </c>
    </row>
    <row r="116">
      <c r="A116" s="4"/>
      <c r="C116" s="4" t="s">
        <v>2738</v>
      </c>
      <c r="D116" s="4" t="str">
        <f t="shared" si="1"/>
        <v>{"valorA":"de","valorB":4}</v>
      </c>
      <c r="E116" s="8" t="str">
        <f t="shared" si="2"/>
        <v>de</v>
      </c>
      <c r="F116" s="8"/>
      <c r="G116" s="8" t="str">
        <f t="shared" si="3"/>
        <v>4</v>
      </c>
      <c r="H116" s="9">
        <f t="shared" si="4"/>
        <v>4</v>
      </c>
      <c r="I116" s="6" t="str">
        <f>IFERROR(__xludf.DUMMYFUNCTION("MAX(FILTER($H$2:$H369,$E$2:$E369=F116))"),"#N/A")</f>
        <v>#N/A</v>
      </c>
    </row>
    <row r="117">
      <c r="A117" s="4"/>
      <c r="C117" s="4" t="s">
        <v>2739</v>
      </c>
      <c r="D117" s="4" t="str">
        <f t="shared" si="1"/>
        <v>{"valorA":"usar","valorB":3}</v>
      </c>
      <c r="E117" s="8" t="str">
        <f t="shared" si="2"/>
        <v>usar</v>
      </c>
      <c r="F117" s="8"/>
      <c r="G117" s="8" t="str">
        <f t="shared" si="3"/>
        <v>3</v>
      </c>
      <c r="H117" s="9">
        <f t="shared" si="4"/>
        <v>3</v>
      </c>
      <c r="I117" s="6" t="str">
        <f>IFERROR(__xludf.DUMMYFUNCTION("MAX(FILTER($H$2:$H369,$E$2:$E369=F117))"),"#N/A")</f>
        <v>#N/A</v>
      </c>
    </row>
    <row r="118">
      <c r="A118" s="4"/>
      <c r="C118" s="4" t="s">
        <v>2740</v>
      </c>
      <c r="D118" s="4" t="str">
        <f t="shared" si="1"/>
        <v>{"valorA":"e","valorB":5}</v>
      </c>
      <c r="E118" s="8" t="str">
        <f t="shared" si="2"/>
        <v>e</v>
      </c>
      <c r="F118" s="8"/>
      <c r="G118" s="8" t="str">
        <f t="shared" si="3"/>
        <v>5</v>
      </c>
      <c r="H118" s="9">
        <f t="shared" si="4"/>
        <v>5</v>
      </c>
      <c r="I118" s="6" t="str">
        <f>IFERROR(__xludf.DUMMYFUNCTION("MAX(FILTER($H$2:$H369,$E$2:$E369=F118))"),"#N/A")</f>
        <v>#N/A</v>
      </c>
    </row>
    <row r="119">
      <c r="A119" s="4"/>
      <c r="C119" s="4" t="s">
        <v>2741</v>
      </c>
      <c r="D119" s="4" t="str">
        <f t="shared" si="1"/>
        <v>{"valorA":"fácil","valorB":3}</v>
      </c>
      <c r="E119" s="8" t="str">
        <f t="shared" si="2"/>
        <v>fácil</v>
      </c>
      <c r="F119" s="8"/>
      <c r="G119" s="8" t="str">
        <f t="shared" si="3"/>
        <v>3</v>
      </c>
      <c r="H119" s="9">
        <f t="shared" si="4"/>
        <v>3</v>
      </c>
      <c r="I119" s="6" t="str">
        <f>IFERROR(__xludf.DUMMYFUNCTION("MAX(FILTER($H$2:$H369,$E$2:$E369=F119))"),"#N/A")</f>
        <v>#N/A</v>
      </c>
    </row>
    <row r="120">
      <c r="A120" s="4"/>
      <c r="C120" s="4" t="s">
        <v>2742</v>
      </c>
      <c r="D120" s="4" t="str">
        <f t="shared" si="1"/>
        <v>{"valorA":"algo","valorB":1}</v>
      </c>
      <c r="E120" s="8" t="str">
        <f t="shared" si="2"/>
        <v>algo</v>
      </c>
      <c r="F120" s="8"/>
      <c r="G120" s="8" t="str">
        <f t="shared" si="3"/>
        <v>1</v>
      </c>
      <c r="H120" s="9">
        <f t="shared" si="4"/>
        <v>1</v>
      </c>
      <c r="I120" s="6" t="str">
        <f>IFERROR(__xludf.DUMMYFUNCTION("MAX(FILTER($H$2:$H369,$E$2:$E369=F120))"),"#N/A")</f>
        <v>#N/A</v>
      </c>
    </row>
    <row r="121">
      <c r="A121" s="4"/>
      <c r="C121" s="4" t="s">
        <v>2743</v>
      </c>
      <c r="D121" s="4" t="str">
        <f t="shared" si="1"/>
        <v>{"valorA":"relojoeira","valorB":1}</v>
      </c>
      <c r="E121" s="8" t="str">
        <f t="shared" si="2"/>
        <v>relojoeira</v>
      </c>
      <c r="F121" s="8"/>
      <c r="G121" s="8" t="str">
        <f t="shared" si="3"/>
        <v>1</v>
      </c>
      <c r="H121" s="9">
        <f t="shared" si="4"/>
        <v>1</v>
      </c>
      <c r="I121" s="6" t="str">
        <f>IFERROR(__xludf.DUMMYFUNCTION("MAX(FILTER($H$2:$H369,$E$2:$E369=F121))"),"#N/A")</f>
        <v>#N/A</v>
      </c>
    </row>
    <row r="122">
      <c r="A122" s="4"/>
      <c r="C122" s="4" t="s">
        <v>2744</v>
      </c>
      <c r="D122" s="4" t="str">
        <f t="shared" si="1"/>
        <v>{"valorA":"para","valorB":3}</v>
      </c>
      <c r="E122" s="8" t="str">
        <f t="shared" si="2"/>
        <v>para</v>
      </c>
      <c r="F122" s="8"/>
      <c r="G122" s="8" t="str">
        <f t="shared" si="3"/>
        <v>3</v>
      </c>
      <c r="H122" s="9">
        <f t="shared" si="4"/>
        <v>3</v>
      </c>
      <c r="I122" s="6" t="str">
        <f>IFERROR(__xludf.DUMMYFUNCTION("MAX(FILTER($H$2:$H369,$E$2:$E369=F122))"),"#N/A")</f>
        <v>#N/A</v>
      </c>
    </row>
    <row r="123">
      <c r="A123" s="4"/>
      <c r="C123" s="4" t="s">
        <v>2745</v>
      </c>
      <c r="D123" s="4" t="str">
        <f t="shared" si="1"/>
        <v>{"valorA":"precisa","valorB":1}</v>
      </c>
      <c r="E123" s="8" t="str">
        <f t="shared" si="2"/>
        <v>precisa</v>
      </c>
      <c r="F123" s="8"/>
      <c r="G123" s="8" t="str">
        <f t="shared" si="3"/>
        <v>1</v>
      </c>
      <c r="H123" s="9">
        <f t="shared" si="4"/>
        <v>1</v>
      </c>
      <c r="I123" s="6" t="str">
        <f>IFERROR(__xludf.DUMMYFUNCTION("MAX(FILTER($H$2:$H369,$E$2:$E369=F123))"),"#N/A")</f>
        <v>#N/A</v>
      </c>
    </row>
    <row r="124">
      <c r="A124" s="4"/>
      <c r="C124" s="4" t="s">
        <v>2746</v>
      </c>
      <c r="D124" s="4" t="str">
        <f t="shared" si="1"/>
        <v>{"valorA":"ótimo","valorB":18}</v>
      </c>
      <c r="E124" s="8" t="str">
        <f t="shared" si="2"/>
        <v>ótimo</v>
      </c>
      <c r="F124" s="8"/>
      <c r="G124" s="8" t="str">
        <f t="shared" si="3"/>
        <v>18</v>
      </c>
      <c r="H124" s="9">
        <f t="shared" si="4"/>
        <v>18</v>
      </c>
      <c r="I124" s="6" t="str">
        <f>IFERROR(__xludf.DUMMYFUNCTION("MAX(FILTER($H$2:$H369,$E$2:$E369=F124))"),"#N/A")</f>
        <v>#N/A</v>
      </c>
    </row>
    <row r="125">
      <c r="A125" s="4"/>
      <c r="C125" s="4" t="s">
        <v>2747</v>
      </c>
      <c r="D125" s="4" t="str">
        <f t="shared" si="1"/>
        <v>{"valorA":"essa","valorB":3}</v>
      </c>
      <c r="E125" s="8" t="str">
        <f t="shared" si="2"/>
        <v>essa</v>
      </c>
      <c r="F125" s="8"/>
      <c r="G125" s="8" t="str">
        <f t="shared" si="3"/>
        <v>3</v>
      </c>
      <c r="H125" s="9">
        <f t="shared" si="4"/>
        <v>3</v>
      </c>
      <c r="I125" s="6" t="str">
        <f>IFERROR(__xludf.DUMMYFUNCTION("MAX(FILTER($H$2:$H369,$E$2:$E369=F125))"),"#N/A")</f>
        <v>#N/A</v>
      </c>
    </row>
    <row r="126">
      <c r="A126" s="4"/>
      <c r="C126" s="4" t="s">
        <v>2748</v>
      </c>
      <c r="D126" s="4" t="str">
        <f t="shared" si="1"/>
        <v>{"valorA":"de","valorB":5}</v>
      </c>
      <c r="E126" s="8" t="str">
        <f t="shared" si="2"/>
        <v>de</v>
      </c>
      <c r="F126" s="8"/>
      <c r="G126" s="8" t="str">
        <f t="shared" si="3"/>
        <v>5</v>
      </c>
      <c r="H126" s="9">
        <f t="shared" si="4"/>
        <v>5</v>
      </c>
      <c r="I126" s="6" t="str">
        <f>IFERROR(__xludf.DUMMYFUNCTION("MAX(FILTER($H$2:$H369,$E$2:$E369=F126))"),"#N/A")</f>
        <v>#N/A</v>
      </c>
    </row>
    <row r="127">
      <c r="A127" s="4"/>
      <c r="C127" s="4" t="s">
        <v>2749</v>
      </c>
      <c r="D127" s="4" t="str">
        <f t="shared" si="1"/>
        <v>{"valorA":"confortável","valorB":2}</v>
      </c>
      <c r="E127" s="8" t="str">
        <f t="shared" si="2"/>
        <v>confortável</v>
      </c>
      <c r="F127" s="8"/>
      <c r="G127" s="8" t="str">
        <f t="shared" si="3"/>
        <v>2</v>
      </c>
      <c r="H127" s="9">
        <f t="shared" si="4"/>
        <v>2</v>
      </c>
      <c r="I127" s="6" t="str">
        <f>IFERROR(__xludf.DUMMYFUNCTION("MAX(FILTER($H$2:$H369,$E$2:$E369=F127))"),"#N/A")</f>
        <v>#N/A</v>
      </c>
    </row>
    <row r="128">
      <c r="A128" s="4"/>
      <c r="C128" s="4" t="s">
        <v>2750</v>
      </c>
      <c r="D128" s="4" t="str">
        <f t="shared" si="1"/>
        <v>{"valorA":"e","valorB":6}</v>
      </c>
      <c r="E128" s="8" t="str">
        <f t="shared" si="2"/>
        <v>e</v>
      </c>
      <c r="F128" s="8"/>
      <c r="G128" s="8" t="str">
        <f t="shared" si="3"/>
        <v>6</v>
      </c>
      <c r="H128" s="9">
        <f t="shared" si="4"/>
        <v>6</v>
      </c>
      <c r="I128" s="6" t="str">
        <f>IFERROR(__xludf.DUMMYFUNCTION("MAX(FILTER($H$2:$H369,$E$2:$E369=F128))"),"#N/A")</f>
        <v>#N/A</v>
      </c>
    </row>
    <row r="129">
      <c r="A129" s="4"/>
      <c r="C129" s="4" t="s">
        <v>2751</v>
      </c>
      <c r="D129" s="4" t="str">
        <f t="shared" si="1"/>
        <v>{"valorA":"cadeira","valorB":2}</v>
      </c>
      <c r="E129" s="8" t="str">
        <f t="shared" si="2"/>
        <v>cadeira</v>
      </c>
      <c r="F129" s="8"/>
      <c r="G129" s="8" t="str">
        <f t="shared" si="3"/>
        <v>2</v>
      </c>
      <c r="H129" s="9">
        <f t="shared" si="4"/>
        <v>2</v>
      </c>
      <c r="I129" s="6" t="str">
        <f>IFERROR(__xludf.DUMMYFUNCTION("MAX(FILTER($H$2:$H369,$E$2:$E369=F129))"),"#N/A")</f>
        <v>#N/A</v>
      </c>
    </row>
    <row r="130">
      <c r="A130" s="4"/>
      <c r="C130" s="4" t="s">
        <v>2752</v>
      </c>
      <c r="D130" s="4" t="str">
        <f t="shared" si="1"/>
        <v>{"valorA":"comprei","valorB":3}</v>
      </c>
      <c r="E130" s="8" t="str">
        <f t="shared" si="2"/>
        <v>comprei</v>
      </c>
      <c r="F130" s="8"/>
      <c r="G130" s="8" t="str">
        <f t="shared" si="3"/>
        <v>3</v>
      </c>
      <c r="H130" s="9">
        <f t="shared" si="4"/>
        <v>3</v>
      </c>
      <c r="I130" s="6" t="str">
        <f>IFERROR(__xludf.DUMMYFUNCTION("MAX(FILTER($H$2:$H369,$E$2:$E369=F130))"),"#N/A")</f>
        <v>#N/A</v>
      </c>
    </row>
    <row r="131">
      <c r="A131" s="4"/>
      <c r="C131" s="4" t="s">
        <v>2753</v>
      </c>
      <c r="D131" s="4" t="str">
        <f t="shared" si="1"/>
        <v>{"valorA":"escritório","valorB":1}</v>
      </c>
      <c r="E131" s="8" t="str">
        <f t="shared" si="2"/>
        <v>escritório</v>
      </c>
      <c r="F131" s="8"/>
      <c r="G131" s="8" t="str">
        <f t="shared" si="3"/>
        <v>1</v>
      </c>
      <c r="H131" s="9">
        <f t="shared" si="4"/>
        <v>1</v>
      </c>
      <c r="I131" s="6" t="str">
        <f>IFERROR(__xludf.DUMMYFUNCTION("MAX(FILTER($H$2:$H369,$E$2:$E369=F131))"),"#N/A")</f>
        <v>#N/A</v>
      </c>
    </row>
    <row r="132">
      <c r="A132" s="4"/>
      <c r="C132" s="4" t="s">
        <v>2754</v>
      </c>
      <c r="D132" s="4" t="str">
        <f t="shared" si="1"/>
        <v>{"valorA":"que","valorB":4}</v>
      </c>
      <c r="E132" s="8" t="str">
        <f t="shared" si="2"/>
        <v>que</v>
      </c>
      <c r="F132" s="8"/>
      <c r="G132" s="8" t="str">
        <f t="shared" si="3"/>
        <v>4</v>
      </c>
      <c r="H132" s="9">
        <f t="shared" si="4"/>
        <v>4</v>
      </c>
      <c r="I132" s="6" t="str">
        <f>IFERROR(__xludf.DUMMYFUNCTION("MAX(FILTER($H$2:$H369,$E$2:$E369=F132))"),"#N/A")</f>
        <v>#N/A</v>
      </c>
    </row>
    <row r="133">
      <c r="A133" s="4"/>
      <c r="C133" s="4" t="s">
        <v>2755</v>
      </c>
      <c r="D133" s="4" t="str">
        <f t="shared" si="1"/>
        <v>{"valorA":"essa","valorB":4}</v>
      </c>
      <c r="E133" s="8" t="str">
        <f t="shared" si="2"/>
        <v>essa</v>
      </c>
      <c r="F133" s="8"/>
      <c r="G133" s="8" t="str">
        <f t="shared" si="3"/>
        <v>4</v>
      </c>
      <c r="H133" s="9">
        <f t="shared" si="4"/>
        <v>4</v>
      </c>
      <c r="I133" s="6" t="str">
        <f>IFERROR(__xludf.DUMMYFUNCTION("MAX(FILTER($H$2:$H369,$E$2:$E369=F133))"),"#N/A")</f>
        <v>#N/A</v>
      </c>
    </row>
    <row r="134">
      <c r="A134" s="4"/>
      <c r="C134" s="4" t="s">
        <v>2756</v>
      </c>
      <c r="D134" s="4" t="str">
        <f t="shared" si="1"/>
        <v>{"valorA":"funciona","valorB":5}</v>
      </c>
      <c r="E134" s="8" t="str">
        <f t="shared" si="2"/>
        <v>funciona</v>
      </c>
      <c r="F134" s="8"/>
      <c r="G134" s="8" t="str">
        <f t="shared" si="3"/>
        <v>5</v>
      </c>
      <c r="H134" s="9">
        <f t="shared" si="4"/>
        <v>5</v>
      </c>
      <c r="I134" s="6" t="str">
        <f>IFERROR(__xludf.DUMMYFUNCTION("MAX(FILTER($H$2:$H369,$E$2:$E369=F134))"),"#N/A")</f>
        <v>#N/A</v>
      </c>
    </row>
    <row r="135">
      <c r="A135" s="4"/>
      <c r="C135" s="4" t="s">
        <v>2757</v>
      </c>
      <c r="D135" s="4" t="str">
        <f t="shared" si="1"/>
        <v>{"valorA":"perfeitamente","valorB":4}</v>
      </c>
      <c r="E135" s="8" t="str">
        <f t="shared" si="2"/>
        <v>perfeitamente</v>
      </c>
      <c r="F135" s="8"/>
      <c r="G135" s="8" t="str">
        <f t="shared" si="3"/>
        <v>4</v>
      </c>
      <c r="H135" s="9">
        <f t="shared" si="4"/>
        <v>4</v>
      </c>
      <c r="I135" s="6" t="str">
        <f>IFERROR(__xludf.DUMMYFUNCTION("MAX(FILTER($H$2:$H369,$E$2:$E369=F135))"),"#N/A")</f>
        <v>#N/A</v>
      </c>
    </row>
    <row r="136">
      <c r="A136" s="4"/>
      <c r="C136" s="4" t="s">
        <v>2758</v>
      </c>
      <c r="D136" s="4" t="str">
        <f t="shared" si="1"/>
        <v>{"valorA":"produto","valorB":12}</v>
      </c>
      <c r="E136" s="8" t="str">
        <f t="shared" si="2"/>
        <v>produto</v>
      </c>
      <c r="F136" s="8"/>
      <c r="G136" s="8" t="str">
        <f t="shared" si="3"/>
        <v>12</v>
      </c>
      <c r="H136" s="9">
        <f t="shared" si="4"/>
        <v>12</v>
      </c>
      <c r="I136" s="6" t="str">
        <f>IFERROR(__xludf.DUMMYFUNCTION("MAX(FILTER($H$2:$H369,$E$2:$E369=F136))"),"#N/A")</f>
        <v>#N/A</v>
      </c>
    </row>
    <row r="137">
      <c r="A137" s="4"/>
      <c r="C137" s="4" t="s">
        <v>2759</v>
      </c>
      <c r="D137" s="4" t="str">
        <f t="shared" si="1"/>
        <v>{"valorA":"para","valorB":4}</v>
      </c>
      <c r="E137" s="8" t="str">
        <f t="shared" si="2"/>
        <v>para</v>
      </c>
      <c r="F137" s="8"/>
      <c r="G137" s="8" t="str">
        <f t="shared" si="3"/>
        <v>4</v>
      </c>
      <c r="H137" s="9">
        <f t="shared" si="4"/>
        <v>4</v>
      </c>
      <c r="I137" s="6" t="str">
        <f>IFERROR(__xludf.DUMMYFUNCTION("MAX(FILTER($H$2:$H369,$E$2:$E369=F137))"),"#N/A")</f>
        <v>#N/A</v>
      </c>
    </row>
    <row r="138">
      <c r="A138" s="4"/>
      <c r="C138" s="4" t="s">
        <v>2760</v>
      </c>
      <c r="D138" s="4" t="str">
        <f t="shared" si="1"/>
        <v>{"valorA":"mãos","valorB":1}</v>
      </c>
      <c r="E138" s="8" t="str">
        <f t="shared" si="2"/>
        <v>mãos</v>
      </c>
      <c r="F138" s="8"/>
      <c r="G138" s="8" t="str">
        <f t="shared" si="3"/>
        <v>1</v>
      </c>
      <c r="H138" s="9">
        <f t="shared" si="4"/>
        <v>1</v>
      </c>
      <c r="I138" s="6" t="str">
        <f>IFERROR(__xludf.DUMMYFUNCTION("MAX(FILTER($H$2:$H369,$E$2:$E369=F138))"),"#N/A")</f>
        <v>#N/A</v>
      </c>
    </row>
    <row r="139">
      <c r="A139" s="4"/>
      <c r="C139" s="4" t="s">
        <v>2761</v>
      </c>
      <c r="D139" s="4" t="str">
        <f t="shared" si="1"/>
        <v>{"valorA":"ótimo","valorB":19}</v>
      </c>
      <c r="E139" s="8" t="str">
        <f t="shared" si="2"/>
        <v>ótimo</v>
      </c>
      <c r="F139" s="8"/>
      <c r="G139" s="8" t="str">
        <f t="shared" si="3"/>
        <v>19</v>
      </c>
      <c r="H139" s="9">
        <f t="shared" si="4"/>
        <v>19</v>
      </c>
      <c r="I139" s="6" t="str">
        <f>IFERROR(__xludf.DUMMYFUNCTION("MAX(FILTER($H$2:$H369,$E$2:$E369=F139))"),"#N/A")</f>
        <v>#N/A</v>
      </c>
    </row>
    <row r="140">
      <c r="A140" s="4"/>
      <c r="C140" s="4" t="s">
        <v>2762</v>
      </c>
      <c r="D140" s="4" t="str">
        <f t="shared" si="1"/>
        <v>{"valorA":"creme","valorB":2}</v>
      </c>
      <c r="E140" s="8" t="str">
        <f t="shared" si="2"/>
        <v>creme</v>
      </c>
      <c r="F140" s="8"/>
      <c r="G140" s="8" t="str">
        <f t="shared" si="3"/>
        <v>2</v>
      </c>
      <c r="H140" s="9">
        <f t="shared" si="4"/>
        <v>2</v>
      </c>
      <c r="I140" s="6" t="str">
        <f>IFERROR(__xludf.DUMMYFUNCTION("MAX(FILTER($H$2:$H369,$E$2:$E369=F140))"),"#N/A")</f>
        <v>#N/A</v>
      </c>
    </row>
    <row r="141">
      <c r="A141" s="4"/>
      <c r="C141" s="4" t="s">
        <v>2763</v>
      </c>
      <c r="D141" s="4" t="str">
        <f t="shared" si="1"/>
        <v>{"valorA":"as","valorB":1}</v>
      </c>
      <c r="E141" s="8" t="str">
        <f t="shared" si="2"/>
        <v>as</v>
      </c>
      <c r="F141" s="8"/>
      <c r="G141" s="8" t="str">
        <f t="shared" si="3"/>
        <v>1</v>
      </c>
      <c r="H141" s="9">
        <f t="shared" si="4"/>
        <v>1</v>
      </c>
      <c r="I141" s="6" t="str">
        <f>IFERROR(__xludf.DUMMYFUNCTION("MAX(FILTER($H$2:$H369,$E$2:$E369=F141))"),"#N/A")</f>
        <v>#N/A</v>
      </c>
    </row>
    <row r="142">
      <c r="A142" s="4"/>
      <c r="C142" s="4" t="s">
        <v>2764</v>
      </c>
      <c r="D142" s="4" t="str">
        <f t="shared" si="1"/>
        <v>{"valorA":"perfeitamente","valorB":5}</v>
      </c>
      <c r="E142" s="8" t="str">
        <f t="shared" si="2"/>
        <v>perfeitamente</v>
      </c>
      <c r="F142" s="8"/>
      <c r="G142" s="8" t="str">
        <f t="shared" si="3"/>
        <v>5</v>
      </c>
      <c r="H142" s="9">
        <f t="shared" si="4"/>
        <v>5</v>
      </c>
      <c r="I142" s="6" t="str">
        <f>IFERROR(__xludf.DUMMYFUNCTION("MAX(FILTER($H$2:$H369,$E$2:$E369=F142))"),"#N/A")</f>
        <v>#N/A</v>
      </c>
    </row>
    <row r="143">
      <c r="A143" s="4"/>
      <c r="C143" s="4" t="s">
        <v>2765</v>
      </c>
      <c r="D143" s="4" t="str">
        <f t="shared" si="1"/>
        <v>{"valorA":"funciona","valorB":6}</v>
      </c>
      <c r="E143" s="8" t="str">
        <f t="shared" si="2"/>
        <v>funciona</v>
      </c>
      <c r="F143" s="8"/>
      <c r="G143" s="8" t="str">
        <f t="shared" si="3"/>
        <v>6</v>
      </c>
      <c r="H143" s="9">
        <f t="shared" si="4"/>
        <v>6</v>
      </c>
      <c r="I143" s="6" t="str">
        <f>IFERROR(__xludf.DUMMYFUNCTION("MAX(FILTER($H$2:$H369,$E$2:$E369=F143))"),"#N/A")</f>
        <v>#N/A</v>
      </c>
    </row>
    <row r="144">
      <c r="A144" s="4"/>
      <c r="C144" s="4" t="s">
        <v>2766</v>
      </c>
      <c r="D144" s="4" t="str">
        <f t="shared" si="1"/>
        <v>{"valorA":"ótimo","valorB":20}</v>
      </c>
      <c r="E144" s="8" t="str">
        <f t="shared" si="2"/>
        <v>ótimo</v>
      </c>
      <c r="F144" s="8"/>
      <c r="G144" s="8" t="str">
        <f t="shared" si="3"/>
        <v>20</v>
      </c>
      <c r="H144" s="9">
        <f t="shared" si="4"/>
        <v>20</v>
      </c>
      <c r="I144" s="6" t="str">
        <f>IFERROR(__xludf.DUMMYFUNCTION("MAX(FILTER($H$2:$H369,$E$2:$E369=F144))"),"#N/A")</f>
        <v>#N/A</v>
      </c>
    </row>
    <row r="145">
      <c r="A145" s="4"/>
      <c r="C145" s="4" t="s">
        <v>2767</v>
      </c>
      <c r="D145" s="4" t="str">
        <f t="shared" si="1"/>
        <v>{"valorA":"é","valorB":3}</v>
      </c>
      <c r="E145" s="8" t="str">
        <f t="shared" si="2"/>
        <v>é</v>
      </c>
      <c r="F145" s="8"/>
      <c r="G145" s="8" t="str">
        <f t="shared" si="3"/>
        <v>3</v>
      </c>
      <c r="H145" s="9">
        <f t="shared" si="4"/>
        <v>3</v>
      </c>
      <c r="I145" s="6" t="str">
        <f>IFERROR(__xludf.DUMMYFUNCTION("MAX(FILTER($H$2:$H369,$E$2:$E369=F145))"),"#N/A")</f>
        <v>#N/A</v>
      </c>
    </row>
    <row r="146">
      <c r="A146" s="4"/>
      <c r="C146" s="4" t="s">
        <v>2768</v>
      </c>
      <c r="D146" s="4" t="str">
        <f t="shared" si="1"/>
        <v>{"valorA":"confortável","valorB":3}</v>
      </c>
      <c r="E146" s="8" t="str">
        <f t="shared" si="2"/>
        <v>confortável</v>
      </c>
      <c r="F146" s="8"/>
      <c r="G146" s="8" t="str">
        <f t="shared" si="3"/>
        <v>3</v>
      </c>
      <c r="H146" s="9">
        <f t="shared" si="4"/>
        <v>3</v>
      </c>
      <c r="I146" s="6" t="str">
        <f>IFERROR(__xludf.DUMMYFUNCTION("MAX(FILTER($H$2:$H369,$E$2:$E369=F146))"),"#N/A")</f>
        <v>#N/A</v>
      </c>
    </row>
    <row r="147">
      <c r="A147" s="4"/>
      <c r="C147" s="4" t="s">
        <v>2769</v>
      </c>
      <c r="D147" s="4" t="str">
        <f t="shared" si="1"/>
        <v>{"valorA":"carro","valorB":1}</v>
      </c>
      <c r="E147" s="8" t="str">
        <f t="shared" si="2"/>
        <v>carro</v>
      </c>
      <c r="F147" s="8"/>
      <c r="G147" s="8" t="str">
        <f t="shared" si="3"/>
        <v>1</v>
      </c>
      <c r="H147" s="9">
        <f t="shared" si="4"/>
        <v>1</v>
      </c>
      <c r="I147" s="6" t="str">
        <f>IFERROR(__xludf.DUMMYFUNCTION("MAX(FILTER($H$2:$H369,$E$2:$E369=F147))"),"#N/A")</f>
        <v>#N/A</v>
      </c>
    </row>
    <row r="148">
      <c r="A148" s="4"/>
      <c r="C148" s="4" t="s">
        <v>2770</v>
      </c>
      <c r="D148" s="4" t="str">
        <f t="shared" si="1"/>
        <v>{"valorA":"e","valorB":7}</v>
      </c>
      <c r="E148" s="8" t="str">
        <f t="shared" si="2"/>
        <v>e</v>
      </c>
      <c r="F148" s="8"/>
      <c r="G148" s="8" t="str">
        <f t="shared" si="3"/>
        <v>7</v>
      </c>
      <c r="H148" s="9">
        <f t="shared" si="4"/>
        <v>7</v>
      </c>
      <c r="I148" s="6" t="str">
        <f>IFERROR(__xludf.DUMMYFUNCTION("MAX(FILTER($H$2:$H369,$E$2:$E369=F148))"),"#N/A")</f>
        <v>#N/A</v>
      </c>
    </row>
    <row r="149">
      <c r="A149" s="4"/>
      <c r="C149" s="4" t="s">
        <v>2771</v>
      </c>
      <c r="D149" s="4" t="str">
        <f t="shared" si="1"/>
        <v>{"valorA":"seguro","valorB":1}</v>
      </c>
      <c r="E149" s="8" t="str">
        <f t="shared" si="2"/>
        <v>seguro</v>
      </c>
      <c r="F149" s="8"/>
      <c r="G149" s="8" t="str">
        <f t="shared" si="3"/>
        <v>1</v>
      </c>
      <c r="H149" s="9">
        <f t="shared" si="4"/>
        <v>1</v>
      </c>
      <c r="I149" s="6" t="str">
        <f>IFERROR(__xludf.DUMMYFUNCTION("MAX(FILTER($H$2:$H369,$E$2:$E369=F149))"),"#N/A")</f>
        <v>#N/A</v>
      </c>
    </row>
    <row r="150">
      <c r="A150" s="4"/>
      <c r="C150" s="4" t="s">
        <v>2772</v>
      </c>
      <c r="D150" s="4" t="str">
        <f t="shared" si="1"/>
        <v>{"valorA":"mais","valorB":1}</v>
      </c>
      <c r="E150" s="8" t="str">
        <f t="shared" si="2"/>
        <v>mais</v>
      </c>
      <c r="F150" s="8"/>
      <c r="G150" s="8" t="str">
        <f t="shared" si="3"/>
        <v>1</v>
      </c>
      <c r="H150" s="9">
        <f t="shared" si="4"/>
        <v>1</v>
      </c>
      <c r="I150" s="6" t="str">
        <f>IFERROR(__xludf.DUMMYFUNCTION("MAX(FILTER($H$2:$H369,$E$2:$E369=F150))"),"#N/A")</f>
        <v>#N/A</v>
      </c>
    </row>
    <row r="151">
      <c r="A151" s="4"/>
      <c r="C151" s="4" t="s">
        <v>2773</v>
      </c>
      <c r="D151" s="4" t="str">
        <f t="shared" si="1"/>
        <v>{"valorA":"que","valorB":5}</v>
      </c>
      <c r="E151" s="8" t="str">
        <f t="shared" si="2"/>
        <v>que</v>
      </c>
      <c r="F151" s="8"/>
      <c r="G151" s="8" t="str">
        <f t="shared" si="3"/>
        <v>5</v>
      </c>
      <c r="H151" s="9">
        <f t="shared" si="4"/>
        <v>5</v>
      </c>
      <c r="I151" s="6" t="str">
        <f>IFERROR(__xludf.DUMMYFUNCTION("MAX(FILTER($H$2:$H369,$E$2:$E369=F151))"),"#N/A")</f>
        <v>#N/A</v>
      </c>
    </row>
    <row r="152">
      <c r="A152" s="4"/>
      <c r="C152" s="4" t="s">
        <v>2774</v>
      </c>
      <c r="D152" s="4" t="str">
        <f t="shared" si="1"/>
        <v>{"valorA":"produto","valorB":13}</v>
      </c>
      <c r="E152" s="8" t="str">
        <f t="shared" si="2"/>
        <v>produto</v>
      </c>
      <c r="F152" s="8"/>
      <c r="G152" s="8" t="str">
        <f t="shared" si="3"/>
        <v>13</v>
      </c>
      <c r="H152" s="9">
        <f t="shared" si="4"/>
        <v>13</v>
      </c>
      <c r="I152" s="6" t="str">
        <f>IFERROR(__xludf.DUMMYFUNCTION("MAX(FILTER($H$2:$H369,$E$2:$E369=F152))"),"#N/A")</f>
        <v>#N/A</v>
      </c>
    </row>
    <row r="153">
      <c r="A153" s="4"/>
      <c r="C153" s="4" t="s">
        <v>2775</v>
      </c>
      <c r="D153" s="4" t="str">
        <f t="shared" si="1"/>
        <v>{"valorA":"barato","valorB":1}</v>
      </c>
      <c r="E153" s="8" t="str">
        <f t="shared" si="2"/>
        <v>barato</v>
      </c>
      <c r="F153" s="8"/>
      <c r="G153" s="8" t="str">
        <f t="shared" si="3"/>
        <v>1</v>
      </c>
      <c r="H153" s="9">
        <f t="shared" si="4"/>
        <v>1</v>
      </c>
      <c r="I153" s="6" t="str">
        <f>IFERROR(__xludf.DUMMYFUNCTION("MAX(FILTER($H$2:$H369,$E$2:$E369=F153))"),"#N/A")</f>
        <v>#N/A</v>
      </c>
    </row>
    <row r="154">
      <c r="A154" s="4"/>
      <c r="C154" s="4" t="s">
        <v>2776</v>
      </c>
      <c r="D154" s="4" t="str">
        <f t="shared" si="1"/>
        <v>{"valorA":"funciona","valorB":7}</v>
      </c>
      <c r="E154" s="8" t="str">
        <f t="shared" si="2"/>
        <v>funciona</v>
      </c>
      <c r="F154" s="8"/>
      <c r="G154" s="8" t="str">
        <f t="shared" si="3"/>
        <v>7</v>
      </c>
      <c r="H154" s="9">
        <f t="shared" si="4"/>
        <v>7</v>
      </c>
      <c r="I154" s="6" t="str">
        <f>IFERROR(__xludf.DUMMYFUNCTION("MAX(FILTER($H$2:$H369,$E$2:$E369=F154))"),"#N/A")</f>
        <v>#N/A</v>
      </c>
    </row>
    <row r="155">
      <c r="A155" s="4"/>
      <c r="C155" s="4" t="s">
        <v>2777</v>
      </c>
      <c r="D155" s="4" t="str">
        <f t="shared" si="1"/>
        <v>{"valorA":"meu","valorB":2}</v>
      </c>
      <c r="E155" s="8" t="str">
        <f t="shared" si="2"/>
        <v>meu</v>
      </c>
      <c r="F155" s="8"/>
      <c r="G155" s="8" t="str">
        <f t="shared" si="3"/>
        <v>2</v>
      </c>
      <c r="H155" s="9">
        <f t="shared" si="4"/>
        <v>2</v>
      </c>
      <c r="I155" s="6" t="str">
        <f>IFERROR(__xludf.DUMMYFUNCTION("MAX(FILTER($H$2:$H369,$E$2:$E369=F155))"),"#N/A")</f>
        <v>#N/A</v>
      </c>
    </row>
    <row r="156">
      <c r="A156" s="4"/>
      <c r="C156" s="4" t="s">
        <v>2778</v>
      </c>
      <c r="D156" s="4" t="str">
        <f t="shared" si="1"/>
        <v>{"valorA":"antigo","valorB":1}</v>
      </c>
      <c r="E156" s="8" t="str">
        <f t="shared" si="2"/>
        <v>antigo</v>
      </c>
      <c r="F156" s="8"/>
      <c r="G156" s="8" t="str">
        <f t="shared" si="3"/>
        <v>1</v>
      </c>
      <c r="H156" s="9">
        <f t="shared" si="4"/>
        <v>1</v>
      </c>
      <c r="I156" s="6" t="str">
        <f>IFERROR(__xludf.DUMMYFUNCTION("MAX(FILTER($H$2:$H369,$E$2:$E369=F156))"),"#N/A")</f>
        <v>#N/A</v>
      </c>
    </row>
    <row r="157">
      <c r="A157" s="4"/>
      <c r="C157" s="4" t="s">
        <v>2779</v>
      </c>
      <c r="D157" s="4" t="str">
        <f t="shared" si="1"/>
        <v>{"valorA":"ótimo","valorB":21}</v>
      </c>
      <c r="E157" s="8" t="str">
        <f t="shared" si="2"/>
        <v>ótimo</v>
      </c>
      <c r="F157" s="8"/>
      <c r="G157" s="8" t="str">
        <f t="shared" si="3"/>
        <v>21</v>
      </c>
      <c r="H157" s="9">
        <f t="shared" si="4"/>
        <v>21</v>
      </c>
      <c r="I157" s="6" t="str">
        <f>IFERROR(__xludf.DUMMYFUNCTION("MAX(FILTER($H$2:$H369,$E$2:$E369=F157))"),"#N/A")</f>
        <v>#N/A</v>
      </c>
    </row>
    <row r="158">
      <c r="A158" s="4"/>
      <c r="C158" s="4" t="s">
        <v>2780</v>
      </c>
      <c r="D158" s="4" t="str">
        <f t="shared" si="1"/>
        <v>{"valorA":"perfeitamente","valorB":6}</v>
      </c>
      <c r="E158" s="8" t="str">
        <f t="shared" si="2"/>
        <v>perfeitamente</v>
      </c>
      <c r="F158" s="8"/>
      <c r="G158" s="8" t="str">
        <f t="shared" si="3"/>
        <v>6</v>
      </c>
      <c r="H158" s="9">
        <f t="shared" si="4"/>
        <v>6</v>
      </c>
      <c r="I158" s="6" t="str">
        <f>IFERROR(__xludf.DUMMYFUNCTION("MAX(FILTER($H$2:$H369,$E$2:$E369=F158))"),"#N/A")</f>
        <v>#N/A</v>
      </c>
    </row>
    <row r="159">
      <c r="A159" s="4"/>
      <c r="C159" s="4" t="s">
        <v>2781</v>
      </c>
      <c r="D159" s="4" t="str">
        <f t="shared" si="1"/>
        <v>{"valorA":"o","valorB":3}</v>
      </c>
      <c r="E159" s="8" t="str">
        <f t="shared" si="2"/>
        <v>o</v>
      </c>
      <c r="F159" s="8"/>
      <c r="G159" s="8" t="str">
        <f t="shared" si="3"/>
        <v>3</v>
      </c>
      <c r="H159" s="9">
        <f t="shared" si="4"/>
        <v>3</v>
      </c>
      <c r="I159" s="6" t="str">
        <f>IFERROR(__xludf.DUMMYFUNCTION("MAX(FILTER($H$2:$H369,$E$2:$E369=F159))"),"#N/A")</f>
        <v>#N/A</v>
      </c>
    </row>
    <row r="160">
      <c r="A160" s="4"/>
      <c r="C160" s="4" t="s">
        <v>2782</v>
      </c>
      <c r="D160" s="4" t="str">
        <f t="shared" si="1"/>
        <v>{"valorA":"bem","valorB":3}</v>
      </c>
      <c r="E160" s="8" t="str">
        <f t="shared" si="2"/>
        <v>bem</v>
      </c>
      <c r="F160" s="8"/>
      <c r="G160" s="8" t="str">
        <f t="shared" si="3"/>
        <v>3</v>
      </c>
      <c r="H160" s="9">
        <f t="shared" si="4"/>
        <v>3</v>
      </c>
      <c r="I160" s="6" t="str">
        <f>IFERROR(__xludf.DUMMYFUNCTION("MAX(FILTER($H$2:$H369,$E$2:$E369=F160))"),"#N/A")</f>
        <v>#N/A</v>
      </c>
    </row>
    <row r="161">
      <c r="A161" s="4"/>
      <c r="C161" s="4" t="s">
        <v>2783</v>
      </c>
      <c r="D161" s="4" t="str">
        <f t="shared" si="1"/>
        <v>{"valorA":"do","valorB":3}</v>
      </c>
      <c r="E161" s="8" t="str">
        <f t="shared" si="2"/>
        <v>do</v>
      </c>
      <c r="F161" s="8"/>
      <c r="G161" s="8" t="str">
        <f t="shared" si="3"/>
        <v>3</v>
      </c>
      <c r="H161" s="9">
        <f t="shared" si="4"/>
        <v>3</v>
      </c>
      <c r="I161" s="6" t="str">
        <f>IFERROR(__xludf.DUMMYFUNCTION("MAX(FILTER($H$2:$H369,$E$2:$E369=F161))"),"#N/A")</f>
        <v>#N/A</v>
      </c>
    </row>
    <row r="162">
      <c r="A162" s="4"/>
      <c r="C162" s="4" t="s">
        <v>2784</v>
      </c>
      <c r="D162" s="4" t="str">
        <f t="shared" si="1"/>
        <v>{"valorA":"e","valorB":8}</v>
      </c>
      <c r="E162" s="8" t="str">
        <f t="shared" si="2"/>
        <v>e</v>
      </c>
      <c r="F162" s="8"/>
      <c r="G162" s="8" t="str">
        <f t="shared" si="3"/>
        <v>8</v>
      </c>
      <c r="H162" s="9">
        <f t="shared" si="4"/>
        <v>8</v>
      </c>
      <c r="I162" s="6" t="str">
        <f>IFERROR(__xludf.DUMMYFUNCTION("MAX(FILTER($H$2:$H369,$E$2:$E369=F162))"),"#N/A")</f>
        <v>#N/A</v>
      </c>
    </row>
    <row r="163">
      <c r="A163" s="4"/>
      <c r="C163" s="4" t="s">
        <v>2785</v>
      </c>
      <c r="D163" s="4" t="str">
        <f t="shared" si="1"/>
        <v>{"valorA":"muito","valorB":4}</v>
      </c>
      <c r="E163" s="8" t="str">
        <f t="shared" si="2"/>
        <v>muito</v>
      </c>
      <c r="F163" s="8"/>
      <c r="G163" s="8" t="str">
        <f t="shared" si="3"/>
        <v>4</v>
      </c>
      <c r="H163" s="9">
        <f t="shared" si="4"/>
        <v>4</v>
      </c>
      <c r="I163" s="6" t="str">
        <f>IFERROR(__xludf.DUMMYFUNCTION("MAX(FILTER($H$2:$H369,$E$2:$E369=F163))"),"#N/A")</f>
        <v>#N/A</v>
      </c>
    </row>
    <row r="164">
      <c r="A164" s="4"/>
      <c r="C164" s="4" t="s">
        <v>2786</v>
      </c>
      <c r="D164" s="4" t="str">
        <f t="shared" si="1"/>
        <v>{"valorA":"gostei","valorB":3}</v>
      </c>
      <c r="E164" s="8" t="str">
        <f t="shared" si="2"/>
        <v>gostei</v>
      </c>
      <c r="F164" s="8"/>
      <c r="G164" s="8" t="str">
        <f t="shared" si="3"/>
        <v>3</v>
      </c>
      <c r="H164" s="9">
        <f t="shared" si="4"/>
        <v>3</v>
      </c>
      <c r="I164" s="6" t="str">
        <f>IFERROR(__xludf.DUMMYFUNCTION("MAX(FILTER($H$2:$H369,$E$2:$E369=F164))"),"#N/A")</f>
        <v>#N/A</v>
      </c>
    </row>
    <row r="165">
      <c r="A165" s="4"/>
      <c r="C165" s="4" t="s">
        <v>2787</v>
      </c>
      <c r="D165" s="4" t="str">
        <f t="shared" si="1"/>
        <v>{"valorA":"fone","valorB":1}</v>
      </c>
      <c r="E165" s="8" t="str">
        <f t="shared" si="2"/>
        <v>fone</v>
      </c>
      <c r="F165" s="8"/>
      <c r="G165" s="8" t="str">
        <f t="shared" si="3"/>
        <v>1</v>
      </c>
      <c r="H165" s="9">
        <f t="shared" si="4"/>
        <v>1</v>
      </c>
      <c r="I165" s="6" t="str">
        <f>IFERROR(__xludf.DUMMYFUNCTION("MAX(FILTER($H$2:$H369,$E$2:$E369=F165))"),"#N/A")</f>
        <v>#N/A</v>
      </c>
    </row>
    <row r="166">
      <c r="A166" s="4"/>
      <c r="C166" s="4" t="s">
        <v>2788</v>
      </c>
      <c r="D166" s="4" t="str">
        <f t="shared" si="1"/>
        <v>{"valorA":"ótimo","valorB":22}</v>
      </c>
      <c r="E166" s="8" t="str">
        <f t="shared" si="2"/>
        <v>ótimo</v>
      </c>
      <c r="F166" s="8"/>
      <c r="G166" s="8" t="str">
        <f t="shared" si="3"/>
        <v>22</v>
      </c>
      <c r="H166" s="9">
        <f t="shared" si="4"/>
        <v>22</v>
      </c>
      <c r="I166" s="6" t="str">
        <f>IFERROR(__xludf.DUMMYFUNCTION("MAX(FILTER($H$2:$H369,$E$2:$E369=F166))"),"#N/A")</f>
        <v>#N/A</v>
      </c>
    </row>
    <row r="167">
      <c r="A167" s="4"/>
      <c r="C167" s="4" t="s">
        <v>2789</v>
      </c>
      <c r="D167" s="4" t="str">
        <f t="shared" si="1"/>
        <v>{"valorA":"esse","valorB":3}</v>
      </c>
      <c r="E167" s="8" t="str">
        <f t="shared" si="2"/>
        <v>esse</v>
      </c>
      <c r="F167" s="8"/>
      <c r="G167" s="8" t="str">
        <f t="shared" si="3"/>
        <v>3</v>
      </c>
      <c r="H167" s="9">
        <f t="shared" si="4"/>
        <v>3</v>
      </c>
      <c r="I167" s="6" t="str">
        <f>IFERROR(__xludf.DUMMYFUNCTION("MAX(FILTER($H$2:$H369,$E$2:$E369=F167))"),"#N/A")</f>
        <v>#N/A</v>
      </c>
    </row>
    <row r="168">
      <c r="A168" s="4"/>
      <c r="C168" s="4" t="s">
        <v>2790</v>
      </c>
      <c r="D168" s="4" t="str">
        <f t="shared" si="1"/>
        <v>{"valorA":"bluetooth","valorB":1}</v>
      </c>
      <c r="E168" s="8" t="str">
        <f t="shared" si="2"/>
        <v>bluetooth</v>
      </c>
      <c r="F168" s="8"/>
      <c r="G168" s="8" t="str">
        <f t="shared" si="3"/>
        <v>1</v>
      </c>
      <c r="H168" s="9">
        <f t="shared" si="4"/>
        <v>1</v>
      </c>
      <c r="I168" s="6" t="str">
        <f>IFERROR(__xludf.DUMMYFUNCTION("MAX(FILTER($H$2:$H369,$E$2:$E369=F168))"),"#N/A")</f>
        <v>#N/A</v>
      </c>
    </row>
    <row r="169">
      <c r="A169" s="4"/>
      <c r="C169" s="4" t="s">
        <v>2791</v>
      </c>
      <c r="D169" s="4" t="str">
        <f t="shared" si="1"/>
        <v>{"valorA":"ótimo","valorB":23}</v>
      </c>
      <c r="E169" s="8" t="str">
        <f t="shared" si="2"/>
        <v>ótimo</v>
      </c>
      <c r="F169" s="8"/>
      <c r="G169" s="8" t="str">
        <f t="shared" si="3"/>
        <v>23</v>
      </c>
      <c r="H169" s="9">
        <f t="shared" si="4"/>
        <v>23</v>
      </c>
      <c r="I169" s="6" t="str">
        <f>IFERROR(__xludf.DUMMYFUNCTION("MAX(FILTER($H$2:$H369,$E$2:$E369=F169))"),"#N/A")</f>
        <v>#N/A</v>
      </c>
    </row>
    <row r="170">
      <c r="A170" s="4"/>
      <c r="C170" s="4" t="s">
        <v>2792</v>
      </c>
      <c r="D170" s="4" t="str">
        <f t="shared" si="1"/>
        <v>{"valorA":"muito","valorB":5}</v>
      </c>
      <c r="E170" s="8" t="str">
        <f t="shared" si="2"/>
        <v>muito</v>
      </c>
      <c r="F170" s="8"/>
      <c r="G170" s="8" t="str">
        <f t="shared" si="3"/>
        <v>5</v>
      </c>
      <c r="H170" s="9">
        <f t="shared" si="4"/>
        <v>5</v>
      </c>
      <c r="I170" s="6" t="str">
        <f>IFERROR(__xludf.DUMMYFUNCTION("MAX(FILTER($H$2:$H369,$E$2:$E369=F170))"),"#N/A")</f>
        <v>#N/A</v>
      </c>
    </row>
    <row r="171">
      <c r="A171" s="4"/>
      <c r="C171" s="4" t="s">
        <v>2793</v>
      </c>
      <c r="D171" s="4" t="str">
        <f t="shared" si="1"/>
        <v>{"valorA":"produto","valorB":14}</v>
      </c>
      <c r="E171" s="8" t="str">
        <f t="shared" si="2"/>
        <v>produto</v>
      </c>
      <c r="F171" s="8"/>
      <c r="G171" s="8" t="str">
        <f t="shared" si="3"/>
        <v>14</v>
      </c>
      <c r="H171" s="9">
        <f t="shared" si="4"/>
        <v>14</v>
      </c>
      <c r="I171" s="6" t="str">
        <f>IFERROR(__xludf.DUMMYFUNCTION("MAX(FILTER($H$2:$H369,$E$2:$E369=F171))"),"#N/A")</f>
        <v>#N/A</v>
      </c>
    </row>
    <row r="172">
      <c r="A172" s="4"/>
      <c r="C172" s="4" t="s">
        <v>2794</v>
      </c>
      <c r="D172" s="4" t="str">
        <f t="shared" si="1"/>
        <v>{"valorA":"satisfeito","valorB":2}</v>
      </c>
      <c r="E172" s="8" t="str">
        <f t="shared" si="2"/>
        <v>satisfeito</v>
      </c>
      <c r="F172" s="8"/>
      <c r="G172" s="8" t="str">
        <f t="shared" si="3"/>
        <v>2</v>
      </c>
      <c r="H172" s="9">
        <f t="shared" si="4"/>
        <v>2</v>
      </c>
      <c r="I172" s="6" t="str">
        <f>IFERROR(__xludf.DUMMYFUNCTION("MAX(FILTER($H$2:$H369,$E$2:$E369=F172))"),"#N/A")</f>
        <v>#N/A</v>
      </c>
    </row>
    <row r="173">
      <c r="A173" s="4"/>
      <c r="C173" s="4" t="s">
        <v>2795</v>
      </c>
      <c r="D173" s="4" t="str">
        <f t="shared" si="1"/>
        <v>{"valorA":"essa","valorB":5}</v>
      </c>
      <c r="E173" s="8" t="str">
        <f t="shared" si="2"/>
        <v>essa</v>
      </c>
      <c r="F173" s="8"/>
      <c r="G173" s="8" t="str">
        <f t="shared" si="3"/>
        <v>5</v>
      </c>
      <c r="H173" s="9">
        <f t="shared" si="4"/>
        <v>5</v>
      </c>
      <c r="I173" s="6" t="str">
        <f>IFERROR(__xludf.DUMMYFUNCTION("MAX(FILTER($H$2:$H369,$E$2:$E369=F173))"),"#N/A")</f>
        <v>#N/A</v>
      </c>
    </row>
    <row r="174">
      <c r="A174" s="4"/>
      <c r="C174" s="4" t="s">
        <v>2796</v>
      </c>
      <c r="D174" s="4" t="str">
        <f t="shared" si="1"/>
        <v>{"valorA":"produto","valorB":15}</v>
      </c>
      <c r="E174" s="8" t="str">
        <f t="shared" si="2"/>
        <v>produto</v>
      </c>
      <c r="F174" s="8"/>
      <c r="G174" s="8" t="str">
        <f t="shared" si="3"/>
        <v>15</v>
      </c>
      <c r="H174" s="9">
        <f t="shared" si="4"/>
        <v>15</v>
      </c>
      <c r="I174" s="6" t="str">
        <f>IFERROR(__xludf.DUMMYFUNCTION("MAX(FILTER($H$2:$H369,$E$2:$E369=F174))"),"#N/A")</f>
        <v>#N/A</v>
      </c>
    </row>
    <row r="175">
      <c r="A175" s="4"/>
      <c r="C175" s="4" t="s">
        <v>2797</v>
      </c>
      <c r="D175" s="4" t="str">
        <f t="shared" si="1"/>
        <v>{"valorA":"fotoincríveis","valorB":1}</v>
      </c>
      <c r="E175" s="8" t="str">
        <f t="shared" si="2"/>
        <v>fotoincríveis</v>
      </c>
      <c r="F175" s="8"/>
      <c r="G175" s="8" t="str">
        <f t="shared" si="3"/>
        <v>1</v>
      </c>
      <c r="H175" s="9">
        <f t="shared" si="4"/>
        <v>1</v>
      </c>
      <c r="I175" s="6" t="str">
        <f>IFERROR(__xludf.DUMMYFUNCTION("MAX(FILTER($H$2:$H369,$E$2:$E369=F175))"),"#N/A")</f>
        <v>#N/A</v>
      </c>
    </row>
    <row r="176">
      <c r="A176" s="4"/>
      <c r="C176" s="4" t="s">
        <v>2798</v>
      </c>
      <c r="D176" s="4" t="str">
        <f t="shared" si="1"/>
        <v>{"valorA":"ótimo","valorB":24}</v>
      </c>
      <c r="E176" s="8" t="str">
        <f t="shared" si="2"/>
        <v>ótimo</v>
      </c>
      <c r="F176" s="8"/>
      <c r="G176" s="8" t="str">
        <f t="shared" si="3"/>
        <v>24</v>
      </c>
      <c r="H176" s="9">
        <f t="shared" si="4"/>
        <v>24</v>
      </c>
      <c r="I176" s="6" t="str">
        <f>IFERROR(__xludf.DUMMYFUNCTION("MAX(FILTER($H$2:$H369,$E$2:$E369=F176))"),"#N/A")</f>
        <v>#N/A</v>
      </c>
    </row>
    <row r="177">
      <c r="A177" s="4"/>
      <c r="C177" s="4" t="s">
        <v>2799</v>
      </c>
      <c r="D177" s="4" t="str">
        <f t="shared" si="1"/>
        <v>{"valorA":"câmera","valorB":1}</v>
      </c>
      <c r="E177" s="8" t="str">
        <f t="shared" si="2"/>
        <v>câmera</v>
      </c>
      <c r="F177" s="8"/>
      <c r="G177" s="8" t="str">
        <f t="shared" si="3"/>
        <v>1</v>
      </c>
      <c r="H177" s="9">
        <f t="shared" si="4"/>
        <v>1</v>
      </c>
      <c r="I177" s="6" t="str">
        <f>IFERROR(__xludf.DUMMYFUNCTION("MAX(FILTER($H$2:$H369,$E$2:$E369=F177))"),"#N/A")</f>
        <v>#N/A</v>
      </c>
    </row>
    <row r="178">
      <c r="A178" s="4"/>
      <c r="C178" s="4" t="s">
        <v>2800</v>
      </c>
      <c r="D178" s="4" t="str">
        <f t="shared" si="1"/>
        <v>{"valorA":"essa","valorB":6}</v>
      </c>
      <c r="E178" s="8" t="str">
        <f t="shared" si="2"/>
        <v>essa</v>
      </c>
      <c r="F178" s="8"/>
      <c r="G178" s="8" t="str">
        <f t="shared" si="3"/>
        <v>6</v>
      </c>
      <c r="H178" s="9">
        <f t="shared" si="4"/>
        <v>6</v>
      </c>
      <c r="I178" s="6" t="str">
        <f>IFERROR(__xludf.DUMMYFUNCTION("MAX(FILTER($H$2:$H369,$E$2:$E369=F178))"),"#N/A")</f>
        <v>#N/A</v>
      </c>
    </row>
    <row r="179">
      <c r="A179" s="4"/>
      <c r="C179" s="4" t="s">
        <v>2801</v>
      </c>
      <c r="D179" s="4" t="str">
        <f t="shared" si="1"/>
        <v>{"valorA":"produto","valorB":16}</v>
      </c>
      <c r="E179" s="8" t="str">
        <f t="shared" si="2"/>
        <v>produto</v>
      </c>
      <c r="F179" s="8"/>
      <c r="G179" s="8" t="str">
        <f t="shared" si="3"/>
        <v>16</v>
      </c>
      <c r="H179" s="9">
        <f t="shared" si="4"/>
        <v>16</v>
      </c>
      <c r="I179" s="6" t="str">
        <f>IFERROR(__xludf.DUMMYFUNCTION("MAX(FILTER($H$2:$H369,$E$2:$E369=F179))"),"#N/A")</f>
        <v>#N/A</v>
      </c>
    </row>
    <row r="180">
      <c r="A180" s="4"/>
      <c r="C180" s="4" t="s">
        <v>2802</v>
      </c>
      <c r="D180" s="4" t="str">
        <f t="shared" si="1"/>
        <v>{"valorA":"cadeira","valorB":3}</v>
      </c>
      <c r="E180" s="8" t="str">
        <f t="shared" si="2"/>
        <v>cadeira</v>
      </c>
      <c r="F180" s="8"/>
      <c r="G180" s="8" t="str">
        <f t="shared" si="3"/>
        <v>3</v>
      </c>
      <c r="H180" s="9">
        <f t="shared" si="4"/>
        <v>3</v>
      </c>
      <c r="I180" s="6" t="str">
        <f>IFERROR(__xludf.DUMMYFUNCTION("MAX(FILTER($H$2:$H369,$E$2:$E369=F180))"),"#N/A")</f>
        <v>#N/A</v>
      </c>
    </row>
    <row r="181">
      <c r="A181" s="4"/>
      <c r="C181" s="4" t="s">
        <v>2803</v>
      </c>
      <c r="D181" s="4" t="str">
        <f t="shared" si="1"/>
        <v>{"valorA":"minhas","valorB":1}</v>
      </c>
      <c r="E181" s="8" t="str">
        <f t="shared" si="2"/>
        <v>minhas</v>
      </c>
      <c r="F181" s="8"/>
      <c r="G181" s="8" t="str">
        <f t="shared" si="3"/>
        <v>1</v>
      </c>
      <c r="H181" s="9">
        <f t="shared" si="4"/>
        <v>1</v>
      </c>
      <c r="I181" s="6" t="str">
        <f>IFERROR(__xludf.DUMMYFUNCTION("MAX(FILTER($H$2:$H369,$E$2:$E369=F181))"),"#N/A")</f>
        <v>#N/A</v>
      </c>
    </row>
    <row r="182">
      <c r="A182" s="4"/>
      <c r="C182" s="4" t="s">
        <v>2804</v>
      </c>
      <c r="D182" s="4" t="str">
        <f t="shared" si="1"/>
        <v>{"valorA":"perfeita","valorB":1}</v>
      </c>
      <c r="E182" s="8" t="str">
        <f t="shared" si="2"/>
        <v>perfeita</v>
      </c>
      <c r="F182" s="8"/>
      <c r="G182" s="8" t="str">
        <f t="shared" si="3"/>
        <v>1</v>
      </c>
      <c r="H182" s="9">
        <f t="shared" si="4"/>
        <v>1</v>
      </c>
      <c r="I182" s="6" t="str">
        <f>IFERROR(__xludf.DUMMYFUNCTION("MAX(FILTER($H$2:$H369,$E$2:$E369=F182))"),"#N/A")</f>
        <v>#N/A</v>
      </c>
    </row>
    <row r="183">
      <c r="A183" s="4"/>
      <c r="C183" s="4" t="s">
        <v>2805</v>
      </c>
      <c r="D183" s="4" t="str">
        <f t="shared" si="1"/>
        <v>{"valorA":"para","valorB":5}</v>
      </c>
      <c r="E183" s="8" t="str">
        <f t="shared" si="2"/>
        <v>para</v>
      </c>
      <c r="F183" s="8"/>
      <c r="G183" s="8" t="str">
        <f t="shared" si="3"/>
        <v>5</v>
      </c>
      <c r="H183" s="9">
        <f t="shared" si="4"/>
        <v>5</v>
      </c>
      <c r="I183" s="6" t="str">
        <f>IFERROR(__xludf.DUMMYFUNCTION("MAX(FILTER($H$2:$H369,$E$2:$E369=F183))"),"#N/A")</f>
        <v>#N/A</v>
      </c>
    </row>
    <row r="184">
      <c r="A184" s="4"/>
      <c r="C184" s="4" t="s">
        <v>2806</v>
      </c>
      <c r="D184" s="4" t="str">
        <f t="shared" si="1"/>
        <v>{"valorA":"ótimo","valorB":25}</v>
      </c>
      <c r="E184" s="8" t="str">
        <f t="shared" si="2"/>
        <v>ótimo</v>
      </c>
      <c r="F184" s="8"/>
      <c r="G184" s="8" t="str">
        <f t="shared" si="3"/>
        <v>25</v>
      </c>
      <c r="H184" s="9">
        <f t="shared" si="4"/>
        <v>25</v>
      </c>
      <c r="I184" s="6" t="str">
        <f>IFERROR(__xludf.DUMMYFUNCTION("MAX(FILTER($H$2:$H369,$E$2:$E369=F184))"),"#N/A")</f>
        <v>#N/A</v>
      </c>
    </row>
    <row r="185">
      <c r="A185" s="4"/>
      <c r="C185" s="4" t="s">
        <v>2807</v>
      </c>
      <c r="D185" s="4" t="str">
        <f t="shared" si="1"/>
        <v>{"valorA":"necessidades","valorB":1}</v>
      </c>
      <c r="E185" s="8" t="str">
        <f t="shared" si="2"/>
        <v>necessidades</v>
      </c>
      <c r="F185" s="8"/>
      <c r="G185" s="8" t="str">
        <f t="shared" si="3"/>
        <v>1</v>
      </c>
      <c r="H185" s="9">
        <f t="shared" si="4"/>
        <v>1</v>
      </c>
      <c r="I185" s="6" t="str">
        <f>IFERROR(__xludf.DUMMYFUNCTION("MAX(FILTER($H$2:$H369,$E$2:$E369=F185))"),"#N/A")</f>
        <v>#N/A</v>
      </c>
    </row>
    <row r="186">
      <c r="A186" s="4"/>
      <c r="C186" s="4" t="s">
        <v>2808</v>
      </c>
      <c r="D186" s="4" t="str">
        <f t="shared" si="1"/>
        <v>{"valorA":"preço","valorB":2}</v>
      </c>
      <c r="E186" s="8" t="str">
        <f t="shared" si="2"/>
        <v>preço</v>
      </c>
      <c r="F186" s="8"/>
      <c r="G186" s="8" t="str">
        <f t="shared" si="3"/>
        <v>2</v>
      </c>
      <c r="H186" s="9">
        <f t="shared" si="4"/>
        <v>2</v>
      </c>
      <c r="I186" s="6" t="str">
        <f>IFERROR(__xludf.DUMMYFUNCTION("MAX(FILTER($H$2:$H369,$E$2:$E369=F186))"),"#N/A")</f>
        <v>#N/A</v>
      </c>
    </row>
    <row r="187">
      <c r="A187" s="4"/>
      <c r="C187" s="4" t="s">
        <v>2809</v>
      </c>
      <c r="D187" s="4" t="str">
        <f t="shared" si="1"/>
        <v>{"valorA":"ótimo","valorB":26}</v>
      </c>
      <c r="E187" s="8" t="str">
        <f t="shared" si="2"/>
        <v>ótimo</v>
      </c>
      <c r="F187" s="8"/>
      <c r="G187" s="8" t="str">
        <f t="shared" si="3"/>
        <v>26</v>
      </c>
      <c r="H187" s="9">
        <f t="shared" si="4"/>
        <v>26</v>
      </c>
      <c r="I187" s="6" t="str">
        <f>IFERROR(__xludf.DUMMYFUNCTION("MAX(FILTER($H$2:$H369,$E$2:$E369=F187))"),"#N/A")</f>
        <v>#N/A</v>
      </c>
    </row>
    <row r="188">
      <c r="A188" s="4"/>
      <c r="C188" s="4" t="s">
        <v>2810</v>
      </c>
      <c r="D188" s="4" t="str">
        <f t="shared" si="1"/>
        <v>{"valorA":"o","valorB":4}</v>
      </c>
      <c r="E188" s="8" t="str">
        <f t="shared" si="2"/>
        <v>o</v>
      </c>
      <c r="F188" s="8"/>
      <c r="G188" s="8" t="str">
        <f t="shared" si="3"/>
        <v>4</v>
      </c>
      <c r="H188" s="9">
        <f t="shared" si="4"/>
        <v>4</v>
      </c>
      <c r="I188" s="6" t="str">
        <f>IFERROR(__xludf.DUMMYFUNCTION("MAX(FILTER($H$2:$H369,$E$2:$E369=F188))"),"#N/A")</f>
        <v>#N/A</v>
      </c>
    </row>
    <row r="189">
      <c r="A189" s="4"/>
      <c r="C189" s="4" t="s">
        <v>2811</v>
      </c>
      <c r="D189" s="4" t="str">
        <f t="shared" si="1"/>
        <v>{"valorA":"muito","valorB":6}</v>
      </c>
      <c r="E189" s="8" t="str">
        <f t="shared" si="2"/>
        <v>muito</v>
      </c>
      <c r="F189" s="8"/>
      <c r="G189" s="8" t="str">
        <f t="shared" si="3"/>
        <v>6</v>
      </c>
      <c r="H189" s="9">
        <f t="shared" si="4"/>
        <v>6</v>
      </c>
      <c r="I189" s="6" t="str">
        <f>IFERROR(__xludf.DUMMYFUNCTION("MAX(FILTER($H$2:$H369,$E$2:$E369=F189))"),"#N/A")</f>
        <v>#N/A</v>
      </c>
    </row>
    <row r="190">
      <c r="A190" s="4"/>
      <c r="C190" s="4" t="s">
        <v>2812</v>
      </c>
      <c r="D190" s="4" t="str">
        <f t="shared" si="1"/>
        <v>{"valorA":"produto","valorB":17}</v>
      </c>
      <c r="E190" s="8" t="str">
        <f t="shared" si="2"/>
        <v>produto</v>
      </c>
      <c r="F190" s="8"/>
      <c r="G190" s="8" t="str">
        <f t="shared" si="3"/>
        <v>17</v>
      </c>
      <c r="H190" s="9">
        <f t="shared" si="4"/>
        <v>17</v>
      </c>
      <c r="I190" s="6" t="str">
        <f>IFERROR(__xludf.DUMMYFUNCTION("MAX(FILTER($H$2:$H369,$E$2:$E369=F190))"),"#N/A")</f>
        <v>#N/A</v>
      </c>
    </row>
    <row r="191">
      <c r="A191" s="4"/>
      <c r="C191" s="4" t="s">
        <v>2813</v>
      </c>
      <c r="D191" s="4" t="str">
        <f t="shared" si="1"/>
        <v>{"valorA":"satisfeito","valorB":3}</v>
      </c>
      <c r="E191" s="8" t="str">
        <f t="shared" si="2"/>
        <v>satisfeito</v>
      </c>
      <c r="F191" s="8"/>
      <c r="G191" s="8" t="str">
        <f t="shared" si="3"/>
        <v>3</v>
      </c>
      <c r="H191" s="9">
        <f t="shared" si="4"/>
        <v>3</v>
      </c>
      <c r="I191" s="6" t="str">
        <f>IFERROR(__xludf.DUMMYFUNCTION("MAX(FILTER($H$2:$H369,$E$2:$E369=F191))"),"#N/A")</f>
        <v>#N/A</v>
      </c>
    </row>
    <row r="192">
      <c r="A192" s="4"/>
      <c r="C192" s="4" t="s">
        <v>2814</v>
      </c>
      <c r="D192" s="4" t="str">
        <f t="shared" si="1"/>
        <v>{"valorA":"com","valorB":2}</v>
      </c>
      <c r="E192" s="8" t="str">
        <f t="shared" si="2"/>
        <v>com</v>
      </c>
      <c r="F192" s="8"/>
      <c r="G192" s="8" t="str">
        <f t="shared" si="3"/>
        <v>2</v>
      </c>
      <c r="H192" s="9">
        <f t="shared" si="4"/>
        <v>2</v>
      </c>
      <c r="I192" s="6" t="str">
        <f>IFERROR(__xludf.DUMMYFUNCTION("MAX(FILTER($H$2:$H369,$E$2:$E369=F192))"),"#N/A")</f>
        <v>#N/A</v>
      </c>
    </row>
    <row r="193">
      <c r="A193" s="4"/>
      <c r="C193" s="4" t="s">
        <v>2815</v>
      </c>
      <c r="D193" s="4" t="str">
        <f t="shared" si="1"/>
        <v>{"valorA":"relojoeira","valorB":2}</v>
      </c>
      <c r="E193" s="8" t="str">
        <f t="shared" si="2"/>
        <v>relojoeira</v>
      </c>
      <c r="F193" s="8"/>
      <c r="G193" s="8" t="str">
        <f t="shared" si="3"/>
        <v>2</v>
      </c>
      <c r="H193" s="9">
        <f t="shared" si="4"/>
        <v>2</v>
      </c>
      <c r="I193" s="6" t="str">
        <f>IFERROR(__xludf.DUMMYFUNCTION("MAX(FILTER($H$2:$H369,$E$2:$E369=F193))"),"#N/A")</f>
        <v>#N/A</v>
      </c>
    </row>
    <row r="194">
      <c r="A194" s="4"/>
      <c r="C194" s="4" t="s">
        <v>2816</v>
      </c>
      <c r="D194" s="4" t="str">
        <f t="shared" si="1"/>
        <v>{"valorA":"funciona","valorB":8}</v>
      </c>
      <c r="E194" s="8" t="str">
        <f t="shared" si="2"/>
        <v>funciona</v>
      </c>
      <c r="F194" s="8"/>
      <c r="G194" s="8" t="str">
        <f t="shared" si="3"/>
        <v>8</v>
      </c>
      <c r="H194" s="9">
        <f t="shared" si="4"/>
        <v>8</v>
      </c>
      <c r="I194" s="6" t="str">
        <f>IFERROR(__xludf.DUMMYFUNCTION("MAX(FILTER($H$2:$H369,$E$2:$E369=F194))"),"#N/A")</f>
        <v>#N/A</v>
      </c>
    </row>
    <row r="195">
      <c r="A195" s="4"/>
      <c r="C195" s="4" t="s">
        <v>2817</v>
      </c>
      <c r="D195" s="4" t="str">
        <f t="shared" si="1"/>
        <v>{"valorA":"perfeitamente","valorB":7}</v>
      </c>
      <c r="E195" s="8" t="str">
        <f t="shared" si="2"/>
        <v>perfeitamente</v>
      </c>
      <c r="F195" s="8"/>
      <c r="G195" s="8" t="str">
        <f t="shared" si="3"/>
        <v>7</v>
      </c>
      <c r="H195" s="9">
        <f t="shared" si="4"/>
        <v>7</v>
      </c>
      <c r="I195" s="6" t="str">
        <f>IFERROR(__xludf.DUMMYFUNCTION("MAX(FILTER($H$2:$H369,$E$2:$E369=F195))"),"#N/A")</f>
        <v>#N/A</v>
      </c>
    </row>
    <row r="196">
      <c r="A196" s="4"/>
      <c r="C196" s="4" t="s">
        <v>2818</v>
      </c>
      <c r="D196" s="4" t="str">
        <f t="shared" si="1"/>
        <v>{"valorA":"ótimo","valorB":27}</v>
      </c>
      <c r="E196" s="8" t="str">
        <f t="shared" si="2"/>
        <v>ótimo</v>
      </c>
      <c r="F196" s="8"/>
      <c r="G196" s="8" t="str">
        <f t="shared" si="3"/>
        <v>27</v>
      </c>
      <c r="H196" s="9">
        <f t="shared" si="4"/>
        <v>27</v>
      </c>
      <c r="I196" s="6" t="str">
        <f>IFERROR(__xludf.DUMMYFUNCTION("MAX(FILTER($H$2:$H369,$E$2:$E369=F196))"),"#N/A")</f>
        <v>#N/A</v>
      </c>
    </row>
    <row r="197">
      <c r="A197" s="4"/>
      <c r="C197" s="4" t="s">
        <v>2819</v>
      </c>
      <c r="D197" s="4" t="str">
        <f t="shared" si="1"/>
        <v>{"valorA":"é","valorB":4}</v>
      </c>
      <c r="E197" s="8" t="str">
        <f t="shared" si="2"/>
        <v>é</v>
      </c>
      <c r="F197" s="8"/>
      <c r="G197" s="8" t="str">
        <f t="shared" si="3"/>
        <v>4</v>
      </c>
      <c r="H197" s="9">
        <f t="shared" si="4"/>
        <v>4</v>
      </c>
      <c r="I197" s="6" t="str">
        <f>IFERROR(__xludf.DUMMYFUNCTION("MAX(FILTER($H$2:$H369,$E$2:$E369=F197))"),"#N/A")</f>
        <v>#N/A</v>
      </c>
    </row>
    <row r="198">
      <c r="A198" s="4"/>
      <c r="C198" s="4" t="s">
        <v>2820</v>
      </c>
      <c r="D198" s="4" t="str">
        <f t="shared" si="1"/>
        <v>{"valorA":"bela","valorB":1}</v>
      </c>
      <c r="E198" s="8" t="str">
        <f t="shared" si="2"/>
        <v>bela</v>
      </c>
      <c r="F198" s="8"/>
      <c r="G198" s="8" t="str">
        <f t="shared" si="3"/>
        <v>1</v>
      </c>
      <c r="H198" s="9">
        <f t="shared" si="4"/>
        <v>1</v>
      </c>
      <c r="I198" s="6" t="str">
        <f>IFERROR(__xludf.DUMMYFUNCTION("MAX(FILTER($H$2:$H369,$E$2:$E369=F198))"),"#N/A")</f>
        <v>#N/A</v>
      </c>
    </row>
    <row r="199">
      <c r="A199" s="4"/>
      <c r="C199" s="4" t="s">
        <v>2821</v>
      </c>
      <c r="D199" s="4" t="str">
        <f t="shared" si="1"/>
        <v>{"valorA":"e","valorB":9}</v>
      </c>
      <c r="E199" s="8" t="str">
        <f t="shared" si="2"/>
        <v>e</v>
      </c>
      <c r="F199" s="8"/>
      <c r="G199" s="8" t="str">
        <f t="shared" si="3"/>
        <v>9</v>
      </c>
      <c r="H199" s="9">
        <f t="shared" si="4"/>
        <v>9</v>
      </c>
      <c r="I199" s="6" t="str">
        <f>IFERROR(__xludf.DUMMYFUNCTION("MAX(FILTER($H$2:$H369,$E$2:$E369=F199))"),"#N/A")</f>
        <v>#N/A</v>
      </c>
    </row>
    <row r="200">
      <c r="A200" s="4"/>
      <c r="C200" s="4" t="s">
        <v>2822</v>
      </c>
      <c r="D200" s="4" t="str">
        <f t="shared" si="1"/>
        <v>{"valorA":"também","valorB":1}</v>
      </c>
      <c r="E200" s="8" t="str">
        <f t="shared" si="2"/>
        <v>também</v>
      </c>
      <c r="F200" s="8"/>
      <c r="G200" s="8" t="str">
        <f t="shared" si="3"/>
        <v>1</v>
      </c>
      <c r="H200" s="9">
        <f t="shared" si="4"/>
        <v>1</v>
      </c>
      <c r="I200" s="6" t="str">
        <f>IFERROR(__xludf.DUMMYFUNCTION("MAX(FILTER($H$2:$H369,$E$2:$E369=F200))"),"#N/A")</f>
        <v>#N/A</v>
      </c>
    </row>
    <row r="201">
      <c r="A201" s="4"/>
      <c r="C201" s="4" t="s">
        <v>2823</v>
      </c>
      <c r="D201" s="4" t="str">
        <f t="shared" si="1"/>
        <v>{"valorA":"perfecto","valorB":1}</v>
      </c>
      <c r="E201" s="8" t="str">
        <f t="shared" si="2"/>
        <v>perfecto</v>
      </c>
      <c r="F201" s="8"/>
      <c r="G201" s="8" t="str">
        <f t="shared" si="3"/>
        <v>1</v>
      </c>
      <c r="H201" s="9">
        <f t="shared" si="4"/>
        <v>1</v>
      </c>
      <c r="I201" s="6" t="str">
        <f>IFERROR(__xludf.DUMMYFUNCTION("MAX(FILTER($H$2:$H369,$E$2:$E369=F201))"),"#N/A")</f>
        <v>#N/A</v>
      </c>
    </row>
    <row r="202">
      <c r="A202" s="4"/>
      <c r="C202" s="4" t="s">
        <v>2824</v>
      </c>
      <c r="D202" s="4" t="str">
        <f t="shared" si="1"/>
        <v>{"valorA":"que","valorB":6}</v>
      </c>
      <c r="E202" s="8" t="str">
        <f t="shared" si="2"/>
        <v>que</v>
      </c>
      <c r="F202" s="8"/>
      <c r="G202" s="8" t="str">
        <f t="shared" si="3"/>
        <v>6</v>
      </c>
      <c r="H202" s="9">
        <f t="shared" si="4"/>
        <v>6</v>
      </c>
      <c r="I202" s="6" t="str">
        <f>IFERROR(__xludf.DUMMYFUNCTION("MAX(FILTER($H$2:$H369,$E$2:$E369=F202))"),"#N/A")</f>
        <v>#N/A</v>
      </c>
    </row>
    <row r="203">
      <c r="A203" s="4"/>
      <c r="C203" s="4" t="s">
        <v>2825</v>
      </c>
      <c r="D203" s="4" t="str">
        <f t="shared" si="1"/>
        <v>{"valorA":"relojoeiro","valorB":1}</v>
      </c>
      <c r="E203" s="8" t="str">
        <f t="shared" si="2"/>
        <v>relojoeiro</v>
      </c>
      <c r="F203" s="8"/>
      <c r="G203" s="8" t="str">
        <f t="shared" si="3"/>
        <v>1</v>
      </c>
      <c r="H203" s="9">
        <f t="shared" si="4"/>
        <v>1</v>
      </c>
      <c r="I203" s="6" t="str">
        <f>IFERROR(__xludf.DUMMYFUNCTION("MAX(FILTER($H$2:$H369,$E$2:$E369=F203))"),"#N/A")</f>
        <v>#N/A</v>
      </c>
    </row>
    <row r="204">
      <c r="A204" s="4"/>
      <c r="C204" s="4" t="s">
        <v>2826</v>
      </c>
      <c r="D204" s="4" t="str">
        <f t="shared" si="1"/>
        <v>{"valorA":"ontem","valorB":2}</v>
      </c>
      <c r="E204" s="8" t="str">
        <f t="shared" si="2"/>
        <v>ontem</v>
      </c>
      <c r="F204" s="8"/>
      <c r="G204" s="8" t="str">
        <f t="shared" si="3"/>
        <v>2</v>
      </c>
      <c r="H204" s="9">
        <f t="shared" si="4"/>
        <v>2</v>
      </c>
      <c r="I204" s="6" t="str">
        <f>IFERROR(__xludf.DUMMYFUNCTION("MAX(FILTER($H$2:$H369,$E$2:$E369=F204))"),"#N/A")</f>
        <v>#N/A</v>
      </c>
    </row>
    <row r="205">
      <c r="A205" s="4"/>
      <c r="C205" s="4" t="s">
        <v>2827</v>
      </c>
      <c r="D205" s="4" t="str">
        <f t="shared" si="1"/>
        <v>{"valorA":"para","valorB":6}</v>
      </c>
      <c r="E205" s="8" t="str">
        <f t="shared" si="2"/>
        <v>para</v>
      </c>
      <c r="F205" s="8"/>
      <c r="G205" s="8" t="str">
        <f t="shared" si="3"/>
        <v>6</v>
      </c>
      <c r="H205" s="9">
        <f t="shared" si="4"/>
        <v>6</v>
      </c>
      <c r="I205" s="6" t="str">
        <f>IFERROR(__xludf.DUMMYFUNCTION("MAX(FILTER($H$2:$H369,$E$2:$E369=F205))"),"#N/A")</f>
        <v>#N/A</v>
      </c>
    </row>
    <row r="206">
      <c r="A206" s="4"/>
      <c r="C206" s="4" t="s">
        <v>2828</v>
      </c>
      <c r="D206" s="4" t="str">
        <f t="shared" si="1"/>
        <v>{"valorA":"ótimo","valorB":28}</v>
      </c>
      <c r="E206" s="8" t="str">
        <f t="shared" si="2"/>
        <v>ótimo</v>
      </c>
      <c r="F206" s="8"/>
      <c r="G206" s="8" t="str">
        <f t="shared" si="3"/>
        <v>28</v>
      </c>
      <c r="H206" s="9">
        <f t="shared" si="4"/>
        <v>28</v>
      </c>
      <c r="I206" s="6" t="str">
        <f>IFERROR(__xludf.DUMMYFUNCTION("MAX(FILTER($H$2:$H369,$E$2:$E369=F206))"),"#N/A")</f>
        <v>#N/A</v>
      </c>
    </row>
    <row r="207">
      <c r="A207" s="4"/>
      <c r="C207" s="4" t="s">
        <v>2829</v>
      </c>
      <c r="D207" s="4" t="str">
        <f t="shared" si="1"/>
        <v>{"valorA":"comprei","valorB":4}</v>
      </c>
      <c r="E207" s="8" t="str">
        <f t="shared" si="2"/>
        <v>comprei</v>
      </c>
      <c r="F207" s="8"/>
      <c r="G207" s="8" t="str">
        <f t="shared" si="3"/>
        <v>4</v>
      </c>
      <c r="H207" s="9">
        <f t="shared" si="4"/>
        <v>4</v>
      </c>
      <c r="I207" s="6" t="str">
        <f>IFERROR(__xludf.DUMMYFUNCTION("MAX(FILTER($H$2:$H369,$E$2:$E369=F207))"),"#N/A")</f>
        <v>#N/A</v>
      </c>
    </row>
    <row r="208">
      <c r="A208" s="4"/>
      <c r="C208" s="4" t="s">
        <v>2830</v>
      </c>
      <c r="D208" s="4" t="str">
        <f t="shared" si="1"/>
        <v>{"valorA":"mim","valorB":2}</v>
      </c>
      <c r="E208" s="8" t="str">
        <f t="shared" si="2"/>
        <v>mim</v>
      </c>
      <c r="F208" s="8"/>
      <c r="G208" s="8" t="str">
        <f t="shared" si="3"/>
        <v>2</v>
      </c>
      <c r="H208" s="9">
        <f t="shared" si="4"/>
        <v>2</v>
      </c>
      <c r="I208" s="6" t="str">
        <f>IFERROR(__xludf.DUMMYFUNCTION("MAX(FILTER($H$2:$H369,$E$2:$E369=F208))"),"#N/A")</f>
        <v>#N/A</v>
      </c>
    </row>
    <row r="209">
      <c r="A209" s="4"/>
      <c r="C209" s="4" t="s">
        <v>2831</v>
      </c>
      <c r="D209" s="4" t="str">
        <f t="shared" si="1"/>
        <v>{"valorA":"ótimo","valorB":29}</v>
      </c>
      <c r="E209" s="8" t="str">
        <f t="shared" si="2"/>
        <v>ótimo</v>
      </c>
      <c r="F209" s="8"/>
      <c r="G209" s="8" t="str">
        <f t="shared" si="3"/>
        <v>29</v>
      </c>
      <c r="H209" s="9">
        <f t="shared" si="4"/>
        <v>29</v>
      </c>
      <c r="I209" s="6" t="str">
        <f>IFERROR(__xludf.DUMMYFUNCTION("MAX(FILTER($H$2:$H369,$E$2:$E369=F209))"),"#N/A")</f>
        <v>#N/A</v>
      </c>
    </row>
    <row r="210">
      <c r="A210" s="4"/>
      <c r="C210" s="4" t="s">
        <v>2832</v>
      </c>
      <c r="D210" s="4" t="str">
        <f t="shared" si="1"/>
        <v>{"valorA":"produto","valorB":18}</v>
      </c>
      <c r="E210" s="8" t="str">
        <f t="shared" si="2"/>
        <v>produto</v>
      </c>
      <c r="F210" s="8"/>
      <c r="G210" s="8" t="str">
        <f t="shared" si="3"/>
        <v>18</v>
      </c>
      <c r="H210" s="9">
        <f t="shared" si="4"/>
        <v>18</v>
      </c>
      <c r="I210" s="6" t="str">
        <f>IFERROR(__xludf.DUMMYFUNCTION("MAX(FILTER($H$2:$H369,$E$2:$E369=F210))"),"#N/A")</f>
        <v>#N/A</v>
      </c>
    </row>
    <row r="211">
      <c r="A211" s="4"/>
      <c r="C211" s="4" t="s">
        <v>2833</v>
      </c>
      <c r="D211" s="4" t="str">
        <f t="shared" si="1"/>
        <v>{"valorA":"resultado","valorB":4}</v>
      </c>
      <c r="E211" s="8" t="str">
        <f t="shared" si="2"/>
        <v>resultado</v>
      </c>
      <c r="F211" s="8"/>
      <c r="G211" s="8" t="str">
        <f t="shared" si="3"/>
        <v>4</v>
      </c>
      <c r="H211" s="9">
        <f t="shared" si="4"/>
        <v>4</v>
      </c>
      <c r="I211" s="6" t="str">
        <f>IFERROR(__xludf.DUMMYFUNCTION("MAX(FILTER($H$2:$H369,$E$2:$E369=F211))"),"#N/A")</f>
        <v>#N/A</v>
      </c>
    </row>
    <row r="212">
      <c r="A212" s="4"/>
      <c r="C212" s="4" t="s">
        <v>2834</v>
      </c>
      <c r="D212" s="4" t="str">
        <f t="shared" si="1"/>
        <v>{"valorA":"gostei","valorB":4}</v>
      </c>
      <c r="E212" s="8" t="str">
        <f t="shared" si="2"/>
        <v>gostei</v>
      </c>
      <c r="F212" s="8"/>
      <c r="G212" s="8" t="str">
        <f t="shared" si="3"/>
        <v>4</v>
      </c>
      <c r="H212" s="9">
        <f t="shared" si="4"/>
        <v>4</v>
      </c>
      <c r="I212" s="6" t="str">
        <f>IFERROR(__xludf.DUMMYFUNCTION("MAX(FILTER($H$2:$H369,$E$2:$E369=F212))"),"#N/A")</f>
        <v>#N/A</v>
      </c>
    </row>
    <row r="213">
      <c r="A213" s="4"/>
      <c r="C213" s="4" t="s">
        <v>2835</v>
      </c>
      <c r="D213" s="4" t="str">
        <f t="shared" si="1"/>
        <v>{"valorA":"muito","valorB":7}</v>
      </c>
      <c r="E213" s="8" t="str">
        <f t="shared" si="2"/>
        <v>muito</v>
      </c>
      <c r="F213" s="8"/>
      <c r="G213" s="8" t="str">
        <f t="shared" si="3"/>
        <v>7</v>
      </c>
      <c r="H213" s="9">
        <f t="shared" si="4"/>
        <v>7</v>
      </c>
      <c r="I213" s="6" t="str">
        <f>IFERROR(__xludf.DUMMYFUNCTION("MAX(FILTER($H$2:$H369,$E$2:$E369=F213))"),"#N/A")</f>
        <v>#N/A</v>
      </c>
    </row>
    <row r="214">
      <c r="A214" s="4"/>
      <c r="C214" s="4" t="s">
        <v>2836</v>
      </c>
      <c r="D214" s="4" t="str">
        <f t="shared" si="1"/>
        <v>{"valorA":"do","valorB":4}</v>
      </c>
      <c r="E214" s="8" t="str">
        <f t="shared" si="2"/>
        <v>do</v>
      </c>
      <c r="F214" s="8"/>
      <c r="G214" s="8" t="str">
        <f t="shared" si="3"/>
        <v>4</v>
      </c>
      <c r="H214" s="9">
        <f t="shared" si="4"/>
        <v>4</v>
      </c>
      <c r="I214" s="6" t="str">
        <f>IFERROR(__xludf.DUMMYFUNCTION("MAX(FILTER($H$2:$H369,$E$2:$E369=F214))"),"#N/A")</f>
        <v>#N/A</v>
      </c>
    </row>
    <row r="215">
      <c r="A215" s="4"/>
      <c r="C215" s="4" t="s">
        <v>2837</v>
      </c>
      <c r="D215" s="4" t="str">
        <f t="shared" si="1"/>
        <v>{"valorA":"adora","valorB":2}</v>
      </c>
      <c r="E215" s="8" t="str">
        <f t="shared" si="2"/>
        <v>adora</v>
      </c>
      <c r="F215" s="8"/>
      <c r="G215" s="8" t="str">
        <f t="shared" si="3"/>
        <v>2</v>
      </c>
      <c r="H215" s="9">
        <f t="shared" si="4"/>
        <v>2</v>
      </c>
      <c r="I215" s="6" t="str">
        <f>IFERROR(__xludf.DUMMYFUNCTION("MAX(FILTER($H$2:$H369,$E$2:$E369=F215))"),"#N/A")</f>
        <v>#N/A</v>
      </c>
    </row>
    <row r="216">
      <c r="A216" s="4"/>
      <c r="C216" s="4" t="s">
        <v>2838</v>
      </c>
      <c r="D216" s="4" t="str">
        <f t="shared" si="1"/>
        <v>{"valorA":"criança","valorB":1}</v>
      </c>
      <c r="E216" s="8" t="str">
        <f t="shared" si="2"/>
        <v>criança</v>
      </c>
      <c r="F216" s="8"/>
      <c r="G216" s="8" t="str">
        <f t="shared" si="3"/>
        <v>1</v>
      </c>
      <c r="H216" s="9">
        <f t="shared" si="4"/>
        <v>1</v>
      </c>
      <c r="I216" s="6" t="str">
        <f>IFERROR(__xludf.DUMMYFUNCTION("MAX(FILTER($H$2:$H369,$E$2:$E369=F216))"),"#N/A")</f>
        <v>#N/A</v>
      </c>
    </row>
    <row r="217">
      <c r="A217" s="4"/>
      <c r="C217" s="4" t="s">
        <v>2839</v>
      </c>
      <c r="D217" s="4" t="str">
        <f t="shared" si="1"/>
        <v>{"valorA":"jogálo","valorB":2}</v>
      </c>
      <c r="E217" s="8" t="str">
        <f t="shared" si="2"/>
        <v>jogálo</v>
      </c>
      <c r="F217" s="8"/>
      <c r="G217" s="8" t="str">
        <f t="shared" si="3"/>
        <v>2</v>
      </c>
      <c r="H217" s="9">
        <f t="shared" si="4"/>
        <v>2</v>
      </c>
      <c r="I217" s="6" t="str">
        <f>IFERROR(__xludf.DUMMYFUNCTION("MAX(FILTER($H$2:$H369,$E$2:$E369=F217))"),"#N/A")</f>
        <v>#N/A</v>
      </c>
    </row>
    <row r="218">
      <c r="A218" s="4"/>
      <c r="C218" s="4" t="s">
        <v>2840</v>
      </c>
      <c r="D218" s="4" t="str">
        <f t="shared" si="1"/>
        <v>{"valorA":"para","valorB":7}</v>
      </c>
      <c r="E218" s="8" t="str">
        <f t="shared" si="2"/>
        <v>para</v>
      </c>
      <c r="F218" s="8"/>
      <c r="G218" s="8" t="str">
        <f t="shared" si="3"/>
        <v>7</v>
      </c>
      <c r="H218" s="9">
        <f t="shared" si="4"/>
        <v>7</v>
      </c>
      <c r="I218" s="6" t="str">
        <f>IFERROR(__xludf.DUMMYFUNCTION("MAX(FILTER($H$2:$H369,$E$2:$E369=F218))"),"#N/A")</f>
        <v>#N/A</v>
      </c>
    </row>
    <row r="219">
      <c r="A219" s="4"/>
      <c r="C219" s="4" t="s">
        <v>2841</v>
      </c>
      <c r="D219" s="4" t="str">
        <f t="shared" si="1"/>
        <v>{"valorA":"ótimo","valorB":30}</v>
      </c>
      <c r="E219" s="8" t="str">
        <f t="shared" si="2"/>
        <v>ótimo</v>
      </c>
      <c r="F219" s="8"/>
      <c r="G219" s="8" t="str">
        <f t="shared" si="3"/>
        <v>30</v>
      </c>
      <c r="H219" s="9">
        <f t="shared" si="4"/>
        <v>30</v>
      </c>
      <c r="I219" s="6" t="str">
        <f>IFERROR(__xludf.DUMMYFUNCTION("MAX(FILTER($H$2:$H369,$E$2:$E369=F219))"),"#N/A")</f>
        <v>#N/A</v>
      </c>
    </row>
    <row r="220">
      <c r="A220" s="4"/>
      <c r="C220" s="4" t="s">
        <v>2842</v>
      </c>
      <c r="D220" s="4" t="str">
        <f t="shared" si="1"/>
        <v>{"valorA":"brinquedo","valorB":2}</v>
      </c>
      <c r="E220" s="8" t="str">
        <f t="shared" si="2"/>
        <v>brinquedo</v>
      </c>
      <c r="F220" s="8"/>
      <c r="G220" s="8" t="str">
        <f t="shared" si="3"/>
        <v>2</v>
      </c>
      <c r="H220" s="9">
        <f t="shared" si="4"/>
        <v>2</v>
      </c>
      <c r="I220" s="6" t="str">
        <f>IFERROR(__xludf.DUMMYFUNCTION("MAX(FILTER($H$2:$H369,$E$2:$E369=F220))"),"#N/A")</f>
        <v>#N/A</v>
      </c>
    </row>
    <row r="221">
      <c r="A221" s="4"/>
      <c r="C221" s="4" t="s">
        <v>2843</v>
      </c>
      <c r="D221" s="4" t="str">
        <f t="shared" si="1"/>
        <v>{"valorA":"desse","valorB":2}</v>
      </c>
      <c r="E221" s="8" t="str">
        <f t="shared" si="2"/>
        <v>desse</v>
      </c>
      <c r="F221" s="8"/>
      <c r="G221" s="8" t="str">
        <f t="shared" si="3"/>
        <v>2</v>
      </c>
      <c r="H221" s="9">
        <f t="shared" si="4"/>
        <v>2</v>
      </c>
      <c r="I221" s="6" t="str">
        <f>IFERROR(__xludf.DUMMYFUNCTION("MAX(FILTER($H$2:$H369,$E$2:$E369=F221))"),"#N/A")</f>
        <v>#N/A</v>
      </c>
    </row>
    <row r="222">
      <c r="A222" s="4"/>
      <c r="C222" s="4" t="s">
        <v>2844</v>
      </c>
      <c r="D222" s="4" t="str">
        <f t="shared" si="1"/>
        <v>{"valorA":"ele","valorB":2}</v>
      </c>
      <c r="E222" s="8" t="str">
        <f t="shared" si="2"/>
        <v>ele</v>
      </c>
      <c r="F222" s="8"/>
      <c r="G222" s="8" t="str">
        <f t="shared" si="3"/>
        <v>2</v>
      </c>
      <c r="H222" s="9">
        <f t="shared" si="4"/>
        <v>2</v>
      </c>
      <c r="I222" s="6" t="str">
        <f>IFERROR(__xludf.DUMMYFUNCTION("MAX(FILTER($H$2:$H369,$E$2:$E369=F222))"),"#N/A")</f>
        <v>#N/A</v>
      </c>
    </row>
    <row r="223">
      <c r="A223" s="4"/>
      <c r="C223" s="4" t="s">
        <v>2845</v>
      </c>
      <c r="D223" s="4" t="str">
        <f t="shared" si="1"/>
        <v>{"valorA":"ótimo","valorB":31}</v>
      </c>
      <c r="E223" s="8" t="str">
        <f t="shared" si="2"/>
        <v>ótimo</v>
      </c>
      <c r="F223" s="8"/>
      <c r="G223" s="8" t="str">
        <f t="shared" si="3"/>
        <v>31</v>
      </c>
      <c r="H223" s="9">
        <f t="shared" si="4"/>
        <v>31</v>
      </c>
      <c r="I223" s="6" t="str">
        <f>IFERROR(__xludf.DUMMYFUNCTION("MAX(FILTER($H$2:$H369,$E$2:$E369=F223))"),"#N/A")</f>
        <v>#N/A</v>
      </c>
    </row>
    <row r="224">
      <c r="A224" s="4"/>
      <c r="C224" s="4" t="s">
        <v>2846</v>
      </c>
      <c r="D224" s="4" t="str">
        <f t="shared" si="1"/>
        <v>{"valorA":"encanta","valorB":1}</v>
      </c>
      <c r="E224" s="8" t="str">
        <f t="shared" si="2"/>
        <v>encanta</v>
      </c>
      <c r="F224" s="8"/>
      <c r="G224" s="8" t="str">
        <f t="shared" si="3"/>
        <v>1</v>
      </c>
      <c r="H224" s="9">
        <f t="shared" si="4"/>
        <v>1</v>
      </c>
      <c r="I224" s="6" t="str">
        <f>IFERROR(__xludf.DUMMYFUNCTION("MAX(FILTER($H$2:$H369,$E$2:$E369=F224))"),"#N/A")</f>
        <v>#N/A</v>
      </c>
    </row>
    <row r="225">
      <c r="A225" s="4"/>
      <c r="C225" s="4" t="s">
        <v>2847</v>
      </c>
      <c r="D225" s="4" t="str">
        <f t="shared" si="1"/>
        <v>{"valorA":"relojoeiro","valorB":2}</v>
      </c>
      <c r="E225" s="8" t="str">
        <f t="shared" si="2"/>
        <v>relojoeiro</v>
      </c>
      <c r="F225" s="8"/>
      <c r="G225" s="8" t="str">
        <f t="shared" si="3"/>
        <v>2</v>
      </c>
      <c r="H225" s="9">
        <f t="shared" si="4"/>
        <v>2</v>
      </c>
      <c r="I225" s="6" t="str">
        <f>IFERROR(__xludf.DUMMYFUNCTION("MAX(FILTER($H$2:$H369,$E$2:$E369=F225))"),"#N/A")</f>
        <v>#N/A</v>
      </c>
    </row>
    <row r="226">
      <c r="A226" s="4"/>
      <c r="C226" s="4" t="s">
        <v>2848</v>
      </c>
      <c r="D226" s="4" t="str">
        <f t="shared" si="1"/>
        <v>{"valorA":"me","valorB":1}</v>
      </c>
      <c r="E226" s="8" t="str">
        <f t="shared" si="2"/>
        <v>me</v>
      </c>
      <c r="F226" s="8"/>
      <c r="G226" s="8" t="str">
        <f t="shared" si="3"/>
        <v>1</v>
      </c>
      <c r="H226" s="9">
        <f t="shared" si="4"/>
        <v>1</v>
      </c>
      <c r="I226" s="6" t="str">
        <f>IFERROR(__xludf.DUMMYFUNCTION("MAX(FILTER($H$2:$H369,$E$2:$E369=F226))"),"#N/A")</f>
        <v>#N/A</v>
      </c>
    </row>
    <row r="227">
      <c r="A227" s="4"/>
      <c r="C227" s="4" t="s">
        <v>2849</v>
      </c>
      <c r="D227" s="4" t="str">
        <f t="shared" si="1"/>
        <v>{"valorA":"relojoeira","valorB":3}</v>
      </c>
      <c r="E227" s="8" t="str">
        <f t="shared" si="2"/>
        <v>relojoeira</v>
      </c>
      <c r="F227" s="8"/>
      <c r="G227" s="8" t="str">
        <f t="shared" si="3"/>
        <v>3</v>
      </c>
      <c r="H227" s="9">
        <f t="shared" si="4"/>
        <v>3</v>
      </c>
      <c r="I227" s="6" t="str">
        <f>IFERROR(__xludf.DUMMYFUNCTION("MAX(FILTER($H$2:$H369,$E$2:$E369=F227))"),"#N/A")</f>
        <v>#N/A</v>
      </c>
    </row>
    <row r="228">
      <c r="A228" s="4"/>
      <c r="C228" s="4" t="s">
        <v>2850</v>
      </c>
      <c r="D228" s="4" t="str">
        <f t="shared" si="1"/>
        <v>{"valorA":"a","valorB":4}</v>
      </c>
      <c r="E228" s="8" t="str">
        <f t="shared" si="2"/>
        <v>a</v>
      </c>
      <c r="F228" s="8"/>
      <c r="G228" s="8" t="str">
        <f t="shared" si="3"/>
        <v>4</v>
      </c>
      <c r="H228" s="9">
        <f t="shared" si="4"/>
        <v>4</v>
      </c>
      <c r="I228" s="6" t="str">
        <f>IFERROR(__xludf.DUMMYFUNCTION("MAX(FILTER($H$2:$H369,$E$2:$E369=F228))"),"#N/A")</f>
        <v>#N/A</v>
      </c>
    </row>
    <row r="229">
      <c r="A229" s="4"/>
      <c r="C229" s="4" t="s">
        <v>2851</v>
      </c>
      <c r="D229" s="4" t="str">
        <f t="shared" si="1"/>
        <v>{"valorA":"perfeita","valorB":2}</v>
      </c>
      <c r="E229" s="8" t="str">
        <f t="shared" si="2"/>
        <v>perfeita</v>
      </c>
      <c r="F229" s="8"/>
      <c r="G229" s="8" t="str">
        <f t="shared" si="3"/>
        <v>2</v>
      </c>
      <c r="H229" s="9">
        <f t="shared" si="4"/>
        <v>2</v>
      </c>
      <c r="I229" s="6" t="str">
        <f>IFERROR(__xludf.DUMMYFUNCTION("MAX(FILTER($H$2:$H369,$E$2:$E369=F229))"),"#N/A")</f>
        <v>#N/A</v>
      </c>
    </row>
    <row r="230">
      <c r="A230" s="4"/>
      <c r="C230" s="4" t="s">
        <v>2852</v>
      </c>
      <c r="D230" s="4" t="str">
        <f t="shared" si="1"/>
        <v>{"valorA":"treinar","valorB":1}</v>
      </c>
      <c r="E230" s="8" t="str">
        <f t="shared" si="2"/>
        <v>treinar</v>
      </c>
      <c r="F230" s="8"/>
      <c r="G230" s="8" t="str">
        <f t="shared" si="3"/>
        <v>1</v>
      </c>
      <c r="H230" s="9">
        <f t="shared" si="4"/>
        <v>1</v>
      </c>
      <c r="I230" s="6" t="str">
        <f>IFERROR(__xludf.DUMMYFUNCTION("MAX(FILTER($H$2:$H369,$E$2:$E369=F230))"),"#N/A")</f>
        <v>#N/A</v>
      </c>
    </row>
    <row r="231">
      <c r="A231" s="4"/>
      <c r="C231" s="4" t="s">
        <v>2853</v>
      </c>
      <c r="D231" s="4" t="str">
        <f t="shared" si="1"/>
        <v>{"valorA":"começando","valorB":1}</v>
      </c>
      <c r="E231" s="8" t="str">
        <f t="shared" si="2"/>
        <v>começando</v>
      </c>
      <c r="F231" s="8"/>
      <c r="G231" s="8" t="str">
        <f t="shared" si="3"/>
        <v>1</v>
      </c>
      <c r="H231" s="9">
        <f t="shared" si="4"/>
        <v>1</v>
      </c>
      <c r="I231" s="6" t="str">
        <f>IFERROR(__xludf.DUMMYFUNCTION("MAX(FILTER($H$2:$H369,$E$2:$E369=F231))"),"#N/A")</f>
        <v>#N/A</v>
      </c>
    </row>
    <row r="232">
      <c r="A232" s="4"/>
      <c r="C232" s="4" t="s">
        <v>2854</v>
      </c>
      <c r="D232" s="4" t="str">
        <f t="shared" si="1"/>
        <v>{"valorA":"para","valorB":8}</v>
      </c>
      <c r="E232" s="8" t="str">
        <f t="shared" si="2"/>
        <v>para</v>
      </c>
      <c r="F232" s="8"/>
      <c r="G232" s="8" t="str">
        <f t="shared" si="3"/>
        <v>8</v>
      </c>
      <c r="H232" s="9">
        <f t="shared" si="4"/>
        <v>8</v>
      </c>
      <c r="I232" s="6" t="str">
        <f>IFERROR(__xludf.DUMMYFUNCTION("MAX(FILTER($H$2:$H369,$E$2:$E369=F232))"),"#N/A")</f>
        <v>#N/A</v>
      </c>
    </row>
    <row r="233">
      <c r="A233" s="4"/>
      <c r="C233" s="4" t="s">
        <v>2855</v>
      </c>
      <c r="D233" s="4" t="str">
        <f t="shared" si="1"/>
        <v>{"valorA":"ótimo","valorB":32}</v>
      </c>
      <c r="E233" s="8" t="str">
        <f t="shared" si="2"/>
        <v>ótimo</v>
      </c>
      <c r="F233" s="8"/>
      <c r="G233" s="8" t="str">
        <f t="shared" si="3"/>
        <v>32</v>
      </c>
      <c r="H233" s="9">
        <f t="shared" si="4"/>
        <v>32</v>
      </c>
      <c r="I233" s="6" t="str">
        <f>IFERROR(__xludf.DUMMYFUNCTION("MAX(FILTER($H$2:$H369,$E$2:$E369=F233))"),"#N/A")</f>
        <v>#N/A</v>
      </c>
    </row>
    <row r="234">
      <c r="A234" s="4"/>
      <c r="C234" s="4" t="s">
        <v>2856</v>
      </c>
      <c r="D234" s="4" t="str">
        <f t="shared" si="1"/>
        <v>{"valorA":"quem","valorB":2}</v>
      </c>
      <c r="E234" s="8" t="str">
        <f t="shared" si="2"/>
        <v>quem</v>
      </c>
      <c r="F234" s="8"/>
      <c r="G234" s="8" t="str">
        <f t="shared" si="3"/>
        <v>2</v>
      </c>
      <c r="H234" s="9">
        <f t="shared" si="4"/>
        <v>2</v>
      </c>
      <c r="I234" s="6" t="str">
        <f>IFERROR(__xludf.DUMMYFUNCTION("MAX(FILTER($H$2:$H369,$E$2:$E369=F234))"),"#N/A")</f>
        <v>#N/A</v>
      </c>
    </row>
    <row r="235">
      <c r="A235" s="4"/>
      <c r="C235" s="4" t="s">
        <v>2857</v>
      </c>
      <c r="D235" s="4" t="str">
        <f t="shared" si="1"/>
        <v>{"valorA":"está","valorB":1}</v>
      </c>
      <c r="E235" s="8" t="str">
        <f t="shared" si="2"/>
        <v>está</v>
      </c>
      <c r="F235" s="8"/>
      <c r="G235" s="8" t="str">
        <f t="shared" si="3"/>
        <v>1</v>
      </c>
      <c r="H235" s="9">
        <f t="shared" si="4"/>
        <v>1</v>
      </c>
      <c r="I235" s="6" t="str">
        <f>IFERROR(__xludf.DUMMYFUNCTION("MAX(FILTER($H$2:$H369,$E$2:$E369=F235))"),"#N/A")</f>
        <v>#N/A</v>
      </c>
    </row>
    <row r="236">
      <c r="A236" s="4"/>
      <c r="C236" s="4" t="s">
        <v>2858</v>
      </c>
      <c r="D236" s="4" t="str">
        <f t="shared" si="1"/>
        <v>{"valorA":"comprimento","valorB":1}</v>
      </c>
      <c r="E236" s="8" t="str">
        <f t="shared" si="2"/>
        <v>comprimento</v>
      </c>
      <c r="F236" s="8"/>
      <c r="G236" s="8" t="str">
        <f t="shared" si="3"/>
        <v>1</v>
      </c>
      <c r="H236" s="9">
        <f t="shared" si="4"/>
        <v>1</v>
      </c>
      <c r="I236" s="6" t="str">
        <f>IFERROR(__xludf.DUMMYFUNCTION("MAX(FILTER($H$2:$H369,$E$2:$E369=F236))"),"#N/A")</f>
        <v>#N/A</v>
      </c>
    </row>
    <row r="237">
      <c r="A237" s="4"/>
      <c r="C237" s="4" t="s">
        <v>2859</v>
      </c>
      <c r="D237" s="4" t="str">
        <f t="shared" si="1"/>
        <v>{"valorA":"ótimo","valorB":33}</v>
      </c>
      <c r="E237" s="8" t="str">
        <f t="shared" si="2"/>
        <v>ótimo</v>
      </c>
      <c r="F237" s="8"/>
      <c r="G237" s="8" t="str">
        <f t="shared" si="3"/>
        <v>33</v>
      </c>
      <c r="H237" s="9">
        <f t="shared" si="4"/>
        <v>33</v>
      </c>
      <c r="I237" s="6" t="str">
        <f>IFERROR(__xludf.DUMMYFUNCTION("MAX(FILTER($H$2:$H369,$E$2:$E369=F237))"),"#N/A")</f>
        <v>#N/A</v>
      </c>
    </row>
    <row r="238">
      <c r="A238" s="4"/>
      <c r="C238" s="4" t="s">
        <v>2860</v>
      </c>
      <c r="D238" s="4" t="str">
        <f t="shared" si="1"/>
        <v>{"valorA":"chapéu","valorB":1}</v>
      </c>
      <c r="E238" s="8" t="str">
        <f t="shared" si="2"/>
        <v>chapéu</v>
      </c>
      <c r="F238" s="8"/>
      <c r="G238" s="8" t="str">
        <f t="shared" si="3"/>
        <v>1</v>
      </c>
      <c r="H238" s="9">
        <f t="shared" si="4"/>
        <v>1</v>
      </c>
      <c r="I238" s="6" t="str">
        <f>IFERROR(__xludf.DUMMYFUNCTION("MAX(FILTER($H$2:$H369,$E$2:$E369=F238))"),"#N/A")</f>
        <v>#N/A</v>
      </c>
    </row>
    <row r="239">
      <c r="A239" s="4"/>
      <c r="C239" s="4" t="s">
        <v>2861</v>
      </c>
      <c r="D239" s="4" t="str">
        <f t="shared" si="1"/>
        <v>{"valorA":"deste","valorB":1}</v>
      </c>
      <c r="E239" s="8" t="str">
        <f t="shared" si="2"/>
        <v>deste</v>
      </c>
      <c r="F239" s="8"/>
      <c r="G239" s="8" t="str">
        <f t="shared" si="3"/>
        <v>1</v>
      </c>
      <c r="H239" s="9">
        <f t="shared" si="4"/>
        <v>1</v>
      </c>
      <c r="I239" s="6" t="str">
        <f>IFERROR(__xludf.DUMMYFUNCTION("MAX(FILTER($H$2:$H369,$E$2:$E369=F239))"),"#N/A")</f>
        <v>#N/A</v>
      </c>
    </row>
    <row r="240">
      <c r="A240" s="4"/>
      <c r="C240" s="4" t="s">
        <v>2862</v>
      </c>
      <c r="D240" s="4" t="str">
        <f t="shared" si="1"/>
        <v>{"valorA":"é","valorB":5}</v>
      </c>
      <c r="E240" s="8" t="str">
        <f t="shared" si="2"/>
        <v>é</v>
      </c>
      <c r="F240" s="8"/>
      <c r="G240" s="8" t="str">
        <f t="shared" si="3"/>
        <v>5</v>
      </c>
      <c r="H240" s="9">
        <f t="shared" si="4"/>
        <v>5</v>
      </c>
      <c r="I240" s="6" t="str">
        <f>IFERROR(__xludf.DUMMYFUNCTION("MAX(FILTER($H$2:$H369,$E$2:$E369=F240))"),"#N/A")</f>
        <v>#N/A</v>
      </c>
    </row>
    <row r="241">
      <c r="A241" s="4"/>
      <c r="C241" s="4" t="s">
        <v>2863</v>
      </c>
      <c r="D241" s="4" t="str">
        <f t="shared" si="1"/>
        <v>{"valorA":"para","valorB":9}</v>
      </c>
      <c r="E241" s="8" t="str">
        <f t="shared" si="2"/>
        <v>para</v>
      </c>
      <c r="F241" s="8"/>
      <c r="G241" s="8" t="str">
        <f t="shared" si="3"/>
        <v>9</v>
      </c>
      <c r="H241" s="9">
        <f t="shared" si="4"/>
        <v>9</v>
      </c>
      <c r="I241" s="6" t="str">
        <f>IFERROR(__xludf.DUMMYFUNCTION("MAX(FILTER($H$2:$H369,$E$2:$E369=F241))"),"#N/A")</f>
        <v>#N/A</v>
      </c>
    </row>
    <row r="242">
      <c r="A242" s="4"/>
      <c r="C242" s="4" t="s">
        <v>2864</v>
      </c>
      <c r="D242" s="4" t="str">
        <f t="shared" si="1"/>
        <v>{"valorA":"perfeito","valorB":1}</v>
      </c>
      <c r="E242" s="8" t="str">
        <f t="shared" si="2"/>
        <v>perfeito</v>
      </c>
      <c r="F242" s="8"/>
      <c r="G242" s="8" t="str">
        <f t="shared" si="3"/>
        <v>1</v>
      </c>
      <c r="H242" s="9">
        <f t="shared" si="4"/>
        <v>1</v>
      </c>
      <c r="I242" s="6" t="str">
        <f>IFERROR(__xludf.DUMMYFUNCTION("MAX(FILTER($H$2:$H369,$E$2:$E369=F242))"),"#N/A")</f>
        <v>#N/A</v>
      </c>
    </row>
    <row r="243">
      <c r="A243" s="4"/>
      <c r="C243" s="4" t="s">
        <v>2865</v>
      </c>
      <c r="D243" s="4" t="str">
        <f t="shared" si="1"/>
        <v>{"valorA":"mim","valorB":3}</v>
      </c>
      <c r="E243" s="8" t="str">
        <f t="shared" si="2"/>
        <v>mim</v>
      </c>
      <c r="F243" s="8"/>
      <c r="G243" s="8" t="str">
        <f t="shared" si="3"/>
        <v>3</v>
      </c>
      <c r="H243" s="9">
        <f t="shared" si="4"/>
        <v>3</v>
      </c>
      <c r="I243" s="6" t="str">
        <f>IFERROR(__xludf.DUMMYFUNCTION("MAX(FILTER($H$2:$H369,$E$2:$E369=F243))"),"#N/A")</f>
        <v>#N/A</v>
      </c>
    </row>
    <row r="244">
      <c r="A244" s="4"/>
      <c r="C244" s="4" t="s">
        <v>2866</v>
      </c>
      <c r="D244" s="4" t="str">
        <f t="shared" si="1"/>
        <v>{"valorA":"ótimo","valorB":34}</v>
      </c>
      <c r="E244" s="8" t="str">
        <f t="shared" si="2"/>
        <v>ótimo</v>
      </c>
      <c r="F244" s="8"/>
      <c r="G244" s="8" t="str">
        <f t="shared" si="3"/>
        <v>34</v>
      </c>
      <c r="H244" s="9">
        <f t="shared" si="4"/>
        <v>34</v>
      </c>
      <c r="I244" s="6" t="str">
        <f>IFERROR(__xludf.DUMMYFUNCTION("MAX(FILTER($H$2:$H369,$E$2:$E369=F244))"),"#N/A")</f>
        <v>#N/A</v>
      </c>
    </row>
    <row r="245">
      <c r="A245" s="4"/>
      <c r="C245" s="4" t="s">
        <v>2867</v>
      </c>
      <c r="D245" s="4" t="str">
        <f t="shared" si="1"/>
        <v>{"valorA":"produto","valorB":19}</v>
      </c>
      <c r="E245" s="8" t="str">
        <f t="shared" si="2"/>
        <v>produto</v>
      </c>
      <c r="F245" s="8"/>
      <c r="G245" s="8" t="str">
        <f t="shared" si="3"/>
        <v>19</v>
      </c>
      <c r="H245" s="9">
        <f t="shared" si="4"/>
        <v>19</v>
      </c>
      <c r="I245" s="6" t="str">
        <f>IFERROR(__xludf.DUMMYFUNCTION("MAX(FILTER($H$2:$H369,$E$2:$E369=F245))"),"#N/A")</f>
        <v>#N/A</v>
      </c>
    </row>
    <row r="246">
      <c r="A246" s="4"/>
      <c r="C246" s="4" t="s">
        <v>2868</v>
      </c>
      <c r="D246" s="4" t="str">
        <f t="shared" si="1"/>
        <v>{"valorA":"incrível","valorB":1}</v>
      </c>
      <c r="E246" s="8" t="str">
        <f t="shared" si="2"/>
        <v>incrível</v>
      </c>
      <c r="F246" s="8"/>
      <c r="G246" s="8" t="str">
        <f t="shared" si="3"/>
        <v>1</v>
      </c>
      <c r="H246" s="9">
        <f t="shared" si="4"/>
        <v>1</v>
      </c>
      <c r="I246" s="6" t="str">
        <f>IFERROR(__xludf.DUMMYFUNCTION("MAX(FILTER($H$2:$H369,$E$2:$E369=F246))"),"#N/A")</f>
        <v>#N/A</v>
      </c>
    </row>
    <row r="247">
      <c r="A247" s="4"/>
      <c r="C247" s="4" t="s">
        <v>2869</v>
      </c>
      <c r="D247" s="4" t="str">
        <f t="shared" si="1"/>
        <v>{"valorA":"realmente","valorB":1}</v>
      </c>
      <c r="E247" s="8" t="str">
        <f t="shared" si="2"/>
        <v>realmente</v>
      </c>
      <c r="F247" s="8"/>
      <c r="G247" s="8" t="str">
        <f t="shared" si="3"/>
        <v>1</v>
      </c>
      <c r="H247" s="9">
        <f t="shared" si="4"/>
        <v>1</v>
      </c>
      <c r="I247" s="6" t="str">
        <f>IFERROR(__xludf.DUMMYFUNCTION("MAX(FILTER($H$2:$H369,$E$2:$E369=F247))"),"#N/A")</f>
        <v>#N/A</v>
      </c>
    </row>
    <row r="248">
      <c r="A248" s="4"/>
      <c r="C248" s="4" t="s">
        <v>2870</v>
      </c>
      <c r="D248" s="4" t="str">
        <f t="shared" si="1"/>
        <v>{"valorA":"é","valorB":6}</v>
      </c>
      <c r="E248" s="8" t="str">
        <f t="shared" si="2"/>
        <v>é</v>
      </c>
      <c r="F248" s="8"/>
      <c r="G248" s="8" t="str">
        <f t="shared" si="3"/>
        <v>6</v>
      </c>
      <c r="H248" s="9">
        <f t="shared" si="4"/>
        <v>6</v>
      </c>
      <c r="I248" s="6" t="str">
        <f>IFERROR(__xludf.DUMMYFUNCTION("MAX(FILTER($H$2:$H369,$E$2:$E369=F248))"),"#N/A")</f>
        <v>#N/A</v>
      </c>
    </row>
    <row r="249">
      <c r="A249" s="4"/>
      <c r="C249" s="4" t="s">
        <v>2871</v>
      </c>
      <c r="D249" s="4" t="str">
        <f t="shared" si="1"/>
        <v>{"valorA":"ótimo","valorB":35}</v>
      </c>
      <c r="E249" s="8" t="str">
        <f t="shared" si="2"/>
        <v>ótimo</v>
      </c>
      <c r="F249" s="8"/>
      <c r="G249" s="8" t="str">
        <f t="shared" si="3"/>
        <v>35</v>
      </c>
      <c r="H249" s="9">
        <f t="shared" si="4"/>
        <v>35</v>
      </c>
      <c r="I249" s="6" t="str">
        <f>IFERROR(__xludf.DUMMYFUNCTION("MAX(FILTER($H$2:$H369,$E$2:$E369=F249))"),"#N/A")</f>
        <v>#N/A</v>
      </c>
    </row>
    <row r="250">
      <c r="A250" s="4"/>
      <c r="C250" s="4" t="s">
        <v>2872</v>
      </c>
      <c r="D250" s="4" t="str">
        <f t="shared" si="1"/>
        <v>{"valorA":"produto","valorB":20}</v>
      </c>
      <c r="E250" s="8" t="str">
        <f t="shared" si="2"/>
        <v>produto</v>
      </c>
      <c r="F250" s="8"/>
      <c r="G250" s="8" t="str">
        <f t="shared" si="3"/>
        <v>20</v>
      </c>
      <c r="H250" s="9">
        <f t="shared" si="4"/>
        <v>20</v>
      </c>
      <c r="I250" s="6" t="str">
        <f>IFERROR(__xludf.DUMMYFUNCTION("MAX(FILTER($H$2:$H369,$E$2:$E369=F250))"),"#N/A")</f>
        <v>#N/A</v>
      </c>
    </row>
    <row r="251">
      <c r="A251" s="4"/>
      <c r="C251" s="4" t="s">
        <v>2873</v>
      </c>
      <c r="D251" s="4" t="str">
        <f t="shared" si="1"/>
        <v>{"valorA":"relogio","valorB":1}</v>
      </c>
      <c r="E251" s="8" t="str">
        <f t="shared" si="2"/>
        <v>relogio</v>
      </c>
      <c r="F251" s="8"/>
      <c r="G251" s="8" t="str">
        <f t="shared" si="3"/>
        <v>1</v>
      </c>
      <c r="H251" s="9">
        <f t="shared" si="4"/>
        <v>1</v>
      </c>
      <c r="I251" s="6" t="str">
        <f>IFERROR(__xludf.DUMMYFUNCTION("MAX(FILTER($H$2:$H369,$E$2:$E369=F251))"),"#N/A")</f>
        <v>#N/A</v>
      </c>
    </row>
    <row r="252">
      <c r="A252" s="4"/>
      <c r="C252" s="4" t="s">
        <v>2874</v>
      </c>
      <c r="D252" s="4" t="str">
        <f t="shared" si="1"/>
        <v>{"valorA":"esse","valorB":4}</v>
      </c>
      <c r="E252" s="8" t="str">
        <f t="shared" si="2"/>
        <v>esse</v>
      </c>
      <c r="F252" s="8"/>
      <c r="G252" s="8" t="str">
        <f t="shared" si="3"/>
        <v>4</v>
      </c>
      <c r="H252" s="9">
        <f t="shared" si="4"/>
        <v>4</v>
      </c>
      <c r="I252" s="6" t="str">
        <f>IFERROR(__xludf.DUMMYFUNCTION("MAX(FILTER($H$2:$H369,$E$2:$E369=F252))"),"#N/A")</f>
        <v>#N/A</v>
      </c>
    </row>
    <row r="253">
      <c r="A253" s="4"/>
      <c r="C253" s="4" t="s">
        <v>2875</v>
      </c>
      <c r="D253" s="4" t="str">
        <f t="shared" si="1"/>
        <v>{"valorA":"alta","valorB":1}</v>
      </c>
      <c r="E253" s="8" t="str">
        <f t="shared" si="2"/>
        <v>alta</v>
      </c>
      <c r="F253" s="8"/>
      <c r="G253" s="8" t="str">
        <f t="shared" si="3"/>
        <v>1</v>
      </c>
      <c r="H253" s="9">
        <f t="shared" si="4"/>
        <v>1</v>
      </c>
      <c r="I253" s="6" t="str">
        <f>IFERROR(__xludf.DUMMYFUNCTION("MAX(FILTER($H$2:$H369,$E$2:$E369=F253))"),"#N/A")</f>
        <v>#N/A</v>
      </c>
    </row>
    <row r="254">
      <c r="A254" s="4"/>
      <c r="C254" s="4" t="s">
        <v>2876</v>
      </c>
      <c r="D254" s="4" t="str">
        <f t="shared" si="1"/>
        <v>{"valorA":"de","valorB":6}</v>
      </c>
      <c r="E254" s="8" t="str">
        <f t="shared" si="2"/>
        <v>de</v>
      </c>
      <c r="F254" s="8"/>
      <c r="G254" s="8" t="str">
        <f t="shared" si="3"/>
        <v>6</v>
      </c>
      <c r="H254" s="9">
        <f t="shared" si="4"/>
        <v>6</v>
      </c>
      <c r="I254" s="6" t="str">
        <f>IFERROR(__xludf.DUMMYFUNCTION("MAX(FILTER($H$2:$H369,$E$2:$E369=F254))"),"#N/A")</f>
        <v>#N/A</v>
      </c>
    </row>
    <row r="255">
      <c r="A255" s="4"/>
      <c r="C255" s="4" t="s">
        <v>2877</v>
      </c>
      <c r="D255" s="4" t="str">
        <f t="shared" si="1"/>
        <v>{"valorA":"funciona","valorB":9}</v>
      </c>
      <c r="E255" s="8" t="str">
        <f t="shared" si="2"/>
        <v>funciona</v>
      </c>
      <c r="F255" s="8"/>
      <c r="G255" s="8" t="str">
        <f t="shared" si="3"/>
        <v>9</v>
      </c>
      <c r="H255" s="9">
        <f t="shared" si="4"/>
        <v>9</v>
      </c>
      <c r="I255" s="6" t="str">
        <f>IFERROR(__xludf.DUMMYFUNCTION("MAX(FILTER($H$2:$H369,$E$2:$E369=F255))"),"#N/A")</f>
        <v>#N/A</v>
      </c>
    </row>
    <row r="256">
      <c r="A256" s="4"/>
      <c r="C256" s="4" t="s">
        <v>2878</v>
      </c>
      <c r="D256" s="4" t="str">
        <f t="shared" si="1"/>
        <v>{"valorA":"qualidade","valorB":1}</v>
      </c>
      <c r="E256" s="8" t="str">
        <f t="shared" si="2"/>
        <v>qualidade</v>
      </c>
      <c r="F256" s="8"/>
      <c r="G256" s="8" t="str">
        <f t="shared" si="3"/>
        <v>1</v>
      </c>
      <c r="H256" s="9">
        <f t="shared" si="4"/>
        <v>1</v>
      </c>
      <c r="I256" s="6" t="str">
        <f>IFERROR(__xludf.DUMMYFUNCTION("MAX(FILTER($H$2:$H369,$E$2:$E369=F256))"),"#N/A")</f>
        <v>#N/A</v>
      </c>
    </row>
    <row r="257">
      <c r="A257" s="4"/>
      <c r="C257" s="4" t="s">
        <v>2879</v>
      </c>
      <c r="D257" s="4" t="str">
        <f t="shared" si="1"/>
        <v>{"valorA":"bem","valorB":4}</v>
      </c>
      <c r="E257" s="8" t="str">
        <f t="shared" si="2"/>
        <v>bem</v>
      </c>
      <c r="F257" s="8"/>
      <c r="G257" s="8" t="str">
        <f t="shared" si="3"/>
        <v>4</v>
      </c>
      <c r="H257" s="9">
        <f t="shared" si="4"/>
        <v>4</v>
      </c>
      <c r="I257" s="6" t="str">
        <f>IFERROR(__xludf.DUMMYFUNCTION("MAX(FILTER($H$2:$H369,$E$2:$E369=F257))"),"#N/A")</f>
        <v>#N/A</v>
      </c>
    </row>
    <row r="258">
      <c r="A258" s="4"/>
      <c r="C258" s="4" t="s">
        <v>2880</v>
      </c>
      <c r="D258" s="4" t="str">
        <f t="shared" si="1"/>
        <v>{"valorA":"é","valorB":7}</v>
      </c>
      <c r="E258" s="8" t="str">
        <f t="shared" si="2"/>
        <v>é</v>
      </c>
      <c r="F258" s="8"/>
      <c r="G258" s="8" t="str">
        <f t="shared" si="3"/>
        <v>7</v>
      </c>
      <c r="H258" s="9">
        <f t="shared" si="4"/>
        <v>7</v>
      </c>
      <c r="I258" s="6" t="str">
        <f>IFERROR(__xludf.DUMMYFUNCTION("MAX(FILTER($H$2:$H369,$E$2:$E369=F258))"),"#N/A")</f>
        <v>#N/A</v>
      </c>
    </row>
    <row r="259">
      <c r="A259" s="4"/>
      <c r="C259" s="4" t="s">
        <v>2881</v>
      </c>
      <c r="D259" s="4" t="str">
        <f t="shared" si="1"/>
        <v>{"valorA":"e","valorB":10}</v>
      </c>
      <c r="E259" s="8" t="str">
        <f t="shared" si="2"/>
        <v>e</v>
      </c>
      <c r="F259" s="8"/>
      <c r="G259" s="8" t="str">
        <f t="shared" si="3"/>
        <v>10</v>
      </c>
      <c r="H259" s="9">
        <f t="shared" si="4"/>
        <v>10</v>
      </c>
      <c r="I259" s="6" t="str">
        <f>IFERROR(__xludf.DUMMYFUNCTION("MAX(FILTER($H$2:$H369,$E$2:$E369=F259))"),"#N/A")</f>
        <v>#N/A</v>
      </c>
    </row>
    <row r="260">
      <c r="A260" s="4"/>
      <c r="C260" s="4" t="s">
        <v>2882</v>
      </c>
      <c r="D260" s="4" t="str">
        <f t="shared" si="1"/>
        <v>{"valorA":"precioso","valorB":1}</v>
      </c>
      <c r="E260" s="8" t="str">
        <f t="shared" si="2"/>
        <v>precioso</v>
      </c>
      <c r="F260" s="8"/>
      <c r="G260" s="8" t="str">
        <f t="shared" si="3"/>
        <v>1</v>
      </c>
      <c r="H260" s="9">
        <f t="shared" si="4"/>
        <v>1</v>
      </c>
      <c r="I260" s="6" t="str">
        <f>IFERROR(__xludf.DUMMYFUNCTION("MAX(FILTER($H$2:$H369,$E$2:$E369=F260))"),"#N/A")</f>
        <v>#N/A</v>
      </c>
    </row>
    <row r="261">
      <c r="A261" s="4"/>
      <c r="C261" s="4" t="s">
        <v>2883</v>
      </c>
      <c r="D261" s="4" t="str">
        <f t="shared" si="1"/>
        <v>{"valorA":"o","valorB":5}</v>
      </c>
      <c r="E261" s="8" t="str">
        <f t="shared" si="2"/>
        <v>o</v>
      </c>
      <c r="F261" s="8"/>
      <c r="G261" s="8" t="str">
        <f t="shared" si="3"/>
        <v>5</v>
      </c>
      <c r="H261" s="9">
        <f t="shared" si="4"/>
        <v>5</v>
      </c>
      <c r="I261" s="6" t="str">
        <f>IFERROR(__xludf.DUMMYFUNCTION("MAX(FILTER($H$2:$H369,$E$2:$E369=F261))"),"#N/A")</f>
        <v>#N/A</v>
      </c>
    </row>
    <row r="262">
      <c r="A262" s="4"/>
      <c r="C262" s="4" t="s">
        <v>2884</v>
      </c>
      <c r="D262" s="4" t="str">
        <f t="shared" si="1"/>
        <v>{"valorA":"ótimo","valorB":36}</v>
      </c>
      <c r="E262" s="8" t="str">
        <f t="shared" si="2"/>
        <v>ótimo</v>
      </c>
      <c r="F262" s="8"/>
      <c r="G262" s="8" t="str">
        <f t="shared" si="3"/>
        <v>36</v>
      </c>
      <c r="H262" s="9">
        <f t="shared" si="4"/>
        <v>36</v>
      </c>
      <c r="I262" s="6" t="str">
        <f>IFERROR(__xludf.DUMMYFUNCTION("MAX(FILTER($H$2:$H369,$E$2:$E369=F262))"),"#N/A")</f>
        <v>#N/A</v>
      </c>
    </row>
    <row r="263">
      <c r="A263" s="4"/>
      <c r="C263" s="4" t="s">
        <v>2885</v>
      </c>
      <c r="D263" s="4" t="str">
        <f t="shared" si="1"/>
        <v>{"valorA":"paguei","valorB":2}</v>
      </c>
      <c r="E263" s="8" t="str">
        <f t="shared" si="2"/>
        <v>paguei</v>
      </c>
      <c r="F263" s="8"/>
      <c r="G263" s="8" t="str">
        <f t="shared" si="3"/>
        <v>2</v>
      </c>
      <c r="H263" s="9">
        <f t="shared" si="4"/>
        <v>2</v>
      </c>
      <c r="I263" s="6" t="str">
        <f>IFERROR(__xludf.DUMMYFUNCTION("MAX(FILTER($H$2:$H369,$E$2:$E369=F263))"),"#N/A")</f>
        <v>#N/A</v>
      </c>
    </row>
    <row r="264">
      <c r="A264" s="4"/>
      <c r="C264" s="4" t="s">
        <v>2886</v>
      </c>
      <c r="D264" s="4" t="str">
        <f t="shared" si="1"/>
        <v>{"valorA":"preço","valorB":3}</v>
      </c>
      <c r="E264" s="8" t="str">
        <f t="shared" si="2"/>
        <v>preço</v>
      </c>
      <c r="F264" s="8"/>
      <c r="G264" s="8" t="str">
        <f t="shared" si="3"/>
        <v>3</v>
      </c>
      <c r="H264" s="9">
        <f t="shared" si="4"/>
        <v>3</v>
      </c>
      <c r="I264" s="6" t="str">
        <f>IFERROR(__xludf.DUMMYFUNCTION("MAX(FILTER($H$2:$H369,$E$2:$E369=F264))"),"#N/A")</f>
        <v>#N/A</v>
      </c>
    </row>
    <row r="265">
      <c r="A265" s="4"/>
      <c r="C265" s="4" t="s">
        <v>2887</v>
      </c>
      <c r="D265" s="4" t="str">
        <f t="shared" si="1"/>
        <v>{"valorA":"que","valorB":7}</v>
      </c>
      <c r="E265" s="8" t="str">
        <f t="shared" si="2"/>
        <v>que</v>
      </c>
      <c r="F265" s="8"/>
      <c r="G265" s="8" t="str">
        <f t="shared" si="3"/>
        <v>7</v>
      </c>
      <c r="H265" s="9">
        <f t="shared" si="4"/>
        <v>7</v>
      </c>
      <c r="I265" s="6" t="str">
        <f>IFERROR(__xludf.DUMMYFUNCTION("MAX(FILTER($H$2:$H369,$E$2:$E369=F265))"),"#N/A")</f>
        <v>#N/A</v>
      </c>
    </row>
    <row r="266">
      <c r="A266" s="4"/>
      <c r="C266" s="4" t="s">
        <v>2888</v>
      </c>
      <c r="D266" s="4" t="str">
        <f t="shared" si="1"/>
        <v>{"valorA":"a","valorB":5}</v>
      </c>
      <c r="E266" s="8" t="str">
        <f t="shared" si="2"/>
        <v>a</v>
      </c>
      <c r="F266" s="8"/>
      <c r="G266" s="8" t="str">
        <f t="shared" si="3"/>
        <v>5</v>
      </c>
      <c r="H266" s="9">
        <f t="shared" si="4"/>
        <v>5</v>
      </c>
      <c r="I266" s="6" t="str">
        <f>IFERROR(__xludf.DUMMYFUNCTION("MAX(FILTER($H$2:$H369,$E$2:$E369=F266))"),"#N/A")</f>
        <v>#N/A</v>
      </c>
    </row>
    <row r="267">
      <c r="A267" s="4"/>
      <c r="C267" s="4" t="s">
        <v>2889</v>
      </c>
      <c r="D267" s="4" t="str">
        <f t="shared" si="1"/>
        <v>{"valorA":"vale","valorB":2}</v>
      </c>
      <c r="E267" s="8" t="str">
        <f t="shared" si="2"/>
        <v>vale</v>
      </c>
      <c r="F267" s="8"/>
      <c r="G267" s="8" t="str">
        <f t="shared" si="3"/>
        <v>2</v>
      </c>
      <c r="H267" s="9">
        <f t="shared" si="4"/>
        <v>2</v>
      </c>
      <c r="I267" s="6" t="str">
        <f>IFERROR(__xludf.DUMMYFUNCTION("MAX(FILTER($H$2:$H369,$E$2:$E369=F267))"),"#N/A")</f>
        <v>#N/A</v>
      </c>
    </row>
    <row r="268">
      <c r="A268" s="4"/>
      <c r="C268" s="4" t="s">
        <v>2890</v>
      </c>
      <c r="D268" s="4" t="str">
        <f t="shared" si="1"/>
        <v>{"valorA":"produto","valorB":21}</v>
      </c>
      <c r="E268" s="8" t="str">
        <f t="shared" si="2"/>
        <v>produto</v>
      </c>
      <c r="F268" s="8"/>
      <c r="G268" s="8" t="str">
        <f t="shared" si="3"/>
        <v>21</v>
      </c>
      <c r="H268" s="9">
        <f t="shared" si="4"/>
        <v>21</v>
      </c>
      <c r="I268" s="6" t="str">
        <f>IFERROR(__xludf.DUMMYFUNCTION("MAX(FILTER($H$2:$H369,$E$2:$E369=F268))"),"#N/A")</f>
        <v>#N/A</v>
      </c>
    </row>
    <row r="269">
      <c r="A269" s="4"/>
      <c r="C269" s="4" t="s">
        <v>2891</v>
      </c>
      <c r="D269" s="4" t="str">
        <f t="shared" si="1"/>
        <v>{"valorA":"pena","valorB":2}</v>
      </c>
      <c r="E269" s="8" t="str">
        <f t="shared" si="2"/>
        <v>pena</v>
      </c>
      <c r="F269" s="8"/>
      <c r="G269" s="8" t="str">
        <f t="shared" si="3"/>
        <v>2</v>
      </c>
      <c r="H269" s="9">
        <f t="shared" si="4"/>
        <v>2</v>
      </c>
      <c r="I269" s="6" t="str">
        <f>IFERROR(__xludf.DUMMYFUNCTION("MAX(FILTER($H$2:$H369,$E$2:$E369=F269))"),"#N/A")</f>
        <v>#N/A</v>
      </c>
    </row>
    <row r="270">
      <c r="A270" s="4"/>
      <c r="C270" s="4" t="s">
        <v>2892</v>
      </c>
      <c r="D270" s="4" t="str">
        <f t="shared" si="1"/>
        <v>{"valorA":"produto","valorB":22}</v>
      </c>
      <c r="E270" s="8" t="str">
        <f t="shared" si="2"/>
        <v>produto</v>
      </c>
      <c r="F270" s="8"/>
      <c r="G270" s="8" t="str">
        <f t="shared" si="3"/>
        <v>22</v>
      </c>
      <c r="H270" s="9">
        <f t="shared" si="4"/>
        <v>22</v>
      </c>
      <c r="I270" s="6" t="str">
        <f>IFERROR(__xludf.DUMMYFUNCTION("MAX(FILTER($H$2:$H369,$E$2:$E369=F270))"),"#N/A")</f>
        <v>#N/A</v>
      </c>
    </row>
    <row r="271">
      <c r="A271" s="4"/>
      <c r="C271" s="4" t="s">
        <v>2893</v>
      </c>
      <c r="D271" s="4" t="str">
        <f t="shared" si="1"/>
        <v>{"valorA":"ótimo","valorB":37}</v>
      </c>
      <c r="E271" s="8" t="str">
        <f t="shared" si="2"/>
        <v>ótimo</v>
      </c>
      <c r="F271" s="8"/>
      <c r="G271" s="8" t="str">
        <f t="shared" si="3"/>
        <v>37</v>
      </c>
      <c r="H271" s="9">
        <f t="shared" si="4"/>
        <v>37</v>
      </c>
      <c r="I271" s="6" t="str">
        <f>IFERROR(__xludf.DUMMYFUNCTION("MAX(FILTER($H$2:$H369,$E$2:$E369=F271))"),"#N/A")</f>
        <v>#N/A</v>
      </c>
    </row>
    <row r="272">
      <c r="A272" s="4"/>
      <c r="C272" s="4" t="s">
        <v>2894</v>
      </c>
      <c r="D272" s="4" t="str">
        <f t="shared" si="1"/>
        <v>{"valorA":"muito","valorB":8}</v>
      </c>
      <c r="E272" s="8" t="str">
        <f t="shared" si="2"/>
        <v>muito</v>
      </c>
      <c r="F272" s="8"/>
      <c r="G272" s="8" t="str">
        <f t="shared" si="3"/>
        <v>8</v>
      </c>
      <c r="H272" s="9">
        <f t="shared" si="4"/>
        <v>8</v>
      </c>
      <c r="I272" s="6" t="str">
        <f>IFERROR(__xludf.DUMMYFUNCTION("MAX(FILTER($H$2:$H369,$E$2:$E369=F272))"),"#N/A")</f>
        <v>#N/A</v>
      </c>
    </row>
    <row r="273">
      <c r="A273" s="4"/>
      <c r="C273" s="4" t="s">
        <v>2895</v>
      </c>
      <c r="D273" s="4" t="str">
        <f t="shared" si="1"/>
        <v>{"valorA":"gosto","valorB":1}</v>
      </c>
      <c r="E273" s="8" t="str">
        <f t="shared" si="2"/>
        <v>gosto</v>
      </c>
      <c r="F273" s="8"/>
      <c r="G273" s="8" t="str">
        <f t="shared" si="3"/>
        <v>1</v>
      </c>
      <c r="H273" s="9">
        <f t="shared" si="4"/>
        <v>1</v>
      </c>
      <c r="I273" s="6" t="str">
        <f>IFERROR(__xludf.DUMMYFUNCTION("MAX(FILTER($H$2:$H369,$E$2:$E369=F273))"),"#N/A")</f>
        <v>#N/A</v>
      </c>
    </row>
    <row r="274">
      <c r="A274" s="4"/>
      <c r="C274" s="4" t="s">
        <v>2896</v>
      </c>
      <c r="D274" s="4" t="str">
        <f t="shared" si="1"/>
        <v>{"valorA":"que","valorB":8}</v>
      </c>
      <c r="E274" s="8" t="str">
        <f t="shared" si="2"/>
        <v>que</v>
      </c>
      <c r="F274" s="8"/>
      <c r="G274" s="8" t="str">
        <f t="shared" si="3"/>
        <v>8</v>
      </c>
      <c r="H274" s="9">
        <f t="shared" si="4"/>
        <v>8</v>
      </c>
      <c r="I274" s="6" t="str">
        <f>IFERROR(__xludf.DUMMYFUNCTION("MAX(FILTER($H$2:$H369,$E$2:$E369=F274))"),"#N/A")</f>
        <v>#N/A</v>
      </c>
    </row>
    <row r="275">
      <c r="A275" s="4"/>
      <c r="C275" s="4" t="s">
        <v>2897</v>
      </c>
      <c r="D275" s="4" t="str">
        <f t="shared" si="1"/>
        <v>{"valorA":"meu","valorB":3}</v>
      </c>
      <c r="E275" s="8" t="str">
        <f t="shared" si="2"/>
        <v>meu</v>
      </c>
      <c r="F275" s="8"/>
      <c r="G275" s="8" t="str">
        <f t="shared" si="3"/>
        <v>3</v>
      </c>
      <c r="H275" s="9">
        <f t="shared" si="4"/>
        <v>3</v>
      </c>
      <c r="I275" s="6" t="str">
        <f>IFERROR(__xludf.DUMMYFUNCTION("MAX(FILTER($H$2:$H369,$E$2:$E369=F275))"),"#N/A")</f>
        <v>#N/A</v>
      </c>
    </row>
    <row r="276">
      <c r="A276" s="4"/>
      <c r="C276" s="4" t="s">
        <v>2898</v>
      </c>
      <c r="D276" s="4" t="str">
        <f t="shared" si="1"/>
        <v>{"valorA":"o","valorB":6}</v>
      </c>
      <c r="E276" s="8" t="str">
        <f t="shared" si="2"/>
        <v>o</v>
      </c>
      <c r="F276" s="8"/>
      <c r="G276" s="8" t="str">
        <f t="shared" si="3"/>
        <v>6</v>
      </c>
      <c r="H276" s="9">
        <f t="shared" si="4"/>
        <v>6</v>
      </c>
      <c r="I276" s="6" t="str">
        <f>IFERROR(__xludf.DUMMYFUNCTION("MAX(FILTER($H$2:$H369,$E$2:$E369=F276))"),"#N/A")</f>
        <v>#N/A</v>
      </c>
    </row>
    <row r="277">
      <c r="A277" s="4"/>
      <c r="C277" s="4" t="s">
        <v>2899</v>
      </c>
      <c r="D277" s="4" t="str">
        <f t="shared" si="1"/>
        <v>{"valorA":"produto","valorB":23}</v>
      </c>
      <c r="E277" s="8" t="str">
        <f t="shared" si="2"/>
        <v>produto</v>
      </c>
      <c r="F277" s="8"/>
      <c r="G277" s="8" t="str">
        <f t="shared" si="3"/>
        <v>23</v>
      </c>
      <c r="H277" s="9">
        <f t="shared" si="4"/>
        <v>23</v>
      </c>
      <c r="I277" s="6" t="str">
        <f>IFERROR(__xludf.DUMMYFUNCTION("MAX(FILTER($H$2:$H369,$E$2:$E369=F277))"),"#N/A")</f>
        <v>#N/A</v>
      </c>
    </row>
    <row r="278">
      <c r="A278" s="4"/>
      <c r="C278" s="4" t="s">
        <v>2900</v>
      </c>
      <c r="D278" s="4" t="str">
        <f t="shared" si="1"/>
        <v>{"valorA":"melhor","valorB":1}</v>
      </c>
      <c r="E278" s="8" t="str">
        <f t="shared" si="2"/>
        <v>melhor</v>
      </c>
      <c r="F278" s="8"/>
      <c r="G278" s="8" t="str">
        <f t="shared" si="3"/>
        <v>1</v>
      </c>
      <c r="H278" s="9">
        <f t="shared" si="4"/>
        <v>1</v>
      </c>
      <c r="I278" s="6" t="str">
        <f>IFERROR(__xludf.DUMMYFUNCTION("MAX(FILTER($H$2:$H369,$E$2:$E369=F278))"),"#N/A")</f>
        <v>#N/A</v>
      </c>
    </row>
    <row r="279">
      <c r="A279" s="4"/>
      <c r="C279" s="4" t="s">
        <v>2901</v>
      </c>
      <c r="D279" s="4" t="str">
        <f t="shared" si="1"/>
        <v>{"valorA":"ótimo","valorB":38}</v>
      </c>
      <c r="E279" s="8" t="str">
        <f t="shared" si="2"/>
        <v>ótimo</v>
      </c>
      <c r="F279" s="8"/>
      <c r="G279" s="8" t="str">
        <f t="shared" si="3"/>
        <v>38</v>
      </c>
      <c r="H279" s="9">
        <f t="shared" si="4"/>
        <v>38</v>
      </c>
      <c r="I279" s="6" t="str">
        <f>IFERROR(__xludf.DUMMYFUNCTION("MAX(FILTER($H$2:$H369,$E$2:$E369=F279))"),"#N/A")</f>
        <v>#N/A</v>
      </c>
    </row>
    <row r="280">
      <c r="A280" s="4"/>
      <c r="C280" s="4" t="s">
        <v>2902</v>
      </c>
      <c r="D280" s="4" t="str">
        <f t="shared" si="1"/>
        <v>{"valorA":"bem","valorB":5}</v>
      </c>
      <c r="E280" s="8" t="str">
        <f t="shared" si="2"/>
        <v>bem</v>
      </c>
      <c r="F280" s="8"/>
      <c r="G280" s="8" t="str">
        <f t="shared" si="3"/>
        <v>5</v>
      </c>
      <c r="H280" s="9">
        <f t="shared" si="4"/>
        <v>5</v>
      </c>
      <c r="I280" s="6" t="str">
        <f>IFERROR(__xludf.DUMMYFUNCTION("MAX(FILTER($H$2:$H369,$E$2:$E369=F280))"),"#N/A")</f>
        <v>#N/A</v>
      </c>
    </row>
    <row r="281">
      <c r="A281" s="4"/>
      <c r="C281" s="4" t="s">
        <v>2903</v>
      </c>
      <c r="D281" s="4" t="str">
        <f t="shared" si="1"/>
        <v>{"valorA":"do","valorB":5}</v>
      </c>
      <c r="E281" s="8" t="str">
        <f t="shared" si="2"/>
        <v>do</v>
      </c>
      <c r="F281" s="8"/>
      <c r="G281" s="8" t="str">
        <f t="shared" si="3"/>
        <v>5</v>
      </c>
      <c r="H281" s="9">
        <f t="shared" si="4"/>
        <v>5</v>
      </c>
      <c r="I281" s="6" t="str">
        <f>IFERROR(__xludf.DUMMYFUNCTION("MAX(FILTER($H$2:$H369,$E$2:$E369=F281))"),"#N/A")</f>
        <v>#N/A</v>
      </c>
    </row>
    <row r="282">
      <c r="A282" s="4"/>
      <c r="C282" s="4" t="s">
        <v>2904</v>
      </c>
      <c r="D282" s="4" t="str">
        <f t="shared" si="1"/>
        <v>{"valorA":"antigo","valorB":2}</v>
      </c>
      <c r="E282" s="8" t="str">
        <f t="shared" si="2"/>
        <v>antigo</v>
      </c>
      <c r="F282" s="8"/>
      <c r="G282" s="8" t="str">
        <f t="shared" si="3"/>
        <v>2</v>
      </c>
      <c r="H282" s="9">
        <f t="shared" si="4"/>
        <v>2</v>
      </c>
      <c r="I282" s="6" t="str">
        <f>IFERROR(__xludf.DUMMYFUNCTION("MAX(FILTER($H$2:$H369,$E$2:$E369=F282))"),"#N/A")</f>
        <v>#N/A</v>
      </c>
    </row>
    <row r="283">
      <c r="A283" s="4"/>
      <c r="C283" s="4" t="s">
        <v>2905</v>
      </c>
      <c r="D283" s="4" t="str">
        <f t="shared" si="1"/>
        <v>{"valorA":"ótimo","valorB":39}</v>
      </c>
      <c r="E283" s="8" t="str">
        <f t="shared" si="2"/>
        <v>ótimo</v>
      </c>
      <c r="F283" s="8"/>
      <c r="G283" s="8" t="str">
        <f t="shared" si="3"/>
        <v>39</v>
      </c>
      <c r="H283" s="9">
        <f t="shared" si="4"/>
        <v>39</v>
      </c>
      <c r="I283" s="6" t="str">
        <f>IFERROR(__xludf.DUMMYFUNCTION("MAX(FILTER($H$2:$H369,$E$2:$E369=F283))"),"#N/A")</f>
        <v>#N/A</v>
      </c>
    </row>
    <row r="284">
      <c r="A284" s="4"/>
      <c r="C284" s="4" t="s">
        <v>2906</v>
      </c>
      <c r="D284" s="4" t="str">
        <f t="shared" si="1"/>
        <v>{"valorA":"pena","valorB":3}</v>
      </c>
      <c r="E284" s="8" t="str">
        <f t="shared" si="2"/>
        <v>pena</v>
      </c>
      <c r="F284" s="8"/>
      <c r="G284" s="8" t="str">
        <f t="shared" si="3"/>
        <v>3</v>
      </c>
      <c r="H284" s="9">
        <f t="shared" si="4"/>
        <v>3</v>
      </c>
      <c r="I284" s="6" t="str">
        <f>IFERROR(__xludf.DUMMYFUNCTION("MAX(FILTER($H$2:$H369,$E$2:$E369=F284))"),"#N/A")</f>
        <v>#N/A</v>
      </c>
    </row>
    <row r="285">
      <c r="A285" s="4"/>
      <c r="C285" s="4" t="s">
        <v>2907</v>
      </c>
      <c r="D285" s="4" t="str">
        <f t="shared" si="1"/>
        <v>{"valorA":"produto","valorB":24}</v>
      </c>
      <c r="E285" s="8" t="str">
        <f t="shared" si="2"/>
        <v>produto</v>
      </c>
      <c r="F285" s="8"/>
      <c r="G285" s="8" t="str">
        <f t="shared" si="3"/>
        <v>24</v>
      </c>
      <c r="H285" s="9">
        <f t="shared" si="4"/>
        <v>24</v>
      </c>
      <c r="I285" s="6" t="str">
        <f>IFERROR(__xludf.DUMMYFUNCTION("MAX(FILTER($H$2:$H369,$E$2:$E369=F285))"),"#N/A")</f>
        <v>#N/A</v>
      </c>
    </row>
    <row r="286">
      <c r="A286" s="4"/>
      <c r="C286" s="4" t="s">
        <v>2908</v>
      </c>
      <c r="D286" s="4" t="str">
        <f t="shared" si="1"/>
        <v>{"valorA":"é","valorB":8}</v>
      </c>
      <c r="E286" s="8" t="str">
        <f t="shared" si="2"/>
        <v>é</v>
      </c>
      <c r="F286" s="8"/>
      <c r="G286" s="8" t="str">
        <f t="shared" si="3"/>
        <v>8</v>
      </c>
      <c r="H286" s="9">
        <f t="shared" si="4"/>
        <v>8</v>
      </c>
      <c r="I286" s="6" t="str">
        <f>IFERROR(__xludf.DUMMYFUNCTION("MAX(FILTER($H$2:$H369,$E$2:$E369=F286))"),"#N/A")</f>
        <v>#N/A</v>
      </c>
    </row>
    <row r="287">
      <c r="A287" s="4"/>
      <c r="C287" s="4" t="s">
        <v>2909</v>
      </c>
      <c r="D287" s="4" t="str">
        <f t="shared" si="1"/>
        <v>{"valorA":"este","valorB":2}</v>
      </c>
      <c r="E287" s="8" t="str">
        <f t="shared" si="2"/>
        <v>este</v>
      </c>
      <c r="F287" s="8"/>
      <c r="G287" s="8" t="str">
        <f t="shared" si="3"/>
        <v>2</v>
      </c>
      <c r="H287" s="9">
        <f t="shared" si="4"/>
        <v>2</v>
      </c>
      <c r="I287" s="6" t="str">
        <f>IFERROR(__xludf.DUMMYFUNCTION("MAX(FILTER($H$2:$H369,$E$2:$E369=F287))"),"#N/A")</f>
        <v>#N/A</v>
      </c>
    </row>
    <row r="288">
      <c r="A288" s="4"/>
      <c r="C288" s="4" t="s">
        <v>2910</v>
      </c>
      <c r="D288" s="4" t="str">
        <f t="shared" si="1"/>
        <v>{"valorA":"comprar","valorB":1}</v>
      </c>
      <c r="E288" s="8" t="str">
        <f t="shared" si="2"/>
        <v>comprar</v>
      </c>
      <c r="F288" s="8"/>
      <c r="G288" s="8" t="str">
        <f t="shared" si="3"/>
        <v>1</v>
      </c>
      <c r="H288" s="9">
        <f t="shared" si="4"/>
        <v>1</v>
      </c>
      <c r="I288" s="6" t="str">
        <f>IFERROR(__xludf.DUMMYFUNCTION("MAX(FILTER($H$2:$H369,$E$2:$E369=F288))"),"#N/A")</f>
        <v>#N/A</v>
      </c>
    </row>
    <row r="289">
      <c r="A289" s="4"/>
      <c r="C289" s="4" t="s">
        <v>2911</v>
      </c>
      <c r="D289" s="4" t="str">
        <f t="shared" si="1"/>
        <v>{"valorA":"a","valorB":6}</v>
      </c>
      <c r="E289" s="8" t="str">
        <f t="shared" si="2"/>
        <v>a</v>
      </c>
      <c r="F289" s="8"/>
      <c r="G289" s="8" t="str">
        <f t="shared" si="3"/>
        <v>6</v>
      </c>
      <c r="H289" s="9">
        <f t="shared" si="4"/>
        <v>6</v>
      </c>
      <c r="I289" s="6" t="str">
        <f>IFERROR(__xludf.DUMMYFUNCTION("MAX(FILTER($H$2:$H369,$E$2:$E369=F289))"),"#N/A")</f>
        <v>#N/A</v>
      </c>
    </row>
    <row r="290">
      <c r="A290" s="4"/>
      <c r="C290" s="4" t="s">
        <v>2912</v>
      </c>
      <c r="D290" s="4" t="str">
        <f t="shared" si="1"/>
        <v>{"valorA":"vale","valorB":3}</v>
      </c>
      <c r="E290" s="8" t="str">
        <f t="shared" si="2"/>
        <v>vale</v>
      </c>
      <c r="F290" s="8"/>
      <c r="G290" s="8" t="str">
        <f t="shared" si="3"/>
        <v>3</v>
      </c>
      <c r="H290" s="9">
        <f t="shared" si="4"/>
        <v>3</v>
      </c>
      <c r="I290" s="6" t="str">
        <f>IFERROR(__xludf.DUMMYFUNCTION("MAX(FILTER($H$2:$H369,$E$2:$E369=F290))"),"#N/A")</f>
        <v>#N/A</v>
      </c>
    </row>
    <row r="291">
      <c r="A291" s="4"/>
      <c r="C291" s="4" t="s">
        <v>2913</v>
      </c>
      <c r="D291" s="4" t="str">
        <f t="shared" si="1"/>
        <v>{"valorA":"incrível","valorB":2}</v>
      </c>
      <c r="E291" s="8" t="str">
        <f t="shared" si="2"/>
        <v>incrível</v>
      </c>
      <c r="F291" s="8"/>
      <c r="G291" s="8" t="str">
        <f t="shared" si="3"/>
        <v>2</v>
      </c>
      <c r="H291" s="9">
        <f t="shared" si="4"/>
        <v>2</v>
      </c>
      <c r="I291" s="6" t="str">
        <f>IFERROR(__xludf.DUMMYFUNCTION("MAX(FILTER($H$2:$H369,$E$2:$E369=F291))"),"#N/A")</f>
        <v>#N/A</v>
      </c>
    </row>
    <row r="292">
      <c r="A292" s="4"/>
      <c r="C292" s="4" t="s">
        <v>2914</v>
      </c>
      <c r="D292" s="4" t="str">
        <f t="shared" si="1"/>
        <v>{"valorA":"ótimo","valorB":40}</v>
      </c>
      <c r="E292" s="8" t="str">
        <f t="shared" si="2"/>
        <v>ótimo</v>
      </c>
      <c r="F292" s="8"/>
      <c r="G292" s="8" t="str">
        <f t="shared" si="3"/>
        <v>40</v>
      </c>
      <c r="H292" s="9">
        <f t="shared" si="4"/>
        <v>40</v>
      </c>
      <c r="I292" s="6" t="str">
        <f>IFERROR(__xludf.DUMMYFUNCTION("MAX(FILTER($H$2:$H369,$E$2:$E369=F292))"),"#N/A")</f>
        <v>#N/A</v>
      </c>
    </row>
    <row r="293">
      <c r="A293" s="4"/>
      <c r="C293" s="4" t="s">
        <v>2915</v>
      </c>
      <c r="D293" s="4" t="str">
        <f t="shared" si="1"/>
        <v>{"valorA":"muito","valorB":9}</v>
      </c>
      <c r="E293" s="8" t="str">
        <f t="shared" si="2"/>
        <v>muito</v>
      </c>
      <c r="F293" s="8"/>
      <c r="G293" s="8" t="str">
        <f t="shared" si="3"/>
        <v>9</v>
      </c>
      <c r="H293" s="9">
        <f t="shared" si="4"/>
        <v>9</v>
      </c>
      <c r="I293" s="6" t="str">
        <f>IFERROR(__xludf.DUMMYFUNCTION("MAX(FILTER($H$2:$H369,$E$2:$E369=F293))"),"#N/A")</f>
        <v>#N/A</v>
      </c>
    </row>
    <row r="294">
      <c r="A294" s="4"/>
      <c r="C294" s="4" t="s">
        <v>2916</v>
      </c>
      <c r="D294" s="4" t="str">
        <f t="shared" si="1"/>
        <v>{"valorA":"produto","valorB":25}</v>
      </c>
      <c r="E294" s="8" t="str">
        <f t="shared" si="2"/>
        <v>produto</v>
      </c>
      <c r="F294" s="8"/>
      <c r="G294" s="8" t="str">
        <f t="shared" si="3"/>
        <v>25</v>
      </c>
      <c r="H294" s="9">
        <f t="shared" si="4"/>
        <v>25</v>
      </c>
      <c r="I294" s="6" t="str">
        <f>IFERROR(__xludf.DUMMYFUNCTION("MAX(FILTER($H$2:$H369,$E$2:$E369=F294))"),"#N/A")</f>
        <v>#N/A</v>
      </c>
    </row>
    <row r="295">
      <c r="A295" s="4"/>
      <c r="C295" s="4" t="s">
        <v>2917</v>
      </c>
      <c r="D295" s="4" t="str">
        <f t="shared" si="1"/>
        <v>{"valorA":"esse","valorB":5}</v>
      </c>
      <c r="E295" s="8" t="str">
        <f t="shared" si="2"/>
        <v>esse</v>
      </c>
      <c r="F295" s="8"/>
      <c r="G295" s="8" t="str">
        <f t="shared" si="3"/>
        <v>5</v>
      </c>
      <c r="H295" s="9">
        <f t="shared" si="4"/>
        <v>5</v>
      </c>
      <c r="I295" s="6" t="str">
        <f>IFERROR(__xludf.DUMMYFUNCTION("MAX(FILTER($H$2:$H369,$E$2:$E369=F295))"),"#N/A")</f>
        <v>#N/A</v>
      </c>
    </row>
    <row r="296">
      <c r="A296" s="4"/>
      <c r="C296" s="4" t="s">
        <v>2918</v>
      </c>
      <c r="D296" s="4" t="str">
        <f t="shared" si="1"/>
        <v>{"valorA":"gostei","valorB":5}</v>
      </c>
      <c r="E296" s="8" t="str">
        <f t="shared" si="2"/>
        <v>gostei</v>
      </c>
      <c r="F296" s="8"/>
      <c r="G296" s="8" t="str">
        <f t="shared" si="3"/>
        <v>5</v>
      </c>
      <c r="H296" s="9">
        <f t="shared" si="4"/>
        <v>5</v>
      </c>
      <c r="I296" s="6" t="str">
        <f>IFERROR(__xludf.DUMMYFUNCTION("MAX(FILTER($H$2:$H369,$E$2:$E369=F296))"),"#N/A")</f>
        <v>#N/A</v>
      </c>
    </row>
    <row r="297">
      <c r="A297" s="4"/>
      <c r="C297" s="4" t="s">
        <v>2919</v>
      </c>
      <c r="D297" s="4" t="str">
        <f t="shared" si="1"/>
        <v>{"valorA":"da","valorB":1}</v>
      </c>
      <c r="E297" s="8" t="str">
        <f t="shared" si="2"/>
        <v>da</v>
      </c>
      <c r="F297" s="8"/>
      <c r="G297" s="8" t="str">
        <f t="shared" si="3"/>
        <v>1</v>
      </c>
      <c r="H297" s="9">
        <f t="shared" si="4"/>
        <v>1</v>
      </c>
      <c r="I297" s="6" t="str">
        <f>IFERROR(__xludf.DUMMYFUNCTION("MAX(FILTER($H$2:$H369,$E$2:$E369=F297))"),"#N/A")</f>
        <v>#N/A</v>
      </c>
    </row>
    <row r="298">
      <c r="A298" s="4"/>
      <c r="C298" s="4" t="s">
        <v>2920</v>
      </c>
      <c r="D298" s="4" t="str">
        <f t="shared" si="1"/>
        <v>{"valorA":"qualidade","valorB":2}</v>
      </c>
      <c r="E298" s="8" t="str">
        <f t="shared" si="2"/>
        <v>qualidade</v>
      </c>
      <c r="F298" s="8"/>
      <c r="G298" s="8" t="str">
        <f t="shared" si="3"/>
        <v>2</v>
      </c>
      <c r="H298" s="9">
        <f t="shared" si="4"/>
        <v>2</v>
      </c>
      <c r="I298" s="6" t="str">
        <f>IFERROR(__xludf.DUMMYFUNCTION("MAX(FILTER($H$2:$H369,$E$2:$E369=F298))"),"#N/A")</f>
        <v>#N/A</v>
      </c>
    </row>
    <row r="299">
      <c r="A299" s="4"/>
      <c r="C299" s="4" t="s">
        <v>2921</v>
      </c>
      <c r="D299" s="4" t="str">
        <f t="shared" si="1"/>
        <v>{"valorA":"refrigerante","valorB":1}</v>
      </c>
      <c r="E299" s="8" t="str">
        <f t="shared" si="2"/>
        <v>refrigerante</v>
      </c>
      <c r="F299" s="8"/>
      <c r="G299" s="8" t="str">
        <f t="shared" si="3"/>
        <v>1</v>
      </c>
      <c r="H299" s="9">
        <f t="shared" si="4"/>
        <v>1</v>
      </c>
      <c r="I299" s="6" t="str">
        <f>IFERROR(__xludf.DUMMYFUNCTION("MAX(FILTER($H$2:$H369,$E$2:$E369=F299))"),"#N/A")</f>
        <v>#N/A</v>
      </c>
    </row>
    <row r="300">
      <c r="A300" s="4"/>
      <c r="C300" s="4" t="s">
        <v>2922</v>
      </c>
      <c r="D300" s="4" t="str">
        <f t="shared" si="1"/>
        <v>{"valorA":"a","valorB":7}</v>
      </c>
      <c r="E300" s="8" t="str">
        <f t="shared" si="2"/>
        <v>a</v>
      </c>
      <c r="F300" s="8"/>
      <c r="G300" s="8" t="str">
        <f t="shared" si="3"/>
        <v>7</v>
      </c>
      <c r="H300" s="9">
        <f t="shared" si="4"/>
        <v>7</v>
      </c>
      <c r="I300" s="6" t="str">
        <f>IFERROR(__xludf.DUMMYFUNCTION("MAX(FILTER($H$2:$H369,$E$2:$E369=F300))"),"#N/A")</f>
        <v>#N/A</v>
      </c>
    </row>
    <row r="301">
      <c r="A301" s="4"/>
      <c r="C301" s="4" t="s">
        <v>2923</v>
      </c>
      <c r="D301" s="4" t="str">
        <f t="shared" si="1"/>
        <v>{"valorA":"fico","valorB":1}</v>
      </c>
      <c r="E301" s="8" t="str">
        <f t="shared" si="2"/>
        <v>fico</v>
      </c>
      <c r="F301" s="8"/>
      <c r="G301" s="8" t="str">
        <f t="shared" si="3"/>
        <v>1</v>
      </c>
      <c r="H301" s="9">
        <f t="shared" si="4"/>
        <v>1</v>
      </c>
      <c r="I301" s="6" t="str">
        <f>IFERROR(__xludf.DUMMYFUNCTION("MAX(FILTER($H$2:$H369,$E$2:$E369=F301))"),"#N/A")</f>
        <v>#N/A</v>
      </c>
    </row>
    <row r="302">
      <c r="A302" s="4"/>
      <c r="C302" s="4" t="s">
        <v>2924</v>
      </c>
      <c r="D302" s="4" t="str">
        <f t="shared" si="1"/>
        <v>{"valorA":"produto","valorB":26}</v>
      </c>
      <c r="E302" s="8" t="str">
        <f t="shared" si="2"/>
        <v>produto</v>
      </c>
      <c r="F302" s="8"/>
      <c r="G302" s="8" t="str">
        <f t="shared" si="3"/>
        <v>26</v>
      </c>
      <c r="H302" s="9">
        <f t="shared" si="4"/>
        <v>26</v>
      </c>
      <c r="I302" s="6" t="str">
        <f>IFERROR(__xludf.DUMMYFUNCTION("MAX(FILTER($H$2:$H369,$E$2:$E369=F302))"),"#N/A")</f>
        <v>#N/A</v>
      </c>
    </row>
    <row r="303">
      <c r="A303" s="4"/>
      <c r="C303" s="4" t="s">
        <v>2925</v>
      </c>
      <c r="D303" s="4" t="str">
        <f t="shared" si="1"/>
        <v>{"valorA":"ótimo","valorB":41}</v>
      </c>
      <c r="E303" s="8" t="str">
        <f t="shared" si="2"/>
        <v>ótimo</v>
      </c>
      <c r="F303" s="8"/>
      <c r="G303" s="8" t="str">
        <f t="shared" si="3"/>
        <v>41</v>
      </c>
      <c r="H303" s="9">
        <f t="shared" si="4"/>
        <v>41</v>
      </c>
      <c r="I303" s="6" t="str">
        <f>IFERROR(__xludf.DUMMYFUNCTION("MAX(FILTER($H$2:$H369,$E$2:$E369=F303))"),"#N/A")</f>
        <v>#N/A</v>
      </c>
    </row>
    <row r="304">
      <c r="A304" s="4"/>
      <c r="C304" s="4" t="s">
        <v>2926</v>
      </c>
      <c r="D304" s="4" t="str">
        <f t="shared" si="1"/>
        <v>{"valorA":"feliz","valorB":1}</v>
      </c>
      <c r="E304" s="8" t="str">
        <f t="shared" si="2"/>
        <v>feliz</v>
      </c>
      <c r="F304" s="8"/>
      <c r="G304" s="8" t="str">
        <f t="shared" si="3"/>
        <v>1</v>
      </c>
      <c r="H304" s="9">
        <f t="shared" si="4"/>
        <v>1</v>
      </c>
      <c r="I304" s="6" t="str">
        <f>IFERROR(__xludf.DUMMYFUNCTION("MAX(FILTER($H$2:$H369,$E$2:$E369=F304))"),"#N/A")</f>
        <v>#N/A</v>
      </c>
    </row>
    <row r="305">
      <c r="A305" s="4"/>
      <c r="C305" s="4" t="s">
        <v>2927</v>
      </c>
      <c r="D305" s="4" t="str">
        <f t="shared" si="1"/>
        <v>{"valorA":"com","valorB":3}</v>
      </c>
      <c r="E305" s="8" t="str">
        <f t="shared" si="2"/>
        <v>com</v>
      </c>
      <c r="F305" s="8"/>
      <c r="G305" s="8" t="str">
        <f t="shared" si="3"/>
        <v>3</v>
      </c>
      <c r="H305" s="9">
        <f t="shared" si="4"/>
        <v>3</v>
      </c>
      <c r="I305" s="6" t="str">
        <f>IFERROR(__xludf.DUMMYFUNCTION("MAX(FILTER($H$2:$H369,$E$2:$E369=F305))"),"#N/A")</f>
        <v>#N/A</v>
      </c>
    </row>
    <row r="306">
      <c r="A306" s="4"/>
      <c r="C306" s="4" t="s">
        <v>2928</v>
      </c>
      <c r="D306" s="4" t="str">
        <f t="shared" si="1"/>
        <v>{"valorA":"compra","valorB":3}</v>
      </c>
      <c r="E306" s="8" t="str">
        <f t="shared" si="2"/>
        <v>compra</v>
      </c>
      <c r="F306" s="8"/>
      <c r="G306" s="8" t="str">
        <f t="shared" si="3"/>
        <v>3</v>
      </c>
      <c r="H306" s="9">
        <f t="shared" si="4"/>
        <v>3</v>
      </c>
      <c r="I306" s="6" t="str">
        <f>IFERROR(__xludf.DUMMYFUNCTION("MAX(FILTER($H$2:$H369,$E$2:$E369=F306))"),"#N/A")</f>
        <v>#N/A</v>
      </c>
    </row>
    <row r="307">
      <c r="A307" s="4"/>
      <c r="C307" s="4" t="s">
        <v>2929</v>
      </c>
      <c r="D307" s="4" t="str">
        <f t="shared" si="1"/>
        <v>{"valorA":"ótimo","valorB":42}</v>
      </c>
      <c r="E307" s="8" t="str">
        <f t="shared" si="2"/>
        <v>ótimo</v>
      </c>
      <c r="F307" s="8"/>
      <c r="G307" s="8" t="str">
        <f t="shared" si="3"/>
        <v>42</v>
      </c>
      <c r="H307" s="9">
        <f t="shared" si="4"/>
        <v>42</v>
      </c>
      <c r="I307" s="6" t="str">
        <f>IFERROR(__xludf.DUMMYFUNCTION("MAX(FILTER($H$2:$H369,$E$2:$E369=F307))"),"#N/A")</f>
        <v>#N/A</v>
      </c>
    </row>
    <row r="308">
      <c r="A308" s="4"/>
      <c r="C308" s="4" t="s">
        <v>2930</v>
      </c>
      <c r="D308" s="4" t="str">
        <f t="shared" si="1"/>
        <v>{"valorA":"lavalier","valorB":1}</v>
      </c>
      <c r="E308" s="8" t="str">
        <f t="shared" si="2"/>
        <v>lavalier</v>
      </c>
      <c r="F308" s="8"/>
      <c r="G308" s="8" t="str">
        <f t="shared" si="3"/>
        <v>1</v>
      </c>
      <c r="H308" s="9">
        <f t="shared" si="4"/>
        <v>1</v>
      </c>
      <c r="I308" s="6" t="str">
        <f>IFERROR(__xludf.DUMMYFUNCTION("MAX(FILTER($H$2:$H369,$E$2:$E369=F308))"),"#N/A")</f>
        <v>#N/A</v>
      </c>
    </row>
    <row r="309">
      <c r="A309" s="4"/>
      <c r="C309" s="4" t="s">
        <v>2931</v>
      </c>
      <c r="D309" s="4" t="str">
        <f t="shared" si="1"/>
        <v>{"valorA":"esse","valorB":6}</v>
      </c>
      <c r="E309" s="8" t="str">
        <f t="shared" si="2"/>
        <v>esse</v>
      </c>
      <c r="F309" s="8"/>
      <c r="G309" s="8" t="str">
        <f t="shared" si="3"/>
        <v>6</v>
      </c>
      <c r="H309" s="9">
        <f t="shared" si="4"/>
        <v>6</v>
      </c>
      <c r="I309" s="6" t="str">
        <f>IFERROR(__xludf.DUMMYFUNCTION("MAX(FILTER($H$2:$H369,$E$2:$E369=F309))"),"#N/A")</f>
        <v>#N/A</v>
      </c>
    </row>
    <row r="310">
      <c r="A310" s="4"/>
      <c r="C310" s="4" t="s">
        <v>2932</v>
      </c>
      <c r="D310" s="4" t="str">
        <f t="shared" si="1"/>
        <v>{"valorA":"gostei","valorB":6}</v>
      </c>
      <c r="E310" s="8" t="str">
        <f t="shared" si="2"/>
        <v>gostei</v>
      </c>
      <c r="F310" s="8"/>
      <c r="G310" s="8" t="str">
        <f t="shared" si="3"/>
        <v>6</v>
      </c>
      <c r="H310" s="9">
        <f t="shared" si="4"/>
        <v>6</v>
      </c>
      <c r="I310" s="6" t="str">
        <f>IFERROR(__xludf.DUMMYFUNCTION("MAX(FILTER($H$2:$H369,$E$2:$E369=F310))"),"#N/A")</f>
        <v>#N/A</v>
      </c>
    </row>
    <row r="311">
      <c r="A311" s="4"/>
      <c r="C311" s="4" t="s">
        <v>2933</v>
      </c>
      <c r="D311" s="4" t="str">
        <f t="shared" si="1"/>
        <v>{"valorA":"produto","valorB":27}</v>
      </c>
      <c r="E311" s="8" t="str">
        <f t="shared" si="2"/>
        <v>produto</v>
      </c>
      <c r="F311" s="8"/>
      <c r="G311" s="8" t="str">
        <f t="shared" si="3"/>
        <v>27</v>
      </c>
      <c r="H311" s="9">
        <f t="shared" si="4"/>
        <v>27</v>
      </c>
      <c r="I311" s="6" t="str">
        <f>IFERROR(__xludf.DUMMYFUNCTION("MAX(FILTER($H$2:$H369,$E$2:$E369=F311))"),"#N/A")</f>
        <v>#N/A</v>
      </c>
    </row>
    <row r="312">
      <c r="A312" s="4"/>
      <c r="C312" s="4" t="s">
        <v>2934</v>
      </c>
      <c r="D312" s="4" t="str">
        <f t="shared" si="1"/>
        <v>{"valorA":"muito","valorB":10}</v>
      </c>
      <c r="E312" s="8" t="str">
        <f t="shared" si="2"/>
        <v>muito</v>
      </c>
      <c r="F312" s="8"/>
      <c r="G312" s="8" t="str">
        <f t="shared" si="3"/>
        <v>10</v>
      </c>
      <c r="H312" s="9">
        <f t="shared" si="4"/>
        <v>10</v>
      </c>
      <c r="I312" s="6" t="str">
        <f>IFERROR(__xludf.DUMMYFUNCTION("MAX(FILTER($H$2:$H369,$E$2:$E369=F312))"),"#N/A")</f>
        <v>#N/A</v>
      </c>
    </row>
    <row r="313">
      <c r="A313" s="4"/>
      <c r="C313" s="4" t="s">
        <v>2935</v>
      </c>
      <c r="D313" s="4" t="str">
        <f t="shared" si="1"/>
        <v>{"valorA":"ótimo","valorB":43}</v>
      </c>
      <c r="E313" s="8" t="str">
        <f t="shared" si="2"/>
        <v>ótimo</v>
      </c>
      <c r="F313" s="8"/>
      <c r="G313" s="8" t="str">
        <f t="shared" si="3"/>
        <v>43</v>
      </c>
      <c r="H313" s="9">
        <f t="shared" si="4"/>
        <v>43</v>
      </c>
      <c r="I313" s="6" t="str">
        <f>IFERROR(__xludf.DUMMYFUNCTION("MAX(FILTER($H$2:$H369,$E$2:$E369=F313))"),"#N/A")</f>
        <v>#N/A</v>
      </c>
    </row>
    <row r="314">
      <c r="A314" s="4"/>
      <c r="C314" s="4" t="s">
        <v>2936</v>
      </c>
      <c r="D314" s="4" t="str">
        <f t="shared" si="1"/>
        <v>{"valorA":"loja","valorB":1}</v>
      </c>
      <c r="E314" s="8" t="str">
        <f t="shared" si="2"/>
        <v>loja</v>
      </c>
      <c r="F314" s="8"/>
      <c r="G314" s="8" t="str">
        <f t="shared" si="3"/>
        <v>1</v>
      </c>
      <c r="H314" s="9">
        <f t="shared" si="4"/>
        <v>1</v>
      </c>
      <c r="I314" s="6" t="str">
        <f>IFERROR(__xludf.DUMMYFUNCTION("MAX(FILTER($H$2:$H369,$E$2:$E369=F314))"),"#N/A")</f>
        <v>#N/A</v>
      </c>
    </row>
    <row r="315">
      <c r="A315" s="4"/>
      <c r="C315" s="4" t="s">
        <v>2937</v>
      </c>
      <c r="D315" s="4" t="str">
        <f t="shared" si="1"/>
        <v>{"valorA":"dessa","valorB":1}</v>
      </c>
      <c r="E315" s="8" t="str">
        <f t="shared" si="2"/>
        <v>dessa</v>
      </c>
      <c r="F315" s="8"/>
      <c r="G315" s="8" t="str">
        <f t="shared" si="3"/>
        <v>1</v>
      </c>
      <c r="H315" s="9">
        <f t="shared" si="4"/>
        <v>1</v>
      </c>
      <c r="I315" s="6" t="str">
        <f>IFERROR(__xludf.DUMMYFUNCTION("MAX(FILTER($H$2:$H369,$E$2:$E369=F315))"),"#N/A")</f>
        <v>#N/A</v>
      </c>
    </row>
    <row r="316">
      <c r="A316" s="4"/>
      <c r="C316" s="4" t="s">
        <v>2938</v>
      </c>
      <c r="D316" s="4" t="str">
        <f t="shared" si="1"/>
        <v>{"valorA":"produto","valorB":28}</v>
      </c>
      <c r="E316" s="8" t="str">
        <f t="shared" si="2"/>
        <v>produto</v>
      </c>
      <c r="F316" s="8"/>
      <c r="G316" s="8" t="str">
        <f t="shared" si="3"/>
        <v>28</v>
      </c>
      <c r="H316" s="9">
        <f t="shared" si="4"/>
        <v>28</v>
      </c>
      <c r="I316" s="6" t="str">
        <f>IFERROR(__xludf.DUMMYFUNCTION("MAX(FILTER($H$2:$H369,$E$2:$E369=F316))"),"#N/A")</f>
        <v>#N/A</v>
      </c>
    </row>
    <row r="317">
      <c r="A317" s="4"/>
      <c r="C317" s="4" t="s">
        <v>2939</v>
      </c>
      <c r="D317" s="4" t="str">
        <f t="shared" si="1"/>
        <v>{"valorA":"online","valorB":1}</v>
      </c>
      <c r="E317" s="8" t="str">
        <f t="shared" si="2"/>
        <v>online</v>
      </c>
      <c r="F317" s="8"/>
      <c r="G317" s="8" t="str">
        <f t="shared" si="3"/>
        <v>1</v>
      </c>
      <c r="H317" s="9">
        <f t="shared" si="4"/>
        <v>1</v>
      </c>
      <c r="I317" s="6" t="str">
        <f>IFERROR(__xludf.DUMMYFUNCTION("MAX(FILTER($H$2:$H369,$E$2:$E369=F317))"),"#N/A")</f>
        <v>#N/A</v>
      </c>
    </row>
    <row r="318">
      <c r="A318" s="4"/>
      <c r="C318" s="4" t="s">
        <v>2940</v>
      </c>
      <c r="D318" s="4" t="str">
        <f t="shared" si="1"/>
        <v>{"valorA":"muito","valorB":11}</v>
      </c>
      <c r="E318" s="8" t="str">
        <f t="shared" si="2"/>
        <v>muito</v>
      </c>
      <c r="F318" s="8"/>
      <c r="G318" s="8" t="str">
        <f t="shared" si="3"/>
        <v>11</v>
      </c>
      <c r="H318" s="9">
        <f t="shared" si="4"/>
        <v>11</v>
      </c>
      <c r="I318" s="6" t="str">
        <f>IFERROR(__xludf.DUMMYFUNCTION("MAX(FILTER($H$2:$H369,$E$2:$E369=F318))"),"#N/A")</f>
        <v>#N/A</v>
      </c>
    </row>
    <row r="319">
      <c r="A319" s="4"/>
      <c r="C319" s="4" t="s">
        <v>2941</v>
      </c>
      <c r="D319" s="4" t="str">
        <f t="shared" si="1"/>
        <v>{"valorA":"gosto","valorB":2}</v>
      </c>
      <c r="E319" s="8" t="str">
        <f t="shared" si="2"/>
        <v>gosto</v>
      </c>
      <c r="F319" s="8"/>
      <c r="G319" s="8" t="str">
        <f t="shared" si="3"/>
        <v>2</v>
      </c>
      <c r="H319" s="9">
        <f t="shared" si="4"/>
        <v>2</v>
      </c>
      <c r="I319" s="6" t="str">
        <f>IFERROR(__xludf.DUMMYFUNCTION("MAX(FILTER($H$2:$H369,$E$2:$E369=F319))"),"#N/A")</f>
        <v>#N/A</v>
      </c>
    </row>
    <row r="320">
      <c r="A320" s="4"/>
      <c r="C320" s="4" t="s">
        <v>2942</v>
      </c>
      <c r="D320" s="4" t="str">
        <f t="shared" si="1"/>
        <v>{"valorA":"o","valorB":7}</v>
      </c>
      <c r="E320" s="8" t="str">
        <f t="shared" si="2"/>
        <v>o</v>
      </c>
      <c r="F320" s="8"/>
      <c r="G320" s="8" t="str">
        <f t="shared" si="3"/>
        <v>7</v>
      </c>
      <c r="H320" s="9">
        <f t="shared" si="4"/>
        <v>7</v>
      </c>
      <c r="I320" s="6" t="str">
        <f>IFERROR(__xludf.DUMMYFUNCTION("MAX(FILTER($H$2:$H369,$E$2:$E369=F320))"),"#N/A")</f>
        <v>#N/A</v>
      </c>
    </row>
    <row r="321">
      <c r="A321" s="4"/>
      <c r="C321" s="4" t="s">
        <v>2943</v>
      </c>
      <c r="D321" s="4" t="str">
        <f t="shared" si="1"/>
        <v>{"valorA":"é","valorB":9}</v>
      </c>
      <c r="E321" s="8" t="str">
        <f t="shared" si="2"/>
        <v>é</v>
      </c>
      <c r="F321" s="8"/>
      <c r="G321" s="8" t="str">
        <f t="shared" si="3"/>
        <v>9</v>
      </c>
      <c r="H321" s="9">
        <f t="shared" si="4"/>
        <v>9</v>
      </c>
      <c r="I321" s="6" t="str">
        <f>IFERROR(__xludf.DUMMYFUNCTION("MAX(FILTER($H$2:$H369,$E$2:$E369=F321))"),"#N/A")</f>
        <v>#N/A</v>
      </c>
    </row>
    <row r="322">
      <c r="A322" s="4"/>
      <c r="C322" s="4" t="s">
        <v>2944</v>
      </c>
      <c r="D322" s="4" t="str">
        <f t="shared" si="1"/>
        <v>{"valorA":"produto","valorB":29}</v>
      </c>
      <c r="E322" s="8" t="str">
        <f t="shared" si="2"/>
        <v>produto</v>
      </c>
      <c r="F322" s="8"/>
      <c r="G322" s="8" t="str">
        <f t="shared" si="3"/>
        <v>29</v>
      </c>
      <c r="H322" s="9">
        <f t="shared" si="4"/>
        <v>29</v>
      </c>
      <c r="I322" s="6" t="str">
        <f>IFERROR(__xludf.DUMMYFUNCTION("MAX(FILTER($H$2:$H369,$E$2:$E369=F322))"),"#N/A")</f>
        <v>#N/A</v>
      </c>
    </row>
    <row r="323">
      <c r="A323" s="4"/>
      <c r="C323" s="4" t="s">
        <v>2945</v>
      </c>
      <c r="D323" s="4" t="str">
        <f t="shared" si="1"/>
        <v>{"valorA":"ótimo","valorB":44}</v>
      </c>
      <c r="E323" s="8" t="str">
        <f t="shared" si="2"/>
        <v>ótimo</v>
      </c>
      <c r="F323" s="8"/>
      <c r="G323" s="8" t="str">
        <f t="shared" si="3"/>
        <v>44</v>
      </c>
      <c r="H323" s="9">
        <f t="shared" si="4"/>
        <v>44</v>
      </c>
      <c r="I323" s="6" t="str">
        <f>IFERROR(__xludf.DUMMYFUNCTION("MAX(FILTER($H$2:$H369,$E$2:$E369=F323))"),"#N/A")</f>
        <v>#N/A</v>
      </c>
    </row>
    <row r="324">
      <c r="A324" s="4"/>
      <c r="C324" s="4" t="s">
        <v>2946</v>
      </c>
      <c r="D324" s="4" t="str">
        <f t="shared" si="1"/>
        <v>{"valorA":"melhor","valorB":2}</v>
      </c>
      <c r="E324" s="8" t="str">
        <f t="shared" si="2"/>
        <v>melhor</v>
      </c>
      <c r="F324" s="8"/>
      <c r="G324" s="8" t="str">
        <f t="shared" si="3"/>
        <v>2</v>
      </c>
      <c r="H324" s="9">
        <f t="shared" si="4"/>
        <v>2</v>
      </c>
      <c r="I324" s="6" t="str">
        <f>IFERROR(__xludf.DUMMYFUNCTION("MAX(FILTER($H$2:$H369,$E$2:$E369=F324))"),"#N/A")</f>
        <v>#N/A</v>
      </c>
    </row>
    <row r="325">
      <c r="A325" s="4"/>
      <c r="C325" s="4" t="s">
        <v>2947</v>
      </c>
      <c r="D325" s="4" t="str">
        <f t="shared" si="1"/>
        <v>{"valorA":"da","valorB":2}</v>
      </c>
      <c r="E325" s="8" t="str">
        <f t="shared" si="2"/>
        <v>da</v>
      </c>
      <c r="F325" s="8"/>
      <c r="G325" s="8" t="str">
        <f t="shared" si="3"/>
        <v>2</v>
      </c>
      <c r="H325" s="9">
        <f t="shared" si="4"/>
        <v>2</v>
      </c>
      <c r="I325" s="6" t="str">
        <f>IFERROR(__xludf.DUMMYFUNCTION("MAX(FILTER($H$2:$H369,$E$2:$E369=F325))"),"#N/A")</f>
        <v>#N/A</v>
      </c>
    </row>
    <row r="326">
      <c r="A326" s="4"/>
      <c r="C326" s="4" t="s">
        <v>2948</v>
      </c>
      <c r="D326" s="4" t="str">
        <f t="shared" si="1"/>
        <v>{"valorA":"categoría","valorB":1}</v>
      </c>
      <c r="E326" s="8" t="str">
        <f t="shared" si="2"/>
        <v>categoría</v>
      </c>
      <c r="F326" s="8"/>
      <c r="G326" s="8" t="str">
        <f t="shared" si="3"/>
        <v>1</v>
      </c>
      <c r="H326" s="9">
        <f t="shared" si="4"/>
        <v>1</v>
      </c>
      <c r="I326" s="6" t="str">
        <f>IFERROR(__xludf.DUMMYFUNCTION("MAX(FILTER($H$2:$H369,$E$2:$E369=F326))"),"#N/A")</f>
        <v>#N/A</v>
      </c>
    </row>
    <row r="327">
      <c r="A327" s="4"/>
      <c r="C327" s="4" t="s">
        <v>2949</v>
      </c>
      <c r="D327" s="4" t="str">
        <f t="shared" si="1"/>
        <v>{"valorA":"é","valorB":10}</v>
      </c>
      <c r="E327" s="8" t="str">
        <f t="shared" si="2"/>
        <v>é</v>
      </c>
      <c r="F327" s="8"/>
      <c r="G327" s="8" t="str">
        <f t="shared" si="3"/>
        <v>10</v>
      </c>
      <c r="H327" s="9">
        <f t="shared" si="4"/>
        <v>10</v>
      </c>
      <c r="I327" s="6" t="str">
        <f>IFERROR(__xludf.DUMMYFUNCTION("MAX(FILTER($H$2:$H369,$E$2:$E369=F327))"),"#N/A")</f>
        <v>#N/A</v>
      </c>
    </row>
    <row r="328">
      <c r="A328" s="4"/>
      <c r="C328" s="4" t="s">
        <v>2950</v>
      </c>
      <c r="D328" s="4" t="str">
        <f t="shared" si="1"/>
        <v>{"valorA":"meu","valorB":4}</v>
      </c>
      <c r="E328" s="8" t="str">
        <f t="shared" si="2"/>
        <v>meu</v>
      </c>
      <c r="F328" s="8"/>
      <c r="G328" s="8" t="str">
        <f t="shared" si="3"/>
        <v>4</v>
      </c>
      <c r="H328" s="9">
        <f t="shared" si="4"/>
        <v>4</v>
      </c>
      <c r="I328" s="6" t="str">
        <f>IFERROR(__xludf.DUMMYFUNCTION("MAX(FILTER($H$2:$H369,$E$2:$E369=F328))"),"#N/A")</f>
        <v>#N/A</v>
      </c>
    </row>
    <row r="329">
      <c r="A329" s="4"/>
      <c r="C329" s="4" t="s">
        <v>2951</v>
      </c>
      <c r="D329" s="4" t="str">
        <f t="shared" si="1"/>
        <v>{"valorA":"carro","valorB":2}</v>
      </c>
      <c r="E329" s="8" t="str">
        <f t="shared" si="2"/>
        <v>carro</v>
      </c>
      <c r="F329" s="8"/>
      <c r="G329" s="8" t="str">
        <f t="shared" si="3"/>
        <v>2</v>
      </c>
      <c r="H329" s="9">
        <f t="shared" si="4"/>
        <v>2</v>
      </c>
      <c r="I329" s="6" t="str">
        <f>IFERROR(__xludf.DUMMYFUNCTION("MAX(FILTER($H$2:$H369,$E$2:$E369=F329))"),"#N/A")</f>
        <v>#N/A</v>
      </c>
    </row>
    <row r="330">
      <c r="A330" s="4"/>
      <c r="C330" s="4" t="s">
        <v>2952</v>
      </c>
      <c r="D330" s="4" t="str">
        <f t="shared" si="1"/>
        <v>{"valorA":"novo","valorB":1}</v>
      </c>
      <c r="E330" s="8" t="str">
        <f t="shared" si="2"/>
        <v>novo</v>
      </c>
      <c r="F330" s="8"/>
      <c r="G330" s="8" t="str">
        <f t="shared" si="3"/>
        <v>1</v>
      </c>
      <c r="H330" s="9">
        <f t="shared" si="4"/>
        <v>1</v>
      </c>
      <c r="I330" s="6" t="str">
        <f>IFERROR(__xludf.DUMMYFUNCTION("MAX(FILTER($H$2:$H369,$E$2:$E369=F330))"),"#N/A")</f>
        <v>#N/A</v>
      </c>
    </row>
    <row r="331">
      <c r="A331" s="4"/>
      <c r="C331" s="4" t="s">
        <v>2953</v>
      </c>
      <c r="D331" s="4" t="str">
        <f t="shared" si="1"/>
        <v>{"valorA":"muito","valorB":12}</v>
      </c>
      <c r="E331" s="8" t="str">
        <f t="shared" si="2"/>
        <v>muito</v>
      </c>
      <c r="F331" s="8"/>
      <c r="G331" s="8" t="str">
        <f t="shared" si="3"/>
        <v>12</v>
      </c>
      <c r="H331" s="9">
        <f t="shared" si="4"/>
        <v>12</v>
      </c>
      <c r="I331" s="6" t="str">
        <f>IFERROR(__xludf.DUMMYFUNCTION("MAX(FILTER($H$2:$H369,$E$2:$E369=F331))"),"#N/A")</f>
        <v>#N/A</v>
      </c>
    </row>
    <row r="332">
      <c r="A332" s="4"/>
      <c r="C332" s="4" t="s">
        <v>2954</v>
      </c>
      <c r="D332" s="4" t="str">
        <f t="shared" si="1"/>
        <v>{"valorA":"satisfeito","valorB":4}</v>
      </c>
      <c r="E332" s="8" t="str">
        <f t="shared" si="2"/>
        <v>satisfeito</v>
      </c>
      <c r="F332" s="8"/>
      <c r="G332" s="8" t="str">
        <f t="shared" si="3"/>
        <v>4</v>
      </c>
      <c r="H332" s="9">
        <f t="shared" si="4"/>
        <v>4</v>
      </c>
      <c r="I332" s="6" t="str">
        <f>IFERROR(__xludf.DUMMYFUNCTION("MAX(FILTER($H$2:$H369,$E$2:$E369=F332))"),"#N/A")</f>
        <v>#N/A</v>
      </c>
    </row>
    <row r="333">
      <c r="A333" s="4"/>
      <c r="C333" s="4" t="s">
        <v>2955</v>
      </c>
      <c r="D333" s="4" t="str">
        <f t="shared" si="1"/>
        <v>{"valorA":"a","valorB":8}</v>
      </c>
      <c r="E333" s="8" t="str">
        <f t="shared" si="2"/>
        <v>a</v>
      </c>
      <c r="F333" s="8"/>
      <c r="G333" s="8" t="str">
        <f t="shared" si="3"/>
        <v>8</v>
      </c>
      <c r="H333" s="9">
        <f t="shared" si="4"/>
        <v>8</v>
      </c>
      <c r="I333" s="6" t="str">
        <f>IFERROR(__xludf.DUMMYFUNCTION("MAX(FILTER($H$2:$H369,$E$2:$E369=F333))"),"#N/A")</f>
        <v>#N/A</v>
      </c>
    </row>
    <row r="334">
      <c r="A334" s="4"/>
      <c r="C334" s="4" t="s">
        <v>2956</v>
      </c>
      <c r="D334" s="4" t="str">
        <f t="shared" si="1"/>
        <v>{"valorA":"com","valorB":4}</v>
      </c>
      <c r="E334" s="8" t="str">
        <f t="shared" si="2"/>
        <v>com</v>
      </c>
      <c r="F334" s="8"/>
      <c r="G334" s="8" t="str">
        <f t="shared" si="3"/>
        <v>4</v>
      </c>
      <c r="H334" s="9">
        <f t="shared" si="4"/>
        <v>4</v>
      </c>
      <c r="I334" s="6" t="str">
        <f>IFERROR(__xludf.DUMMYFUNCTION("MAX(FILTER($H$2:$H369,$E$2:$E369=F334))"),"#N/A")</f>
        <v>#N/A</v>
      </c>
    </row>
    <row r="335">
      <c r="A335" s="4"/>
      <c r="C335" s="4" t="s">
        <v>2957</v>
      </c>
      <c r="D335" s="4" t="str">
        <f t="shared" si="1"/>
        <v>{"valorA":"incrível","valorB":3}</v>
      </c>
      <c r="E335" s="8" t="str">
        <f t="shared" si="2"/>
        <v>incrível</v>
      </c>
      <c r="F335" s="8"/>
      <c r="G335" s="8" t="str">
        <f t="shared" si="3"/>
        <v>3</v>
      </c>
      <c r="H335" s="9">
        <f t="shared" si="4"/>
        <v>3</v>
      </c>
      <c r="I335" s="6" t="str">
        <f>IFERROR(__xludf.DUMMYFUNCTION("MAX(FILTER($H$2:$H369,$E$2:$E369=F335))"),"#N/A")</f>
        <v>#N/A</v>
      </c>
    </row>
    <row r="336">
      <c r="A336" s="4"/>
      <c r="C336" s="4" t="s">
        <v>2958</v>
      </c>
      <c r="D336" s="4" t="str">
        <f t="shared" si="1"/>
        <v>{"valorA":"compra","valorB":4}</v>
      </c>
      <c r="E336" s="8" t="str">
        <f t="shared" si="2"/>
        <v>compra</v>
      </c>
      <c r="F336" s="8"/>
      <c r="G336" s="8" t="str">
        <f t="shared" si="3"/>
        <v>4</v>
      </c>
      <c r="H336" s="9">
        <f t="shared" si="4"/>
        <v>4</v>
      </c>
      <c r="I336" s="6" t="str">
        <f>IFERROR(__xludf.DUMMYFUNCTION("MAX(FILTER($H$2:$H369,$E$2:$E369=F336))"),"#N/A")</f>
        <v>#N/A</v>
      </c>
    </row>
    <row r="337">
      <c r="A337" s="4"/>
      <c r="C337" s="4" t="s">
        <v>2959</v>
      </c>
      <c r="D337" s="4" t="str">
        <f t="shared" si="1"/>
        <v>{"valorA":"produto","valorB":30}</v>
      </c>
      <c r="E337" s="8" t="str">
        <f t="shared" si="2"/>
        <v>produto</v>
      </c>
      <c r="F337" s="8"/>
      <c r="G337" s="8" t="str">
        <f t="shared" si="3"/>
        <v>30</v>
      </c>
      <c r="H337" s="9">
        <f t="shared" si="4"/>
        <v>30</v>
      </c>
      <c r="I337" s="6" t="str">
        <f>IFERROR(__xludf.DUMMYFUNCTION("MAX(FILTER($H$2:$H369,$E$2:$E369=F337))"),"#N/A")</f>
        <v>#N/A</v>
      </c>
    </row>
    <row r="338">
      <c r="A338" s="4"/>
      <c r="C338" s="4" t="s">
        <v>2960</v>
      </c>
      <c r="D338" s="4" t="str">
        <f t="shared" si="1"/>
        <v>{"valorA":"realmente","valorB":2}</v>
      </c>
      <c r="E338" s="8" t="str">
        <f t="shared" si="2"/>
        <v>realmente</v>
      </c>
      <c r="F338" s="8"/>
      <c r="G338" s="8" t="str">
        <f t="shared" si="3"/>
        <v>2</v>
      </c>
      <c r="H338" s="9">
        <f t="shared" si="4"/>
        <v>2</v>
      </c>
      <c r="I338" s="6" t="str">
        <f>IFERROR(__xludf.DUMMYFUNCTION("MAX(FILTER($H$2:$H369,$E$2:$E369=F338))"),"#N/A")</f>
        <v>#N/A</v>
      </c>
    </row>
    <row r="339">
      <c r="A339" s="4"/>
      <c r="C339" s="4" t="s">
        <v>2961</v>
      </c>
      <c r="D339" s="4" t="str">
        <f t="shared" si="1"/>
        <v>{"valorA":"ótimo","valorB":45}</v>
      </c>
      <c r="E339" s="8" t="str">
        <f t="shared" si="2"/>
        <v>ótimo</v>
      </c>
      <c r="F339" s="8"/>
      <c r="G339" s="8" t="str">
        <f t="shared" si="3"/>
        <v>45</v>
      </c>
      <c r="H339" s="9">
        <f t="shared" si="4"/>
        <v>45</v>
      </c>
      <c r="I339" s="6" t="str">
        <f>IFERROR(__xludf.DUMMYFUNCTION("MAX(FILTER($H$2:$H369,$E$2:$E369=F339))"),"#N/A")</f>
        <v>#N/A</v>
      </c>
    </row>
    <row r="340">
      <c r="A340" s="4"/>
      <c r="C340" s="4" t="s">
        <v>2962</v>
      </c>
      <c r="D340" s="4" t="str">
        <f t="shared" si="1"/>
        <v>{"valorA":"adorei","valorB":2}</v>
      </c>
      <c r="E340" s="8" t="str">
        <f t="shared" si="2"/>
        <v>adorei</v>
      </c>
      <c r="F340" s="8"/>
      <c r="G340" s="8" t="str">
        <f t="shared" si="3"/>
        <v>2</v>
      </c>
      <c r="H340" s="9">
        <f t="shared" si="4"/>
        <v>2</v>
      </c>
      <c r="I340" s="6" t="str">
        <f>IFERROR(__xludf.DUMMYFUNCTION("MAX(FILTER($H$2:$H369,$E$2:$E369=F340))"),"#N/A")</f>
        <v>#N/A</v>
      </c>
    </row>
    <row r="341">
      <c r="A341" s="4"/>
      <c r="C341" s="4" t="s">
        <v>2963</v>
      </c>
      <c r="D341" s="4" t="str">
        <f t="shared" si="1"/>
        <v>{"valorA":"útil","valorB":1}</v>
      </c>
      <c r="E341" s="8" t="str">
        <f t="shared" si="2"/>
        <v>útil</v>
      </c>
      <c r="F341" s="8"/>
      <c r="G341" s="8" t="str">
        <f t="shared" si="3"/>
        <v>1</v>
      </c>
      <c r="H341" s="9">
        <f t="shared" si="4"/>
        <v>1</v>
      </c>
      <c r="I341" s="6" t="str">
        <f>IFERROR(__xludf.DUMMYFUNCTION("MAX(FILTER($H$2:$H369,$E$2:$E369=F341))"),"#N/A")</f>
        <v>#N/A</v>
      </c>
    </row>
    <row r="342">
      <c r="A342" s="4"/>
      <c r="C342" s="4" t="s">
        <v>2964</v>
      </c>
      <c r="D342" s="4" t="str">
        <f t="shared" si="1"/>
        <v>{"valorA":"é","valorB":11}</v>
      </c>
      <c r="E342" s="8" t="str">
        <f t="shared" si="2"/>
        <v>é</v>
      </c>
      <c r="F342" s="8"/>
      <c r="G342" s="8" t="str">
        <f t="shared" si="3"/>
        <v>11</v>
      </c>
      <c r="H342" s="9">
        <f t="shared" si="4"/>
        <v>11</v>
      </c>
      <c r="I342" s="6" t="str">
        <f>IFERROR(__xludf.DUMMYFUNCTION("MAX(FILTER($H$2:$H369,$E$2:$E369=F342))"),"#N/A")</f>
        <v>#N/A</v>
      </c>
    </row>
    <row r="343">
      <c r="A343" s="4"/>
      <c r="C343" s="4" t="s">
        <v>2965</v>
      </c>
      <c r="D343" s="4" t="str">
        <f t="shared" si="1"/>
        <v>{"valorA":"incrível","valorB":4}</v>
      </c>
      <c r="E343" s="8" t="str">
        <f t="shared" si="2"/>
        <v>incrível</v>
      </c>
      <c r="F343" s="8"/>
      <c r="G343" s="8" t="str">
        <f t="shared" si="3"/>
        <v>4</v>
      </c>
      <c r="H343" s="9">
        <f t="shared" si="4"/>
        <v>4</v>
      </c>
      <c r="I343" s="6" t="str">
        <f>IFERROR(__xludf.DUMMYFUNCTION("MAX(FILTER($H$2:$H369,$E$2:$E369=F343))"),"#N/A")</f>
        <v>#N/A</v>
      </c>
    </row>
    <row r="344">
      <c r="A344" s="4"/>
      <c r="C344" s="4" t="s">
        <v>2966</v>
      </c>
      <c r="D344" s="4" t="str">
        <f t="shared" si="1"/>
        <v>{"valorA":"carro","valorB":3}</v>
      </c>
      <c r="E344" s="8" t="str">
        <f t="shared" si="2"/>
        <v>carro</v>
      </c>
      <c r="F344" s="8"/>
      <c r="G344" s="8" t="str">
        <f t="shared" si="3"/>
        <v>3</v>
      </c>
      <c r="H344" s="9">
        <f t="shared" si="4"/>
        <v>3</v>
      </c>
      <c r="I344" s="6" t="str">
        <f>IFERROR(__xludf.DUMMYFUNCTION("MAX(FILTER($H$2:$H369,$E$2:$E369=F344))"),"#N/A")</f>
        <v>#N/A</v>
      </c>
    </row>
    <row r="345">
      <c r="A345" s="4"/>
      <c r="C345" s="4" t="s">
        <v>2967</v>
      </c>
      <c r="D345" s="4" t="str">
        <f t="shared" si="1"/>
        <v>{"valorA":"meu","valorB":5}</v>
      </c>
      <c r="E345" s="8" t="str">
        <f t="shared" si="2"/>
        <v>meu</v>
      </c>
      <c r="F345" s="8"/>
      <c r="G345" s="8" t="str">
        <f t="shared" si="3"/>
        <v>5</v>
      </c>
      <c r="H345" s="9">
        <f t="shared" si="4"/>
        <v>5</v>
      </c>
      <c r="I345" s="6" t="str">
        <f>IFERROR(__xludf.DUMMYFUNCTION("MAX(FILTER($H$2:$H369,$E$2:$E369=F345))"),"#N/A")</f>
        <v>#N/A</v>
      </c>
    </row>
    <row r="346">
      <c r="A346" s="4"/>
      <c r="C346" s="4" t="s">
        <v>2968</v>
      </c>
      <c r="D346" s="4" t="str">
        <f t="shared" si="1"/>
        <v>{"valorA":"perfeito","valorB":2}</v>
      </c>
      <c r="E346" s="8" t="str">
        <f t="shared" si="2"/>
        <v>perfeito</v>
      </c>
      <c r="F346" s="8"/>
      <c r="G346" s="8" t="str">
        <f t="shared" si="3"/>
        <v>2</v>
      </c>
      <c r="H346" s="9">
        <f t="shared" si="4"/>
        <v>2</v>
      </c>
      <c r="I346" s="6" t="str">
        <f>IFERROR(__xludf.DUMMYFUNCTION("MAX(FILTER($H$2:$H369,$E$2:$E369=F346))"),"#N/A")</f>
        <v>#N/A</v>
      </c>
    </row>
    <row r="347">
      <c r="A347" s="4"/>
      <c r="C347" s="4" t="s">
        <v>2969</v>
      </c>
      <c r="D347" s="4" t="str">
        <f t="shared" si="1"/>
        <v>{"valorA":"para","valorB":10}</v>
      </c>
      <c r="E347" s="8" t="str">
        <f t="shared" si="2"/>
        <v>para</v>
      </c>
      <c r="F347" s="8"/>
      <c r="G347" s="8" t="str">
        <f t="shared" si="3"/>
        <v>10</v>
      </c>
      <c r="H347" s="9">
        <f t="shared" si="4"/>
        <v>10</v>
      </c>
      <c r="I347" s="6" t="str">
        <f>IFERROR(__xludf.DUMMYFUNCTION("MAX(FILTER($H$2:$H369,$E$2:$E369=F347))"),"#N/A")</f>
        <v>#N/A</v>
      </c>
    </row>
    <row r="348">
      <c r="A348" s="4"/>
      <c r="C348" s="4" t="s">
        <v>2970</v>
      </c>
      <c r="D348" s="4" t="str">
        <f t="shared" si="1"/>
        <v>{"valorA":"mim","valorB":4}</v>
      </c>
      <c r="E348" s="8" t="str">
        <f t="shared" si="2"/>
        <v>mim</v>
      </c>
      <c r="F348" s="8"/>
      <c r="G348" s="8" t="str">
        <f t="shared" si="3"/>
        <v>4</v>
      </c>
      <c r="H348" s="9">
        <f t="shared" si="4"/>
        <v>4</v>
      </c>
      <c r="I348" s="6" t="str">
        <f>IFERROR(__xludf.DUMMYFUNCTION("MAX(FILTER($H$2:$H369,$E$2:$E369=F348))"),"#N/A")</f>
        <v>#N/A</v>
      </c>
    </row>
    <row r="349">
      <c r="A349" s="4"/>
      <c r="C349" s="4" t="s">
        <v>2971</v>
      </c>
      <c r="D349" s="4" t="str">
        <f t="shared" si="1"/>
        <v>{"valorA":"ótimo","valorB":46}</v>
      </c>
      <c r="E349" s="8" t="str">
        <f t="shared" si="2"/>
        <v>ótimo</v>
      </c>
      <c r="F349" s="8"/>
      <c r="G349" s="8" t="str">
        <f t="shared" si="3"/>
        <v>46</v>
      </c>
      <c r="H349" s="9">
        <f t="shared" si="4"/>
        <v>46</v>
      </c>
      <c r="I349" s="6" t="str">
        <f>IFERROR(__xludf.DUMMYFUNCTION("MAX(FILTER($H$2:$H369,$E$2:$E369=F349))"),"#N/A")</f>
        <v>#N/A</v>
      </c>
    </row>
    <row r="350">
      <c r="A350" s="4"/>
      <c r="C350" s="4" t="s">
        <v>2972</v>
      </c>
      <c r="D350" s="4" t="str">
        <f t="shared" si="1"/>
        <v>{"valorA":"relojoeira","valorB":4}</v>
      </c>
      <c r="E350" s="8" t="str">
        <f t="shared" si="2"/>
        <v>relojoeira</v>
      </c>
      <c r="F350" s="8"/>
      <c r="G350" s="8" t="str">
        <f t="shared" si="3"/>
        <v>4</v>
      </c>
      <c r="H350" s="9">
        <f t="shared" si="4"/>
        <v>4</v>
      </c>
      <c r="I350" s="6" t="str">
        <f>IFERROR(__xludf.DUMMYFUNCTION("MAX(FILTER($H$2:$H369,$E$2:$E369=F350))"),"#N/A")</f>
        <v>#N/A</v>
      </c>
    </row>
    <row r="351">
      <c r="A351" s="4"/>
      <c r="C351" s="4" t="s">
        <v>2973</v>
      </c>
      <c r="D351" s="4" t="str">
        <f t="shared" si="1"/>
        <v>{"valorA":"adorei","valorB":3}</v>
      </c>
      <c r="E351" s="8" t="str">
        <f t="shared" si="2"/>
        <v>adorei</v>
      </c>
      <c r="F351" s="8"/>
      <c r="G351" s="8" t="str">
        <f t="shared" si="3"/>
        <v>3</v>
      </c>
      <c r="H351" s="9">
        <f t="shared" si="4"/>
        <v>3</v>
      </c>
      <c r="I351" s="6" t="str">
        <f>IFERROR(__xludf.DUMMYFUNCTION("MAX(FILTER($H$2:$H369,$E$2:$E369=F351))"),"#N/A")</f>
        <v>#N/A</v>
      </c>
    </row>
    <row r="352">
      <c r="A352" s="4"/>
      <c r="C352" s="4" t="s">
        <v>2974</v>
      </c>
      <c r="D352" s="4" t="str">
        <f t="shared" si="1"/>
        <v>{"valorA":"produto","valorB":31}</v>
      </c>
      <c r="E352" s="8" t="str">
        <f t="shared" si="2"/>
        <v>produto</v>
      </c>
      <c r="F352" s="8"/>
      <c r="G352" s="8" t="str">
        <f t="shared" si="3"/>
        <v>31</v>
      </c>
      <c r="H352" s="9">
        <f t="shared" si="4"/>
        <v>31</v>
      </c>
      <c r="I352" s="6" t="str">
        <f>IFERROR(__xludf.DUMMYFUNCTION("MAX(FILTER($H$2:$H369,$E$2:$E369=F352))"),"#N/A")</f>
        <v>#N/A</v>
      </c>
    </row>
    <row r="353">
      <c r="A353" s="4"/>
      <c r="C353" s="4" t="s">
        <v>2975</v>
      </c>
      <c r="D353" s="4" t="str">
        <f t="shared" si="1"/>
        <v>{"valorA":"é","valorB":12}</v>
      </c>
      <c r="E353" s="8" t="str">
        <f t="shared" si="2"/>
        <v>é</v>
      </c>
      <c r="F353" s="8"/>
      <c r="G353" s="8" t="str">
        <f t="shared" si="3"/>
        <v>12</v>
      </c>
      <c r="H353" s="9">
        <f t="shared" si="4"/>
        <v>12</v>
      </c>
      <c r="I353" s="6" t="str">
        <f>IFERROR(__xludf.DUMMYFUNCTION("MAX(FILTER($H$2:$H369,$E$2:$E369=F353))"),"#N/A")</f>
        <v>#N/A</v>
      </c>
    </row>
    <row r="354">
      <c r="A354" s="4"/>
      <c r="C354" s="4" t="s">
        <v>2976</v>
      </c>
      <c r="D354" s="4" t="str">
        <f t="shared" si="1"/>
        <v>{"valorA":"realmente","valorB":3}</v>
      </c>
      <c r="E354" s="8" t="str">
        <f t="shared" si="2"/>
        <v>realmente</v>
      </c>
      <c r="F354" s="8"/>
      <c r="G354" s="8" t="str">
        <f t="shared" si="3"/>
        <v>3</v>
      </c>
      <c r="H354" s="9">
        <f t="shared" si="4"/>
        <v>3</v>
      </c>
      <c r="I354" s="6" t="str">
        <f>IFERROR(__xludf.DUMMYFUNCTION("MAX(FILTER($H$2:$H369,$E$2:$E369=F354))"),"#N/A")</f>
        <v>#N/A</v>
      </c>
    </row>
    <row r="355">
      <c r="A355" s="4"/>
      <c r="C355" s="4" t="s">
        <v>2977</v>
      </c>
      <c r="D355" s="4" t="str">
        <f t="shared" si="1"/>
        <v>{"valorA":"ótimo","valorB":47}</v>
      </c>
      <c r="E355" s="8" t="str">
        <f t="shared" si="2"/>
        <v>ótimo</v>
      </c>
      <c r="F355" s="8"/>
      <c r="G355" s="8" t="str">
        <f t="shared" si="3"/>
        <v>47</v>
      </c>
      <c r="H355" s="9">
        <f t="shared" si="4"/>
        <v>47</v>
      </c>
      <c r="I355" s="6" t="str">
        <f>IFERROR(__xludf.DUMMYFUNCTION("MAX(FILTER($H$2:$H369,$E$2:$E369=F355))"),"#N/A")</f>
        <v>#N/A</v>
      </c>
    </row>
    <row r="356">
      <c r="A356" s="4"/>
      <c r="C356" s="4" t="s">
        <v>2978</v>
      </c>
      <c r="D356" s="4" t="str">
        <f t="shared" si="1"/>
        <v>{"valorA":"é","valorB":13}</v>
      </c>
      <c r="E356" s="8" t="str">
        <f t="shared" si="2"/>
        <v>é</v>
      </c>
      <c r="F356" s="8"/>
      <c r="G356" s="8" t="str">
        <f t="shared" si="3"/>
        <v>13</v>
      </c>
      <c r="H356" s="9">
        <f t="shared" si="4"/>
        <v>13</v>
      </c>
      <c r="I356" s="6" t="str">
        <f>IFERROR(__xludf.DUMMYFUNCTION("MAX(FILTER($H$2:$H369,$E$2:$E369=F356))"),"#N/A")</f>
        <v>#N/A</v>
      </c>
    </row>
    <row r="357">
      <c r="A357" s="4"/>
      <c r="C357" s="4" t="s">
        <v>2979</v>
      </c>
      <c r="D357" s="4" t="str">
        <f t="shared" si="1"/>
        <v>{"valorA":"incrível","valorB":5}</v>
      </c>
      <c r="E357" s="8" t="str">
        <f t="shared" si="2"/>
        <v>incrível</v>
      </c>
      <c r="F357" s="8"/>
      <c r="G357" s="8" t="str">
        <f t="shared" si="3"/>
        <v>5</v>
      </c>
      <c r="H357" s="9">
        <f t="shared" si="4"/>
        <v>5</v>
      </c>
      <c r="I357" s="6" t="str">
        <f>IFERROR(__xludf.DUMMYFUNCTION("MAX(FILTER($H$2:$H369,$E$2:$E369=F357))"),"#N/A")</f>
        <v>#N/A</v>
      </c>
    </row>
    <row r="358">
      <c r="A358" s="4"/>
      <c r="C358" s="4" t="s">
        <v>2980</v>
      </c>
      <c r="D358" s="4" t="str">
        <f t="shared" si="1"/>
        <v>{"valorA":"favorito","valorB":1}</v>
      </c>
      <c r="E358" s="8" t="str">
        <f t="shared" si="2"/>
        <v>favorito</v>
      </c>
      <c r="F358" s="8"/>
      <c r="G358" s="8" t="str">
        <f t="shared" si="3"/>
        <v>1</v>
      </c>
      <c r="H358" s="9">
        <f t="shared" si="4"/>
        <v>1</v>
      </c>
      <c r="I358" s="6" t="str">
        <f>IFERROR(__xludf.DUMMYFUNCTION("MAX(FILTER($H$2:$H369,$E$2:$E369=F358))"),"#N/A")</f>
        <v>#N/A</v>
      </c>
    </row>
    <row r="359">
      <c r="A359" s="4"/>
      <c r="C359" s="4" t="s">
        <v>2981</v>
      </c>
      <c r="D359" s="4" t="str">
        <f t="shared" si="1"/>
        <v>{"valorA":"meu","valorB":6}</v>
      </c>
      <c r="E359" s="8" t="str">
        <f t="shared" si="2"/>
        <v>meu</v>
      </c>
      <c r="F359" s="8"/>
      <c r="G359" s="8" t="str">
        <f t="shared" si="3"/>
        <v>6</v>
      </c>
      <c r="H359" s="9">
        <f t="shared" si="4"/>
        <v>6</v>
      </c>
      <c r="I359" s="6" t="str">
        <f>IFERROR(__xludf.DUMMYFUNCTION("MAX(FILTER($H$2:$H369,$E$2:$E369=F359))"),"#N/A")</f>
        <v>#N/A</v>
      </c>
    </row>
    <row r="360">
      <c r="A360" s="4"/>
      <c r="C360" s="4" t="s">
        <v>2982</v>
      </c>
      <c r="D360" s="4" t="str">
        <f t="shared" si="1"/>
        <v>{"valorA":"novo","valorB":2}</v>
      </c>
      <c r="E360" s="8" t="str">
        <f t="shared" si="2"/>
        <v>novo</v>
      </c>
      <c r="F360" s="8"/>
      <c r="G360" s="8" t="str">
        <f t="shared" si="3"/>
        <v>2</v>
      </c>
      <c r="H360" s="9">
        <f t="shared" si="4"/>
        <v>2</v>
      </c>
      <c r="I360" s="6" t="str">
        <f>IFERROR(__xludf.DUMMYFUNCTION("MAX(FILTER($H$2:$H369,$E$2:$E369=F360))"),"#N/A")</f>
        <v>#N/A</v>
      </c>
    </row>
    <row r="361">
      <c r="A361" s="4"/>
      <c r="C361" s="4" t="s">
        <v>2983</v>
      </c>
      <c r="D361" s="4" t="str">
        <f t="shared" si="1"/>
        <v>{"valorA":"o","valorB":8}</v>
      </c>
      <c r="E361" s="8" t="str">
        <f t="shared" si="2"/>
        <v>o</v>
      </c>
      <c r="F361" s="8"/>
      <c r="G361" s="8" t="str">
        <f t="shared" si="3"/>
        <v>8</v>
      </c>
      <c r="H361" s="9">
        <f t="shared" si="4"/>
        <v>8</v>
      </c>
      <c r="I361" s="6" t="str">
        <f>IFERROR(__xludf.DUMMYFUNCTION("MAX(FILTER($H$2:$H369,$E$2:$E369=F361))"),"#N/A")</f>
        <v>#N/A</v>
      </c>
    </row>
    <row r="362">
      <c r="A362" s="4"/>
      <c r="C362" s="4" t="s">
        <v>2984</v>
      </c>
      <c r="D362" s="4" t="str">
        <f t="shared" si="1"/>
        <v>{"valorA":"de","valorB":7}</v>
      </c>
      <c r="E362" s="8" t="str">
        <f t="shared" si="2"/>
        <v>de</v>
      </c>
      <c r="F362" s="8"/>
      <c r="G362" s="8" t="str">
        <f t="shared" si="3"/>
        <v>7</v>
      </c>
      <c r="H362" s="9">
        <f t="shared" si="4"/>
        <v>7</v>
      </c>
      <c r="I362" s="6" t="str">
        <f>IFERROR(__xludf.DUMMYFUNCTION("MAX(FILTER($H$2:$H369,$E$2:$E369=F362))"),"#N/A")</f>
        <v>#N/A</v>
      </c>
    </row>
    <row r="363">
      <c r="A363" s="4"/>
      <c r="C363" s="4" t="s">
        <v>2985</v>
      </c>
      <c r="D363" s="4" t="str">
        <f t="shared" si="1"/>
        <v>{"valorA":"é","valorB":14}</v>
      </c>
      <c r="E363" s="8" t="str">
        <f t="shared" si="2"/>
        <v>é</v>
      </c>
      <c r="F363" s="8"/>
      <c r="G363" s="8" t="str">
        <f t="shared" si="3"/>
        <v>14</v>
      </c>
      <c r="H363" s="9">
        <f t="shared" si="4"/>
        <v>14</v>
      </c>
      <c r="I363" s="6" t="str">
        <f>IFERROR(__xludf.DUMMYFUNCTION("MAX(FILTER($H$2:$H369,$E$2:$E369=F363))"),"#N/A")</f>
        <v>#N/A</v>
      </c>
    </row>
    <row r="364">
      <c r="A364" s="4"/>
      <c r="C364" s="4" t="s">
        <v>2986</v>
      </c>
      <c r="D364" s="4" t="str">
        <f t="shared" si="1"/>
        <v>{"valorA":"ótimo","valorB":48}</v>
      </c>
      <c r="E364" s="8" t="str">
        <f t="shared" si="2"/>
        <v>ótimo</v>
      </c>
      <c r="F364" s="8"/>
      <c r="G364" s="8" t="str">
        <f t="shared" si="3"/>
        <v>48</v>
      </c>
      <c r="H364" s="9">
        <f t="shared" si="4"/>
        <v>48</v>
      </c>
      <c r="I364" s="6" t="str">
        <f>IFERROR(__xludf.DUMMYFUNCTION("MAX(FILTER($H$2:$H369,$E$2:$E369=F364))"),"#N/A")</f>
        <v>#N/A</v>
      </c>
    </row>
    <row r="365">
      <c r="A365" s="4"/>
      <c r="C365" s="4" t="s">
        <v>2987</v>
      </c>
      <c r="D365" s="4" t="str">
        <f t="shared" si="1"/>
        <v>{"valorA":"sol","valorB":1}</v>
      </c>
      <c r="E365" s="8" t="str">
        <f t="shared" si="2"/>
        <v>sol</v>
      </c>
      <c r="F365" s="8"/>
      <c r="G365" s="8" t="str">
        <f t="shared" si="3"/>
        <v>1</v>
      </c>
      <c r="H365" s="9">
        <f t="shared" si="4"/>
        <v>1</v>
      </c>
      <c r="I365" s="6" t="str">
        <f>IFERROR(__xludf.DUMMYFUNCTION("MAX(FILTER($H$2:$H369,$E$2:$E369=F365))"),"#N/A")</f>
        <v>#N/A</v>
      </c>
    </row>
    <row r="366">
      <c r="A366" s="4"/>
      <c r="C366" s="4" t="s">
        <v>2988</v>
      </c>
      <c r="D366" s="4" t="str">
        <f t="shared" si="1"/>
        <v>{"valorA":"esse","valorB":7}</v>
      </c>
      <c r="E366" s="8" t="str">
        <f t="shared" si="2"/>
        <v>esse</v>
      </c>
      <c r="F366" s="8"/>
      <c r="G366" s="8" t="str">
        <f t="shared" si="3"/>
        <v>7</v>
      </c>
      <c r="H366" s="9">
        <f t="shared" si="4"/>
        <v>7</v>
      </c>
      <c r="I366" s="6" t="str">
        <f>IFERROR(__xludf.DUMMYFUNCTION("MAX(FILTER($H$2:$H369,$E$2:$E369=F366))"),"#N/A")</f>
        <v>#N/A</v>
      </c>
    </row>
    <row r="367">
      <c r="A367" s="4"/>
      <c r="C367" s="4" t="s">
        <v>2989</v>
      </c>
      <c r="D367" s="4" t="str">
        <f t="shared" si="1"/>
        <v>{"valorA":"muito","valorB":13}</v>
      </c>
      <c r="E367" s="8" t="str">
        <f t="shared" si="2"/>
        <v>muito</v>
      </c>
      <c r="F367" s="8"/>
      <c r="G367" s="8" t="str">
        <f t="shared" si="3"/>
        <v>13</v>
      </c>
      <c r="H367" s="9">
        <f t="shared" si="4"/>
        <v>13</v>
      </c>
      <c r="I367" s="6" t="str">
        <f>IFERROR(__xludf.DUMMYFUNCTION("MAX(FILTER($H$2:$H369,$E$2:$E369=F367))"),"#N/A")</f>
        <v>#N/A</v>
      </c>
    </row>
    <row r="368">
      <c r="A368" s="4"/>
      <c r="C368" s="4" t="s">
        <v>2990</v>
      </c>
      <c r="D368" s="4" t="str">
        <f t="shared" si="1"/>
        <v>{"valorA":"chapéu","valorB":2}</v>
      </c>
      <c r="E368" s="8" t="str">
        <f t="shared" si="2"/>
        <v>chapéu</v>
      </c>
      <c r="F368" s="8"/>
      <c r="G368" s="8" t="str">
        <f t="shared" si="3"/>
        <v>2</v>
      </c>
      <c r="H368" s="9">
        <f t="shared" si="4"/>
        <v>2</v>
      </c>
      <c r="I368" s="6" t="str">
        <f>IFERROR(__xludf.DUMMYFUNCTION("MAX(FILTER($H$2:$H369,$E$2:$E369=F368))"),"#N/A")</f>
        <v>#N/A</v>
      </c>
    </row>
    <row r="369">
      <c r="A369" s="4"/>
      <c r="C369" s="4" t="s">
        <v>2991</v>
      </c>
      <c r="D369" s="4" t="str">
        <f t="shared" si="1"/>
        <v>{"valorA":"confortável","valorB":4}</v>
      </c>
      <c r="E369" s="8" t="str">
        <f t="shared" si="2"/>
        <v>confortável</v>
      </c>
      <c r="F369" s="8"/>
      <c r="G369" s="8" t="str">
        <f t="shared" si="3"/>
        <v>4</v>
      </c>
      <c r="H369" s="9">
        <f t="shared" si="4"/>
        <v>4</v>
      </c>
      <c r="I369" s="6" t="str">
        <f>IFERROR(__xludf.DUMMYFUNCTION("MAX(FILTER($H$2:$H369,$E$2:$E369=F369))"),"#N/A")</f>
        <v>#N/A</v>
      </c>
    </row>
  </sheetData>
  <mergeCells count="1">
    <mergeCell ref="K3:K4"/>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c r="A2" s="4" t="s">
        <v>2992</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33</v>
      </c>
    </row>
    <row r="3">
      <c r="A3" s="4" t="s">
        <v>1359</v>
      </c>
    </row>
    <row r="4">
      <c r="A4" s="4" t="s">
        <v>88</v>
      </c>
    </row>
    <row r="5">
      <c r="A5" s="4" t="s">
        <v>75</v>
      </c>
    </row>
    <row r="6">
      <c r="A6" s="4" t="s">
        <v>48</v>
      </c>
    </row>
    <row r="7">
      <c r="A7" s="4" t="s">
        <v>35</v>
      </c>
    </row>
    <row r="8">
      <c r="A8" s="4" t="s">
        <v>1230</v>
      </c>
    </row>
    <row r="9">
      <c r="A9" s="4" t="s">
        <v>33</v>
      </c>
    </row>
    <row r="10">
      <c r="A10" s="4" t="s">
        <v>500</v>
      </c>
    </row>
    <row r="11">
      <c r="A11" s="4" t="s">
        <v>44</v>
      </c>
    </row>
    <row r="12">
      <c r="A12" s="4" t="s">
        <v>518</v>
      </c>
    </row>
    <row r="13">
      <c r="A13" s="4" t="s">
        <v>34</v>
      </c>
    </row>
    <row r="14">
      <c r="A14" s="4" t="s">
        <v>519</v>
      </c>
    </row>
    <row r="15">
      <c r="A15" s="4" t="s">
        <v>520</v>
      </c>
    </row>
    <row r="16">
      <c r="A16" s="4" t="s">
        <v>138</v>
      </c>
    </row>
    <row r="17">
      <c r="A17" s="4" t="s">
        <v>521</v>
      </c>
    </row>
    <row r="18">
      <c r="A18" s="4" t="s">
        <v>33</v>
      </c>
    </row>
    <row r="19">
      <c r="A19" s="4" t="s">
        <v>34</v>
      </c>
    </row>
    <row r="20">
      <c r="A20" s="4" t="s">
        <v>107</v>
      </c>
    </row>
    <row r="21">
      <c r="A21" s="4" t="s">
        <v>41</v>
      </c>
    </row>
    <row r="22">
      <c r="A22" s="4" t="s">
        <v>42</v>
      </c>
    </row>
    <row r="23">
      <c r="A23" s="4" t="s">
        <v>88</v>
      </c>
    </row>
    <row r="24">
      <c r="A24" s="4" t="s">
        <v>89</v>
      </c>
    </row>
    <row r="25">
      <c r="A25" s="4" t="s">
        <v>33</v>
      </c>
    </row>
    <row r="26">
      <c r="A26" s="4" t="s">
        <v>560</v>
      </c>
    </row>
    <row r="27">
      <c r="A27" s="4" t="s">
        <v>44</v>
      </c>
    </row>
    <row r="28">
      <c r="A28" s="4" t="s">
        <v>72</v>
      </c>
    </row>
    <row r="29">
      <c r="A29" s="4" t="s">
        <v>77</v>
      </c>
    </row>
    <row r="30">
      <c r="A30" s="4" t="s">
        <v>2599</v>
      </c>
    </row>
    <row r="31">
      <c r="A31" s="4" t="s">
        <v>79</v>
      </c>
    </row>
    <row r="32">
      <c r="A32" s="4" t="s">
        <v>2993</v>
      </c>
    </row>
    <row r="33">
      <c r="A33" s="4" t="s">
        <v>115</v>
      </c>
    </row>
    <row r="34">
      <c r="A34" s="4" t="s">
        <v>970</v>
      </c>
    </row>
    <row r="35">
      <c r="A35" s="4" t="s">
        <v>33</v>
      </c>
    </row>
    <row r="36">
      <c r="A36" s="4" t="s">
        <v>34</v>
      </c>
    </row>
    <row r="37">
      <c r="A37" s="4" t="s">
        <v>107</v>
      </c>
    </row>
    <row r="38">
      <c r="A38" s="4" t="s">
        <v>41</v>
      </c>
    </row>
    <row r="39">
      <c r="A39" s="4" t="s">
        <v>42</v>
      </c>
    </row>
    <row r="40">
      <c r="A40" s="4" t="s">
        <v>48</v>
      </c>
    </row>
    <row r="41">
      <c r="A41" s="4" t="s">
        <v>529</v>
      </c>
    </row>
    <row r="42">
      <c r="A42" s="4" t="s">
        <v>90</v>
      </c>
    </row>
    <row r="43">
      <c r="A43" s="4" t="s">
        <v>44</v>
      </c>
    </row>
    <row r="44">
      <c r="A44" s="4" t="s">
        <v>513</v>
      </c>
    </row>
    <row r="45">
      <c r="A45" s="4" t="s">
        <v>543</v>
      </c>
    </row>
    <row r="46">
      <c r="A46" s="4" t="s">
        <v>33</v>
      </c>
    </row>
    <row r="47">
      <c r="A47" s="4" t="s">
        <v>506</v>
      </c>
    </row>
    <row r="48">
      <c r="A48" s="4" t="s">
        <v>140</v>
      </c>
    </row>
    <row r="49">
      <c r="A49" s="4" t="s">
        <v>139</v>
      </c>
    </row>
    <row r="50">
      <c r="A50" s="4" t="s">
        <v>41</v>
      </c>
    </row>
    <row r="51">
      <c r="A51" s="4" t="s">
        <v>1338</v>
      </c>
    </row>
    <row r="52">
      <c r="A52" s="4" t="s">
        <v>48</v>
      </c>
    </row>
    <row r="53">
      <c r="A53" s="4" t="s">
        <v>535</v>
      </c>
    </row>
    <row r="54">
      <c r="A54" s="4" t="s">
        <v>2994</v>
      </c>
    </row>
    <row r="55">
      <c r="A55" s="4" t="s">
        <v>33</v>
      </c>
    </row>
    <row r="56">
      <c r="A56" s="4" t="s">
        <v>34</v>
      </c>
    </row>
    <row r="57">
      <c r="A57" s="4" t="s">
        <v>497</v>
      </c>
    </row>
    <row r="58">
      <c r="A58" s="4" t="s">
        <v>498</v>
      </c>
    </row>
    <row r="59">
      <c r="A59" s="4" t="s">
        <v>509</v>
      </c>
    </row>
    <row r="60">
      <c r="A60" s="4" t="s">
        <v>119</v>
      </c>
    </row>
    <row r="61">
      <c r="A61" s="4" t="s">
        <v>500</v>
      </c>
    </row>
    <row r="62">
      <c r="A62" s="4" t="s">
        <v>109</v>
      </c>
    </row>
    <row r="63">
      <c r="A63" s="4" t="s">
        <v>501</v>
      </c>
    </row>
    <row r="64">
      <c r="A64" s="4" t="s">
        <v>33</v>
      </c>
    </row>
    <row r="65">
      <c r="A65" s="4" t="s">
        <v>155</v>
      </c>
    </row>
    <row r="66">
      <c r="A66" s="4" t="s">
        <v>41</v>
      </c>
    </row>
    <row r="67">
      <c r="A67" s="4" t="s">
        <v>156</v>
      </c>
    </row>
    <row r="68">
      <c r="A68" s="4" t="s">
        <v>88</v>
      </c>
    </row>
    <row r="69">
      <c r="A69" s="4" t="s">
        <v>40</v>
      </c>
    </row>
    <row r="70">
      <c r="A70" s="4" t="s">
        <v>75</v>
      </c>
    </row>
    <row r="71">
      <c r="A71" s="4" t="s">
        <v>2995</v>
      </c>
    </row>
    <row r="72">
      <c r="A72" s="4" t="s">
        <v>2996</v>
      </c>
    </row>
    <row r="73">
      <c r="A73" s="4" t="s">
        <v>2997</v>
      </c>
    </row>
    <row r="74">
      <c r="A74" s="4" t="s">
        <v>2998</v>
      </c>
    </row>
    <row r="75">
      <c r="A75" s="4" t="s">
        <v>33</v>
      </c>
    </row>
    <row r="76">
      <c r="A76" s="4" t="s">
        <v>500</v>
      </c>
    </row>
    <row r="77">
      <c r="A77" s="4" t="s">
        <v>44</v>
      </c>
    </row>
    <row r="78">
      <c r="A78" s="4" t="s">
        <v>518</v>
      </c>
    </row>
    <row r="79">
      <c r="A79" s="4" t="s">
        <v>34</v>
      </c>
    </row>
    <row r="80">
      <c r="A80" s="4" t="s">
        <v>519</v>
      </c>
    </row>
    <row r="81">
      <c r="A81" s="4" t="s">
        <v>520</v>
      </c>
    </row>
    <row r="82">
      <c r="A82" s="4" t="s">
        <v>551</v>
      </c>
    </row>
    <row r="83">
      <c r="A83" s="4" t="s">
        <v>512</v>
      </c>
    </row>
    <row r="84">
      <c r="A84" s="4" t="s">
        <v>115</v>
      </c>
    </row>
    <row r="85">
      <c r="A85" s="4" t="s">
        <v>92</v>
      </c>
    </row>
    <row r="86">
      <c r="A86" s="4" t="s">
        <v>93</v>
      </c>
    </row>
    <row r="87">
      <c r="A87" s="4" t="s">
        <v>33</v>
      </c>
    </row>
    <row r="88">
      <c r="A88" s="4" t="s">
        <v>34</v>
      </c>
    </row>
    <row r="89">
      <c r="A89" s="4" t="s">
        <v>107</v>
      </c>
    </row>
    <row r="90">
      <c r="A90" s="4" t="s">
        <v>41</v>
      </c>
    </row>
    <row r="91">
      <c r="A91" s="4" t="s">
        <v>42</v>
      </c>
    </row>
    <row r="92">
      <c r="A92" s="4" t="s">
        <v>48</v>
      </c>
    </row>
    <row r="93">
      <c r="A93" s="4" t="s">
        <v>88</v>
      </c>
    </row>
    <row r="94">
      <c r="A94" s="4" t="s">
        <v>40</v>
      </c>
    </row>
    <row r="95">
      <c r="A95" s="4" t="s">
        <v>75</v>
      </c>
    </row>
    <row r="96">
      <c r="A96" s="4" t="s">
        <v>33</v>
      </c>
    </row>
    <row r="97">
      <c r="A97" s="4" t="s">
        <v>34</v>
      </c>
    </row>
    <row r="98">
      <c r="A98" s="4" t="s">
        <v>110</v>
      </c>
    </row>
    <row r="99">
      <c r="A99" s="4" t="s">
        <v>44</v>
      </c>
    </row>
    <row r="100">
      <c r="A100" s="4" t="s">
        <v>62</v>
      </c>
    </row>
    <row r="101">
      <c r="A101" s="4" t="s">
        <v>1363</v>
      </c>
    </row>
    <row r="102">
      <c r="A102" s="4" t="s">
        <v>48</v>
      </c>
    </row>
    <row r="103">
      <c r="A103" s="4" t="s">
        <v>970</v>
      </c>
    </row>
    <row r="104">
      <c r="A104" s="4" t="s">
        <v>1356</v>
      </c>
    </row>
    <row r="105">
      <c r="A105" s="4" t="s">
        <v>33</v>
      </c>
    </row>
    <row r="106">
      <c r="A106" s="4" t="s">
        <v>34</v>
      </c>
    </row>
    <row r="107">
      <c r="A107" s="4" t="s">
        <v>107</v>
      </c>
    </row>
    <row r="108">
      <c r="A108" s="4" t="s">
        <v>41</v>
      </c>
    </row>
    <row r="109">
      <c r="A109" s="4" t="s">
        <v>42</v>
      </c>
    </row>
    <row r="110">
      <c r="A110" s="4" t="s">
        <v>48</v>
      </c>
    </row>
    <row r="111">
      <c r="A111" s="4" t="s">
        <v>2999</v>
      </c>
    </row>
    <row r="112">
      <c r="A112" s="4" t="s">
        <v>3000</v>
      </c>
    </row>
    <row r="113">
      <c r="A113" s="4" t="s">
        <v>90</v>
      </c>
    </row>
    <row r="114">
      <c r="A114" s="4" t="s">
        <v>2995</v>
      </c>
    </row>
    <row r="115">
      <c r="A115" s="4" t="s">
        <v>33</v>
      </c>
    </row>
    <row r="116">
      <c r="A116" s="4" t="s">
        <v>500</v>
      </c>
    </row>
    <row r="117">
      <c r="A117" s="4" t="s">
        <v>44</v>
      </c>
    </row>
    <row r="118">
      <c r="A118" s="4" t="s">
        <v>518</v>
      </c>
    </row>
    <row r="119">
      <c r="A119" s="4" t="s">
        <v>34</v>
      </c>
    </row>
    <row r="120">
      <c r="A120" s="4" t="s">
        <v>519</v>
      </c>
    </row>
    <row r="121">
      <c r="A121" s="4" t="s">
        <v>520</v>
      </c>
    </row>
    <row r="122">
      <c r="A122" s="4" t="s">
        <v>167</v>
      </c>
    </row>
    <row r="123">
      <c r="A123" s="4" t="s">
        <v>90</v>
      </c>
    </row>
    <row r="124">
      <c r="A124" s="4" t="s">
        <v>33</v>
      </c>
    </row>
    <row r="125">
      <c r="A125" s="4" t="s">
        <v>506</v>
      </c>
    </row>
    <row r="126">
      <c r="A126" s="4" t="s">
        <v>90</v>
      </c>
    </row>
    <row r="127">
      <c r="A127" s="4" t="s">
        <v>33</v>
      </c>
    </row>
    <row r="128">
      <c r="A128" s="4" t="s">
        <v>34</v>
      </c>
    </row>
    <row r="129">
      <c r="A129" s="4" t="s">
        <v>107</v>
      </c>
    </row>
    <row r="130">
      <c r="A130" s="4" t="s">
        <v>41</v>
      </c>
    </row>
    <row r="131">
      <c r="A131" s="4" t="s">
        <v>42</v>
      </c>
    </row>
    <row r="132">
      <c r="A132" s="4" t="s">
        <v>48</v>
      </c>
    </row>
    <row r="133">
      <c r="A133" s="4" t="s">
        <v>529</v>
      </c>
    </row>
    <row r="134">
      <c r="A134" s="4" t="s">
        <v>90</v>
      </c>
    </row>
    <row r="135">
      <c r="A135" s="4" t="s">
        <v>33</v>
      </c>
    </row>
    <row r="136">
      <c r="A136" s="4" t="s">
        <v>560</v>
      </c>
    </row>
    <row r="137">
      <c r="A137" s="4" t="s">
        <v>107</v>
      </c>
    </row>
    <row r="138">
      <c r="A138" s="4" t="s">
        <v>41</v>
      </c>
    </row>
    <row r="139">
      <c r="A139" s="4" t="s">
        <v>42</v>
      </c>
    </row>
    <row r="140">
      <c r="A140" s="4" t="s">
        <v>48</v>
      </c>
    </row>
    <row r="141">
      <c r="A141" s="4" t="s">
        <v>49</v>
      </c>
    </row>
    <row r="142">
      <c r="A142" s="4" t="s">
        <v>39</v>
      </c>
    </row>
    <row r="143">
      <c r="A143" s="4" t="s">
        <v>40</v>
      </c>
    </row>
    <row r="144">
      <c r="A144" s="4" t="s">
        <v>548</v>
      </c>
    </row>
    <row r="145">
      <c r="A145" s="4" t="s">
        <v>44</v>
      </c>
    </row>
    <row r="146">
      <c r="A146" s="4" t="s">
        <v>3001</v>
      </c>
    </row>
    <row r="147">
      <c r="A147" s="4" t="s">
        <v>33</v>
      </c>
    </row>
    <row r="148">
      <c r="A148" s="4" t="s">
        <v>34</v>
      </c>
    </row>
    <row r="149">
      <c r="A149" s="4" t="s">
        <v>107</v>
      </c>
    </row>
    <row r="150">
      <c r="A150" s="4" t="s">
        <v>41</v>
      </c>
    </row>
    <row r="151">
      <c r="A151" s="4" t="s">
        <v>42</v>
      </c>
    </row>
    <row r="152">
      <c r="A152" s="4" t="s">
        <v>48</v>
      </c>
    </row>
    <row r="153">
      <c r="A153" s="4" t="s">
        <v>41</v>
      </c>
    </row>
    <row r="154">
      <c r="A154" s="4" t="s">
        <v>1223</v>
      </c>
    </row>
    <row r="155">
      <c r="A155" s="4" t="s">
        <v>50</v>
      </c>
    </row>
    <row r="156">
      <c r="A156" s="4" t="s">
        <v>40</v>
      </c>
    </row>
    <row r="157">
      <c r="A157" s="4" t="s">
        <v>33</v>
      </c>
    </row>
    <row r="158">
      <c r="A158" s="4" t="s">
        <v>506</v>
      </c>
    </row>
    <row r="159">
      <c r="A159" s="4" t="s">
        <v>3002</v>
      </c>
    </row>
    <row r="160">
      <c r="A160" s="4" t="s">
        <v>871</v>
      </c>
    </row>
    <row r="161">
      <c r="A161" s="4" t="s">
        <v>75</v>
      </c>
    </row>
    <row r="162">
      <c r="A162" s="4" t="s">
        <v>33</v>
      </c>
    </row>
    <row r="163">
      <c r="A163" s="4" t="s">
        <v>34</v>
      </c>
    </row>
    <row r="164">
      <c r="A164" s="4" t="s">
        <v>107</v>
      </c>
    </row>
    <row r="165">
      <c r="A165" s="4" t="s">
        <v>41</v>
      </c>
    </row>
    <row r="166">
      <c r="A166" s="4" t="s">
        <v>42</v>
      </c>
    </row>
    <row r="167">
      <c r="A167" s="4" t="s">
        <v>48</v>
      </c>
    </row>
    <row r="168">
      <c r="A168" s="4" t="s">
        <v>529</v>
      </c>
    </row>
    <row r="169">
      <c r="A169" s="4" t="s">
        <v>50</v>
      </c>
    </row>
    <row r="170">
      <c r="A170" s="4" t="s">
        <v>33</v>
      </c>
    </row>
    <row r="171">
      <c r="A171" s="4" t="s">
        <v>500</v>
      </c>
    </row>
    <row r="172">
      <c r="A172" s="4" t="s">
        <v>520</v>
      </c>
    </row>
    <row r="173">
      <c r="A173" s="4" t="s">
        <v>34</v>
      </c>
    </row>
    <row r="174">
      <c r="A174" s="4" t="s">
        <v>1396</v>
      </c>
    </row>
    <row r="175">
      <c r="A175" s="4" t="s">
        <v>40</v>
      </c>
    </row>
    <row r="176">
      <c r="A176" s="4" t="s">
        <v>129</v>
      </c>
    </row>
    <row r="177">
      <c r="A177" s="4" t="s">
        <v>62</v>
      </c>
    </row>
    <row r="178">
      <c r="A178" s="4" t="s">
        <v>3003</v>
      </c>
    </row>
    <row r="179">
      <c r="A179" s="4" t="s">
        <v>33</v>
      </c>
    </row>
    <row r="180">
      <c r="A180" s="4" t="s">
        <v>34</v>
      </c>
    </row>
    <row r="181">
      <c r="A181" s="4" t="s">
        <v>90</v>
      </c>
    </row>
    <row r="182">
      <c r="A182" s="4" t="s">
        <v>44</v>
      </c>
    </row>
    <row r="183">
      <c r="A183" s="4" t="s">
        <v>513</v>
      </c>
    </row>
    <row r="184">
      <c r="A184" s="4" t="s">
        <v>533</v>
      </c>
    </row>
    <row r="185">
      <c r="A185" s="4" t="s">
        <v>116</v>
      </c>
    </row>
    <row r="186">
      <c r="A186" s="4" t="s">
        <v>1354</v>
      </c>
    </row>
    <row r="187">
      <c r="A187" s="4" t="s">
        <v>3004</v>
      </c>
    </row>
    <row r="188">
      <c r="A188" s="4" t="s">
        <v>553</v>
      </c>
    </row>
    <row r="189">
      <c r="A189" s="4" t="s">
        <v>3005</v>
      </c>
    </row>
    <row r="190">
      <c r="A190" s="4" t="s">
        <v>119</v>
      </c>
    </row>
    <row r="191">
      <c r="A191" s="4" t="s">
        <v>62</v>
      </c>
    </row>
    <row r="192">
      <c r="A192" s="4" t="s">
        <v>523</v>
      </c>
    </row>
    <row r="193">
      <c r="A193" s="4" t="s">
        <v>88</v>
      </c>
    </row>
    <row r="194">
      <c r="A194" s="4" t="s">
        <v>40</v>
      </c>
    </row>
    <row r="195">
      <c r="A195" s="4" t="s">
        <v>75</v>
      </c>
    </row>
    <row r="196">
      <c r="A196" s="4" t="s">
        <v>33</v>
      </c>
    </row>
    <row r="197">
      <c r="A197" s="4" t="s">
        <v>34</v>
      </c>
    </row>
    <row r="198">
      <c r="A198" s="4" t="s">
        <v>565</v>
      </c>
    </row>
    <row r="199">
      <c r="A199" s="4" t="s">
        <v>92</v>
      </c>
    </row>
    <row r="200">
      <c r="A200" s="4" t="s">
        <v>500</v>
      </c>
    </row>
    <row r="201">
      <c r="A201" s="4" t="s">
        <v>40</v>
      </c>
    </row>
    <row r="202">
      <c r="A202" s="4" t="s">
        <v>529</v>
      </c>
    </row>
    <row r="203">
      <c r="A203" s="4" t="s">
        <v>90</v>
      </c>
    </row>
    <row r="204">
      <c r="A204" s="4" t="s">
        <v>33</v>
      </c>
    </row>
    <row r="205">
      <c r="A205" s="4" t="s">
        <v>560</v>
      </c>
    </row>
    <row r="206">
      <c r="A206" s="4" t="s">
        <v>88</v>
      </c>
    </row>
    <row r="207">
      <c r="A207" s="4" t="s">
        <v>89</v>
      </c>
    </row>
    <row r="208">
      <c r="A208" s="4" t="s">
        <v>39</v>
      </c>
    </row>
    <row r="209">
      <c r="A209" s="4" t="s">
        <v>40</v>
      </c>
    </row>
    <row r="210">
      <c r="A210" s="4" t="s">
        <v>33</v>
      </c>
    </row>
    <row r="211">
      <c r="A211" s="4" t="s">
        <v>34</v>
      </c>
    </row>
    <row r="212">
      <c r="A212" s="4" t="s">
        <v>90</v>
      </c>
    </row>
    <row r="213">
      <c r="A213" s="4" t="s">
        <v>44</v>
      </c>
    </row>
    <row r="214">
      <c r="A214" s="4" t="s">
        <v>522</v>
      </c>
    </row>
    <row r="215">
      <c r="A215" s="4" t="s">
        <v>33</v>
      </c>
    </row>
    <row r="216">
      <c r="A216" s="4" t="s">
        <v>500</v>
      </c>
    </row>
    <row r="217">
      <c r="A217" s="4" t="s">
        <v>48</v>
      </c>
    </row>
    <row r="218">
      <c r="A218" s="4" t="s">
        <v>139</v>
      </c>
    </row>
    <row r="219">
      <c r="A219" s="4" t="s">
        <v>51</v>
      </c>
    </row>
    <row r="220">
      <c r="A220" s="4" t="s">
        <v>3003</v>
      </c>
    </row>
    <row r="221">
      <c r="A221" s="4" t="s">
        <v>551</v>
      </c>
    </row>
    <row r="222">
      <c r="A222" s="4" t="s">
        <v>53</v>
      </c>
    </row>
    <row r="223">
      <c r="A223" s="4" t="s">
        <v>33</v>
      </c>
    </row>
    <row r="224">
      <c r="A224" s="4" t="s">
        <v>34</v>
      </c>
    </row>
    <row r="225">
      <c r="A225" s="4" t="s">
        <v>497</v>
      </c>
    </row>
    <row r="226">
      <c r="A226" s="4" t="s">
        <v>498</v>
      </c>
    </row>
    <row r="227">
      <c r="A227" s="4" t="s">
        <v>509</v>
      </c>
    </row>
    <row r="228">
      <c r="A228" s="4" t="s">
        <v>119</v>
      </c>
    </row>
    <row r="229">
      <c r="A229" s="4" t="s">
        <v>500</v>
      </c>
    </row>
    <row r="230">
      <c r="A230" s="4" t="s">
        <v>109</v>
      </c>
    </row>
    <row r="231">
      <c r="A231" s="4" t="s">
        <v>501</v>
      </c>
    </row>
    <row r="232">
      <c r="A232" s="4" t="s">
        <v>33</v>
      </c>
    </row>
    <row r="233">
      <c r="A233" s="4" t="s">
        <v>34</v>
      </c>
    </row>
    <row r="234">
      <c r="A234" s="4" t="s">
        <v>107</v>
      </c>
    </row>
    <row r="235">
      <c r="A235" s="4" t="s">
        <v>41</v>
      </c>
    </row>
    <row r="236">
      <c r="A236" s="4" t="s">
        <v>42</v>
      </c>
    </row>
    <row r="237">
      <c r="A237" s="4" t="s">
        <v>48</v>
      </c>
    </row>
    <row r="238">
      <c r="A238" s="4" t="s">
        <v>88</v>
      </c>
    </row>
    <row r="239">
      <c r="A239" s="4" t="s">
        <v>75</v>
      </c>
    </row>
    <row r="240">
      <c r="A240" s="4" t="s">
        <v>33</v>
      </c>
    </row>
    <row r="241">
      <c r="A241" s="4" t="s">
        <v>34</v>
      </c>
    </row>
    <row r="242">
      <c r="A242" s="4" t="s">
        <v>44</v>
      </c>
    </row>
    <row r="243">
      <c r="A243" s="4" t="s">
        <v>119</v>
      </c>
    </row>
    <row r="244">
      <c r="A244" s="4" t="s">
        <v>500</v>
      </c>
    </row>
    <row r="245">
      <c r="A245" s="4" t="s">
        <v>109</v>
      </c>
    </row>
    <row r="246">
      <c r="A246" s="4" t="s">
        <v>501</v>
      </c>
    </row>
    <row r="247">
      <c r="A247" s="4" t="s">
        <v>88</v>
      </c>
    </row>
    <row r="248">
      <c r="A248" s="4" t="s">
        <v>75</v>
      </c>
    </row>
    <row r="249">
      <c r="A249" s="4" t="s">
        <v>33</v>
      </c>
    </row>
    <row r="250">
      <c r="A250" s="4" t="s">
        <v>500</v>
      </c>
    </row>
    <row r="251">
      <c r="A251" s="4" t="s">
        <v>44</v>
      </c>
    </row>
    <row r="252">
      <c r="A252" s="4" t="s">
        <v>518</v>
      </c>
    </row>
    <row r="253">
      <c r="A253" s="4" t="s">
        <v>34</v>
      </c>
    </row>
    <row r="254">
      <c r="A254" s="4" t="s">
        <v>519</v>
      </c>
    </row>
    <row r="255">
      <c r="A255" s="4" t="s">
        <v>520</v>
      </c>
    </row>
    <row r="256">
      <c r="A256" s="4" t="s">
        <v>138</v>
      </c>
    </row>
    <row r="257">
      <c r="A257" s="4" t="s">
        <v>521</v>
      </c>
    </row>
    <row r="258">
      <c r="A258" s="4" t="s">
        <v>33</v>
      </c>
    </row>
    <row r="259">
      <c r="A259" s="4" t="s">
        <v>34</v>
      </c>
    </row>
    <row r="260">
      <c r="A260" s="4" t="s">
        <v>40</v>
      </c>
    </row>
    <row r="261">
      <c r="A261" s="4" t="s">
        <v>75</v>
      </c>
    </row>
    <row r="262">
      <c r="A262" s="4" t="s">
        <v>3006</v>
      </c>
    </row>
    <row r="263">
      <c r="A263" s="4" t="s">
        <v>90</v>
      </c>
    </row>
    <row r="264">
      <c r="A264" s="4" t="s">
        <v>33</v>
      </c>
    </row>
    <row r="265">
      <c r="A265" s="4" t="s">
        <v>516</v>
      </c>
    </row>
    <row r="266">
      <c r="A266" s="4" t="s">
        <v>50</v>
      </c>
    </row>
    <row r="267">
      <c r="A267" s="4" t="s">
        <v>40</v>
      </c>
    </row>
    <row r="268">
      <c r="A268" s="4" t="s">
        <v>129</v>
      </c>
    </row>
    <row r="269">
      <c r="A269" s="4" t="s">
        <v>1350</v>
      </c>
    </row>
    <row r="270">
      <c r="A270" s="4" t="s">
        <v>48</v>
      </c>
    </row>
    <row r="271">
      <c r="A271" s="4" t="s">
        <v>126</v>
      </c>
    </row>
    <row r="272">
      <c r="A272" s="4" t="s">
        <v>139</v>
      </c>
    </row>
    <row r="273">
      <c r="A273" s="4" t="s">
        <v>41</v>
      </c>
    </row>
    <row r="274">
      <c r="A274" s="4" t="s">
        <v>1338</v>
      </c>
    </row>
    <row r="275">
      <c r="A275" s="4" t="s">
        <v>33</v>
      </c>
    </row>
    <row r="276">
      <c r="A276" s="4" t="s">
        <v>34</v>
      </c>
    </row>
    <row r="277">
      <c r="A277" s="4" t="s">
        <v>497</v>
      </c>
    </row>
    <row r="278">
      <c r="A278" s="4" t="s">
        <v>92</v>
      </c>
    </row>
    <row r="279">
      <c r="A279" s="4" t="s">
        <v>500</v>
      </c>
    </row>
    <row r="280">
      <c r="A280" s="4" t="s">
        <v>40</v>
      </c>
    </row>
    <row r="281">
      <c r="A281" s="4" t="s">
        <v>552</v>
      </c>
    </row>
    <row r="282">
      <c r="A282" s="4" t="s">
        <v>33</v>
      </c>
    </row>
    <row r="283">
      <c r="A283" s="4" t="s">
        <v>34</v>
      </c>
    </row>
    <row r="284">
      <c r="A284" s="4" t="s">
        <v>107</v>
      </c>
    </row>
    <row r="285">
      <c r="A285" s="4" t="s">
        <v>41</v>
      </c>
    </row>
    <row r="286">
      <c r="A286" s="4" t="s">
        <v>42</v>
      </c>
    </row>
    <row r="287">
      <c r="A287" s="4" t="s">
        <v>48</v>
      </c>
    </row>
    <row r="288">
      <c r="A288" s="4" t="s">
        <v>498</v>
      </c>
    </row>
    <row r="289">
      <c r="A289" s="4" t="s">
        <v>543</v>
      </c>
    </row>
    <row r="290">
      <c r="A290" s="4" t="s">
        <v>919</v>
      </c>
    </row>
    <row r="291">
      <c r="A291" s="4" t="s">
        <v>3007</v>
      </c>
    </row>
    <row r="292">
      <c r="A292" s="4" t="s">
        <v>50</v>
      </c>
    </row>
    <row r="293">
      <c r="A293" s="4" t="s">
        <v>40</v>
      </c>
    </row>
    <row r="294">
      <c r="A294" s="4" t="s">
        <v>33</v>
      </c>
    </row>
    <row r="295">
      <c r="A295" s="4" t="s">
        <v>1359</v>
      </c>
    </row>
    <row r="296">
      <c r="A296" s="4" t="s">
        <v>551</v>
      </c>
    </row>
    <row r="297">
      <c r="A297" s="4" t="s">
        <v>40</v>
      </c>
    </row>
    <row r="298">
      <c r="A298" s="4" t="s">
        <v>53</v>
      </c>
    </row>
    <row r="299">
      <c r="A299" s="4" t="s">
        <v>115</v>
      </c>
    </row>
    <row r="300">
      <c r="A300" s="4" t="s">
        <v>92</v>
      </c>
    </row>
    <row r="301">
      <c r="A301" s="4" t="s">
        <v>93</v>
      </c>
    </row>
    <row r="302">
      <c r="A302" s="4" t="s">
        <v>2995</v>
      </c>
    </row>
    <row r="303">
      <c r="A303" s="4" t="s">
        <v>549</v>
      </c>
    </row>
    <row r="304">
      <c r="A304" s="4" t="s">
        <v>3008</v>
      </c>
    </row>
    <row r="305">
      <c r="A305" s="4" t="s">
        <v>103</v>
      </c>
    </row>
    <row r="306">
      <c r="A306" s="4" t="s">
        <v>33</v>
      </c>
    </row>
    <row r="307">
      <c r="A307" s="4" t="s">
        <v>34</v>
      </c>
    </row>
    <row r="308">
      <c r="A308" s="4" t="s">
        <v>509</v>
      </c>
    </row>
    <row r="309">
      <c r="A309" s="4" t="s">
        <v>3009</v>
      </c>
    </row>
    <row r="310">
      <c r="A310" s="4" t="s">
        <v>3010</v>
      </c>
    </row>
    <row r="311">
      <c r="A311" s="4" t="s">
        <v>109</v>
      </c>
    </row>
    <row r="312">
      <c r="A312" s="4" t="s">
        <v>501</v>
      </c>
    </row>
    <row r="313">
      <c r="A313" s="4" t="s">
        <v>2995</v>
      </c>
    </row>
    <row r="314">
      <c r="A314" s="4" t="s">
        <v>3011</v>
      </c>
    </row>
    <row r="315">
      <c r="A315" s="4" t="s">
        <v>33</v>
      </c>
    </row>
    <row r="316">
      <c r="A316" s="4" t="s">
        <v>34</v>
      </c>
    </row>
    <row r="317">
      <c r="A317" s="4" t="s">
        <v>3012</v>
      </c>
    </row>
    <row r="318">
      <c r="A318" s="4" t="s">
        <v>140</v>
      </c>
    </row>
    <row r="319">
      <c r="A319" s="4" t="s">
        <v>103</v>
      </c>
    </row>
    <row r="320">
      <c r="A320" s="4" t="s">
        <v>555</v>
      </c>
    </row>
    <row r="321">
      <c r="A321" s="4" t="s">
        <v>69</v>
      </c>
    </row>
    <row r="322">
      <c r="A322" s="4" t="s">
        <v>70</v>
      </c>
    </row>
    <row r="323">
      <c r="A323" s="4" t="s">
        <v>33</v>
      </c>
    </row>
    <row r="324">
      <c r="A324" s="4" t="s">
        <v>506</v>
      </c>
    </row>
    <row r="325">
      <c r="A325" s="4" t="s">
        <v>509</v>
      </c>
    </row>
    <row r="326">
      <c r="A326" s="4" t="s">
        <v>92</v>
      </c>
    </row>
    <row r="327">
      <c r="A327" s="4" t="s">
        <v>510</v>
      </c>
    </row>
    <row r="328">
      <c r="A328" s="4" t="s">
        <v>33</v>
      </c>
    </row>
    <row r="329">
      <c r="A329" s="4" t="s">
        <v>500</v>
      </c>
    </row>
    <row r="330">
      <c r="A330" s="4" t="s">
        <v>48</v>
      </c>
    </row>
    <row r="331">
      <c r="A331" s="4" t="s">
        <v>139</v>
      </c>
    </row>
    <row r="332">
      <c r="A332" s="4" t="s">
        <v>36</v>
      </c>
    </row>
    <row r="333">
      <c r="A333" s="4" t="s">
        <v>506</v>
      </c>
    </row>
    <row r="334">
      <c r="A334" s="4" t="s">
        <v>50</v>
      </c>
    </row>
    <row r="335">
      <c r="A335" s="4" t="s">
        <v>40</v>
      </c>
    </row>
    <row r="336">
      <c r="A336" s="4" t="s">
        <v>81</v>
      </c>
    </row>
    <row r="337">
      <c r="A337" s="4" t="s">
        <v>3013</v>
      </c>
    </row>
    <row r="338">
      <c r="A338" s="4" t="s">
        <v>3014</v>
      </c>
    </row>
    <row r="339">
      <c r="A339" s="4" t="s">
        <v>3015</v>
      </c>
    </row>
    <row r="340">
      <c r="A340" s="4" t="s">
        <v>3016</v>
      </c>
    </row>
    <row r="341">
      <c r="A341" s="4" t="s">
        <v>33</v>
      </c>
    </row>
    <row r="342">
      <c r="A342" s="4" t="s">
        <v>34</v>
      </c>
    </row>
    <row r="343">
      <c r="A343" s="4" t="s">
        <v>44</v>
      </c>
    </row>
    <row r="344">
      <c r="A344" s="4" t="s">
        <v>513</v>
      </c>
    </row>
    <row r="345">
      <c r="A345" s="4" t="s">
        <v>533</v>
      </c>
    </row>
    <row r="346">
      <c r="A346" s="4" t="s">
        <v>518</v>
      </c>
    </row>
    <row r="347">
      <c r="A347" s="4" t="s">
        <v>1359</v>
      </c>
    </row>
    <row r="348">
      <c r="A348" s="4" t="s">
        <v>935</v>
      </c>
    </row>
    <row r="349">
      <c r="A349" s="4" t="s">
        <v>48</v>
      </c>
    </row>
    <row r="350">
      <c r="A350" s="4" t="s">
        <v>107</v>
      </c>
    </row>
    <row r="351">
      <c r="A351" s="4" t="s">
        <v>41</v>
      </c>
    </row>
    <row r="352">
      <c r="A352" s="4" t="s">
        <v>3017</v>
      </c>
    </row>
    <row r="353">
      <c r="A353" s="4" t="s">
        <v>88</v>
      </c>
    </row>
    <row r="354">
      <c r="A354" s="4" t="s">
        <v>75</v>
      </c>
    </row>
    <row r="355">
      <c r="A355" s="4" t="s">
        <v>33</v>
      </c>
    </row>
    <row r="356">
      <c r="A356" s="4" t="s">
        <v>506</v>
      </c>
    </row>
    <row r="357">
      <c r="A357" s="4" t="s">
        <v>872</v>
      </c>
    </row>
    <row r="358">
      <c r="A358" s="4" t="s">
        <v>44</v>
      </c>
    </row>
    <row r="359">
      <c r="A359" s="4" t="s">
        <v>1341</v>
      </c>
    </row>
    <row r="360">
      <c r="A360" s="4" t="s">
        <v>1342</v>
      </c>
    </row>
    <row r="361">
      <c r="A361" s="4" t="s">
        <v>160</v>
      </c>
    </row>
    <row r="362">
      <c r="A362" s="4" t="s">
        <v>527</v>
      </c>
    </row>
    <row r="363">
      <c r="A363" s="4" t="s">
        <v>33</v>
      </c>
    </row>
    <row r="364">
      <c r="A364" s="4" t="s">
        <v>34</v>
      </c>
    </row>
    <row r="365">
      <c r="A365" s="4" t="s">
        <v>44</v>
      </c>
    </row>
    <row r="366">
      <c r="A366" s="4" t="s">
        <v>513</v>
      </c>
    </row>
    <row r="367">
      <c r="A367" s="4" t="s">
        <v>533</v>
      </c>
    </row>
    <row r="368">
      <c r="A368" s="4" t="s">
        <v>518</v>
      </c>
    </row>
    <row r="369">
      <c r="A369" s="4" t="s">
        <v>939</v>
      </c>
    </row>
    <row r="370">
      <c r="A370" s="4" t="s">
        <v>544</v>
      </c>
    </row>
    <row r="371">
      <c r="A371" s="4" t="s">
        <v>88</v>
      </c>
    </row>
    <row r="372">
      <c r="A372" s="4" t="s">
        <v>89</v>
      </c>
    </row>
    <row r="373">
      <c r="A373" s="4" t="s">
        <v>2995</v>
      </c>
    </row>
    <row r="374">
      <c r="A374" s="4" t="s">
        <v>33</v>
      </c>
    </row>
    <row r="375">
      <c r="A375" s="4" t="s">
        <v>64</v>
      </c>
    </row>
    <row r="376">
      <c r="A376" s="4" t="s">
        <v>1390</v>
      </c>
    </row>
    <row r="377">
      <c r="A377" s="4" t="s">
        <v>40</v>
      </c>
    </row>
    <row r="378">
      <c r="A378" s="4" t="s">
        <v>166</v>
      </c>
    </row>
    <row r="379">
      <c r="A379" s="4" t="s">
        <v>497</v>
      </c>
    </row>
    <row r="380">
      <c r="A380" s="4" t="s">
        <v>509</v>
      </c>
    </row>
    <row r="381">
      <c r="A381" s="4" t="s">
        <v>92</v>
      </c>
    </row>
    <row r="382">
      <c r="A382" s="4" t="s">
        <v>122</v>
      </c>
    </row>
    <row r="383">
      <c r="A383" s="4" t="s">
        <v>33</v>
      </c>
    </row>
    <row r="384">
      <c r="A384" s="4" t="s">
        <v>500</v>
      </c>
    </row>
    <row r="385">
      <c r="A385" s="4" t="s">
        <v>3018</v>
      </c>
    </row>
    <row r="386">
      <c r="A386" s="4" t="s">
        <v>518</v>
      </c>
    </row>
    <row r="387">
      <c r="A387" s="4" t="s">
        <v>34</v>
      </c>
    </row>
    <row r="388">
      <c r="A388" s="4" t="s">
        <v>519</v>
      </c>
    </row>
    <row r="389">
      <c r="A389" s="4" t="s">
        <v>520</v>
      </c>
    </row>
    <row r="390">
      <c r="A390" s="4" t="s">
        <v>138</v>
      </c>
    </row>
    <row r="391">
      <c r="A391" s="4" t="s">
        <v>36</v>
      </c>
    </row>
    <row r="392">
      <c r="A392" s="4" t="s">
        <v>567</v>
      </c>
    </row>
    <row r="393">
      <c r="A393" s="4" t="s">
        <v>41</v>
      </c>
    </row>
    <row r="394">
      <c r="A394" s="4" t="s">
        <v>3019</v>
      </c>
    </row>
    <row r="395">
      <c r="A395" s="4" t="s">
        <v>88</v>
      </c>
    </row>
    <row r="396">
      <c r="A396" s="4" t="s">
        <v>89</v>
      </c>
    </row>
    <row r="397">
      <c r="A397" s="4" t="s">
        <v>33</v>
      </c>
    </row>
    <row r="398">
      <c r="A398" s="4" t="s">
        <v>506</v>
      </c>
    </row>
    <row r="399">
      <c r="A399" s="4" t="s">
        <v>565</v>
      </c>
    </row>
    <row r="400">
      <c r="A400" s="4" t="s">
        <v>40</v>
      </c>
    </row>
    <row r="401">
      <c r="A401" s="4" t="s">
        <v>75</v>
      </c>
    </row>
    <row r="402">
      <c r="A402" s="4" t="s">
        <v>119</v>
      </c>
    </row>
    <row r="403">
      <c r="A403" s="4" t="s">
        <v>500</v>
      </c>
    </row>
    <row r="404">
      <c r="A404" s="4" t="s">
        <v>33</v>
      </c>
    </row>
    <row r="405">
      <c r="A405" s="4" t="s">
        <v>34</v>
      </c>
    </row>
    <row r="406">
      <c r="A406" s="4" t="s">
        <v>90</v>
      </c>
    </row>
    <row r="407">
      <c r="A407" s="4" t="s">
        <v>92</v>
      </c>
    </row>
    <row r="408">
      <c r="A408" s="4" t="s">
        <v>522</v>
      </c>
    </row>
    <row r="409">
      <c r="A409" s="4" t="s">
        <v>973</v>
      </c>
    </row>
    <row r="410">
      <c r="A410" s="4" t="s">
        <v>77</v>
      </c>
    </row>
    <row r="411">
      <c r="A411" s="4" t="s">
        <v>3020</v>
      </c>
    </row>
    <row r="412">
      <c r="A412" s="4" t="s">
        <v>33</v>
      </c>
    </row>
    <row r="413">
      <c r="A413" s="4" t="s">
        <v>34</v>
      </c>
    </row>
    <row r="414">
      <c r="A414" s="4" t="s">
        <v>121</v>
      </c>
    </row>
    <row r="415">
      <c r="A415" s="4" t="s">
        <v>92</v>
      </c>
    </row>
    <row r="416">
      <c r="A416" s="4" t="s">
        <v>122</v>
      </c>
    </row>
    <row r="417">
      <c r="A417" s="4" t="s">
        <v>537</v>
      </c>
    </row>
    <row r="418">
      <c r="A418" s="4" t="s">
        <v>33</v>
      </c>
    </row>
    <row r="419">
      <c r="A419" s="4" t="s">
        <v>34</v>
      </c>
    </row>
    <row r="420">
      <c r="A420" s="4" t="s">
        <v>497</v>
      </c>
    </row>
    <row r="421">
      <c r="A421" s="4" t="s">
        <v>40</v>
      </c>
    </row>
    <row r="422">
      <c r="A422" s="4" t="s">
        <v>552</v>
      </c>
    </row>
    <row r="423">
      <c r="A423" s="4" t="s">
        <v>3018</v>
      </c>
    </row>
    <row r="424">
      <c r="A424" s="4" t="s">
        <v>2604</v>
      </c>
    </row>
    <row r="425">
      <c r="A425" s="4" t="s">
        <v>498</v>
      </c>
    </row>
    <row r="426">
      <c r="A426" s="4" t="s">
        <v>509</v>
      </c>
    </row>
    <row r="427">
      <c r="A427" s="4" t="s">
        <v>92</v>
      </c>
    </row>
    <row r="428">
      <c r="A428" s="4" t="s">
        <v>3021</v>
      </c>
    </row>
    <row r="429">
      <c r="A429" s="4" t="s">
        <v>3022</v>
      </c>
    </row>
    <row r="430">
      <c r="A430" s="4" t="s">
        <v>33</v>
      </c>
    </row>
    <row r="431">
      <c r="A431" s="4" t="s">
        <v>34</v>
      </c>
    </row>
    <row r="432">
      <c r="A432" s="4" t="s">
        <v>90</v>
      </c>
    </row>
    <row r="433">
      <c r="A433" s="4" t="s">
        <v>44</v>
      </c>
    </row>
    <row r="434">
      <c r="A434" s="4" t="s">
        <v>513</v>
      </c>
    </row>
    <row r="435">
      <c r="A435" s="4" t="s">
        <v>514</v>
      </c>
    </row>
    <row r="436">
      <c r="A436" s="4" t="s">
        <v>518</v>
      </c>
    </row>
    <row r="437">
      <c r="A437" s="4" t="s">
        <v>939</v>
      </c>
    </row>
    <row r="438">
      <c r="A438" s="4" t="s">
        <v>544</v>
      </c>
    </row>
    <row r="439">
      <c r="A439" s="4" t="s">
        <v>41</v>
      </c>
    </row>
    <row r="440">
      <c r="A440" s="4" t="s">
        <v>139</v>
      </c>
    </row>
    <row r="441">
      <c r="A441" s="4" t="s">
        <v>33</v>
      </c>
    </row>
    <row r="442">
      <c r="A442" s="4" t="s">
        <v>506</v>
      </c>
    </row>
    <row r="443">
      <c r="A443" s="4" t="s">
        <v>50</v>
      </c>
    </row>
    <row r="444">
      <c r="A444" s="4" t="s">
        <v>40</v>
      </c>
    </row>
    <row r="445">
      <c r="A445" s="4" t="s">
        <v>129</v>
      </c>
    </row>
    <row r="446">
      <c r="A446" s="4" t="s">
        <v>1350</v>
      </c>
    </row>
    <row r="447">
      <c r="A447" s="4" t="s">
        <v>48</v>
      </c>
    </row>
    <row r="448">
      <c r="A448" s="4" t="s">
        <v>126</v>
      </c>
    </row>
    <row r="449">
      <c r="A449" s="4" t="s">
        <v>139</v>
      </c>
    </row>
    <row r="450">
      <c r="A450" s="4" t="s">
        <v>41</v>
      </c>
    </row>
    <row r="451">
      <c r="A451" s="4" t="s">
        <v>1338</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2624</v>
      </c>
      <c r="D2" s="4" t="str">
        <f t="shared" ref="D2:D451" si="1">C2</f>
        <v>{"valorA":"funciona","valorB":1}</v>
      </c>
      <c r="E2" s="8" t="str">
        <f t="shared" ref="E2:E451" si="2">SUBSTITUTE(MID(C2,FIND(":",C2)+1,FIND(",",C2)-FIND(":",C2)-1),"""","")</f>
        <v>funciona</v>
      </c>
      <c r="F2" s="8" t="str">
        <f>IFERROR(__xludf.DUMMYFUNCTION("UNIQUE(E2:E451)"),"funciona")</f>
        <v>funciona</v>
      </c>
      <c r="G2" s="8" t="str">
        <f t="shared" ref="G2:G451" si="3">MID(C2,FIND("valorB",C2)+8,FIND("}",C2)-FIND("valorB",C2)-8)</f>
        <v>1</v>
      </c>
      <c r="H2" s="9">
        <f t="shared" ref="H2:H451" si="4">VALUE(SUBSTITUTE(G2,".",","))</f>
        <v>1</v>
      </c>
      <c r="I2" s="10">
        <f>IFERROR(__xludf.DUMMYFUNCTION("MAX(FILTER($H$2:$H451,$E$2:$E451=F2))"),11.0)</f>
        <v>11</v>
      </c>
    </row>
    <row r="3">
      <c r="A3" s="4"/>
      <c r="C3" s="4" t="s">
        <v>2679</v>
      </c>
      <c r="D3" s="4" t="str">
        <f t="shared" si="1"/>
        <v>{"valorA":"é","valorB":1}</v>
      </c>
      <c r="E3" s="8" t="str">
        <f t="shared" si="2"/>
        <v>é</v>
      </c>
      <c r="F3" s="8" t="str">
        <f>IFERROR(__xludf.DUMMYFUNCTION("""COMPUTED_VALUE"""),"é")</f>
        <v>é</v>
      </c>
      <c r="G3" s="8" t="str">
        <f t="shared" si="3"/>
        <v>1</v>
      </c>
      <c r="H3" s="9">
        <f t="shared" si="4"/>
        <v>1</v>
      </c>
      <c r="I3" s="10">
        <f>IFERROR(__xludf.DUMMYFUNCTION("MAX(FILTER($H$2:$H451,$E$2:$E451=F3))"),1.0)</f>
        <v>1</v>
      </c>
    </row>
    <row r="4">
      <c r="A4" s="4"/>
      <c r="C4" s="4" t="s">
        <v>2680</v>
      </c>
      <c r="D4" s="4" t="str">
        <f t="shared" si="1"/>
        <v>{"valorA":"de","valorB":1}</v>
      </c>
      <c r="E4" s="8" t="str">
        <f t="shared" si="2"/>
        <v>de</v>
      </c>
      <c r="F4" s="8" t="str">
        <f>IFERROR(__xludf.DUMMYFUNCTION("""COMPUTED_VALUE"""),"de")</f>
        <v>de</v>
      </c>
      <c r="G4" s="8" t="str">
        <f t="shared" si="3"/>
        <v>1</v>
      </c>
      <c r="H4" s="9">
        <f t="shared" si="4"/>
        <v>1</v>
      </c>
      <c r="I4" s="10">
        <f>IFERROR(__xludf.DUMMYFUNCTION("MAX(FILTER($H$2:$H451,$E$2:$E451=F4))"),18.0)</f>
        <v>18</v>
      </c>
    </row>
    <row r="5">
      <c r="A5" s="4"/>
      <c r="C5" s="4" t="s">
        <v>2681</v>
      </c>
      <c r="D5" s="4" t="str">
        <f t="shared" si="1"/>
        <v>{"valorA":"usar","valorB":1}</v>
      </c>
      <c r="E5" s="8" t="str">
        <f t="shared" si="2"/>
        <v>usar</v>
      </c>
      <c r="F5" s="8" t="str">
        <f>IFERROR(__xludf.DUMMYFUNCTION("""COMPUTED_VALUE"""),"usar")</f>
        <v>usar</v>
      </c>
      <c r="G5" s="8" t="str">
        <f t="shared" si="3"/>
        <v>1</v>
      </c>
      <c r="H5" s="9">
        <f t="shared" si="4"/>
        <v>1</v>
      </c>
      <c r="I5" s="10">
        <f>IFERROR(__xludf.DUMMYFUNCTION("MAX(FILTER($H$2:$H451,$E$2:$E451=F5))"),10.0)</f>
        <v>10</v>
      </c>
    </row>
    <row r="6">
      <c r="A6" s="4"/>
      <c r="C6" s="4" t="s">
        <v>2678</v>
      </c>
      <c r="D6" s="4" t="str">
        <f t="shared" si="1"/>
        <v>{"valorA":"funciona","valorB":2}</v>
      </c>
      <c r="E6" s="8" t="str">
        <f t="shared" si="2"/>
        <v>funciona</v>
      </c>
      <c r="F6" s="8" t="str">
        <f>IFERROR(__xludf.DUMMYFUNCTION("""COMPUTED_VALUE"""),"confiável")</f>
        <v>confiável</v>
      </c>
      <c r="G6" s="8" t="str">
        <f t="shared" si="3"/>
        <v>2</v>
      </c>
      <c r="H6" s="9">
        <f t="shared" si="4"/>
        <v>2</v>
      </c>
      <c r="I6" s="10">
        <f>IFERROR(__xludf.DUMMYFUNCTION("MAX(FILTER($H$2:$H451,$E$2:$E451=F6))"),1.0)</f>
        <v>1</v>
      </c>
    </row>
    <row r="7">
      <c r="A7" s="4"/>
      <c r="C7" s="4" t="s">
        <v>2622</v>
      </c>
      <c r="D7" s="4" t="str">
        <f t="shared" si="1"/>
        <v>{"valorA":"confiável","valorB":1}</v>
      </c>
      <c r="E7" s="8" t="str">
        <f t="shared" si="2"/>
        <v>confiável</v>
      </c>
      <c r="F7" s="8" t="str">
        <f>IFERROR(__xludf.DUMMYFUNCTION("""COMPUTED_VALUE"""),"bom")</f>
        <v>bom</v>
      </c>
      <c r="G7" s="8" t="str">
        <f t="shared" si="3"/>
        <v>1</v>
      </c>
      <c r="H7" s="9">
        <f t="shared" si="4"/>
        <v>1</v>
      </c>
      <c r="I7" s="10">
        <f>IFERROR(__xludf.DUMMYFUNCTION("MAX(FILTER($H$2:$H451,$E$2:$E451=F7))"),6.0)</f>
        <v>6</v>
      </c>
    </row>
    <row r="8">
      <c r="A8" s="4"/>
      <c r="C8" s="4" t="s">
        <v>3023</v>
      </c>
      <c r="D8" s="4" t="str">
        <f t="shared" si="1"/>
        <v>{"valorA":"bom","valorB":1}</v>
      </c>
      <c r="E8" s="8" t="str">
        <f t="shared" si="2"/>
        <v>bom</v>
      </c>
      <c r="F8" s="8" t="str">
        <f>IFERROR(__xludf.DUMMYFUNCTION("""COMPUTED_VALUE"""),"ótimo")</f>
        <v>ótimo</v>
      </c>
      <c r="G8" s="8" t="str">
        <f t="shared" si="3"/>
        <v>1</v>
      </c>
      <c r="H8" s="9">
        <f t="shared" si="4"/>
        <v>1</v>
      </c>
      <c r="I8" s="10">
        <f>IFERROR(__xludf.DUMMYFUNCTION("MAX(FILTER($H$2:$H451,$E$2:$E451=F8))"),49.0)</f>
        <v>49</v>
      </c>
    </row>
    <row r="9">
      <c r="A9" s="4"/>
      <c r="C9" s="4" t="s">
        <v>2639</v>
      </c>
      <c r="D9" s="4" t="str">
        <f t="shared" si="1"/>
        <v>{"valorA":"ótimo","valorB":1}</v>
      </c>
      <c r="E9" s="8" t="str">
        <f t="shared" si="2"/>
        <v>ótimo</v>
      </c>
      <c r="F9" s="8" t="str">
        <f>IFERROR(__xludf.DUMMYFUNCTION("""COMPUTED_VALUE"""),"preço")</f>
        <v>preço</v>
      </c>
      <c r="G9" s="8" t="str">
        <f t="shared" si="3"/>
        <v>1</v>
      </c>
      <c r="H9" s="9">
        <f t="shared" si="4"/>
        <v>1</v>
      </c>
      <c r="I9" s="10">
        <f>IFERROR(__xludf.DUMMYFUNCTION("MAX(FILTER($H$2:$H451,$E$2:$E451=F9))"),14.0)</f>
        <v>14</v>
      </c>
    </row>
    <row r="10">
      <c r="A10" s="4"/>
      <c r="C10" s="4" t="s">
        <v>2655</v>
      </c>
      <c r="D10" s="4" t="str">
        <f t="shared" si="1"/>
        <v>{"valorA":"preço","valorB":1}</v>
      </c>
      <c r="E10" s="8" t="str">
        <f t="shared" si="2"/>
        <v>preço</v>
      </c>
      <c r="F10" s="8" t="str">
        <f>IFERROR(__xludf.DUMMYFUNCTION("""COMPUTED_VALUE"""),"para")</f>
        <v>para</v>
      </c>
      <c r="G10" s="8" t="str">
        <f t="shared" si="3"/>
        <v>1</v>
      </c>
      <c r="H10" s="9">
        <f t="shared" si="4"/>
        <v>1</v>
      </c>
      <c r="I10" s="10">
        <f>IFERROR(__xludf.DUMMYFUNCTION("MAX(FILTER($H$2:$H451,$E$2:$E451=F10))"),15.0)</f>
        <v>15</v>
      </c>
    </row>
    <row r="11">
      <c r="A11" s="4"/>
      <c r="C11" s="4" t="s">
        <v>2627</v>
      </c>
      <c r="D11" s="4" t="str">
        <f t="shared" si="1"/>
        <v>{"valorA":"para","valorB":1}</v>
      </c>
      <c r="E11" s="8" t="str">
        <f t="shared" si="2"/>
        <v>para</v>
      </c>
      <c r="F11" s="8" t="str">
        <f>IFERROR(__xludf.DUMMYFUNCTION("""COMPUTED_VALUE"""),"este")</f>
        <v>este</v>
      </c>
      <c r="G11" s="8" t="str">
        <f t="shared" si="3"/>
        <v>1</v>
      </c>
      <c r="H11" s="9">
        <f t="shared" si="4"/>
        <v>1</v>
      </c>
      <c r="I11" s="10">
        <f>IFERROR(__xludf.DUMMYFUNCTION("MAX(FILTER($H$2:$H451,$E$2:$E451=F11))"),2.0)</f>
        <v>2</v>
      </c>
    </row>
    <row r="12">
      <c r="A12" s="4"/>
      <c r="C12" s="4" t="s">
        <v>2629</v>
      </c>
      <c r="D12" s="4" t="str">
        <f t="shared" si="1"/>
        <v>{"valorA":"este","valorB":1}</v>
      </c>
      <c r="E12" s="8" t="str">
        <f t="shared" si="2"/>
        <v>este</v>
      </c>
      <c r="F12" s="8" t="str">
        <f>IFERROR(__xludf.DUMMYFUNCTION("""COMPUTED_VALUE"""),"tão")</f>
        <v>tão</v>
      </c>
      <c r="G12" s="8" t="str">
        <f t="shared" si="3"/>
        <v>1</v>
      </c>
      <c r="H12" s="9">
        <f t="shared" si="4"/>
        <v>1</v>
      </c>
      <c r="I12" s="10">
        <f>IFERROR(__xludf.DUMMYFUNCTION("MAX(FILTER($H$2:$H451,$E$2:$E451=F12))"),5.0)</f>
        <v>5</v>
      </c>
    </row>
    <row r="13">
      <c r="A13" s="4"/>
      <c r="C13" s="4" t="s">
        <v>3024</v>
      </c>
      <c r="D13" s="4" t="str">
        <f t="shared" si="1"/>
        <v>{"valorA":"tão","valorB":1}</v>
      </c>
      <c r="E13" s="8" t="str">
        <f t="shared" si="2"/>
        <v>tão</v>
      </c>
      <c r="F13" s="8" t="str">
        <f>IFERROR(__xludf.DUMMYFUNCTION("""COMPUTED_VALUE"""),"um")</f>
        <v>um</v>
      </c>
      <c r="G13" s="8" t="str">
        <f t="shared" si="3"/>
        <v>1</v>
      </c>
      <c r="H13" s="9">
        <f t="shared" si="4"/>
        <v>1</v>
      </c>
      <c r="I13" s="10">
        <f>IFERROR(__xludf.DUMMYFUNCTION("MAX(FILTER($H$2:$H451,$E$2:$E451=F13))"),8.0)</f>
        <v>8</v>
      </c>
    </row>
    <row r="14">
      <c r="A14" s="4"/>
      <c r="C14" s="4" t="s">
        <v>3025</v>
      </c>
      <c r="D14" s="4" t="str">
        <f t="shared" si="1"/>
        <v>{"valorA":"um","valorB":1}</v>
      </c>
      <c r="E14" s="8" t="str">
        <f t="shared" si="2"/>
        <v>um</v>
      </c>
      <c r="F14" s="8" t="str">
        <f>IFERROR(__xludf.DUMMYFUNCTION("""COMPUTED_VALUE"""),"bem")</f>
        <v>bem</v>
      </c>
      <c r="G14" s="8" t="str">
        <f t="shared" si="3"/>
        <v>1</v>
      </c>
      <c r="H14" s="9">
        <f t="shared" si="4"/>
        <v>1</v>
      </c>
      <c r="I14" s="10">
        <f>IFERROR(__xludf.DUMMYFUNCTION("MAX(FILTER($H$2:$H451,$E$2:$E451=F14))"),10.0)</f>
        <v>10</v>
      </c>
    </row>
    <row r="15">
      <c r="A15" s="4"/>
      <c r="C15" s="4" t="s">
        <v>2675</v>
      </c>
      <c r="D15" s="4" t="str">
        <f t="shared" si="1"/>
        <v>{"valorA":"bem","valorB":1}</v>
      </c>
      <c r="E15" s="8" t="str">
        <f t="shared" si="2"/>
        <v>bem</v>
      </c>
      <c r="F15" s="8" t="str">
        <f>IFERROR(__xludf.DUMMYFUNCTION("""COMPUTED_VALUE"""),"e")</f>
        <v>e</v>
      </c>
      <c r="G15" s="8" t="str">
        <f t="shared" si="3"/>
        <v>1</v>
      </c>
      <c r="H15" s="9">
        <f t="shared" si="4"/>
        <v>1</v>
      </c>
      <c r="I15" s="10">
        <f>IFERROR(__xludf.DUMMYFUNCTION("MAX(FILTER($H$2:$H451,$E$2:$E451=F15))"),17.0)</f>
        <v>17</v>
      </c>
    </row>
    <row r="16">
      <c r="A16" s="4"/>
      <c r="C16" s="4" t="s">
        <v>2658</v>
      </c>
      <c r="D16" s="4" t="str">
        <f t="shared" si="1"/>
        <v>{"valorA":"e","valorB":1}</v>
      </c>
      <c r="E16" s="8" t="str">
        <f t="shared" si="2"/>
        <v>e</v>
      </c>
      <c r="F16" s="8" t="str">
        <f>IFERROR(__xludf.DUMMYFUNCTION("""COMPUTED_VALUE"""),"perfeitamente")</f>
        <v>perfeitamente</v>
      </c>
      <c r="G16" s="8" t="str">
        <f t="shared" si="3"/>
        <v>1</v>
      </c>
      <c r="H16" s="9">
        <f t="shared" si="4"/>
        <v>1</v>
      </c>
      <c r="I16" s="10">
        <f>IFERROR(__xludf.DUMMYFUNCTION("MAX(FILTER($H$2:$H451,$E$2:$E451=F16))"),4.0)</f>
        <v>4</v>
      </c>
    </row>
    <row r="17">
      <c r="A17" s="4"/>
      <c r="C17" s="4" t="s">
        <v>2646</v>
      </c>
      <c r="D17" s="4" t="str">
        <f t="shared" si="1"/>
        <v>{"valorA":"perfeitamente","valorB":1}</v>
      </c>
      <c r="E17" s="8" t="str">
        <f t="shared" si="2"/>
        <v>perfeitamente</v>
      </c>
      <c r="F17" s="8" t="str">
        <f>IFERROR(__xludf.DUMMYFUNCTION("""COMPUTED_VALUE"""),"laptop")</f>
        <v>laptop</v>
      </c>
      <c r="G17" s="8" t="str">
        <f t="shared" si="3"/>
        <v>1</v>
      </c>
      <c r="H17" s="9">
        <f t="shared" si="4"/>
        <v>1</v>
      </c>
      <c r="I17" s="10">
        <f>IFERROR(__xludf.DUMMYFUNCTION("MAX(FILTER($H$2:$H451,$E$2:$E451=F17))"),3.0)</f>
        <v>3</v>
      </c>
    </row>
    <row r="18">
      <c r="A18" s="4"/>
      <c r="C18" s="4" t="s">
        <v>3026</v>
      </c>
      <c r="D18" s="4" t="str">
        <f t="shared" si="1"/>
        <v>{"valorA":"laptop","valorB":1}</v>
      </c>
      <c r="E18" s="8" t="str">
        <f t="shared" si="2"/>
        <v>laptop</v>
      </c>
      <c r="F18" s="8" t="str">
        <f>IFERROR(__xludf.DUMMYFUNCTION("""COMPUTED_VALUE"""),"produto")</f>
        <v>produto</v>
      </c>
      <c r="G18" s="8" t="str">
        <f t="shared" si="3"/>
        <v>1</v>
      </c>
      <c r="H18" s="9">
        <f t="shared" si="4"/>
        <v>1</v>
      </c>
      <c r="I18" s="10">
        <f>IFERROR(__xludf.DUMMYFUNCTION("MAX(FILTER($H$2:$H451,$E$2:$E451=F18))"),32.0)</f>
        <v>32</v>
      </c>
    </row>
    <row r="19">
      <c r="A19" s="4"/>
      <c r="C19" s="4" t="s">
        <v>2634</v>
      </c>
      <c r="D19" s="4" t="str">
        <f t="shared" si="1"/>
        <v>{"valorA":"produto","valorB":1}</v>
      </c>
      <c r="E19" s="8" t="str">
        <f t="shared" si="2"/>
        <v>produto</v>
      </c>
      <c r="F19" s="8" t="str">
        <f>IFERROR(__xludf.DUMMYFUNCTION("""COMPUTED_VALUE"""),"como")</f>
        <v>como</v>
      </c>
      <c r="G19" s="8" t="str">
        <f t="shared" si="3"/>
        <v>1</v>
      </c>
      <c r="H19" s="9">
        <f t="shared" si="4"/>
        <v>1</v>
      </c>
      <c r="I19" s="10">
        <f>IFERROR(__xludf.DUMMYFUNCTION("MAX(FILTER($H$2:$H451,$E$2:$E451=F19))"),3.0)</f>
        <v>3</v>
      </c>
    </row>
    <row r="20">
      <c r="A20" s="4"/>
      <c r="C20" s="4" t="s">
        <v>3027</v>
      </c>
      <c r="D20" s="4" t="str">
        <f t="shared" si="1"/>
        <v>{"valorA":"como","valorB":1}</v>
      </c>
      <c r="E20" s="8" t="str">
        <f t="shared" si="2"/>
        <v>como</v>
      </c>
      <c r="F20" s="8" t="str">
        <f>IFERROR(__xludf.DUMMYFUNCTION("""COMPUTED_VALUE"""),"fácil")</f>
        <v>fácil</v>
      </c>
      <c r="G20" s="8" t="str">
        <f t="shared" si="3"/>
        <v>1</v>
      </c>
      <c r="H20" s="9">
        <f t="shared" si="4"/>
        <v>1</v>
      </c>
      <c r="I20" s="10">
        <f>IFERROR(__xludf.DUMMYFUNCTION("MAX(FILTER($H$2:$H451,$E$2:$E451=F20))"),11.0)</f>
        <v>11</v>
      </c>
    </row>
    <row r="21">
      <c r="A21" s="4"/>
      <c r="C21" s="4" t="s">
        <v>2650</v>
      </c>
      <c r="D21" s="4" t="str">
        <f t="shared" si="1"/>
        <v>{"valorA":"produto","valorB":2}</v>
      </c>
      <c r="E21" s="8" t="str">
        <f t="shared" si="2"/>
        <v>produto</v>
      </c>
      <c r="F21" s="8" t="str">
        <f>IFERROR(__xludf.DUMMYFUNCTION("""COMPUTED_VALUE"""),"crianças")</f>
        <v>crianças</v>
      </c>
      <c r="G21" s="8" t="str">
        <f t="shared" si="3"/>
        <v>2</v>
      </c>
      <c r="H21" s="9">
        <f t="shared" si="4"/>
        <v>2</v>
      </c>
      <c r="I21" s="10">
        <f>IFERROR(__xludf.DUMMYFUNCTION("MAX(FILTER($H$2:$H451,$E$2:$E451=F21))"),1.0)</f>
        <v>1</v>
      </c>
    </row>
    <row r="22">
      <c r="A22" s="4"/>
      <c r="C22" s="4" t="s">
        <v>2652</v>
      </c>
      <c r="D22" s="4" t="str">
        <f t="shared" si="1"/>
        <v>{"valorA":"ótimo","valorB":2}</v>
      </c>
      <c r="E22" s="8" t="str">
        <f t="shared" si="2"/>
        <v>ótimo</v>
      </c>
      <c r="F22" s="8" t="str">
        <f>IFERROR(__xludf.DUMMYFUNCTION("""COMPUTED_VALUE"""),"tablet")</f>
        <v>tablet</v>
      </c>
      <c r="G22" s="8" t="str">
        <f t="shared" si="3"/>
        <v>2</v>
      </c>
      <c r="H22" s="9">
        <f t="shared" si="4"/>
        <v>2</v>
      </c>
      <c r="I22" s="10">
        <f>IFERROR(__xludf.DUMMYFUNCTION("MAX(FILTER($H$2:$H451,$E$2:$E451=F22))"),3.0)</f>
        <v>3</v>
      </c>
    </row>
    <row r="23">
      <c r="A23" s="4"/>
      <c r="C23" s="4" t="s">
        <v>2653</v>
      </c>
      <c r="D23" s="4" t="str">
        <f t="shared" si="1"/>
        <v>{"valorA":"ótimo","valorB":3}</v>
      </c>
      <c r="E23" s="8" t="str">
        <f t="shared" si="2"/>
        <v>ótimo</v>
      </c>
      <c r="F23" s="8" t="str">
        <f>IFERROR(__xludf.DUMMYFUNCTION("""COMPUTED_VALUE"""),"com")</f>
        <v>com</v>
      </c>
      <c r="G23" s="8" t="str">
        <f t="shared" si="3"/>
        <v>3</v>
      </c>
      <c r="H23" s="9">
        <f t="shared" si="4"/>
        <v>3</v>
      </c>
      <c r="I23" s="10">
        <f>IFERROR(__xludf.DUMMYFUNCTION("MAX(FILTER($H$2:$H451,$E$2:$E451=F23))"),3.0)</f>
        <v>3</v>
      </c>
    </row>
    <row r="24">
      <c r="A24" s="4"/>
      <c r="C24" s="4" t="s">
        <v>2677</v>
      </c>
      <c r="D24" s="4" t="str">
        <f t="shared" si="1"/>
        <v>{"valorA":"fácil","valorB":1}</v>
      </c>
      <c r="E24" s="8" t="str">
        <f t="shared" si="2"/>
        <v>fácil</v>
      </c>
      <c r="F24" s="8" t="str">
        <f>IFERROR(__xludf.DUMMYFUNCTION("""COMPUTED_VALUE"""),"filhos")</f>
        <v>filhos</v>
      </c>
      <c r="G24" s="8" t="str">
        <f t="shared" si="3"/>
        <v>1</v>
      </c>
      <c r="H24" s="9">
        <f t="shared" si="4"/>
        <v>1</v>
      </c>
      <c r="I24" s="10">
        <f>IFERROR(__xludf.DUMMYFUNCTION("MAX(FILTER($H$2:$H451,$E$2:$E451=F24))"),1.0)</f>
        <v>1</v>
      </c>
    </row>
    <row r="25">
      <c r="A25" s="4"/>
      <c r="C25" s="4" t="s">
        <v>2631</v>
      </c>
      <c r="D25" s="4" t="str">
        <f t="shared" si="1"/>
        <v>{"valorA":"crianças","valorB":1}</v>
      </c>
      <c r="E25" s="8" t="str">
        <f t="shared" si="2"/>
        <v>crianças</v>
      </c>
      <c r="F25" s="8" t="str">
        <f>IFERROR(__xludf.DUMMYFUNCTION("""COMPUTED_VALUE"""),"brincar")</f>
        <v>brincar</v>
      </c>
      <c r="G25" s="8" t="str">
        <f t="shared" si="3"/>
        <v>1</v>
      </c>
      <c r="H25" s="9">
        <f t="shared" si="4"/>
        <v>1</v>
      </c>
      <c r="I25" s="10">
        <f>IFERROR(__xludf.DUMMYFUNCTION("MAX(FILTER($H$2:$H451,$E$2:$E451=F25))"),1.0)</f>
        <v>1</v>
      </c>
    </row>
    <row r="26">
      <c r="A26" s="4"/>
      <c r="C26" s="4" t="s">
        <v>3028</v>
      </c>
      <c r="D26" s="4" t="str">
        <f t="shared" si="1"/>
        <v>{"valorA":"tablet","valorB":1}</v>
      </c>
      <c r="E26" s="8" t="str">
        <f t="shared" si="2"/>
        <v>tablet</v>
      </c>
      <c r="F26" s="8" t="str">
        <f>IFERROR(__xludf.DUMMYFUNCTION("""COMPUTED_VALUE"""),"ele")</f>
        <v>ele</v>
      </c>
      <c r="G26" s="8" t="str">
        <f t="shared" si="3"/>
        <v>1</v>
      </c>
      <c r="H26" s="9">
        <f t="shared" si="4"/>
        <v>1</v>
      </c>
      <c r="I26" s="10">
        <f>IFERROR(__xludf.DUMMYFUNCTION("MAX(FILTER($H$2:$H451,$E$2:$E451=F26))"),2.0)</f>
        <v>2</v>
      </c>
    </row>
    <row r="27">
      <c r="A27" s="4"/>
      <c r="C27" s="4" t="s">
        <v>2657</v>
      </c>
      <c r="D27" s="4" t="str">
        <f t="shared" si="1"/>
        <v>{"valorA":"ótimo","valorB":4}</v>
      </c>
      <c r="E27" s="8" t="str">
        <f t="shared" si="2"/>
        <v>ótimo</v>
      </c>
      <c r="F27" s="8" t="str">
        <f>IFERROR(__xludf.DUMMYFUNCTION("""COMPUTED_VALUE"""),"adoram")</f>
        <v>adoram</v>
      </c>
      <c r="G27" s="8" t="str">
        <f t="shared" si="3"/>
        <v>4</v>
      </c>
      <c r="H27" s="9">
        <f t="shared" si="4"/>
        <v>4</v>
      </c>
      <c r="I27" s="10">
        <f>IFERROR(__xludf.DUMMYFUNCTION("MAX(FILTER($H$2:$H451,$E$2:$E451=F27))"),1.0)</f>
        <v>1</v>
      </c>
    </row>
    <row r="28">
      <c r="A28" s="4"/>
      <c r="C28" s="4" t="s">
        <v>2666</v>
      </c>
      <c r="D28" s="4" t="str">
        <f t="shared" si="1"/>
        <v>{"valorA":"com","valorB":1}</v>
      </c>
      <c r="E28" s="8" t="str">
        <f t="shared" si="2"/>
        <v>com</v>
      </c>
      <c r="F28" s="8" t="str">
        <f>IFERROR(__xludf.DUMMYFUNCTION("""COMPUTED_VALUE"""),"meus")</f>
        <v>meus</v>
      </c>
      <c r="G28" s="8" t="str">
        <f t="shared" si="3"/>
        <v>1</v>
      </c>
      <c r="H28" s="9">
        <f t="shared" si="4"/>
        <v>1</v>
      </c>
      <c r="I28" s="10">
        <f>IFERROR(__xludf.DUMMYFUNCTION("MAX(FILTER($H$2:$H451,$E$2:$E451=F28))"),2.0)</f>
        <v>2</v>
      </c>
    </row>
    <row r="29">
      <c r="A29" s="4"/>
      <c r="C29" s="4" t="s">
        <v>2644</v>
      </c>
      <c r="D29" s="4" t="str">
        <f t="shared" si="1"/>
        <v>{"valorA":"filhos","valorB":1}</v>
      </c>
      <c r="E29" s="8" t="str">
        <f t="shared" si="2"/>
        <v>filhos</v>
      </c>
      <c r="F29" s="8" t="str">
        <f>IFERROR(__xludf.DUMMYFUNCTION("""COMPUTED_VALUE"""),"quem")</f>
        <v>quem</v>
      </c>
      <c r="G29" s="8" t="str">
        <f t="shared" si="3"/>
        <v>1</v>
      </c>
      <c r="H29" s="9">
        <f t="shared" si="4"/>
        <v>1</v>
      </c>
      <c r="I29" s="10">
        <f>IFERROR(__xludf.DUMMYFUNCTION("MAX(FILTER($H$2:$H451,$E$2:$E451=F29))"),5.0)</f>
        <v>5</v>
      </c>
    </row>
    <row r="30">
      <c r="A30" s="4"/>
      <c r="C30" s="4" t="s">
        <v>3029</v>
      </c>
      <c r="D30" s="4" t="str">
        <f t="shared" si="1"/>
        <v>{"valorA":"brincar","valorB":1}</v>
      </c>
      <c r="E30" s="8" t="str">
        <f t="shared" si="2"/>
        <v>brincar</v>
      </c>
      <c r="F30" s="8" t="str">
        <f>IFERROR(__xludf.DUMMYFUNCTION("""COMPUTED_VALUE"""),"precisa")</f>
        <v>precisa</v>
      </c>
      <c r="G30" s="8" t="str">
        <f t="shared" si="3"/>
        <v>1</v>
      </c>
      <c r="H30" s="9">
        <f t="shared" si="4"/>
        <v>1</v>
      </c>
      <c r="I30" s="10">
        <f>IFERROR(__xludf.DUMMYFUNCTION("MAX(FILTER($H$2:$H451,$E$2:$E451=F30))"),2.0)</f>
        <v>2</v>
      </c>
    </row>
    <row r="31">
      <c r="A31" s="4"/>
      <c r="C31" s="4" t="s">
        <v>2727</v>
      </c>
      <c r="D31" s="4" t="str">
        <f t="shared" si="1"/>
        <v>{"valorA":"para","valorB":2}</v>
      </c>
      <c r="E31" s="8" t="str">
        <f t="shared" si="2"/>
        <v>para</v>
      </c>
      <c r="F31" s="8" t="str">
        <f>IFERROR(__xludf.DUMMYFUNCTION("""COMPUTED_VALUE"""),"econômico")</f>
        <v>econômico</v>
      </c>
      <c r="G31" s="8" t="str">
        <f t="shared" si="3"/>
        <v>2</v>
      </c>
      <c r="H31" s="9">
        <f t="shared" si="4"/>
        <v>2</v>
      </c>
      <c r="I31" s="10">
        <f>IFERROR(__xludf.DUMMYFUNCTION("MAX(FILTER($H$2:$H451,$E$2:$E451=F31))"),4.0)</f>
        <v>4</v>
      </c>
    </row>
    <row r="32">
      <c r="A32" s="4"/>
      <c r="C32" s="4" t="s">
        <v>2672</v>
      </c>
      <c r="D32" s="4" t="str">
        <f t="shared" si="1"/>
        <v>{"valorA":"ele","valorB":1}</v>
      </c>
      <c r="E32" s="8" t="str">
        <f t="shared" si="2"/>
        <v>ele</v>
      </c>
      <c r="F32" s="8" t="str">
        <f>IFERROR(__xludf.DUMMYFUNCTION("""COMPUTED_VALUE"""),"recomendo")</f>
        <v>recomendo</v>
      </c>
      <c r="G32" s="8" t="str">
        <f t="shared" si="3"/>
        <v>1</v>
      </c>
      <c r="H32" s="9">
        <f t="shared" si="4"/>
        <v>1</v>
      </c>
      <c r="I32" s="10">
        <f>IFERROR(__xludf.DUMMYFUNCTION("MAX(FILTER($H$2:$H451,$E$2:$E451=F32))"),11.0)</f>
        <v>11</v>
      </c>
    </row>
    <row r="33">
      <c r="A33" s="4"/>
      <c r="C33" s="4" t="s">
        <v>2633</v>
      </c>
      <c r="D33" s="4" t="str">
        <f t="shared" si="1"/>
        <v>{"valorA":"adoram","valorB":1}</v>
      </c>
      <c r="E33" s="8" t="str">
        <f t="shared" si="2"/>
        <v>adoram</v>
      </c>
      <c r="F33" s="8" t="str">
        <f>IFERROR(__xludf.DUMMYFUNCTION("""COMPUTED_VALUE"""),"televisor")</f>
        <v>televisor</v>
      </c>
      <c r="G33" s="8" t="str">
        <f t="shared" si="3"/>
        <v>1</v>
      </c>
      <c r="H33" s="9">
        <f t="shared" si="4"/>
        <v>1</v>
      </c>
      <c r="I33" s="10">
        <f>IFERROR(__xludf.DUMMYFUNCTION("MAX(FILTER($H$2:$H451,$E$2:$E451=F33))"),8.0)</f>
        <v>8</v>
      </c>
    </row>
    <row r="34">
      <c r="A34" s="4"/>
      <c r="C34" s="4" t="s">
        <v>2636</v>
      </c>
      <c r="D34" s="4" t="str">
        <f t="shared" si="1"/>
        <v>{"valorA":"meus","valorB":1}</v>
      </c>
      <c r="E34" s="8" t="str">
        <f t="shared" si="2"/>
        <v>meus</v>
      </c>
      <c r="F34" s="8" t="str">
        <f>IFERROR(__xludf.DUMMYFUNCTION("""COMPUTED_VALUE"""),"qualidade")</f>
        <v>qualidade</v>
      </c>
      <c r="G34" s="8" t="str">
        <f t="shared" si="3"/>
        <v>1</v>
      </c>
      <c r="H34" s="9">
        <f t="shared" si="4"/>
        <v>1</v>
      </c>
      <c r="I34" s="10">
        <f>IFERROR(__xludf.DUMMYFUNCTION("MAX(FILTER($H$2:$H451,$E$2:$E451=F34))"),6.0)</f>
        <v>6</v>
      </c>
    </row>
    <row r="35">
      <c r="A35" s="4"/>
      <c r="C35" s="4" t="s">
        <v>2661</v>
      </c>
      <c r="D35" s="4" t="str">
        <f t="shared" si="1"/>
        <v>{"valorA":"produto","valorB":3}</v>
      </c>
      <c r="E35" s="8" t="str">
        <f t="shared" si="2"/>
        <v>produto</v>
      </c>
      <c r="F35" s="8" t="str">
        <f>IFERROR(__xludf.DUMMYFUNCTION("""COMPUTED_VALUE"""),"imagem")</f>
        <v>imagem</v>
      </c>
      <c r="G35" s="8" t="str">
        <f t="shared" si="3"/>
        <v>3</v>
      </c>
      <c r="H35" s="9">
        <f t="shared" si="4"/>
        <v>3</v>
      </c>
      <c r="I35" s="10">
        <f>IFERROR(__xludf.DUMMYFUNCTION("MAX(FILTER($H$2:$H451,$E$2:$E451=F35))"),3.0)</f>
        <v>3</v>
      </c>
    </row>
    <row r="36">
      <c r="A36" s="4"/>
      <c r="C36" s="4" t="s">
        <v>2659</v>
      </c>
      <c r="D36" s="4" t="str">
        <f t="shared" si="1"/>
        <v>{"valorA":"ótimo","valorB":5}</v>
      </c>
      <c r="E36" s="8" t="str">
        <f t="shared" si="2"/>
        <v>ótimo</v>
      </c>
      <c r="F36" s="8" t="str">
        <f>IFERROR(__xludf.DUMMYFUNCTION("""COMPUTED_VALUE"""),"amooo")</f>
        <v>amooo</v>
      </c>
      <c r="G36" s="8" t="str">
        <f t="shared" si="3"/>
        <v>5</v>
      </c>
      <c r="H36" s="9">
        <f t="shared" si="4"/>
        <v>5</v>
      </c>
      <c r="I36" s="10">
        <f>IFERROR(__xludf.DUMMYFUNCTION("MAX(FILTER($H$2:$H451,$E$2:$E451=F36))"),1.0)</f>
        <v>1</v>
      </c>
    </row>
    <row r="37">
      <c r="A37" s="4"/>
      <c r="C37" s="4" t="s">
        <v>2720</v>
      </c>
      <c r="D37" s="4" t="str">
        <f t="shared" si="1"/>
        <v>{"valorA":"de","valorB":2}</v>
      </c>
      <c r="E37" s="8" t="str">
        <f t="shared" si="2"/>
        <v>de</v>
      </c>
      <c r="F37" s="8" t="str">
        <f>IFERROR(__xludf.DUMMYFUNCTION("""COMPUTED_VALUE"""),"excelente")</f>
        <v>excelente</v>
      </c>
      <c r="G37" s="8" t="str">
        <f t="shared" si="3"/>
        <v>2</v>
      </c>
      <c r="H37" s="9">
        <f t="shared" si="4"/>
        <v>2</v>
      </c>
      <c r="I37" s="10">
        <f>IFERROR(__xludf.DUMMYFUNCTION("MAX(FILTER($H$2:$H451,$E$2:$E451=F37))"),2.0)</f>
        <v>2</v>
      </c>
    </row>
    <row r="38">
      <c r="A38" s="4"/>
      <c r="C38" s="4" t="s">
        <v>2722</v>
      </c>
      <c r="D38" s="4" t="str">
        <f t="shared" si="1"/>
        <v>{"valorA":"fácil","valorB":2}</v>
      </c>
      <c r="E38" s="8" t="str">
        <f t="shared" si="2"/>
        <v>fácil</v>
      </c>
      <c r="F38" s="8" t="str">
        <f>IFERROR(__xludf.DUMMYFUNCTION("""COMPUTED_VALUE"""),"som")</f>
        <v>som</v>
      </c>
      <c r="G38" s="8" t="str">
        <f t="shared" si="3"/>
        <v>2</v>
      </c>
      <c r="H38" s="9">
        <f t="shared" si="4"/>
        <v>2</v>
      </c>
      <c r="I38" s="10">
        <f>IFERROR(__xludf.DUMMYFUNCTION("MAX(FILTER($H$2:$H451,$E$2:$E451=F38))"),1.0)</f>
        <v>1</v>
      </c>
    </row>
    <row r="39">
      <c r="A39" s="4"/>
      <c r="C39" s="4" t="s">
        <v>2676</v>
      </c>
      <c r="D39" s="4" t="str">
        <f t="shared" si="1"/>
        <v>{"valorA":"e","valorB":2}</v>
      </c>
      <c r="E39" s="8" t="str">
        <f t="shared" si="2"/>
        <v>e</v>
      </c>
      <c r="F39" s="8" t="str">
        <f>IFERROR(__xludf.DUMMYFUNCTION("""COMPUTED_VALUE"""),"mas")</f>
        <v>mas</v>
      </c>
      <c r="G39" s="8" t="str">
        <f t="shared" si="3"/>
        <v>2</v>
      </c>
      <c r="H39" s="9">
        <f t="shared" si="4"/>
        <v>2</v>
      </c>
      <c r="I39" s="10">
        <f>IFERROR(__xludf.DUMMYFUNCTION("MAX(FILTER($H$2:$H451,$E$2:$E451=F39))"),5.0)</f>
        <v>5</v>
      </c>
    </row>
    <row r="40">
      <c r="A40" s="4"/>
      <c r="C40" s="4" t="s">
        <v>2733</v>
      </c>
      <c r="D40" s="4" t="str">
        <f t="shared" si="1"/>
        <v>{"valorA":"quem","valorB":1}</v>
      </c>
      <c r="E40" s="8" t="str">
        <f t="shared" si="2"/>
        <v>quem</v>
      </c>
      <c r="F40" s="8" t="str">
        <f>IFERROR(__xludf.DUMMYFUNCTION("""COMPUTED_VALUE"""),"paguei")</f>
        <v>paguei</v>
      </c>
      <c r="G40" s="8" t="str">
        <f t="shared" si="3"/>
        <v>1</v>
      </c>
      <c r="H40" s="9">
        <f t="shared" si="4"/>
        <v>1</v>
      </c>
      <c r="I40" s="10">
        <f>IFERROR(__xludf.DUMMYFUNCTION("MAX(FILTER($H$2:$H451,$E$2:$E451=F40))"),4.0)</f>
        <v>4</v>
      </c>
    </row>
    <row r="41">
      <c r="A41" s="4"/>
      <c r="C41" s="4" t="s">
        <v>2744</v>
      </c>
      <c r="D41" s="4" t="str">
        <f t="shared" si="1"/>
        <v>{"valorA":"para","valorB":3}</v>
      </c>
      <c r="E41" s="8" t="str">
        <f t="shared" si="2"/>
        <v>para</v>
      </c>
      <c r="F41" s="8" t="str">
        <f>IFERROR(__xludf.DUMMYFUNCTION("""COMPUTED_VALUE"""),"que")</f>
        <v>que</v>
      </c>
      <c r="G41" s="8" t="str">
        <f t="shared" si="3"/>
        <v>3</v>
      </c>
      <c r="H41" s="9">
        <f t="shared" si="4"/>
        <v>3</v>
      </c>
      <c r="I41" s="10">
        <f>IFERROR(__xludf.DUMMYFUNCTION("MAX(FILTER($H$2:$H451,$E$2:$E451=F41))"),4.0)</f>
        <v>4</v>
      </c>
    </row>
    <row r="42">
      <c r="A42" s="4"/>
      <c r="C42" s="4" t="s">
        <v>2745</v>
      </c>
      <c r="D42" s="4" t="str">
        <f t="shared" si="1"/>
        <v>{"valorA":"precisa","valorB":1}</v>
      </c>
      <c r="E42" s="8" t="str">
        <f t="shared" si="2"/>
        <v>precisa</v>
      </c>
      <c r="F42" s="8" t="str">
        <f>IFERROR(__xludf.DUMMYFUNCTION("""COMPUTED_VALUE"""),"valeu")</f>
        <v>valeu</v>
      </c>
      <c r="G42" s="8" t="str">
        <f t="shared" si="3"/>
        <v>1</v>
      </c>
      <c r="H42" s="9">
        <f t="shared" si="4"/>
        <v>1</v>
      </c>
      <c r="I42" s="10">
        <f>IFERROR(__xludf.DUMMYFUNCTION("MAX(FILTER($H$2:$H451,$E$2:$E451=F42))"),6.0)</f>
        <v>6</v>
      </c>
    </row>
    <row r="43">
      <c r="A43" s="4"/>
      <c r="C43" s="4" t="s">
        <v>3030</v>
      </c>
      <c r="D43" s="4" t="str">
        <f t="shared" si="1"/>
        <v>{"valorA":"econômico","valorB":1}</v>
      </c>
      <c r="E43" s="8" t="str">
        <f t="shared" si="2"/>
        <v>econômico</v>
      </c>
      <c r="F43" s="8" t="str">
        <f>IFERROR(__xludf.DUMMYFUNCTION("""COMPUTED_VALUE"""),"o")</f>
        <v>o</v>
      </c>
      <c r="G43" s="8" t="str">
        <f t="shared" si="3"/>
        <v>1</v>
      </c>
      <c r="H43" s="9">
        <f t="shared" si="4"/>
        <v>1</v>
      </c>
      <c r="I43" s="10">
        <f>IFERROR(__xludf.DUMMYFUNCTION("MAX(FILTER($H$2:$H451,$E$2:$E451=F43))"),5.0)</f>
        <v>5</v>
      </c>
    </row>
    <row r="44">
      <c r="A44" s="4"/>
      <c r="C44" s="4" t="s">
        <v>2724</v>
      </c>
      <c r="D44" s="4" t="str">
        <f t="shared" si="1"/>
        <v>{"valorA":"recomendo","valorB":1}</v>
      </c>
      <c r="E44" s="8" t="str">
        <f t="shared" si="2"/>
        <v>recomendo</v>
      </c>
      <c r="F44" s="8" t="str">
        <f>IFERROR(__xludf.DUMMYFUNCTION("""COMPUTED_VALUE"""),"não")</f>
        <v>não</v>
      </c>
      <c r="G44" s="8" t="str">
        <f t="shared" si="3"/>
        <v>1</v>
      </c>
      <c r="H44" s="9">
        <f t="shared" si="4"/>
        <v>1</v>
      </c>
      <c r="I44" s="10">
        <f>IFERROR(__xludf.DUMMYFUNCTION("MAX(FILTER($H$2:$H451,$E$2:$E451=F44))"),4.0)</f>
        <v>4</v>
      </c>
    </row>
    <row r="45">
      <c r="A45" s="4"/>
      <c r="C45" s="4" t="s">
        <v>2723</v>
      </c>
      <c r="D45" s="4" t="str">
        <f t="shared" si="1"/>
        <v>{"valorA":"usar","valorB":2}</v>
      </c>
      <c r="E45" s="8" t="str">
        <f t="shared" si="2"/>
        <v>usar</v>
      </c>
      <c r="F45" s="8" t="str">
        <f>IFERROR(__xludf.DUMMYFUNCTION("""COMPUTED_VALUE"""),"fotos")</f>
        <v>fotos</v>
      </c>
      <c r="G45" s="8" t="str">
        <f t="shared" si="3"/>
        <v>2</v>
      </c>
      <c r="H45" s="9">
        <f t="shared" si="4"/>
        <v>2</v>
      </c>
      <c r="I45" s="10">
        <f>IFERROR(__xludf.DUMMYFUNCTION("MAX(FILTER($H$2:$H451,$E$2:$E451=F45))"),1.0)</f>
        <v>1</v>
      </c>
    </row>
    <row r="46">
      <c r="A46" s="4"/>
      <c r="C46" s="4" t="s">
        <v>3031</v>
      </c>
      <c r="D46" s="4" t="str">
        <f t="shared" si="1"/>
        <v>{"valorA":"televisor","valorB":1}</v>
      </c>
      <c r="E46" s="8" t="str">
        <f t="shared" si="2"/>
        <v>televisor</v>
      </c>
      <c r="F46" s="8" t="str">
        <f>IFERROR(__xludf.DUMMYFUNCTION("""COMPUTED_VALUE"""),"muito")</f>
        <v>muito</v>
      </c>
      <c r="G46" s="8" t="str">
        <f t="shared" si="3"/>
        <v>1</v>
      </c>
      <c r="H46" s="9">
        <f t="shared" si="4"/>
        <v>1</v>
      </c>
      <c r="I46" s="10">
        <f>IFERROR(__xludf.DUMMYFUNCTION("MAX(FILTER($H$2:$H451,$E$2:$E451=F46))"),18.0)</f>
        <v>18</v>
      </c>
    </row>
    <row r="47">
      <c r="A47" s="4"/>
      <c r="C47" s="4" t="s">
        <v>2662</v>
      </c>
      <c r="D47" s="4" t="str">
        <f t="shared" si="1"/>
        <v>{"valorA":"ótimo","valorB":6}</v>
      </c>
      <c r="E47" s="8" t="str">
        <f t="shared" si="2"/>
        <v>ótimo</v>
      </c>
      <c r="F47" s="8" t="str">
        <f>IFERROR(__xludf.DUMMYFUNCTION("""COMPUTED_VALUE"""),"use")</f>
        <v>use</v>
      </c>
      <c r="G47" s="8" t="str">
        <f t="shared" si="3"/>
        <v>6</v>
      </c>
      <c r="H47" s="9">
        <f t="shared" si="4"/>
        <v>6</v>
      </c>
      <c r="I47" s="10">
        <f>IFERROR(__xludf.DUMMYFUNCTION("MAX(FILTER($H$2:$H451,$E$2:$E451=F47))"),1.0)</f>
        <v>1</v>
      </c>
    </row>
    <row r="48">
      <c r="A48" s="4"/>
      <c r="C48" s="4" t="s">
        <v>2878</v>
      </c>
      <c r="D48" s="4" t="str">
        <f t="shared" si="1"/>
        <v>{"valorA":"qualidade","valorB":1}</v>
      </c>
      <c r="E48" s="8" t="str">
        <f t="shared" si="2"/>
        <v>qualidade</v>
      </c>
      <c r="F48" s="8" t="str">
        <f>IFERROR(__xludf.DUMMYFUNCTION("""COMPUTED_VALUE"""),"câmera")</f>
        <v>câmera</v>
      </c>
      <c r="G48" s="8" t="str">
        <f t="shared" si="3"/>
        <v>1</v>
      </c>
      <c r="H48" s="9">
        <f t="shared" si="4"/>
        <v>1</v>
      </c>
      <c r="I48" s="10">
        <f>IFERROR(__xludf.DUMMYFUNCTION("MAX(FILTER($H$2:$H451,$E$2:$E451=F48))"),1.0)</f>
        <v>1</v>
      </c>
    </row>
    <row r="49">
      <c r="A49" s="4"/>
      <c r="C49" s="4" t="s">
        <v>3032</v>
      </c>
      <c r="D49" s="4" t="str">
        <f t="shared" si="1"/>
        <v>{"valorA":"imagem","valorB":1}</v>
      </c>
      <c r="E49" s="8" t="str">
        <f t="shared" si="2"/>
        <v>imagem</v>
      </c>
      <c r="F49" s="8" t="str">
        <f>IFERROR(__xludf.DUMMYFUNCTION("""COMPUTED_VALUE"""),"resumo")</f>
        <v>resumo</v>
      </c>
      <c r="G49" s="8" t="str">
        <f t="shared" si="3"/>
        <v>1</v>
      </c>
      <c r="H49" s="9">
        <f t="shared" si="4"/>
        <v>1</v>
      </c>
      <c r="I49" s="10">
        <f>IFERROR(__xludf.DUMMYFUNCTION("MAX(FILTER($H$2:$H451,$E$2:$E451=F49))"),5.0)</f>
        <v>5</v>
      </c>
    </row>
    <row r="50">
      <c r="A50" s="4"/>
      <c r="C50" s="4" t="s">
        <v>2701</v>
      </c>
      <c r="D50" s="4" t="str">
        <f t="shared" si="1"/>
        <v>{"valorA":"e","valorB":3}</v>
      </c>
      <c r="E50" s="8" t="str">
        <f t="shared" si="2"/>
        <v>e</v>
      </c>
      <c r="F50" s="8" t="str">
        <f>IFERROR(__xludf.DUMMYFUNCTION("""COMPUTED_VALUE"""),"frases")</f>
        <v>frases</v>
      </c>
      <c r="G50" s="8" t="str">
        <f t="shared" si="3"/>
        <v>3</v>
      </c>
      <c r="H50" s="9">
        <f t="shared" si="4"/>
        <v>3</v>
      </c>
      <c r="I50" s="10">
        <f>IFERROR(__xludf.DUMMYFUNCTION("MAX(FILTER($H$2:$H451,$E$2:$E451=F50))"),1.0)</f>
        <v>1</v>
      </c>
    </row>
    <row r="51">
      <c r="A51" s="4"/>
      <c r="C51" s="4" t="s">
        <v>2736</v>
      </c>
      <c r="D51" s="4" t="str">
        <f t="shared" si="1"/>
        <v>{"valorA":"de","valorB":3}</v>
      </c>
      <c r="E51" s="8" t="str">
        <f t="shared" si="2"/>
        <v>de</v>
      </c>
      <c r="F51" s="8" t="str">
        <f>IFERROR(__xludf.DUMMYFUNCTION("""COMPUTED_VALUE"""),"curt")</f>
        <v>curt</v>
      </c>
      <c r="G51" s="8" t="str">
        <f t="shared" si="3"/>
        <v>3</v>
      </c>
      <c r="H51" s="9">
        <f t="shared" si="4"/>
        <v>3</v>
      </c>
      <c r="I51" s="10">
        <f>IFERROR(__xludf.DUMMYFUNCTION("MAX(FILTER($H$2:$H451,$E$2:$E451=F51))"),1.0)</f>
        <v>1</v>
      </c>
    </row>
    <row r="52">
      <c r="A52" s="4"/>
      <c r="C52" s="4" t="s">
        <v>3033</v>
      </c>
      <c r="D52" s="4" t="str">
        <f t="shared" si="1"/>
        <v>{"valorA":"amooo","valorB":1}</v>
      </c>
      <c r="E52" s="8" t="str">
        <f t="shared" si="2"/>
        <v>amooo</v>
      </c>
      <c r="F52" s="8" t="str">
        <f>IFERROR(__xludf.DUMMYFUNCTION("""COMPUTED_VALUE"""),"a")</f>
        <v>a</v>
      </c>
      <c r="G52" s="8" t="str">
        <f t="shared" si="3"/>
        <v>1</v>
      </c>
      <c r="H52" s="9">
        <f t="shared" si="4"/>
        <v>1</v>
      </c>
      <c r="I52" s="10">
        <f>IFERROR(__xludf.DUMMYFUNCTION("MAX(FILTER($H$2:$H451,$E$2:$E451=F52))"),9.0)</f>
        <v>9</v>
      </c>
    </row>
    <row r="53">
      <c r="A53" s="4"/>
      <c r="C53" s="4" t="s">
        <v>3034</v>
      </c>
      <c r="D53" s="4" t="str">
        <f t="shared" si="1"/>
        <v>{"valorA":"excelente","valorB":1}</v>
      </c>
      <c r="E53" s="8" t="str">
        <f t="shared" si="2"/>
        <v>excelente</v>
      </c>
      <c r="F53" s="8" t="str">
        <f>IFERROR(__xludf.DUMMYFUNCTION("""COMPUTED_VALUE"""),"compra")</f>
        <v>compra</v>
      </c>
      <c r="G53" s="8" t="str">
        <f t="shared" si="3"/>
        <v>1</v>
      </c>
      <c r="H53" s="9">
        <f t="shared" si="4"/>
        <v>1</v>
      </c>
      <c r="I53" s="10">
        <f>IFERROR(__xludf.DUMMYFUNCTION("MAX(FILTER($H$2:$H451,$E$2:$E451=F53))"),2.0)</f>
        <v>2</v>
      </c>
    </row>
    <row r="54">
      <c r="A54" s="4"/>
      <c r="C54" s="4" t="s">
        <v>3035</v>
      </c>
      <c r="D54" s="4" t="str">
        <f t="shared" si="1"/>
        <v>{"valorA":"som","valorB":1}</v>
      </c>
      <c r="E54" s="8" t="str">
        <f t="shared" si="2"/>
        <v>som</v>
      </c>
      <c r="F54" s="8" t="str">
        <f>IFERROR(__xludf.DUMMYFUNCTION("""COMPUTED_VALUE"""),"feliz")</f>
        <v>feliz</v>
      </c>
      <c r="G54" s="8" t="str">
        <f t="shared" si="3"/>
        <v>1</v>
      </c>
      <c r="H54" s="9">
        <f t="shared" si="4"/>
        <v>1</v>
      </c>
      <c r="I54" s="10">
        <f>IFERROR(__xludf.DUMMYFUNCTION("MAX(FILTER($H$2:$H451,$E$2:$E451=F54))"),1.0)</f>
        <v>1</v>
      </c>
    </row>
    <row r="55">
      <c r="A55" s="4"/>
      <c r="C55" s="4" t="s">
        <v>2667</v>
      </c>
      <c r="D55" s="4" t="str">
        <f t="shared" si="1"/>
        <v>{"valorA":"produto","valorB":4}</v>
      </c>
      <c r="E55" s="8" t="str">
        <f t="shared" si="2"/>
        <v>produto</v>
      </c>
      <c r="F55" s="8" t="str">
        <f>IFERROR(__xludf.DUMMYFUNCTION("""COMPUTED_VALUE"""),"fico")</f>
        <v>fico</v>
      </c>
      <c r="G55" s="8" t="str">
        <f t="shared" si="3"/>
        <v>4</v>
      </c>
      <c r="H55" s="9">
        <f t="shared" si="4"/>
        <v>4</v>
      </c>
      <c r="I55" s="10">
        <f>IFERROR(__xludf.DUMMYFUNCTION("MAX(FILTER($H$2:$H451,$E$2:$E451=F55))"),3.0)</f>
        <v>3</v>
      </c>
    </row>
    <row r="56">
      <c r="A56" s="4"/>
      <c r="C56" s="4" t="s">
        <v>3036</v>
      </c>
      <c r="D56" s="4" t="str">
        <f t="shared" si="1"/>
        <v>{"valorA":"mas","valorB":1}</v>
      </c>
      <c r="E56" s="8" t="str">
        <f t="shared" si="2"/>
        <v>mas</v>
      </c>
      <c r="F56" s="8" t="str">
        <f>IFERROR(__xludf.DUMMYFUNCTION("""COMPUTED_VALUE"""),"meu")</f>
        <v>meu</v>
      </c>
      <c r="G56" s="8" t="str">
        <f t="shared" si="3"/>
        <v>1</v>
      </c>
      <c r="H56" s="9">
        <f t="shared" si="4"/>
        <v>1</v>
      </c>
      <c r="I56" s="10">
        <f>IFERROR(__xludf.DUMMYFUNCTION("MAX(FILTER($H$2:$H451,$E$2:$E451=F56))"),3.0)</f>
        <v>3</v>
      </c>
    </row>
    <row r="57">
      <c r="A57" s="4"/>
      <c r="C57" s="4" t="s">
        <v>2671</v>
      </c>
      <c r="D57" s="4" t="str">
        <f t="shared" si="1"/>
        <v>{"valorA":"ótimo","valorB":7}</v>
      </c>
      <c r="E57" s="8" t="str">
        <f t="shared" si="2"/>
        <v>ótimo</v>
      </c>
      <c r="F57" s="8" t="str">
        <f>IFERROR(__xludf.DUMMYFUNCTION("""COMPUTED_VALUE"""),"adora")</f>
        <v>adora</v>
      </c>
      <c r="G57" s="8" t="str">
        <f t="shared" si="3"/>
        <v>7</v>
      </c>
      <c r="H57" s="9">
        <f t="shared" si="4"/>
        <v>7</v>
      </c>
      <c r="I57" s="10">
        <f>IFERROR(__xludf.DUMMYFUNCTION("MAX(FILTER($H$2:$H451,$E$2:$E451=F57))"),1.0)</f>
        <v>1</v>
      </c>
    </row>
    <row r="58">
      <c r="A58" s="4"/>
      <c r="C58" s="4" t="s">
        <v>2656</v>
      </c>
      <c r="D58" s="4" t="str">
        <f t="shared" si="1"/>
        <v>{"valorA":"paguei","valorB":1}</v>
      </c>
      <c r="E58" s="8" t="str">
        <f t="shared" si="2"/>
        <v>paguei</v>
      </c>
      <c r="F58" s="8" t="str">
        <f>IFERROR(__xludf.DUMMYFUNCTION("""COMPUTED_VALUE"""),"comprei")</f>
        <v>comprei</v>
      </c>
      <c r="G58" s="8" t="str">
        <f t="shared" si="3"/>
        <v>1</v>
      </c>
      <c r="H58" s="9">
        <f t="shared" si="4"/>
        <v>1</v>
      </c>
      <c r="I58" s="10">
        <f>IFERROR(__xludf.DUMMYFUNCTION("MAX(FILTER($H$2:$H451,$E$2:$E451=F58))"),1.0)</f>
        <v>1</v>
      </c>
    </row>
    <row r="59">
      <c r="A59" s="4"/>
      <c r="C59" s="4" t="s">
        <v>2642</v>
      </c>
      <c r="D59" s="4" t="str">
        <f t="shared" si="1"/>
        <v>{"valorA":"que","valorB":1}</v>
      </c>
      <c r="E59" s="8" t="str">
        <f t="shared" si="2"/>
        <v>que</v>
      </c>
      <c r="F59" s="8" t="str">
        <f>IFERROR(__xludf.DUMMYFUNCTION("""COMPUTED_VALUE"""),"filho")</f>
        <v>filho</v>
      </c>
      <c r="G59" s="8" t="str">
        <f t="shared" si="3"/>
        <v>1</v>
      </c>
      <c r="H59" s="9">
        <f t="shared" si="4"/>
        <v>1</v>
      </c>
      <c r="I59" s="10">
        <f>IFERROR(__xludf.DUMMYFUNCTION("MAX(FILTER($H$2:$H451,$E$2:$E451=F59))"),1.0)</f>
        <v>1</v>
      </c>
    </row>
    <row r="60">
      <c r="A60" s="4"/>
      <c r="C60" s="4" t="s">
        <v>3037</v>
      </c>
      <c r="D60" s="4" t="str">
        <f t="shared" si="1"/>
        <v>{"valorA":"valeu","valorB":1}</v>
      </c>
      <c r="E60" s="8" t="str">
        <f t="shared" si="2"/>
        <v>valeu</v>
      </c>
      <c r="F60" s="8" t="str">
        <f>IFERROR(__xludf.DUMMYFUNCTION("""COMPUTED_VALUE"""),"economicamente")</f>
        <v>economicamente</v>
      </c>
      <c r="G60" s="8" t="str">
        <f t="shared" si="3"/>
        <v>1</v>
      </c>
      <c r="H60" s="9">
        <f t="shared" si="4"/>
        <v>1</v>
      </c>
      <c r="I60" s="10">
        <f>IFERROR(__xludf.DUMMYFUNCTION("MAX(FILTER($H$2:$H451,$E$2:$E451=F60))"),1.0)</f>
        <v>1</v>
      </c>
    </row>
    <row r="61">
      <c r="A61" s="4"/>
      <c r="C61" s="4" t="s">
        <v>2638</v>
      </c>
      <c r="D61" s="4" t="str">
        <f t="shared" si="1"/>
        <v>{"valorA":"o","valorB":1}</v>
      </c>
      <c r="E61" s="8" t="str">
        <f t="shared" si="2"/>
        <v>o</v>
      </c>
      <c r="F61" s="8" t="str">
        <f>IFERROR(__xludf.DUMMYFUNCTION("""COMPUTED_VALUE"""),"viável")</f>
        <v>viável</v>
      </c>
      <c r="G61" s="8" t="str">
        <f t="shared" si="3"/>
        <v>1</v>
      </c>
      <c r="H61" s="9">
        <f t="shared" si="4"/>
        <v>1</v>
      </c>
      <c r="I61" s="10">
        <f>IFERROR(__xludf.DUMMYFUNCTION("MAX(FILTER($H$2:$H451,$E$2:$E451=F61))"),1.0)</f>
        <v>1</v>
      </c>
    </row>
    <row r="62">
      <c r="A62" s="4"/>
      <c r="C62" s="4" t="s">
        <v>2808</v>
      </c>
      <c r="D62" s="4" t="str">
        <f t="shared" si="1"/>
        <v>{"valorA":"preço","valorB":2}</v>
      </c>
      <c r="E62" s="8" t="str">
        <f t="shared" si="2"/>
        <v>preço</v>
      </c>
      <c r="F62" s="8" t="str">
        <f>IFERROR(__xludf.DUMMYFUNCTION("""COMPUTED_VALUE"""),"super")</f>
        <v>super</v>
      </c>
      <c r="G62" s="8" t="str">
        <f t="shared" si="3"/>
        <v>2</v>
      </c>
      <c r="H62" s="9">
        <f t="shared" si="4"/>
        <v>2</v>
      </c>
      <c r="I62" s="10">
        <f>IFERROR(__xludf.DUMMYFUNCTION("MAX(FILTER($H$2:$H451,$E$2:$E451=F62))"),1.0)</f>
        <v>1</v>
      </c>
    </row>
    <row r="63">
      <c r="A63" s="4"/>
      <c r="C63" s="4" t="s">
        <v>3038</v>
      </c>
      <c r="D63" s="4" t="str">
        <f t="shared" si="1"/>
        <v>{"valorA":"não","valorB":1}</v>
      </c>
      <c r="E63" s="8" t="str">
        <f t="shared" si="2"/>
        <v>não</v>
      </c>
      <c r="F63" s="8" t="str">
        <f>IFERROR(__xludf.DUMMYFUNCTION("""COMPUTED_VALUE"""),"rápido")</f>
        <v>rápido</v>
      </c>
      <c r="G63" s="8" t="str">
        <f t="shared" si="3"/>
        <v>1</v>
      </c>
      <c r="H63" s="9">
        <f t="shared" si="4"/>
        <v>1</v>
      </c>
      <c r="I63" s="10">
        <f>IFERROR(__xludf.DUMMYFUNCTION("MAX(FILTER($H$2:$H451,$E$2:$E451=F63))"),1.0)</f>
        <v>1</v>
      </c>
    </row>
    <row r="64">
      <c r="A64" s="4"/>
      <c r="C64" s="4" t="s">
        <v>2673</v>
      </c>
      <c r="D64" s="4" t="str">
        <f t="shared" si="1"/>
        <v>{"valorA":"ótimo","valorB":8}</v>
      </c>
      <c r="E64" s="8" t="str">
        <f t="shared" si="2"/>
        <v>ótimo</v>
      </c>
      <c r="F64" s="8" t="str">
        <f>IFERROR(__xludf.DUMMYFUNCTION("""COMPUTED_VALUE"""),"resposta")</f>
        <v>resposta</v>
      </c>
      <c r="G64" s="8" t="str">
        <f t="shared" si="3"/>
        <v>8</v>
      </c>
      <c r="H64" s="9">
        <f t="shared" si="4"/>
        <v>8</v>
      </c>
      <c r="I64" s="10">
        <f>IFERROR(__xludf.DUMMYFUNCTION("MAX(FILTER($H$2:$H451,$E$2:$E451=F64))"),1.0)</f>
        <v>1</v>
      </c>
    </row>
    <row r="65">
      <c r="A65" s="4"/>
      <c r="C65" s="4" t="s">
        <v>3039</v>
      </c>
      <c r="D65" s="4" t="str">
        <f t="shared" si="1"/>
        <v>{"valorA":"fotos","valorB":1}</v>
      </c>
      <c r="E65" s="8" t="str">
        <f t="shared" si="2"/>
        <v>fotos</v>
      </c>
      <c r="F65" s="8" t="str">
        <f>IFERROR(__xludf.DUMMYFUNCTION("""COMPUTED_VALUE"""),"gosto")</f>
        <v>gosto</v>
      </c>
      <c r="G65" s="8" t="str">
        <f t="shared" si="3"/>
        <v>1</v>
      </c>
      <c r="H65" s="9">
        <f t="shared" si="4"/>
        <v>1</v>
      </c>
      <c r="I65" s="10">
        <f>IFERROR(__xludf.DUMMYFUNCTION("MAX(FILTER($H$2:$H451,$E$2:$E451=F65))"),2.0)</f>
        <v>2</v>
      </c>
    </row>
    <row r="66">
      <c r="A66" s="4"/>
      <c r="C66" s="4" t="s">
        <v>2637</v>
      </c>
      <c r="D66" s="4" t="str">
        <f t="shared" si="1"/>
        <v>{"valorA":"muito","valorB":1}</v>
      </c>
      <c r="E66" s="8" t="str">
        <f t="shared" si="2"/>
        <v>muito</v>
      </c>
      <c r="F66" s="8" t="str">
        <f>IFERROR(__xludf.DUMMYFUNCTION("""COMPUTED_VALUE"""),"começ")</f>
        <v>começ</v>
      </c>
      <c r="G66" s="8" t="str">
        <f t="shared" si="3"/>
        <v>1</v>
      </c>
      <c r="H66" s="9">
        <f t="shared" si="4"/>
        <v>1</v>
      </c>
      <c r="I66" s="10">
        <f>IFERROR(__xludf.DUMMYFUNCTION("MAX(FILTER($H$2:$H451,$E$2:$E451=F66))"),1.0)</f>
        <v>1</v>
      </c>
    </row>
    <row r="67">
      <c r="A67" s="4"/>
      <c r="C67" s="4" t="s">
        <v>3040</v>
      </c>
      <c r="D67" s="4" t="str">
        <f t="shared" si="1"/>
        <v>{"valorA":"use","valorB":1}</v>
      </c>
      <c r="E67" s="8" t="str">
        <f t="shared" si="2"/>
        <v>use</v>
      </c>
      <c r="F67" s="8" t="str">
        <f>IFERROR(__xludf.DUMMYFUNCTION("""COMPUTED_VALUE"""),"gostei")</f>
        <v>gostei</v>
      </c>
      <c r="G67" s="8" t="str">
        <f t="shared" si="3"/>
        <v>1</v>
      </c>
      <c r="H67" s="9">
        <f t="shared" si="4"/>
        <v>1</v>
      </c>
      <c r="I67" s="10">
        <f>IFERROR(__xludf.DUMMYFUNCTION("MAX(FILTER($H$2:$H451,$E$2:$E451=F67))"),6.0)</f>
        <v>6</v>
      </c>
    </row>
    <row r="68">
      <c r="A68" s="4"/>
      <c r="C68" s="4" t="s">
        <v>2799</v>
      </c>
      <c r="D68" s="4" t="str">
        <f t="shared" si="1"/>
        <v>{"valorA":"câmera","valorB":1}</v>
      </c>
      <c r="E68" s="8" t="str">
        <f t="shared" si="2"/>
        <v>câmera</v>
      </c>
      <c r="F68" s="8" t="str">
        <f>IFERROR(__xludf.DUMMYFUNCTION("""COMPUTED_VALUE"""),"manter")</f>
        <v>manter</v>
      </c>
      <c r="G68" s="8" t="str">
        <f t="shared" si="3"/>
        <v>1</v>
      </c>
      <c r="H68" s="9">
        <f t="shared" si="4"/>
        <v>1</v>
      </c>
      <c r="I68" s="10">
        <f>IFERROR(__xludf.DUMMYFUNCTION("MAX(FILTER($H$2:$H451,$E$2:$E451=F68))"),1.0)</f>
        <v>1</v>
      </c>
    </row>
    <row r="69">
      <c r="A69" s="4"/>
      <c r="C69" s="4" t="s">
        <v>3041</v>
      </c>
      <c r="D69" s="4" t="str">
        <f t="shared" si="1"/>
        <v>{"valorA":"resumo","valorB":1}</v>
      </c>
      <c r="E69" s="8" t="str">
        <f t="shared" si="2"/>
        <v>resumo</v>
      </c>
      <c r="F69" s="8" t="str">
        <f>IFERROR(__xludf.DUMMYFUNCTION("""COMPUTED_VALUE"""),"vejo")</f>
        <v>vejo</v>
      </c>
      <c r="G69" s="8" t="str">
        <f t="shared" si="3"/>
        <v>1</v>
      </c>
      <c r="H69" s="9">
        <f t="shared" si="4"/>
        <v>1</v>
      </c>
      <c r="I69" s="10">
        <f>IFERROR(__xludf.DUMMYFUNCTION("MAX(FILTER($H$2:$H451,$E$2:$E451=F69))"),1.0)</f>
        <v>1</v>
      </c>
    </row>
    <row r="70">
      <c r="A70" s="4"/>
      <c r="C70" s="4" t="s">
        <v>2738</v>
      </c>
      <c r="D70" s="4" t="str">
        <f t="shared" si="1"/>
        <v>{"valorA":"de","valorB":4}</v>
      </c>
      <c r="E70" s="8" t="str">
        <f t="shared" si="2"/>
        <v>de</v>
      </c>
      <c r="F70" s="8" t="str">
        <f>IFERROR(__xludf.DUMMYFUNCTION("""COMPUTED_VALUE"""),"tudo")</f>
        <v>tudo</v>
      </c>
      <c r="G70" s="8" t="str">
        <f t="shared" si="3"/>
        <v>4</v>
      </c>
      <c r="H70" s="9">
        <f t="shared" si="4"/>
        <v>4</v>
      </c>
      <c r="I70" s="10">
        <f>IFERROR(__xludf.DUMMYFUNCTION("MAX(FILTER($H$2:$H451,$E$2:$E451=F70))"),1.0)</f>
        <v>1</v>
      </c>
    </row>
    <row r="71">
      <c r="A71" s="4"/>
      <c r="C71" s="4" t="s">
        <v>3042</v>
      </c>
      <c r="D71" s="4" t="str">
        <f t="shared" si="1"/>
        <v>{"valorA":"frases","valorB":1}</v>
      </c>
      <c r="E71" s="8" t="str">
        <f t="shared" si="2"/>
        <v>frases</v>
      </c>
      <c r="F71" s="8" t="str">
        <f>IFERROR(__xludf.DUMMYFUNCTION("""COMPUTED_VALUE"""),"gostando")</f>
        <v>gostando</v>
      </c>
      <c r="G71" s="8" t="str">
        <f t="shared" si="3"/>
        <v>1</v>
      </c>
      <c r="H71" s="9">
        <f t="shared" si="4"/>
        <v>1</v>
      </c>
      <c r="I71" s="10">
        <f>IFERROR(__xludf.DUMMYFUNCTION("MAX(FILTER($H$2:$H451,$E$2:$E451=F71))"),1.0)</f>
        <v>1</v>
      </c>
    </row>
    <row r="72">
      <c r="A72" s="4"/>
      <c r="C72" s="4" t="s">
        <v>3043</v>
      </c>
      <c r="D72" s="4" t="str">
        <f t="shared" si="1"/>
        <v>{"valorA":"curt","valorB":1}</v>
      </c>
      <c r="E72" s="8" t="str">
        <f t="shared" si="2"/>
        <v>curt</v>
      </c>
      <c r="F72" s="8" t="str">
        <f>IFERROR(__xludf.DUMMYFUNCTION("""COMPUTED_VALUE"""),"blender")</f>
        <v>blender</v>
      </c>
      <c r="G72" s="8" t="str">
        <f t="shared" si="3"/>
        <v>1</v>
      </c>
      <c r="H72" s="9">
        <f t="shared" si="4"/>
        <v>1</v>
      </c>
      <c r="I72" s="10">
        <f>IFERROR(__xludf.DUMMYFUNCTION("MAX(FILTER($H$2:$H451,$E$2:$E451=F72))"),2.0)</f>
        <v>2</v>
      </c>
    </row>
    <row r="73">
      <c r="A73" s="4"/>
      <c r="C73" s="4" t="s">
        <v>2731</v>
      </c>
      <c r="D73" s="4" t="str">
        <f t="shared" si="1"/>
        <v>{"valorA":"bem","valorB":2}</v>
      </c>
      <c r="E73" s="8" t="str">
        <f t="shared" si="2"/>
        <v>bem</v>
      </c>
      <c r="F73" s="8" t="str">
        <f>IFERROR(__xludf.DUMMYFUNCTION("""COMPUTED_VALUE"""),"do")</f>
        <v>do</v>
      </c>
      <c r="G73" s="8" t="str">
        <f t="shared" si="3"/>
        <v>2</v>
      </c>
      <c r="H73" s="9">
        <f t="shared" si="4"/>
        <v>2</v>
      </c>
      <c r="I73" s="10">
        <f>IFERROR(__xludf.DUMMYFUNCTION("MAX(FILTER($H$2:$H451,$E$2:$E451=F73))"),3.0)</f>
        <v>3</v>
      </c>
    </row>
    <row r="74">
      <c r="A74" s="4"/>
      <c r="C74" s="4" t="s">
        <v>2712</v>
      </c>
      <c r="D74" s="4" t="str">
        <f t="shared" si="1"/>
        <v>{"valorA":"funciona","valorB":3}</v>
      </c>
      <c r="E74" s="8" t="str">
        <f t="shared" si="2"/>
        <v>funciona</v>
      </c>
      <c r="F74" s="8" t="str">
        <f>IFERROR(__xludf.DUMMYFUNCTION("""COMPUTED_VALUE"""),"qualityprice")</f>
        <v>qualityprice</v>
      </c>
      <c r="G74" s="8" t="str">
        <f t="shared" si="3"/>
        <v>3</v>
      </c>
      <c r="H74" s="9">
        <f t="shared" si="4"/>
        <v>3</v>
      </c>
      <c r="I74" s="10">
        <f>IFERROR(__xludf.DUMMYFUNCTION("MAX(FILTER($H$2:$H451,$E$2:$E451=F74))"),1.0)</f>
        <v>1</v>
      </c>
    </row>
    <row r="75">
      <c r="A75" s="4"/>
      <c r="C75" s="4" t="s">
        <v>2684</v>
      </c>
      <c r="D75" s="4" t="str">
        <f t="shared" si="1"/>
        <v>{"valorA":"ótimo","valorB":9}</v>
      </c>
      <c r="E75" s="8" t="str">
        <f t="shared" si="2"/>
        <v>ótimo</v>
      </c>
      <c r="F75" s="8" t="str">
        <f>IFERROR(__xludf.DUMMYFUNCTION("""COMPUTED_VALUE"""),"busca")</f>
        <v>busca</v>
      </c>
      <c r="G75" s="8" t="str">
        <f t="shared" si="3"/>
        <v>9</v>
      </c>
      <c r="H75" s="9">
        <f t="shared" si="4"/>
        <v>9</v>
      </c>
      <c r="I75" s="10">
        <f>IFERROR(__xludf.DUMMYFUNCTION("MAX(FILTER($H$2:$H451,$E$2:$E451=F75))"),3.0)</f>
        <v>3</v>
      </c>
    </row>
    <row r="76">
      <c r="A76" s="4"/>
      <c r="C76" s="4" t="s">
        <v>2886</v>
      </c>
      <c r="D76" s="4" t="str">
        <f t="shared" si="1"/>
        <v>{"valorA":"preço","valorB":3}</v>
      </c>
      <c r="E76" s="8" t="str">
        <f t="shared" si="2"/>
        <v>preço</v>
      </c>
      <c r="F76" s="8" t="str">
        <f>IFERROR(__xludf.DUMMYFUNCTION("""COMPUTED_VALUE"""),"uma")</f>
        <v>uma</v>
      </c>
      <c r="G76" s="8" t="str">
        <f t="shared" si="3"/>
        <v>3</v>
      </c>
      <c r="H76" s="9">
        <f t="shared" si="4"/>
        <v>3</v>
      </c>
      <c r="I76" s="10">
        <f>IFERROR(__xludf.DUMMYFUNCTION("MAX(FILTER($H$2:$H451,$E$2:$E451=F76))"),1.0)</f>
        <v>1</v>
      </c>
    </row>
    <row r="77">
      <c r="A77" s="4"/>
      <c r="C77" s="4" t="s">
        <v>3044</v>
      </c>
      <c r="D77" s="4" t="str">
        <f t="shared" si="1"/>
        <v>{"valorA":"bom","valorB":2}</v>
      </c>
      <c r="E77" s="8" t="str">
        <f t="shared" si="2"/>
        <v>bom</v>
      </c>
      <c r="F77" s="8" t="str">
        <f>IFERROR(__xludf.DUMMYFUNCTION("""COMPUTED_VALUE"""),"boa")</f>
        <v>boa</v>
      </c>
      <c r="G77" s="8" t="str">
        <f t="shared" si="3"/>
        <v>2</v>
      </c>
      <c r="H77" s="9">
        <f t="shared" si="4"/>
        <v>2</v>
      </c>
      <c r="I77" s="10">
        <f>IFERROR(__xludf.DUMMYFUNCTION("MAX(FILTER($H$2:$H451,$E$2:$E451=F77))"),1.0)</f>
        <v>1</v>
      </c>
    </row>
    <row r="78">
      <c r="A78" s="4"/>
      <c r="C78" s="4" t="s">
        <v>2647</v>
      </c>
      <c r="D78" s="4" t="str">
        <f t="shared" si="1"/>
        <v>{"valorA":"a","valorB":1}</v>
      </c>
      <c r="E78" s="8" t="str">
        <f t="shared" si="2"/>
        <v>a</v>
      </c>
      <c r="F78" s="8" t="str">
        <f>IFERROR(__xludf.DUMMYFUNCTION("""COMPUTED_VALUE"""),"scanner")</f>
        <v>scanner</v>
      </c>
      <c r="G78" s="8" t="str">
        <f t="shared" si="3"/>
        <v>1</v>
      </c>
      <c r="H78" s="9">
        <f t="shared" si="4"/>
        <v>1</v>
      </c>
      <c r="I78" s="10">
        <f>IFERROR(__xludf.DUMMYFUNCTION("MAX(FILTER($H$2:$H451,$E$2:$E451=F78))"),1.0)</f>
        <v>1</v>
      </c>
    </row>
    <row r="79">
      <c r="A79" s="4"/>
      <c r="C79" s="4" t="s">
        <v>2664</v>
      </c>
      <c r="D79" s="4" t="str">
        <f t="shared" si="1"/>
        <v>{"valorA":"compra","valorB":1}</v>
      </c>
      <c r="E79" s="8" t="str">
        <f t="shared" si="2"/>
        <v>compra</v>
      </c>
      <c r="F79" s="8" t="str">
        <f>IFERROR(__xludf.DUMMYFUNCTION("""COMPUTED_VALUE"""),"ótima")</f>
        <v>ótima</v>
      </c>
      <c r="G79" s="8" t="str">
        <f t="shared" si="3"/>
        <v>1</v>
      </c>
      <c r="H79" s="9">
        <f t="shared" si="4"/>
        <v>1</v>
      </c>
      <c r="I79" s="10">
        <f>IFERROR(__xludf.DUMMYFUNCTION("MAX(FILTER($H$2:$H451,$E$2:$E451=F79))"),1.0)</f>
        <v>1</v>
      </c>
    </row>
    <row r="80">
      <c r="A80" s="4"/>
      <c r="C80" s="4" t="s">
        <v>3045</v>
      </c>
      <c r="D80" s="4" t="str">
        <f t="shared" si="1"/>
        <v>{"valorA":"tão","valorB":2}</v>
      </c>
      <c r="E80" s="8" t="str">
        <f t="shared" si="2"/>
        <v>tão</v>
      </c>
      <c r="F80" s="8" t="str">
        <f>IFERROR(__xludf.DUMMYFUNCTION("""COMPUTED_VALUE"""),"opção")</f>
        <v>opção</v>
      </c>
      <c r="G80" s="8" t="str">
        <f t="shared" si="3"/>
        <v>2</v>
      </c>
      <c r="H80" s="9">
        <f t="shared" si="4"/>
        <v>2</v>
      </c>
      <c r="I80" s="10">
        <f>IFERROR(__xludf.DUMMYFUNCTION("MAX(FILTER($H$2:$H451,$E$2:$E451=F80))"),1.0)</f>
        <v>1</v>
      </c>
    </row>
    <row r="81">
      <c r="A81" s="4"/>
      <c r="C81" s="4" t="s">
        <v>2814</v>
      </c>
      <c r="D81" s="4" t="str">
        <f t="shared" si="1"/>
        <v>{"valorA":"com","valorB":2}</v>
      </c>
      <c r="E81" s="8" t="str">
        <f t="shared" si="2"/>
        <v>com</v>
      </c>
      <c r="F81" s="8" t="str">
        <f>IFERROR(__xludf.DUMMYFUNCTION("""COMPUTED_VALUE"""),"valorizado")</f>
        <v>valorizado</v>
      </c>
      <c r="G81" s="8" t="str">
        <f t="shared" si="3"/>
        <v>2</v>
      </c>
      <c r="H81" s="9">
        <f t="shared" si="4"/>
        <v>2</v>
      </c>
      <c r="I81" s="10">
        <f>IFERROR(__xludf.DUMMYFUNCTION("MAX(FILTER($H$2:$H451,$E$2:$E451=F81))"),2.0)</f>
        <v>2</v>
      </c>
    </row>
    <row r="82">
      <c r="A82" s="4"/>
      <c r="C82" s="4" t="s">
        <v>2926</v>
      </c>
      <c r="D82" s="4" t="str">
        <f t="shared" si="1"/>
        <v>{"valorA":"feliz","valorB":1}</v>
      </c>
      <c r="E82" s="8" t="str">
        <f t="shared" si="2"/>
        <v>feliz</v>
      </c>
      <c r="F82" s="8" t="str">
        <f>IFERROR(__xludf.DUMMYFUNCTION("""COMPUTED_VALUE"""),"todos")</f>
        <v>todos</v>
      </c>
      <c r="G82" s="8" t="str">
        <f t="shared" si="3"/>
        <v>1</v>
      </c>
      <c r="H82" s="9">
        <f t="shared" si="4"/>
        <v>1</v>
      </c>
      <c r="I82" s="10">
        <f>IFERROR(__xludf.DUMMYFUNCTION("MAX(FILTER($H$2:$H451,$E$2:$E451=F82))"),2.0)</f>
        <v>2</v>
      </c>
    </row>
    <row r="83">
      <c r="A83" s="4"/>
      <c r="C83" s="4" t="s">
        <v>2674</v>
      </c>
      <c r="D83" s="4" t="str">
        <f t="shared" si="1"/>
        <v>{"valorA":"produto","valorB":5}</v>
      </c>
      <c r="E83" s="8" t="str">
        <f t="shared" si="2"/>
        <v>produto</v>
      </c>
      <c r="F83" s="8" t="str">
        <f>IFERROR(__xludf.DUMMYFUNCTION("""COMPUTED_VALUE"""),"desse")</f>
        <v>desse</v>
      </c>
      <c r="G83" s="8" t="str">
        <f t="shared" si="3"/>
        <v>5</v>
      </c>
      <c r="H83" s="9">
        <f t="shared" si="4"/>
        <v>5</v>
      </c>
      <c r="I83" s="10">
        <f>IFERROR(__xludf.DUMMYFUNCTION("MAX(FILTER($H$2:$H451,$E$2:$E451=F83))"),1.0)</f>
        <v>1</v>
      </c>
    </row>
    <row r="84">
      <c r="A84" s="4"/>
      <c r="C84" s="4" t="s">
        <v>2923</v>
      </c>
      <c r="D84" s="4" t="str">
        <f t="shared" si="1"/>
        <v>{"valorA":"fico","valorB":1}</v>
      </c>
      <c r="E84" s="8" t="str">
        <f t="shared" si="2"/>
        <v>fico</v>
      </c>
      <c r="F84" s="8" t="str">
        <f>IFERROR(__xludf.DUMMYFUNCTION("""COMPUTED_VALUE"""),"satisfeito")</f>
        <v>satisfeito</v>
      </c>
      <c r="G84" s="8" t="str">
        <f t="shared" si="3"/>
        <v>1</v>
      </c>
      <c r="H84" s="9">
        <f t="shared" si="4"/>
        <v>1</v>
      </c>
      <c r="I84" s="10">
        <f>IFERROR(__xludf.DUMMYFUNCTION("MAX(FILTER($H$2:$H451,$E$2:$E451=F84))"),2.0)</f>
        <v>2</v>
      </c>
    </row>
    <row r="85">
      <c r="A85" s="4"/>
      <c r="C85" s="4" t="s">
        <v>2759</v>
      </c>
      <c r="D85" s="4" t="str">
        <f t="shared" si="1"/>
        <v>{"valorA":"para","valorB":4}</v>
      </c>
      <c r="E85" s="8" t="str">
        <f t="shared" si="2"/>
        <v>para</v>
      </c>
      <c r="F85" s="8" t="str">
        <f>IFERROR(__xludf.DUMMYFUNCTION("""COMPUTED_VALUE"""),"construído")</f>
        <v>construído</v>
      </c>
      <c r="G85" s="8" t="str">
        <f t="shared" si="3"/>
        <v>4</v>
      </c>
      <c r="H85" s="9">
        <f t="shared" si="4"/>
        <v>4</v>
      </c>
      <c r="I85" s="10">
        <f>IFERROR(__xludf.DUMMYFUNCTION("MAX(FILTER($H$2:$H451,$E$2:$E451=F85))"),1.0)</f>
        <v>1</v>
      </c>
    </row>
    <row r="86">
      <c r="A86" s="4"/>
      <c r="C86" s="4" t="s">
        <v>3046</v>
      </c>
      <c r="D86" s="4" t="str">
        <f t="shared" si="1"/>
        <v>{"valorA":"um","valorB":2}</v>
      </c>
      <c r="E86" s="8" t="str">
        <f t="shared" si="2"/>
        <v>um</v>
      </c>
      <c r="F86" s="8" t="str">
        <f>IFERROR(__xludf.DUMMYFUNCTION("""COMPUTED_VALUE"""),"tv")</f>
        <v>tv</v>
      </c>
      <c r="G86" s="8" t="str">
        <f t="shared" si="3"/>
        <v>2</v>
      </c>
      <c r="H86" s="9">
        <f t="shared" si="4"/>
        <v>2</v>
      </c>
      <c r="I86" s="10">
        <f>IFERROR(__xludf.DUMMYFUNCTION("MAX(FILTER($H$2:$H451,$E$2:$E451=F86))"),1.0)</f>
        <v>1</v>
      </c>
    </row>
    <row r="87">
      <c r="A87" s="4"/>
      <c r="C87" s="4" t="s">
        <v>2663</v>
      </c>
      <c r="D87" s="4" t="str">
        <f t="shared" si="1"/>
        <v>{"valorA":"muito","valorB":2}</v>
      </c>
      <c r="E87" s="8" t="str">
        <f t="shared" si="2"/>
        <v>muito</v>
      </c>
      <c r="F87" s="8" t="str">
        <f>IFERROR(__xludf.DUMMYFUNCTION("""COMPUTED_VALUE"""),"da")</f>
        <v>da</v>
      </c>
      <c r="G87" s="8" t="str">
        <f t="shared" si="3"/>
        <v>2</v>
      </c>
      <c r="H87" s="9">
        <f t="shared" si="4"/>
        <v>2</v>
      </c>
      <c r="I87" s="10">
        <f>IFERROR(__xludf.DUMMYFUNCTION("MAX(FILTER($H$2:$H451,$E$2:$E451=F87))"),2.0)</f>
        <v>2</v>
      </c>
    </row>
    <row r="88">
      <c r="A88" s="4"/>
      <c r="C88" s="4" t="s">
        <v>2690</v>
      </c>
      <c r="D88" s="4" t="str">
        <f t="shared" si="1"/>
        <v>{"valorA":"ótimo","valorB":10}</v>
      </c>
      <c r="E88" s="8" t="str">
        <f t="shared" si="2"/>
        <v>ótimo</v>
      </c>
      <c r="F88" s="8" t="str">
        <f>IFERROR(__xludf.DUMMYFUNCTION("""COMPUTED_VALUE"""),"brilho")</f>
        <v>brilho</v>
      </c>
      <c r="G88" s="8" t="str">
        <f t="shared" si="3"/>
        <v>10</v>
      </c>
      <c r="H88" s="9">
        <f t="shared" si="4"/>
        <v>10</v>
      </c>
      <c r="I88" s="10">
        <f>IFERROR(__xludf.DUMMYFUNCTION("MAX(FILTER($H$2:$H451,$E$2:$E451=F88))"),2.0)</f>
        <v>2</v>
      </c>
    </row>
    <row r="89">
      <c r="A89" s="4"/>
      <c r="C89" s="4" t="s">
        <v>2682</v>
      </c>
      <c r="D89" s="4" t="str">
        <f t="shared" si="1"/>
        <v>{"valorA":"produto","valorB":6}</v>
      </c>
      <c r="E89" s="8" t="str">
        <f t="shared" si="2"/>
        <v>produto</v>
      </c>
      <c r="F89" s="8" t="str">
        <f>IFERROR(__xludf.DUMMYFUNCTION("""COMPUTED_VALUE"""),"caro")</f>
        <v>caro</v>
      </c>
      <c r="G89" s="8" t="str">
        <f t="shared" si="3"/>
        <v>6</v>
      </c>
      <c r="H89" s="9">
        <f t="shared" si="4"/>
        <v>6</v>
      </c>
      <c r="I89" s="10">
        <f>IFERROR(__xludf.DUMMYFUNCTION("MAX(FILTER($H$2:$H451,$E$2:$E451=F89))"),2.0)</f>
        <v>2</v>
      </c>
    </row>
    <row r="90">
      <c r="A90" s="4"/>
      <c r="C90" s="4" t="s">
        <v>2748</v>
      </c>
      <c r="D90" s="4" t="str">
        <f t="shared" si="1"/>
        <v>{"valorA":"de","valorB":5}</v>
      </c>
      <c r="E90" s="8" t="str">
        <f t="shared" si="2"/>
        <v>de</v>
      </c>
      <c r="F90" s="8" t="str">
        <f>IFERROR(__xludf.DUMMYFUNCTION("""COMPUTED_VALUE"""),"manutenção")</f>
        <v>manutenção</v>
      </c>
      <c r="G90" s="8" t="str">
        <f t="shared" si="3"/>
        <v>5</v>
      </c>
      <c r="H90" s="9">
        <f t="shared" si="4"/>
        <v>5</v>
      </c>
      <c r="I90" s="10">
        <f>IFERROR(__xludf.DUMMYFUNCTION("MAX(FILTER($H$2:$H451,$E$2:$E451=F90))"),1.0)</f>
        <v>1</v>
      </c>
    </row>
    <row r="91">
      <c r="A91" s="4"/>
      <c r="C91" s="4" t="s">
        <v>2739</v>
      </c>
      <c r="D91" s="4" t="str">
        <f t="shared" si="1"/>
        <v>{"valorA":"usar","valorB":3}</v>
      </c>
      <c r="E91" s="8" t="str">
        <f t="shared" si="2"/>
        <v>usar</v>
      </c>
      <c r="F91" s="8" t="str">
        <f>IFERROR(__xludf.DUMMYFUNCTION("""COMPUTED_VALUE"""),"muita")</f>
        <v>muita</v>
      </c>
      <c r="G91" s="8" t="str">
        <f t="shared" si="3"/>
        <v>3</v>
      </c>
      <c r="H91" s="9">
        <f t="shared" si="4"/>
        <v>3</v>
      </c>
      <c r="I91" s="10">
        <f>IFERROR(__xludf.DUMMYFUNCTION("MAX(FILTER($H$2:$H451,$E$2:$E451=F91))"),1.0)</f>
        <v>1</v>
      </c>
    </row>
    <row r="92">
      <c r="A92" s="4"/>
      <c r="C92" s="4" t="s">
        <v>2715</v>
      </c>
      <c r="D92" s="4" t="str">
        <f t="shared" si="1"/>
        <v>{"valorA":"funciona","valorB":4}</v>
      </c>
      <c r="E92" s="8" t="str">
        <f t="shared" si="2"/>
        <v>funciona</v>
      </c>
      <c r="F92" s="8" t="str">
        <f>IFERROR(__xludf.DUMMYFUNCTION("""COMPUTED_VALUE"""),"eu")</f>
        <v>eu</v>
      </c>
      <c r="G92" s="8" t="str">
        <f t="shared" si="3"/>
        <v>4</v>
      </c>
      <c r="H92" s="9">
        <f t="shared" si="4"/>
        <v>4</v>
      </c>
      <c r="I92" s="10">
        <f>IFERROR(__xludf.DUMMYFUNCTION("MAX(FILTER($H$2:$H451,$E$2:$E451=F92))"),1.0)</f>
        <v>1</v>
      </c>
    </row>
    <row r="93">
      <c r="A93" s="4"/>
      <c r="C93" s="4" t="s">
        <v>2741</v>
      </c>
      <c r="D93" s="4" t="str">
        <f t="shared" si="1"/>
        <v>{"valorA":"fácil","valorB":3}</v>
      </c>
      <c r="E93" s="8" t="str">
        <f t="shared" si="2"/>
        <v>fácil</v>
      </c>
      <c r="F93" s="8" t="str">
        <f>IFERROR(__xludf.DUMMYFUNCTION("""COMPUTED_VALUE"""),"odeio")</f>
        <v>odeio</v>
      </c>
      <c r="G93" s="8" t="str">
        <f t="shared" si="3"/>
        <v>3</v>
      </c>
      <c r="H93" s="9">
        <f t="shared" si="4"/>
        <v>3</v>
      </c>
      <c r="I93" s="10">
        <f>IFERROR(__xludf.DUMMYFUNCTION("MAX(FILTER($H$2:$H451,$E$2:$E451=F93))"),1.0)</f>
        <v>1</v>
      </c>
    </row>
    <row r="94">
      <c r="A94" s="4"/>
      <c r="C94" s="4" t="s">
        <v>2721</v>
      </c>
      <c r="D94" s="4" t="str">
        <f t="shared" si="1"/>
        <v>{"valorA":"e","valorB":4}</v>
      </c>
      <c r="E94" s="8" t="str">
        <f t="shared" si="2"/>
        <v>e</v>
      </c>
      <c r="F94" s="8" t="str">
        <f>IFERROR(__xludf.DUMMYFUNCTION("""COMPUTED_VALUE"""),"me")</f>
        <v>me</v>
      </c>
      <c r="G94" s="8" t="str">
        <f t="shared" si="3"/>
        <v>4</v>
      </c>
      <c r="H94" s="9">
        <f t="shared" si="4"/>
        <v>4</v>
      </c>
      <c r="I94" s="10">
        <f>IFERROR(__xludf.DUMMYFUNCTION("MAX(FILTER($H$2:$H451,$E$2:$E451=F94))"),2.0)</f>
        <v>2</v>
      </c>
    </row>
    <row r="95">
      <c r="A95" s="4"/>
      <c r="C95" s="4" t="s">
        <v>2782</v>
      </c>
      <c r="D95" s="4" t="str">
        <f t="shared" si="1"/>
        <v>{"valorA":"bem","valorB":3}</v>
      </c>
      <c r="E95" s="8" t="str">
        <f t="shared" si="2"/>
        <v>bem</v>
      </c>
      <c r="F95" s="8" t="str">
        <f>IFERROR(__xludf.DUMMYFUNCTION("""COMPUTED_VALUE"""),"penny")</f>
        <v>penny</v>
      </c>
      <c r="G95" s="8" t="str">
        <f t="shared" si="3"/>
        <v>3</v>
      </c>
      <c r="H95" s="9">
        <f t="shared" si="4"/>
        <v>3</v>
      </c>
      <c r="I95" s="10">
        <f>IFERROR(__xludf.DUMMYFUNCTION("MAX(FILTER($H$2:$H451,$E$2:$E451=F95))"),1.0)</f>
        <v>1</v>
      </c>
    </row>
    <row r="96">
      <c r="A96" s="4"/>
      <c r="C96" s="4" t="s">
        <v>2670</v>
      </c>
      <c r="D96" s="4" t="str">
        <f t="shared" si="1"/>
        <v>{"valorA":"meu","valorB":1}</v>
      </c>
      <c r="E96" s="8" t="str">
        <f t="shared" si="2"/>
        <v>meu</v>
      </c>
      <c r="F96" s="8" t="str">
        <f>IFERROR(__xludf.DUMMYFUNCTION("""COMPUTED_VALUE"""),"esper")</f>
        <v>esper</v>
      </c>
      <c r="G96" s="8" t="str">
        <f t="shared" si="3"/>
        <v>1</v>
      </c>
      <c r="H96" s="9">
        <f t="shared" si="4"/>
        <v>1</v>
      </c>
      <c r="I96" s="10">
        <f>IFERROR(__xludf.DUMMYFUNCTION("MAX(FILTER($H$2:$H451,$E$2:$E451=F96))"),1.0)</f>
        <v>1</v>
      </c>
    </row>
    <row r="97">
      <c r="A97" s="4"/>
      <c r="C97" s="4" t="s">
        <v>2669</v>
      </c>
      <c r="D97" s="4" t="str">
        <f t="shared" si="1"/>
        <v>{"valorA":"adora","valorB":1}</v>
      </c>
      <c r="E97" s="8" t="str">
        <f t="shared" si="2"/>
        <v>adora</v>
      </c>
      <c r="F97" s="8" t="str">
        <f>IFERROR(__xludf.DUMMYFUNCTION("""COMPUTED_VALUE"""),"cada")</f>
        <v>cada</v>
      </c>
      <c r="G97" s="8" t="str">
        <f t="shared" si="3"/>
        <v>1</v>
      </c>
      <c r="H97" s="9">
        <f t="shared" si="4"/>
        <v>1</v>
      </c>
      <c r="I97" s="10">
        <f>IFERROR(__xludf.DUMMYFUNCTION("MAX(FILTER($H$2:$H451,$E$2:$E451=F97))"),1.0)</f>
        <v>1</v>
      </c>
    </row>
    <row r="98">
      <c r="A98" s="4"/>
      <c r="C98" s="4" t="s">
        <v>2693</v>
      </c>
      <c r="D98" s="4" t="str">
        <f t="shared" si="1"/>
        <v>{"valorA":"produto","valorB":7}</v>
      </c>
      <c r="E98" s="8" t="str">
        <f t="shared" si="2"/>
        <v>produto</v>
      </c>
      <c r="F98" s="8" t="str">
        <f>IFERROR(__xludf.DUMMYFUNCTION("""COMPUTED_VALUE"""),"valorização")</f>
        <v>valorização</v>
      </c>
      <c r="G98" s="8" t="str">
        <f t="shared" si="3"/>
        <v>7</v>
      </c>
      <c r="H98" s="9">
        <f t="shared" si="4"/>
        <v>7</v>
      </c>
      <c r="I98" s="10">
        <f>IFERROR(__xludf.DUMMYFUNCTION("MAX(FILTER($H$2:$H451,$E$2:$E451=F98))"),1.0)</f>
        <v>1</v>
      </c>
    </row>
    <row r="99">
      <c r="A99" s="4"/>
      <c r="C99" s="4" t="s">
        <v>2698</v>
      </c>
      <c r="D99" s="4" t="str">
        <f t="shared" si="1"/>
        <v>{"valorA":"ótimo","valorB":11}</v>
      </c>
      <c r="E99" s="8" t="str">
        <f t="shared" si="2"/>
        <v>ótimo</v>
      </c>
      <c r="F99" s="8" t="str">
        <f>IFERROR(__xludf.DUMMYFUNCTION("""COMPUTED_VALUE"""),"alegra")</f>
        <v>alegra</v>
      </c>
      <c r="G99" s="8" t="str">
        <f t="shared" si="3"/>
        <v>11</v>
      </c>
      <c r="H99" s="9">
        <f t="shared" si="4"/>
        <v>11</v>
      </c>
      <c r="I99" s="10">
        <f>IFERROR(__xludf.DUMMYFUNCTION("MAX(FILTER($H$2:$H451,$E$2:$E451=F99))"),1.0)</f>
        <v>1</v>
      </c>
    </row>
    <row r="100">
      <c r="A100" s="4"/>
      <c r="C100" s="4" t="s">
        <v>2805</v>
      </c>
      <c r="D100" s="4" t="str">
        <f t="shared" si="1"/>
        <v>{"valorA":"para","valorB":5}</v>
      </c>
      <c r="E100" s="8" t="str">
        <f t="shared" si="2"/>
        <v>para</v>
      </c>
      <c r="F100" s="8" t="str">
        <f>IFERROR(__xludf.DUMMYFUNCTION("""COMPUTED_VALUE"""),"comprado")</f>
        <v>comprado</v>
      </c>
      <c r="G100" s="8" t="str">
        <f t="shared" si="3"/>
        <v>5</v>
      </c>
      <c r="H100" s="9">
        <f t="shared" si="4"/>
        <v>5</v>
      </c>
      <c r="I100" s="10">
        <f>IFERROR(__xludf.DUMMYFUNCTION("MAX(FILTER($H$2:$H451,$E$2:$E451=F100))"),1.0)</f>
        <v>1</v>
      </c>
    </row>
    <row r="101">
      <c r="A101" s="4"/>
      <c r="C101" s="4" t="s">
        <v>2700</v>
      </c>
      <c r="D101" s="4" t="str">
        <f t="shared" si="1"/>
        <v>{"valorA":"comprei","valorB":1}</v>
      </c>
      <c r="E101" s="8" t="str">
        <f t="shared" si="2"/>
        <v>comprei</v>
      </c>
      <c r="F101" s="8" t="str">
        <f>IFERROR(__xludf.DUMMYFUNCTION("""COMPUTED_VALUE"""),"ter")</f>
        <v>ter</v>
      </c>
      <c r="G101" s="8" t="str">
        <f t="shared" si="3"/>
        <v>1</v>
      </c>
      <c r="H101" s="9">
        <f t="shared" si="4"/>
        <v>1</v>
      </c>
      <c r="I101" s="10">
        <f>IFERROR(__xludf.DUMMYFUNCTION("MAX(FILTER($H$2:$H451,$E$2:$E451=F101))"),1.0)</f>
        <v>1</v>
      </c>
    </row>
    <row r="102">
      <c r="A102" s="4"/>
      <c r="C102" s="4" t="s">
        <v>2668</v>
      </c>
      <c r="D102" s="4" t="str">
        <f t="shared" si="1"/>
        <v>{"valorA":"filho","valorB":1}</v>
      </c>
      <c r="E102" s="8" t="str">
        <f t="shared" si="2"/>
        <v>filho</v>
      </c>
      <c r="F102" s="8" t="str">
        <f>IFERROR(__xludf.DUMMYFUNCTION("""COMPUTED_VALUE"""),"espera")</f>
        <v>espera</v>
      </c>
      <c r="G102" s="8" t="str">
        <f t="shared" si="3"/>
        <v>1</v>
      </c>
      <c r="H102" s="9">
        <f t="shared" si="4"/>
        <v>1</v>
      </c>
      <c r="I102" s="10">
        <f>IFERROR(__xludf.DUMMYFUNCTION("MAX(FILTER($H$2:$H451,$E$2:$E451=F102))"),1.0)</f>
        <v>1</v>
      </c>
    </row>
    <row r="103">
      <c r="A103" s="4"/>
      <c r="C103" s="4" t="s">
        <v>2740</v>
      </c>
      <c r="D103" s="4" t="str">
        <f t="shared" si="1"/>
        <v>{"valorA":"e","valorB":5}</v>
      </c>
      <c r="E103" s="8" t="str">
        <f t="shared" si="2"/>
        <v>e</v>
      </c>
      <c r="F103" s="8" t="str">
        <f>IFERROR(__xludf.DUMMYFUNCTION("""COMPUTED_VALUE"""),"follows")</f>
        <v>follows</v>
      </c>
      <c r="G103" s="8" t="str">
        <f t="shared" si="3"/>
        <v>5</v>
      </c>
      <c r="H103" s="9">
        <f t="shared" si="4"/>
        <v>5</v>
      </c>
      <c r="I103" s="10">
        <f>IFERROR(__xludf.DUMMYFUNCTION("MAX(FILTER($H$2:$H451,$E$2:$E451=F103))"),1.0)</f>
        <v>1</v>
      </c>
    </row>
    <row r="104">
      <c r="A104" s="4"/>
      <c r="C104" s="4" t="s">
        <v>2844</v>
      </c>
      <c r="D104" s="4" t="str">
        <f t="shared" si="1"/>
        <v>{"valorA":"ele","valorB":2}</v>
      </c>
      <c r="E104" s="8" t="str">
        <f t="shared" si="2"/>
        <v>ele</v>
      </c>
      <c r="F104" s="8" t="str">
        <f>IFERROR(__xludf.DUMMYFUNCTION("""COMPUTED_VALUE"""),"are")</f>
        <v>are</v>
      </c>
      <c r="G104" s="8" t="str">
        <f t="shared" si="3"/>
        <v>2</v>
      </c>
      <c r="H104" s="9">
        <f t="shared" si="4"/>
        <v>2</v>
      </c>
      <c r="I104" s="10">
        <f>IFERROR(__xludf.DUMMYFUNCTION("MAX(FILTER($H$2:$H451,$E$2:$E451=F104))"),1.0)</f>
        <v>1</v>
      </c>
    </row>
    <row r="105">
      <c r="A105" s="4"/>
      <c r="C105" s="4" t="s">
        <v>3047</v>
      </c>
      <c r="D105" s="4" t="str">
        <f t="shared" si="1"/>
        <v>{"valorA":"economicamente","valorB":1}</v>
      </c>
      <c r="E105" s="8" t="str">
        <f t="shared" si="2"/>
        <v>economicamente</v>
      </c>
      <c r="F105" s="8" t="str">
        <f>IFERROR(__xludf.DUMMYFUNCTION("""COMPUTED_VALUE"""),"esse")</f>
        <v>esse</v>
      </c>
      <c r="G105" s="8" t="str">
        <f t="shared" si="3"/>
        <v>1</v>
      </c>
      <c r="H105" s="9">
        <f t="shared" si="4"/>
        <v>1</v>
      </c>
      <c r="I105" s="10">
        <f>IFERROR(__xludf.DUMMYFUNCTION("MAX(FILTER($H$2:$H451,$E$2:$E451=F105))"),2.0)</f>
        <v>2</v>
      </c>
    </row>
    <row r="106">
      <c r="A106" s="4"/>
      <c r="C106" s="4" t="s">
        <v>3048</v>
      </c>
      <c r="D106" s="4" t="str">
        <f t="shared" si="1"/>
        <v>{"valorA":"recomendo","valorB":2}</v>
      </c>
      <c r="E106" s="8" t="str">
        <f t="shared" si="2"/>
        <v>recomendo</v>
      </c>
      <c r="F106" s="8" t="str">
        <f>IFERROR(__xludf.DUMMYFUNCTION("""COMPUTED_VALUE"""),"ten")</f>
        <v>ten</v>
      </c>
      <c r="G106" s="8" t="str">
        <f t="shared" si="3"/>
        <v>2</v>
      </c>
      <c r="H106" s="9">
        <f t="shared" si="4"/>
        <v>2</v>
      </c>
      <c r="I106" s="10">
        <f>IFERROR(__xludf.DUMMYFUNCTION("MAX(FILTER($H$2:$H451,$E$2:$E451=F106))"),1.0)</f>
        <v>1</v>
      </c>
    </row>
    <row r="107">
      <c r="A107" s="4"/>
      <c r="C107" s="4" t="s">
        <v>2876</v>
      </c>
      <c r="D107" s="4" t="str">
        <f t="shared" si="1"/>
        <v>{"valorA":"de","valorB":6}</v>
      </c>
      <c r="E107" s="8" t="str">
        <f t="shared" si="2"/>
        <v>de</v>
      </c>
      <c r="F107" s="8" t="str">
        <f>IFERROR(__xludf.DUMMYFUNCTION("""COMPUTED_VALUE"""),"comments")</f>
        <v>comments</v>
      </c>
      <c r="G107" s="8" t="str">
        <f t="shared" si="3"/>
        <v>6</v>
      </c>
      <c r="H107" s="9">
        <f t="shared" si="4"/>
        <v>6</v>
      </c>
      <c r="I107" s="10">
        <f>IFERROR(__xludf.DUMMYFUNCTION("MAX(FILTER($H$2:$H451,$E$2:$E451=F107))"),1.0)</f>
        <v>1</v>
      </c>
    </row>
    <row r="108">
      <c r="A108" s="4"/>
      <c r="C108" s="4" t="s">
        <v>3049</v>
      </c>
      <c r="D108" s="4" t="str">
        <f t="shared" si="1"/>
        <v>{"valorA":"resumo","valorB":2}</v>
      </c>
      <c r="E108" s="8" t="str">
        <f t="shared" si="2"/>
        <v>resumo</v>
      </c>
      <c r="F108" s="8" t="str">
        <f>IFERROR(__xludf.DUMMYFUNCTION("""COMPUTED_VALUE"""),"as")</f>
        <v>as</v>
      </c>
      <c r="G108" s="8" t="str">
        <f t="shared" si="3"/>
        <v>2</v>
      </c>
      <c r="H108" s="9">
        <f t="shared" si="4"/>
        <v>2</v>
      </c>
      <c r="I108" s="10">
        <f>IFERROR(__xludf.DUMMYFUNCTION("MAX(FILTER($H$2:$H451,$E$2:$E451=F108))"),1.0)</f>
        <v>1</v>
      </c>
    </row>
    <row r="109">
      <c r="A109" s="4"/>
      <c r="C109" s="4" t="s">
        <v>3050</v>
      </c>
      <c r="D109" s="4" t="str">
        <f t="shared" si="1"/>
        <v>{"valorA":"viável","valorB":1}</v>
      </c>
      <c r="E109" s="8" t="str">
        <f t="shared" si="2"/>
        <v>viável</v>
      </c>
      <c r="F109" s="8" t="str">
        <f>IFERROR(__xludf.DUMMYFUNCTION("""COMPUTED_VALUE"""),"leve")</f>
        <v>leve</v>
      </c>
      <c r="G109" s="8" t="str">
        <f t="shared" si="3"/>
        <v>1</v>
      </c>
      <c r="H109" s="9">
        <f t="shared" si="4"/>
        <v>1</v>
      </c>
      <c r="I109" s="10">
        <f>IFERROR(__xludf.DUMMYFUNCTION("MAX(FILTER($H$2:$H451,$E$2:$E451=F109))"),1.0)</f>
        <v>1</v>
      </c>
    </row>
    <row r="110">
      <c r="A110" s="4"/>
      <c r="C110" s="4" t="s">
        <v>2704</v>
      </c>
      <c r="D110" s="4" t="str">
        <f t="shared" si="1"/>
        <v>{"valorA":"produto","valorB":8}</v>
      </c>
      <c r="E110" s="8" t="str">
        <f t="shared" si="2"/>
        <v>produto</v>
      </c>
      <c r="F110" s="8" t="str">
        <f>IFERROR(__xludf.DUMMYFUNCTION("""COMPUTED_VALUE"""),"carregar")</f>
        <v>carregar</v>
      </c>
      <c r="G110" s="8" t="str">
        <f t="shared" si="3"/>
        <v>8</v>
      </c>
      <c r="H110" s="9">
        <f t="shared" si="4"/>
        <v>8</v>
      </c>
      <c r="I110" s="10">
        <f>IFERROR(__xludf.DUMMYFUNCTION("MAX(FILTER($H$2:$H451,$E$2:$E451=F110))"),1.0)</f>
        <v>1</v>
      </c>
    </row>
    <row r="111">
      <c r="A111" s="4"/>
      <c r="C111" s="4" t="s">
        <v>2702</v>
      </c>
      <c r="D111" s="4" t="str">
        <f t="shared" si="1"/>
        <v>{"valorA":"ótimo","valorB":12}</v>
      </c>
      <c r="E111" s="8" t="str">
        <f t="shared" si="2"/>
        <v>ótimo</v>
      </c>
      <c r="F111" s="8" t="str">
        <f>IFERROR(__xludf.DUMMYFUNCTION("""COMPUTED_VALUE"""),"casa")</f>
        <v>casa</v>
      </c>
      <c r="G111" s="8" t="str">
        <f t="shared" si="3"/>
        <v>12</v>
      </c>
      <c r="H111" s="9">
        <f t="shared" si="4"/>
        <v>12</v>
      </c>
      <c r="I111" s="10">
        <f>IFERROR(__xludf.DUMMYFUNCTION("MAX(FILTER($H$2:$H451,$E$2:$E451=F111))"),1.0)</f>
        <v>1</v>
      </c>
    </row>
    <row r="112">
      <c r="A112" s="4"/>
      <c r="C112" s="4" t="s">
        <v>3051</v>
      </c>
      <c r="D112" s="4" t="str">
        <f t="shared" si="1"/>
        <v>{"valorA":"fácil","valorB":4}</v>
      </c>
      <c r="E112" s="8" t="str">
        <f t="shared" si="2"/>
        <v>fácil</v>
      </c>
      <c r="F112" s="8" t="str">
        <f>IFERROR(__xludf.DUMMYFUNCTION("""COMPUTED_VALUE"""),"filmes")</f>
        <v>filmes</v>
      </c>
      <c r="G112" s="8" t="str">
        <f t="shared" si="3"/>
        <v>4</v>
      </c>
      <c r="H112" s="9">
        <f t="shared" si="4"/>
        <v>4</v>
      </c>
      <c r="I112" s="10">
        <f>IFERROR(__xludf.DUMMYFUNCTION("MAX(FILTER($H$2:$H451,$E$2:$E451=F112))"),1.0)</f>
        <v>1</v>
      </c>
    </row>
    <row r="113">
      <c r="A113" s="4"/>
      <c r="C113" s="4" t="s">
        <v>2750</v>
      </c>
      <c r="D113" s="4" t="str">
        <f t="shared" si="1"/>
        <v>{"valorA":"e","valorB":6}</v>
      </c>
      <c r="E113" s="8" t="str">
        <f t="shared" si="2"/>
        <v>e</v>
      </c>
      <c r="F113" s="8" t="str">
        <f>IFERROR(__xludf.DUMMYFUNCTION("""COMPUTED_VALUE"""),"preciso")</f>
        <v>preciso</v>
      </c>
      <c r="G113" s="8" t="str">
        <f t="shared" si="3"/>
        <v>6</v>
      </c>
      <c r="H113" s="9">
        <f t="shared" si="4"/>
        <v>6</v>
      </c>
      <c r="I113" s="10">
        <f>IFERROR(__xludf.DUMMYFUNCTION("MAX(FILTER($H$2:$H451,$E$2:$E451=F113))"),1.0)</f>
        <v>1</v>
      </c>
    </row>
    <row r="114">
      <c r="A114" s="4"/>
      <c r="C114" s="4" t="s">
        <v>3052</v>
      </c>
      <c r="D114" s="4" t="str">
        <f t="shared" si="1"/>
        <v>{"valorA":"usar","valorB":4}</v>
      </c>
      <c r="E114" s="8" t="str">
        <f t="shared" si="2"/>
        <v>usar</v>
      </c>
      <c r="F114" s="8" t="str">
        <f>IFERROR(__xludf.DUMMYFUNCTION("""COMPUTED_VALUE"""),"em")</f>
        <v>em</v>
      </c>
      <c r="G114" s="8" t="str">
        <f t="shared" si="3"/>
        <v>4</v>
      </c>
      <c r="H114" s="9">
        <f t="shared" si="4"/>
        <v>4</v>
      </c>
      <c r="I114" s="10">
        <f>IFERROR(__xludf.DUMMYFUNCTION("MAX(FILTER($H$2:$H451,$E$2:$E451=F114))"),1.0)</f>
        <v>1</v>
      </c>
    </row>
    <row r="115">
      <c r="A115" s="4"/>
      <c r="C115" s="4" t="s">
        <v>2710</v>
      </c>
      <c r="D115" s="4" t="str">
        <f t="shared" si="1"/>
        <v>{"valorA":"ótimo","valorB":13}</v>
      </c>
      <c r="E115" s="8" t="str">
        <f t="shared" si="2"/>
        <v>ótimo</v>
      </c>
      <c r="F115" s="8" t="str">
        <f>IFERROR(__xludf.DUMMYFUNCTION("""COMPUTED_VALUE"""),"assistir")</f>
        <v>assistir</v>
      </c>
      <c r="G115" s="8" t="str">
        <f t="shared" si="3"/>
        <v>13</v>
      </c>
      <c r="H115" s="9">
        <f t="shared" si="4"/>
        <v>13</v>
      </c>
      <c r="I115" s="10">
        <f>IFERROR(__xludf.DUMMYFUNCTION("MAX(FILTER($H$2:$H451,$E$2:$E451=F115))"),1.0)</f>
        <v>1</v>
      </c>
    </row>
    <row r="116">
      <c r="A116" s="4"/>
      <c r="C116" s="4" t="s">
        <v>3053</v>
      </c>
      <c r="D116" s="4" t="str">
        <f t="shared" si="1"/>
        <v>{"valorA":"tão","valorB":3}</v>
      </c>
      <c r="E116" s="8" t="str">
        <f t="shared" si="2"/>
        <v>tão</v>
      </c>
      <c r="F116" s="8" t="str">
        <f>IFERROR(__xludf.DUMMYFUNCTION("""COMPUTED_VALUE"""),"portátil")</f>
        <v>portátil</v>
      </c>
      <c r="G116" s="8" t="str">
        <f t="shared" si="3"/>
        <v>3</v>
      </c>
      <c r="H116" s="9">
        <f t="shared" si="4"/>
        <v>3</v>
      </c>
      <c r="I116" s="10">
        <f>IFERROR(__xludf.DUMMYFUNCTION("MAX(FILTER($H$2:$H451,$E$2:$E451=F116))"),2.0)</f>
        <v>2</v>
      </c>
    </row>
    <row r="117">
      <c r="A117" s="4"/>
      <c r="C117" s="4" t="s">
        <v>2717</v>
      </c>
      <c r="D117" s="4" t="str">
        <f t="shared" si="1"/>
        <v>{"valorA":"produto","valorB":9}</v>
      </c>
      <c r="E117" s="8" t="str">
        <f t="shared" si="2"/>
        <v>produto</v>
      </c>
      <c r="F117" s="8" t="str">
        <f>IFERROR(__xludf.DUMMYFUNCTION("""COMPUTED_VALUE"""),"computador")</f>
        <v>computador</v>
      </c>
      <c r="G117" s="8" t="str">
        <f t="shared" si="3"/>
        <v>9</v>
      </c>
      <c r="H117" s="9">
        <f t="shared" si="4"/>
        <v>9</v>
      </c>
      <c r="I117" s="10">
        <f>IFERROR(__xludf.DUMMYFUNCTION("MAX(FILTER($H$2:$H451,$E$2:$E451=F117))"),2.0)</f>
        <v>2</v>
      </c>
    </row>
    <row r="118">
      <c r="A118" s="4"/>
      <c r="C118" s="4" t="s">
        <v>2827</v>
      </c>
      <c r="D118" s="4" t="str">
        <f t="shared" si="1"/>
        <v>{"valorA":"para","valorB":6}</v>
      </c>
      <c r="E118" s="8" t="str">
        <f t="shared" si="2"/>
        <v>para</v>
      </c>
      <c r="F118" s="8" t="str">
        <f>IFERROR(__xludf.DUMMYFUNCTION("""COMPUTED_VALUE"""),"pena")</f>
        <v>pena</v>
      </c>
      <c r="G118" s="8" t="str">
        <f t="shared" si="3"/>
        <v>6</v>
      </c>
      <c r="H118" s="9">
        <f t="shared" si="4"/>
        <v>6</v>
      </c>
      <c r="I118" s="10">
        <f>IFERROR(__xludf.DUMMYFUNCTION("MAX(FILTER($H$2:$H451,$E$2:$E451=F118))"),2.0)</f>
        <v>2</v>
      </c>
    </row>
    <row r="119">
      <c r="A119" s="4"/>
      <c r="C119" s="4" t="s">
        <v>3054</v>
      </c>
      <c r="D119" s="4" t="str">
        <f t="shared" si="1"/>
        <v>{"valorA":"preço","valorB":4}</v>
      </c>
      <c r="E119" s="8" t="str">
        <f t="shared" si="2"/>
        <v>preço</v>
      </c>
      <c r="F119" s="8" t="str">
        <f>IFERROR(__xludf.DUMMYFUNCTION("""COMPUTED_VALUE"""),"carro")</f>
        <v>carro</v>
      </c>
      <c r="G119" s="8" t="str">
        <f t="shared" si="3"/>
        <v>4</v>
      </c>
      <c r="H119" s="9">
        <f t="shared" si="4"/>
        <v>4</v>
      </c>
      <c r="I119" s="10">
        <f>IFERROR(__xludf.DUMMYFUNCTION("MAX(FILTER($H$2:$H451,$E$2:$E451=F119))"),1.0)</f>
        <v>1</v>
      </c>
    </row>
    <row r="120">
      <c r="A120" s="4"/>
      <c r="C120" s="4" t="s">
        <v>3055</v>
      </c>
      <c r="D120" s="4" t="str">
        <f t="shared" si="1"/>
        <v>{"valorA":"um","valorB":3}</v>
      </c>
      <c r="E120" s="8" t="str">
        <f t="shared" si="2"/>
        <v>um</v>
      </c>
      <c r="F120" s="8" t="str">
        <f>IFERROR(__xludf.DUMMYFUNCTION("""COMPUTED_VALUE"""),"dinheiro")</f>
        <v>dinheiro</v>
      </c>
      <c r="G120" s="8" t="str">
        <f t="shared" si="3"/>
        <v>3</v>
      </c>
      <c r="H120" s="9">
        <f t="shared" si="4"/>
        <v>3</v>
      </c>
      <c r="I120" s="10">
        <f>IFERROR(__xludf.DUMMYFUNCTION("MAX(FILTER($H$2:$H451,$E$2:$E451=F120))"),1.0)</f>
        <v>1</v>
      </c>
    </row>
    <row r="121">
      <c r="A121" s="4"/>
      <c r="C121" s="4" t="s">
        <v>3056</v>
      </c>
      <c r="D121" s="4" t="str">
        <f t="shared" si="1"/>
        <v>{"valorA":"super","valorB":1}</v>
      </c>
      <c r="E121" s="8" t="str">
        <f t="shared" si="2"/>
        <v>super</v>
      </c>
      <c r="F121" s="8" t="str">
        <f>IFERROR(__xludf.DUMMYFUNCTION("""COMPUTED_VALUE"""),"gastei")</f>
        <v>gastei</v>
      </c>
      <c r="G121" s="8" t="str">
        <f t="shared" si="3"/>
        <v>1</v>
      </c>
      <c r="H121" s="9">
        <f t="shared" si="4"/>
        <v>1</v>
      </c>
      <c r="I121" s="10">
        <f>IFERROR(__xludf.DUMMYFUNCTION("MAX(FILTER($H$2:$H451,$E$2:$E451=F121))"),1.0)</f>
        <v>1</v>
      </c>
    </row>
    <row r="122">
      <c r="A122" s="4"/>
      <c r="C122" s="4" t="s">
        <v>3057</v>
      </c>
      <c r="D122" s="4" t="str">
        <f t="shared" si="1"/>
        <v>{"valorA":"bom","valorB":3}</v>
      </c>
      <c r="E122" s="8" t="str">
        <f t="shared" si="2"/>
        <v>bom</v>
      </c>
      <c r="F122" s="8" t="str">
        <f>IFERROR(__xludf.DUMMYFUNCTION("""COMPUTED_VALUE"""),"mesa")</f>
        <v>mesa</v>
      </c>
      <c r="G122" s="8" t="str">
        <f t="shared" si="3"/>
        <v>3</v>
      </c>
      <c r="H122" s="9">
        <f t="shared" si="4"/>
        <v>3</v>
      </c>
      <c r="I122" s="10">
        <f>IFERROR(__xludf.DUMMYFUNCTION("MAX(FILTER($H$2:$H451,$E$2:$E451=F122))"),1.0)</f>
        <v>1</v>
      </c>
    </row>
    <row r="123">
      <c r="A123" s="4"/>
      <c r="C123" s="4" t="s">
        <v>3058</v>
      </c>
      <c r="D123" s="4" t="str">
        <f t="shared" si="1"/>
        <v>{"valorA":"recomendo","valorB":3}</v>
      </c>
      <c r="E123" s="8" t="str">
        <f t="shared" si="2"/>
        <v>recomendo</v>
      </c>
      <c r="F123" s="8" t="str">
        <f>IFERROR(__xludf.DUMMYFUNCTION("""COMPUTED_VALUE"""),"pra")</f>
        <v>pra</v>
      </c>
      <c r="G123" s="8" t="str">
        <f t="shared" si="3"/>
        <v>3</v>
      </c>
      <c r="H123" s="9">
        <f t="shared" si="4"/>
        <v>3</v>
      </c>
      <c r="I123" s="10">
        <f>IFERROR(__xludf.DUMMYFUNCTION("MAX(FILTER($H$2:$H451,$E$2:$E451=F123))"),2.0)</f>
        <v>2</v>
      </c>
    </row>
    <row r="124">
      <c r="A124" s="4"/>
      <c r="C124" s="4" t="s">
        <v>2718</v>
      </c>
      <c r="D124" s="4" t="str">
        <f t="shared" si="1"/>
        <v>{"valorA":"ótimo","valorB":14}</v>
      </c>
      <c r="E124" s="8" t="str">
        <f t="shared" si="2"/>
        <v>ótimo</v>
      </c>
      <c r="F124" s="8" t="str">
        <f>IFERROR(__xludf.DUMMYFUNCTION("""COMPUTED_VALUE"""),"leitor")</f>
        <v>leitor</v>
      </c>
      <c r="G124" s="8" t="str">
        <f t="shared" si="3"/>
        <v>14</v>
      </c>
      <c r="H124" s="9">
        <f t="shared" si="4"/>
        <v>14</v>
      </c>
      <c r="I124" s="10">
        <f>IFERROR(__xludf.DUMMYFUNCTION("MAX(FILTER($H$2:$H451,$E$2:$E451=F124))"),1.0)</f>
        <v>1</v>
      </c>
    </row>
    <row r="125">
      <c r="A125" s="4"/>
      <c r="C125" s="4" t="s">
        <v>3059</v>
      </c>
      <c r="D125" s="4" t="str">
        <f t="shared" si="1"/>
        <v>{"valorA":"televisor","valorB":2}</v>
      </c>
      <c r="E125" s="8" t="str">
        <f t="shared" si="2"/>
        <v>televisor</v>
      </c>
      <c r="F125" s="8" t="str">
        <f>IFERROR(__xludf.DUMMYFUNCTION("""COMPUTED_VALUE"""),"amigos")</f>
        <v>amigos</v>
      </c>
      <c r="G125" s="8" t="str">
        <f t="shared" si="3"/>
        <v>2</v>
      </c>
      <c r="H125" s="9">
        <f t="shared" si="4"/>
        <v>2</v>
      </c>
      <c r="I125" s="10">
        <f>IFERROR(__xludf.DUMMYFUNCTION("MAX(FILTER($H$2:$H451,$E$2:$E451=F125))"),1.0)</f>
        <v>1</v>
      </c>
    </row>
    <row r="126">
      <c r="A126" s="4"/>
      <c r="C126" s="4" t="s">
        <v>3060</v>
      </c>
      <c r="D126" s="4" t="str">
        <f t="shared" si="1"/>
        <v>{"valorA":"recomendo","valorB":4}</v>
      </c>
      <c r="E126" s="8" t="str">
        <f t="shared" si="2"/>
        <v>recomendo</v>
      </c>
      <c r="F126" s="8" t="str">
        <f>IFERROR(__xludf.DUMMYFUNCTION("""COMPUTED_VALUE"""),"os")</f>
        <v>os</v>
      </c>
      <c r="G126" s="8" t="str">
        <f t="shared" si="3"/>
        <v>4</v>
      </c>
      <c r="H126" s="9">
        <f t="shared" si="4"/>
        <v>4</v>
      </c>
      <c r="I126" s="10">
        <f>IFERROR(__xludf.DUMMYFUNCTION("MAX(FILTER($H$2:$H451,$E$2:$E451=F126))"),1.0)</f>
        <v>1</v>
      </c>
    </row>
    <row r="127">
      <c r="A127" s="4"/>
      <c r="C127" s="4" t="s">
        <v>2726</v>
      </c>
      <c r="D127" s="4" t="str">
        <f t="shared" si="1"/>
        <v>{"valorA":"ótimo","valorB":15}</v>
      </c>
      <c r="E127" s="8" t="str">
        <f t="shared" si="2"/>
        <v>ótimo</v>
      </c>
      <c r="F127" s="8" t="str">
        <f>IFERROR(__xludf.DUMMYFUNCTION("""COMPUTED_VALUE"""),"vale")</f>
        <v>vale</v>
      </c>
      <c r="G127" s="8" t="str">
        <f t="shared" si="3"/>
        <v>15</v>
      </c>
      <c r="H127" s="9">
        <f t="shared" si="4"/>
        <v>15</v>
      </c>
      <c r="I127" s="10">
        <f>IFERROR(__xludf.DUMMYFUNCTION("MAX(FILTER($H$2:$H451,$E$2:$E451=F127))"),1.0)</f>
        <v>1</v>
      </c>
    </row>
    <row r="128">
      <c r="A128" s="4"/>
      <c r="C128" s="4" t="s">
        <v>2984</v>
      </c>
      <c r="D128" s="4" t="str">
        <f t="shared" si="1"/>
        <v>{"valorA":"de","valorB":7}</v>
      </c>
      <c r="E128" s="8" t="str">
        <f t="shared" si="2"/>
        <v>de</v>
      </c>
      <c r="F128" s="8" t="str">
        <f>IFERROR(__xludf.DUMMYFUNCTION("""COMPUTED_VALUE"""),"comprar")</f>
        <v>comprar</v>
      </c>
      <c r="G128" s="8" t="str">
        <f t="shared" si="3"/>
        <v>7</v>
      </c>
      <c r="H128" s="9">
        <f t="shared" si="4"/>
        <v>7</v>
      </c>
      <c r="I128" s="10">
        <f>IFERROR(__xludf.DUMMYFUNCTION("MAX(FILTER($H$2:$H451,$E$2:$E451=F128))"),1.0)</f>
        <v>1</v>
      </c>
    </row>
    <row r="129">
      <c r="A129" s="4"/>
      <c r="C129" s="4" t="s">
        <v>2725</v>
      </c>
      <c r="D129" s="4" t="str">
        <f t="shared" si="1"/>
        <v>{"valorA":"produto","valorB":10}</v>
      </c>
      <c r="E129" s="8" t="str">
        <f t="shared" si="2"/>
        <v>produto</v>
      </c>
      <c r="F129" s="8" t="str">
        <f>IFERROR(__xludf.DUMMYFUNCTION("""COMPUTED_VALUE"""),"mim")</f>
        <v>mim</v>
      </c>
      <c r="G129" s="8" t="str">
        <f t="shared" si="3"/>
        <v>10</v>
      </c>
      <c r="H129" s="9">
        <f t="shared" si="4"/>
        <v>10</v>
      </c>
      <c r="I129" s="10">
        <f>IFERROR(__xludf.DUMMYFUNCTION("MAX(FILTER($H$2:$H451,$E$2:$E451=F129))"),1.0)</f>
        <v>1</v>
      </c>
    </row>
    <row r="130">
      <c r="A130" s="4"/>
      <c r="C130" s="4" t="s">
        <v>3061</v>
      </c>
      <c r="D130" s="4" t="str">
        <f t="shared" si="1"/>
        <v>{"valorA":"fácil","valorB":5}</v>
      </c>
      <c r="E130" s="8" t="str">
        <f t="shared" si="2"/>
        <v>fácil</v>
      </c>
      <c r="F130" s="8" t="str">
        <f>IFERROR(__xludf.DUMMYFUNCTION("""COMPUTED_VALUE"""),"partida")</f>
        <v>partida</v>
      </c>
      <c r="G130" s="8" t="str">
        <f t="shared" si="3"/>
        <v>5</v>
      </c>
      <c r="H130" s="9">
        <f t="shared" si="4"/>
        <v>5</v>
      </c>
      <c r="I130" s="10">
        <f>IFERROR(__xludf.DUMMYFUNCTION("MAX(FILTER($H$2:$H451,$E$2:$E451=F130))"),1.0)</f>
        <v>1</v>
      </c>
    </row>
    <row r="131">
      <c r="A131" s="4"/>
      <c r="C131" s="4" t="s">
        <v>2770</v>
      </c>
      <c r="D131" s="4" t="str">
        <f t="shared" si="1"/>
        <v>{"valorA":"e","valorB":7}</v>
      </c>
      <c r="E131" s="8" t="str">
        <f t="shared" si="2"/>
        <v>e</v>
      </c>
      <c r="F131" s="8" t="str">
        <f>IFERROR(__xludf.DUMMYFUNCTION("""COMPUTED_VALUE"""),"quinta")</f>
        <v>quinta</v>
      </c>
      <c r="G131" s="8" t="str">
        <f t="shared" si="3"/>
        <v>7</v>
      </c>
      <c r="H131" s="9">
        <f t="shared" si="4"/>
        <v>7</v>
      </c>
      <c r="I131" s="10">
        <f>IFERROR(__xludf.DUMMYFUNCTION("MAX(FILTER($H$2:$H451,$E$2:$E451=F131))"),1.0)</f>
        <v>1</v>
      </c>
    </row>
    <row r="132">
      <c r="A132" s="4"/>
      <c r="C132" s="4" t="s">
        <v>3062</v>
      </c>
      <c r="D132" s="4" t="str">
        <f t="shared" si="1"/>
        <v>{"valorA":"usar","valorB":5}</v>
      </c>
      <c r="E132" s="8" t="str">
        <f t="shared" si="2"/>
        <v>usar</v>
      </c>
      <c r="F132" s="8" t="str">
        <f>IFERROR(__xludf.DUMMYFUNCTION("""COMPUTED_VALUE"""),"procura")</f>
        <v>procura</v>
      </c>
      <c r="G132" s="8" t="str">
        <f t="shared" si="3"/>
        <v>5</v>
      </c>
      <c r="H132" s="9">
        <f t="shared" si="4"/>
        <v>5</v>
      </c>
      <c r="I132" s="10">
        <f>IFERROR(__xludf.DUMMYFUNCTION("MAX(FILTER($H$2:$H451,$E$2:$E451=F132))"),1.0)</f>
        <v>1</v>
      </c>
    </row>
    <row r="133">
      <c r="A133" s="4"/>
      <c r="C133" s="4" t="s">
        <v>3063</v>
      </c>
      <c r="D133" s="4" t="str">
        <f t="shared" si="1"/>
        <v>{"valorA":"econômico","valorB":2}</v>
      </c>
      <c r="E133" s="8" t="str">
        <f t="shared" si="2"/>
        <v>econômico</v>
      </c>
      <c r="F133" s="8"/>
      <c r="G133" s="8" t="str">
        <f t="shared" si="3"/>
        <v>2</v>
      </c>
      <c r="H133" s="9">
        <f t="shared" si="4"/>
        <v>2</v>
      </c>
      <c r="I133" s="6" t="str">
        <f>IFERROR(__xludf.DUMMYFUNCTION("MAX(FILTER($H$2:$H451,$E$2:$E451=F133))"),"#N/A")</f>
        <v>#N/A</v>
      </c>
    </row>
    <row r="134">
      <c r="A134" s="4"/>
      <c r="C134" s="4" t="s">
        <v>3064</v>
      </c>
      <c r="D134" s="4" t="str">
        <f t="shared" si="1"/>
        <v>{"valorA":"recomendo","valorB":5}</v>
      </c>
      <c r="E134" s="8" t="str">
        <f t="shared" si="2"/>
        <v>recomendo</v>
      </c>
      <c r="F134" s="8"/>
      <c r="G134" s="8" t="str">
        <f t="shared" si="3"/>
        <v>5</v>
      </c>
      <c r="H134" s="9">
        <f t="shared" si="4"/>
        <v>5</v>
      </c>
      <c r="I134" s="6" t="str">
        <f>IFERROR(__xludf.DUMMYFUNCTION("MAX(FILTER($H$2:$H451,$E$2:$E451=F134))"),"#N/A")</f>
        <v>#N/A</v>
      </c>
    </row>
    <row r="135">
      <c r="A135" s="4"/>
      <c r="C135" s="4" t="s">
        <v>2729</v>
      </c>
      <c r="D135" s="4" t="str">
        <f t="shared" si="1"/>
        <v>{"valorA":"ótimo","valorB":16}</v>
      </c>
      <c r="E135" s="8" t="str">
        <f t="shared" si="2"/>
        <v>ótimo</v>
      </c>
      <c r="F135" s="8"/>
      <c r="G135" s="8" t="str">
        <f t="shared" si="3"/>
        <v>16</v>
      </c>
      <c r="H135" s="9">
        <f t="shared" si="4"/>
        <v>16</v>
      </c>
      <c r="I135" s="6" t="str">
        <f>IFERROR(__xludf.DUMMYFUNCTION("MAX(FILTER($H$2:$H451,$E$2:$E451=F135))"),"#N/A")</f>
        <v>#N/A</v>
      </c>
    </row>
    <row r="136">
      <c r="A136" s="4"/>
      <c r="C136" s="4" t="s">
        <v>3065</v>
      </c>
      <c r="D136" s="4" t="str">
        <f t="shared" si="1"/>
        <v>{"valorA":"tablet","valorB":2}</v>
      </c>
      <c r="E136" s="8" t="str">
        <f t="shared" si="2"/>
        <v>tablet</v>
      </c>
      <c r="F136" s="8"/>
      <c r="G136" s="8" t="str">
        <f t="shared" si="3"/>
        <v>2</v>
      </c>
      <c r="H136" s="9">
        <f t="shared" si="4"/>
        <v>2</v>
      </c>
      <c r="I136" s="6" t="str">
        <f>IFERROR(__xludf.DUMMYFUNCTION("MAX(FILTER($H$2:$H451,$E$2:$E451=F136))"),"#N/A")</f>
        <v>#N/A</v>
      </c>
    </row>
    <row r="137">
      <c r="A137" s="4"/>
      <c r="C137" s="4" t="s">
        <v>3066</v>
      </c>
      <c r="D137" s="4" t="str">
        <f t="shared" si="1"/>
        <v>{"valorA":"fácil","valorB":6}</v>
      </c>
      <c r="E137" s="8" t="str">
        <f t="shared" si="2"/>
        <v>fácil</v>
      </c>
      <c r="F137" s="8"/>
      <c r="G137" s="8" t="str">
        <f t="shared" si="3"/>
        <v>6</v>
      </c>
      <c r="H137" s="9">
        <f t="shared" si="4"/>
        <v>6</v>
      </c>
      <c r="I137" s="6" t="str">
        <f>IFERROR(__xludf.DUMMYFUNCTION("MAX(FILTER($H$2:$H451,$E$2:$E451=F137))"),"#N/A")</f>
        <v>#N/A</v>
      </c>
    </row>
    <row r="138">
      <c r="A138" s="4"/>
      <c r="C138" s="4" t="s">
        <v>3067</v>
      </c>
      <c r="D138" s="4" t="str">
        <f t="shared" si="1"/>
        <v>{"valorA":"rápido","valorB":1}</v>
      </c>
      <c r="E138" s="8" t="str">
        <f t="shared" si="2"/>
        <v>rápido</v>
      </c>
      <c r="F138" s="8"/>
      <c r="G138" s="8" t="str">
        <f t="shared" si="3"/>
        <v>1</v>
      </c>
      <c r="H138" s="9">
        <f t="shared" si="4"/>
        <v>1</v>
      </c>
      <c r="I138" s="6" t="str">
        <f>IFERROR(__xludf.DUMMYFUNCTION("MAX(FILTER($H$2:$H451,$E$2:$E451=F138))"),"#N/A")</f>
        <v>#N/A</v>
      </c>
    </row>
    <row r="139">
      <c r="A139" s="4"/>
      <c r="C139" s="4" t="s">
        <v>3068</v>
      </c>
      <c r="D139" s="4" t="str">
        <f t="shared" si="1"/>
        <v>{"valorA":"resposta","valorB":1}</v>
      </c>
      <c r="E139" s="8" t="str">
        <f t="shared" si="2"/>
        <v>resposta</v>
      </c>
      <c r="F139" s="8"/>
      <c r="G139" s="8" t="str">
        <f t="shared" si="3"/>
        <v>1</v>
      </c>
      <c r="H139" s="9">
        <f t="shared" si="4"/>
        <v>1</v>
      </c>
      <c r="I139" s="6" t="str">
        <f>IFERROR(__xludf.DUMMYFUNCTION("MAX(FILTER($H$2:$H451,$E$2:$E451=F139))"),"#N/A")</f>
        <v>#N/A</v>
      </c>
    </row>
    <row r="140">
      <c r="A140" s="4"/>
      <c r="C140" s="4" t="s">
        <v>3069</v>
      </c>
      <c r="D140" s="4" t="str">
        <f t="shared" si="1"/>
        <v>{"valorA":"de","valorB":8}</v>
      </c>
      <c r="E140" s="8" t="str">
        <f t="shared" si="2"/>
        <v>de</v>
      </c>
      <c r="F140" s="8"/>
      <c r="G140" s="8" t="str">
        <f t="shared" si="3"/>
        <v>8</v>
      </c>
      <c r="H140" s="9">
        <f t="shared" si="4"/>
        <v>8</v>
      </c>
      <c r="I140" s="6" t="str">
        <f>IFERROR(__xludf.DUMMYFUNCTION("MAX(FILTER($H$2:$H451,$E$2:$E451=F140))"),"#N/A")</f>
        <v>#N/A</v>
      </c>
    </row>
    <row r="141">
      <c r="A141" s="4"/>
      <c r="C141" s="4" t="s">
        <v>3070</v>
      </c>
      <c r="D141" s="4" t="str">
        <f t="shared" si="1"/>
        <v>{"valorA":"usar","valorB":6}</v>
      </c>
      <c r="E141" s="8" t="str">
        <f t="shared" si="2"/>
        <v>usar</v>
      </c>
      <c r="F141" s="8"/>
      <c r="G141" s="8" t="str">
        <f t="shared" si="3"/>
        <v>6</v>
      </c>
      <c r="H141" s="9">
        <f t="shared" si="4"/>
        <v>6</v>
      </c>
      <c r="I141" s="6" t="str">
        <f>IFERROR(__xludf.DUMMYFUNCTION("MAX(FILTER($H$2:$H451,$E$2:$E451=F141))"),"#N/A")</f>
        <v>#N/A</v>
      </c>
    </row>
    <row r="142">
      <c r="A142" s="4"/>
      <c r="C142" s="4" t="s">
        <v>2840</v>
      </c>
      <c r="D142" s="4" t="str">
        <f t="shared" si="1"/>
        <v>{"valorA":"para","valorB":7}</v>
      </c>
      <c r="E142" s="8" t="str">
        <f t="shared" si="2"/>
        <v>para</v>
      </c>
      <c r="F142" s="8"/>
      <c r="G142" s="8" t="str">
        <f t="shared" si="3"/>
        <v>7</v>
      </c>
      <c r="H142" s="9">
        <f t="shared" si="4"/>
        <v>7</v>
      </c>
      <c r="I142" s="6" t="str">
        <f>IFERROR(__xludf.DUMMYFUNCTION("MAX(FILTER($H$2:$H451,$E$2:$E451=F142))"),"#N/A")</f>
        <v>#N/A</v>
      </c>
    </row>
    <row r="143">
      <c r="A143" s="4"/>
      <c r="C143" s="4" t="s">
        <v>2705</v>
      </c>
      <c r="D143" s="4" t="str">
        <f t="shared" si="1"/>
        <v>{"valorA":"muito","valorB":3}</v>
      </c>
      <c r="E143" s="8" t="str">
        <f t="shared" si="2"/>
        <v>muito</v>
      </c>
      <c r="F143" s="8"/>
      <c r="G143" s="8" t="str">
        <f t="shared" si="3"/>
        <v>3</v>
      </c>
      <c r="H143" s="9">
        <f t="shared" si="4"/>
        <v>3</v>
      </c>
      <c r="I143" s="6" t="str">
        <f>IFERROR(__xludf.DUMMYFUNCTION("MAX(FILTER($H$2:$H451,$E$2:$E451=F143))"),"#N/A")</f>
        <v>#N/A</v>
      </c>
    </row>
    <row r="144">
      <c r="A144" s="4"/>
      <c r="C144" s="4" t="s">
        <v>2895</v>
      </c>
      <c r="D144" s="4" t="str">
        <f t="shared" si="1"/>
        <v>{"valorA":"gosto","valorB":1}</v>
      </c>
      <c r="E144" s="8" t="str">
        <f t="shared" si="2"/>
        <v>gosto</v>
      </c>
      <c r="F144" s="8"/>
      <c r="G144" s="8" t="str">
        <f t="shared" si="3"/>
        <v>1</v>
      </c>
      <c r="H144" s="9">
        <f t="shared" si="4"/>
        <v>1</v>
      </c>
      <c r="I144" s="6" t="str">
        <f>IFERROR(__xludf.DUMMYFUNCTION("MAX(FILTER($H$2:$H451,$E$2:$E451=F144))"),"#N/A")</f>
        <v>#N/A</v>
      </c>
    </row>
    <row r="145">
      <c r="A145" s="4"/>
      <c r="C145" s="4" t="s">
        <v>3071</v>
      </c>
      <c r="D145" s="4" t="str">
        <f t="shared" si="1"/>
        <v>{"valorA":"começ","valorB":1}</v>
      </c>
      <c r="E145" s="8" t="str">
        <f t="shared" si="2"/>
        <v>começ</v>
      </c>
      <c r="F145" s="8"/>
      <c r="G145" s="8" t="str">
        <f t="shared" si="3"/>
        <v>1</v>
      </c>
      <c r="H145" s="9">
        <f t="shared" si="4"/>
        <v>1</v>
      </c>
      <c r="I145" s="6" t="str">
        <f>IFERROR(__xludf.DUMMYFUNCTION("MAX(FILTER($H$2:$H451,$E$2:$E451=F145))"),"#N/A")</f>
        <v>#N/A</v>
      </c>
    </row>
    <row r="146">
      <c r="A146" s="4"/>
      <c r="C146" s="4" t="s">
        <v>2784</v>
      </c>
      <c r="D146" s="4" t="str">
        <f t="shared" si="1"/>
        <v>{"valorA":"e","valorB":8}</v>
      </c>
      <c r="E146" s="8" t="str">
        <f t="shared" si="2"/>
        <v>e</v>
      </c>
      <c r="F146" s="8"/>
      <c r="G146" s="8" t="str">
        <f t="shared" si="3"/>
        <v>8</v>
      </c>
      <c r="H146" s="9">
        <f t="shared" si="4"/>
        <v>8</v>
      </c>
      <c r="I146" s="6" t="str">
        <f>IFERROR(__xludf.DUMMYFUNCTION("MAX(FILTER($H$2:$H451,$E$2:$E451=F146))"),"#N/A")</f>
        <v>#N/A</v>
      </c>
    </row>
    <row r="147">
      <c r="A147" s="4"/>
      <c r="C147" s="4" t="s">
        <v>3072</v>
      </c>
      <c r="D147" s="4" t="str">
        <f t="shared" si="1"/>
        <v>{"valorA":"de","valorB":9}</v>
      </c>
      <c r="E147" s="8" t="str">
        <f t="shared" si="2"/>
        <v>de</v>
      </c>
      <c r="F147" s="8"/>
      <c r="G147" s="8" t="str">
        <f t="shared" si="3"/>
        <v>9</v>
      </c>
      <c r="H147" s="9">
        <f t="shared" si="4"/>
        <v>9</v>
      </c>
      <c r="I147" s="6" t="str">
        <f>IFERROR(__xludf.DUMMYFUNCTION("MAX(FILTER($H$2:$H451,$E$2:$E451=F147))"),"#N/A")</f>
        <v>#N/A</v>
      </c>
    </row>
    <row r="148">
      <c r="A148" s="4"/>
      <c r="C148" s="4" t="s">
        <v>2628</v>
      </c>
      <c r="D148" s="4" t="str">
        <f t="shared" si="1"/>
        <v>{"valorA":"gostei","valorB":1}</v>
      </c>
      <c r="E148" s="8" t="str">
        <f t="shared" si="2"/>
        <v>gostei</v>
      </c>
      <c r="F148" s="8"/>
      <c r="G148" s="8" t="str">
        <f t="shared" si="3"/>
        <v>1</v>
      </c>
      <c r="H148" s="9">
        <f t="shared" si="4"/>
        <v>1</v>
      </c>
      <c r="I148" s="6" t="str">
        <f>IFERROR(__xludf.DUMMYFUNCTION("MAX(FILTER($H$2:$H451,$E$2:$E451=F148))"),"#N/A")</f>
        <v>#N/A</v>
      </c>
    </row>
    <row r="149">
      <c r="A149" s="4"/>
      <c r="C149" s="4" t="s">
        <v>3073</v>
      </c>
      <c r="D149" s="4" t="str">
        <f t="shared" si="1"/>
        <v>{"valorA":"manter","valorB":1}</v>
      </c>
      <c r="E149" s="8" t="str">
        <f t="shared" si="2"/>
        <v>manter</v>
      </c>
      <c r="F149" s="8"/>
      <c r="G149" s="8" t="str">
        <f t="shared" si="3"/>
        <v>1</v>
      </c>
      <c r="H149" s="9">
        <f t="shared" si="4"/>
        <v>1</v>
      </c>
      <c r="I149" s="6" t="str">
        <f>IFERROR(__xludf.DUMMYFUNCTION("MAX(FILTER($H$2:$H451,$E$2:$E451=F149))"),"#N/A")</f>
        <v>#N/A</v>
      </c>
    </row>
    <row r="150">
      <c r="A150" s="4"/>
      <c r="C150" s="4" t="s">
        <v>2735</v>
      </c>
      <c r="D150" s="4" t="str">
        <f t="shared" si="1"/>
        <v>{"valorA":"ótimo","valorB":17}</v>
      </c>
      <c r="E150" s="8" t="str">
        <f t="shared" si="2"/>
        <v>ótimo</v>
      </c>
      <c r="F150" s="8"/>
      <c r="G150" s="8" t="str">
        <f t="shared" si="3"/>
        <v>17</v>
      </c>
      <c r="H150" s="9">
        <f t="shared" si="4"/>
        <v>17</v>
      </c>
      <c r="I150" s="6" t="str">
        <f>IFERROR(__xludf.DUMMYFUNCTION("MAX(FILTER($H$2:$H451,$E$2:$E451=F150))"),"#N/A")</f>
        <v>#N/A</v>
      </c>
    </row>
    <row r="151">
      <c r="A151" s="4"/>
      <c r="C151" s="4" t="s">
        <v>3074</v>
      </c>
      <c r="D151" s="4" t="str">
        <f t="shared" si="1"/>
        <v>{"valorA":"fácil","valorB":7}</v>
      </c>
      <c r="E151" s="8" t="str">
        <f t="shared" si="2"/>
        <v>fácil</v>
      </c>
      <c r="F151" s="8"/>
      <c r="G151" s="8" t="str">
        <f t="shared" si="3"/>
        <v>7</v>
      </c>
      <c r="H151" s="9">
        <f t="shared" si="4"/>
        <v>7</v>
      </c>
      <c r="I151" s="6" t="str">
        <f>IFERROR(__xludf.DUMMYFUNCTION("MAX(FILTER($H$2:$H451,$E$2:$E451=F151))"),"#N/A")</f>
        <v>#N/A</v>
      </c>
    </row>
    <row r="152">
      <c r="A152" s="4"/>
      <c r="C152" s="4" t="s">
        <v>2728</v>
      </c>
      <c r="D152" s="4" t="str">
        <f t="shared" si="1"/>
        <v>{"valorA":"produto","valorB":11}</v>
      </c>
      <c r="E152" s="8" t="str">
        <f t="shared" si="2"/>
        <v>produto</v>
      </c>
      <c r="F152" s="8"/>
      <c r="G152" s="8" t="str">
        <f t="shared" si="3"/>
        <v>11</v>
      </c>
      <c r="H152" s="9">
        <f t="shared" si="4"/>
        <v>11</v>
      </c>
      <c r="I152" s="6" t="str">
        <f>IFERROR(__xludf.DUMMYFUNCTION("MAX(FILTER($H$2:$H451,$E$2:$E451=F152))"),"#N/A")</f>
        <v>#N/A</v>
      </c>
    </row>
    <row r="153">
      <c r="A153" s="4"/>
      <c r="C153" s="4" t="s">
        <v>2785</v>
      </c>
      <c r="D153" s="4" t="str">
        <f t="shared" si="1"/>
        <v>{"valorA":"muito","valorB":4}</v>
      </c>
      <c r="E153" s="8" t="str">
        <f t="shared" si="2"/>
        <v>muito</v>
      </c>
      <c r="F153" s="8"/>
      <c r="G153" s="8" t="str">
        <f t="shared" si="3"/>
        <v>4</v>
      </c>
      <c r="H153" s="9">
        <f t="shared" si="4"/>
        <v>4</v>
      </c>
      <c r="I153" s="6" t="str">
        <f>IFERROR(__xludf.DUMMYFUNCTION("MAX(FILTER($H$2:$H451,$E$2:$E451=F153))"),"#N/A")</f>
        <v>#N/A</v>
      </c>
    </row>
    <row r="154">
      <c r="A154" s="4"/>
      <c r="C154" s="4" t="s">
        <v>3075</v>
      </c>
      <c r="D154" s="4" t="str">
        <f t="shared" si="1"/>
        <v>{"valorA":"usar","valorB":7}</v>
      </c>
      <c r="E154" s="8" t="str">
        <f t="shared" si="2"/>
        <v>usar</v>
      </c>
      <c r="F154" s="8"/>
      <c r="G154" s="8" t="str">
        <f t="shared" si="3"/>
        <v>7</v>
      </c>
      <c r="H154" s="9">
        <f t="shared" si="4"/>
        <v>7</v>
      </c>
      <c r="I154" s="6" t="str">
        <f>IFERROR(__xludf.DUMMYFUNCTION("MAX(FILTER($H$2:$H451,$E$2:$E451=F154))"),"#N/A")</f>
        <v>#N/A</v>
      </c>
    </row>
    <row r="155">
      <c r="A155" s="4"/>
      <c r="C155" s="4" t="s">
        <v>3076</v>
      </c>
      <c r="D155" s="4" t="str">
        <f t="shared" si="1"/>
        <v>{"valorA":"de","valorB":10}</v>
      </c>
      <c r="E155" s="8" t="str">
        <f t="shared" si="2"/>
        <v>de</v>
      </c>
      <c r="F155" s="8"/>
      <c r="G155" s="8" t="str">
        <f t="shared" si="3"/>
        <v>10</v>
      </c>
      <c r="H155" s="9">
        <f t="shared" si="4"/>
        <v>10</v>
      </c>
      <c r="I155" s="6" t="str">
        <f>IFERROR(__xludf.DUMMYFUNCTION("MAX(FILTER($H$2:$H451,$E$2:$E451=F155))"),"#N/A")</f>
        <v>#N/A</v>
      </c>
    </row>
    <row r="156">
      <c r="A156" s="4"/>
      <c r="C156" s="4" t="s">
        <v>2821</v>
      </c>
      <c r="D156" s="4" t="str">
        <f t="shared" si="1"/>
        <v>{"valorA":"e","valorB":9}</v>
      </c>
      <c r="E156" s="8" t="str">
        <f t="shared" si="2"/>
        <v>e</v>
      </c>
      <c r="F156" s="8"/>
      <c r="G156" s="8" t="str">
        <f t="shared" si="3"/>
        <v>9</v>
      </c>
      <c r="H156" s="9">
        <f t="shared" si="4"/>
        <v>9</v>
      </c>
      <c r="I156" s="6" t="str">
        <f>IFERROR(__xludf.DUMMYFUNCTION("MAX(FILTER($H$2:$H451,$E$2:$E451=F156))"),"#N/A")</f>
        <v>#N/A</v>
      </c>
    </row>
    <row r="157">
      <c r="A157" s="4"/>
      <c r="C157" s="4" t="s">
        <v>2746</v>
      </c>
      <c r="D157" s="4" t="str">
        <f t="shared" si="1"/>
        <v>{"valorA":"ótimo","valorB":18}</v>
      </c>
      <c r="E157" s="8" t="str">
        <f t="shared" si="2"/>
        <v>ótimo</v>
      </c>
      <c r="F157" s="8"/>
      <c r="G157" s="8" t="str">
        <f t="shared" si="3"/>
        <v>18</v>
      </c>
      <c r="H157" s="9">
        <f t="shared" si="4"/>
        <v>18</v>
      </c>
      <c r="I157" s="6" t="str">
        <f>IFERROR(__xludf.DUMMYFUNCTION("MAX(FILTER($H$2:$H451,$E$2:$E451=F157))"),"#N/A")</f>
        <v>#N/A</v>
      </c>
    </row>
    <row r="158">
      <c r="A158" s="4"/>
      <c r="C158" s="4" t="s">
        <v>3077</v>
      </c>
      <c r="D158" s="4" t="str">
        <f t="shared" si="1"/>
        <v>{"valorA":"vejo","valorB":1}</v>
      </c>
      <c r="E158" s="8" t="str">
        <f t="shared" si="2"/>
        <v>vejo</v>
      </c>
      <c r="F158" s="8"/>
      <c r="G158" s="8" t="str">
        <f t="shared" si="3"/>
        <v>1</v>
      </c>
      <c r="H158" s="9">
        <f t="shared" si="4"/>
        <v>1</v>
      </c>
      <c r="I158" s="6" t="str">
        <f>IFERROR(__xludf.DUMMYFUNCTION("MAX(FILTER($H$2:$H451,$E$2:$E451=F158))"),"#N/A")</f>
        <v>#N/A</v>
      </c>
    </row>
    <row r="159">
      <c r="A159" s="4"/>
      <c r="C159" s="4" t="s">
        <v>2879</v>
      </c>
      <c r="D159" s="4" t="str">
        <f t="shared" si="1"/>
        <v>{"valorA":"bem","valorB":4}</v>
      </c>
      <c r="E159" s="8" t="str">
        <f t="shared" si="2"/>
        <v>bem</v>
      </c>
      <c r="F159" s="8"/>
      <c r="G159" s="8" t="str">
        <f t="shared" si="3"/>
        <v>4</v>
      </c>
      <c r="H159" s="9">
        <f t="shared" si="4"/>
        <v>4</v>
      </c>
      <c r="I159" s="6" t="str">
        <f>IFERROR(__xludf.DUMMYFUNCTION("MAX(FILTER($H$2:$H451,$E$2:$E451=F159))"),"#N/A")</f>
        <v>#N/A</v>
      </c>
    </row>
    <row r="160">
      <c r="A160" s="4"/>
      <c r="C160" s="4" t="s">
        <v>3078</v>
      </c>
      <c r="D160" s="4" t="str">
        <f t="shared" si="1"/>
        <v>{"valorA":"televisor","valorB":3}</v>
      </c>
      <c r="E160" s="8" t="str">
        <f t="shared" si="2"/>
        <v>televisor</v>
      </c>
      <c r="F160" s="8"/>
      <c r="G160" s="8" t="str">
        <f t="shared" si="3"/>
        <v>3</v>
      </c>
      <c r="H160" s="9">
        <f t="shared" si="4"/>
        <v>3</v>
      </c>
      <c r="I160" s="6" t="str">
        <f>IFERROR(__xludf.DUMMYFUNCTION("MAX(FILTER($H$2:$H451,$E$2:$E451=F160))"),"#N/A")</f>
        <v>#N/A</v>
      </c>
    </row>
    <row r="161">
      <c r="A161" s="4"/>
      <c r="C161" s="4" t="s">
        <v>3079</v>
      </c>
      <c r="D161" s="4" t="str">
        <f t="shared" si="1"/>
        <v>{"valorA":"tudo","valorB":1}</v>
      </c>
      <c r="E161" s="8" t="str">
        <f t="shared" si="2"/>
        <v>tudo</v>
      </c>
      <c r="F161" s="8"/>
      <c r="G161" s="8" t="str">
        <f t="shared" si="3"/>
        <v>1</v>
      </c>
      <c r="H161" s="9">
        <f t="shared" si="4"/>
        <v>1</v>
      </c>
      <c r="I161" s="6" t="str">
        <f>IFERROR(__xludf.DUMMYFUNCTION("MAX(FILTER($H$2:$H451,$E$2:$E451=F161))"),"#N/A")</f>
        <v>#N/A</v>
      </c>
    </row>
    <row r="162">
      <c r="A162" s="4"/>
      <c r="C162" s="4" t="s">
        <v>2758</v>
      </c>
      <c r="D162" s="4" t="str">
        <f t="shared" si="1"/>
        <v>{"valorA":"produto","valorB":12}</v>
      </c>
      <c r="E162" s="8" t="str">
        <f t="shared" si="2"/>
        <v>produto</v>
      </c>
      <c r="F162" s="8"/>
      <c r="G162" s="8" t="str">
        <f t="shared" si="3"/>
        <v>12</v>
      </c>
      <c r="H162" s="9">
        <f t="shared" si="4"/>
        <v>12</v>
      </c>
      <c r="I162" s="6" t="str">
        <f>IFERROR(__xludf.DUMMYFUNCTION("MAX(FILTER($H$2:$H451,$E$2:$E451=F162))"),"#N/A")</f>
        <v>#N/A</v>
      </c>
    </row>
    <row r="163">
      <c r="A163" s="4"/>
      <c r="C163" s="4" t="s">
        <v>2761</v>
      </c>
      <c r="D163" s="4" t="str">
        <f t="shared" si="1"/>
        <v>{"valorA":"ótimo","valorB":19}</v>
      </c>
      <c r="E163" s="8" t="str">
        <f t="shared" si="2"/>
        <v>ótimo</v>
      </c>
      <c r="F163" s="8"/>
      <c r="G163" s="8" t="str">
        <f t="shared" si="3"/>
        <v>19</v>
      </c>
      <c r="H163" s="9">
        <f t="shared" si="4"/>
        <v>19</v>
      </c>
      <c r="I163" s="6" t="str">
        <f>IFERROR(__xludf.DUMMYFUNCTION("MAX(FILTER($H$2:$H451,$E$2:$E451=F163))"),"#N/A")</f>
        <v>#N/A</v>
      </c>
    </row>
    <row r="164">
      <c r="A164" s="4"/>
      <c r="C164" s="4" t="s">
        <v>3080</v>
      </c>
      <c r="D164" s="4" t="str">
        <f t="shared" si="1"/>
        <v>{"valorA":"fácil","valorB":8}</v>
      </c>
      <c r="E164" s="8" t="str">
        <f t="shared" si="2"/>
        <v>fácil</v>
      </c>
      <c r="F164" s="8"/>
      <c r="G164" s="8" t="str">
        <f t="shared" si="3"/>
        <v>8</v>
      </c>
      <c r="H164" s="9">
        <f t="shared" si="4"/>
        <v>8</v>
      </c>
      <c r="I164" s="6" t="str">
        <f>IFERROR(__xludf.DUMMYFUNCTION("MAX(FILTER($H$2:$H451,$E$2:$E451=F164))"),"#N/A")</f>
        <v>#N/A</v>
      </c>
    </row>
    <row r="165">
      <c r="A165" s="4"/>
      <c r="C165" s="4" t="s">
        <v>3081</v>
      </c>
      <c r="D165" s="4" t="str">
        <f t="shared" si="1"/>
        <v>{"valorA":"de","valorB":11}</v>
      </c>
      <c r="E165" s="8" t="str">
        <f t="shared" si="2"/>
        <v>de</v>
      </c>
      <c r="F165" s="8"/>
      <c r="G165" s="8" t="str">
        <f t="shared" si="3"/>
        <v>11</v>
      </c>
      <c r="H165" s="9">
        <f t="shared" si="4"/>
        <v>11</v>
      </c>
      <c r="I165" s="6" t="str">
        <f>IFERROR(__xludf.DUMMYFUNCTION("MAX(FILTER($H$2:$H451,$E$2:$E451=F165))"),"#N/A")</f>
        <v>#N/A</v>
      </c>
    </row>
    <row r="166">
      <c r="A166" s="4"/>
      <c r="C166" s="4" t="s">
        <v>3082</v>
      </c>
      <c r="D166" s="4" t="str">
        <f t="shared" si="1"/>
        <v>{"valorA":"usar","valorB":8}</v>
      </c>
      <c r="E166" s="8" t="str">
        <f t="shared" si="2"/>
        <v>usar</v>
      </c>
      <c r="F166" s="8"/>
      <c r="G166" s="8" t="str">
        <f t="shared" si="3"/>
        <v>8</v>
      </c>
      <c r="H166" s="9">
        <f t="shared" si="4"/>
        <v>8</v>
      </c>
      <c r="I166" s="6" t="str">
        <f>IFERROR(__xludf.DUMMYFUNCTION("MAX(FILTER($H$2:$H451,$E$2:$E451=F166))"),"#N/A")</f>
        <v>#N/A</v>
      </c>
    </row>
    <row r="167">
      <c r="A167" s="4"/>
      <c r="C167" s="4" t="s">
        <v>2703</v>
      </c>
      <c r="D167" s="4" t="str">
        <f t="shared" si="1"/>
        <v>{"valorA":"gostei","valorB":2}</v>
      </c>
      <c r="E167" s="8" t="str">
        <f t="shared" si="2"/>
        <v>gostei</v>
      </c>
      <c r="F167" s="8"/>
      <c r="G167" s="8" t="str">
        <f t="shared" si="3"/>
        <v>2</v>
      </c>
      <c r="H167" s="9">
        <f t="shared" si="4"/>
        <v>2</v>
      </c>
      <c r="I167" s="6" t="str">
        <f>IFERROR(__xludf.DUMMYFUNCTION("MAX(FILTER($H$2:$H451,$E$2:$E451=F167))"),"#N/A")</f>
        <v>#N/A</v>
      </c>
    </row>
    <row r="168">
      <c r="A168" s="4"/>
      <c r="C168" s="4" t="s">
        <v>2881</v>
      </c>
      <c r="D168" s="4" t="str">
        <f t="shared" si="1"/>
        <v>{"valorA":"e","valorB":10}</v>
      </c>
      <c r="E168" s="8" t="str">
        <f t="shared" si="2"/>
        <v>e</v>
      </c>
      <c r="F168" s="8"/>
      <c r="G168" s="8" t="str">
        <f t="shared" si="3"/>
        <v>10</v>
      </c>
      <c r="H168" s="9">
        <f t="shared" si="4"/>
        <v>10</v>
      </c>
      <c r="I168" s="6" t="str">
        <f>IFERROR(__xludf.DUMMYFUNCTION("MAX(FILTER($H$2:$H451,$E$2:$E451=F168))"),"#N/A")</f>
        <v>#N/A</v>
      </c>
    </row>
    <row r="169">
      <c r="A169" s="4"/>
      <c r="C169" s="4" t="s">
        <v>3083</v>
      </c>
      <c r="D169" s="4" t="str">
        <f t="shared" si="1"/>
        <v>{"valorA":"econômico","valorB":3}</v>
      </c>
      <c r="E169" s="8" t="str">
        <f t="shared" si="2"/>
        <v>econômico</v>
      </c>
      <c r="F169" s="8"/>
      <c r="G169" s="8" t="str">
        <f t="shared" si="3"/>
        <v>3</v>
      </c>
      <c r="H169" s="9">
        <f t="shared" si="4"/>
        <v>3</v>
      </c>
      <c r="I169" s="6" t="str">
        <f>IFERROR(__xludf.DUMMYFUNCTION("MAX(FILTER($H$2:$H451,$E$2:$E451=F169))"),"#N/A")</f>
        <v>#N/A</v>
      </c>
    </row>
    <row r="170">
      <c r="A170" s="4"/>
      <c r="C170" s="4" t="s">
        <v>3084</v>
      </c>
      <c r="D170" s="4" t="str">
        <f t="shared" si="1"/>
        <v>{"valorA":"bom","valorB":4}</v>
      </c>
      <c r="E170" s="8" t="str">
        <f t="shared" si="2"/>
        <v>bom</v>
      </c>
      <c r="F170" s="8"/>
      <c r="G170" s="8" t="str">
        <f t="shared" si="3"/>
        <v>4</v>
      </c>
      <c r="H170" s="9">
        <f t="shared" si="4"/>
        <v>4</v>
      </c>
      <c r="I170" s="6" t="str">
        <f>IFERROR(__xludf.DUMMYFUNCTION("MAX(FILTER($H$2:$H451,$E$2:$E451=F170))"),"#N/A")</f>
        <v>#N/A</v>
      </c>
    </row>
    <row r="171">
      <c r="A171" s="4"/>
      <c r="C171" s="4" t="s">
        <v>3085</v>
      </c>
      <c r="D171" s="4" t="str">
        <f t="shared" si="1"/>
        <v>{"valorA":"gostando","valorB":1}</v>
      </c>
      <c r="E171" s="8" t="str">
        <f t="shared" si="2"/>
        <v>gostando</v>
      </c>
      <c r="F171" s="8"/>
      <c r="G171" s="8" t="str">
        <f t="shared" si="3"/>
        <v>1</v>
      </c>
      <c r="H171" s="9">
        <f t="shared" si="4"/>
        <v>1</v>
      </c>
      <c r="I171" s="6" t="str">
        <f>IFERROR(__xludf.DUMMYFUNCTION("MAX(FILTER($H$2:$H451,$E$2:$E451=F171))"),"#N/A")</f>
        <v>#N/A</v>
      </c>
    </row>
    <row r="172">
      <c r="A172" s="4"/>
      <c r="C172" s="4" t="s">
        <v>3086</v>
      </c>
      <c r="D172" s="4" t="str">
        <f t="shared" si="1"/>
        <v>{"valorA":"preço","valorB":5}</v>
      </c>
      <c r="E172" s="8" t="str">
        <f t="shared" si="2"/>
        <v>preço</v>
      </c>
      <c r="F172" s="8"/>
      <c r="G172" s="8" t="str">
        <f t="shared" si="3"/>
        <v>5</v>
      </c>
      <c r="H172" s="9">
        <f t="shared" si="4"/>
        <v>5</v>
      </c>
      <c r="I172" s="6" t="str">
        <f>IFERROR(__xludf.DUMMYFUNCTION("MAX(FILTER($H$2:$H451,$E$2:$E451=F172))"),"#N/A")</f>
        <v>#N/A</v>
      </c>
    </row>
    <row r="173">
      <c r="A173" s="4"/>
      <c r="C173" s="4" t="s">
        <v>2774</v>
      </c>
      <c r="D173" s="4" t="str">
        <f t="shared" si="1"/>
        <v>{"valorA":"produto","valorB":13}</v>
      </c>
      <c r="E173" s="8" t="str">
        <f t="shared" si="2"/>
        <v>produto</v>
      </c>
      <c r="F173" s="8"/>
      <c r="G173" s="8" t="str">
        <f t="shared" si="3"/>
        <v>13</v>
      </c>
      <c r="H173" s="9">
        <f t="shared" si="4"/>
        <v>13</v>
      </c>
      <c r="I173" s="6" t="str">
        <f>IFERROR(__xludf.DUMMYFUNCTION("MAX(FILTER($H$2:$H451,$E$2:$E451=F173))"),"#N/A")</f>
        <v>#N/A</v>
      </c>
    </row>
    <row r="174">
      <c r="A174" s="4"/>
      <c r="C174" s="4" t="s">
        <v>2766</v>
      </c>
      <c r="D174" s="4" t="str">
        <f t="shared" si="1"/>
        <v>{"valorA":"ótimo","valorB":20}</v>
      </c>
      <c r="E174" s="8" t="str">
        <f t="shared" si="2"/>
        <v>ótimo</v>
      </c>
      <c r="F174" s="8"/>
      <c r="G174" s="8" t="str">
        <f t="shared" si="3"/>
        <v>20</v>
      </c>
      <c r="H174" s="9">
        <f t="shared" si="4"/>
        <v>20</v>
      </c>
      <c r="I174" s="6" t="str">
        <f>IFERROR(__xludf.DUMMYFUNCTION("MAX(FILTER($H$2:$H451,$E$2:$E451=F174))"),"#N/A")</f>
        <v>#N/A</v>
      </c>
    </row>
    <row r="175">
      <c r="A175" s="4"/>
      <c r="C175" s="4" t="s">
        <v>2792</v>
      </c>
      <c r="D175" s="4" t="str">
        <f t="shared" si="1"/>
        <v>{"valorA":"muito","valorB":5}</v>
      </c>
      <c r="E175" s="8" t="str">
        <f t="shared" si="2"/>
        <v>muito</v>
      </c>
      <c r="F175" s="8"/>
      <c r="G175" s="8" t="str">
        <f t="shared" si="3"/>
        <v>5</v>
      </c>
      <c r="H175" s="9">
        <f t="shared" si="4"/>
        <v>5</v>
      </c>
      <c r="I175" s="6" t="str">
        <f>IFERROR(__xludf.DUMMYFUNCTION("MAX(FILTER($H$2:$H451,$E$2:$E451=F175))"),"#N/A")</f>
        <v>#N/A</v>
      </c>
    </row>
    <row r="176">
      <c r="A176" s="4"/>
      <c r="C176" s="4" t="s">
        <v>3087</v>
      </c>
      <c r="D176" s="4" t="str">
        <f t="shared" si="1"/>
        <v>{"valorA":"blender","valorB":1}</v>
      </c>
      <c r="E176" s="8" t="str">
        <f t="shared" si="2"/>
        <v>blender</v>
      </c>
      <c r="F176" s="8"/>
      <c r="G176" s="8" t="str">
        <f t="shared" si="3"/>
        <v>1</v>
      </c>
      <c r="H176" s="9">
        <f t="shared" si="4"/>
        <v>1</v>
      </c>
      <c r="I176" s="6" t="str">
        <f>IFERROR(__xludf.DUMMYFUNCTION("MAX(FILTER($H$2:$H451,$E$2:$E451=F176))"),"#N/A")</f>
        <v>#N/A</v>
      </c>
    </row>
    <row r="177">
      <c r="A177" s="4"/>
      <c r="C177" s="4" t="s">
        <v>2777</v>
      </c>
      <c r="D177" s="4" t="str">
        <f t="shared" si="1"/>
        <v>{"valorA":"meu","valorB":2}</v>
      </c>
      <c r="E177" s="8" t="str">
        <f t="shared" si="2"/>
        <v>meu</v>
      </c>
      <c r="F177" s="8"/>
      <c r="G177" s="8" t="str">
        <f t="shared" si="3"/>
        <v>2</v>
      </c>
      <c r="H177" s="9">
        <f t="shared" si="4"/>
        <v>2</v>
      </c>
      <c r="I177" s="6" t="str">
        <f>IFERROR(__xludf.DUMMYFUNCTION("MAX(FILTER($H$2:$H451,$E$2:$E451=F177))"),"#N/A")</f>
        <v>#N/A</v>
      </c>
    </row>
    <row r="178">
      <c r="A178" s="4"/>
      <c r="C178" s="4" t="s">
        <v>2654</v>
      </c>
      <c r="D178" s="4" t="str">
        <f t="shared" si="1"/>
        <v>{"valorA":"do","valorB":1}</v>
      </c>
      <c r="E178" s="8" t="str">
        <f t="shared" si="2"/>
        <v>do</v>
      </c>
      <c r="F178" s="8"/>
      <c r="G178" s="8" t="str">
        <f t="shared" si="3"/>
        <v>1</v>
      </c>
      <c r="H178" s="9">
        <f t="shared" si="4"/>
        <v>1</v>
      </c>
      <c r="I178" s="6" t="str">
        <f>IFERROR(__xludf.DUMMYFUNCTION("MAX(FILTER($H$2:$H451,$E$2:$E451=F178))"),"#N/A")</f>
        <v>#N/A</v>
      </c>
    </row>
    <row r="179">
      <c r="A179" s="4"/>
      <c r="C179" s="4" t="s">
        <v>2779</v>
      </c>
      <c r="D179" s="4" t="str">
        <f t="shared" si="1"/>
        <v>{"valorA":"ótimo","valorB":21}</v>
      </c>
      <c r="E179" s="8" t="str">
        <f t="shared" si="2"/>
        <v>ótimo</v>
      </c>
      <c r="F179" s="8"/>
      <c r="G179" s="8" t="str">
        <f t="shared" si="3"/>
        <v>21</v>
      </c>
      <c r="H179" s="9">
        <f t="shared" si="4"/>
        <v>21</v>
      </c>
      <c r="I179" s="6" t="str">
        <f>IFERROR(__xludf.DUMMYFUNCTION("MAX(FILTER($H$2:$H451,$E$2:$E451=F179))"),"#N/A")</f>
        <v>#N/A</v>
      </c>
    </row>
    <row r="180">
      <c r="A180" s="4"/>
      <c r="C180" s="4" t="s">
        <v>3088</v>
      </c>
      <c r="D180" s="4" t="str">
        <f t="shared" si="1"/>
        <v>{"valorA":"qualityprice","valorB":1}</v>
      </c>
      <c r="E180" s="8" t="str">
        <f t="shared" si="2"/>
        <v>qualityprice</v>
      </c>
      <c r="F180" s="8"/>
      <c r="G180" s="8" t="str">
        <f t="shared" si="3"/>
        <v>1</v>
      </c>
      <c r="H180" s="9">
        <f t="shared" si="4"/>
        <v>1</v>
      </c>
      <c r="I180" s="6" t="str">
        <f>IFERROR(__xludf.DUMMYFUNCTION("MAX(FILTER($H$2:$H451,$E$2:$E451=F180))"),"#N/A")</f>
        <v>#N/A</v>
      </c>
    </row>
    <row r="181">
      <c r="A181" s="4"/>
      <c r="C181" s="4" t="s">
        <v>3089</v>
      </c>
      <c r="D181" s="4" t="str">
        <f t="shared" si="1"/>
        <v>{"valorA":"busca","valorB":1}</v>
      </c>
      <c r="E181" s="8" t="str">
        <f t="shared" si="2"/>
        <v>busca</v>
      </c>
      <c r="F181" s="8"/>
      <c r="G181" s="8" t="str">
        <f t="shared" si="3"/>
        <v>1</v>
      </c>
      <c r="H181" s="9">
        <f t="shared" si="4"/>
        <v>1</v>
      </c>
      <c r="I181" s="6" t="str">
        <f>IFERROR(__xludf.DUMMYFUNCTION("MAX(FILTER($H$2:$H451,$E$2:$E451=F181))"),"#N/A")</f>
        <v>#N/A</v>
      </c>
    </row>
    <row r="182">
      <c r="A182" s="4"/>
      <c r="C182" s="4" t="s">
        <v>2793</v>
      </c>
      <c r="D182" s="4" t="str">
        <f t="shared" si="1"/>
        <v>{"valorA":"produto","valorB":14}</v>
      </c>
      <c r="E182" s="8" t="str">
        <f t="shared" si="2"/>
        <v>produto</v>
      </c>
      <c r="F182" s="8"/>
      <c r="G182" s="8" t="str">
        <f t="shared" si="3"/>
        <v>14</v>
      </c>
      <c r="H182" s="9">
        <f t="shared" si="4"/>
        <v>14</v>
      </c>
      <c r="I182" s="6" t="str">
        <f>IFERROR(__xludf.DUMMYFUNCTION("MAX(FILTER($H$2:$H451,$E$2:$E451=F182))"),"#N/A")</f>
        <v>#N/A</v>
      </c>
    </row>
    <row r="183">
      <c r="A183" s="4"/>
      <c r="C183" s="4" t="s">
        <v>2854</v>
      </c>
      <c r="D183" s="4" t="str">
        <f t="shared" si="1"/>
        <v>{"valorA":"para","valorB":8}</v>
      </c>
      <c r="E183" s="8" t="str">
        <f t="shared" si="2"/>
        <v>para</v>
      </c>
      <c r="F183" s="8"/>
      <c r="G183" s="8" t="str">
        <f t="shared" si="3"/>
        <v>8</v>
      </c>
      <c r="H183" s="9">
        <f t="shared" si="4"/>
        <v>8</v>
      </c>
      <c r="I183" s="6" t="str">
        <f>IFERROR(__xludf.DUMMYFUNCTION("MAX(FILTER($H$2:$H451,$E$2:$E451=F183))"),"#N/A")</f>
        <v>#N/A</v>
      </c>
    </row>
    <row r="184">
      <c r="A184" s="4"/>
      <c r="C184" s="4" t="s">
        <v>3090</v>
      </c>
      <c r="D184" s="4" t="str">
        <f t="shared" si="1"/>
        <v>{"valorA":"uma","valorB":1}</v>
      </c>
      <c r="E184" s="8" t="str">
        <f t="shared" si="2"/>
        <v>uma</v>
      </c>
      <c r="F184" s="8"/>
      <c r="G184" s="8" t="str">
        <f t="shared" si="3"/>
        <v>1</v>
      </c>
      <c r="H184" s="9">
        <f t="shared" si="4"/>
        <v>1</v>
      </c>
      <c r="I184" s="6" t="str">
        <f>IFERROR(__xludf.DUMMYFUNCTION("MAX(FILTER($H$2:$H451,$E$2:$E451=F184))"),"#N/A")</f>
        <v>#N/A</v>
      </c>
    </row>
    <row r="185">
      <c r="A185" s="4"/>
      <c r="C185" s="4" t="s">
        <v>2856</v>
      </c>
      <c r="D185" s="4" t="str">
        <f t="shared" si="1"/>
        <v>{"valorA":"quem","valorB":2}</v>
      </c>
      <c r="E185" s="8" t="str">
        <f t="shared" si="2"/>
        <v>quem</v>
      </c>
      <c r="F185" s="8"/>
      <c r="G185" s="8" t="str">
        <f t="shared" si="3"/>
        <v>2</v>
      </c>
      <c r="H185" s="9">
        <f t="shared" si="4"/>
        <v>2</v>
      </c>
      <c r="I185" s="6" t="str">
        <f>IFERROR(__xludf.DUMMYFUNCTION("MAX(FILTER($H$2:$H451,$E$2:$E451=F185))"),"#N/A")</f>
        <v>#N/A</v>
      </c>
    </row>
    <row r="186">
      <c r="A186" s="4"/>
      <c r="C186" s="4" t="s">
        <v>3091</v>
      </c>
      <c r="D186" s="4" t="str">
        <f t="shared" si="1"/>
        <v>{"valorA":"recomendo","valorB":6}</v>
      </c>
      <c r="E186" s="8" t="str">
        <f t="shared" si="2"/>
        <v>recomendo</v>
      </c>
      <c r="F186" s="8"/>
      <c r="G186" s="8" t="str">
        <f t="shared" si="3"/>
        <v>6</v>
      </c>
      <c r="H186" s="9">
        <f t="shared" si="4"/>
        <v>6</v>
      </c>
      <c r="I186" s="6" t="str">
        <f>IFERROR(__xludf.DUMMYFUNCTION("MAX(FILTER($H$2:$H451,$E$2:$E451=F186))"),"#N/A")</f>
        <v>#N/A</v>
      </c>
    </row>
    <row r="187">
      <c r="A187" s="4"/>
      <c r="C187" s="4" t="s">
        <v>3092</v>
      </c>
      <c r="D187" s="4" t="str">
        <f t="shared" si="1"/>
        <v>{"valorA":"boa","valorB":1}</v>
      </c>
      <c r="E187" s="8" t="str">
        <f t="shared" si="2"/>
        <v>boa</v>
      </c>
      <c r="F187" s="8"/>
      <c r="G187" s="8" t="str">
        <f t="shared" si="3"/>
        <v>1</v>
      </c>
      <c r="H187" s="9">
        <f t="shared" si="4"/>
        <v>1</v>
      </c>
      <c r="I187" s="6" t="str">
        <f>IFERROR(__xludf.DUMMYFUNCTION("MAX(FILTER($H$2:$H451,$E$2:$E451=F187))"),"#N/A")</f>
        <v>#N/A</v>
      </c>
    </row>
    <row r="188">
      <c r="A188" s="4"/>
      <c r="C188" s="4" t="s">
        <v>2635</v>
      </c>
      <c r="D188" s="4" t="str">
        <f t="shared" si="1"/>
        <v>{"valorA":"scanner","valorB":1}</v>
      </c>
      <c r="E188" s="8" t="str">
        <f t="shared" si="2"/>
        <v>scanner</v>
      </c>
      <c r="F188" s="8"/>
      <c r="G188" s="8" t="str">
        <f t="shared" si="3"/>
        <v>1</v>
      </c>
      <c r="H188" s="9">
        <f t="shared" si="4"/>
        <v>1</v>
      </c>
      <c r="I188" s="6" t="str">
        <f>IFERROR(__xludf.DUMMYFUNCTION("MAX(FILTER($H$2:$H451,$E$2:$E451=F188))"),"#N/A")</f>
        <v>#N/A</v>
      </c>
    </row>
    <row r="189">
      <c r="A189" s="4"/>
      <c r="C189" s="4" t="s">
        <v>3093</v>
      </c>
      <c r="D189" s="4" t="str">
        <f t="shared" si="1"/>
        <v>{"valorA":"ótima","valorB":1}</v>
      </c>
      <c r="E189" s="8" t="str">
        <f t="shared" si="2"/>
        <v>ótima</v>
      </c>
      <c r="F189" s="8"/>
      <c r="G189" s="8" t="str">
        <f t="shared" si="3"/>
        <v>1</v>
      </c>
      <c r="H189" s="9">
        <f t="shared" si="4"/>
        <v>1</v>
      </c>
      <c r="I189" s="6" t="str">
        <f>IFERROR(__xludf.DUMMYFUNCTION("MAX(FILTER($H$2:$H451,$E$2:$E451=F189))"),"#N/A")</f>
        <v>#N/A</v>
      </c>
    </row>
    <row r="190">
      <c r="A190" s="4"/>
      <c r="C190" s="4" t="s">
        <v>2897</v>
      </c>
      <c r="D190" s="4" t="str">
        <f t="shared" si="1"/>
        <v>{"valorA":"meu","valorB":3}</v>
      </c>
      <c r="E190" s="8" t="str">
        <f t="shared" si="2"/>
        <v>meu</v>
      </c>
      <c r="F190" s="8"/>
      <c r="G190" s="8" t="str">
        <f t="shared" si="3"/>
        <v>3</v>
      </c>
      <c r="H190" s="9">
        <f t="shared" si="4"/>
        <v>3</v>
      </c>
      <c r="I190" s="6" t="str">
        <f>IFERROR(__xludf.DUMMYFUNCTION("MAX(FILTER($H$2:$H451,$E$2:$E451=F190))"),"#N/A")</f>
        <v>#N/A</v>
      </c>
    </row>
    <row r="191">
      <c r="A191" s="4"/>
      <c r="C191" s="4" t="s">
        <v>2902</v>
      </c>
      <c r="D191" s="4" t="str">
        <f t="shared" si="1"/>
        <v>{"valorA":"bem","valorB":5}</v>
      </c>
      <c r="E191" s="8" t="str">
        <f t="shared" si="2"/>
        <v>bem</v>
      </c>
      <c r="F191" s="8"/>
      <c r="G191" s="8" t="str">
        <f t="shared" si="3"/>
        <v>5</v>
      </c>
      <c r="H191" s="9">
        <f t="shared" si="4"/>
        <v>5</v>
      </c>
      <c r="I191" s="6" t="str">
        <f>IFERROR(__xludf.DUMMYFUNCTION("MAX(FILTER($H$2:$H451,$E$2:$E451=F191))"),"#N/A")</f>
        <v>#N/A</v>
      </c>
    </row>
    <row r="192">
      <c r="A192" s="4"/>
      <c r="C192" s="4" t="s">
        <v>2756</v>
      </c>
      <c r="D192" s="4" t="str">
        <f t="shared" si="1"/>
        <v>{"valorA":"funciona","valorB":5}</v>
      </c>
      <c r="E192" s="8" t="str">
        <f t="shared" si="2"/>
        <v>funciona</v>
      </c>
      <c r="F192" s="8"/>
      <c r="G192" s="8" t="str">
        <f t="shared" si="3"/>
        <v>5</v>
      </c>
      <c r="H192" s="9">
        <f t="shared" si="4"/>
        <v>5</v>
      </c>
      <c r="I192" s="6" t="str">
        <f>IFERROR(__xludf.DUMMYFUNCTION("MAX(FILTER($H$2:$H451,$E$2:$E451=F192))"),"#N/A")</f>
        <v>#N/A</v>
      </c>
    </row>
    <row r="193">
      <c r="A193" s="4"/>
      <c r="C193" s="4" t="s">
        <v>2811</v>
      </c>
      <c r="D193" s="4" t="str">
        <f t="shared" si="1"/>
        <v>{"valorA":"muito","valorB":6}</v>
      </c>
      <c r="E193" s="8" t="str">
        <f t="shared" si="2"/>
        <v>muito</v>
      </c>
      <c r="F193" s="8"/>
      <c r="G193" s="8" t="str">
        <f t="shared" si="3"/>
        <v>6</v>
      </c>
      <c r="H193" s="9">
        <f t="shared" si="4"/>
        <v>6</v>
      </c>
      <c r="I193" s="6" t="str">
        <f>IFERROR(__xludf.DUMMYFUNCTION("MAX(FILTER($H$2:$H451,$E$2:$E451=F193))"),"#N/A")</f>
        <v>#N/A</v>
      </c>
    </row>
    <row r="194">
      <c r="A194" s="4"/>
      <c r="C194" s="4" t="s">
        <v>3094</v>
      </c>
      <c r="D194" s="4" t="str">
        <f t="shared" si="1"/>
        <v>{"valorA":"opção","valorB":1}</v>
      </c>
      <c r="E194" s="8" t="str">
        <f t="shared" si="2"/>
        <v>opção</v>
      </c>
      <c r="F194" s="8"/>
      <c r="G194" s="8" t="str">
        <f t="shared" si="3"/>
        <v>1</v>
      </c>
      <c r="H194" s="9">
        <f t="shared" si="4"/>
        <v>1</v>
      </c>
      <c r="I194" s="6" t="str">
        <f>IFERROR(__xludf.DUMMYFUNCTION("MAX(FILTER($H$2:$H451,$E$2:$E451=F194))"),"#N/A")</f>
        <v>#N/A</v>
      </c>
    </row>
    <row r="195">
      <c r="A195" s="4"/>
      <c r="C195" s="4" t="s">
        <v>2691</v>
      </c>
      <c r="D195" s="4" t="str">
        <f t="shared" si="1"/>
        <v>{"valorA":"o","valorB":2}</v>
      </c>
      <c r="E195" s="8" t="str">
        <f t="shared" si="2"/>
        <v>o</v>
      </c>
      <c r="F195" s="8"/>
      <c r="G195" s="8" t="str">
        <f t="shared" si="3"/>
        <v>2</v>
      </c>
      <c r="H195" s="9">
        <f t="shared" si="4"/>
        <v>2</v>
      </c>
      <c r="I195" s="6" t="str">
        <f>IFERROR(__xludf.DUMMYFUNCTION("MAX(FILTER($H$2:$H451,$E$2:$E451=F195))"),"#N/A")</f>
        <v>#N/A</v>
      </c>
    </row>
    <row r="196">
      <c r="A196" s="4"/>
      <c r="C196" s="4" t="s">
        <v>2796</v>
      </c>
      <c r="D196" s="4" t="str">
        <f t="shared" si="1"/>
        <v>{"valorA":"produto","valorB":15}</v>
      </c>
      <c r="E196" s="8" t="str">
        <f t="shared" si="2"/>
        <v>produto</v>
      </c>
      <c r="F196" s="8"/>
      <c r="G196" s="8" t="str">
        <f t="shared" si="3"/>
        <v>15</v>
      </c>
      <c r="H196" s="9">
        <f t="shared" si="4"/>
        <v>15</v>
      </c>
      <c r="I196" s="6" t="str">
        <f>IFERROR(__xludf.DUMMYFUNCTION("MAX(FILTER($H$2:$H451,$E$2:$E451=F196))"),"#N/A")</f>
        <v>#N/A</v>
      </c>
    </row>
    <row r="197">
      <c r="A197" s="4"/>
      <c r="C197" s="4" t="s">
        <v>2788</v>
      </c>
      <c r="D197" s="4" t="str">
        <f t="shared" si="1"/>
        <v>{"valorA":"ótimo","valorB":22}</v>
      </c>
      <c r="E197" s="8" t="str">
        <f t="shared" si="2"/>
        <v>ótimo</v>
      </c>
      <c r="F197" s="8"/>
      <c r="G197" s="8" t="str">
        <f t="shared" si="3"/>
        <v>22</v>
      </c>
      <c r="H197" s="9">
        <f t="shared" si="4"/>
        <v>22</v>
      </c>
      <c r="I197" s="6" t="str">
        <f>IFERROR(__xludf.DUMMYFUNCTION("MAX(FILTER($H$2:$H451,$E$2:$E451=F197))"),"#N/A")</f>
        <v>#N/A</v>
      </c>
    </row>
    <row r="198">
      <c r="A198" s="4"/>
      <c r="C198" s="4" t="s">
        <v>2660</v>
      </c>
      <c r="D198" s="4" t="str">
        <f t="shared" si="1"/>
        <v>{"valorA":"a","valorB":2}</v>
      </c>
      <c r="E198" s="8" t="str">
        <f t="shared" si="2"/>
        <v>a</v>
      </c>
      <c r="F198" s="8"/>
      <c r="G198" s="8" t="str">
        <f t="shared" si="3"/>
        <v>2</v>
      </c>
      <c r="H198" s="9">
        <f t="shared" si="4"/>
        <v>2</v>
      </c>
      <c r="I198" s="6" t="str">
        <f>IFERROR(__xludf.DUMMYFUNCTION("MAX(FILTER($H$2:$H451,$E$2:$E451=F198))"),"#N/A")</f>
        <v>#N/A</v>
      </c>
    </row>
    <row r="199">
      <c r="A199" s="4"/>
      <c r="C199" s="4" t="s">
        <v>3095</v>
      </c>
      <c r="D199" s="4" t="str">
        <f t="shared" si="1"/>
        <v>{"valorA":"valorizado","valorB":1}</v>
      </c>
      <c r="E199" s="8" t="str">
        <f t="shared" si="2"/>
        <v>valorizado</v>
      </c>
      <c r="F199" s="8"/>
      <c r="G199" s="8" t="str">
        <f t="shared" si="3"/>
        <v>1</v>
      </c>
      <c r="H199" s="9">
        <f t="shared" si="4"/>
        <v>1</v>
      </c>
      <c r="I199" s="6" t="str">
        <f>IFERROR(__xludf.DUMMYFUNCTION("MAX(FILTER($H$2:$H451,$E$2:$E451=F199))"),"#N/A")</f>
        <v>#N/A</v>
      </c>
    </row>
    <row r="200">
      <c r="A200" s="4"/>
      <c r="C200" s="4" t="s">
        <v>2835</v>
      </c>
      <c r="D200" s="4" t="str">
        <f t="shared" si="1"/>
        <v>{"valorA":"muito","valorB":7}</v>
      </c>
      <c r="E200" s="8" t="str">
        <f t="shared" si="2"/>
        <v>muito</v>
      </c>
      <c r="F200" s="8"/>
      <c r="G200" s="8" t="str">
        <f t="shared" si="3"/>
        <v>7</v>
      </c>
      <c r="H200" s="9">
        <f t="shared" si="4"/>
        <v>7</v>
      </c>
      <c r="I200" s="6" t="str">
        <f>IFERROR(__xludf.DUMMYFUNCTION("MAX(FILTER($H$2:$H451,$E$2:$E451=F200))"),"#N/A")</f>
        <v>#N/A</v>
      </c>
    </row>
    <row r="201">
      <c r="A201" s="4"/>
      <c r="C201" s="4" t="s">
        <v>3096</v>
      </c>
      <c r="D201" s="4" t="str">
        <f t="shared" si="1"/>
        <v>{"valorA":"econômico","valorB":4}</v>
      </c>
      <c r="E201" s="8" t="str">
        <f t="shared" si="2"/>
        <v>econômico</v>
      </c>
      <c r="F201" s="8"/>
      <c r="G201" s="8" t="str">
        <f t="shared" si="3"/>
        <v>4</v>
      </c>
      <c r="H201" s="9">
        <f t="shared" si="4"/>
        <v>4</v>
      </c>
      <c r="I201" s="6" t="str">
        <f>IFERROR(__xludf.DUMMYFUNCTION("MAX(FILTER($H$2:$H451,$E$2:$E451=F201))"),"#N/A")</f>
        <v>#N/A</v>
      </c>
    </row>
    <row r="202">
      <c r="A202" s="4"/>
      <c r="C202" s="4" t="s">
        <v>3097</v>
      </c>
      <c r="D202" s="4" t="str">
        <f t="shared" si="1"/>
        <v>{"valorA":"preço","valorB":6}</v>
      </c>
      <c r="E202" s="8" t="str">
        <f t="shared" si="2"/>
        <v>preço</v>
      </c>
      <c r="F202" s="8"/>
      <c r="G202" s="8" t="str">
        <f t="shared" si="3"/>
        <v>6</v>
      </c>
      <c r="H202" s="9">
        <f t="shared" si="4"/>
        <v>6</v>
      </c>
      <c r="I202" s="6" t="str">
        <f>IFERROR(__xludf.DUMMYFUNCTION("MAX(FILTER($H$2:$H451,$E$2:$E451=F202))"),"#N/A")</f>
        <v>#N/A</v>
      </c>
    </row>
    <row r="203">
      <c r="A203" s="4"/>
      <c r="C203" s="4" t="s">
        <v>3098</v>
      </c>
      <c r="D203" s="4" t="str">
        <f t="shared" si="1"/>
        <v>{"valorA":"recomendo","valorB":7}</v>
      </c>
      <c r="E203" s="8" t="str">
        <f t="shared" si="2"/>
        <v>recomendo</v>
      </c>
      <c r="F203" s="8"/>
      <c r="G203" s="8" t="str">
        <f t="shared" si="3"/>
        <v>7</v>
      </c>
      <c r="H203" s="9">
        <f t="shared" si="4"/>
        <v>7</v>
      </c>
      <c r="I203" s="6" t="str">
        <f>IFERROR(__xludf.DUMMYFUNCTION("MAX(FILTER($H$2:$H451,$E$2:$E451=F203))"),"#N/A")</f>
        <v>#N/A</v>
      </c>
    </row>
    <row r="204">
      <c r="A204" s="4"/>
      <c r="C204" s="4" t="s">
        <v>3099</v>
      </c>
      <c r="D204" s="4" t="str">
        <f t="shared" si="1"/>
        <v>{"valorA":"tablet","valorB":3}</v>
      </c>
      <c r="E204" s="8" t="str">
        <f t="shared" si="2"/>
        <v>tablet</v>
      </c>
      <c r="F204" s="8"/>
      <c r="G204" s="8" t="str">
        <f t="shared" si="3"/>
        <v>3</v>
      </c>
      <c r="H204" s="9">
        <f t="shared" si="4"/>
        <v>3</v>
      </c>
      <c r="I204" s="6" t="str">
        <f>IFERROR(__xludf.DUMMYFUNCTION("MAX(FILTER($H$2:$H451,$E$2:$E451=F204))"),"#N/A")</f>
        <v>#N/A</v>
      </c>
    </row>
    <row r="205">
      <c r="A205" s="4"/>
      <c r="C205" s="4" t="s">
        <v>2765</v>
      </c>
      <c r="D205" s="4" t="str">
        <f t="shared" si="1"/>
        <v>{"valorA":"funciona","valorB":6}</v>
      </c>
      <c r="E205" s="8" t="str">
        <f t="shared" si="2"/>
        <v>funciona</v>
      </c>
      <c r="F205" s="8"/>
      <c r="G205" s="8" t="str">
        <f t="shared" si="3"/>
        <v>6</v>
      </c>
      <c r="H205" s="9">
        <f t="shared" si="4"/>
        <v>6</v>
      </c>
      <c r="I205" s="6" t="str">
        <f>IFERROR(__xludf.DUMMYFUNCTION("MAX(FILTER($H$2:$H451,$E$2:$E451=F205))"),"#N/A")</f>
        <v>#N/A</v>
      </c>
    </row>
    <row r="206">
      <c r="A206" s="4"/>
      <c r="C206" s="4" t="s">
        <v>2714</v>
      </c>
      <c r="D206" s="4" t="str">
        <f t="shared" si="1"/>
        <v>{"valorA":"perfeitamente","valorB":2}</v>
      </c>
      <c r="E206" s="8" t="str">
        <f t="shared" si="2"/>
        <v>perfeitamente</v>
      </c>
      <c r="F206" s="8"/>
      <c r="G206" s="8" t="str">
        <f t="shared" si="3"/>
        <v>2</v>
      </c>
      <c r="H206" s="9">
        <f t="shared" si="4"/>
        <v>2</v>
      </c>
      <c r="I206" s="6" t="str">
        <f>IFERROR(__xludf.DUMMYFUNCTION("MAX(FILTER($H$2:$H451,$E$2:$E451=F206))"),"#N/A")</f>
        <v>#N/A</v>
      </c>
    </row>
    <row r="207">
      <c r="A207" s="4"/>
      <c r="C207" s="4" t="s">
        <v>2791</v>
      </c>
      <c r="D207" s="4" t="str">
        <f t="shared" si="1"/>
        <v>{"valorA":"ótimo","valorB":23}</v>
      </c>
      <c r="E207" s="8" t="str">
        <f t="shared" si="2"/>
        <v>ótimo</v>
      </c>
      <c r="F207" s="8"/>
      <c r="G207" s="8" t="str">
        <f t="shared" si="3"/>
        <v>23</v>
      </c>
      <c r="H207" s="9">
        <f t="shared" si="4"/>
        <v>23</v>
      </c>
      <c r="I207" s="6" t="str">
        <f>IFERROR(__xludf.DUMMYFUNCTION("MAX(FILTER($H$2:$H451,$E$2:$E451=F207))"),"#N/A")</f>
        <v>#N/A</v>
      </c>
    </row>
    <row r="208">
      <c r="A208" s="4"/>
      <c r="C208" s="4" t="s">
        <v>2894</v>
      </c>
      <c r="D208" s="4" t="str">
        <f t="shared" si="1"/>
        <v>{"valorA":"muito","valorB":8}</v>
      </c>
      <c r="E208" s="8" t="str">
        <f t="shared" si="2"/>
        <v>muito</v>
      </c>
      <c r="F208" s="8"/>
      <c r="G208" s="8" t="str">
        <f t="shared" si="3"/>
        <v>8</v>
      </c>
      <c r="H208" s="9">
        <f t="shared" si="4"/>
        <v>8</v>
      </c>
      <c r="I208" s="6" t="str">
        <f>IFERROR(__xludf.DUMMYFUNCTION("MAX(FILTER($H$2:$H451,$E$2:$E451=F208))"),"#N/A")</f>
        <v>#N/A</v>
      </c>
    </row>
    <row r="209">
      <c r="A209" s="4"/>
      <c r="C209" s="4" t="s">
        <v>2941</v>
      </c>
      <c r="D209" s="4" t="str">
        <f t="shared" si="1"/>
        <v>{"valorA":"gosto","valorB":2}</v>
      </c>
      <c r="E209" s="8" t="str">
        <f t="shared" si="2"/>
        <v>gosto</v>
      </c>
      <c r="F209" s="8"/>
      <c r="G209" s="8" t="str">
        <f t="shared" si="3"/>
        <v>2</v>
      </c>
      <c r="H209" s="9">
        <f t="shared" si="4"/>
        <v>2</v>
      </c>
      <c r="I209" s="6" t="str">
        <f>IFERROR(__xludf.DUMMYFUNCTION("MAX(FILTER($H$2:$H451,$E$2:$E451=F209))"),"#N/A")</f>
        <v>#N/A</v>
      </c>
    </row>
    <row r="210">
      <c r="A210" s="4"/>
      <c r="C210" s="4" t="s">
        <v>2801</v>
      </c>
      <c r="D210" s="4" t="str">
        <f t="shared" si="1"/>
        <v>{"valorA":"produto","valorB":16}</v>
      </c>
      <c r="E210" s="8" t="str">
        <f t="shared" si="2"/>
        <v>produto</v>
      </c>
      <c r="F210" s="8"/>
      <c r="G210" s="8" t="str">
        <f t="shared" si="3"/>
        <v>16</v>
      </c>
      <c r="H210" s="9">
        <f t="shared" si="4"/>
        <v>16</v>
      </c>
      <c r="I210" s="6" t="str">
        <f>IFERROR(__xludf.DUMMYFUNCTION("MAX(FILTER($H$2:$H451,$E$2:$E451=F210))"),"#N/A")</f>
        <v>#N/A</v>
      </c>
    </row>
    <row r="211">
      <c r="A211" s="4"/>
      <c r="C211" s="4" t="s">
        <v>2863</v>
      </c>
      <c r="D211" s="4" t="str">
        <f t="shared" si="1"/>
        <v>{"valorA":"para","valorB":9}</v>
      </c>
      <c r="E211" s="8" t="str">
        <f t="shared" si="2"/>
        <v>para</v>
      </c>
      <c r="F211" s="8"/>
      <c r="G211" s="8" t="str">
        <f t="shared" si="3"/>
        <v>9</v>
      </c>
      <c r="H211" s="9">
        <f t="shared" si="4"/>
        <v>9</v>
      </c>
      <c r="I211" s="6" t="str">
        <f>IFERROR(__xludf.DUMMYFUNCTION("MAX(FILTER($H$2:$H451,$E$2:$E451=F211))"),"#N/A")</f>
        <v>#N/A</v>
      </c>
    </row>
    <row r="212">
      <c r="A212" s="4"/>
      <c r="C212" s="4" t="s">
        <v>2798</v>
      </c>
      <c r="D212" s="4" t="str">
        <f t="shared" si="1"/>
        <v>{"valorA":"ótimo","valorB":24}</v>
      </c>
      <c r="E212" s="8" t="str">
        <f t="shared" si="2"/>
        <v>ótimo</v>
      </c>
      <c r="F212" s="8"/>
      <c r="G212" s="8" t="str">
        <f t="shared" si="3"/>
        <v>24</v>
      </c>
      <c r="H212" s="9">
        <f t="shared" si="4"/>
        <v>24</v>
      </c>
      <c r="I212" s="6" t="str">
        <f>IFERROR(__xludf.DUMMYFUNCTION("MAX(FILTER($H$2:$H451,$E$2:$E451=F212))"),"#N/A")</f>
        <v>#N/A</v>
      </c>
    </row>
    <row r="213">
      <c r="A213" s="4"/>
      <c r="C213" s="4" t="s">
        <v>3100</v>
      </c>
      <c r="D213" s="4" t="str">
        <f t="shared" si="1"/>
        <v>{"valorA":"todos","valorB":1}</v>
      </c>
      <c r="E213" s="8" t="str">
        <f t="shared" si="2"/>
        <v>todos</v>
      </c>
      <c r="F213" s="8"/>
      <c r="G213" s="8" t="str">
        <f t="shared" si="3"/>
        <v>1</v>
      </c>
      <c r="H213" s="9">
        <f t="shared" si="4"/>
        <v>1</v>
      </c>
      <c r="I213" s="6" t="str">
        <f>IFERROR(__xludf.DUMMYFUNCTION("MAX(FILTER($H$2:$H451,$E$2:$E451=F213))"),"#N/A")</f>
        <v>#N/A</v>
      </c>
    </row>
    <row r="214">
      <c r="A214" s="4"/>
      <c r="C214" s="4" t="s">
        <v>3101</v>
      </c>
      <c r="D214" s="4" t="str">
        <f t="shared" si="1"/>
        <v>{"valorA":"recomendo","valorB":8}</v>
      </c>
      <c r="E214" s="8" t="str">
        <f t="shared" si="2"/>
        <v>recomendo</v>
      </c>
      <c r="F214" s="8"/>
      <c r="G214" s="8" t="str">
        <f t="shared" si="3"/>
        <v>8</v>
      </c>
      <c r="H214" s="9">
        <f t="shared" si="4"/>
        <v>8</v>
      </c>
      <c r="I214" s="6" t="str">
        <f>IFERROR(__xludf.DUMMYFUNCTION("MAX(FILTER($H$2:$H451,$E$2:$E451=F214))"),"#N/A")</f>
        <v>#N/A</v>
      </c>
    </row>
    <row r="215">
      <c r="A215" s="4"/>
      <c r="C215" s="4" t="s">
        <v>3102</v>
      </c>
      <c r="D215" s="4" t="str">
        <f t="shared" si="1"/>
        <v>{"valorA":"fico","valorB":2}</v>
      </c>
      <c r="E215" s="8" t="str">
        <f t="shared" si="2"/>
        <v>fico</v>
      </c>
      <c r="F215" s="8"/>
      <c r="G215" s="8" t="str">
        <f t="shared" si="3"/>
        <v>2</v>
      </c>
      <c r="H215" s="9">
        <f t="shared" si="4"/>
        <v>2</v>
      </c>
      <c r="I215" s="6" t="str">
        <f>IFERROR(__xludf.DUMMYFUNCTION("MAX(FILTER($H$2:$H451,$E$2:$E451=F215))"),"#N/A")</f>
        <v>#N/A</v>
      </c>
    </row>
    <row r="216">
      <c r="A216" s="4"/>
      <c r="C216" s="4" t="s">
        <v>2920</v>
      </c>
      <c r="D216" s="4" t="str">
        <f t="shared" si="1"/>
        <v>{"valorA":"qualidade","valorB":2}</v>
      </c>
      <c r="E216" s="8" t="str">
        <f t="shared" si="2"/>
        <v>qualidade</v>
      </c>
      <c r="F216" s="8"/>
      <c r="G216" s="8" t="str">
        <f t="shared" si="3"/>
        <v>2</v>
      </c>
      <c r="H216" s="9">
        <f t="shared" si="4"/>
        <v>2</v>
      </c>
      <c r="I216" s="6" t="str">
        <f>IFERROR(__xludf.DUMMYFUNCTION("MAX(FILTER($H$2:$H451,$E$2:$E451=F216))"),"#N/A")</f>
        <v>#N/A</v>
      </c>
    </row>
    <row r="217">
      <c r="A217" s="4"/>
      <c r="C217" s="4" t="s">
        <v>2632</v>
      </c>
      <c r="D217" s="4" t="str">
        <f t="shared" si="1"/>
        <v>{"valorA":"desse","valorB":1}</v>
      </c>
      <c r="E217" s="8" t="str">
        <f t="shared" si="2"/>
        <v>desse</v>
      </c>
      <c r="F217" s="8"/>
      <c r="G217" s="8" t="str">
        <f t="shared" si="3"/>
        <v>1</v>
      </c>
      <c r="H217" s="9">
        <f t="shared" si="4"/>
        <v>1</v>
      </c>
      <c r="I217" s="6" t="str">
        <f>IFERROR(__xludf.DUMMYFUNCTION("MAX(FILTER($H$2:$H451,$E$2:$E451=F217))"),"#N/A")</f>
        <v>#N/A</v>
      </c>
    </row>
    <row r="218">
      <c r="A218" s="4"/>
      <c r="C218" s="4" t="s">
        <v>2665</v>
      </c>
      <c r="D218" s="4" t="str">
        <f t="shared" si="1"/>
        <v>{"valorA":"satisfeito","valorB":1}</v>
      </c>
      <c r="E218" s="8" t="str">
        <f t="shared" si="2"/>
        <v>satisfeito</v>
      </c>
      <c r="F218" s="8"/>
      <c r="G218" s="8" t="str">
        <f t="shared" si="3"/>
        <v>1</v>
      </c>
      <c r="H218" s="9">
        <f t="shared" si="4"/>
        <v>1</v>
      </c>
      <c r="I218" s="6" t="str">
        <f>IFERROR(__xludf.DUMMYFUNCTION("MAX(FILTER($H$2:$H451,$E$2:$E451=F218))"),"#N/A")</f>
        <v>#N/A</v>
      </c>
    </row>
    <row r="219">
      <c r="A219" s="4"/>
      <c r="C219" s="4" t="s">
        <v>2806</v>
      </c>
      <c r="D219" s="4" t="str">
        <f t="shared" si="1"/>
        <v>{"valorA":"ótimo","valorB":25}</v>
      </c>
      <c r="E219" s="8" t="str">
        <f t="shared" si="2"/>
        <v>ótimo</v>
      </c>
      <c r="F219" s="8"/>
      <c r="G219" s="8" t="str">
        <f t="shared" si="3"/>
        <v>25</v>
      </c>
      <c r="H219" s="9">
        <f t="shared" si="4"/>
        <v>25</v>
      </c>
      <c r="I219" s="6" t="str">
        <f>IFERROR(__xludf.DUMMYFUNCTION("MAX(FILTER($H$2:$H451,$E$2:$E451=F219))"),"#N/A")</f>
        <v>#N/A</v>
      </c>
    </row>
    <row r="220">
      <c r="A220" s="4"/>
      <c r="C220" s="4" t="s">
        <v>3103</v>
      </c>
      <c r="D220" s="4" t="str">
        <f t="shared" si="1"/>
        <v>{"valorA":"e","valorB":11}</v>
      </c>
      <c r="E220" s="8" t="str">
        <f t="shared" si="2"/>
        <v>e</v>
      </c>
      <c r="F220" s="8"/>
      <c r="G220" s="8" t="str">
        <f t="shared" si="3"/>
        <v>11</v>
      </c>
      <c r="H220" s="9">
        <f t="shared" si="4"/>
        <v>11</v>
      </c>
      <c r="I220" s="6" t="str">
        <f>IFERROR(__xludf.DUMMYFUNCTION("MAX(FILTER($H$2:$H451,$E$2:$E451=F220))"),"#N/A")</f>
        <v>#N/A</v>
      </c>
    </row>
    <row r="221">
      <c r="A221" s="4"/>
      <c r="C221" s="4" t="s">
        <v>3104</v>
      </c>
      <c r="D221" s="4" t="str">
        <f t="shared" si="1"/>
        <v>{"valorA":"preço","valorB":7}</v>
      </c>
      <c r="E221" s="8" t="str">
        <f t="shared" si="2"/>
        <v>preço</v>
      </c>
      <c r="F221" s="8"/>
      <c r="G221" s="8" t="str">
        <f t="shared" si="3"/>
        <v>7</v>
      </c>
      <c r="H221" s="9">
        <f t="shared" si="4"/>
        <v>7</v>
      </c>
      <c r="I221" s="6" t="str">
        <f>IFERROR(__xludf.DUMMYFUNCTION("MAX(FILTER($H$2:$H451,$E$2:$E451=F221))"),"#N/A")</f>
        <v>#N/A</v>
      </c>
    </row>
    <row r="222">
      <c r="A222" s="4"/>
      <c r="C222" s="4" t="s">
        <v>3105</v>
      </c>
      <c r="D222" s="4" t="str">
        <f t="shared" si="1"/>
        <v>{"valorA":"blender","valorB":2}</v>
      </c>
      <c r="E222" s="8" t="str">
        <f t="shared" si="2"/>
        <v>blender</v>
      </c>
      <c r="F222" s="8"/>
      <c r="G222" s="8" t="str">
        <f t="shared" si="3"/>
        <v>2</v>
      </c>
      <c r="H222" s="9">
        <f t="shared" si="4"/>
        <v>2</v>
      </c>
      <c r="I222" s="6" t="str">
        <f>IFERROR(__xludf.DUMMYFUNCTION("MAX(FILTER($H$2:$H451,$E$2:$E451=F222))"),"#N/A")</f>
        <v>#N/A</v>
      </c>
    </row>
    <row r="223">
      <c r="A223" s="4"/>
      <c r="C223" s="4" t="s">
        <v>2812</v>
      </c>
      <c r="D223" s="4" t="str">
        <f t="shared" si="1"/>
        <v>{"valorA":"produto","valorB":17}</v>
      </c>
      <c r="E223" s="8" t="str">
        <f t="shared" si="2"/>
        <v>produto</v>
      </c>
      <c r="F223" s="8"/>
      <c r="G223" s="8" t="str">
        <f t="shared" si="3"/>
        <v>17</v>
      </c>
      <c r="H223" s="9">
        <f t="shared" si="4"/>
        <v>17</v>
      </c>
      <c r="I223" s="6" t="str">
        <f>IFERROR(__xludf.DUMMYFUNCTION("MAX(FILTER($H$2:$H451,$E$2:$E451=F223))"),"#N/A")</f>
        <v>#N/A</v>
      </c>
    </row>
    <row r="224">
      <c r="A224" s="4"/>
      <c r="C224" s="4" t="s">
        <v>2885</v>
      </c>
      <c r="D224" s="4" t="str">
        <f t="shared" si="1"/>
        <v>{"valorA":"paguei","valorB":2}</v>
      </c>
      <c r="E224" s="8" t="str">
        <f t="shared" si="2"/>
        <v>paguei</v>
      </c>
      <c r="F224" s="8"/>
      <c r="G224" s="8" t="str">
        <f t="shared" si="3"/>
        <v>2</v>
      </c>
      <c r="H224" s="9">
        <f t="shared" si="4"/>
        <v>2</v>
      </c>
      <c r="I224" s="6" t="str">
        <f>IFERROR(__xludf.DUMMYFUNCTION("MAX(FILTER($H$2:$H451,$E$2:$E451=F224))"),"#N/A")</f>
        <v>#N/A</v>
      </c>
    </row>
    <row r="225">
      <c r="A225" s="4"/>
      <c r="C225" s="4" t="s">
        <v>2809</v>
      </c>
      <c r="D225" s="4" t="str">
        <f t="shared" si="1"/>
        <v>{"valorA":"ótimo","valorB":26}</v>
      </c>
      <c r="E225" s="8" t="str">
        <f t="shared" si="2"/>
        <v>ótimo</v>
      </c>
      <c r="F225" s="8"/>
      <c r="G225" s="8" t="str">
        <f t="shared" si="3"/>
        <v>26</v>
      </c>
      <c r="H225" s="9">
        <f t="shared" si="4"/>
        <v>26</v>
      </c>
      <c r="I225" s="6" t="str">
        <f>IFERROR(__xludf.DUMMYFUNCTION("MAX(FILTER($H$2:$H451,$E$2:$E451=F225))"),"#N/A")</f>
        <v>#N/A</v>
      </c>
    </row>
    <row r="226">
      <c r="A226" s="4"/>
      <c r="C226" s="4" t="s">
        <v>2695</v>
      </c>
      <c r="D226" s="4" t="str">
        <f t="shared" si="1"/>
        <v>{"valorA":"que","valorB":2}</v>
      </c>
      <c r="E226" s="8" t="str">
        <f t="shared" si="2"/>
        <v>que</v>
      </c>
      <c r="F226" s="8"/>
      <c r="G226" s="8" t="str">
        <f t="shared" si="3"/>
        <v>2</v>
      </c>
      <c r="H226" s="9">
        <f t="shared" si="4"/>
        <v>2</v>
      </c>
      <c r="I226" s="6" t="str">
        <f>IFERROR(__xludf.DUMMYFUNCTION("MAX(FILTER($H$2:$H451,$E$2:$E451=F226))"),"#N/A")</f>
        <v>#N/A</v>
      </c>
    </row>
    <row r="227">
      <c r="A227" s="4"/>
      <c r="C227" s="4" t="s">
        <v>3106</v>
      </c>
      <c r="D227" s="4" t="str">
        <f t="shared" si="1"/>
        <v>{"valorA":"mas","valorB":2}</v>
      </c>
      <c r="E227" s="8" t="str">
        <f t="shared" si="2"/>
        <v>mas</v>
      </c>
      <c r="F227" s="8"/>
      <c r="G227" s="8" t="str">
        <f t="shared" si="3"/>
        <v>2</v>
      </c>
      <c r="H227" s="9">
        <f t="shared" si="4"/>
        <v>2</v>
      </c>
      <c r="I227" s="6" t="str">
        <f>IFERROR(__xludf.DUMMYFUNCTION("MAX(FILTER($H$2:$H451,$E$2:$E451=F227))"),"#N/A")</f>
        <v>#N/A</v>
      </c>
    </row>
    <row r="228">
      <c r="A228" s="4"/>
      <c r="C228" s="4" t="s">
        <v>3107</v>
      </c>
      <c r="D228" s="4" t="str">
        <f t="shared" si="1"/>
        <v>{"valorA":"preço","valorB":8}</v>
      </c>
      <c r="E228" s="8" t="str">
        <f t="shared" si="2"/>
        <v>preço</v>
      </c>
      <c r="F228" s="8"/>
      <c r="G228" s="8" t="str">
        <f t="shared" si="3"/>
        <v>8</v>
      </c>
      <c r="H228" s="9">
        <f t="shared" si="4"/>
        <v>8</v>
      </c>
      <c r="I228" s="6" t="str">
        <f>IFERROR(__xludf.DUMMYFUNCTION("MAX(FILTER($H$2:$H451,$E$2:$E451=F228))"),"#N/A")</f>
        <v>#N/A</v>
      </c>
    </row>
    <row r="229">
      <c r="A229" s="4"/>
      <c r="C229" s="4" t="s">
        <v>3108</v>
      </c>
      <c r="D229" s="4" t="str">
        <f t="shared" si="1"/>
        <v>{"valorA":"valeu","valorB":2}</v>
      </c>
      <c r="E229" s="8" t="str">
        <f t="shared" si="2"/>
        <v>valeu</v>
      </c>
      <c r="F229" s="8"/>
      <c r="G229" s="8" t="str">
        <f t="shared" si="3"/>
        <v>2</v>
      </c>
      <c r="H229" s="9">
        <f t="shared" si="4"/>
        <v>2</v>
      </c>
      <c r="I229" s="6" t="str">
        <f>IFERROR(__xludf.DUMMYFUNCTION("MAX(FILTER($H$2:$H451,$E$2:$E451=F229))"),"#N/A")</f>
        <v>#N/A</v>
      </c>
    </row>
    <row r="230">
      <c r="A230" s="4"/>
      <c r="C230" s="4" t="s">
        <v>3109</v>
      </c>
      <c r="D230" s="4" t="str">
        <f t="shared" si="1"/>
        <v>{"valorA":"não","valorB":2}</v>
      </c>
      <c r="E230" s="8" t="str">
        <f t="shared" si="2"/>
        <v>não</v>
      </c>
      <c r="F230" s="8"/>
      <c r="G230" s="8" t="str">
        <f t="shared" si="3"/>
        <v>2</v>
      </c>
      <c r="H230" s="9">
        <f t="shared" si="4"/>
        <v>2</v>
      </c>
      <c r="I230" s="6" t="str">
        <f>IFERROR(__xludf.DUMMYFUNCTION("MAX(FILTER($H$2:$H451,$E$2:$E451=F230))"),"#N/A")</f>
        <v>#N/A</v>
      </c>
    </row>
    <row r="231">
      <c r="A231" s="4"/>
      <c r="C231" s="4" t="s">
        <v>2781</v>
      </c>
      <c r="D231" s="4" t="str">
        <f t="shared" si="1"/>
        <v>{"valorA":"o","valorB":3}</v>
      </c>
      <c r="E231" s="8" t="str">
        <f t="shared" si="2"/>
        <v>o</v>
      </c>
      <c r="F231" s="8"/>
      <c r="G231" s="8" t="str">
        <f t="shared" si="3"/>
        <v>3</v>
      </c>
      <c r="H231" s="9">
        <f t="shared" si="4"/>
        <v>3</v>
      </c>
      <c r="I231" s="6" t="str">
        <f>IFERROR(__xludf.DUMMYFUNCTION("MAX(FILTER($H$2:$H451,$E$2:$E451=F231))"),"#N/A")</f>
        <v>#N/A</v>
      </c>
    </row>
    <row r="232">
      <c r="A232" s="4"/>
      <c r="C232" s="4" t="s">
        <v>3110</v>
      </c>
      <c r="D232" s="4" t="str">
        <f t="shared" si="1"/>
        <v>{"valorA":"de","valorB":12}</v>
      </c>
      <c r="E232" s="8" t="str">
        <f t="shared" si="2"/>
        <v>de</v>
      </c>
      <c r="F232" s="8"/>
      <c r="G232" s="8" t="str">
        <f t="shared" si="3"/>
        <v>12</v>
      </c>
      <c r="H232" s="9">
        <f t="shared" si="4"/>
        <v>12</v>
      </c>
      <c r="I232" s="6" t="str">
        <f>IFERROR(__xludf.DUMMYFUNCTION("MAX(FILTER($H$2:$H451,$E$2:$E451=F232))"),"#N/A")</f>
        <v>#N/A</v>
      </c>
    </row>
    <row r="233">
      <c r="A233" s="4"/>
      <c r="C233" s="4" t="s">
        <v>2832</v>
      </c>
      <c r="D233" s="4" t="str">
        <f t="shared" si="1"/>
        <v>{"valorA":"produto","valorB":18}</v>
      </c>
      <c r="E233" s="8" t="str">
        <f t="shared" si="2"/>
        <v>produto</v>
      </c>
      <c r="F233" s="8"/>
      <c r="G233" s="8" t="str">
        <f t="shared" si="3"/>
        <v>18</v>
      </c>
      <c r="H233" s="9">
        <f t="shared" si="4"/>
        <v>18</v>
      </c>
      <c r="I233" s="6" t="str">
        <f>IFERROR(__xludf.DUMMYFUNCTION("MAX(FILTER($H$2:$H451,$E$2:$E451=F233))"),"#N/A")</f>
        <v>#N/A</v>
      </c>
    </row>
    <row r="234">
      <c r="A234" s="4"/>
      <c r="C234" s="4" t="s">
        <v>2818</v>
      </c>
      <c r="D234" s="4" t="str">
        <f t="shared" si="1"/>
        <v>{"valorA":"ótimo","valorB":27}</v>
      </c>
      <c r="E234" s="8" t="str">
        <f t="shared" si="2"/>
        <v>ótimo</v>
      </c>
      <c r="F234" s="8"/>
      <c r="G234" s="8" t="str">
        <f t="shared" si="3"/>
        <v>27</v>
      </c>
      <c r="H234" s="9">
        <f t="shared" si="4"/>
        <v>27</v>
      </c>
      <c r="I234" s="6" t="str">
        <f>IFERROR(__xludf.DUMMYFUNCTION("MAX(FILTER($H$2:$H451,$E$2:$E451=F234))"),"#N/A")</f>
        <v>#N/A</v>
      </c>
    </row>
    <row r="235">
      <c r="A235" s="4"/>
      <c r="C235" s="4" t="s">
        <v>3111</v>
      </c>
      <c r="D235" s="4" t="str">
        <f t="shared" si="1"/>
        <v>{"valorA":"usar","valorB":9}</v>
      </c>
      <c r="E235" s="8" t="str">
        <f t="shared" si="2"/>
        <v>usar</v>
      </c>
      <c r="F235" s="8"/>
      <c r="G235" s="8" t="str">
        <f t="shared" si="3"/>
        <v>9</v>
      </c>
      <c r="H235" s="9">
        <f t="shared" si="4"/>
        <v>9</v>
      </c>
      <c r="I235" s="6" t="str">
        <f>IFERROR(__xludf.DUMMYFUNCTION("MAX(FILTER($H$2:$H451,$E$2:$E451=F235))"),"#N/A")</f>
        <v>#N/A</v>
      </c>
    </row>
    <row r="236">
      <c r="A236" s="4"/>
      <c r="C236" s="4" t="s">
        <v>2776</v>
      </c>
      <c r="D236" s="4" t="str">
        <f t="shared" si="1"/>
        <v>{"valorA":"funciona","valorB":7}</v>
      </c>
      <c r="E236" s="8" t="str">
        <f t="shared" si="2"/>
        <v>funciona</v>
      </c>
      <c r="F236" s="8"/>
      <c r="G236" s="8" t="str">
        <f t="shared" si="3"/>
        <v>7</v>
      </c>
      <c r="H236" s="9">
        <f t="shared" si="4"/>
        <v>7</v>
      </c>
      <c r="I236" s="6" t="str">
        <f>IFERROR(__xludf.DUMMYFUNCTION("MAX(FILTER($H$2:$H451,$E$2:$E451=F236))"),"#N/A")</f>
        <v>#N/A</v>
      </c>
    </row>
    <row r="237">
      <c r="A237" s="4"/>
      <c r="C237" s="4" t="s">
        <v>3112</v>
      </c>
      <c r="D237" s="4" t="str">
        <f t="shared" si="1"/>
        <v>{"valorA":"fácil","valorB":9}</v>
      </c>
      <c r="E237" s="8" t="str">
        <f t="shared" si="2"/>
        <v>fácil</v>
      </c>
      <c r="F237" s="8"/>
      <c r="G237" s="8" t="str">
        <f t="shared" si="3"/>
        <v>9</v>
      </c>
      <c r="H237" s="9">
        <f t="shared" si="4"/>
        <v>9</v>
      </c>
      <c r="I237" s="6" t="str">
        <f>IFERROR(__xludf.DUMMYFUNCTION("MAX(FILTER($H$2:$H451,$E$2:$E451=F237))"),"#N/A")</f>
        <v>#N/A</v>
      </c>
    </row>
    <row r="238">
      <c r="A238" s="4"/>
      <c r="C238" s="4" t="s">
        <v>3113</v>
      </c>
      <c r="D238" s="4" t="str">
        <f t="shared" si="1"/>
        <v>{"valorA":"e","valorB":12}</v>
      </c>
      <c r="E238" s="8" t="str">
        <f t="shared" si="2"/>
        <v>e</v>
      </c>
      <c r="F238" s="8"/>
      <c r="G238" s="8" t="str">
        <f t="shared" si="3"/>
        <v>12</v>
      </c>
      <c r="H238" s="9">
        <f t="shared" si="4"/>
        <v>12</v>
      </c>
      <c r="I238" s="6" t="str">
        <f>IFERROR(__xludf.DUMMYFUNCTION("MAX(FILTER($H$2:$H451,$E$2:$E451=F238))"),"#N/A")</f>
        <v>#N/A</v>
      </c>
    </row>
    <row r="239">
      <c r="A239" s="4"/>
      <c r="C239" s="4" t="s">
        <v>3114</v>
      </c>
      <c r="D239" s="4" t="str">
        <f t="shared" si="1"/>
        <v>{"valorA":"bem","valorB":6}</v>
      </c>
      <c r="E239" s="8" t="str">
        <f t="shared" si="2"/>
        <v>bem</v>
      </c>
      <c r="F239" s="8"/>
      <c r="G239" s="8" t="str">
        <f t="shared" si="3"/>
        <v>6</v>
      </c>
      <c r="H239" s="9">
        <f t="shared" si="4"/>
        <v>6</v>
      </c>
      <c r="I239" s="6" t="str">
        <f>IFERROR(__xludf.DUMMYFUNCTION("MAX(FILTER($H$2:$H451,$E$2:$E451=F239))"),"#N/A")</f>
        <v>#N/A</v>
      </c>
    </row>
    <row r="240">
      <c r="A240" s="4"/>
      <c r="C240" s="4" t="s">
        <v>2828</v>
      </c>
      <c r="D240" s="4" t="str">
        <f t="shared" si="1"/>
        <v>{"valorA":"ótimo","valorB":28}</v>
      </c>
      <c r="E240" s="8" t="str">
        <f t="shared" si="2"/>
        <v>ótimo</v>
      </c>
      <c r="F240" s="8"/>
      <c r="G240" s="8" t="str">
        <f t="shared" si="3"/>
        <v>28</v>
      </c>
      <c r="H240" s="9">
        <f t="shared" si="4"/>
        <v>28</v>
      </c>
      <c r="I240" s="6" t="str">
        <f>IFERROR(__xludf.DUMMYFUNCTION("MAX(FILTER($H$2:$H451,$E$2:$E451=F240))"),"#N/A")</f>
        <v>#N/A</v>
      </c>
    </row>
    <row r="241">
      <c r="A241" s="4"/>
      <c r="C241" s="4" t="s">
        <v>3115</v>
      </c>
      <c r="D241" s="4" t="str">
        <f t="shared" si="1"/>
        <v>{"valorA":"paguei","valorB":3}</v>
      </c>
      <c r="E241" s="8" t="str">
        <f t="shared" si="2"/>
        <v>paguei</v>
      </c>
      <c r="F241" s="8"/>
      <c r="G241" s="8" t="str">
        <f t="shared" si="3"/>
        <v>3</v>
      </c>
      <c r="H241" s="9">
        <f t="shared" si="4"/>
        <v>3</v>
      </c>
      <c r="I241" s="6" t="str">
        <f>IFERROR(__xludf.DUMMYFUNCTION("MAX(FILTER($H$2:$H451,$E$2:$E451=F241))"),"#N/A")</f>
        <v>#N/A</v>
      </c>
    </row>
    <row r="242">
      <c r="A242" s="4"/>
      <c r="C242" s="4" t="s">
        <v>2867</v>
      </c>
      <c r="D242" s="4" t="str">
        <f t="shared" si="1"/>
        <v>{"valorA":"produto","valorB":19}</v>
      </c>
      <c r="E242" s="8" t="str">
        <f t="shared" si="2"/>
        <v>produto</v>
      </c>
      <c r="F242" s="8"/>
      <c r="G242" s="8" t="str">
        <f t="shared" si="3"/>
        <v>19</v>
      </c>
      <c r="H242" s="9">
        <f t="shared" si="4"/>
        <v>19</v>
      </c>
      <c r="I242" s="6" t="str">
        <f>IFERROR(__xludf.DUMMYFUNCTION("MAX(FILTER($H$2:$H451,$E$2:$E451=F242))"),"#N/A")</f>
        <v>#N/A</v>
      </c>
    </row>
    <row r="243">
      <c r="A243" s="4"/>
      <c r="C243" s="4" t="s">
        <v>2708</v>
      </c>
      <c r="D243" s="4" t="str">
        <f t="shared" si="1"/>
        <v>{"valorA":"que","valorB":3}</v>
      </c>
      <c r="E243" s="8" t="str">
        <f t="shared" si="2"/>
        <v>que</v>
      </c>
      <c r="F243" s="8"/>
      <c r="G243" s="8" t="str">
        <f t="shared" si="3"/>
        <v>3</v>
      </c>
      <c r="H243" s="9">
        <f t="shared" si="4"/>
        <v>3</v>
      </c>
      <c r="I243" s="6" t="str">
        <f>IFERROR(__xludf.DUMMYFUNCTION("MAX(FILTER($H$2:$H451,$E$2:$E451=F243))"),"#N/A")</f>
        <v>#N/A</v>
      </c>
    </row>
    <row r="244">
      <c r="A244" s="4"/>
      <c r="C244" s="4" t="s">
        <v>3116</v>
      </c>
      <c r="D244" s="4" t="str">
        <f t="shared" si="1"/>
        <v>{"valorA":"bem","valorB":7}</v>
      </c>
      <c r="E244" s="8" t="str">
        <f t="shared" si="2"/>
        <v>bem</v>
      </c>
      <c r="F244" s="8"/>
      <c r="G244" s="8" t="str">
        <f t="shared" si="3"/>
        <v>7</v>
      </c>
      <c r="H244" s="9">
        <f t="shared" si="4"/>
        <v>7</v>
      </c>
      <c r="I244" s="6" t="str">
        <f>IFERROR(__xludf.DUMMYFUNCTION("MAX(FILTER($H$2:$H451,$E$2:$E451=F244))"),"#N/A")</f>
        <v>#N/A</v>
      </c>
    </row>
    <row r="245">
      <c r="A245" s="4"/>
      <c r="C245" s="4" t="s">
        <v>2816</v>
      </c>
      <c r="D245" s="4" t="str">
        <f t="shared" si="1"/>
        <v>{"valorA":"funciona","valorB":8}</v>
      </c>
      <c r="E245" s="8" t="str">
        <f t="shared" si="2"/>
        <v>funciona</v>
      </c>
      <c r="F245" s="8"/>
      <c r="G245" s="8" t="str">
        <f t="shared" si="3"/>
        <v>8</v>
      </c>
      <c r="H245" s="9">
        <f t="shared" si="4"/>
        <v>8</v>
      </c>
      <c r="I245" s="6" t="str">
        <f>IFERROR(__xludf.DUMMYFUNCTION("MAX(FILTER($H$2:$H451,$E$2:$E451=F245))"),"#N/A")</f>
        <v>#N/A</v>
      </c>
    </row>
    <row r="246">
      <c r="A246" s="4"/>
      <c r="C246" s="4" t="s">
        <v>3117</v>
      </c>
      <c r="D246" s="4" t="str">
        <f t="shared" si="1"/>
        <v>{"valorA":"preço","valorB":9}</v>
      </c>
      <c r="E246" s="8" t="str">
        <f t="shared" si="2"/>
        <v>preço</v>
      </c>
      <c r="F246" s="8"/>
      <c r="G246" s="8" t="str">
        <f t="shared" si="3"/>
        <v>9</v>
      </c>
      <c r="H246" s="9">
        <f t="shared" si="4"/>
        <v>9</v>
      </c>
      <c r="I246" s="6" t="str">
        <f>IFERROR(__xludf.DUMMYFUNCTION("MAX(FILTER($H$2:$H451,$E$2:$E451=F246))"),"#N/A")</f>
        <v>#N/A</v>
      </c>
    </row>
    <row r="247">
      <c r="A247" s="4"/>
      <c r="C247" s="4" t="s">
        <v>2969</v>
      </c>
      <c r="D247" s="4" t="str">
        <f t="shared" si="1"/>
        <v>{"valorA":"para","valorB":10}</v>
      </c>
      <c r="E247" s="8" t="str">
        <f t="shared" si="2"/>
        <v>para</v>
      </c>
      <c r="F247" s="8"/>
      <c r="G247" s="8" t="str">
        <f t="shared" si="3"/>
        <v>10</v>
      </c>
      <c r="H247" s="9">
        <f t="shared" si="4"/>
        <v>10</v>
      </c>
      <c r="I247" s="6" t="str">
        <f>IFERROR(__xludf.DUMMYFUNCTION("MAX(FILTER($H$2:$H451,$E$2:$E451=F247))"),"#N/A")</f>
        <v>#N/A</v>
      </c>
    </row>
    <row r="248">
      <c r="A248" s="4"/>
      <c r="C248" s="4" t="s">
        <v>2810</v>
      </c>
      <c r="D248" s="4" t="str">
        <f t="shared" si="1"/>
        <v>{"valorA":"o","valorB":4}</v>
      </c>
      <c r="E248" s="8" t="str">
        <f t="shared" si="2"/>
        <v>o</v>
      </c>
      <c r="F248" s="8"/>
      <c r="G248" s="8" t="str">
        <f t="shared" si="3"/>
        <v>4</v>
      </c>
      <c r="H248" s="9">
        <f t="shared" si="4"/>
        <v>4</v>
      </c>
      <c r="I248" s="6" t="str">
        <f>IFERROR(__xludf.DUMMYFUNCTION("MAX(FILTER($H$2:$H451,$E$2:$E451=F248))"),"#N/A")</f>
        <v>#N/A</v>
      </c>
    </row>
    <row r="249">
      <c r="A249" s="4"/>
      <c r="C249" s="4" t="s">
        <v>2872</v>
      </c>
      <c r="D249" s="4" t="str">
        <f t="shared" si="1"/>
        <v>{"valorA":"produto","valorB":20}</v>
      </c>
      <c r="E249" s="8" t="str">
        <f t="shared" si="2"/>
        <v>produto</v>
      </c>
      <c r="F249" s="8"/>
      <c r="G249" s="8" t="str">
        <f t="shared" si="3"/>
        <v>20</v>
      </c>
      <c r="H249" s="9">
        <f t="shared" si="4"/>
        <v>20</v>
      </c>
      <c r="I249" s="6" t="str">
        <f>IFERROR(__xludf.DUMMYFUNCTION("MAX(FILTER($H$2:$H451,$E$2:$E451=F249))"),"#N/A")</f>
        <v>#N/A</v>
      </c>
    </row>
    <row r="250">
      <c r="A250" s="4"/>
      <c r="C250" s="4" t="s">
        <v>3118</v>
      </c>
      <c r="D250" s="4" t="str">
        <f t="shared" si="1"/>
        <v>{"valorA":"tão","valorB":4}</v>
      </c>
      <c r="E250" s="8" t="str">
        <f t="shared" si="2"/>
        <v>tão</v>
      </c>
      <c r="F250" s="8"/>
      <c r="G250" s="8" t="str">
        <f t="shared" si="3"/>
        <v>4</v>
      </c>
      <c r="H250" s="9">
        <f t="shared" si="4"/>
        <v>4</v>
      </c>
      <c r="I250" s="6" t="str">
        <f>IFERROR(__xludf.DUMMYFUNCTION("MAX(FILTER($H$2:$H451,$E$2:$E451=F250))"),"#N/A")</f>
        <v>#N/A</v>
      </c>
    </row>
    <row r="251">
      <c r="A251" s="4"/>
      <c r="C251" s="4" t="s">
        <v>3119</v>
      </c>
      <c r="D251" s="4" t="str">
        <f t="shared" si="1"/>
        <v>{"valorA":"bom","valorB":5}</v>
      </c>
      <c r="E251" s="8" t="str">
        <f t="shared" si="2"/>
        <v>bom</v>
      </c>
      <c r="F251" s="8"/>
      <c r="G251" s="8" t="str">
        <f t="shared" si="3"/>
        <v>5</v>
      </c>
      <c r="H251" s="9">
        <f t="shared" si="4"/>
        <v>5</v>
      </c>
      <c r="I251" s="6" t="str">
        <f>IFERROR(__xludf.DUMMYFUNCTION("MAX(FILTER($H$2:$H451,$E$2:$E451=F251))"),"#N/A")</f>
        <v>#N/A</v>
      </c>
    </row>
    <row r="252">
      <c r="A252" s="4"/>
      <c r="C252" s="4" t="s">
        <v>2831</v>
      </c>
      <c r="D252" s="4" t="str">
        <f t="shared" si="1"/>
        <v>{"valorA":"ótimo","valorB":29}</v>
      </c>
      <c r="E252" s="8" t="str">
        <f t="shared" si="2"/>
        <v>ótimo</v>
      </c>
      <c r="F252" s="8"/>
      <c r="G252" s="8" t="str">
        <f t="shared" si="3"/>
        <v>29</v>
      </c>
      <c r="H252" s="9">
        <f t="shared" si="4"/>
        <v>29</v>
      </c>
      <c r="I252" s="6" t="str">
        <f>IFERROR(__xludf.DUMMYFUNCTION("MAX(FILTER($H$2:$H451,$E$2:$E451=F252))"),"#N/A")</f>
        <v>#N/A</v>
      </c>
    </row>
    <row r="253">
      <c r="A253" s="4"/>
      <c r="C253" s="4" t="s">
        <v>3120</v>
      </c>
      <c r="D253" s="4" t="str">
        <f t="shared" si="1"/>
        <v>{"valorA":"para","valorB":11}</v>
      </c>
      <c r="E253" s="8" t="str">
        <f t="shared" si="2"/>
        <v>para</v>
      </c>
      <c r="F253" s="8"/>
      <c r="G253" s="8" t="str">
        <f t="shared" si="3"/>
        <v>11</v>
      </c>
      <c r="H253" s="9">
        <f t="shared" si="4"/>
        <v>11</v>
      </c>
      <c r="I253" s="6" t="str">
        <f>IFERROR(__xludf.DUMMYFUNCTION("MAX(FILTER($H$2:$H451,$E$2:$E451=F253))"),"#N/A")</f>
        <v>#N/A</v>
      </c>
    </row>
    <row r="254">
      <c r="A254" s="4"/>
      <c r="C254" s="4" t="s">
        <v>3121</v>
      </c>
      <c r="D254" s="4" t="str">
        <f t="shared" si="1"/>
        <v>{"valorA":"como","valorB":2}</v>
      </c>
      <c r="E254" s="8" t="str">
        <f t="shared" si="2"/>
        <v>como</v>
      </c>
      <c r="F254" s="8"/>
      <c r="G254" s="8" t="str">
        <f t="shared" si="3"/>
        <v>2</v>
      </c>
      <c r="H254" s="9">
        <f t="shared" si="4"/>
        <v>2</v>
      </c>
      <c r="I254" s="6" t="str">
        <f>IFERROR(__xludf.DUMMYFUNCTION("MAX(FILTER($H$2:$H451,$E$2:$E451=F254))"),"#N/A")</f>
        <v>#N/A</v>
      </c>
    </row>
    <row r="255">
      <c r="A255" s="4"/>
      <c r="C255" s="4" t="s">
        <v>3122</v>
      </c>
      <c r="D255" s="4" t="str">
        <f t="shared" si="1"/>
        <v>{"valorA":"preço","valorB":10}</v>
      </c>
      <c r="E255" s="8" t="str">
        <f t="shared" si="2"/>
        <v>preço</v>
      </c>
      <c r="F255" s="8"/>
      <c r="G255" s="8" t="str">
        <f t="shared" si="3"/>
        <v>10</v>
      </c>
      <c r="H255" s="9">
        <f t="shared" si="4"/>
        <v>10</v>
      </c>
      <c r="I255" s="6" t="str">
        <f>IFERROR(__xludf.DUMMYFUNCTION("MAX(FILTER($H$2:$H451,$E$2:$E451=F255))"),"#N/A")</f>
        <v>#N/A</v>
      </c>
    </row>
    <row r="256">
      <c r="A256" s="4"/>
      <c r="C256" s="4" t="s">
        <v>3123</v>
      </c>
      <c r="D256" s="4" t="str">
        <f t="shared" si="1"/>
        <v>{"valorA":"um","valorB":4}</v>
      </c>
      <c r="E256" s="8" t="str">
        <f t="shared" si="2"/>
        <v>um</v>
      </c>
      <c r="F256" s="8"/>
      <c r="G256" s="8" t="str">
        <f t="shared" si="3"/>
        <v>4</v>
      </c>
      <c r="H256" s="9">
        <f t="shared" si="4"/>
        <v>4</v>
      </c>
      <c r="I256" s="6" t="str">
        <f>IFERROR(__xludf.DUMMYFUNCTION("MAX(FILTER($H$2:$H451,$E$2:$E451=F256))"),"#N/A")</f>
        <v>#N/A</v>
      </c>
    </row>
    <row r="257">
      <c r="A257" s="4"/>
      <c r="C257" s="4" t="s">
        <v>2909</v>
      </c>
      <c r="D257" s="4" t="str">
        <f t="shared" si="1"/>
        <v>{"valorA":"este","valorB":2}</v>
      </c>
      <c r="E257" s="8" t="str">
        <f t="shared" si="2"/>
        <v>este</v>
      </c>
      <c r="F257" s="8"/>
      <c r="G257" s="8" t="str">
        <f t="shared" si="3"/>
        <v>2</v>
      </c>
      <c r="H257" s="9">
        <f t="shared" si="4"/>
        <v>2</v>
      </c>
      <c r="I257" s="6" t="str">
        <f>IFERROR(__xludf.DUMMYFUNCTION("MAX(FILTER($H$2:$H451,$E$2:$E451=F257))"),"#N/A")</f>
        <v>#N/A</v>
      </c>
    </row>
    <row r="258">
      <c r="A258" s="4"/>
      <c r="C258" s="4" t="s">
        <v>2841</v>
      </c>
      <c r="D258" s="4" t="str">
        <f t="shared" si="1"/>
        <v>{"valorA":"ótimo","valorB":30}</v>
      </c>
      <c r="E258" s="8" t="str">
        <f t="shared" si="2"/>
        <v>ótimo</v>
      </c>
      <c r="F258" s="8"/>
      <c r="G258" s="8" t="str">
        <f t="shared" si="3"/>
        <v>30</v>
      </c>
      <c r="H258" s="9">
        <f t="shared" si="4"/>
        <v>30</v>
      </c>
      <c r="I258" s="6" t="str">
        <f>IFERROR(__xludf.DUMMYFUNCTION("MAX(FILTER($H$2:$H451,$E$2:$E451=F258))"),"#N/A")</f>
        <v>#N/A</v>
      </c>
    </row>
    <row r="259">
      <c r="A259" s="4"/>
      <c r="C259" s="4" t="s">
        <v>2915</v>
      </c>
      <c r="D259" s="4" t="str">
        <f t="shared" si="1"/>
        <v>{"valorA":"muito","valorB":9}</v>
      </c>
      <c r="E259" s="8" t="str">
        <f t="shared" si="2"/>
        <v>muito</v>
      </c>
      <c r="F259" s="8"/>
      <c r="G259" s="8" t="str">
        <f t="shared" si="3"/>
        <v>9</v>
      </c>
      <c r="H259" s="9">
        <f t="shared" si="4"/>
        <v>9</v>
      </c>
      <c r="I259" s="6" t="str">
        <f>IFERROR(__xludf.DUMMYFUNCTION("MAX(FILTER($H$2:$H451,$E$2:$E451=F259))"),"#N/A")</f>
        <v>#N/A</v>
      </c>
    </row>
    <row r="260">
      <c r="A260" s="4"/>
      <c r="C260" s="4" t="s">
        <v>2890</v>
      </c>
      <c r="D260" s="4" t="str">
        <f t="shared" si="1"/>
        <v>{"valorA":"produto","valorB":21}</v>
      </c>
      <c r="E260" s="8" t="str">
        <f t="shared" si="2"/>
        <v>produto</v>
      </c>
      <c r="F260" s="8"/>
      <c r="G260" s="8" t="str">
        <f t="shared" si="3"/>
        <v>21</v>
      </c>
      <c r="H260" s="9">
        <f t="shared" si="4"/>
        <v>21</v>
      </c>
      <c r="I260" s="6" t="str">
        <f>IFERROR(__xludf.DUMMYFUNCTION("MAX(FILTER($H$2:$H451,$E$2:$E451=F260))"),"#N/A")</f>
        <v>#N/A</v>
      </c>
    </row>
    <row r="261">
      <c r="A261" s="4"/>
      <c r="C261" s="4" t="s">
        <v>3124</v>
      </c>
      <c r="D261" s="4" t="str">
        <f t="shared" si="1"/>
        <v>{"valorA":"bem","valorB":8}</v>
      </c>
      <c r="E261" s="8" t="str">
        <f t="shared" si="2"/>
        <v>bem</v>
      </c>
      <c r="F261" s="8"/>
      <c r="G261" s="8" t="str">
        <f t="shared" si="3"/>
        <v>8</v>
      </c>
      <c r="H261" s="9">
        <f t="shared" si="4"/>
        <v>8</v>
      </c>
      <c r="I261" s="6" t="str">
        <f>IFERROR(__xludf.DUMMYFUNCTION("MAX(FILTER($H$2:$H451,$E$2:$E451=F261))"),"#N/A")</f>
        <v>#N/A</v>
      </c>
    </row>
    <row r="262">
      <c r="A262" s="4"/>
      <c r="C262" s="4" t="s">
        <v>3125</v>
      </c>
      <c r="D262" s="4" t="str">
        <f t="shared" si="1"/>
        <v>{"valorA":"construído","valorB":1}</v>
      </c>
      <c r="E262" s="8" t="str">
        <f t="shared" si="2"/>
        <v>construído</v>
      </c>
      <c r="F262" s="8"/>
      <c r="G262" s="8" t="str">
        <f t="shared" si="3"/>
        <v>1</v>
      </c>
      <c r="H262" s="9">
        <f t="shared" si="4"/>
        <v>1</v>
      </c>
      <c r="I262" s="6" t="str">
        <f>IFERROR(__xludf.DUMMYFUNCTION("MAX(FILTER($H$2:$H451,$E$2:$E451=F262))"),"#N/A")</f>
        <v>#N/A</v>
      </c>
    </row>
    <row r="263">
      <c r="A263" s="4"/>
      <c r="C263" s="4" t="s">
        <v>3126</v>
      </c>
      <c r="D263" s="4" t="str">
        <f t="shared" si="1"/>
        <v>{"valorA":"recomendo","valorB":9}</v>
      </c>
      <c r="E263" s="8" t="str">
        <f t="shared" si="2"/>
        <v>recomendo</v>
      </c>
      <c r="F263" s="8"/>
      <c r="G263" s="8" t="str">
        <f t="shared" si="3"/>
        <v>9</v>
      </c>
      <c r="H263" s="9">
        <f t="shared" si="4"/>
        <v>9</v>
      </c>
      <c r="I263" s="6" t="str">
        <f>IFERROR(__xludf.DUMMYFUNCTION("MAX(FILTER($H$2:$H451,$E$2:$E451=F263))"),"#N/A")</f>
        <v>#N/A</v>
      </c>
    </row>
    <row r="264">
      <c r="A264" s="4"/>
      <c r="C264" s="4" t="s">
        <v>2845</v>
      </c>
      <c r="D264" s="4" t="str">
        <f t="shared" si="1"/>
        <v>{"valorA":"ótimo","valorB":31}</v>
      </c>
      <c r="E264" s="8" t="str">
        <f t="shared" si="2"/>
        <v>ótimo</v>
      </c>
      <c r="F264" s="8"/>
      <c r="G264" s="8" t="str">
        <f t="shared" si="3"/>
        <v>31</v>
      </c>
      <c r="H264" s="9">
        <f t="shared" si="4"/>
        <v>31</v>
      </c>
      <c r="I264" s="6" t="str">
        <f>IFERROR(__xludf.DUMMYFUNCTION("MAX(FILTER($H$2:$H451,$E$2:$E451=F264))"),"#N/A")</f>
        <v>#N/A</v>
      </c>
    </row>
    <row r="265">
      <c r="A265" s="4"/>
      <c r="C265" s="4" t="s">
        <v>2786</v>
      </c>
      <c r="D265" s="4" t="str">
        <f t="shared" si="1"/>
        <v>{"valorA":"gostei","valorB":3}</v>
      </c>
      <c r="E265" s="8" t="str">
        <f t="shared" si="2"/>
        <v>gostei</v>
      </c>
      <c r="F265" s="8"/>
      <c r="G265" s="8" t="str">
        <f t="shared" si="3"/>
        <v>3</v>
      </c>
      <c r="H265" s="9">
        <f t="shared" si="4"/>
        <v>3</v>
      </c>
      <c r="I265" s="6" t="str">
        <f>IFERROR(__xludf.DUMMYFUNCTION("MAX(FILTER($H$2:$H451,$E$2:$E451=F265))"),"#N/A")</f>
        <v>#N/A</v>
      </c>
    </row>
    <row r="266">
      <c r="A266" s="4"/>
      <c r="C266" s="4" t="s">
        <v>3127</v>
      </c>
      <c r="D266" s="4" t="str">
        <f t="shared" si="1"/>
        <v>{"valorA":"qualidade","valorB":3}</v>
      </c>
      <c r="E266" s="8" t="str">
        <f t="shared" si="2"/>
        <v>qualidade</v>
      </c>
      <c r="F266" s="8"/>
      <c r="G266" s="8" t="str">
        <f t="shared" si="3"/>
        <v>3</v>
      </c>
      <c r="H266" s="9">
        <f t="shared" si="4"/>
        <v>3</v>
      </c>
      <c r="I266" s="6" t="str">
        <f>IFERROR(__xludf.DUMMYFUNCTION("MAX(FILTER($H$2:$H451,$E$2:$E451=F266))"),"#N/A")</f>
        <v>#N/A</v>
      </c>
    </row>
    <row r="267">
      <c r="A267" s="4"/>
      <c r="C267" s="4" t="s">
        <v>2934</v>
      </c>
      <c r="D267" s="4" t="str">
        <f t="shared" si="1"/>
        <v>{"valorA":"muito","valorB":10}</v>
      </c>
      <c r="E267" s="8" t="str">
        <f t="shared" si="2"/>
        <v>muito</v>
      </c>
      <c r="F267" s="8"/>
      <c r="G267" s="8" t="str">
        <f t="shared" si="3"/>
        <v>10</v>
      </c>
      <c r="H267" s="9">
        <f t="shared" si="4"/>
        <v>10</v>
      </c>
      <c r="I267" s="6" t="str">
        <f>IFERROR(__xludf.DUMMYFUNCTION("MAX(FILTER($H$2:$H451,$E$2:$E451=F267))"),"#N/A")</f>
        <v>#N/A</v>
      </c>
    </row>
    <row r="268">
      <c r="A268" s="4"/>
      <c r="C268" s="4" t="s">
        <v>3128</v>
      </c>
      <c r="D268" s="4" t="str">
        <f t="shared" si="1"/>
        <v>{"valorA":"de","valorB":13}</v>
      </c>
      <c r="E268" s="8" t="str">
        <f t="shared" si="2"/>
        <v>de</v>
      </c>
      <c r="F268" s="8"/>
      <c r="G268" s="8" t="str">
        <f t="shared" si="3"/>
        <v>13</v>
      </c>
      <c r="H268" s="9">
        <f t="shared" si="4"/>
        <v>13</v>
      </c>
      <c r="I268" s="6" t="str">
        <f>IFERROR(__xludf.DUMMYFUNCTION("MAX(FILTER($H$2:$H451,$E$2:$E451=F268))"),"#N/A")</f>
        <v>#N/A</v>
      </c>
    </row>
    <row r="269">
      <c r="A269" s="4"/>
      <c r="C269" s="4" t="s">
        <v>3129</v>
      </c>
      <c r="D269" s="4" t="str">
        <f t="shared" si="1"/>
        <v>{"valorA":"imagem","valorB":2}</v>
      </c>
      <c r="E269" s="8" t="str">
        <f t="shared" si="2"/>
        <v>imagem</v>
      </c>
      <c r="F269" s="8"/>
      <c r="G269" s="8" t="str">
        <f t="shared" si="3"/>
        <v>2</v>
      </c>
      <c r="H269" s="9">
        <f t="shared" si="4"/>
        <v>2</v>
      </c>
      <c r="I269" s="6" t="str">
        <f>IFERROR(__xludf.DUMMYFUNCTION("MAX(FILTER($H$2:$H451,$E$2:$E451=F269))"),"#N/A")</f>
        <v>#N/A</v>
      </c>
    </row>
    <row r="270">
      <c r="A270" s="4"/>
      <c r="C270" s="4" t="s">
        <v>2707</v>
      </c>
      <c r="D270" s="4" t="str">
        <f t="shared" si="1"/>
        <v>{"valorA":"do","valorB":2}</v>
      </c>
      <c r="E270" s="8" t="str">
        <f t="shared" si="2"/>
        <v>do</v>
      </c>
      <c r="F270" s="8"/>
      <c r="G270" s="8" t="str">
        <f t="shared" si="3"/>
        <v>2</v>
      </c>
      <c r="H270" s="9">
        <f t="shared" si="4"/>
        <v>2</v>
      </c>
      <c r="I270" s="6" t="str">
        <f>IFERROR(__xludf.DUMMYFUNCTION("MAX(FILTER($H$2:$H451,$E$2:$E451=F270))"),"#N/A")</f>
        <v>#N/A</v>
      </c>
    </row>
    <row r="271">
      <c r="A271" s="4"/>
      <c r="C271" s="4" t="s">
        <v>3130</v>
      </c>
      <c r="D271" s="4" t="str">
        <f t="shared" si="1"/>
        <v>{"valorA":"e","valorB":13}</v>
      </c>
      <c r="E271" s="8" t="str">
        <f t="shared" si="2"/>
        <v>e</v>
      </c>
      <c r="F271" s="8"/>
      <c r="G271" s="8" t="str">
        <f t="shared" si="3"/>
        <v>13</v>
      </c>
      <c r="H271" s="9">
        <f t="shared" si="4"/>
        <v>13</v>
      </c>
      <c r="I271" s="6" t="str">
        <f>IFERROR(__xludf.DUMMYFUNCTION("MAX(FILTER($H$2:$H451,$E$2:$E451=F271))"),"#N/A")</f>
        <v>#N/A</v>
      </c>
    </row>
    <row r="272">
      <c r="A272" s="4"/>
      <c r="C272" s="4" t="s">
        <v>3131</v>
      </c>
      <c r="D272" s="4" t="str">
        <f t="shared" si="1"/>
        <v>{"valorA":"tv","valorB":1}</v>
      </c>
      <c r="E272" s="8" t="str">
        <f t="shared" si="2"/>
        <v>tv</v>
      </c>
      <c r="F272" s="8"/>
      <c r="G272" s="8" t="str">
        <f t="shared" si="3"/>
        <v>1</v>
      </c>
      <c r="H272" s="9">
        <f t="shared" si="4"/>
        <v>1</v>
      </c>
      <c r="I272" s="6" t="str">
        <f>IFERROR(__xludf.DUMMYFUNCTION("MAX(FILTER($H$2:$H451,$E$2:$E451=F272))"),"#N/A")</f>
        <v>#N/A</v>
      </c>
    </row>
    <row r="273">
      <c r="A273" s="4"/>
      <c r="C273" s="4" t="s">
        <v>2919</v>
      </c>
      <c r="D273" s="4" t="str">
        <f t="shared" si="1"/>
        <v>{"valorA":"da","valorB":1}</v>
      </c>
      <c r="E273" s="8" t="str">
        <f t="shared" si="2"/>
        <v>da</v>
      </c>
      <c r="F273" s="8"/>
      <c r="G273" s="8" t="str">
        <f t="shared" si="3"/>
        <v>1</v>
      </c>
      <c r="H273" s="9">
        <f t="shared" si="4"/>
        <v>1</v>
      </c>
      <c r="I273" s="6" t="str">
        <f>IFERROR(__xludf.DUMMYFUNCTION("MAX(FILTER($H$2:$H451,$E$2:$E451=F273))"),"#N/A")</f>
        <v>#N/A</v>
      </c>
    </row>
    <row r="274">
      <c r="A274" s="4"/>
      <c r="C274" s="4" t="s">
        <v>3132</v>
      </c>
      <c r="D274" s="4" t="str">
        <f t="shared" si="1"/>
        <v>{"valorA":"brilho","valorB":1}</v>
      </c>
      <c r="E274" s="8" t="str">
        <f t="shared" si="2"/>
        <v>brilho</v>
      </c>
      <c r="F274" s="8"/>
      <c r="G274" s="8" t="str">
        <f t="shared" si="3"/>
        <v>1</v>
      </c>
      <c r="H274" s="9">
        <f t="shared" si="4"/>
        <v>1</v>
      </c>
      <c r="I274" s="6" t="str">
        <f>IFERROR(__xludf.DUMMYFUNCTION("MAX(FILTER($H$2:$H451,$E$2:$E451=F274))"),"#N/A")</f>
        <v>#N/A</v>
      </c>
    </row>
    <row r="275">
      <c r="A275" s="4"/>
      <c r="C275" s="4" t="s">
        <v>3133</v>
      </c>
      <c r="D275" s="4" t="str">
        <f t="shared" si="1"/>
        <v>{"valorA":"mas","valorB":3}</v>
      </c>
      <c r="E275" s="8" t="str">
        <f t="shared" si="2"/>
        <v>mas</v>
      </c>
      <c r="F275" s="8"/>
      <c r="G275" s="8" t="str">
        <f t="shared" si="3"/>
        <v>3</v>
      </c>
      <c r="H275" s="9">
        <f t="shared" si="4"/>
        <v>3</v>
      </c>
      <c r="I275" s="6" t="str">
        <f>IFERROR(__xludf.DUMMYFUNCTION("MAX(FILTER($H$2:$H451,$E$2:$E451=F275))"),"#N/A")</f>
        <v>#N/A</v>
      </c>
    </row>
    <row r="276">
      <c r="A276" s="4"/>
      <c r="C276" s="4" t="s">
        <v>2892</v>
      </c>
      <c r="D276" s="4" t="str">
        <f t="shared" si="1"/>
        <v>{"valorA":"produto","valorB":22}</v>
      </c>
      <c r="E276" s="8" t="str">
        <f t="shared" si="2"/>
        <v>produto</v>
      </c>
      <c r="F276" s="8"/>
      <c r="G276" s="8" t="str">
        <f t="shared" si="3"/>
        <v>22</v>
      </c>
      <c r="H276" s="9">
        <f t="shared" si="4"/>
        <v>22</v>
      </c>
      <c r="I276" s="6" t="str">
        <f>IFERROR(__xludf.DUMMYFUNCTION("MAX(FILTER($H$2:$H451,$E$2:$E451=F276))"),"#N/A")</f>
        <v>#N/A</v>
      </c>
    </row>
    <row r="277">
      <c r="A277" s="4"/>
      <c r="C277" s="4" t="s">
        <v>2855</v>
      </c>
      <c r="D277" s="4" t="str">
        <f t="shared" si="1"/>
        <v>{"valorA":"ótimo","valorB":32}</v>
      </c>
      <c r="E277" s="8" t="str">
        <f t="shared" si="2"/>
        <v>ótimo</v>
      </c>
      <c r="F277" s="8"/>
      <c r="G277" s="8" t="str">
        <f t="shared" si="3"/>
        <v>32</v>
      </c>
      <c r="H277" s="9">
        <f t="shared" si="4"/>
        <v>32</v>
      </c>
      <c r="I277" s="6" t="str">
        <f>IFERROR(__xludf.DUMMYFUNCTION("MAX(FILTER($H$2:$H451,$E$2:$E451=F277))"),"#N/A")</f>
        <v>#N/A</v>
      </c>
    </row>
    <row r="278">
      <c r="A278" s="4"/>
      <c r="C278" s="4" t="s">
        <v>2940</v>
      </c>
      <c r="D278" s="4" t="str">
        <f t="shared" si="1"/>
        <v>{"valorA":"muito","valorB":11}</v>
      </c>
      <c r="E278" s="8" t="str">
        <f t="shared" si="2"/>
        <v>muito</v>
      </c>
      <c r="F278" s="8"/>
      <c r="G278" s="8" t="str">
        <f t="shared" si="3"/>
        <v>11</v>
      </c>
      <c r="H278" s="9">
        <f t="shared" si="4"/>
        <v>11</v>
      </c>
      <c r="I278" s="6" t="str">
        <f>IFERROR(__xludf.DUMMYFUNCTION("MAX(FILTER($H$2:$H451,$E$2:$E451=F278))"),"#N/A")</f>
        <v>#N/A</v>
      </c>
    </row>
    <row r="279">
      <c r="A279" s="4"/>
      <c r="C279" s="4" t="s">
        <v>2686</v>
      </c>
      <c r="D279" s="4" t="str">
        <f t="shared" si="1"/>
        <v>{"valorA":"a","valorB":3}</v>
      </c>
      <c r="E279" s="8" t="str">
        <f t="shared" si="2"/>
        <v>a</v>
      </c>
      <c r="F279" s="8"/>
      <c r="G279" s="8" t="str">
        <f t="shared" si="3"/>
        <v>3</v>
      </c>
      <c r="H279" s="9">
        <f t="shared" si="4"/>
        <v>3</v>
      </c>
      <c r="I279" s="6" t="str">
        <f>IFERROR(__xludf.DUMMYFUNCTION("MAX(FILTER($H$2:$H451,$E$2:$E451=F279))"),"#N/A")</f>
        <v>#N/A</v>
      </c>
    </row>
    <row r="280">
      <c r="A280" s="4"/>
      <c r="C280" s="4" t="s">
        <v>3134</v>
      </c>
      <c r="D280" s="4" t="str">
        <f t="shared" si="1"/>
        <v>{"valorA":"caro","valorB":1}</v>
      </c>
      <c r="E280" s="8" t="str">
        <f t="shared" si="2"/>
        <v>caro</v>
      </c>
      <c r="F280" s="8"/>
      <c r="G280" s="8" t="str">
        <f t="shared" si="3"/>
        <v>1</v>
      </c>
      <c r="H280" s="9">
        <f t="shared" si="4"/>
        <v>1</v>
      </c>
      <c r="I280" s="6" t="str">
        <f>IFERROR(__xludf.DUMMYFUNCTION("MAX(FILTER($H$2:$H451,$E$2:$E451=F280))"),"#N/A")</f>
        <v>#N/A</v>
      </c>
    </row>
    <row r="281">
      <c r="A281" s="4"/>
      <c r="C281" s="4" t="s">
        <v>3135</v>
      </c>
      <c r="D281" s="4" t="str">
        <f t="shared" si="1"/>
        <v>{"valorA":"preço","valorB":11}</v>
      </c>
      <c r="E281" s="8" t="str">
        <f t="shared" si="2"/>
        <v>preço</v>
      </c>
      <c r="F281" s="8"/>
      <c r="G281" s="8" t="str">
        <f t="shared" si="3"/>
        <v>11</v>
      </c>
      <c r="H281" s="9">
        <f t="shared" si="4"/>
        <v>11</v>
      </c>
      <c r="I281" s="6" t="str">
        <f>IFERROR(__xludf.DUMMYFUNCTION("MAX(FILTER($H$2:$H451,$E$2:$E451=F281))"),"#N/A")</f>
        <v>#N/A</v>
      </c>
    </row>
    <row r="282">
      <c r="A282" s="4"/>
      <c r="C282" s="4" t="s">
        <v>2859</v>
      </c>
      <c r="D282" s="4" t="str">
        <f t="shared" si="1"/>
        <v>{"valorA":"ótimo","valorB":33}</v>
      </c>
      <c r="E282" s="8" t="str">
        <f t="shared" si="2"/>
        <v>ótimo</v>
      </c>
      <c r="F282" s="8"/>
      <c r="G282" s="8" t="str">
        <f t="shared" si="3"/>
        <v>33</v>
      </c>
      <c r="H282" s="9">
        <f t="shared" si="4"/>
        <v>33</v>
      </c>
      <c r="I282" s="6" t="str">
        <f>IFERROR(__xludf.DUMMYFUNCTION("MAX(FILTER($H$2:$H451,$E$2:$E451=F282))"),"#N/A")</f>
        <v>#N/A</v>
      </c>
    </row>
    <row r="283">
      <c r="A283" s="4"/>
      <c r="C283" s="4" t="s">
        <v>2899</v>
      </c>
      <c r="D283" s="4" t="str">
        <f t="shared" si="1"/>
        <v>{"valorA":"produto","valorB":23}</v>
      </c>
      <c r="E283" s="8" t="str">
        <f t="shared" si="2"/>
        <v>produto</v>
      </c>
      <c r="F283" s="8"/>
      <c r="G283" s="8" t="str">
        <f t="shared" si="3"/>
        <v>23</v>
      </c>
      <c r="H283" s="9">
        <f t="shared" si="4"/>
        <v>23</v>
      </c>
      <c r="I283" s="6" t="str">
        <f>IFERROR(__xludf.DUMMYFUNCTION("MAX(FILTER($H$2:$H451,$E$2:$E451=F283))"),"#N/A")</f>
        <v>#N/A</v>
      </c>
    </row>
    <row r="284">
      <c r="A284" s="4"/>
      <c r="C284" s="4" t="s">
        <v>3136</v>
      </c>
      <c r="D284" s="4" t="str">
        <f t="shared" si="1"/>
        <v>{"valorA":"de","valorB":14}</v>
      </c>
      <c r="E284" s="8" t="str">
        <f t="shared" si="2"/>
        <v>de</v>
      </c>
      <c r="F284" s="8"/>
      <c r="G284" s="8" t="str">
        <f t="shared" si="3"/>
        <v>14</v>
      </c>
      <c r="H284" s="9">
        <f t="shared" si="4"/>
        <v>14</v>
      </c>
      <c r="I284" s="6" t="str">
        <f>IFERROR(__xludf.DUMMYFUNCTION("MAX(FILTER($H$2:$H451,$E$2:$E451=F284))"),"#N/A")</f>
        <v>#N/A</v>
      </c>
    </row>
    <row r="285">
      <c r="A285" s="4"/>
      <c r="C285" s="4" t="s">
        <v>3137</v>
      </c>
      <c r="D285" s="4" t="str">
        <f t="shared" si="1"/>
        <v>{"valorA":"usar","valorB":10}</v>
      </c>
      <c r="E285" s="8" t="str">
        <f t="shared" si="2"/>
        <v>usar</v>
      </c>
      <c r="F285" s="8"/>
      <c r="G285" s="8" t="str">
        <f t="shared" si="3"/>
        <v>10</v>
      </c>
      <c r="H285" s="9">
        <f t="shared" si="4"/>
        <v>10</v>
      </c>
      <c r="I285" s="6" t="str">
        <f>IFERROR(__xludf.DUMMYFUNCTION("MAX(FILTER($H$2:$H451,$E$2:$E451=F285))"),"#N/A")</f>
        <v>#N/A</v>
      </c>
    </row>
    <row r="286">
      <c r="A286" s="4"/>
      <c r="C286" s="4" t="s">
        <v>2953</v>
      </c>
      <c r="D286" s="4" t="str">
        <f t="shared" si="1"/>
        <v>{"valorA":"muito","valorB":12}</v>
      </c>
      <c r="E286" s="8" t="str">
        <f t="shared" si="2"/>
        <v>muito</v>
      </c>
      <c r="F286" s="8"/>
      <c r="G286" s="8" t="str">
        <f t="shared" si="3"/>
        <v>12</v>
      </c>
      <c r="H286" s="9">
        <f t="shared" si="4"/>
        <v>12</v>
      </c>
      <c r="I286" s="6" t="str">
        <f>IFERROR(__xludf.DUMMYFUNCTION("MAX(FILTER($H$2:$H451,$E$2:$E451=F286))"),"#N/A")</f>
        <v>#N/A</v>
      </c>
    </row>
    <row r="287">
      <c r="A287" s="4"/>
      <c r="C287" s="4" t="s">
        <v>3138</v>
      </c>
      <c r="D287" s="4" t="str">
        <f t="shared" si="1"/>
        <v>{"valorA":"fácil","valorB":10}</v>
      </c>
      <c r="E287" s="8" t="str">
        <f t="shared" si="2"/>
        <v>fácil</v>
      </c>
      <c r="F287" s="8"/>
      <c r="G287" s="8" t="str">
        <f t="shared" si="3"/>
        <v>10</v>
      </c>
      <c r="H287" s="9">
        <f t="shared" si="4"/>
        <v>10</v>
      </c>
      <c r="I287" s="6" t="str">
        <f>IFERROR(__xludf.DUMMYFUNCTION("MAX(FILTER($H$2:$H451,$E$2:$E451=F287))"),"#N/A")</f>
        <v>#N/A</v>
      </c>
    </row>
    <row r="288">
      <c r="A288" s="4"/>
      <c r="C288" s="4" t="s">
        <v>3139</v>
      </c>
      <c r="D288" s="4" t="str">
        <f t="shared" si="1"/>
        <v>{"valorA":"manutenção","valorB":1}</v>
      </c>
      <c r="E288" s="8" t="str">
        <f t="shared" si="2"/>
        <v>manutenção</v>
      </c>
      <c r="F288" s="8"/>
      <c r="G288" s="8" t="str">
        <f t="shared" si="3"/>
        <v>1</v>
      </c>
      <c r="H288" s="9">
        <f t="shared" si="4"/>
        <v>1</v>
      </c>
      <c r="I288" s="6" t="str">
        <f>IFERROR(__xludf.DUMMYFUNCTION("MAX(FILTER($H$2:$H451,$E$2:$E451=F288))"),"#N/A")</f>
        <v>#N/A</v>
      </c>
    </row>
    <row r="289">
      <c r="A289" s="4"/>
      <c r="C289" s="4" t="s">
        <v>3140</v>
      </c>
      <c r="D289" s="4" t="str">
        <f t="shared" si="1"/>
        <v>{"valorA":"e","valorB":14}</v>
      </c>
      <c r="E289" s="8" t="str">
        <f t="shared" si="2"/>
        <v>e</v>
      </c>
      <c r="F289" s="8"/>
      <c r="G289" s="8" t="str">
        <f t="shared" si="3"/>
        <v>14</v>
      </c>
      <c r="H289" s="9">
        <f t="shared" si="4"/>
        <v>14</v>
      </c>
      <c r="I289" s="6" t="str">
        <f>IFERROR(__xludf.DUMMYFUNCTION("MAX(FILTER($H$2:$H451,$E$2:$E451=F289))"),"#N/A")</f>
        <v>#N/A</v>
      </c>
    </row>
    <row r="290">
      <c r="A290" s="4"/>
      <c r="C290" s="4" t="s">
        <v>3141</v>
      </c>
      <c r="D290" s="4" t="str">
        <f t="shared" si="1"/>
        <v>{"valorA":"precisa","valorB":2}</v>
      </c>
      <c r="E290" s="8" t="str">
        <f t="shared" si="2"/>
        <v>precisa</v>
      </c>
      <c r="F290" s="8"/>
      <c r="G290" s="8" t="str">
        <f t="shared" si="3"/>
        <v>2</v>
      </c>
      <c r="H290" s="9">
        <f t="shared" si="4"/>
        <v>2</v>
      </c>
      <c r="I290" s="6" t="str">
        <f>IFERROR(__xludf.DUMMYFUNCTION("MAX(FILTER($H$2:$H451,$E$2:$E451=F290))"),"#N/A")</f>
        <v>#N/A</v>
      </c>
    </row>
    <row r="291">
      <c r="A291" s="4"/>
      <c r="C291" s="4" t="s">
        <v>3142</v>
      </c>
      <c r="D291" s="4" t="str">
        <f t="shared" si="1"/>
        <v>{"valorA":"não","valorB":3}</v>
      </c>
      <c r="E291" s="8" t="str">
        <f t="shared" si="2"/>
        <v>não</v>
      </c>
      <c r="F291" s="8"/>
      <c r="G291" s="8" t="str">
        <f t="shared" si="3"/>
        <v>3</v>
      </c>
      <c r="H291" s="9">
        <f t="shared" si="4"/>
        <v>3</v>
      </c>
      <c r="I291" s="6" t="str">
        <f>IFERROR(__xludf.DUMMYFUNCTION("MAX(FILTER($H$2:$H451,$E$2:$E451=F291))"),"#N/A")</f>
        <v>#N/A</v>
      </c>
    </row>
    <row r="292">
      <c r="A292" s="4"/>
      <c r="C292" s="4" t="s">
        <v>3143</v>
      </c>
      <c r="D292" s="4" t="str">
        <f t="shared" si="1"/>
        <v>{"valorA":"muita","valorB":1}</v>
      </c>
      <c r="E292" s="8" t="str">
        <f t="shared" si="2"/>
        <v>muita</v>
      </c>
      <c r="F292" s="8"/>
      <c r="G292" s="8" t="str">
        <f t="shared" si="3"/>
        <v>1</v>
      </c>
      <c r="H292" s="9">
        <f t="shared" si="4"/>
        <v>1</v>
      </c>
      <c r="I292" s="6" t="str">
        <f>IFERROR(__xludf.DUMMYFUNCTION("MAX(FILTER($H$2:$H451,$E$2:$E451=F292))"),"#N/A")</f>
        <v>#N/A</v>
      </c>
    </row>
    <row r="293">
      <c r="A293" s="4"/>
      <c r="C293" s="4" t="s">
        <v>2834</v>
      </c>
      <c r="D293" s="4" t="str">
        <f t="shared" si="1"/>
        <v>{"valorA":"gostei","valorB":4}</v>
      </c>
      <c r="E293" s="8" t="str">
        <f t="shared" si="2"/>
        <v>gostei</v>
      </c>
      <c r="F293" s="8"/>
      <c r="G293" s="8" t="str">
        <f t="shared" si="3"/>
        <v>4</v>
      </c>
      <c r="H293" s="9">
        <f t="shared" si="4"/>
        <v>4</v>
      </c>
      <c r="I293" s="6" t="str">
        <f>IFERROR(__xludf.DUMMYFUNCTION("MAX(FILTER($H$2:$H451,$E$2:$E451=F293))"),"#N/A")</f>
        <v>#N/A</v>
      </c>
    </row>
    <row r="294">
      <c r="A294" s="4"/>
      <c r="C294" s="4" t="s">
        <v>2866</v>
      </c>
      <c r="D294" s="4" t="str">
        <f t="shared" si="1"/>
        <v>{"valorA":"ótimo","valorB":34}</v>
      </c>
      <c r="E294" s="8" t="str">
        <f t="shared" si="2"/>
        <v>ótimo</v>
      </c>
      <c r="F294" s="8"/>
      <c r="G294" s="8" t="str">
        <f t="shared" si="3"/>
        <v>34</v>
      </c>
      <c r="H294" s="9">
        <f t="shared" si="4"/>
        <v>34</v>
      </c>
      <c r="I294" s="6" t="str">
        <f>IFERROR(__xludf.DUMMYFUNCTION("MAX(FILTER($H$2:$H451,$E$2:$E451=F294))"),"#N/A")</f>
        <v>#N/A</v>
      </c>
    </row>
    <row r="295">
      <c r="A295" s="4"/>
      <c r="C295" s="4" t="s">
        <v>3144</v>
      </c>
      <c r="D295" s="4" t="str">
        <f t="shared" si="1"/>
        <v>{"valorA":"fico","valorB":3}</v>
      </c>
      <c r="E295" s="8" t="str">
        <f t="shared" si="2"/>
        <v>fico</v>
      </c>
      <c r="F295" s="8"/>
      <c r="G295" s="8" t="str">
        <f t="shared" si="3"/>
        <v>3</v>
      </c>
      <c r="H295" s="9">
        <f t="shared" si="4"/>
        <v>3</v>
      </c>
      <c r="I295" s="6" t="str">
        <f>IFERROR(__xludf.DUMMYFUNCTION("MAX(FILTER($H$2:$H451,$E$2:$E451=F295))"),"#N/A")</f>
        <v>#N/A</v>
      </c>
    </row>
    <row r="296">
      <c r="A296" s="4"/>
      <c r="C296" s="4" t="s">
        <v>3145</v>
      </c>
      <c r="D296" s="4" t="str">
        <f t="shared" si="1"/>
        <v>{"valorA":"laptop","valorB":2}</v>
      </c>
      <c r="E296" s="8" t="str">
        <f t="shared" si="2"/>
        <v>laptop</v>
      </c>
      <c r="F296" s="8"/>
      <c r="G296" s="8" t="str">
        <f t="shared" si="3"/>
        <v>2</v>
      </c>
      <c r="H296" s="9">
        <f t="shared" si="4"/>
        <v>2</v>
      </c>
      <c r="I296" s="6" t="str">
        <f>IFERROR(__xludf.DUMMYFUNCTION("MAX(FILTER($H$2:$H451,$E$2:$E451=F296))"),"#N/A")</f>
        <v>#N/A</v>
      </c>
    </row>
    <row r="297">
      <c r="A297" s="4"/>
      <c r="C297" s="4" t="s">
        <v>2927</v>
      </c>
      <c r="D297" s="4" t="str">
        <f t="shared" si="1"/>
        <v>{"valorA":"com","valorB":3}</v>
      </c>
      <c r="E297" s="8" t="str">
        <f t="shared" si="2"/>
        <v>com</v>
      </c>
      <c r="F297" s="8"/>
      <c r="G297" s="8" t="str">
        <f t="shared" si="3"/>
        <v>3</v>
      </c>
      <c r="H297" s="9">
        <f t="shared" si="4"/>
        <v>3</v>
      </c>
      <c r="I297" s="6" t="str">
        <f>IFERROR(__xludf.DUMMYFUNCTION("MAX(FILTER($H$2:$H451,$E$2:$E451=F297))"),"#N/A")</f>
        <v>#N/A</v>
      </c>
    </row>
    <row r="298">
      <c r="A298" s="4"/>
      <c r="C298" s="4" t="s">
        <v>3146</v>
      </c>
      <c r="D298" s="4" t="str">
        <f t="shared" si="1"/>
        <v>{"valorA":"eu","valorB":1}</v>
      </c>
      <c r="E298" s="8" t="str">
        <f t="shared" si="2"/>
        <v>eu</v>
      </c>
      <c r="F298" s="8"/>
      <c r="G298" s="8" t="str">
        <f t="shared" si="3"/>
        <v>1</v>
      </c>
      <c r="H298" s="9">
        <f t="shared" si="4"/>
        <v>1</v>
      </c>
      <c r="I298" s="6" t="str">
        <f>IFERROR(__xludf.DUMMYFUNCTION("MAX(FILTER($H$2:$H451,$E$2:$E451=F298))"),"#N/A")</f>
        <v>#N/A</v>
      </c>
    </row>
    <row r="299">
      <c r="A299" s="4"/>
      <c r="C299" s="4" t="s">
        <v>3147</v>
      </c>
      <c r="D299" s="4" t="str">
        <f t="shared" si="1"/>
        <v>{"valorA":"odeio","valorB":1}</v>
      </c>
      <c r="E299" s="8" t="str">
        <f t="shared" si="2"/>
        <v>odeio</v>
      </c>
      <c r="F299" s="8"/>
      <c r="G299" s="8" t="str">
        <f t="shared" si="3"/>
        <v>1</v>
      </c>
      <c r="H299" s="9">
        <f t="shared" si="4"/>
        <v>1</v>
      </c>
      <c r="I299" s="6" t="str">
        <f>IFERROR(__xludf.DUMMYFUNCTION("MAX(FILTER($H$2:$H451,$E$2:$E451=F299))"),"#N/A")</f>
        <v>#N/A</v>
      </c>
    </row>
    <row r="300">
      <c r="A300" s="4"/>
      <c r="C300" s="4" t="s">
        <v>2848</v>
      </c>
      <c r="D300" s="4" t="str">
        <f t="shared" si="1"/>
        <v>{"valorA":"me","valorB":1}</v>
      </c>
      <c r="E300" s="8" t="str">
        <f t="shared" si="2"/>
        <v>me</v>
      </c>
      <c r="F300" s="8"/>
      <c r="G300" s="8" t="str">
        <f t="shared" si="3"/>
        <v>1</v>
      </c>
      <c r="H300" s="9">
        <f t="shared" si="4"/>
        <v>1</v>
      </c>
      <c r="I300" s="6" t="str">
        <f>IFERROR(__xludf.DUMMYFUNCTION("MAX(FILTER($H$2:$H451,$E$2:$E451=F300))"),"#N/A")</f>
        <v>#N/A</v>
      </c>
    </row>
    <row r="301">
      <c r="A301" s="4"/>
      <c r="C301" s="4" t="s">
        <v>2989</v>
      </c>
      <c r="D301" s="4" t="str">
        <f t="shared" si="1"/>
        <v>{"valorA":"muito","valorB":13}</v>
      </c>
      <c r="E301" s="8" t="str">
        <f t="shared" si="2"/>
        <v>muito</v>
      </c>
      <c r="F301" s="8"/>
      <c r="G301" s="8" t="str">
        <f t="shared" si="3"/>
        <v>13</v>
      </c>
      <c r="H301" s="9">
        <f t="shared" si="4"/>
        <v>13</v>
      </c>
      <c r="I301" s="6" t="str">
        <f>IFERROR(__xludf.DUMMYFUNCTION("MAX(FILTER($H$2:$H451,$E$2:$E451=F301))"),"#N/A")</f>
        <v>#N/A</v>
      </c>
    </row>
    <row r="302">
      <c r="A302" s="4"/>
      <c r="C302" s="4" t="s">
        <v>3148</v>
      </c>
      <c r="D302" s="4" t="str">
        <f t="shared" si="1"/>
        <v>{"valorA":"resumo","valorB":3}</v>
      </c>
      <c r="E302" s="8" t="str">
        <f t="shared" si="2"/>
        <v>resumo</v>
      </c>
      <c r="F302" s="8"/>
      <c r="G302" s="8" t="str">
        <f t="shared" si="3"/>
        <v>3</v>
      </c>
      <c r="H302" s="9">
        <f t="shared" si="4"/>
        <v>3</v>
      </c>
      <c r="I302" s="6" t="str">
        <f>IFERROR(__xludf.DUMMYFUNCTION("MAX(FILTER($H$2:$H451,$E$2:$E451=F302))"),"#N/A")</f>
        <v>#N/A</v>
      </c>
    </row>
    <row r="303">
      <c r="A303" s="4"/>
      <c r="C303" s="4" t="s">
        <v>2850</v>
      </c>
      <c r="D303" s="4" t="str">
        <f t="shared" si="1"/>
        <v>{"valorA":"a","valorB":4}</v>
      </c>
      <c r="E303" s="8" t="str">
        <f t="shared" si="2"/>
        <v>a</v>
      </c>
      <c r="F303" s="8"/>
      <c r="G303" s="8" t="str">
        <f t="shared" si="3"/>
        <v>4</v>
      </c>
      <c r="H303" s="9">
        <f t="shared" si="4"/>
        <v>4</v>
      </c>
      <c r="I303" s="6" t="str">
        <f>IFERROR(__xludf.DUMMYFUNCTION("MAX(FILTER($H$2:$H451,$E$2:$E451=F303))"),"#N/A")</f>
        <v>#N/A</v>
      </c>
    </row>
    <row r="304">
      <c r="A304" s="4"/>
      <c r="C304" s="4" t="s">
        <v>2794</v>
      </c>
      <c r="D304" s="4" t="str">
        <f t="shared" si="1"/>
        <v>{"valorA":"satisfeito","valorB":2}</v>
      </c>
      <c r="E304" s="8" t="str">
        <f t="shared" si="2"/>
        <v>satisfeito</v>
      </c>
      <c r="F304" s="8"/>
      <c r="G304" s="8" t="str">
        <f t="shared" si="3"/>
        <v>2</v>
      </c>
      <c r="H304" s="9">
        <f t="shared" si="4"/>
        <v>2</v>
      </c>
      <c r="I304" s="6" t="str">
        <f>IFERROR(__xludf.DUMMYFUNCTION("MAX(FILTER($H$2:$H451,$E$2:$E451=F304))"),"#N/A")</f>
        <v>#N/A</v>
      </c>
    </row>
    <row r="305">
      <c r="A305" s="4"/>
      <c r="C305" s="4" t="s">
        <v>2687</v>
      </c>
      <c r="D305" s="4" t="str">
        <f t="shared" si="1"/>
        <v>{"valorA":"compra","valorB":2}</v>
      </c>
      <c r="E305" s="8" t="str">
        <f t="shared" si="2"/>
        <v>compra</v>
      </c>
      <c r="F305" s="8"/>
      <c r="G305" s="8" t="str">
        <f t="shared" si="3"/>
        <v>2</v>
      </c>
      <c r="H305" s="9">
        <f t="shared" si="4"/>
        <v>2</v>
      </c>
      <c r="I305" s="6" t="str">
        <f>IFERROR(__xludf.DUMMYFUNCTION("MAX(FILTER($H$2:$H451,$E$2:$E451=F305))"),"#N/A")</f>
        <v>#N/A</v>
      </c>
    </row>
    <row r="306">
      <c r="A306" s="4"/>
      <c r="C306" s="4" t="s">
        <v>2754</v>
      </c>
      <c r="D306" s="4" t="str">
        <f t="shared" si="1"/>
        <v>{"valorA":"que","valorB":4}</v>
      </c>
      <c r="E306" s="8" t="str">
        <f t="shared" si="2"/>
        <v>que</v>
      </c>
      <c r="F306" s="8"/>
      <c r="G306" s="8" t="str">
        <f t="shared" si="3"/>
        <v>4</v>
      </c>
      <c r="H306" s="9">
        <f t="shared" si="4"/>
        <v>4</v>
      </c>
      <c r="I306" s="6" t="str">
        <f>IFERROR(__xludf.DUMMYFUNCTION("MAX(FILTER($H$2:$H451,$E$2:$E451=F306))"),"#N/A")</f>
        <v>#N/A</v>
      </c>
    </row>
    <row r="307">
      <c r="A307" s="4"/>
      <c r="C307" s="4" t="s">
        <v>2907</v>
      </c>
      <c r="D307" s="4" t="str">
        <f t="shared" si="1"/>
        <v>{"valorA":"produto","valorB":24}</v>
      </c>
      <c r="E307" s="8" t="str">
        <f t="shared" si="2"/>
        <v>produto</v>
      </c>
      <c r="F307" s="8"/>
      <c r="G307" s="8" t="str">
        <f t="shared" si="3"/>
        <v>24</v>
      </c>
      <c r="H307" s="9">
        <f t="shared" si="4"/>
        <v>24</v>
      </c>
      <c r="I307" s="6" t="str">
        <f>IFERROR(__xludf.DUMMYFUNCTION("MAX(FILTER($H$2:$H451,$E$2:$E451=F307))"),"#N/A")</f>
        <v>#N/A</v>
      </c>
    </row>
    <row r="308">
      <c r="A308" s="4"/>
      <c r="C308" s="4" t="s">
        <v>2871</v>
      </c>
      <c r="D308" s="4" t="str">
        <f t="shared" si="1"/>
        <v>{"valorA":"ótimo","valorB":35}</v>
      </c>
      <c r="E308" s="8" t="str">
        <f t="shared" si="2"/>
        <v>ótimo</v>
      </c>
      <c r="F308" s="8"/>
      <c r="G308" s="8" t="str">
        <f t="shared" si="3"/>
        <v>35</v>
      </c>
      <c r="H308" s="9">
        <f t="shared" si="4"/>
        <v>35</v>
      </c>
      <c r="I308" s="6" t="str">
        <f>IFERROR(__xludf.DUMMYFUNCTION("MAX(FILTER($H$2:$H451,$E$2:$E451=F308))"),"#N/A")</f>
        <v>#N/A</v>
      </c>
    </row>
    <row r="309">
      <c r="A309" s="4"/>
      <c r="C309" s="4" t="s">
        <v>3149</v>
      </c>
      <c r="D309" s="4" t="str">
        <f t="shared" si="1"/>
        <v>{"valorA":"penny","valorB":1}</v>
      </c>
      <c r="E309" s="8" t="str">
        <f t="shared" si="2"/>
        <v>penny</v>
      </c>
      <c r="F309" s="8"/>
      <c r="G309" s="8" t="str">
        <f t="shared" si="3"/>
        <v>1</v>
      </c>
      <c r="H309" s="9">
        <f t="shared" si="4"/>
        <v>1</v>
      </c>
      <c r="I309" s="6" t="str">
        <f>IFERROR(__xludf.DUMMYFUNCTION("MAX(FILTER($H$2:$H451,$E$2:$E451=F309))"),"#N/A")</f>
        <v>#N/A</v>
      </c>
    </row>
    <row r="310">
      <c r="A310" s="4"/>
      <c r="C310" s="4" t="s">
        <v>3150</v>
      </c>
      <c r="D310" s="4" t="str">
        <f t="shared" si="1"/>
        <v>{"valorA":"paguei","valorB":4}</v>
      </c>
      <c r="E310" s="8" t="str">
        <f t="shared" si="2"/>
        <v>paguei</v>
      </c>
      <c r="F310" s="8"/>
      <c r="G310" s="8" t="str">
        <f t="shared" si="3"/>
        <v>4</v>
      </c>
      <c r="H310" s="9">
        <f t="shared" si="4"/>
        <v>4</v>
      </c>
      <c r="I310" s="6" t="str">
        <f>IFERROR(__xludf.DUMMYFUNCTION("MAX(FILTER($H$2:$H451,$E$2:$E451=F310))"),"#N/A")</f>
        <v>#N/A</v>
      </c>
    </row>
    <row r="311">
      <c r="A311" s="4"/>
      <c r="C311" s="4" t="s">
        <v>3151</v>
      </c>
      <c r="D311" s="4" t="str">
        <f t="shared" si="1"/>
        <v>{"valorA":"resumo","valorB":4}</v>
      </c>
      <c r="E311" s="8" t="str">
        <f t="shared" si="2"/>
        <v>resumo</v>
      </c>
      <c r="F311" s="8"/>
      <c r="G311" s="8" t="str">
        <f t="shared" si="3"/>
        <v>4</v>
      </c>
      <c r="H311" s="9">
        <f t="shared" si="4"/>
        <v>4</v>
      </c>
      <c r="I311" s="6" t="str">
        <f>IFERROR(__xludf.DUMMYFUNCTION("MAX(FILTER($H$2:$H451,$E$2:$E451=F311))"),"#N/A")</f>
        <v>#N/A</v>
      </c>
    </row>
    <row r="312">
      <c r="A312" s="4"/>
      <c r="C312" s="4" t="s">
        <v>3152</v>
      </c>
      <c r="D312" s="4" t="str">
        <f t="shared" si="1"/>
        <v>{"valorA":"valeu","valorB":3}</v>
      </c>
      <c r="E312" s="8" t="str">
        <f t="shared" si="2"/>
        <v>valeu</v>
      </c>
      <c r="F312" s="8"/>
      <c r="G312" s="8" t="str">
        <f t="shared" si="3"/>
        <v>3</v>
      </c>
      <c r="H312" s="9">
        <f t="shared" si="4"/>
        <v>3</v>
      </c>
      <c r="I312" s="6" t="str">
        <f>IFERROR(__xludf.DUMMYFUNCTION("MAX(FILTER($H$2:$H451,$E$2:$E451=F312))"),"#N/A")</f>
        <v>#N/A</v>
      </c>
    </row>
    <row r="313">
      <c r="A313" s="4"/>
      <c r="C313" s="4" t="s">
        <v>3153</v>
      </c>
      <c r="D313" s="4" t="str">
        <f t="shared" si="1"/>
        <v>{"valorA":"esper","valorB":1}</v>
      </c>
      <c r="E313" s="8" t="str">
        <f t="shared" si="2"/>
        <v>esper</v>
      </c>
      <c r="F313" s="8"/>
      <c r="G313" s="8" t="str">
        <f t="shared" si="3"/>
        <v>1</v>
      </c>
      <c r="H313" s="9">
        <f t="shared" si="4"/>
        <v>1</v>
      </c>
      <c r="I313" s="6" t="str">
        <f>IFERROR(__xludf.DUMMYFUNCTION("MAX(FILTER($H$2:$H451,$E$2:$E451=F313))"),"#N/A")</f>
        <v>#N/A</v>
      </c>
    </row>
    <row r="314">
      <c r="A314" s="4"/>
      <c r="C314" s="4" t="s">
        <v>3154</v>
      </c>
      <c r="D314" s="4" t="str">
        <f t="shared" si="1"/>
        <v>{"valorA":"cada","valorB":1}</v>
      </c>
      <c r="E314" s="8" t="str">
        <f t="shared" si="2"/>
        <v>cada</v>
      </c>
      <c r="F314" s="8"/>
      <c r="G314" s="8" t="str">
        <f t="shared" si="3"/>
        <v>1</v>
      </c>
      <c r="H314" s="9">
        <f t="shared" si="4"/>
        <v>1</v>
      </c>
      <c r="I314" s="6" t="str">
        <f>IFERROR(__xludf.DUMMYFUNCTION("MAX(FILTER($H$2:$H451,$E$2:$E451=F314))"),"#N/A")</f>
        <v>#N/A</v>
      </c>
    </row>
    <row r="315">
      <c r="A315" s="4"/>
      <c r="C315" s="4" t="s">
        <v>3155</v>
      </c>
      <c r="D315" s="4" t="str">
        <f t="shared" si="1"/>
        <v>{"valorA":"me","valorB":2}</v>
      </c>
      <c r="E315" s="8" t="str">
        <f t="shared" si="2"/>
        <v>me</v>
      </c>
      <c r="F315" s="8"/>
      <c r="G315" s="8" t="str">
        <f t="shared" si="3"/>
        <v>2</v>
      </c>
      <c r="H315" s="9">
        <f t="shared" si="4"/>
        <v>2</v>
      </c>
      <c r="I315" s="6" t="str">
        <f>IFERROR(__xludf.DUMMYFUNCTION("MAX(FILTER($H$2:$H451,$E$2:$E451=F315))"),"#N/A")</f>
        <v>#N/A</v>
      </c>
    </row>
    <row r="316">
      <c r="A316" s="4"/>
      <c r="C316" s="4" t="s">
        <v>3156</v>
      </c>
      <c r="D316" s="4" t="str">
        <f t="shared" si="1"/>
        <v>{"valorA":"valorização","valorB":1}</v>
      </c>
      <c r="E316" s="8" t="str">
        <f t="shared" si="2"/>
        <v>valorização</v>
      </c>
      <c r="F316" s="8"/>
      <c r="G316" s="8" t="str">
        <f t="shared" si="3"/>
        <v>1</v>
      </c>
      <c r="H316" s="9">
        <f t="shared" si="4"/>
        <v>1</v>
      </c>
      <c r="I316" s="6" t="str">
        <f>IFERROR(__xludf.DUMMYFUNCTION("MAX(FILTER($H$2:$H451,$E$2:$E451=F316))"),"#N/A")</f>
        <v>#N/A</v>
      </c>
    </row>
    <row r="317">
      <c r="A317" s="4"/>
      <c r="C317" s="4" t="s">
        <v>3157</v>
      </c>
      <c r="D317" s="4" t="str">
        <f t="shared" si="1"/>
        <v>{"valorA":"excelente","valorB":2}</v>
      </c>
      <c r="E317" s="8" t="str">
        <f t="shared" si="2"/>
        <v>excelente</v>
      </c>
      <c r="F317" s="8"/>
      <c r="G317" s="8" t="str">
        <f t="shared" si="3"/>
        <v>2</v>
      </c>
      <c r="H317" s="9">
        <f t="shared" si="4"/>
        <v>2</v>
      </c>
      <c r="I317" s="6" t="str">
        <f>IFERROR(__xludf.DUMMYFUNCTION("MAX(FILTER($H$2:$H451,$E$2:$E451=F317))"),"#N/A")</f>
        <v>#N/A</v>
      </c>
    </row>
    <row r="318">
      <c r="A318" s="4"/>
      <c r="C318" s="4" t="s">
        <v>2884</v>
      </c>
      <c r="D318" s="4" t="str">
        <f t="shared" si="1"/>
        <v>{"valorA":"ótimo","valorB":36}</v>
      </c>
      <c r="E318" s="8" t="str">
        <f t="shared" si="2"/>
        <v>ótimo</v>
      </c>
      <c r="F318" s="8"/>
      <c r="G318" s="8" t="str">
        <f t="shared" si="3"/>
        <v>36</v>
      </c>
      <c r="H318" s="9">
        <f t="shared" si="4"/>
        <v>36</v>
      </c>
      <c r="I318" s="6" t="str">
        <f>IFERROR(__xludf.DUMMYFUNCTION("MAX(FILTER($H$2:$H451,$E$2:$E451=F318))"),"#N/A")</f>
        <v>#N/A</v>
      </c>
    </row>
    <row r="319">
      <c r="A319" s="4"/>
      <c r="C319" s="4" t="s">
        <v>2916</v>
      </c>
      <c r="D319" s="4" t="str">
        <f t="shared" si="1"/>
        <v>{"valorA":"produto","valorB":25}</v>
      </c>
      <c r="E319" s="8" t="str">
        <f t="shared" si="2"/>
        <v>produto</v>
      </c>
      <c r="F319" s="8"/>
      <c r="G319" s="8" t="str">
        <f t="shared" si="3"/>
        <v>25</v>
      </c>
      <c r="H319" s="9">
        <f t="shared" si="4"/>
        <v>25</v>
      </c>
      <c r="I319" s="6" t="str">
        <f>IFERROR(__xludf.DUMMYFUNCTION("MAX(FILTER($H$2:$H451,$E$2:$E451=F319))"),"#N/A")</f>
        <v>#N/A</v>
      </c>
    </row>
    <row r="320">
      <c r="A320" s="4"/>
      <c r="C320" s="4" t="s">
        <v>3158</v>
      </c>
      <c r="D320" s="4" t="str">
        <f t="shared" si="1"/>
        <v>{"valorA":"alegra","valorB":1}</v>
      </c>
      <c r="E320" s="8" t="str">
        <f t="shared" si="2"/>
        <v>alegra</v>
      </c>
      <c r="F320" s="8"/>
      <c r="G320" s="8" t="str">
        <f t="shared" si="3"/>
        <v>1</v>
      </c>
      <c r="H320" s="9">
        <f t="shared" si="4"/>
        <v>1</v>
      </c>
      <c r="I320" s="6" t="str">
        <f>IFERROR(__xludf.DUMMYFUNCTION("MAX(FILTER($H$2:$H451,$E$2:$E451=F320))"),"#N/A")</f>
        <v>#N/A</v>
      </c>
    </row>
    <row r="321">
      <c r="A321" s="4"/>
      <c r="C321" s="4" t="s">
        <v>3159</v>
      </c>
      <c r="D321" s="4" t="str">
        <f t="shared" si="1"/>
        <v>{"valorA":"comprado","valorB":1}</v>
      </c>
      <c r="E321" s="8" t="str">
        <f t="shared" si="2"/>
        <v>comprado</v>
      </c>
      <c r="F321" s="8"/>
      <c r="G321" s="8" t="str">
        <f t="shared" si="3"/>
        <v>1</v>
      </c>
      <c r="H321" s="9">
        <f t="shared" si="4"/>
        <v>1</v>
      </c>
      <c r="I321" s="6" t="str">
        <f>IFERROR(__xludf.DUMMYFUNCTION("MAX(FILTER($H$2:$H451,$E$2:$E451=F321))"),"#N/A")</f>
        <v>#N/A</v>
      </c>
    </row>
    <row r="322">
      <c r="A322" s="4"/>
      <c r="C322" s="4" t="s">
        <v>3160</v>
      </c>
      <c r="D322" s="4" t="str">
        <f t="shared" si="1"/>
        <v>{"valorA":"ter","valorB":1}</v>
      </c>
      <c r="E322" s="8" t="str">
        <f t="shared" si="2"/>
        <v>ter</v>
      </c>
      <c r="F322" s="8"/>
      <c r="G322" s="8" t="str">
        <f t="shared" si="3"/>
        <v>1</v>
      </c>
      <c r="H322" s="9">
        <f t="shared" si="4"/>
        <v>1</v>
      </c>
      <c r="I322" s="6" t="str">
        <f>IFERROR(__xludf.DUMMYFUNCTION("MAX(FILTER($H$2:$H451,$E$2:$E451=F322))"),"#N/A")</f>
        <v>#N/A</v>
      </c>
    </row>
    <row r="323">
      <c r="A323" s="4"/>
      <c r="C323" s="4" t="s">
        <v>2893</v>
      </c>
      <c r="D323" s="4" t="str">
        <f t="shared" si="1"/>
        <v>{"valorA":"ótimo","valorB":37}</v>
      </c>
      <c r="E323" s="8" t="str">
        <f t="shared" si="2"/>
        <v>ótimo</v>
      </c>
      <c r="F323" s="8"/>
      <c r="G323" s="8" t="str">
        <f t="shared" si="3"/>
        <v>37</v>
      </c>
      <c r="H323" s="9">
        <f t="shared" si="4"/>
        <v>37</v>
      </c>
      <c r="I323" s="6" t="str">
        <f>IFERROR(__xludf.DUMMYFUNCTION("MAX(FILTER($H$2:$H451,$E$2:$E451=F323))"),"#N/A")</f>
        <v>#N/A</v>
      </c>
    </row>
    <row r="324">
      <c r="A324" s="4"/>
      <c r="C324" s="4" t="s">
        <v>3161</v>
      </c>
      <c r="D324" s="4" t="str">
        <f t="shared" si="1"/>
        <v>{"valorA":"espera","valorB":1}</v>
      </c>
      <c r="E324" s="8" t="str">
        <f t="shared" si="2"/>
        <v>espera</v>
      </c>
      <c r="F324" s="8"/>
      <c r="G324" s="8" t="str">
        <f t="shared" si="3"/>
        <v>1</v>
      </c>
      <c r="H324" s="9">
        <f t="shared" si="4"/>
        <v>1</v>
      </c>
      <c r="I324" s="6" t="str">
        <f>IFERROR(__xludf.DUMMYFUNCTION("MAX(FILTER($H$2:$H451,$E$2:$E451=F324))"),"#N/A")</f>
        <v>#N/A</v>
      </c>
    </row>
    <row r="325">
      <c r="A325" s="4"/>
      <c r="C325" s="4" t="s">
        <v>2888</v>
      </c>
      <c r="D325" s="4" t="str">
        <f t="shared" si="1"/>
        <v>{"valorA":"a","valorB":5}</v>
      </c>
      <c r="E325" s="8" t="str">
        <f t="shared" si="2"/>
        <v>a</v>
      </c>
      <c r="F325" s="8"/>
      <c r="G325" s="8" t="str">
        <f t="shared" si="3"/>
        <v>5</v>
      </c>
      <c r="H325" s="9">
        <f t="shared" si="4"/>
        <v>5</v>
      </c>
      <c r="I325" s="6" t="str">
        <f>IFERROR(__xludf.DUMMYFUNCTION("MAX(FILTER($H$2:$H451,$E$2:$E451=F325))"),"#N/A")</f>
        <v>#N/A</v>
      </c>
    </row>
    <row r="326">
      <c r="A326" s="4"/>
      <c r="C326" s="4" t="s">
        <v>3162</v>
      </c>
      <c r="D326" s="4" t="str">
        <f t="shared" si="1"/>
        <v>{"valorA":"televisor","valorB":4}</v>
      </c>
      <c r="E326" s="8" t="str">
        <f t="shared" si="2"/>
        <v>televisor</v>
      </c>
      <c r="F326" s="8"/>
      <c r="G326" s="8" t="str">
        <f t="shared" si="3"/>
        <v>4</v>
      </c>
      <c r="H326" s="9">
        <f t="shared" si="4"/>
        <v>4</v>
      </c>
      <c r="I326" s="6" t="str">
        <f>IFERROR(__xludf.DUMMYFUNCTION("MAX(FILTER($H$2:$H451,$E$2:$E451=F326))"),"#N/A")</f>
        <v>#N/A</v>
      </c>
    </row>
    <row r="327">
      <c r="A327" s="4"/>
      <c r="C327" s="4" t="s">
        <v>3163</v>
      </c>
      <c r="D327" s="4" t="str">
        <f t="shared" si="1"/>
        <v>{"valorA":"valeu","valorB":4}</v>
      </c>
      <c r="E327" s="8" t="str">
        <f t="shared" si="2"/>
        <v>valeu</v>
      </c>
      <c r="F327" s="8"/>
      <c r="G327" s="8" t="str">
        <f t="shared" si="3"/>
        <v>4</v>
      </c>
      <c r="H327" s="9">
        <f t="shared" si="4"/>
        <v>4</v>
      </c>
      <c r="I327" s="6" t="str">
        <f>IFERROR(__xludf.DUMMYFUNCTION("MAX(FILTER($H$2:$H451,$E$2:$E451=F327))"),"#N/A")</f>
        <v>#N/A</v>
      </c>
    </row>
    <row r="328">
      <c r="A328" s="4"/>
      <c r="C328" s="4" t="s">
        <v>2901</v>
      </c>
      <c r="D328" s="4" t="str">
        <f t="shared" si="1"/>
        <v>{"valorA":"ótimo","valorB":38}</v>
      </c>
      <c r="E328" s="8" t="str">
        <f t="shared" si="2"/>
        <v>ótimo</v>
      </c>
      <c r="F328" s="8"/>
      <c r="G328" s="8" t="str">
        <f t="shared" si="3"/>
        <v>38</v>
      </c>
      <c r="H328" s="9">
        <f t="shared" si="4"/>
        <v>38</v>
      </c>
      <c r="I328" s="6" t="str">
        <f>IFERROR(__xludf.DUMMYFUNCTION("MAX(FILTER($H$2:$H451,$E$2:$E451=F328))"),"#N/A")</f>
        <v>#N/A</v>
      </c>
    </row>
    <row r="329">
      <c r="A329" s="4"/>
      <c r="C329" s="4" t="s">
        <v>3164</v>
      </c>
      <c r="D329" s="4" t="str">
        <f t="shared" si="1"/>
        <v>{"valorA":"e","valorB":15}</v>
      </c>
      <c r="E329" s="8" t="str">
        <f t="shared" si="2"/>
        <v>e</v>
      </c>
      <c r="F329" s="8"/>
      <c r="G329" s="8" t="str">
        <f t="shared" si="3"/>
        <v>15</v>
      </c>
      <c r="H329" s="9">
        <f t="shared" si="4"/>
        <v>15</v>
      </c>
      <c r="I329" s="6" t="str">
        <f>IFERROR(__xludf.DUMMYFUNCTION("MAX(FILTER($H$2:$H451,$E$2:$E451=F329))"),"#N/A")</f>
        <v>#N/A</v>
      </c>
    </row>
    <row r="330">
      <c r="A330" s="4"/>
      <c r="C330" s="4" t="s">
        <v>3165</v>
      </c>
      <c r="D330" s="4" t="str">
        <f t="shared" si="1"/>
        <v>{"valorA":"follows","valorB":1}</v>
      </c>
      <c r="E330" s="8" t="str">
        <f t="shared" si="2"/>
        <v>follows</v>
      </c>
      <c r="F330" s="8"/>
      <c r="G330" s="8" t="str">
        <f t="shared" si="3"/>
        <v>1</v>
      </c>
      <c r="H330" s="9">
        <f t="shared" si="4"/>
        <v>1</v>
      </c>
      <c r="I330" s="6" t="str">
        <f>IFERROR(__xludf.DUMMYFUNCTION("MAX(FILTER($H$2:$H451,$E$2:$E451=F330))"),"#N/A")</f>
        <v>#N/A</v>
      </c>
    </row>
    <row r="331">
      <c r="A331" s="4"/>
      <c r="C331" s="4" t="s">
        <v>3166</v>
      </c>
      <c r="D331" s="4" t="str">
        <f t="shared" si="1"/>
        <v>{"valorA":"muito","valorB":14}</v>
      </c>
      <c r="E331" s="8" t="str">
        <f t="shared" si="2"/>
        <v>muito</v>
      </c>
      <c r="F331" s="8"/>
      <c r="G331" s="8" t="str">
        <f t="shared" si="3"/>
        <v>14</v>
      </c>
      <c r="H331" s="9">
        <f t="shared" si="4"/>
        <v>14</v>
      </c>
      <c r="I331" s="6" t="str">
        <f>IFERROR(__xludf.DUMMYFUNCTION("MAX(FILTER($H$2:$H451,$E$2:$E451=F331))"),"#N/A")</f>
        <v>#N/A</v>
      </c>
    </row>
    <row r="332">
      <c r="A332" s="4"/>
      <c r="C332" s="4" t="s">
        <v>3167</v>
      </c>
      <c r="D332" s="4" t="str">
        <f t="shared" si="1"/>
        <v>{"valorA":"qualidade","valorB":4}</v>
      </c>
      <c r="E332" s="8" t="str">
        <f t="shared" si="2"/>
        <v>qualidade</v>
      </c>
      <c r="F332" s="8"/>
      <c r="G332" s="8" t="str">
        <f t="shared" si="3"/>
        <v>4</v>
      </c>
      <c r="H332" s="9">
        <f t="shared" si="4"/>
        <v>4</v>
      </c>
      <c r="I332" s="6" t="str">
        <f>IFERROR(__xludf.DUMMYFUNCTION("MAX(FILTER($H$2:$H451,$E$2:$E451=F332))"),"#N/A")</f>
        <v>#N/A</v>
      </c>
    </row>
    <row r="333">
      <c r="A333" s="4"/>
      <c r="C333" s="4" t="s">
        <v>3168</v>
      </c>
      <c r="D333" s="4" t="str">
        <f t="shared" si="1"/>
        <v>{"valorA":"televisor","valorB":5}</v>
      </c>
      <c r="E333" s="8" t="str">
        <f t="shared" si="2"/>
        <v>televisor</v>
      </c>
      <c r="F333" s="8"/>
      <c r="G333" s="8" t="str">
        <f t="shared" si="3"/>
        <v>5</v>
      </c>
      <c r="H333" s="9">
        <f t="shared" si="4"/>
        <v>5</v>
      </c>
      <c r="I333" s="6" t="str">
        <f>IFERROR(__xludf.DUMMYFUNCTION("MAX(FILTER($H$2:$H451,$E$2:$E451=F333))"),"#N/A")</f>
        <v>#N/A</v>
      </c>
    </row>
    <row r="334">
      <c r="A334" s="4"/>
      <c r="C334" s="4" t="s">
        <v>3169</v>
      </c>
      <c r="D334" s="4" t="str">
        <f t="shared" si="1"/>
        <v>{"valorA":"are","valorB":1}</v>
      </c>
      <c r="E334" s="8" t="str">
        <f t="shared" si="2"/>
        <v>are</v>
      </c>
      <c r="F334" s="8"/>
      <c r="G334" s="8" t="str">
        <f t="shared" si="3"/>
        <v>1</v>
      </c>
      <c r="H334" s="9">
        <f t="shared" si="4"/>
        <v>1</v>
      </c>
      <c r="I334" s="6" t="str">
        <f>IFERROR(__xludf.DUMMYFUNCTION("MAX(FILTER($H$2:$H451,$E$2:$E451=F334))"),"#N/A")</f>
        <v>#N/A</v>
      </c>
    </row>
    <row r="335">
      <c r="A335" s="4"/>
      <c r="C335" s="4" t="s">
        <v>2630</v>
      </c>
      <c r="D335" s="4" t="str">
        <f t="shared" si="1"/>
        <v>{"valorA":"esse","valorB":1}</v>
      </c>
      <c r="E335" s="8" t="str">
        <f t="shared" si="2"/>
        <v>esse</v>
      </c>
      <c r="F335" s="8"/>
      <c r="G335" s="8" t="str">
        <f t="shared" si="3"/>
        <v>1</v>
      </c>
      <c r="H335" s="9">
        <f t="shared" si="4"/>
        <v>1</v>
      </c>
      <c r="I335" s="6" t="str">
        <f>IFERROR(__xludf.DUMMYFUNCTION("MAX(FILTER($H$2:$H451,$E$2:$E451=F335))"),"#N/A")</f>
        <v>#N/A</v>
      </c>
    </row>
    <row r="336">
      <c r="A336" s="4"/>
      <c r="C336" s="4" t="s">
        <v>3170</v>
      </c>
      <c r="D336" s="4" t="str">
        <f t="shared" si="1"/>
        <v>{"valorA":"ten","valorB":1}</v>
      </c>
      <c r="E336" s="8" t="str">
        <f t="shared" si="2"/>
        <v>ten</v>
      </c>
      <c r="F336" s="8"/>
      <c r="G336" s="8" t="str">
        <f t="shared" si="3"/>
        <v>1</v>
      </c>
      <c r="H336" s="9">
        <f t="shared" si="4"/>
        <v>1</v>
      </c>
      <c r="I336" s="6" t="str">
        <f>IFERROR(__xludf.DUMMYFUNCTION("MAX(FILTER($H$2:$H451,$E$2:$E451=F336))"),"#N/A")</f>
        <v>#N/A</v>
      </c>
    </row>
    <row r="337">
      <c r="A337" s="4"/>
      <c r="C337" s="4" t="s">
        <v>3171</v>
      </c>
      <c r="D337" s="4" t="str">
        <f t="shared" si="1"/>
        <v>{"valorA":"comments","valorB":1}</v>
      </c>
      <c r="E337" s="8" t="str">
        <f t="shared" si="2"/>
        <v>comments</v>
      </c>
      <c r="F337" s="8"/>
      <c r="G337" s="8" t="str">
        <f t="shared" si="3"/>
        <v>1</v>
      </c>
      <c r="H337" s="9">
        <f t="shared" si="4"/>
        <v>1</v>
      </c>
      <c r="I337" s="6" t="str">
        <f>IFERROR(__xludf.DUMMYFUNCTION("MAX(FILTER($H$2:$H451,$E$2:$E451=F337))"),"#N/A")</f>
        <v>#N/A</v>
      </c>
    </row>
    <row r="338">
      <c r="A338" s="4"/>
      <c r="C338" s="4" t="s">
        <v>3172</v>
      </c>
      <c r="D338" s="4" t="str">
        <f t="shared" si="1"/>
        <v>{"valorA":"preço","valorB":12}</v>
      </c>
      <c r="E338" s="8" t="str">
        <f t="shared" si="2"/>
        <v>preço</v>
      </c>
      <c r="F338" s="8"/>
      <c r="G338" s="8" t="str">
        <f t="shared" si="3"/>
        <v>12</v>
      </c>
      <c r="H338" s="9">
        <f t="shared" si="4"/>
        <v>12</v>
      </c>
      <c r="I338" s="6" t="str">
        <f>IFERROR(__xludf.DUMMYFUNCTION("MAX(FILTER($H$2:$H451,$E$2:$E451=F338))"),"#N/A")</f>
        <v>#N/A</v>
      </c>
    </row>
    <row r="339">
      <c r="A339" s="4"/>
      <c r="C339" s="4" t="s">
        <v>2918</v>
      </c>
      <c r="D339" s="4" t="str">
        <f t="shared" si="1"/>
        <v>{"valorA":"gostei","valorB":5}</v>
      </c>
      <c r="E339" s="8" t="str">
        <f t="shared" si="2"/>
        <v>gostei</v>
      </c>
      <c r="F339" s="8"/>
      <c r="G339" s="8" t="str">
        <f t="shared" si="3"/>
        <v>5</v>
      </c>
      <c r="H339" s="9">
        <f t="shared" si="4"/>
        <v>5</v>
      </c>
      <c r="I339" s="6" t="str">
        <f>IFERROR(__xludf.DUMMYFUNCTION("MAX(FILTER($H$2:$H451,$E$2:$E451=F339))"),"#N/A")</f>
        <v>#N/A</v>
      </c>
    </row>
    <row r="340">
      <c r="A340" s="4"/>
      <c r="C340" s="4" t="s">
        <v>2763</v>
      </c>
      <c r="D340" s="4" t="str">
        <f t="shared" si="1"/>
        <v>{"valorA":"as","valorB":1}</v>
      </c>
      <c r="E340" s="8" t="str">
        <f t="shared" si="2"/>
        <v>as</v>
      </c>
      <c r="F340" s="8"/>
      <c r="G340" s="8" t="str">
        <f t="shared" si="3"/>
        <v>1</v>
      </c>
      <c r="H340" s="9">
        <f t="shared" si="4"/>
        <v>1</v>
      </c>
      <c r="I340" s="6" t="str">
        <f>IFERROR(__xludf.DUMMYFUNCTION("MAX(FILTER($H$2:$H451,$E$2:$E451=F340))"),"#N/A")</f>
        <v>#N/A</v>
      </c>
    </row>
    <row r="341">
      <c r="A341" s="4"/>
      <c r="C341" s="4" t="s">
        <v>3173</v>
      </c>
      <c r="D341" s="4" t="str">
        <f t="shared" si="1"/>
        <v>{"valorA":"leve","valorB":1}</v>
      </c>
      <c r="E341" s="8" t="str">
        <f t="shared" si="2"/>
        <v>leve</v>
      </c>
      <c r="F341" s="8"/>
      <c r="G341" s="8" t="str">
        <f t="shared" si="3"/>
        <v>1</v>
      </c>
      <c r="H341" s="9">
        <f t="shared" si="4"/>
        <v>1</v>
      </c>
      <c r="I341" s="6" t="str">
        <f>IFERROR(__xludf.DUMMYFUNCTION("MAX(FILTER($H$2:$H451,$E$2:$E451=F341))"),"#N/A")</f>
        <v>#N/A</v>
      </c>
    </row>
    <row r="342">
      <c r="A342" s="4"/>
      <c r="C342" s="4" t="s">
        <v>3174</v>
      </c>
      <c r="D342" s="4" t="str">
        <f t="shared" si="1"/>
        <v>{"valorA":"para","valorB":12}</v>
      </c>
      <c r="E342" s="8" t="str">
        <f t="shared" si="2"/>
        <v>para</v>
      </c>
      <c r="F342" s="8"/>
      <c r="G342" s="8" t="str">
        <f t="shared" si="3"/>
        <v>12</v>
      </c>
      <c r="H342" s="9">
        <f t="shared" si="4"/>
        <v>12</v>
      </c>
      <c r="I342" s="6" t="str">
        <f>IFERROR(__xludf.DUMMYFUNCTION("MAX(FILTER($H$2:$H451,$E$2:$E451=F342))"),"#N/A")</f>
        <v>#N/A</v>
      </c>
    </row>
    <row r="343">
      <c r="A343" s="4"/>
      <c r="C343" s="4" t="s">
        <v>3175</v>
      </c>
      <c r="D343" s="4" t="str">
        <f t="shared" si="1"/>
        <v>{"valorA":"carregar","valorB":1}</v>
      </c>
      <c r="E343" s="8" t="str">
        <f t="shared" si="2"/>
        <v>carregar</v>
      </c>
      <c r="F343" s="8"/>
      <c r="G343" s="8" t="str">
        <f t="shared" si="3"/>
        <v>1</v>
      </c>
      <c r="H343" s="9">
        <f t="shared" si="4"/>
        <v>1</v>
      </c>
      <c r="I343" s="6" t="str">
        <f>IFERROR(__xludf.DUMMYFUNCTION("MAX(FILTER($H$2:$H451,$E$2:$E451=F343))"),"#N/A")</f>
        <v>#N/A</v>
      </c>
    </row>
    <row r="344">
      <c r="A344" s="4"/>
      <c r="C344" s="4" t="s">
        <v>2924</v>
      </c>
      <c r="D344" s="4" t="str">
        <f t="shared" si="1"/>
        <v>{"valorA":"produto","valorB":26}</v>
      </c>
      <c r="E344" s="8" t="str">
        <f t="shared" si="2"/>
        <v>produto</v>
      </c>
      <c r="F344" s="8"/>
      <c r="G344" s="8" t="str">
        <f t="shared" si="3"/>
        <v>26</v>
      </c>
      <c r="H344" s="9">
        <f t="shared" si="4"/>
        <v>26</v>
      </c>
      <c r="I344" s="6" t="str">
        <f>IFERROR(__xludf.DUMMYFUNCTION("MAX(FILTER($H$2:$H451,$E$2:$E451=F344))"),"#N/A")</f>
        <v>#N/A</v>
      </c>
    </row>
    <row r="345">
      <c r="A345" s="4"/>
      <c r="C345" s="4" t="s">
        <v>3176</v>
      </c>
      <c r="D345" s="4" t="str">
        <f t="shared" si="1"/>
        <v>{"valorA":"busca","valorB":2}</v>
      </c>
      <c r="E345" s="8" t="str">
        <f t="shared" si="2"/>
        <v>busca</v>
      </c>
      <c r="F345" s="8"/>
      <c r="G345" s="8" t="str">
        <f t="shared" si="3"/>
        <v>2</v>
      </c>
      <c r="H345" s="9">
        <f t="shared" si="4"/>
        <v>2</v>
      </c>
      <c r="I345" s="6" t="str">
        <f>IFERROR(__xludf.DUMMYFUNCTION("MAX(FILTER($H$2:$H451,$E$2:$E451=F345))"),"#N/A")</f>
        <v>#N/A</v>
      </c>
    </row>
    <row r="346">
      <c r="A346" s="4"/>
      <c r="C346" s="4" t="s">
        <v>2905</v>
      </c>
      <c r="D346" s="4" t="str">
        <f t="shared" si="1"/>
        <v>{"valorA":"ótimo","valorB":39}</v>
      </c>
      <c r="E346" s="8" t="str">
        <f t="shared" si="2"/>
        <v>ótimo</v>
      </c>
      <c r="F346" s="8"/>
      <c r="G346" s="8" t="str">
        <f t="shared" si="3"/>
        <v>39</v>
      </c>
      <c r="H346" s="9">
        <f t="shared" si="4"/>
        <v>39</v>
      </c>
      <c r="I346" s="6" t="str">
        <f>IFERROR(__xludf.DUMMYFUNCTION("MAX(FILTER($H$2:$H451,$E$2:$E451=F346))"),"#N/A")</f>
        <v>#N/A</v>
      </c>
    </row>
    <row r="347">
      <c r="A347" s="4"/>
      <c r="C347" s="4" t="s">
        <v>3177</v>
      </c>
      <c r="D347" s="4" t="str">
        <f t="shared" si="1"/>
        <v>{"valorA":"e","valorB":16}</v>
      </c>
      <c r="E347" s="8" t="str">
        <f t="shared" si="2"/>
        <v>e</v>
      </c>
      <c r="F347" s="8"/>
      <c r="G347" s="8" t="str">
        <f t="shared" si="3"/>
        <v>16</v>
      </c>
      <c r="H347" s="9">
        <f t="shared" si="4"/>
        <v>16</v>
      </c>
      <c r="I347" s="6" t="str">
        <f>IFERROR(__xludf.DUMMYFUNCTION("MAX(FILTER($H$2:$H451,$E$2:$E451=F347))"),"#N/A")</f>
        <v>#N/A</v>
      </c>
    </row>
    <row r="348">
      <c r="A348" s="4"/>
      <c r="C348" s="4" t="s">
        <v>3178</v>
      </c>
      <c r="D348" s="4" t="str">
        <f t="shared" si="1"/>
        <v>{"valorA":"laptop","valorB":3}</v>
      </c>
      <c r="E348" s="8" t="str">
        <f t="shared" si="2"/>
        <v>laptop</v>
      </c>
      <c r="F348" s="8"/>
      <c r="G348" s="8" t="str">
        <f t="shared" si="3"/>
        <v>3</v>
      </c>
      <c r="H348" s="9">
        <f t="shared" si="4"/>
        <v>3</v>
      </c>
      <c r="I348" s="6" t="str">
        <f>IFERROR(__xludf.DUMMYFUNCTION("MAX(FILTER($H$2:$H451,$E$2:$E451=F348))"),"#N/A")</f>
        <v>#N/A</v>
      </c>
    </row>
    <row r="349">
      <c r="A349" s="4"/>
      <c r="C349" s="4" t="s">
        <v>3179</v>
      </c>
      <c r="D349" s="4" t="str">
        <f t="shared" si="1"/>
        <v>{"valorA":"um","valorB":5}</v>
      </c>
      <c r="E349" s="8" t="str">
        <f t="shared" si="2"/>
        <v>um</v>
      </c>
      <c r="F349" s="8"/>
      <c r="G349" s="8" t="str">
        <f t="shared" si="3"/>
        <v>5</v>
      </c>
      <c r="H349" s="9">
        <f t="shared" si="4"/>
        <v>5</v>
      </c>
      <c r="I349" s="6" t="str">
        <f>IFERROR(__xludf.DUMMYFUNCTION("MAX(FILTER($H$2:$H451,$E$2:$E451=F349))"),"#N/A")</f>
        <v>#N/A</v>
      </c>
    </row>
    <row r="350">
      <c r="A350" s="4"/>
      <c r="C350" s="4" t="s">
        <v>3180</v>
      </c>
      <c r="D350" s="4" t="str">
        <f t="shared" si="1"/>
        <v>{"valorA":"de","valorB":15}</v>
      </c>
      <c r="E350" s="8" t="str">
        <f t="shared" si="2"/>
        <v>de</v>
      </c>
      <c r="F350" s="8"/>
      <c r="G350" s="8" t="str">
        <f t="shared" si="3"/>
        <v>15</v>
      </c>
      <c r="H350" s="9">
        <f t="shared" si="4"/>
        <v>15</v>
      </c>
      <c r="I350" s="6" t="str">
        <f>IFERROR(__xludf.DUMMYFUNCTION("MAX(FILTER($H$2:$H451,$E$2:$E451=F350))"),"#N/A")</f>
        <v>#N/A</v>
      </c>
    </row>
    <row r="351">
      <c r="A351" s="4"/>
      <c r="C351" s="4" t="s">
        <v>2877</v>
      </c>
      <c r="D351" s="4" t="str">
        <f t="shared" si="1"/>
        <v>{"valorA":"funciona","valorB":9}</v>
      </c>
      <c r="E351" s="8" t="str">
        <f t="shared" si="2"/>
        <v>funciona</v>
      </c>
      <c r="F351" s="8"/>
      <c r="G351" s="8" t="str">
        <f t="shared" si="3"/>
        <v>9</v>
      </c>
      <c r="H351" s="9">
        <f t="shared" si="4"/>
        <v>9</v>
      </c>
      <c r="I351" s="6" t="str">
        <f>IFERROR(__xludf.DUMMYFUNCTION("MAX(FILTER($H$2:$H451,$E$2:$E451=F351))"),"#N/A")</f>
        <v>#N/A</v>
      </c>
    </row>
    <row r="352">
      <c r="A352" s="4"/>
      <c r="C352" s="4" t="s">
        <v>3181</v>
      </c>
      <c r="D352" s="4" t="str">
        <f t="shared" si="1"/>
        <v>{"valorA":"quem","valorB":3}</v>
      </c>
      <c r="E352" s="8" t="str">
        <f t="shared" si="2"/>
        <v>quem</v>
      </c>
      <c r="F352" s="8"/>
      <c r="G352" s="8" t="str">
        <f t="shared" si="3"/>
        <v>3</v>
      </c>
      <c r="H352" s="9">
        <f t="shared" si="4"/>
        <v>3</v>
      </c>
      <c r="I352" s="6" t="str">
        <f>IFERROR(__xludf.DUMMYFUNCTION("MAX(FILTER($H$2:$H451,$E$2:$E451=F352))"),"#N/A")</f>
        <v>#N/A</v>
      </c>
    </row>
    <row r="353">
      <c r="A353" s="4"/>
      <c r="C353" s="4" t="s">
        <v>3182</v>
      </c>
      <c r="D353" s="4" t="str">
        <f t="shared" si="1"/>
        <v>{"valorA":"fácil","valorB":11}</v>
      </c>
      <c r="E353" s="8" t="str">
        <f t="shared" si="2"/>
        <v>fácil</v>
      </c>
      <c r="F353" s="8"/>
      <c r="G353" s="8" t="str">
        <f t="shared" si="3"/>
        <v>11</v>
      </c>
      <c r="H353" s="9">
        <f t="shared" si="4"/>
        <v>11</v>
      </c>
      <c r="I353" s="6" t="str">
        <f>IFERROR(__xludf.DUMMYFUNCTION("MAX(FILTER($H$2:$H451,$E$2:$E451=F353))"),"#N/A")</f>
        <v>#N/A</v>
      </c>
    </row>
    <row r="354">
      <c r="A354" s="4"/>
      <c r="C354" s="4" t="s">
        <v>3183</v>
      </c>
      <c r="D354" s="4" t="str">
        <f t="shared" si="1"/>
        <v>{"valorA":"bem","valorB":9}</v>
      </c>
      <c r="E354" s="8" t="str">
        <f t="shared" si="2"/>
        <v>bem</v>
      </c>
      <c r="F354" s="8"/>
      <c r="G354" s="8" t="str">
        <f t="shared" si="3"/>
        <v>9</v>
      </c>
      <c r="H354" s="9">
        <f t="shared" si="4"/>
        <v>9</v>
      </c>
      <c r="I354" s="6" t="str">
        <f>IFERROR(__xludf.DUMMYFUNCTION("MAX(FILTER($H$2:$H451,$E$2:$E451=F354))"),"#N/A")</f>
        <v>#N/A</v>
      </c>
    </row>
    <row r="355">
      <c r="A355" s="4"/>
      <c r="C355" s="4" t="s">
        <v>3184</v>
      </c>
      <c r="D355" s="4" t="str">
        <f t="shared" si="1"/>
        <v>{"valorA":"casa","valorB":1}</v>
      </c>
      <c r="E355" s="8" t="str">
        <f t="shared" si="2"/>
        <v>casa</v>
      </c>
      <c r="F355" s="8"/>
      <c r="G355" s="8" t="str">
        <f t="shared" si="3"/>
        <v>1</v>
      </c>
      <c r="H355" s="9">
        <f t="shared" si="4"/>
        <v>1</v>
      </c>
      <c r="I355" s="6" t="str">
        <f>IFERROR(__xludf.DUMMYFUNCTION("MAX(FILTER($H$2:$H451,$E$2:$E451=F355))"),"#N/A")</f>
        <v>#N/A</v>
      </c>
    </row>
    <row r="356">
      <c r="A356" s="4"/>
      <c r="C356" s="4" t="s">
        <v>3185</v>
      </c>
      <c r="D356" s="4" t="str">
        <f t="shared" si="1"/>
        <v>{"valorA":"para","valorB":13}</v>
      </c>
      <c r="E356" s="8" t="str">
        <f t="shared" si="2"/>
        <v>para</v>
      </c>
      <c r="F356" s="8"/>
      <c r="G356" s="8" t="str">
        <f t="shared" si="3"/>
        <v>13</v>
      </c>
      <c r="H356" s="9">
        <f t="shared" si="4"/>
        <v>13</v>
      </c>
      <c r="I356" s="6" t="str">
        <f>IFERROR(__xludf.DUMMYFUNCTION("MAX(FILTER($H$2:$H451,$E$2:$E451=F356))"),"#N/A")</f>
        <v>#N/A</v>
      </c>
    </row>
    <row r="357">
      <c r="A357" s="4"/>
      <c r="C357" s="4" t="s">
        <v>2914</v>
      </c>
      <c r="D357" s="4" t="str">
        <f t="shared" si="1"/>
        <v>{"valorA":"ótimo","valorB":40}</v>
      </c>
      <c r="E357" s="8" t="str">
        <f t="shared" si="2"/>
        <v>ótimo</v>
      </c>
      <c r="F357" s="8"/>
      <c r="G357" s="8" t="str">
        <f t="shared" si="3"/>
        <v>40</v>
      </c>
      <c r="H357" s="9">
        <f t="shared" si="4"/>
        <v>40</v>
      </c>
      <c r="I357" s="6" t="str">
        <f>IFERROR(__xludf.DUMMYFUNCTION("MAX(FILTER($H$2:$H451,$E$2:$E451=F357))"),"#N/A")</f>
        <v>#N/A</v>
      </c>
    </row>
    <row r="358">
      <c r="A358" s="4"/>
      <c r="C358" s="4" t="s">
        <v>3186</v>
      </c>
      <c r="D358" s="4" t="str">
        <f t="shared" si="1"/>
        <v>{"valorA":"filmes","valorB":1}</v>
      </c>
      <c r="E358" s="8" t="str">
        <f t="shared" si="2"/>
        <v>filmes</v>
      </c>
      <c r="F358" s="8"/>
      <c r="G358" s="8" t="str">
        <f t="shared" si="3"/>
        <v>1</v>
      </c>
      <c r="H358" s="9">
        <f t="shared" si="4"/>
        <v>1</v>
      </c>
      <c r="I358" s="6" t="str">
        <f>IFERROR(__xludf.DUMMYFUNCTION("MAX(FILTER($H$2:$H451,$E$2:$E451=F358))"),"#N/A")</f>
        <v>#N/A</v>
      </c>
    </row>
    <row r="359">
      <c r="A359" s="4"/>
      <c r="C359" s="4" t="s">
        <v>3187</v>
      </c>
      <c r="D359" s="4" t="str">
        <f t="shared" si="1"/>
        <v>{"valorA":"preciso","valorB":1}</v>
      </c>
      <c r="E359" s="8" t="str">
        <f t="shared" si="2"/>
        <v>preciso</v>
      </c>
      <c r="F359" s="8"/>
      <c r="G359" s="8" t="str">
        <f t="shared" si="3"/>
        <v>1</v>
      </c>
      <c r="H359" s="9">
        <f t="shared" si="4"/>
        <v>1</v>
      </c>
      <c r="I359" s="6" t="str">
        <f>IFERROR(__xludf.DUMMYFUNCTION("MAX(FILTER($H$2:$H451,$E$2:$E451=F359))"),"#N/A")</f>
        <v>#N/A</v>
      </c>
    </row>
    <row r="360">
      <c r="A360" s="4"/>
      <c r="C360" s="4" t="s">
        <v>3188</v>
      </c>
      <c r="D360" s="4" t="str">
        <f t="shared" si="1"/>
        <v>{"valorA":"televisor","valorB":6}</v>
      </c>
      <c r="E360" s="8" t="str">
        <f t="shared" si="2"/>
        <v>televisor</v>
      </c>
      <c r="F360" s="8"/>
      <c r="G360" s="8" t="str">
        <f t="shared" si="3"/>
        <v>6</v>
      </c>
      <c r="H360" s="9">
        <f t="shared" si="4"/>
        <v>6</v>
      </c>
      <c r="I360" s="6" t="str">
        <f>IFERROR(__xludf.DUMMYFUNCTION("MAX(FILTER($H$2:$H451,$E$2:$E451=F360))"),"#N/A")</f>
        <v>#N/A</v>
      </c>
    </row>
    <row r="361">
      <c r="A361" s="4"/>
      <c r="C361" s="4" t="s">
        <v>3189</v>
      </c>
      <c r="D361" s="4" t="str">
        <f t="shared" si="1"/>
        <v>{"valorA":"em","valorB":1}</v>
      </c>
      <c r="E361" s="8" t="str">
        <f t="shared" si="2"/>
        <v>em</v>
      </c>
      <c r="F361" s="8"/>
      <c r="G361" s="8" t="str">
        <f t="shared" si="3"/>
        <v>1</v>
      </c>
      <c r="H361" s="9">
        <f t="shared" si="4"/>
        <v>1</v>
      </c>
      <c r="I361" s="6" t="str">
        <f>IFERROR(__xludf.DUMMYFUNCTION("MAX(FILTER($H$2:$H451,$E$2:$E451=F361))"),"#N/A")</f>
        <v>#N/A</v>
      </c>
    </row>
    <row r="362">
      <c r="A362" s="4"/>
      <c r="C362" s="4" t="s">
        <v>3190</v>
      </c>
      <c r="D362" s="4" t="str">
        <f t="shared" si="1"/>
        <v>{"valorA":"assistir","valorB":1}</v>
      </c>
      <c r="E362" s="8" t="str">
        <f t="shared" si="2"/>
        <v>assistir</v>
      </c>
      <c r="F362" s="8"/>
      <c r="G362" s="8" t="str">
        <f t="shared" si="3"/>
        <v>1</v>
      </c>
      <c r="H362" s="9">
        <f t="shared" si="4"/>
        <v>1</v>
      </c>
      <c r="I362" s="6" t="str">
        <f>IFERROR(__xludf.DUMMYFUNCTION("MAX(FILTER($H$2:$H451,$E$2:$E451=F362))"),"#N/A")</f>
        <v>#N/A</v>
      </c>
    </row>
    <row r="363">
      <c r="A363" s="4"/>
      <c r="C363" s="4" t="s">
        <v>3191</v>
      </c>
      <c r="D363" s="4" t="str">
        <f t="shared" si="1"/>
        <v>{"valorA":"resumo","valorB":5}</v>
      </c>
      <c r="E363" s="8" t="str">
        <f t="shared" si="2"/>
        <v>resumo</v>
      </c>
      <c r="F363" s="8"/>
      <c r="G363" s="8" t="str">
        <f t="shared" si="3"/>
        <v>5</v>
      </c>
      <c r="H363" s="9">
        <f t="shared" si="4"/>
        <v>5</v>
      </c>
      <c r="I363" s="6" t="str">
        <f>IFERROR(__xludf.DUMMYFUNCTION("MAX(FILTER($H$2:$H451,$E$2:$E451=F363))"),"#N/A")</f>
        <v>#N/A</v>
      </c>
    </row>
    <row r="364">
      <c r="A364" s="4"/>
      <c r="C364" s="4" t="s">
        <v>3192</v>
      </c>
      <c r="D364" s="4" t="str">
        <f t="shared" si="1"/>
        <v>{"valorA":"quem","valorB":4}</v>
      </c>
      <c r="E364" s="8" t="str">
        <f t="shared" si="2"/>
        <v>quem</v>
      </c>
      <c r="F364" s="8"/>
      <c r="G364" s="8" t="str">
        <f t="shared" si="3"/>
        <v>4</v>
      </c>
      <c r="H364" s="9">
        <f t="shared" si="4"/>
        <v>4</v>
      </c>
      <c r="I364" s="6" t="str">
        <f>IFERROR(__xludf.DUMMYFUNCTION("MAX(FILTER($H$2:$H451,$E$2:$E451=F364))"),"#N/A")</f>
        <v>#N/A</v>
      </c>
    </row>
    <row r="365">
      <c r="A365" s="4"/>
      <c r="C365" s="4" t="s">
        <v>3193</v>
      </c>
      <c r="D365" s="4" t="str">
        <f t="shared" si="1"/>
        <v>{"valorA":"para","valorB":14}</v>
      </c>
      <c r="E365" s="8" t="str">
        <f t="shared" si="2"/>
        <v>para</v>
      </c>
      <c r="F365" s="8"/>
      <c r="G365" s="8" t="str">
        <f t="shared" si="3"/>
        <v>14</v>
      </c>
      <c r="H365" s="9">
        <f t="shared" si="4"/>
        <v>14</v>
      </c>
      <c r="I365" s="6" t="str">
        <f>IFERROR(__xludf.DUMMYFUNCTION("MAX(FILTER($H$2:$H451,$E$2:$E451=F365))"),"#N/A")</f>
        <v>#N/A</v>
      </c>
    </row>
    <row r="366">
      <c r="A366" s="4"/>
      <c r="C366" s="4" t="s">
        <v>2925</v>
      </c>
      <c r="D366" s="4" t="str">
        <f t="shared" si="1"/>
        <v>{"valorA":"ótimo","valorB":41}</v>
      </c>
      <c r="E366" s="8" t="str">
        <f t="shared" si="2"/>
        <v>ótimo</v>
      </c>
      <c r="F366" s="8"/>
      <c r="G366" s="8" t="str">
        <f t="shared" si="3"/>
        <v>41</v>
      </c>
      <c r="H366" s="9">
        <f t="shared" si="4"/>
        <v>41</v>
      </c>
      <c r="I366" s="6" t="str">
        <f>IFERROR(__xludf.DUMMYFUNCTION("MAX(FILTER($H$2:$H451,$E$2:$E451=F366))"),"#N/A")</f>
        <v>#N/A</v>
      </c>
    </row>
    <row r="367">
      <c r="A367" s="4"/>
      <c r="C367" s="4" t="s">
        <v>3194</v>
      </c>
      <c r="D367" s="4" t="str">
        <f t="shared" si="1"/>
        <v>{"valorA":"busca","valorB":3}</v>
      </c>
      <c r="E367" s="8" t="str">
        <f t="shared" si="2"/>
        <v>busca</v>
      </c>
      <c r="F367" s="8"/>
      <c r="G367" s="8" t="str">
        <f t="shared" si="3"/>
        <v>3</v>
      </c>
      <c r="H367" s="9">
        <f t="shared" si="4"/>
        <v>3</v>
      </c>
      <c r="I367" s="6" t="str">
        <f>IFERROR(__xludf.DUMMYFUNCTION("MAX(FILTER($H$2:$H451,$E$2:$E451=F367))"),"#N/A")</f>
        <v>#N/A</v>
      </c>
    </row>
    <row r="368">
      <c r="A368" s="4"/>
      <c r="C368" s="4" t="s">
        <v>3195</v>
      </c>
      <c r="D368" s="4" t="str">
        <f t="shared" si="1"/>
        <v>{"valorA":"funciona","valorB":10}</v>
      </c>
      <c r="E368" s="8" t="str">
        <f t="shared" si="2"/>
        <v>funciona</v>
      </c>
      <c r="F368" s="8"/>
      <c r="G368" s="8" t="str">
        <f t="shared" si="3"/>
        <v>10</v>
      </c>
      <c r="H368" s="9">
        <f t="shared" si="4"/>
        <v>10</v>
      </c>
      <c r="I368" s="6" t="str">
        <f>IFERROR(__xludf.DUMMYFUNCTION("MAX(FILTER($H$2:$H451,$E$2:$E451=F368))"),"#N/A")</f>
        <v>#N/A</v>
      </c>
    </row>
    <row r="369">
      <c r="A369" s="4"/>
      <c r="C369" s="4" t="s">
        <v>2933</v>
      </c>
      <c r="D369" s="4" t="str">
        <f t="shared" si="1"/>
        <v>{"valorA":"produto","valorB":27}</v>
      </c>
      <c r="E369" s="8" t="str">
        <f t="shared" si="2"/>
        <v>produto</v>
      </c>
      <c r="F369" s="8"/>
      <c r="G369" s="8" t="str">
        <f t="shared" si="3"/>
        <v>27</v>
      </c>
      <c r="H369" s="9">
        <f t="shared" si="4"/>
        <v>27</v>
      </c>
      <c r="I369" s="6" t="str">
        <f>IFERROR(__xludf.DUMMYFUNCTION("MAX(FILTER($H$2:$H451,$E$2:$E451=F369))"),"#N/A")</f>
        <v>#N/A</v>
      </c>
    </row>
    <row r="370">
      <c r="A370" s="4"/>
      <c r="C370" s="4" t="s">
        <v>3196</v>
      </c>
      <c r="D370" s="4" t="str">
        <f t="shared" si="1"/>
        <v>{"valorA":"um","valorB":6}</v>
      </c>
      <c r="E370" s="8" t="str">
        <f t="shared" si="2"/>
        <v>um</v>
      </c>
      <c r="F370" s="8"/>
      <c r="G370" s="8" t="str">
        <f t="shared" si="3"/>
        <v>6</v>
      </c>
      <c r="H370" s="9">
        <f t="shared" si="4"/>
        <v>6</v>
      </c>
      <c r="I370" s="6" t="str">
        <f>IFERROR(__xludf.DUMMYFUNCTION("MAX(FILTER($H$2:$H451,$E$2:$E451=F370))"),"#N/A")</f>
        <v>#N/A</v>
      </c>
    </row>
    <row r="371">
      <c r="A371" s="4"/>
      <c r="C371" s="4" t="s">
        <v>3197</v>
      </c>
      <c r="D371" s="4" t="str">
        <f t="shared" si="1"/>
        <v>{"valorA":"portátil","valorB":1}</v>
      </c>
      <c r="E371" s="8" t="str">
        <f t="shared" si="2"/>
        <v>portátil</v>
      </c>
      <c r="F371" s="8"/>
      <c r="G371" s="8" t="str">
        <f t="shared" si="3"/>
        <v>1</v>
      </c>
      <c r="H371" s="9">
        <f t="shared" si="4"/>
        <v>1</v>
      </c>
      <c r="I371" s="6" t="str">
        <f>IFERROR(__xludf.DUMMYFUNCTION("MAX(FILTER($H$2:$H451,$E$2:$E451=F371))"),"#N/A")</f>
        <v>#N/A</v>
      </c>
    </row>
    <row r="372">
      <c r="A372" s="4"/>
      <c r="C372" s="4" t="s">
        <v>2180</v>
      </c>
      <c r="D372" s="4" t="str">
        <f t="shared" si="1"/>
        <v>{"valorA":"computador","valorB":1}</v>
      </c>
      <c r="E372" s="8" t="str">
        <f t="shared" si="2"/>
        <v>computador</v>
      </c>
      <c r="F372" s="8"/>
      <c r="G372" s="8" t="str">
        <f t="shared" si="3"/>
        <v>1</v>
      </c>
      <c r="H372" s="9">
        <f t="shared" si="4"/>
        <v>1</v>
      </c>
      <c r="I372" s="6" t="str">
        <f>IFERROR(__xludf.DUMMYFUNCTION("MAX(FILTER($H$2:$H451,$E$2:$E451=F372))"),"#N/A")</f>
        <v>#N/A</v>
      </c>
    </row>
    <row r="373">
      <c r="A373" s="4"/>
      <c r="C373" s="4" t="s">
        <v>2716</v>
      </c>
      <c r="D373" s="4" t="str">
        <f t="shared" si="1"/>
        <v>{"valorA":"perfeitamente","valorB":3}</v>
      </c>
      <c r="E373" s="8" t="str">
        <f t="shared" si="2"/>
        <v>perfeitamente</v>
      </c>
      <c r="F373" s="8"/>
      <c r="G373" s="8" t="str">
        <f t="shared" si="3"/>
        <v>3</v>
      </c>
      <c r="H373" s="9">
        <f t="shared" si="4"/>
        <v>3</v>
      </c>
      <c r="I373" s="6" t="str">
        <f>IFERROR(__xludf.DUMMYFUNCTION("MAX(FILTER($H$2:$H451,$E$2:$E451=F373))"),"#N/A")</f>
        <v>#N/A</v>
      </c>
    </row>
    <row r="374">
      <c r="A374" s="4"/>
      <c r="C374" s="4" t="s">
        <v>2929</v>
      </c>
      <c r="D374" s="4" t="str">
        <f t="shared" si="1"/>
        <v>{"valorA":"ótimo","valorB":42}</v>
      </c>
      <c r="E374" s="8" t="str">
        <f t="shared" si="2"/>
        <v>ótimo</v>
      </c>
      <c r="F374" s="8"/>
      <c r="G374" s="8" t="str">
        <f t="shared" si="3"/>
        <v>42</v>
      </c>
      <c r="H374" s="9">
        <f t="shared" si="4"/>
        <v>42</v>
      </c>
      <c r="I374" s="6" t="str">
        <f>IFERROR(__xludf.DUMMYFUNCTION("MAX(FILTER($H$2:$H451,$E$2:$E451=F374))"),"#N/A")</f>
        <v>#N/A</v>
      </c>
    </row>
    <row r="375">
      <c r="A375" s="4"/>
      <c r="C375" s="4" t="s">
        <v>2649</v>
      </c>
      <c r="D375" s="4" t="str">
        <f t="shared" si="1"/>
        <v>{"valorA":"pena","valorB":1}</v>
      </c>
      <c r="E375" s="8" t="str">
        <f t="shared" si="2"/>
        <v>pena</v>
      </c>
      <c r="F375" s="8"/>
      <c r="G375" s="8" t="str">
        <f t="shared" si="3"/>
        <v>1</v>
      </c>
      <c r="H375" s="9">
        <f t="shared" si="4"/>
        <v>1</v>
      </c>
      <c r="I375" s="6" t="str">
        <f>IFERROR(__xludf.DUMMYFUNCTION("MAX(FILTER($H$2:$H451,$E$2:$E451=F375))"),"#N/A")</f>
        <v>#N/A</v>
      </c>
    </row>
    <row r="376">
      <c r="A376" s="4"/>
      <c r="C376" s="4" t="s">
        <v>3198</v>
      </c>
      <c r="D376" s="4" t="str">
        <f t="shared" si="1"/>
        <v>{"valorA":"muito","valorB":15}</v>
      </c>
      <c r="E376" s="8" t="str">
        <f t="shared" si="2"/>
        <v>muito</v>
      </c>
      <c r="F376" s="8"/>
      <c r="G376" s="8" t="str">
        <f t="shared" si="3"/>
        <v>15</v>
      </c>
      <c r="H376" s="9">
        <f t="shared" si="4"/>
        <v>15</v>
      </c>
      <c r="I376" s="6" t="str">
        <f>IFERROR(__xludf.DUMMYFUNCTION("MAX(FILTER($H$2:$H451,$E$2:$E451=F376))"),"#N/A")</f>
        <v>#N/A</v>
      </c>
    </row>
    <row r="377">
      <c r="A377" s="4"/>
      <c r="C377" s="4" t="s">
        <v>3199</v>
      </c>
      <c r="D377" s="4" t="str">
        <f t="shared" si="1"/>
        <v>{"valorA":"mas","valorB":4}</v>
      </c>
      <c r="E377" s="8" t="str">
        <f t="shared" si="2"/>
        <v>mas</v>
      </c>
      <c r="F377" s="8"/>
      <c r="G377" s="8" t="str">
        <f t="shared" si="3"/>
        <v>4</v>
      </c>
      <c r="H377" s="9">
        <f t="shared" si="4"/>
        <v>4</v>
      </c>
      <c r="I377" s="6" t="str">
        <f>IFERROR(__xludf.DUMMYFUNCTION("MAX(FILTER($H$2:$H451,$E$2:$E451=F377))"),"#N/A")</f>
        <v>#N/A</v>
      </c>
    </row>
    <row r="378">
      <c r="A378" s="4"/>
      <c r="C378" s="4" t="s">
        <v>2769</v>
      </c>
      <c r="D378" s="4" t="str">
        <f t="shared" si="1"/>
        <v>{"valorA":"carro","valorB":1}</v>
      </c>
      <c r="E378" s="8" t="str">
        <f t="shared" si="2"/>
        <v>carro</v>
      </c>
      <c r="F378" s="8"/>
      <c r="G378" s="8" t="str">
        <f t="shared" si="3"/>
        <v>1</v>
      </c>
      <c r="H378" s="9">
        <f t="shared" si="4"/>
        <v>1</v>
      </c>
      <c r="I378" s="6" t="str">
        <f>IFERROR(__xludf.DUMMYFUNCTION("MAX(FILTER($H$2:$H451,$E$2:$E451=F378))"),"#N/A")</f>
        <v>#N/A</v>
      </c>
    </row>
    <row r="379">
      <c r="A379" s="4"/>
      <c r="C379" s="4" t="s">
        <v>3200</v>
      </c>
      <c r="D379" s="4" t="str">
        <f t="shared" si="1"/>
        <v>{"valorA":"dinheiro","valorB":1}</v>
      </c>
      <c r="E379" s="8" t="str">
        <f t="shared" si="2"/>
        <v>dinheiro</v>
      </c>
      <c r="F379" s="8"/>
      <c r="G379" s="8" t="str">
        <f t="shared" si="3"/>
        <v>1</v>
      </c>
      <c r="H379" s="9">
        <f t="shared" si="4"/>
        <v>1</v>
      </c>
      <c r="I379" s="6" t="str">
        <f>IFERROR(__xludf.DUMMYFUNCTION("MAX(FILTER($H$2:$H451,$E$2:$E451=F379))"),"#N/A")</f>
        <v>#N/A</v>
      </c>
    </row>
    <row r="380">
      <c r="A380" s="4"/>
      <c r="C380" s="4" t="s">
        <v>3201</v>
      </c>
      <c r="D380" s="4" t="str">
        <f t="shared" si="1"/>
        <v>{"valorA":"gastei","valorB":1}</v>
      </c>
      <c r="E380" s="8" t="str">
        <f t="shared" si="2"/>
        <v>gastei</v>
      </c>
      <c r="F380" s="8"/>
      <c r="G380" s="8" t="str">
        <f t="shared" si="3"/>
        <v>1</v>
      </c>
      <c r="H380" s="9">
        <f t="shared" si="4"/>
        <v>1</v>
      </c>
      <c r="I380" s="6" t="str">
        <f>IFERROR(__xludf.DUMMYFUNCTION("MAX(FILTER($H$2:$H451,$E$2:$E451=F380))"),"#N/A")</f>
        <v>#N/A</v>
      </c>
    </row>
    <row r="381">
      <c r="A381" s="4"/>
      <c r="C381" s="4" t="s">
        <v>3202</v>
      </c>
      <c r="D381" s="4" t="str">
        <f t="shared" si="1"/>
        <v>{"valorA":"valeu","valorB":5}</v>
      </c>
      <c r="E381" s="8" t="str">
        <f t="shared" si="2"/>
        <v>valeu</v>
      </c>
      <c r="F381" s="8"/>
      <c r="G381" s="8" t="str">
        <f t="shared" si="3"/>
        <v>5</v>
      </c>
      <c r="H381" s="9">
        <f t="shared" si="4"/>
        <v>5</v>
      </c>
      <c r="I381" s="6" t="str">
        <f>IFERROR(__xludf.DUMMYFUNCTION("MAX(FILTER($H$2:$H451,$E$2:$E451=F381))"),"#N/A")</f>
        <v>#N/A</v>
      </c>
    </row>
    <row r="382">
      <c r="A382" s="4"/>
      <c r="C382" s="4" t="s">
        <v>2911</v>
      </c>
      <c r="D382" s="4" t="str">
        <f t="shared" si="1"/>
        <v>{"valorA":"a","valorB":6}</v>
      </c>
      <c r="E382" s="8" t="str">
        <f t="shared" si="2"/>
        <v>a</v>
      </c>
      <c r="F382" s="8"/>
      <c r="G382" s="8" t="str">
        <f t="shared" si="3"/>
        <v>6</v>
      </c>
      <c r="H382" s="9">
        <f t="shared" si="4"/>
        <v>6</v>
      </c>
      <c r="I382" s="6" t="str">
        <f>IFERROR(__xludf.DUMMYFUNCTION("MAX(FILTER($H$2:$H451,$E$2:$E451=F382))"),"#N/A")</f>
        <v>#N/A</v>
      </c>
    </row>
    <row r="383">
      <c r="A383" s="4"/>
      <c r="C383" s="4" t="s">
        <v>3203</v>
      </c>
      <c r="D383" s="4" t="str">
        <f t="shared" si="1"/>
        <v>{"valorA":"bom","valorB":6}</v>
      </c>
      <c r="E383" s="8" t="str">
        <f t="shared" si="2"/>
        <v>bom</v>
      </c>
      <c r="F383" s="8"/>
      <c r="G383" s="8" t="str">
        <f t="shared" si="3"/>
        <v>6</v>
      </c>
      <c r="H383" s="9">
        <f t="shared" si="4"/>
        <v>6</v>
      </c>
      <c r="I383" s="6" t="str">
        <f>IFERROR(__xludf.DUMMYFUNCTION("MAX(FILTER($H$2:$H451,$E$2:$E451=F383))"),"#N/A")</f>
        <v>#N/A</v>
      </c>
    </row>
    <row r="384">
      <c r="A384" s="4"/>
      <c r="C384" s="4" t="s">
        <v>3204</v>
      </c>
      <c r="D384" s="4" t="str">
        <f t="shared" si="1"/>
        <v>{"valorA":"mesa","valorB":1}</v>
      </c>
      <c r="E384" s="8" t="str">
        <f t="shared" si="2"/>
        <v>mesa</v>
      </c>
      <c r="F384" s="8"/>
      <c r="G384" s="8" t="str">
        <f t="shared" si="3"/>
        <v>1</v>
      </c>
      <c r="H384" s="9">
        <f t="shared" si="4"/>
        <v>1</v>
      </c>
      <c r="I384" s="6" t="str">
        <f>IFERROR(__xludf.DUMMYFUNCTION("MAX(FILTER($H$2:$H451,$E$2:$E451=F384))"),"#N/A")</f>
        <v>#N/A</v>
      </c>
    </row>
    <row r="385">
      <c r="A385" s="4"/>
      <c r="C385" s="4" t="s">
        <v>3205</v>
      </c>
      <c r="D385" s="4" t="str">
        <f t="shared" si="1"/>
        <v>{"valorA":"pra","valorB":1}</v>
      </c>
      <c r="E385" s="8" t="str">
        <f t="shared" si="2"/>
        <v>pra</v>
      </c>
      <c r="F385" s="8"/>
      <c r="G385" s="8" t="str">
        <f t="shared" si="3"/>
        <v>1</v>
      </c>
      <c r="H385" s="9">
        <f t="shared" si="4"/>
        <v>1</v>
      </c>
      <c r="I385" s="6" t="str">
        <f>IFERROR(__xludf.DUMMYFUNCTION("MAX(FILTER($H$2:$H451,$E$2:$E451=F385))"),"#N/A")</f>
        <v>#N/A</v>
      </c>
    </row>
    <row r="386">
      <c r="A386" s="4"/>
      <c r="C386" s="4" t="s">
        <v>2938</v>
      </c>
      <c r="D386" s="4" t="str">
        <f t="shared" si="1"/>
        <v>{"valorA":"produto","valorB":28}</v>
      </c>
      <c r="E386" s="8" t="str">
        <f t="shared" si="2"/>
        <v>produto</v>
      </c>
      <c r="F386" s="8"/>
      <c r="G386" s="8" t="str">
        <f t="shared" si="3"/>
        <v>28</v>
      </c>
      <c r="H386" s="9">
        <f t="shared" si="4"/>
        <v>28</v>
      </c>
      <c r="I386" s="6" t="str">
        <f>IFERROR(__xludf.DUMMYFUNCTION("MAX(FILTER($H$2:$H451,$E$2:$E451=F386))"),"#N/A")</f>
        <v>#N/A</v>
      </c>
    </row>
    <row r="387">
      <c r="A387" s="4"/>
      <c r="C387" s="4" t="s">
        <v>2935</v>
      </c>
      <c r="D387" s="4" t="str">
        <f t="shared" si="1"/>
        <v>{"valorA":"ótimo","valorB":43}</v>
      </c>
      <c r="E387" s="8" t="str">
        <f t="shared" si="2"/>
        <v>ótimo</v>
      </c>
      <c r="F387" s="8"/>
      <c r="G387" s="8" t="str">
        <f t="shared" si="3"/>
        <v>43</v>
      </c>
      <c r="H387" s="9">
        <f t="shared" si="4"/>
        <v>43</v>
      </c>
      <c r="I387" s="6" t="str">
        <f>IFERROR(__xludf.DUMMYFUNCTION("MAX(FILTER($H$2:$H451,$E$2:$E451=F387))"),"#N/A")</f>
        <v>#N/A</v>
      </c>
    </row>
    <row r="388">
      <c r="A388" s="4"/>
      <c r="C388" s="4" t="s">
        <v>3206</v>
      </c>
      <c r="D388" s="4" t="str">
        <f t="shared" si="1"/>
        <v>{"valorA":"leitor","valorB":1}</v>
      </c>
      <c r="E388" s="8" t="str">
        <f t="shared" si="2"/>
        <v>leitor</v>
      </c>
      <c r="F388" s="8"/>
      <c r="G388" s="8" t="str">
        <f t="shared" si="3"/>
        <v>1</v>
      </c>
      <c r="H388" s="9">
        <f t="shared" si="4"/>
        <v>1</v>
      </c>
      <c r="I388" s="6" t="str">
        <f>IFERROR(__xludf.DUMMYFUNCTION("MAX(FILTER($H$2:$H451,$E$2:$E451=F388))"),"#N/A")</f>
        <v>#N/A</v>
      </c>
    </row>
    <row r="389">
      <c r="A389" s="4"/>
      <c r="C389" s="4" t="s">
        <v>2651</v>
      </c>
      <c r="D389" s="4" t="str">
        <f t="shared" si="1"/>
        <v>{"valorA":"esse","valorB":2}</v>
      </c>
      <c r="E389" s="8" t="str">
        <f t="shared" si="2"/>
        <v>esse</v>
      </c>
      <c r="F389" s="8"/>
      <c r="G389" s="8" t="str">
        <f t="shared" si="3"/>
        <v>2</v>
      </c>
      <c r="H389" s="9">
        <f t="shared" si="4"/>
        <v>2</v>
      </c>
      <c r="I389" s="6" t="str">
        <f>IFERROR(__xludf.DUMMYFUNCTION("MAX(FILTER($H$2:$H451,$E$2:$E451=F389))"),"#N/A")</f>
        <v>#N/A</v>
      </c>
    </row>
    <row r="390">
      <c r="A390" s="4"/>
      <c r="C390" s="4" t="s">
        <v>3207</v>
      </c>
      <c r="D390" s="4" t="str">
        <f t="shared" si="1"/>
        <v>{"valorA":"de","valorB":16}</v>
      </c>
      <c r="E390" s="8" t="str">
        <f t="shared" si="2"/>
        <v>de</v>
      </c>
      <c r="F390" s="8"/>
      <c r="G390" s="8" t="str">
        <f t="shared" si="3"/>
        <v>16</v>
      </c>
      <c r="H390" s="9">
        <f t="shared" si="4"/>
        <v>16</v>
      </c>
      <c r="I390" s="6" t="str">
        <f>IFERROR(__xludf.DUMMYFUNCTION("MAX(FILTER($H$2:$H451,$E$2:$E451=F390))"),"#N/A")</f>
        <v>#N/A</v>
      </c>
    </row>
    <row r="391">
      <c r="A391" s="4"/>
      <c r="C391" s="4" t="s">
        <v>3208</v>
      </c>
      <c r="D391" s="4" t="str">
        <f t="shared" si="1"/>
        <v>{"valorA":"como","valorB":3}</v>
      </c>
      <c r="E391" s="8" t="str">
        <f t="shared" si="2"/>
        <v>como</v>
      </c>
      <c r="F391" s="8"/>
      <c r="G391" s="8" t="str">
        <f t="shared" si="3"/>
        <v>3</v>
      </c>
      <c r="H391" s="9">
        <f t="shared" si="4"/>
        <v>3</v>
      </c>
      <c r="I391" s="6" t="str">
        <f>IFERROR(__xludf.DUMMYFUNCTION("MAX(FILTER($H$2:$H451,$E$2:$E451=F391))"),"#N/A")</f>
        <v>#N/A</v>
      </c>
    </row>
    <row r="392">
      <c r="A392" s="4"/>
      <c r="C392" s="4" t="s">
        <v>3209</v>
      </c>
      <c r="D392" s="4" t="str">
        <f t="shared" si="1"/>
        <v>{"valorA":"tão","valorB":5}</v>
      </c>
      <c r="E392" s="8" t="str">
        <f t="shared" si="2"/>
        <v>tão</v>
      </c>
      <c r="F392" s="8"/>
      <c r="G392" s="8" t="str">
        <f t="shared" si="3"/>
        <v>5</v>
      </c>
      <c r="H392" s="9">
        <f t="shared" si="4"/>
        <v>5</v>
      </c>
      <c r="I392" s="6" t="str">
        <f>IFERROR(__xludf.DUMMYFUNCTION("MAX(FILTER($H$2:$H451,$E$2:$E451=F392))"),"#N/A")</f>
        <v>#N/A</v>
      </c>
    </row>
    <row r="393">
      <c r="A393" s="4"/>
      <c r="C393" s="4" t="s">
        <v>3210</v>
      </c>
      <c r="D393" s="4" t="str">
        <f t="shared" si="1"/>
        <v>{"valorA":"preço","valorB":13}</v>
      </c>
      <c r="E393" s="8" t="str">
        <f t="shared" si="2"/>
        <v>preço</v>
      </c>
      <c r="F393" s="8"/>
      <c r="G393" s="8" t="str">
        <f t="shared" si="3"/>
        <v>13</v>
      </c>
      <c r="H393" s="9">
        <f t="shared" si="4"/>
        <v>13</v>
      </c>
      <c r="I393" s="6" t="str">
        <f>IFERROR(__xludf.DUMMYFUNCTION("MAX(FILTER($H$2:$H451,$E$2:$E451=F393))"),"#N/A")</f>
        <v>#N/A</v>
      </c>
    </row>
    <row r="394">
      <c r="A394" s="4"/>
      <c r="C394" s="4" t="s">
        <v>3211</v>
      </c>
      <c r="D394" s="4" t="str">
        <f t="shared" si="1"/>
        <v>{"valorA":"funciona","valorB":11}</v>
      </c>
      <c r="E394" s="8" t="str">
        <f t="shared" si="2"/>
        <v>funciona</v>
      </c>
      <c r="F394" s="8"/>
      <c r="G394" s="8" t="str">
        <f t="shared" si="3"/>
        <v>11</v>
      </c>
      <c r="H394" s="9">
        <f t="shared" si="4"/>
        <v>11</v>
      </c>
      <c r="I394" s="6" t="str">
        <f>IFERROR(__xludf.DUMMYFUNCTION("MAX(FILTER($H$2:$H451,$E$2:$E451=F394))"),"#N/A")</f>
        <v>#N/A</v>
      </c>
    </row>
    <row r="395">
      <c r="A395" s="4"/>
      <c r="C395" s="4" t="s">
        <v>3212</v>
      </c>
      <c r="D395" s="4" t="str">
        <f t="shared" si="1"/>
        <v>{"valorA":"um","valorB":7}</v>
      </c>
      <c r="E395" s="8" t="str">
        <f t="shared" si="2"/>
        <v>um</v>
      </c>
      <c r="F395" s="8"/>
      <c r="G395" s="8" t="str">
        <f t="shared" si="3"/>
        <v>7</v>
      </c>
      <c r="H395" s="9">
        <f t="shared" si="4"/>
        <v>7</v>
      </c>
      <c r="I395" s="6" t="str">
        <f>IFERROR(__xludf.DUMMYFUNCTION("MAX(FILTER($H$2:$H451,$E$2:$E451=F395))"),"#N/A")</f>
        <v>#N/A</v>
      </c>
    </row>
    <row r="396">
      <c r="A396" s="4"/>
      <c r="C396" s="4" t="s">
        <v>2757</v>
      </c>
      <c r="D396" s="4" t="str">
        <f t="shared" si="1"/>
        <v>{"valorA":"perfeitamente","valorB":4}</v>
      </c>
      <c r="E396" s="8" t="str">
        <f t="shared" si="2"/>
        <v>perfeitamente</v>
      </c>
      <c r="F396" s="8"/>
      <c r="G396" s="8" t="str">
        <f t="shared" si="3"/>
        <v>4</v>
      </c>
      <c r="H396" s="9">
        <f t="shared" si="4"/>
        <v>4</v>
      </c>
      <c r="I396" s="6" t="str">
        <f>IFERROR(__xludf.DUMMYFUNCTION("MAX(FILTER($H$2:$H451,$E$2:$E451=F396))"),"#N/A")</f>
        <v>#N/A</v>
      </c>
    </row>
    <row r="397">
      <c r="A397" s="4"/>
      <c r="C397" s="4" t="s">
        <v>3213</v>
      </c>
      <c r="D397" s="4" t="str">
        <f t="shared" si="1"/>
        <v>{"valorA":"televisor","valorB":7}</v>
      </c>
      <c r="E397" s="8" t="str">
        <f t="shared" si="2"/>
        <v>televisor</v>
      </c>
      <c r="F397" s="8"/>
      <c r="G397" s="8" t="str">
        <f t="shared" si="3"/>
        <v>7</v>
      </c>
      <c r="H397" s="9">
        <f t="shared" si="4"/>
        <v>7</v>
      </c>
      <c r="I397" s="6" t="str">
        <f>IFERROR(__xludf.DUMMYFUNCTION("MAX(FILTER($H$2:$H451,$E$2:$E451=F397))"),"#N/A")</f>
        <v>#N/A</v>
      </c>
    </row>
    <row r="398">
      <c r="A398" s="4"/>
      <c r="C398" s="4" t="s">
        <v>2945</v>
      </c>
      <c r="D398" s="4" t="str">
        <f t="shared" si="1"/>
        <v>{"valorA":"ótimo","valorB":44}</v>
      </c>
      <c r="E398" s="8" t="str">
        <f t="shared" si="2"/>
        <v>ótimo</v>
      </c>
      <c r="F398" s="8"/>
      <c r="G398" s="8" t="str">
        <f t="shared" si="3"/>
        <v>44</v>
      </c>
      <c r="H398" s="9">
        <f t="shared" si="4"/>
        <v>44</v>
      </c>
      <c r="I398" s="6" t="str">
        <f>IFERROR(__xludf.DUMMYFUNCTION("MAX(FILTER($H$2:$H451,$E$2:$E451=F398))"),"#N/A")</f>
        <v>#N/A</v>
      </c>
    </row>
    <row r="399">
      <c r="A399" s="4"/>
      <c r="C399" s="4" t="s">
        <v>3214</v>
      </c>
      <c r="D399" s="4" t="str">
        <f t="shared" si="1"/>
        <v>{"valorA":"valorizado","valorB":2}</v>
      </c>
      <c r="E399" s="8" t="str">
        <f t="shared" si="2"/>
        <v>valorizado</v>
      </c>
      <c r="F399" s="8"/>
      <c r="G399" s="8" t="str">
        <f t="shared" si="3"/>
        <v>2</v>
      </c>
      <c r="H399" s="9">
        <f t="shared" si="4"/>
        <v>2</v>
      </c>
      <c r="I399" s="6" t="str">
        <f>IFERROR(__xludf.DUMMYFUNCTION("MAX(FILTER($H$2:$H451,$E$2:$E451=F399))"),"#N/A")</f>
        <v>#N/A</v>
      </c>
    </row>
    <row r="400">
      <c r="A400" s="4"/>
      <c r="C400" s="4" t="s">
        <v>3215</v>
      </c>
      <c r="D400" s="4" t="str">
        <f t="shared" si="1"/>
        <v>{"valorA":"muito","valorB":16}</v>
      </c>
      <c r="E400" s="8" t="str">
        <f t="shared" si="2"/>
        <v>muito</v>
      </c>
      <c r="F400" s="8"/>
      <c r="G400" s="8" t="str">
        <f t="shared" si="3"/>
        <v>16</v>
      </c>
      <c r="H400" s="9">
        <f t="shared" si="4"/>
        <v>16</v>
      </c>
      <c r="I400" s="6" t="str">
        <f>IFERROR(__xludf.DUMMYFUNCTION("MAX(FILTER($H$2:$H451,$E$2:$E451=F400))"),"#N/A")</f>
        <v>#N/A</v>
      </c>
    </row>
    <row r="401">
      <c r="A401" s="4"/>
      <c r="C401" s="4" t="s">
        <v>3216</v>
      </c>
      <c r="D401" s="4" t="str">
        <f t="shared" si="1"/>
        <v>{"valorA":"bem","valorB":10}</v>
      </c>
      <c r="E401" s="8" t="str">
        <f t="shared" si="2"/>
        <v>bem</v>
      </c>
      <c r="F401" s="8"/>
      <c r="G401" s="8" t="str">
        <f t="shared" si="3"/>
        <v>10</v>
      </c>
      <c r="H401" s="9">
        <f t="shared" si="4"/>
        <v>10</v>
      </c>
      <c r="I401" s="6" t="str">
        <f>IFERROR(__xludf.DUMMYFUNCTION("MAX(FILTER($H$2:$H451,$E$2:$E451=F401))"),"#N/A")</f>
        <v>#N/A</v>
      </c>
    </row>
    <row r="402">
      <c r="A402" s="4"/>
      <c r="C402" s="4" t="s">
        <v>2883</v>
      </c>
      <c r="D402" s="4" t="str">
        <f t="shared" si="1"/>
        <v>{"valorA":"o","valorB":5}</v>
      </c>
      <c r="E402" s="8" t="str">
        <f t="shared" si="2"/>
        <v>o</v>
      </c>
      <c r="F402" s="8"/>
      <c r="G402" s="8" t="str">
        <f t="shared" si="3"/>
        <v>5</v>
      </c>
      <c r="H402" s="9">
        <f t="shared" si="4"/>
        <v>5</v>
      </c>
      <c r="I402" s="6" t="str">
        <f>IFERROR(__xludf.DUMMYFUNCTION("MAX(FILTER($H$2:$H451,$E$2:$E451=F402))"),"#N/A")</f>
        <v>#N/A</v>
      </c>
    </row>
    <row r="403">
      <c r="A403" s="4"/>
      <c r="C403" s="4" t="s">
        <v>3217</v>
      </c>
      <c r="D403" s="4" t="str">
        <f t="shared" si="1"/>
        <v>{"valorA":"preço","valorB":14}</v>
      </c>
      <c r="E403" s="8" t="str">
        <f t="shared" si="2"/>
        <v>preço</v>
      </c>
      <c r="F403" s="8"/>
      <c r="G403" s="8" t="str">
        <f t="shared" si="3"/>
        <v>14</v>
      </c>
      <c r="H403" s="9">
        <f t="shared" si="4"/>
        <v>14</v>
      </c>
      <c r="I403" s="6" t="str">
        <f>IFERROR(__xludf.DUMMYFUNCTION("MAX(FILTER($H$2:$H451,$E$2:$E451=F403))"),"#N/A")</f>
        <v>#N/A</v>
      </c>
    </row>
    <row r="404">
      <c r="A404" s="4"/>
      <c r="C404" s="4" t="s">
        <v>2944</v>
      </c>
      <c r="D404" s="4" t="str">
        <f t="shared" si="1"/>
        <v>{"valorA":"produto","valorB":29}</v>
      </c>
      <c r="E404" s="8" t="str">
        <f t="shared" si="2"/>
        <v>produto</v>
      </c>
      <c r="F404" s="8"/>
      <c r="G404" s="8" t="str">
        <f t="shared" si="3"/>
        <v>29</v>
      </c>
      <c r="H404" s="9">
        <f t="shared" si="4"/>
        <v>29</v>
      </c>
      <c r="I404" s="6" t="str">
        <f>IFERROR(__xludf.DUMMYFUNCTION("MAX(FILTER($H$2:$H451,$E$2:$E451=F404))"),"#N/A")</f>
        <v>#N/A</v>
      </c>
    </row>
    <row r="405">
      <c r="A405" s="4"/>
      <c r="C405" s="4" t="s">
        <v>2961</v>
      </c>
      <c r="D405" s="4" t="str">
        <f t="shared" si="1"/>
        <v>{"valorA":"ótimo","valorB":45}</v>
      </c>
      <c r="E405" s="8" t="str">
        <f t="shared" si="2"/>
        <v>ótimo</v>
      </c>
      <c r="F405" s="8"/>
      <c r="G405" s="8" t="str">
        <f t="shared" si="3"/>
        <v>45</v>
      </c>
      <c r="H405" s="9">
        <f t="shared" si="4"/>
        <v>45</v>
      </c>
      <c r="I405" s="6" t="str">
        <f>IFERROR(__xludf.DUMMYFUNCTION("MAX(FILTER($H$2:$H451,$E$2:$E451=F405))"),"#N/A")</f>
        <v>#N/A</v>
      </c>
    </row>
    <row r="406">
      <c r="A406" s="4"/>
      <c r="C406" s="4" t="s">
        <v>3218</v>
      </c>
      <c r="D406" s="4" t="str">
        <f t="shared" si="1"/>
        <v>{"valorA":"todos","valorB":2}</v>
      </c>
      <c r="E406" s="8" t="str">
        <f t="shared" si="2"/>
        <v>todos</v>
      </c>
      <c r="F406" s="8"/>
      <c r="G406" s="8" t="str">
        <f t="shared" si="3"/>
        <v>2</v>
      </c>
      <c r="H406" s="9">
        <f t="shared" si="4"/>
        <v>2</v>
      </c>
      <c r="I406" s="6" t="str">
        <f>IFERROR(__xludf.DUMMYFUNCTION("MAX(FILTER($H$2:$H451,$E$2:$E451=F406))"),"#N/A")</f>
        <v>#N/A</v>
      </c>
    </row>
    <row r="407">
      <c r="A407" s="4"/>
      <c r="C407" s="4" t="s">
        <v>3219</v>
      </c>
      <c r="D407" s="4" t="str">
        <f t="shared" si="1"/>
        <v>{"valorA":"amigos","valorB":1}</v>
      </c>
      <c r="E407" s="8" t="str">
        <f t="shared" si="2"/>
        <v>amigos</v>
      </c>
      <c r="F407" s="8"/>
      <c r="G407" s="8" t="str">
        <f t="shared" si="3"/>
        <v>1</v>
      </c>
      <c r="H407" s="9">
        <f t="shared" si="4"/>
        <v>1</v>
      </c>
      <c r="I407" s="6" t="str">
        <f>IFERROR(__xludf.DUMMYFUNCTION("MAX(FILTER($H$2:$H451,$E$2:$E451=F407))"),"#N/A")</f>
        <v>#N/A</v>
      </c>
    </row>
    <row r="408">
      <c r="A408" s="4"/>
      <c r="C408" s="4" t="s">
        <v>2922</v>
      </c>
      <c r="D408" s="4" t="str">
        <f t="shared" si="1"/>
        <v>{"valorA":"a","valorB":7}</v>
      </c>
      <c r="E408" s="8" t="str">
        <f t="shared" si="2"/>
        <v>a</v>
      </c>
      <c r="F408" s="8"/>
      <c r="G408" s="8" t="str">
        <f t="shared" si="3"/>
        <v>7</v>
      </c>
      <c r="H408" s="9">
        <f t="shared" si="4"/>
        <v>7</v>
      </c>
      <c r="I408" s="6" t="str">
        <f>IFERROR(__xludf.DUMMYFUNCTION("MAX(FILTER($H$2:$H451,$E$2:$E451=F408))"),"#N/A")</f>
        <v>#N/A</v>
      </c>
    </row>
    <row r="409">
      <c r="A409" s="4"/>
      <c r="C409" s="4" t="s">
        <v>3220</v>
      </c>
      <c r="D409" s="4" t="str">
        <f t="shared" si="1"/>
        <v>{"valorA":"os","valorB":1}</v>
      </c>
      <c r="E409" s="8" t="str">
        <f t="shared" si="2"/>
        <v>os</v>
      </c>
      <c r="F409" s="8"/>
      <c r="G409" s="8" t="str">
        <f t="shared" si="3"/>
        <v>1</v>
      </c>
      <c r="H409" s="9">
        <f t="shared" si="4"/>
        <v>1</v>
      </c>
      <c r="I409" s="6" t="str">
        <f>IFERROR(__xludf.DUMMYFUNCTION("MAX(FILTER($H$2:$H451,$E$2:$E451=F409))"),"#N/A")</f>
        <v>#N/A</v>
      </c>
    </row>
    <row r="410">
      <c r="A410" s="4"/>
      <c r="C410" s="4" t="s">
        <v>3221</v>
      </c>
      <c r="D410" s="4" t="str">
        <f t="shared" si="1"/>
        <v>{"valorA":"meus","valorB":2}</v>
      </c>
      <c r="E410" s="8" t="str">
        <f t="shared" si="2"/>
        <v>meus</v>
      </c>
      <c r="F410" s="8"/>
      <c r="G410" s="8" t="str">
        <f t="shared" si="3"/>
        <v>2</v>
      </c>
      <c r="H410" s="9">
        <f t="shared" si="4"/>
        <v>2</v>
      </c>
      <c r="I410" s="6" t="str">
        <f>IFERROR(__xludf.DUMMYFUNCTION("MAX(FILTER($H$2:$H451,$E$2:$E451=F410))"),"#N/A")</f>
        <v>#N/A</v>
      </c>
    </row>
    <row r="411">
      <c r="A411" s="4"/>
      <c r="C411" s="4" t="s">
        <v>3222</v>
      </c>
      <c r="D411" s="4" t="str">
        <f t="shared" si="1"/>
        <v>{"valorA":"recomendo","valorB":10}</v>
      </c>
      <c r="E411" s="8" t="str">
        <f t="shared" si="2"/>
        <v>recomendo</v>
      </c>
      <c r="F411" s="8"/>
      <c r="G411" s="8" t="str">
        <f t="shared" si="3"/>
        <v>10</v>
      </c>
      <c r="H411" s="9">
        <f t="shared" si="4"/>
        <v>10</v>
      </c>
      <c r="I411" s="6" t="str">
        <f>IFERROR(__xludf.DUMMYFUNCTION("MAX(FILTER($H$2:$H451,$E$2:$E451=F411))"),"#N/A")</f>
        <v>#N/A</v>
      </c>
    </row>
    <row r="412">
      <c r="A412" s="4"/>
      <c r="C412" s="4" t="s">
        <v>2971</v>
      </c>
      <c r="D412" s="4" t="str">
        <f t="shared" si="1"/>
        <v>{"valorA":"ótimo","valorB":46}</v>
      </c>
      <c r="E412" s="8" t="str">
        <f t="shared" si="2"/>
        <v>ótimo</v>
      </c>
      <c r="F412" s="8"/>
      <c r="G412" s="8" t="str">
        <f t="shared" si="3"/>
        <v>46</v>
      </c>
      <c r="H412" s="9">
        <f t="shared" si="4"/>
        <v>46</v>
      </c>
      <c r="I412" s="6" t="str">
        <f>IFERROR(__xludf.DUMMYFUNCTION("MAX(FILTER($H$2:$H451,$E$2:$E451=F412))"),"#N/A")</f>
        <v>#N/A</v>
      </c>
    </row>
    <row r="413">
      <c r="A413" s="4"/>
      <c r="C413" s="4" t="s">
        <v>2959</v>
      </c>
      <c r="D413" s="4" t="str">
        <f t="shared" si="1"/>
        <v>{"valorA":"produto","valorB":30}</v>
      </c>
      <c r="E413" s="8" t="str">
        <f t="shared" si="2"/>
        <v>produto</v>
      </c>
      <c r="F413" s="8"/>
      <c r="G413" s="8" t="str">
        <f t="shared" si="3"/>
        <v>30</v>
      </c>
      <c r="H413" s="9">
        <f t="shared" si="4"/>
        <v>30</v>
      </c>
      <c r="I413" s="6" t="str">
        <f>IFERROR(__xludf.DUMMYFUNCTION("MAX(FILTER($H$2:$H451,$E$2:$E451=F413))"),"#N/A")</f>
        <v>#N/A</v>
      </c>
    </row>
    <row r="414">
      <c r="A414" s="4"/>
      <c r="C414" s="4" t="s">
        <v>2955</v>
      </c>
      <c r="D414" s="4" t="str">
        <f t="shared" si="1"/>
        <v>{"valorA":"a","valorB":8}</v>
      </c>
      <c r="E414" s="8" t="str">
        <f t="shared" si="2"/>
        <v>a</v>
      </c>
      <c r="F414" s="8"/>
      <c r="G414" s="8" t="str">
        <f t="shared" si="3"/>
        <v>8</v>
      </c>
      <c r="H414" s="9">
        <f t="shared" si="4"/>
        <v>8</v>
      </c>
      <c r="I414" s="6" t="str">
        <f>IFERROR(__xludf.DUMMYFUNCTION("MAX(FILTER($H$2:$H451,$E$2:$E451=F414))"),"#N/A")</f>
        <v>#N/A</v>
      </c>
    </row>
    <row r="415">
      <c r="A415" s="4"/>
      <c r="C415" s="4" t="s">
        <v>2641</v>
      </c>
      <c r="D415" s="4" t="str">
        <f t="shared" si="1"/>
        <v>{"valorA":"vale","valorB":1}</v>
      </c>
      <c r="E415" s="8" t="str">
        <f t="shared" si="2"/>
        <v>vale</v>
      </c>
      <c r="F415" s="8"/>
      <c r="G415" s="8" t="str">
        <f t="shared" si="3"/>
        <v>1</v>
      </c>
      <c r="H415" s="9">
        <f t="shared" si="4"/>
        <v>1</v>
      </c>
      <c r="I415" s="6" t="str">
        <f>IFERROR(__xludf.DUMMYFUNCTION("MAX(FILTER($H$2:$H451,$E$2:$E451=F415))"),"#N/A")</f>
        <v>#N/A</v>
      </c>
    </row>
    <row r="416">
      <c r="A416" s="4"/>
      <c r="C416" s="4" t="s">
        <v>2891</v>
      </c>
      <c r="D416" s="4" t="str">
        <f t="shared" si="1"/>
        <v>{"valorA":"pena","valorB":2}</v>
      </c>
      <c r="E416" s="8" t="str">
        <f t="shared" si="2"/>
        <v>pena</v>
      </c>
      <c r="F416" s="8"/>
      <c r="G416" s="8" t="str">
        <f t="shared" si="3"/>
        <v>2</v>
      </c>
      <c r="H416" s="9">
        <f t="shared" si="4"/>
        <v>2</v>
      </c>
      <c r="I416" s="6" t="str">
        <f>IFERROR(__xludf.DUMMYFUNCTION("MAX(FILTER($H$2:$H451,$E$2:$E451=F416))"),"#N/A")</f>
        <v>#N/A</v>
      </c>
    </row>
    <row r="417">
      <c r="A417" s="4"/>
      <c r="C417" s="4" t="s">
        <v>2910</v>
      </c>
      <c r="D417" s="4" t="str">
        <f t="shared" si="1"/>
        <v>{"valorA":"comprar","valorB":1}</v>
      </c>
      <c r="E417" s="8" t="str">
        <f t="shared" si="2"/>
        <v>comprar</v>
      </c>
      <c r="F417" s="8"/>
      <c r="G417" s="8" t="str">
        <f t="shared" si="3"/>
        <v>1</v>
      </c>
      <c r="H417" s="9">
        <f t="shared" si="4"/>
        <v>1</v>
      </c>
      <c r="I417" s="6" t="str">
        <f>IFERROR(__xludf.DUMMYFUNCTION("MAX(FILTER($H$2:$H451,$E$2:$E451=F417))"),"#N/A")</f>
        <v>#N/A</v>
      </c>
    </row>
    <row r="418">
      <c r="A418" s="4"/>
      <c r="C418" s="4" t="s">
        <v>3223</v>
      </c>
      <c r="D418" s="4" t="str">
        <f t="shared" si="1"/>
        <v>{"valorA":"mas","valorB":5}</v>
      </c>
      <c r="E418" s="8" t="str">
        <f t="shared" si="2"/>
        <v>mas</v>
      </c>
      <c r="F418" s="8"/>
      <c r="G418" s="8" t="str">
        <f t="shared" si="3"/>
        <v>5</v>
      </c>
      <c r="H418" s="9">
        <f t="shared" si="4"/>
        <v>5</v>
      </c>
      <c r="I418" s="6" t="str">
        <f>IFERROR(__xludf.DUMMYFUNCTION("MAX(FILTER($H$2:$H451,$E$2:$E451=F418))"),"#N/A")</f>
        <v>#N/A</v>
      </c>
    </row>
    <row r="419">
      <c r="A419" s="4"/>
      <c r="C419" s="4" t="s">
        <v>3224</v>
      </c>
      <c r="D419" s="4" t="str">
        <f t="shared" si="1"/>
        <v>{"valorA":"muito","valorB":17}</v>
      </c>
      <c r="E419" s="8" t="str">
        <f t="shared" si="2"/>
        <v>muito</v>
      </c>
      <c r="F419" s="8"/>
      <c r="G419" s="8" t="str">
        <f t="shared" si="3"/>
        <v>17</v>
      </c>
      <c r="H419" s="9">
        <f t="shared" si="4"/>
        <v>17</v>
      </c>
      <c r="I419" s="6" t="str">
        <f>IFERROR(__xludf.DUMMYFUNCTION("MAX(FILTER($H$2:$H451,$E$2:$E451=F419))"),"#N/A")</f>
        <v>#N/A</v>
      </c>
    </row>
    <row r="420">
      <c r="A420" s="4"/>
      <c r="C420" s="4" t="s">
        <v>2977</v>
      </c>
      <c r="D420" s="4" t="str">
        <f t="shared" si="1"/>
        <v>{"valorA":"ótimo","valorB":47}</v>
      </c>
      <c r="E420" s="8" t="str">
        <f t="shared" si="2"/>
        <v>ótimo</v>
      </c>
      <c r="F420" s="8"/>
      <c r="G420" s="8" t="str">
        <f t="shared" si="3"/>
        <v>47</v>
      </c>
      <c r="H420" s="9">
        <f t="shared" si="4"/>
        <v>47</v>
      </c>
      <c r="I420" s="6" t="str">
        <f>IFERROR(__xludf.DUMMYFUNCTION("MAX(FILTER($H$2:$H451,$E$2:$E451=F420))"),"#N/A")</f>
        <v>#N/A</v>
      </c>
    </row>
    <row r="421">
      <c r="A421" s="4"/>
      <c r="C421" s="4" t="s">
        <v>2974</v>
      </c>
      <c r="D421" s="4" t="str">
        <f t="shared" si="1"/>
        <v>{"valorA":"produto","valorB":31}</v>
      </c>
      <c r="E421" s="8" t="str">
        <f t="shared" si="2"/>
        <v>produto</v>
      </c>
      <c r="F421" s="8"/>
      <c r="G421" s="8" t="str">
        <f t="shared" si="3"/>
        <v>31</v>
      </c>
      <c r="H421" s="9">
        <f t="shared" si="4"/>
        <v>31</v>
      </c>
      <c r="I421" s="6" t="str">
        <f>IFERROR(__xludf.DUMMYFUNCTION("MAX(FILTER($H$2:$H451,$E$2:$E451=F421))"),"#N/A")</f>
        <v>#N/A</v>
      </c>
    </row>
    <row r="422">
      <c r="A422" s="4"/>
      <c r="C422" s="4" t="s">
        <v>3225</v>
      </c>
      <c r="D422" s="4" t="str">
        <f t="shared" si="1"/>
        <v>{"valorA":"caro","valorB":2}</v>
      </c>
      <c r="E422" s="8" t="str">
        <f t="shared" si="2"/>
        <v>caro</v>
      </c>
      <c r="F422" s="8"/>
      <c r="G422" s="8" t="str">
        <f t="shared" si="3"/>
        <v>2</v>
      </c>
      <c r="H422" s="9">
        <f t="shared" si="4"/>
        <v>2</v>
      </c>
      <c r="I422" s="6" t="str">
        <f>IFERROR(__xludf.DUMMYFUNCTION("MAX(FILTER($H$2:$H451,$E$2:$E451=F422))"),"#N/A")</f>
        <v>#N/A</v>
      </c>
    </row>
    <row r="423">
      <c r="A423" s="4"/>
      <c r="C423" s="4" t="s">
        <v>3226</v>
      </c>
      <c r="D423" s="4" t="str">
        <f t="shared" si="1"/>
        <v>{"valorA":"a","valorB":9}</v>
      </c>
      <c r="E423" s="8" t="str">
        <f t="shared" si="2"/>
        <v>a</v>
      </c>
      <c r="F423" s="8"/>
      <c r="G423" s="8" t="str">
        <f t="shared" si="3"/>
        <v>9</v>
      </c>
      <c r="H423" s="9">
        <f t="shared" si="4"/>
        <v>9</v>
      </c>
      <c r="I423" s="6" t="str">
        <f>IFERROR(__xludf.DUMMYFUNCTION("MAX(FILTER($H$2:$H451,$E$2:$E451=F423))"),"#N/A")</f>
        <v>#N/A</v>
      </c>
    </row>
    <row r="424">
      <c r="A424" s="4"/>
      <c r="C424" s="4" t="s">
        <v>2732</v>
      </c>
      <c r="D424" s="4" t="str">
        <f t="shared" si="1"/>
        <v>{"valorA":"mim","valorB":1}</v>
      </c>
      <c r="E424" s="8" t="str">
        <f t="shared" si="2"/>
        <v>mim</v>
      </c>
      <c r="F424" s="8"/>
      <c r="G424" s="8" t="str">
        <f t="shared" si="3"/>
        <v>1</v>
      </c>
      <c r="H424" s="9">
        <f t="shared" si="4"/>
        <v>1</v>
      </c>
      <c r="I424" s="6" t="str">
        <f>IFERROR(__xludf.DUMMYFUNCTION("MAX(FILTER($H$2:$H451,$E$2:$E451=F424))"),"#N/A")</f>
        <v>#N/A</v>
      </c>
    </row>
    <row r="425">
      <c r="A425" s="4"/>
      <c r="C425" s="4" t="s">
        <v>3227</v>
      </c>
      <c r="D425" s="4" t="str">
        <f t="shared" si="1"/>
        <v>{"valorA":"partida","valorB":1}</v>
      </c>
      <c r="E425" s="8" t="str">
        <f t="shared" si="2"/>
        <v>partida</v>
      </c>
      <c r="F425" s="8"/>
      <c r="G425" s="8" t="str">
        <f t="shared" si="3"/>
        <v>1</v>
      </c>
      <c r="H425" s="9">
        <f t="shared" si="4"/>
        <v>1</v>
      </c>
      <c r="I425" s="6" t="str">
        <f>IFERROR(__xludf.DUMMYFUNCTION("MAX(FILTER($H$2:$H451,$E$2:$E451=F425))"),"#N/A")</f>
        <v>#N/A</v>
      </c>
    </row>
    <row r="426">
      <c r="A426" s="4"/>
      <c r="C426" s="4" t="s">
        <v>3228</v>
      </c>
      <c r="D426" s="4" t="str">
        <f t="shared" si="1"/>
        <v>{"valorA":"pra","valorB":2}</v>
      </c>
      <c r="E426" s="8" t="str">
        <f t="shared" si="2"/>
        <v>pra</v>
      </c>
      <c r="F426" s="8"/>
      <c r="G426" s="8" t="str">
        <f t="shared" si="3"/>
        <v>2</v>
      </c>
      <c r="H426" s="9">
        <f t="shared" si="4"/>
        <v>2</v>
      </c>
      <c r="I426" s="6" t="str">
        <f>IFERROR(__xludf.DUMMYFUNCTION("MAX(FILTER($H$2:$H451,$E$2:$E451=F426))"),"#N/A")</f>
        <v>#N/A</v>
      </c>
    </row>
    <row r="427">
      <c r="A427" s="4"/>
      <c r="C427" s="4" t="s">
        <v>3229</v>
      </c>
      <c r="D427" s="4" t="str">
        <f t="shared" si="1"/>
        <v>{"valorA":"valeu","valorB":6}</v>
      </c>
      <c r="E427" s="8" t="str">
        <f t="shared" si="2"/>
        <v>valeu</v>
      </c>
      <c r="F427" s="8"/>
      <c r="G427" s="8" t="str">
        <f t="shared" si="3"/>
        <v>6</v>
      </c>
      <c r="H427" s="9">
        <f t="shared" si="4"/>
        <v>6</v>
      </c>
      <c r="I427" s="6" t="str">
        <f>IFERROR(__xludf.DUMMYFUNCTION("MAX(FILTER($H$2:$H451,$E$2:$E451=F427))"),"#N/A")</f>
        <v>#N/A</v>
      </c>
    </row>
    <row r="428">
      <c r="A428" s="4"/>
      <c r="C428" s="4" t="s">
        <v>3230</v>
      </c>
      <c r="D428" s="4" t="str">
        <f t="shared" si="1"/>
        <v>{"valorA":"quinta","valorB":1}</v>
      </c>
      <c r="E428" s="8" t="str">
        <f t="shared" si="2"/>
        <v>quinta</v>
      </c>
      <c r="F428" s="8"/>
      <c r="G428" s="8" t="str">
        <f t="shared" si="3"/>
        <v>1</v>
      </c>
      <c r="H428" s="9">
        <f t="shared" si="4"/>
        <v>1</v>
      </c>
      <c r="I428" s="6" t="str">
        <f>IFERROR(__xludf.DUMMYFUNCTION("MAX(FILTER($H$2:$H451,$E$2:$E451=F428))"),"#N/A")</f>
        <v>#N/A</v>
      </c>
    </row>
    <row r="429">
      <c r="A429" s="4"/>
      <c r="C429" s="4" t="s">
        <v>3231</v>
      </c>
      <c r="D429" s="4" t="str">
        <f t="shared" si="1"/>
        <v>{"valorA":"não","valorB":4}</v>
      </c>
      <c r="E429" s="8" t="str">
        <f t="shared" si="2"/>
        <v>não</v>
      </c>
      <c r="F429" s="8"/>
      <c r="G429" s="8" t="str">
        <f t="shared" si="3"/>
        <v>4</v>
      </c>
      <c r="H429" s="9">
        <f t="shared" si="4"/>
        <v>4</v>
      </c>
      <c r="I429" s="6" t="str">
        <f>IFERROR(__xludf.DUMMYFUNCTION("MAX(FILTER($H$2:$H451,$E$2:$E451=F429))"),"#N/A")</f>
        <v>#N/A</v>
      </c>
    </row>
    <row r="430">
      <c r="A430" s="4"/>
      <c r="C430" s="4" t="s">
        <v>3232</v>
      </c>
      <c r="D430" s="4" t="str">
        <f t="shared" si="1"/>
        <v>{"valorA":"portátil","valorB":2}</v>
      </c>
      <c r="E430" s="8" t="str">
        <f t="shared" si="2"/>
        <v>portátil</v>
      </c>
      <c r="F430" s="8"/>
      <c r="G430" s="8" t="str">
        <f t="shared" si="3"/>
        <v>2</v>
      </c>
      <c r="H430" s="9">
        <f t="shared" si="4"/>
        <v>2</v>
      </c>
      <c r="I430" s="6" t="str">
        <f>IFERROR(__xludf.DUMMYFUNCTION("MAX(FILTER($H$2:$H451,$E$2:$E451=F430))"),"#N/A")</f>
        <v>#N/A</v>
      </c>
    </row>
    <row r="431">
      <c r="A431" s="4"/>
      <c r="C431" s="4" t="s">
        <v>3233</v>
      </c>
      <c r="D431" s="4" t="str">
        <f t="shared" si="1"/>
        <v>{"valorA":"produto","valorB":32}</v>
      </c>
      <c r="E431" s="8" t="str">
        <f t="shared" si="2"/>
        <v>produto</v>
      </c>
      <c r="F431" s="8"/>
      <c r="G431" s="8" t="str">
        <f t="shared" si="3"/>
        <v>32</v>
      </c>
      <c r="H431" s="9">
        <f t="shared" si="4"/>
        <v>32</v>
      </c>
      <c r="I431" s="6" t="str">
        <f>IFERROR(__xludf.DUMMYFUNCTION("MAX(FILTER($H$2:$H451,$E$2:$E451=F431))"),"#N/A")</f>
        <v>#N/A</v>
      </c>
    </row>
    <row r="432">
      <c r="A432" s="4"/>
      <c r="C432" s="4" t="s">
        <v>2986</v>
      </c>
      <c r="D432" s="4" t="str">
        <f t="shared" si="1"/>
        <v>{"valorA":"ótimo","valorB":48}</v>
      </c>
      <c r="E432" s="8" t="str">
        <f t="shared" si="2"/>
        <v>ótimo</v>
      </c>
      <c r="F432" s="8"/>
      <c r="G432" s="8" t="str">
        <f t="shared" si="3"/>
        <v>48</v>
      </c>
      <c r="H432" s="9">
        <f t="shared" si="4"/>
        <v>48</v>
      </c>
      <c r="I432" s="6" t="str">
        <f>IFERROR(__xludf.DUMMYFUNCTION("MAX(FILTER($H$2:$H451,$E$2:$E451=F432))"),"#N/A")</f>
        <v>#N/A</v>
      </c>
    </row>
    <row r="433">
      <c r="A433" s="4"/>
      <c r="C433" s="4" t="s">
        <v>3234</v>
      </c>
      <c r="D433" s="4" t="str">
        <f t="shared" si="1"/>
        <v>{"valorA":"qualidade","valorB":5}</v>
      </c>
      <c r="E433" s="8" t="str">
        <f t="shared" si="2"/>
        <v>qualidade</v>
      </c>
      <c r="F433" s="8"/>
      <c r="G433" s="8" t="str">
        <f t="shared" si="3"/>
        <v>5</v>
      </c>
      <c r="H433" s="9">
        <f t="shared" si="4"/>
        <v>5</v>
      </c>
      <c r="I433" s="6" t="str">
        <f>IFERROR(__xludf.DUMMYFUNCTION("MAX(FILTER($H$2:$H451,$E$2:$E451=F433))"),"#N/A")</f>
        <v>#N/A</v>
      </c>
    </row>
    <row r="434">
      <c r="A434" s="4"/>
      <c r="C434" s="4" t="s">
        <v>3235</v>
      </c>
      <c r="D434" s="4" t="str">
        <f t="shared" si="1"/>
        <v>{"valorA":"procura","valorB":1}</v>
      </c>
      <c r="E434" s="8" t="str">
        <f t="shared" si="2"/>
        <v>procura</v>
      </c>
      <c r="F434" s="8"/>
      <c r="G434" s="8" t="str">
        <f t="shared" si="3"/>
        <v>1</v>
      </c>
      <c r="H434" s="9">
        <f t="shared" si="4"/>
        <v>1</v>
      </c>
      <c r="I434" s="6" t="str">
        <f>IFERROR(__xludf.DUMMYFUNCTION("MAX(FILTER($H$2:$H451,$E$2:$E451=F434))"),"#N/A")</f>
        <v>#N/A</v>
      </c>
    </row>
    <row r="435">
      <c r="A435" s="4"/>
      <c r="C435" s="4" t="s">
        <v>3236</v>
      </c>
      <c r="D435" s="4" t="str">
        <f t="shared" si="1"/>
        <v>{"valorA":"de","valorB":17}</v>
      </c>
      <c r="E435" s="8" t="str">
        <f t="shared" si="2"/>
        <v>de</v>
      </c>
      <c r="F435" s="8"/>
      <c r="G435" s="8" t="str">
        <f t="shared" si="3"/>
        <v>17</v>
      </c>
      <c r="H435" s="9">
        <f t="shared" si="4"/>
        <v>17</v>
      </c>
      <c r="I435" s="6" t="str">
        <f>IFERROR(__xludf.DUMMYFUNCTION("MAX(FILTER($H$2:$H451,$E$2:$E451=F435))"),"#N/A")</f>
        <v>#N/A</v>
      </c>
    </row>
    <row r="436">
      <c r="A436" s="4"/>
      <c r="C436" s="4" t="s">
        <v>3237</v>
      </c>
      <c r="D436" s="4" t="str">
        <f t="shared" si="1"/>
        <v>{"valorA":"para","valorB":15}</v>
      </c>
      <c r="E436" s="8" t="str">
        <f t="shared" si="2"/>
        <v>para</v>
      </c>
      <c r="F436" s="8"/>
      <c r="G436" s="8" t="str">
        <f t="shared" si="3"/>
        <v>15</v>
      </c>
      <c r="H436" s="9">
        <f t="shared" si="4"/>
        <v>15</v>
      </c>
      <c r="I436" s="6" t="str">
        <f>IFERROR(__xludf.DUMMYFUNCTION("MAX(FILTER($H$2:$H451,$E$2:$E451=F436))"),"#N/A")</f>
        <v>#N/A</v>
      </c>
    </row>
    <row r="437">
      <c r="A437" s="4"/>
      <c r="C437" s="4" t="s">
        <v>3238</v>
      </c>
      <c r="D437" s="4" t="str">
        <f t="shared" si="1"/>
        <v>{"valorA":"quem","valorB":5}</v>
      </c>
      <c r="E437" s="8" t="str">
        <f t="shared" si="2"/>
        <v>quem</v>
      </c>
      <c r="F437" s="8"/>
      <c r="G437" s="8" t="str">
        <f t="shared" si="3"/>
        <v>5</v>
      </c>
      <c r="H437" s="9">
        <f t="shared" si="4"/>
        <v>5</v>
      </c>
      <c r="I437" s="6" t="str">
        <f>IFERROR(__xludf.DUMMYFUNCTION("MAX(FILTER($H$2:$H451,$E$2:$E451=F437))"),"#N/A")</f>
        <v>#N/A</v>
      </c>
    </row>
    <row r="438">
      <c r="A438" s="4"/>
      <c r="C438" s="4" t="s">
        <v>3239</v>
      </c>
      <c r="D438" s="4" t="str">
        <f t="shared" si="1"/>
        <v>{"valorA":"recomendo","valorB":11}</v>
      </c>
      <c r="E438" s="8" t="str">
        <f t="shared" si="2"/>
        <v>recomendo</v>
      </c>
      <c r="F438" s="8"/>
      <c r="G438" s="8" t="str">
        <f t="shared" si="3"/>
        <v>11</v>
      </c>
      <c r="H438" s="9">
        <f t="shared" si="4"/>
        <v>11</v>
      </c>
      <c r="I438" s="6" t="str">
        <f>IFERROR(__xludf.DUMMYFUNCTION("MAX(FILTER($H$2:$H451,$E$2:$E451=F438))"),"#N/A")</f>
        <v>#N/A</v>
      </c>
    </row>
    <row r="439">
      <c r="A439" s="4"/>
      <c r="C439" s="4" t="s">
        <v>2198</v>
      </c>
      <c r="D439" s="4" t="str">
        <f t="shared" si="1"/>
        <v>{"valorA":"computador","valorB":2}</v>
      </c>
      <c r="E439" s="8" t="str">
        <f t="shared" si="2"/>
        <v>computador</v>
      </c>
      <c r="F439" s="8"/>
      <c r="G439" s="8" t="str">
        <f t="shared" si="3"/>
        <v>2</v>
      </c>
      <c r="H439" s="9">
        <f t="shared" si="4"/>
        <v>2</v>
      </c>
      <c r="I439" s="6" t="str">
        <f>IFERROR(__xludf.DUMMYFUNCTION("MAX(FILTER($H$2:$H451,$E$2:$E451=F439))"),"#N/A")</f>
        <v>#N/A</v>
      </c>
    </row>
    <row r="440">
      <c r="A440" s="4"/>
      <c r="C440" s="4" t="s">
        <v>3240</v>
      </c>
      <c r="D440" s="4" t="str">
        <f t="shared" si="1"/>
        <v>{"valorA":"um","valorB":8}</v>
      </c>
      <c r="E440" s="8" t="str">
        <f t="shared" si="2"/>
        <v>um</v>
      </c>
      <c r="F440" s="8"/>
      <c r="G440" s="8" t="str">
        <f t="shared" si="3"/>
        <v>8</v>
      </c>
      <c r="H440" s="9">
        <f t="shared" si="4"/>
        <v>8</v>
      </c>
      <c r="I440" s="6" t="str">
        <f>IFERROR(__xludf.DUMMYFUNCTION("MAX(FILTER($H$2:$H451,$E$2:$E451=F440))"),"#N/A")</f>
        <v>#N/A</v>
      </c>
    </row>
    <row r="441">
      <c r="A441" s="4"/>
      <c r="C441" s="4" t="s">
        <v>3241</v>
      </c>
      <c r="D441" s="4" t="str">
        <f t="shared" si="1"/>
        <v>{"valorA":"de","valorB":18}</v>
      </c>
      <c r="E441" s="8" t="str">
        <f t="shared" si="2"/>
        <v>de</v>
      </c>
      <c r="F441" s="8"/>
      <c r="G441" s="8" t="str">
        <f t="shared" si="3"/>
        <v>18</v>
      </c>
      <c r="H441" s="9">
        <f t="shared" si="4"/>
        <v>18</v>
      </c>
      <c r="I441" s="6" t="str">
        <f>IFERROR(__xludf.DUMMYFUNCTION("MAX(FILTER($H$2:$H451,$E$2:$E451=F441))"),"#N/A")</f>
        <v>#N/A</v>
      </c>
    </row>
    <row r="442">
      <c r="A442" s="4"/>
      <c r="C442" s="4" t="s">
        <v>3242</v>
      </c>
      <c r="D442" s="4" t="str">
        <f t="shared" si="1"/>
        <v>{"valorA":"qualidade","valorB":6}</v>
      </c>
      <c r="E442" s="8" t="str">
        <f t="shared" si="2"/>
        <v>qualidade</v>
      </c>
      <c r="F442" s="8"/>
      <c r="G442" s="8" t="str">
        <f t="shared" si="3"/>
        <v>6</v>
      </c>
      <c r="H442" s="9">
        <f t="shared" si="4"/>
        <v>6</v>
      </c>
      <c r="I442" s="6" t="str">
        <f>IFERROR(__xludf.DUMMYFUNCTION("MAX(FILTER($H$2:$H451,$E$2:$E451=F442))"),"#N/A")</f>
        <v>#N/A</v>
      </c>
    </row>
    <row r="443">
      <c r="A443" s="4"/>
      <c r="C443" s="4" t="s">
        <v>3243</v>
      </c>
      <c r="D443" s="4" t="str">
        <f t="shared" si="1"/>
        <v>{"valorA":"muito","valorB":18}</v>
      </c>
      <c r="E443" s="8" t="str">
        <f t="shared" si="2"/>
        <v>muito</v>
      </c>
      <c r="F443" s="8"/>
      <c r="G443" s="8" t="str">
        <f t="shared" si="3"/>
        <v>18</v>
      </c>
      <c r="H443" s="9">
        <f t="shared" si="4"/>
        <v>18</v>
      </c>
      <c r="I443" s="6" t="str">
        <f>IFERROR(__xludf.DUMMYFUNCTION("MAX(FILTER($H$2:$H451,$E$2:$E451=F443))"),"#N/A")</f>
        <v>#N/A</v>
      </c>
    </row>
    <row r="444">
      <c r="A444" s="4"/>
      <c r="C444" s="4" t="s">
        <v>3244</v>
      </c>
      <c r="D444" s="4" t="str">
        <f t="shared" si="1"/>
        <v>{"valorA":"ótimo","valorB":49}</v>
      </c>
      <c r="E444" s="8" t="str">
        <f t="shared" si="2"/>
        <v>ótimo</v>
      </c>
      <c r="F444" s="8"/>
      <c r="G444" s="8" t="str">
        <f t="shared" si="3"/>
        <v>49</v>
      </c>
      <c r="H444" s="9">
        <f t="shared" si="4"/>
        <v>49</v>
      </c>
      <c r="I444" s="6" t="str">
        <f>IFERROR(__xludf.DUMMYFUNCTION("MAX(FILTER($H$2:$H451,$E$2:$E451=F444))"),"#N/A")</f>
        <v>#N/A</v>
      </c>
    </row>
    <row r="445">
      <c r="A445" s="4"/>
      <c r="C445" s="4" t="s">
        <v>3245</v>
      </c>
      <c r="D445" s="4" t="str">
        <f t="shared" si="1"/>
        <v>{"valorA":"televisor","valorB":8}</v>
      </c>
      <c r="E445" s="8" t="str">
        <f t="shared" si="2"/>
        <v>televisor</v>
      </c>
      <c r="F445" s="8"/>
      <c r="G445" s="8" t="str">
        <f t="shared" si="3"/>
        <v>8</v>
      </c>
      <c r="H445" s="9">
        <f t="shared" si="4"/>
        <v>8</v>
      </c>
      <c r="I445" s="6" t="str">
        <f>IFERROR(__xludf.DUMMYFUNCTION("MAX(FILTER($H$2:$H451,$E$2:$E451=F445))"),"#N/A")</f>
        <v>#N/A</v>
      </c>
    </row>
    <row r="446">
      <c r="A446" s="4"/>
      <c r="C446" s="4" t="s">
        <v>3246</v>
      </c>
      <c r="D446" s="4" t="str">
        <f t="shared" si="1"/>
        <v>{"valorA":"imagem","valorB":3}</v>
      </c>
      <c r="E446" s="8" t="str">
        <f t="shared" si="2"/>
        <v>imagem</v>
      </c>
      <c r="F446" s="8"/>
      <c r="G446" s="8" t="str">
        <f t="shared" si="3"/>
        <v>3</v>
      </c>
      <c r="H446" s="9">
        <f t="shared" si="4"/>
        <v>3</v>
      </c>
      <c r="I446" s="6" t="str">
        <f>IFERROR(__xludf.DUMMYFUNCTION("MAX(FILTER($H$2:$H451,$E$2:$E451=F446))"),"#N/A")</f>
        <v>#N/A</v>
      </c>
    </row>
    <row r="447">
      <c r="A447" s="4"/>
      <c r="C447" s="4" t="s">
        <v>2783</v>
      </c>
      <c r="D447" s="4" t="str">
        <f t="shared" si="1"/>
        <v>{"valorA":"do","valorB":3}</v>
      </c>
      <c r="E447" s="8" t="str">
        <f t="shared" si="2"/>
        <v>do</v>
      </c>
      <c r="F447" s="8"/>
      <c r="G447" s="8" t="str">
        <f t="shared" si="3"/>
        <v>3</v>
      </c>
      <c r="H447" s="9">
        <f t="shared" si="4"/>
        <v>3</v>
      </c>
      <c r="I447" s="6" t="str">
        <f>IFERROR(__xludf.DUMMYFUNCTION("MAX(FILTER($H$2:$H451,$E$2:$E451=F447))"),"#N/A")</f>
        <v>#N/A</v>
      </c>
    </row>
    <row r="448">
      <c r="A448" s="4"/>
      <c r="C448" s="4" t="s">
        <v>3247</v>
      </c>
      <c r="D448" s="4" t="str">
        <f t="shared" si="1"/>
        <v>{"valorA":"e","valorB":17}</v>
      </c>
      <c r="E448" s="8" t="str">
        <f t="shared" si="2"/>
        <v>e</v>
      </c>
      <c r="F448" s="8"/>
      <c r="G448" s="8" t="str">
        <f t="shared" si="3"/>
        <v>17</v>
      </c>
      <c r="H448" s="9">
        <f t="shared" si="4"/>
        <v>17</v>
      </c>
      <c r="I448" s="6" t="str">
        <f>IFERROR(__xludf.DUMMYFUNCTION("MAX(FILTER($H$2:$H451,$E$2:$E451=F448))"),"#N/A")</f>
        <v>#N/A</v>
      </c>
    </row>
    <row r="449">
      <c r="A449" s="4"/>
      <c r="C449" s="4" t="s">
        <v>2932</v>
      </c>
      <c r="D449" s="4" t="str">
        <f t="shared" si="1"/>
        <v>{"valorA":"gostei","valorB":6}</v>
      </c>
      <c r="E449" s="8" t="str">
        <f t="shared" si="2"/>
        <v>gostei</v>
      </c>
      <c r="F449" s="8"/>
      <c r="G449" s="8" t="str">
        <f t="shared" si="3"/>
        <v>6</v>
      </c>
      <c r="H449" s="9">
        <f t="shared" si="4"/>
        <v>6</v>
      </c>
      <c r="I449" s="6" t="str">
        <f>IFERROR(__xludf.DUMMYFUNCTION("MAX(FILTER($H$2:$H451,$E$2:$E451=F449))"),"#N/A")</f>
        <v>#N/A</v>
      </c>
    </row>
    <row r="450">
      <c r="A450" s="4"/>
      <c r="C450" s="4" t="s">
        <v>3248</v>
      </c>
      <c r="D450" s="4" t="str">
        <f t="shared" si="1"/>
        <v>{"valorA":"brilho","valorB":2}</v>
      </c>
      <c r="E450" s="8" t="str">
        <f t="shared" si="2"/>
        <v>brilho</v>
      </c>
      <c r="F450" s="8"/>
      <c r="G450" s="8" t="str">
        <f t="shared" si="3"/>
        <v>2</v>
      </c>
      <c r="H450" s="9">
        <f t="shared" si="4"/>
        <v>2</v>
      </c>
      <c r="I450" s="6" t="str">
        <f>IFERROR(__xludf.DUMMYFUNCTION("MAX(FILTER($H$2:$H451,$E$2:$E451=F450))"),"#N/A")</f>
        <v>#N/A</v>
      </c>
    </row>
    <row r="451">
      <c r="A451" s="4"/>
      <c r="C451" s="4" t="s">
        <v>2947</v>
      </c>
      <c r="D451" s="4" t="str">
        <f t="shared" si="1"/>
        <v>{"valorA":"da","valorB":2}</v>
      </c>
      <c r="E451" s="8" t="str">
        <f t="shared" si="2"/>
        <v>da</v>
      </c>
      <c r="F451" s="8"/>
      <c r="G451" s="8" t="str">
        <f t="shared" si="3"/>
        <v>2</v>
      </c>
      <c r="H451" s="9">
        <f t="shared" si="4"/>
        <v>2</v>
      </c>
      <c r="I451" s="6" t="str">
        <f>IFERROR(__xludf.DUMMYFUNCTION("MAX(FILTER($H$2:$H451,$E$2:$E451=F451))"),"#N/A")</f>
        <v>#N/A</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row>
    <row r="2" ht="15.0" customHeight="1">
      <c r="A2" s="4" t="s">
        <v>3249</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row r="1007">
      <c r="A1007" s="4"/>
    </row>
    <row r="1008">
      <c r="A1008" s="4"/>
    </row>
    <row r="1009">
      <c r="A1009" s="4"/>
    </row>
    <row r="1010">
      <c r="A1010" s="4"/>
    </row>
    <row r="1011">
      <c r="A1011" s="4"/>
    </row>
    <row r="1012">
      <c r="A1012" s="4"/>
    </row>
    <row r="1013">
      <c r="A1013" s="4"/>
    </row>
    <row r="1014">
      <c r="A1014" s="4"/>
    </row>
    <row r="1015">
      <c r="A1015" s="4"/>
    </row>
    <row r="1016">
      <c r="A1016" s="4"/>
    </row>
    <row r="1017">
      <c r="A1017" s="4"/>
    </row>
    <row r="1018">
      <c r="A1018" s="4"/>
    </row>
    <row r="1019">
      <c r="A1019" s="4"/>
    </row>
    <row r="1020">
      <c r="A1020" s="4"/>
    </row>
    <row r="1021">
      <c r="A1021" s="4"/>
    </row>
    <row r="1022">
      <c r="A1022" s="4"/>
    </row>
    <row r="1023">
      <c r="A1023" s="4"/>
    </row>
    <row r="1024">
      <c r="A1024" s="4"/>
    </row>
    <row r="1025">
      <c r="A1025" s="4"/>
    </row>
    <row r="1026">
      <c r="A1026" s="4"/>
    </row>
    <row r="1027">
      <c r="A1027" s="4"/>
    </row>
    <row r="1028">
      <c r="A1028" s="4"/>
    </row>
    <row r="1029">
      <c r="A1029" s="4"/>
    </row>
    <row r="1030">
      <c r="A1030" s="4"/>
    </row>
    <row r="1031">
      <c r="A1031" s="4"/>
    </row>
    <row r="1032">
      <c r="A1032" s="4"/>
    </row>
    <row r="1033">
      <c r="A1033" s="4"/>
    </row>
    <row r="1034">
      <c r="A1034" s="4"/>
    </row>
    <row r="1035">
      <c r="A1035" s="4"/>
    </row>
    <row r="1036">
      <c r="A1036" s="4"/>
    </row>
    <row r="1037">
      <c r="A1037" s="4"/>
    </row>
    <row r="1038">
      <c r="A1038" s="4"/>
    </row>
    <row r="1039">
      <c r="A1039" s="4"/>
    </row>
    <row r="1040">
      <c r="A1040" s="4"/>
    </row>
    <row r="1041">
      <c r="A1041" s="4"/>
    </row>
    <row r="1042">
      <c r="A1042" s="4"/>
    </row>
    <row r="1043">
      <c r="A1043" s="4"/>
    </row>
    <row r="1044">
      <c r="A1044" s="4"/>
    </row>
    <row r="1045">
      <c r="A1045" s="4"/>
    </row>
    <row r="1046">
      <c r="A1046" s="4"/>
    </row>
    <row r="1047">
      <c r="A1047" s="4"/>
    </row>
    <row r="1048">
      <c r="A1048" s="4"/>
    </row>
    <row r="1049">
      <c r="A1049" s="4"/>
    </row>
    <row r="1050">
      <c r="A1050" s="4"/>
    </row>
    <row r="1051">
      <c r="A1051" s="4"/>
    </row>
    <row r="1052">
      <c r="A1052" s="4"/>
    </row>
    <row r="1053">
      <c r="A1053" s="4"/>
    </row>
    <row r="1054">
      <c r="A1054" s="4"/>
    </row>
    <row r="1055">
      <c r="A1055" s="4"/>
    </row>
    <row r="1056">
      <c r="A1056" s="4"/>
    </row>
    <row r="1057">
      <c r="A1057" s="4"/>
    </row>
    <row r="1058">
      <c r="A1058" s="4"/>
    </row>
    <row r="1059">
      <c r="A1059" s="4"/>
    </row>
    <row r="1060">
      <c r="A1060" s="4"/>
    </row>
    <row r="1061">
      <c r="A1061" s="4"/>
    </row>
    <row r="1062">
      <c r="A1062" s="4"/>
    </row>
    <row r="1063">
      <c r="A1063" s="4"/>
    </row>
    <row r="1064">
      <c r="A1064" s="4"/>
    </row>
    <row r="1065">
      <c r="A1065" s="4"/>
    </row>
    <row r="1066">
      <c r="A1066" s="4"/>
    </row>
    <row r="1067">
      <c r="A1067" s="4"/>
    </row>
    <row r="1068">
      <c r="A1068" s="4"/>
    </row>
    <row r="1069">
      <c r="A1069" s="4"/>
    </row>
    <row r="1070">
      <c r="A1070" s="4"/>
    </row>
    <row r="1071">
      <c r="A1071" s="4"/>
    </row>
    <row r="1072">
      <c r="A1072" s="4"/>
    </row>
    <row r="1073">
      <c r="A1073" s="4"/>
    </row>
    <row r="1074">
      <c r="A1074" s="4"/>
    </row>
    <row r="1075">
      <c r="A1075" s="4"/>
    </row>
    <row r="1076">
      <c r="A1076" s="4"/>
    </row>
    <row r="1077">
      <c r="A1077" s="4"/>
    </row>
    <row r="1078">
      <c r="A1078" s="4"/>
    </row>
    <row r="1079">
      <c r="A1079" s="4"/>
    </row>
    <row r="1080">
      <c r="A1080" s="4"/>
    </row>
    <row r="1081">
      <c r="A1081" s="4"/>
    </row>
    <row r="1082">
      <c r="A1082" s="4"/>
    </row>
    <row r="1083">
      <c r="A1083" s="4"/>
    </row>
    <row r="1084">
      <c r="A1084" s="4"/>
    </row>
    <row r="1085">
      <c r="A1085" s="4"/>
    </row>
    <row r="1086">
      <c r="A1086" s="4"/>
    </row>
    <row r="1087">
      <c r="A1087" s="4"/>
    </row>
    <row r="1088">
      <c r="A1088" s="4"/>
    </row>
    <row r="1089">
      <c r="A1089" s="4"/>
    </row>
    <row r="1090">
      <c r="A1090" s="4"/>
    </row>
    <row r="1091">
      <c r="A1091" s="4"/>
    </row>
    <row r="1092">
      <c r="A1092" s="4"/>
    </row>
    <row r="1093">
      <c r="A1093" s="4"/>
    </row>
    <row r="1094">
      <c r="A1094" s="4"/>
    </row>
    <row r="1095">
      <c r="A1095" s="4"/>
    </row>
    <row r="1096">
      <c r="A1096" s="4"/>
    </row>
    <row r="1097">
      <c r="A1097" s="4"/>
    </row>
    <row r="1098">
      <c r="A1098" s="4"/>
    </row>
    <row r="1099">
      <c r="A1099" s="4"/>
    </row>
    <row r="1100">
      <c r="A1100" s="4"/>
    </row>
    <row r="1101">
      <c r="A1101" s="4"/>
    </row>
    <row r="1102">
      <c r="A1102" s="4"/>
    </row>
    <row r="1103">
      <c r="A1103" s="4"/>
    </row>
    <row r="1104">
      <c r="A1104" s="4"/>
    </row>
    <row r="1105">
      <c r="A1105" s="4"/>
    </row>
    <row r="1106">
      <c r="A1106" s="4"/>
    </row>
    <row r="1107">
      <c r="A1107" s="4"/>
    </row>
    <row r="1108">
      <c r="A1108" s="4"/>
    </row>
    <row r="1109">
      <c r="A1109" s="4"/>
    </row>
    <row r="1110">
      <c r="A1110" s="4"/>
    </row>
    <row r="1111">
      <c r="A1111" s="4"/>
    </row>
    <row r="1112">
      <c r="A1112" s="4"/>
    </row>
    <row r="1113">
      <c r="A1113" s="4"/>
    </row>
    <row r="1114">
      <c r="A1114" s="4"/>
    </row>
    <row r="1115">
      <c r="A1115" s="4"/>
    </row>
    <row r="1116">
      <c r="A1116" s="4"/>
    </row>
    <row r="1117">
      <c r="A1117" s="4"/>
    </row>
    <row r="1118">
      <c r="A1118" s="4"/>
    </row>
    <row r="1119">
      <c r="A1119" s="4"/>
    </row>
    <row r="1120">
      <c r="A1120" s="4"/>
    </row>
    <row r="1121">
      <c r="A1121" s="4"/>
    </row>
    <row r="1122">
      <c r="A1122" s="4"/>
    </row>
    <row r="1123">
      <c r="A1123" s="4"/>
    </row>
    <row r="1124">
      <c r="A1124" s="4"/>
    </row>
    <row r="1125">
      <c r="A1125" s="4"/>
    </row>
    <row r="1126">
      <c r="A1126" s="4"/>
    </row>
    <row r="1127">
      <c r="A1127" s="4"/>
    </row>
    <row r="1128">
      <c r="A1128" s="4"/>
    </row>
    <row r="1129">
      <c r="A1129" s="4"/>
    </row>
    <row r="1130">
      <c r="A1130" s="4"/>
    </row>
    <row r="1131">
      <c r="A1131" s="4"/>
    </row>
    <row r="1132">
      <c r="A1132" s="4"/>
    </row>
    <row r="1133">
      <c r="A1133" s="4"/>
    </row>
    <row r="1134">
      <c r="A1134" s="4"/>
    </row>
    <row r="1135">
      <c r="A1135" s="4"/>
    </row>
    <row r="1136">
      <c r="A1136" s="4"/>
    </row>
    <row r="1137">
      <c r="A1137" s="4"/>
    </row>
    <row r="1138">
      <c r="A1138" s="4"/>
    </row>
    <row r="1139">
      <c r="A1139" s="4"/>
    </row>
    <row r="1140">
      <c r="A1140" s="4"/>
    </row>
    <row r="1141">
      <c r="A1141" s="4"/>
    </row>
    <row r="1142">
      <c r="A1142" s="4"/>
    </row>
    <row r="1143">
      <c r="A1143" s="4"/>
    </row>
    <row r="1144">
      <c r="A1144" s="4"/>
    </row>
    <row r="1145">
      <c r="A1145" s="4"/>
    </row>
    <row r="1146">
      <c r="A1146" s="4"/>
    </row>
    <row r="1147">
      <c r="A1147" s="4"/>
    </row>
    <row r="1148">
      <c r="A1148" s="4"/>
    </row>
    <row r="1149">
      <c r="A1149" s="4"/>
    </row>
    <row r="1150">
      <c r="A1150" s="4"/>
    </row>
    <row r="1151">
      <c r="A1151" s="4"/>
    </row>
    <row r="1152">
      <c r="A1152" s="4"/>
    </row>
    <row r="1153">
      <c r="A1153" s="4"/>
    </row>
    <row r="1154">
      <c r="A1154" s="4"/>
    </row>
    <row r="1155">
      <c r="A1155" s="4"/>
    </row>
    <row r="1156">
      <c r="A1156" s="4"/>
    </row>
    <row r="1157">
      <c r="A1157" s="4"/>
    </row>
    <row r="1158">
      <c r="A1158" s="4"/>
    </row>
    <row r="1159">
      <c r="A1159" s="4"/>
    </row>
    <row r="1160">
      <c r="A1160" s="4"/>
    </row>
    <row r="1161">
      <c r="A1161" s="4"/>
    </row>
    <row r="1162">
      <c r="A1162" s="4"/>
    </row>
    <row r="1163">
      <c r="A1163" s="4"/>
    </row>
    <row r="1164">
      <c r="A1164" s="4"/>
    </row>
    <row r="1165">
      <c r="A1165" s="4"/>
    </row>
    <row r="1166">
      <c r="A1166" s="4"/>
    </row>
    <row r="1167">
      <c r="A1167" s="4"/>
    </row>
    <row r="1168">
      <c r="A1168" s="4"/>
    </row>
    <row r="1169">
      <c r="A1169" s="4"/>
    </row>
    <row r="1170">
      <c r="A1170" s="4"/>
    </row>
    <row r="1171">
      <c r="A1171" s="4"/>
    </row>
    <row r="1172">
      <c r="A1172" s="4"/>
    </row>
    <row r="1173">
      <c r="A1173" s="4"/>
    </row>
    <row r="1174">
      <c r="A1174" s="4"/>
    </row>
    <row r="1175">
      <c r="A1175" s="4"/>
    </row>
    <row r="1176">
      <c r="A1176" s="4"/>
    </row>
    <row r="1177">
      <c r="A1177" s="4"/>
    </row>
    <row r="1178">
      <c r="A1178" s="4"/>
    </row>
    <row r="1179">
      <c r="A1179" s="4"/>
    </row>
    <row r="1180">
      <c r="A1180" s="4"/>
    </row>
    <row r="1181">
      <c r="A1181" s="4"/>
    </row>
    <row r="1182">
      <c r="A1182" s="4"/>
    </row>
    <row r="1183">
      <c r="A1183" s="4"/>
    </row>
    <row r="1184">
      <c r="A1184" s="4"/>
    </row>
    <row r="1185">
      <c r="A1185" s="4"/>
    </row>
    <row r="1186">
      <c r="A1186" s="4"/>
    </row>
    <row r="1187">
      <c r="A1187" s="4"/>
    </row>
    <row r="1188">
      <c r="A1188" s="4"/>
    </row>
    <row r="1189">
      <c r="A1189" s="4"/>
    </row>
    <row r="1190">
      <c r="A1190" s="4"/>
    </row>
    <row r="1191">
      <c r="A1191" s="4"/>
    </row>
    <row r="1192">
      <c r="A1192" s="4"/>
    </row>
    <row r="1193">
      <c r="A1193" s="4"/>
    </row>
    <row r="1194">
      <c r="A1194" s="4"/>
    </row>
    <row r="1195">
      <c r="A1195" s="4"/>
    </row>
    <row r="1196">
      <c r="A1196" s="4"/>
    </row>
    <row r="1197">
      <c r="A1197" s="4"/>
    </row>
    <row r="1198">
      <c r="A1198" s="4"/>
    </row>
    <row r="1199">
      <c r="A1199" s="4"/>
    </row>
    <row r="1200">
      <c r="A1200" s="4"/>
    </row>
    <row r="1201">
      <c r="A1201" s="4"/>
    </row>
    <row r="1202">
      <c r="A1202" s="4"/>
    </row>
    <row r="1203">
      <c r="A1203" s="4"/>
    </row>
    <row r="1204">
      <c r="A1204" s="4"/>
    </row>
    <row r="1205">
      <c r="A1205" s="4"/>
    </row>
    <row r="1206">
      <c r="A1206" s="4"/>
    </row>
    <row r="1207">
      <c r="A1207" s="4"/>
    </row>
    <row r="1208">
      <c r="A1208" s="4"/>
    </row>
    <row r="1209">
      <c r="A1209" s="4"/>
    </row>
    <row r="1210">
      <c r="A1210" s="4"/>
    </row>
    <row r="1211">
      <c r="A1211" s="4"/>
    </row>
    <row r="1212">
      <c r="A1212" s="4"/>
    </row>
    <row r="1213">
      <c r="A1213" s="4"/>
    </row>
    <row r="1214">
      <c r="A1214" s="4"/>
    </row>
    <row r="1215">
      <c r="A1215" s="4"/>
    </row>
    <row r="1216">
      <c r="A1216" s="4"/>
    </row>
    <row r="1217">
      <c r="A1217" s="4"/>
    </row>
    <row r="1218">
      <c r="A1218" s="4"/>
    </row>
    <row r="1219">
      <c r="A1219" s="4"/>
    </row>
    <row r="1220">
      <c r="A1220" s="4"/>
    </row>
    <row r="1221">
      <c r="A1221" s="4"/>
    </row>
    <row r="1222">
      <c r="A1222" s="4"/>
    </row>
    <row r="1223">
      <c r="A1223" s="4"/>
    </row>
    <row r="1224">
      <c r="A1224" s="4"/>
    </row>
    <row r="1225">
      <c r="A1225" s="4"/>
    </row>
    <row r="1226">
      <c r="A1226" s="4"/>
    </row>
    <row r="1227">
      <c r="A1227" s="4"/>
    </row>
    <row r="1228">
      <c r="A1228" s="4"/>
    </row>
    <row r="1229">
      <c r="A1229" s="4"/>
    </row>
    <row r="1230">
      <c r="A1230" s="4"/>
    </row>
    <row r="1231">
      <c r="A1231" s="4"/>
    </row>
    <row r="1232">
      <c r="A1232" s="4"/>
    </row>
    <row r="1233">
      <c r="A1233" s="4"/>
    </row>
    <row r="1234">
      <c r="A1234" s="4"/>
    </row>
    <row r="1235">
      <c r="A1235" s="4"/>
    </row>
    <row r="1236">
      <c r="A1236" s="4"/>
    </row>
    <row r="1237">
      <c r="A1237" s="4"/>
    </row>
    <row r="1238">
      <c r="A1238" s="4"/>
    </row>
    <row r="1239">
      <c r="A1239" s="4"/>
    </row>
    <row r="1240">
      <c r="A1240" s="4"/>
    </row>
    <row r="1241">
      <c r="A1241" s="4"/>
    </row>
    <row r="1242">
      <c r="A1242" s="4"/>
    </row>
    <row r="1243">
      <c r="A1243" s="4"/>
    </row>
    <row r="1244">
      <c r="A1244" s="4"/>
    </row>
    <row r="1245">
      <c r="A1245" s="4"/>
    </row>
    <row r="1246">
      <c r="A1246" s="4"/>
    </row>
    <row r="1247">
      <c r="A1247" s="4"/>
    </row>
    <row r="1248">
      <c r="A1248" s="4"/>
    </row>
    <row r="1249">
      <c r="A1249" s="4"/>
    </row>
    <row r="1250">
      <c r="A1250" s="4"/>
    </row>
    <row r="1251">
      <c r="A1251" s="4"/>
    </row>
    <row r="1252">
      <c r="A1252" s="4"/>
    </row>
    <row r="1253">
      <c r="A1253" s="4"/>
    </row>
    <row r="1254">
      <c r="A1254" s="4"/>
    </row>
    <row r="1255">
      <c r="A1255" s="4"/>
    </row>
    <row r="1256">
      <c r="A1256" s="4"/>
    </row>
    <row r="1257">
      <c r="A1257" s="4"/>
    </row>
    <row r="1258">
      <c r="A1258" s="4"/>
    </row>
    <row r="1259">
      <c r="A1259" s="4"/>
    </row>
    <row r="1260">
      <c r="A1260" s="4"/>
    </row>
    <row r="1261">
      <c r="A1261" s="4"/>
    </row>
    <row r="1262">
      <c r="A1262" s="4"/>
    </row>
    <row r="1263">
      <c r="A1263" s="4"/>
    </row>
    <row r="1264">
      <c r="A1264" s="4"/>
    </row>
    <row r="1265">
      <c r="A1265" s="4"/>
    </row>
    <row r="1266">
      <c r="A1266" s="4"/>
    </row>
    <row r="1267">
      <c r="A1267" s="4"/>
    </row>
    <row r="1268">
      <c r="A1268" s="4"/>
    </row>
    <row r="1269">
      <c r="A1269" s="4"/>
    </row>
    <row r="1270">
      <c r="A1270" s="4"/>
    </row>
    <row r="1271">
      <c r="A1271" s="4"/>
    </row>
    <row r="1272">
      <c r="A1272" s="4"/>
    </row>
    <row r="1273">
      <c r="A1273" s="4"/>
    </row>
    <row r="1274">
      <c r="A1274" s="4"/>
    </row>
    <row r="1275">
      <c r="A1275" s="4"/>
    </row>
    <row r="1276">
      <c r="A1276" s="4"/>
    </row>
    <row r="1277">
      <c r="A1277" s="4"/>
    </row>
    <row r="1278">
      <c r="A1278" s="4"/>
    </row>
    <row r="1279">
      <c r="A1279" s="4"/>
    </row>
    <row r="1280">
      <c r="A1280" s="4"/>
    </row>
    <row r="1281">
      <c r="A1281" s="4"/>
    </row>
    <row r="1282">
      <c r="A1282" s="4"/>
    </row>
    <row r="1283">
      <c r="A1283" s="4"/>
    </row>
    <row r="1284">
      <c r="A1284" s="4"/>
    </row>
    <row r="1285">
      <c r="A1285" s="4"/>
    </row>
    <row r="1286">
      <c r="A1286" s="4"/>
    </row>
    <row r="1287">
      <c r="A1287" s="4"/>
    </row>
    <row r="1288">
      <c r="A1288" s="4"/>
    </row>
    <row r="1289">
      <c r="A1289" s="4"/>
    </row>
    <row r="1290">
      <c r="A1290" s="4"/>
    </row>
    <row r="1291">
      <c r="A1291" s="4"/>
    </row>
    <row r="1292">
      <c r="A1292" s="4"/>
    </row>
    <row r="1293">
      <c r="A1293" s="4"/>
    </row>
    <row r="1294">
      <c r="A1294" s="4"/>
    </row>
    <row r="1295">
      <c r="A1295" s="4"/>
    </row>
    <row r="1296">
      <c r="A1296" s="4"/>
    </row>
    <row r="1297">
      <c r="A1297" s="4"/>
    </row>
    <row r="1298">
      <c r="A1298" s="4"/>
    </row>
    <row r="1299">
      <c r="A1299" s="4"/>
    </row>
    <row r="1300">
      <c r="A1300" s="4"/>
    </row>
    <row r="1301">
      <c r="A1301" s="4"/>
    </row>
    <row r="1302">
      <c r="A1302" s="4"/>
    </row>
    <row r="1303">
      <c r="A1303" s="4"/>
    </row>
    <row r="1304">
      <c r="A1304" s="4"/>
    </row>
    <row r="1305">
      <c r="A1305" s="4"/>
    </row>
    <row r="1306">
      <c r="A1306" s="4"/>
    </row>
    <row r="1307">
      <c r="A1307" s="4"/>
    </row>
    <row r="1308">
      <c r="A1308" s="4"/>
    </row>
    <row r="1309">
      <c r="A1309" s="4"/>
    </row>
    <row r="1310">
      <c r="A1310" s="4"/>
    </row>
    <row r="1311">
      <c r="A1311" s="4"/>
    </row>
    <row r="1312">
      <c r="A1312" s="4"/>
    </row>
    <row r="1313">
      <c r="A1313" s="4"/>
    </row>
    <row r="1314">
      <c r="A1314" s="4"/>
    </row>
    <row r="1315">
      <c r="A1315" s="4"/>
    </row>
    <row r="1316">
      <c r="A1316" s="4"/>
    </row>
    <row r="1317">
      <c r="A1317" s="4"/>
    </row>
    <row r="1318">
      <c r="A1318" s="4"/>
    </row>
    <row r="1319">
      <c r="A1319" s="4"/>
    </row>
    <row r="1320">
      <c r="A1320" s="4"/>
    </row>
    <row r="1321">
      <c r="A1321" s="4"/>
    </row>
    <row r="1322">
      <c r="A1322" s="4"/>
    </row>
    <row r="1323">
      <c r="A1323" s="4"/>
    </row>
    <row r="1324">
      <c r="A1324" s="4"/>
    </row>
    <row r="1325">
      <c r="A1325" s="4"/>
    </row>
    <row r="1326">
      <c r="A1326" s="4"/>
    </row>
    <row r="1327">
      <c r="A1327" s="4"/>
    </row>
    <row r="1328">
      <c r="A1328" s="4"/>
    </row>
    <row r="1329">
      <c r="A1329" s="4"/>
    </row>
    <row r="1330">
      <c r="A1330" s="4"/>
    </row>
    <row r="1331">
      <c r="A1331" s="4"/>
    </row>
    <row r="1332">
      <c r="A1332" s="4"/>
    </row>
    <row r="1333">
      <c r="A1333" s="4"/>
    </row>
    <row r="1334">
      <c r="A1334" s="4"/>
    </row>
    <row r="1335">
      <c r="A1335" s="4"/>
    </row>
    <row r="1336">
      <c r="A1336" s="4"/>
    </row>
    <row r="1337">
      <c r="A1337" s="4"/>
    </row>
    <row r="1338">
      <c r="A1338" s="4"/>
    </row>
    <row r="1339">
      <c r="A1339" s="4"/>
    </row>
    <row r="1340">
      <c r="A1340" s="4"/>
    </row>
    <row r="1341">
      <c r="A1341" s="4"/>
    </row>
    <row r="1342">
      <c r="A1342" s="4"/>
    </row>
    <row r="1343">
      <c r="A1343" s="4"/>
    </row>
    <row r="1344">
      <c r="A1344" s="4"/>
    </row>
    <row r="1345">
      <c r="A1345" s="4"/>
    </row>
    <row r="1346">
      <c r="A1346" s="4"/>
    </row>
    <row r="1347">
      <c r="A1347" s="4"/>
    </row>
    <row r="1348">
      <c r="A1348" s="4"/>
    </row>
    <row r="1349">
      <c r="A1349" s="4"/>
    </row>
    <row r="1350">
      <c r="A1350" s="4"/>
    </row>
    <row r="1351">
      <c r="A1351" s="4"/>
    </row>
    <row r="1352">
      <c r="A1352" s="4"/>
    </row>
    <row r="1353">
      <c r="A1353" s="4"/>
    </row>
    <row r="1354">
      <c r="A1354" s="4"/>
    </row>
    <row r="1355">
      <c r="A1355" s="4"/>
    </row>
    <row r="1356">
      <c r="A1356" s="4"/>
    </row>
    <row r="1357">
      <c r="A1357" s="4"/>
    </row>
    <row r="1358">
      <c r="A1358" s="4"/>
    </row>
    <row r="1359">
      <c r="A1359" s="4"/>
    </row>
    <row r="1360">
      <c r="A1360" s="4"/>
    </row>
    <row r="1361">
      <c r="A1361" s="4"/>
    </row>
    <row r="1362">
      <c r="A1362" s="4"/>
    </row>
    <row r="1363">
      <c r="A1363" s="4"/>
    </row>
    <row r="1364">
      <c r="A1364" s="4"/>
    </row>
    <row r="1365">
      <c r="A1365" s="4"/>
    </row>
    <row r="1366">
      <c r="A1366" s="4"/>
    </row>
    <row r="1367">
      <c r="A1367" s="4"/>
    </row>
    <row r="1368">
      <c r="A1368" s="4"/>
    </row>
    <row r="1369">
      <c r="A1369" s="4"/>
    </row>
    <row r="1370">
      <c r="A1370" s="4"/>
    </row>
    <row r="1371">
      <c r="A1371" s="4"/>
    </row>
    <row r="1372">
      <c r="A1372" s="4"/>
    </row>
    <row r="1373">
      <c r="A1373" s="4"/>
    </row>
    <row r="1374">
      <c r="A1374" s="4"/>
    </row>
    <row r="1375">
      <c r="A1375" s="4"/>
    </row>
    <row r="1376">
      <c r="A1376" s="4"/>
    </row>
    <row r="1377">
      <c r="A1377" s="4"/>
    </row>
    <row r="1378">
      <c r="A1378" s="4"/>
    </row>
    <row r="1379">
      <c r="A1379" s="4"/>
    </row>
    <row r="1380">
      <c r="A1380" s="4"/>
    </row>
    <row r="1381">
      <c r="A1381" s="4"/>
    </row>
    <row r="1382">
      <c r="A1382" s="4"/>
    </row>
    <row r="1383">
      <c r="A1383" s="4"/>
    </row>
    <row r="1384">
      <c r="A1384" s="4"/>
    </row>
    <row r="1385">
      <c r="A1385" s="4"/>
    </row>
    <row r="1386">
      <c r="A1386" s="4"/>
    </row>
    <row r="1387">
      <c r="A1387" s="4"/>
    </row>
    <row r="1388">
      <c r="A1388" s="4"/>
    </row>
    <row r="1389">
      <c r="A1389" s="4"/>
    </row>
    <row r="1390">
      <c r="A1390" s="4"/>
    </row>
    <row r="1391">
      <c r="A1391" s="4"/>
    </row>
    <row r="1392">
      <c r="A1392" s="4"/>
    </row>
    <row r="1393">
      <c r="A1393" s="4"/>
    </row>
    <row r="1394">
      <c r="A1394" s="4"/>
    </row>
    <row r="1395">
      <c r="A1395" s="4"/>
    </row>
    <row r="1396">
      <c r="A1396" s="4"/>
    </row>
    <row r="1397">
      <c r="A1397" s="4"/>
    </row>
    <row r="1398">
      <c r="A1398" s="4"/>
    </row>
    <row r="1399">
      <c r="A1399" s="4"/>
    </row>
    <row r="1400">
      <c r="A1400" s="4"/>
    </row>
    <row r="1401">
      <c r="A1401" s="4"/>
    </row>
    <row r="1402">
      <c r="A1402" s="4"/>
    </row>
    <row r="1403">
      <c r="A1403" s="4"/>
    </row>
    <row r="1404">
      <c r="A1404" s="4"/>
    </row>
    <row r="1405">
      <c r="A1405" s="4"/>
    </row>
    <row r="1406">
      <c r="A1406" s="4"/>
    </row>
    <row r="1407">
      <c r="A1407" s="4"/>
    </row>
    <row r="1408">
      <c r="A1408" s="4"/>
    </row>
    <row r="1409">
      <c r="A1409" s="4"/>
    </row>
    <row r="1410">
      <c r="A1410" s="4"/>
    </row>
    <row r="1411">
      <c r="A1411" s="4"/>
    </row>
    <row r="1412">
      <c r="A1412" s="4"/>
    </row>
    <row r="1413">
      <c r="A1413" s="4"/>
    </row>
    <row r="1414">
      <c r="A1414" s="4"/>
    </row>
    <row r="1415">
      <c r="A1415" s="4"/>
    </row>
    <row r="1416">
      <c r="A1416"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ht="15.0" customHeight="1">
      <c r="A2" s="4" t="s">
        <v>33</v>
      </c>
    </row>
    <row r="3">
      <c r="A3" s="4" t="s">
        <v>880</v>
      </c>
    </row>
    <row r="4">
      <c r="A4" s="4" t="s">
        <v>3250</v>
      </c>
    </row>
    <row r="5">
      <c r="A5" s="4" t="s">
        <v>537</v>
      </c>
    </row>
    <row r="6">
      <c r="A6" s="4" t="s">
        <v>119</v>
      </c>
    </row>
    <row r="7">
      <c r="A7" s="4" t="s">
        <v>893</v>
      </c>
    </row>
    <row r="8">
      <c r="A8" s="4" t="s">
        <v>894</v>
      </c>
    </row>
    <row r="9">
      <c r="A9" s="4" t="s">
        <v>40</v>
      </c>
    </row>
    <row r="10">
      <c r="A10" s="4" t="s">
        <v>53</v>
      </c>
    </row>
    <row r="11">
      <c r="A11" s="4" t="s">
        <v>115</v>
      </c>
    </row>
    <row r="12">
      <c r="A12" s="4" t="s">
        <v>92</v>
      </c>
    </row>
    <row r="13">
      <c r="A13" s="4" t="s">
        <v>93</v>
      </c>
    </row>
    <row r="14">
      <c r="A14" s="4" t="s">
        <v>33</v>
      </c>
    </row>
    <row r="15">
      <c r="A15" s="4" t="s">
        <v>869</v>
      </c>
    </row>
    <row r="16">
      <c r="A16" s="4" t="s">
        <v>88</v>
      </c>
    </row>
    <row r="17">
      <c r="A17" s="4" t="s">
        <v>89</v>
      </c>
    </row>
    <row r="18">
      <c r="A18" s="4" t="s">
        <v>33</v>
      </c>
    </row>
    <row r="19">
      <c r="A19" s="4" t="s">
        <v>3251</v>
      </c>
    </row>
    <row r="20">
      <c r="A20" s="4" t="s">
        <v>44</v>
      </c>
    </row>
    <row r="21">
      <c r="A21" s="4" t="s">
        <v>1532</v>
      </c>
    </row>
    <row r="22">
      <c r="A22" s="4" t="s">
        <v>75</v>
      </c>
    </row>
    <row r="23">
      <c r="A23" s="4" t="s">
        <v>3252</v>
      </c>
    </row>
    <row r="24">
      <c r="A24" s="4" t="s">
        <v>33</v>
      </c>
    </row>
    <row r="25">
      <c r="A25" s="4" t="s">
        <v>131</v>
      </c>
    </row>
    <row r="26">
      <c r="A26" s="4" t="s">
        <v>869</v>
      </c>
    </row>
    <row r="27">
      <c r="A27" s="4" t="s">
        <v>159</v>
      </c>
    </row>
    <row r="28">
      <c r="A28" s="4" t="s">
        <v>1509</v>
      </c>
    </row>
    <row r="29">
      <c r="A29" s="4" t="s">
        <v>48</v>
      </c>
    </row>
    <row r="30">
      <c r="A30" s="4" t="s">
        <v>88</v>
      </c>
    </row>
    <row r="31">
      <c r="A31" s="4" t="s">
        <v>40</v>
      </c>
    </row>
    <row r="32">
      <c r="A32" s="4" t="s">
        <v>75</v>
      </c>
    </row>
    <row r="33">
      <c r="A33" s="4" t="s">
        <v>553</v>
      </c>
    </row>
    <row r="34">
      <c r="A34" s="4" t="s">
        <v>866</v>
      </c>
    </row>
    <row r="35">
      <c r="A35" s="4" t="s">
        <v>41</v>
      </c>
    </row>
    <row r="36">
      <c r="A36" s="4" t="s">
        <v>867</v>
      </c>
    </row>
    <row r="37">
      <c r="A37" s="4" t="s">
        <v>35</v>
      </c>
    </row>
    <row r="38">
      <c r="A38" s="4" t="s">
        <v>40</v>
      </c>
    </row>
    <row r="39">
      <c r="A39" s="4" t="s">
        <v>147</v>
      </c>
    </row>
    <row r="40">
      <c r="A40" s="4" t="s">
        <v>553</v>
      </c>
    </row>
    <row r="41">
      <c r="A41" s="4" t="s">
        <v>3253</v>
      </c>
    </row>
    <row r="42">
      <c r="A42" s="4" t="s">
        <v>562</v>
      </c>
    </row>
    <row r="43">
      <c r="A43" s="4" t="s">
        <v>88</v>
      </c>
    </row>
    <row r="44">
      <c r="A44" s="4" t="s">
        <v>40</v>
      </c>
    </row>
    <row r="45">
      <c r="A45" s="4" t="s">
        <v>75</v>
      </c>
    </row>
    <row r="46">
      <c r="A46" s="4" t="s">
        <v>33</v>
      </c>
    </row>
    <row r="47">
      <c r="A47" s="4" t="s">
        <v>897</v>
      </c>
    </row>
    <row r="48">
      <c r="A48" s="4" t="s">
        <v>41</v>
      </c>
    </row>
    <row r="49">
      <c r="A49" s="4" t="s">
        <v>913</v>
      </c>
    </row>
    <row r="50">
      <c r="A50" s="4" t="s">
        <v>88</v>
      </c>
    </row>
    <row r="51">
      <c r="A51" s="4" t="s">
        <v>40</v>
      </c>
    </row>
    <row r="52">
      <c r="A52" s="4" t="s">
        <v>75</v>
      </c>
    </row>
    <row r="53">
      <c r="A53" s="4" t="s">
        <v>115</v>
      </c>
    </row>
    <row r="54">
      <c r="A54" s="4" t="s">
        <v>900</v>
      </c>
    </row>
    <row r="55">
      <c r="A55" s="4" t="s">
        <v>3254</v>
      </c>
    </row>
    <row r="56">
      <c r="A56" s="4" t="s">
        <v>33</v>
      </c>
    </row>
    <row r="57">
      <c r="A57" s="4" t="s">
        <v>897</v>
      </c>
    </row>
    <row r="58">
      <c r="A58" s="4" t="s">
        <v>41</v>
      </c>
    </row>
    <row r="59">
      <c r="A59" s="4" t="s">
        <v>913</v>
      </c>
    </row>
    <row r="60">
      <c r="A60" s="4" t="s">
        <v>547</v>
      </c>
    </row>
    <row r="61">
      <c r="A61" s="4" t="s">
        <v>871</v>
      </c>
    </row>
    <row r="62">
      <c r="A62" s="4" t="s">
        <v>40</v>
      </c>
    </row>
    <row r="63">
      <c r="A63" s="4" t="s">
        <v>75</v>
      </c>
    </row>
    <row r="64">
      <c r="A64" s="4" t="s">
        <v>33</v>
      </c>
    </row>
    <row r="65">
      <c r="A65" s="4" t="s">
        <v>876</v>
      </c>
    </row>
    <row r="66">
      <c r="A66" s="4" t="s">
        <v>41</v>
      </c>
    </row>
    <row r="67">
      <c r="A67" s="4" t="s">
        <v>516</v>
      </c>
    </row>
    <row r="68">
      <c r="A68" s="4" t="s">
        <v>40</v>
      </c>
    </row>
    <row r="69">
      <c r="A69" s="4" t="s">
        <v>520</v>
      </c>
    </row>
    <row r="70">
      <c r="A70" s="4" t="s">
        <v>92</v>
      </c>
    </row>
    <row r="71">
      <c r="A71" s="4" t="s">
        <v>3255</v>
      </c>
    </row>
    <row r="72">
      <c r="A72" s="4" t="s">
        <v>129</v>
      </c>
    </row>
    <row r="73">
      <c r="A73" s="4" t="s">
        <v>500</v>
      </c>
    </row>
    <row r="74">
      <c r="A74" s="4" t="s">
        <v>33</v>
      </c>
    </row>
    <row r="75">
      <c r="A75" s="4" t="s">
        <v>876</v>
      </c>
    </row>
    <row r="76">
      <c r="A76" s="4" t="s">
        <v>36</v>
      </c>
    </row>
    <row r="77">
      <c r="A77" s="4" t="s">
        <v>103</v>
      </c>
    </row>
    <row r="78">
      <c r="A78" s="4" t="s">
        <v>3256</v>
      </c>
    </row>
    <row r="79">
      <c r="A79" s="4" t="s">
        <v>33</v>
      </c>
    </row>
    <row r="80">
      <c r="A80" s="4" t="s">
        <v>567</v>
      </c>
    </row>
    <row r="81">
      <c r="A81" s="4" t="s">
        <v>3257</v>
      </c>
    </row>
    <row r="82">
      <c r="A82" s="4" t="s">
        <v>3258</v>
      </c>
    </row>
    <row r="83">
      <c r="A83" s="4" t="s">
        <v>3259</v>
      </c>
    </row>
    <row r="84">
      <c r="A84" s="4" t="s">
        <v>115</v>
      </c>
    </row>
    <row r="85">
      <c r="A85" s="4" t="s">
        <v>970</v>
      </c>
    </row>
    <row r="86">
      <c r="A86" s="4" t="s">
        <v>160</v>
      </c>
    </row>
    <row r="87">
      <c r="A87" s="4" t="s">
        <v>1517</v>
      </c>
    </row>
    <row r="88">
      <c r="A88" s="4" t="s">
        <v>3260</v>
      </c>
    </row>
    <row r="89">
      <c r="A89" s="4" t="s">
        <v>33</v>
      </c>
    </row>
    <row r="90">
      <c r="A90" s="4" t="s">
        <v>48</v>
      </c>
    </row>
    <row r="91">
      <c r="A91" s="4" t="s">
        <v>1230</v>
      </c>
    </row>
    <row r="92">
      <c r="A92" s="4" t="s">
        <v>36</v>
      </c>
    </row>
    <row r="93">
      <c r="A93" s="4" t="s">
        <v>3003</v>
      </c>
    </row>
    <row r="94">
      <c r="A94" s="4" t="s">
        <v>90</v>
      </c>
    </row>
    <row r="95">
      <c r="A95" s="4" t="s">
        <v>40</v>
      </c>
    </row>
    <row r="96">
      <c r="A96" s="4" t="s">
        <v>33</v>
      </c>
    </row>
    <row r="97">
      <c r="A97" s="4" t="s">
        <v>567</v>
      </c>
    </row>
    <row r="98">
      <c r="A98" s="4" t="s">
        <v>41</v>
      </c>
    </row>
    <row r="99">
      <c r="A99" s="4" t="s">
        <v>3261</v>
      </c>
    </row>
    <row r="100">
      <c r="A100" s="4" t="s">
        <v>3262</v>
      </c>
    </row>
    <row r="101">
      <c r="A101" s="4" t="s">
        <v>88</v>
      </c>
    </row>
    <row r="102">
      <c r="A102" s="4" t="s">
        <v>89</v>
      </c>
    </row>
    <row r="103">
      <c r="A103" s="4" t="s">
        <v>33</v>
      </c>
    </row>
    <row r="104">
      <c r="A104" s="4" t="s">
        <v>946</v>
      </c>
    </row>
    <row r="105">
      <c r="A105" s="4" t="s">
        <v>41</v>
      </c>
    </row>
    <row r="106">
      <c r="A106" s="4" t="s">
        <v>108</v>
      </c>
    </row>
    <row r="107">
      <c r="A107" s="4" t="s">
        <v>110</v>
      </c>
    </row>
    <row r="108">
      <c r="A108" s="4" t="s">
        <v>518</v>
      </c>
    </row>
    <row r="109">
      <c r="A109" s="4" t="s">
        <v>3263</v>
      </c>
    </row>
    <row r="110">
      <c r="A110" s="4" t="s">
        <v>3264</v>
      </c>
    </row>
    <row r="111">
      <c r="A111" s="4" t="s">
        <v>48</v>
      </c>
    </row>
    <row r="112">
      <c r="A112" s="4" t="s">
        <v>3265</v>
      </c>
    </row>
    <row r="113">
      <c r="A113" s="4" t="s">
        <v>88</v>
      </c>
    </row>
    <row r="114">
      <c r="A114" s="4" t="s">
        <v>40</v>
      </c>
    </row>
    <row r="115">
      <c r="A115" s="4" t="s">
        <v>75</v>
      </c>
    </row>
    <row r="116">
      <c r="A116" s="4" t="s">
        <v>961</v>
      </c>
    </row>
    <row r="117">
      <c r="A117" s="4" t="s">
        <v>873</v>
      </c>
    </row>
    <row r="118">
      <c r="A118" s="4" t="s">
        <v>119</v>
      </c>
    </row>
    <row r="119">
      <c r="A119" s="4" t="s">
        <v>1352</v>
      </c>
    </row>
    <row r="120">
      <c r="A120" s="4" t="s">
        <v>109</v>
      </c>
    </row>
    <row r="121">
      <c r="A121" s="4" t="s">
        <v>110</v>
      </c>
    </row>
    <row r="122">
      <c r="A122" s="4" t="s">
        <v>111</v>
      </c>
    </row>
    <row r="123">
      <c r="A123" s="4" t="s">
        <v>39</v>
      </c>
    </row>
    <row r="124">
      <c r="A124" s="4" t="s">
        <v>40</v>
      </c>
    </row>
    <row r="125">
      <c r="A125" s="4" t="s">
        <v>51</v>
      </c>
    </row>
    <row r="126">
      <c r="A126" s="4" t="s">
        <v>34</v>
      </c>
    </row>
    <row r="127">
      <c r="A127" s="4" t="s">
        <v>33</v>
      </c>
    </row>
    <row r="128">
      <c r="A128" s="4" t="s">
        <v>117</v>
      </c>
    </row>
    <row r="129">
      <c r="A129" s="4" t="s">
        <v>41</v>
      </c>
    </row>
    <row r="130">
      <c r="A130" s="4" t="s">
        <v>535</v>
      </c>
    </row>
    <row r="131">
      <c r="A131" s="4" t="s">
        <v>44</v>
      </c>
    </row>
    <row r="132">
      <c r="A132" s="4" t="s">
        <v>119</v>
      </c>
    </row>
    <row r="133">
      <c r="A133" s="4" t="s">
        <v>64</v>
      </c>
    </row>
    <row r="134">
      <c r="A134" s="4" t="s">
        <v>3266</v>
      </c>
    </row>
    <row r="135">
      <c r="A135" s="4" t="s">
        <v>40</v>
      </c>
    </row>
    <row r="136">
      <c r="A136" s="4" t="s">
        <v>128</v>
      </c>
    </row>
    <row r="137">
      <c r="A137" s="4" t="s">
        <v>884</v>
      </c>
    </row>
    <row r="138">
      <c r="A138" s="4" t="s">
        <v>83</v>
      </c>
    </row>
    <row r="139">
      <c r="A139" s="4" t="s">
        <v>961</v>
      </c>
    </row>
    <row r="140">
      <c r="A140" s="4" t="s">
        <v>33</v>
      </c>
    </row>
    <row r="141">
      <c r="A141" s="4" t="s">
        <v>918</v>
      </c>
    </row>
    <row r="142">
      <c r="A142" s="4" t="s">
        <v>39</v>
      </c>
    </row>
    <row r="143">
      <c r="A143" s="4" t="s">
        <v>159</v>
      </c>
    </row>
    <row r="144">
      <c r="A144" s="4" t="s">
        <v>33</v>
      </c>
    </row>
    <row r="145">
      <c r="A145" s="4" t="s">
        <v>897</v>
      </c>
    </row>
    <row r="146">
      <c r="A146" s="4" t="s">
        <v>41</v>
      </c>
    </row>
    <row r="147">
      <c r="A147" s="4" t="s">
        <v>913</v>
      </c>
    </row>
    <row r="148">
      <c r="A148" s="4" t="s">
        <v>3267</v>
      </c>
    </row>
    <row r="149">
      <c r="A149" s="4" t="s">
        <v>871</v>
      </c>
    </row>
    <row r="150">
      <c r="A150" s="4" t="s">
        <v>115</v>
      </c>
    </row>
    <row r="151">
      <c r="A151" s="4" t="s">
        <v>919</v>
      </c>
    </row>
    <row r="152">
      <c r="A152" s="4" t="s">
        <v>3268</v>
      </c>
    </row>
    <row r="153">
      <c r="A153" s="4" t="s">
        <v>33</v>
      </c>
    </row>
    <row r="154">
      <c r="A154" s="4" t="s">
        <v>876</v>
      </c>
    </row>
    <row r="155">
      <c r="A155" s="4" t="s">
        <v>44</v>
      </c>
    </row>
    <row r="156">
      <c r="A156" s="4" t="s">
        <v>119</v>
      </c>
    </row>
    <row r="157">
      <c r="A157" s="4" t="s">
        <v>500</v>
      </c>
    </row>
    <row r="158">
      <c r="A158" s="4" t="s">
        <v>3269</v>
      </c>
    </row>
    <row r="159">
      <c r="A159" s="4" t="s">
        <v>40</v>
      </c>
    </row>
    <row r="160">
      <c r="A160" s="4" t="s">
        <v>921</v>
      </c>
    </row>
    <row r="161">
      <c r="A161" s="4" t="s">
        <v>115</v>
      </c>
    </row>
    <row r="162">
      <c r="A162" s="4" t="s">
        <v>92</v>
      </c>
    </row>
    <row r="163">
      <c r="A163" s="4" t="s">
        <v>93</v>
      </c>
    </row>
    <row r="164">
      <c r="A164" s="4" t="s">
        <v>553</v>
      </c>
    </row>
    <row r="165">
      <c r="A165" s="4" t="s">
        <v>866</v>
      </c>
    </row>
    <row r="166">
      <c r="A166" s="4" t="s">
        <v>41</v>
      </c>
    </row>
    <row r="167">
      <c r="A167" s="4" t="s">
        <v>867</v>
      </c>
    </row>
    <row r="168">
      <c r="A168" s="4" t="s">
        <v>929</v>
      </c>
    </row>
    <row r="169">
      <c r="A169" s="4" t="s">
        <v>40</v>
      </c>
    </row>
    <row r="170">
      <c r="A170" s="4" t="s">
        <v>147</v>
      </c>
    </row>
    <row r="171">
      <c r="A171" s="4" t="s">
        <v>48</v>
      </c>
    </row>
    <row r="172">
      <c r="A172" s="4" t="s">
        <v>3270</v>
      </c>
    </row>
    <row r="173">
      <c r="A173" s="4" t="s">
        <v>33</v>
      </c>
    </row>
    <row r="174">
      <c r="A174" s="4" t="s">
        <v>34</v>
      </c>
    </row>
    <row r="175">
      <c r="A175" s="4" t="s">
        <v>44</v>
      </c>
    </row>
    <row r="176">
      <c r="A176" s="4" t="s">
        <v>513</v>
      </c>
    </row>
    <row r="177">
      <c r="A177" s="4" t="s">
        <v>543</v>
      </c>
    </row>
    <row r="178">
      <c r="A178" s="4" t="s">
        <v>41</v>
      </c>
    </row>
    <row r="179">
      <c r="A179" s="4" t="s">
        <v>116</v>
      </c>
    </row>
    <row r="180">
      <c r="A180" s="4" t="s">
        <v>1378</v>
      </c>
    </row>
    <row r="181">
      <c r="A181" s="4" t="s">
        <v>109</v>
      </c>
    </row>
    <row r="182">
      <c r="A182" s="4" t="s">
        <v>3271</v>
      </c>
    </row>
    <row r="183">
      <c r="A183" s="4" t="s">
        <v>3272</v>
      </c>
    </row>
    <row r="184">
      <c r="A184" s="4" t="s">
        <v>935</v>
      </c>
    </row>
    <row r="185">
      <c r="A185" s="4" t="s">
        <v>48</v>
      </c>
    </row>
    <row r="186">
      <c r="A186" s="4" t="s">
        <v>544</v>
      </c>
    </row>
    <row r="187">
      <c r="A187" s="4" t="s">
        <v>553</v>
      </c>
    </row>
    <row r="188">
      <c r="A188" s="4" t="s">
        <v>155</v>
      </c>
    </row>
    <row r="189">
      <c r="A189" s="4" t="s">
        <v>44</v>
      </c>
    </row>
    <row r="190">
      <c r="A190" s="4" t="s">
        <v>513</v>
      </c>
    </row>
    <row r="191">
      <c r="A191" s="4" t="s">
        <v>3273</v>
      </c>
    </row>
    <row r="192">
      <c r="A192" s="4" t="s">
        <v>92</v>
      </c>
    </row>
    <row r="193">
      <c r="A193" s="4" t="s">
        <v>3274</v>
      </c>
    </row>
    <row r="194">
      <c r="A194" s="4" t="s">
        <v>553</v>
      </c>
    </row>
    <row r="195">
      <c r="A195" s="4" t="s">
        <v>155</v>
      </c>
    </row>
    <row r="196">
      <c r="A196" s="4" t="s">
        <v>3275</v>
      </c>
    </row>
    <row r="197">
      <c r="A197" s="4" t="s">
        <v>88</v>
      </c>
    </row>
    <row r="198">
      <c r="A198" s="4" t="s">
        <v>40</v>
      </c>
    </row>
    <row r="199">
      <c r="A199" s="4" t="s">
        <v>75</v>
      </c>
    </row>
    <row r="200">
      <c r="A200" s="4" t="s">
        <v>90</v>
      </c>
    </row>
    <row r="201">
      <c r="A201" s="4" t="s">
        <v>44</v>
      </c>
    </row>
    <row r="202">
      <c r="A202" s="4" t="s">
        <v>513</v>
      </c>
    </row>
    <row r="203">
      <c r="A203" s="4" t="s">
        <v>1339</v>
      </c>
    </row>
    <row r="204">
      <c r="A204" s="4" t="s">
        <v>116</v>
      </c>
    </row>
    <row r="205">
      <c r="A205" s="4" t="s">
        <v>140</v>
      </c>
    </row>
    <row r="206">
      <c r="A206" s="4" t="s">
        <v>139</v>
      </c>
    </row>
    <row r="207">
      <c r="A207" s="4" t="s">
        <v>33</v>
      </c>
    </row>
    <row r="208">
      <c r="A208" s="4" t="s">
        <v>978</v>
      </c>
    </row>
    <row r="209">
      <c r="A209" s="4" t="s">
        <v>115</v>
      </c>
    </row>
    <row r="210">
      <c r="A210" s="4" t="s">
        <v>73</v>
      </c>
    </row>
    <row r="211">
      <c r="A211" s="4" t="s">
        <v>3276</v>
      </c>
    </row>
    <row r="212">
      <c r="A212" s="4" t="s">
        <v>960</v>
      </c>
    </row>
    <row r="213">
      <c r="A213" s="4" t="s">
        <v>65</v>
      </c>
    </row>
    <row r="214">
      <c r="A214" s="4" t="s">
        <v>119</v>
      </c>
    </row>
    <row r="215">
      <c r="A215" s="4" t="s">
        <v>546</v>
      </c>
    </row>
    <row r="216">
      <c r="A216" s="4" t="s">
        <v>109</v>
      </c>
    </row>
    <row r="217">
      <c r="A217" s="4" t="s">
        <v>501</v>
      </c>
    </row>
    <row r="218">
      <c r="A218" s="4" t="s">
        <v>68</v>
      </c>
    </row>
    <row r="219">
      <c r="A219" s="4" t="s">
        <v>970</v>
      </c>
    </row>
    <row r="220">
      <c r="A220" s="4" t="s">
        <v>33</v>
      </c>
    </row>
    <row r="221">
      <c r="A221" s="4" t="s">
        <v>3277</v>
      </c>
    </row>
    <row r="222">
      <c r="A222" s="4" t="s">
        <v>44</v>
      </c>
    </row>
    <row r="223">
      <c r="A223" s="4" t="s">
        <v>119</v>
      </c>
    </row>
    <row r="224">
      <c r="A224" s="4" t="s">
        <v>62</v>
      </c>
    </row>
    <row r="225">
      <c r="A225" s="4" t="s">
        <v>64</v>
      </c>
    </row>
    <row r="226">
      <c r="A226" s="4" t="s">
        <v>39</v>
      </c>
    </row>
    <row r="227">
      <c r="A227" s="4" t="s">
        <v>159</v>
      </c>
    </row>
    <row r="228">
      <c r="A228" s="4" t="s">
        <v>553</v>
      </c>
    </row>
    <row r="229">
      <c r="A229" s="4" t="s">
        <v>3019</v>
      </c>
    </row>
    <row r="230">
      <c r="A230" s="4" t="s">
        <v>41</v>
      </c>
    </row>
    <row r="231">
      <c r="A231" s="4" t="s">
        <v>867</v>
      </c>
    </row>
    <row r="232">
      <c r="A232" s="4" t="s">
        <v>509</v>
      </c>
    </row>
    <row r="233">
      <c r="A233" s="4" t="s">
        <v>92</v>
      </c>
    </row>
    <row r="234">
      <c r="A234" s="4" t="s">
        <v>122</v>
      </c>
    </row>
    <row r="235">
      <c r="A235" s="4" t="s">
        <v>537</v>
      </c>
    </row>
    <row r="236">
      <c r="A236" s="4" t="s">
        <v>33</v>
      </c>
    </row>
    <row r="237">
      <c r="A237" s="4" t="s">
        <v>946</v>
      </c>
    </row>
    <row r="238">
      <c r="A238" s="4" t="s">
        <v>41</v>
      </c>
    </row>
    <row r="239">
      <c r="A239" s="4" t="s">
        <v>978</v>
      </c>
    </row>
    <row r="240">
      <c r="A240" s="4" t="s">
        <v>88</v>
      </c>
    </row>
    <row r="241">
      <c r="A241" s="4" t="s">
        <v>871</v>
      </c>
    </row>
    <row r="242">
      <c r="A242" s="4" t="s">
        <v>3278</v>
      </c>
    </row>
    <row r="243">
      <c r="A243" s="4" t="s">
        <v>877</v>
      </c>
    </row>
    <row r="244">
      <c r="A244" s="4" t="s">
        <v>119</v>
      </c>
    </row>
    <row r="245">
      <c r="A245" s="4" t="s">
        <v>879</v>
      </c>
    </row>
    <row r="246">
      <c r="A246" s="4" t="s">
        <v>160</v>
      </c>
    </row>
    <row r="247">
      <c r="A247" s="4" t="s">
        <v>109</v>
      </c>
    </row>
    <row r="248">
      <c r="A248" s="4" t="s">
        <v>110</v>
      </c>
    </row>
    <row r="249">
      <c r="A249" s="4" t="s">
        <v>961</v>
      </c>
    </row>
    <row r="250">
      <c r="A250" s="4" t="s">
        <v>553</v>
      </c>
    </row>
    <row r="251">
      <c r="A251" s="4" t="s">
        <v>925</v>
      </c>
    </row>
    <row r="252">
      <c r="A252" s="4" t="s">
        <v>525</v>
      </c>
    </row>
    <row r="253">
      <c r="A253" s="4" t="s">
        <v>1246</v>
      </c>
    </row>
    <row r="254">
      <c r="A254" s="4" t="s">
        <v>35</v>
      </c>
    </row>
    <row r="255">
      <c r="A255" s="4" t="s">
        <v>65</v>
      </c>
    </row>
    <row r="256">
      <c r="A256" s="4" t="s">
        <v>1526</v>
      </c>
    </row>
    <row r="257">
      <c r="A257" s="4" t="s">
        <v>48</v>
      </c>
    </row>
    <row r="258">
      <c r="A258" s="4" t="s">
        <v>1365</v>
      </c>
    </row>
    <row r="259">
      <c r="A259" s="4" t="s">
        <v>40</v>
      </c>
    </row>
    <row r="260">
      <c r="A260" s="4" t="s">
        <v>166</v>
      </c>
    </row>
    <row r="261">
      <c r="A261" s="4" t="s">
        <v>1367</v>
      </c>
    </row>
    <row r="262">
      <c r="A262" s="4" t="s">
        <v>33</v>
      </c>
    </row>
    <row r="263">
      <c r="A263" s="4" t="s">
        <v>34</v>
      </c>
    </row>
    <row r="264">
      <c r="A264" s="4" t="s">
        <v>919</v>
      </c>
    </row>
    <row r="265">
      <c r="A265" s="4" t="s">
        <v>139</v>
      </c>
    </row>
    <row r="266">
      <c r="A266" s="4" t="s">
        <v>119</v>
      </c>
    </row>
    <row r="267">
      <c r="A267" s="4" t="s">
        <v>3279</v>
      </c>
    </row>
    <row r="268">
      <c r="A268" s="4" t="s">
        <v>1540</v>
      </c>
    </row>
    <row r="269">
      <c r="A269" s="4" t="s">
        <v>150</v>
      </c>
    </row>
    <row r="270">
      <c r="A270" s="4" t="s">
        <v>520</v>
      </c>
    </row>
    <row r="271">
      <c r="A271" s="4" t="s">
        <v>33</v>
      </c>
    </row>
    <row r="272">
      <c r="A272" s="4" t="s">
        <v>119</v>
      </c>
    </row>
    <row r="273">
      <c r="A273" s="4" t="s">
        <v>3280</v>
      </c>
    </row>
    <row r="274">
      <c r="A274" s="4" t="s">
        <v>894</v>
      </c>
    </row>
    <row r="275">
      <c r="A275" s="4" t="s">
        <v>109</v>
      </c>
    </row>
    <row r="276">
      <c r="A276" s="4" t="s">
        <v>110</v>
      </c>
    </row>
    <row r="277">
      <c r="A277" s="4" t="s">
        <v>947</v>
      </c>
    </row>
    <row r="278">
      <c r="A278" s="4" t="s">
        <v>40</v>
      </c>
    </row>
    <row r="279">
      <c r="A279" s="4" t="s">
        <v>520</v>
      </c>
    </row>
    <row r="280">
      <c r="A280" s="4" t="s">
        <v>3281</v>
      </c>
    </row>
    <row r="281">
      <c r="A281" s="4" t="s">
        <v>83</v>
      </c>
    </row>
    <row r="282">
      <c r="A282" s="4" t="s">
        <v>33</v>
      </c>
    </row>
    <row r="283">
      <c r="A283" s="4" t="s">
        <v>119</v>
      </c>
    </row>
    <row r="284">
      <c r="A284" s="4" t="s">
        <v>87</v>
      </c>
    </row>
    <row r="285">
      <c r="A285" s="4" t="s">
        <v>109</v>
      </c>
    </row>
    <row r="286">
      <c r="A286" s="4" t="s">
        <v>110</v>
      </c>
    </row>
    <row r="287">
      <c r="A287" s="4" t="s">
        <v>3282</v>
      </c>
    </row>
    <row r="288">
      <c r="A288" s="4" t="s">
        <v>518</v>
      </c>
    </row>
    <row r="289">
      <c r="A289" s="4" t="s">
        <v>3263</v>
      </c>
    </row>
    <row r="290">
      <c r="A290" s="4" t="s">
        <v>88</v>
      </c>
    </row>
    <row r="291">
      <c r="A291" s="4" t="s">
        <v>40</v>
      </c>
    </row>
    <row r="292">
      <c r="A292" s="4" t="s">
        <v>75</v>
      </c>
    </row>
    <row r="293">
      <c r="A293" s="4" t="s">
        <v>57</v>
      </c>
    </row>
    <row r="294">
      <c r="A294" s="4" t="s">
        <v>33</v>
      </c>
    </row>
    <row r="295">
      <c r="A295" s="4" t="s">
        <v>3279</v>
      </c>
    </row>
    <row r="296">
      <c r="A296" s="4" t="s">
        <v>3283</v>
      </c>
    </row>
    <row r="297">
      <c r="A297" s="4" t="s">
        <v>150</v>
      </c>
    </row>
    <row r="298">
      <c r="A298" s="4" t="s">
        <v>3284</v>
      </c>
    </row>
    <row r="299">
      <c r="A299" s="4" t="s">
        <v>103</v>
      </c>
    </row>
    <row r="300">
      <c r="A300" s="4" t="s">
        <v>2613</v>
      </c>
    </row>
    <row r="301">
      <c r="A301" s="4" t="s">
        <v>33</v>
      </c>
    </row>
    <row r="302">
      <c r="A302" s="4" t="s">
        <v>34</v>
      </c>
    </row>
    <row r="303">
      <c r="A303" s="4" t="s">
        <v>3285</v>
      </c>
    </row>
    <row r="304">
      <c r="A304" s="4" t="s">
        <v>1535</v>
      </c>
    </row>
    <row r="305">
      <c r="A305" s="4" t="s">
        <v>33</v>
      </c>
    </row>
    <row r="306">
      <c r="A306" s="4" t="s">
        <v>529</v>
      </c>
    </row>
    <row r="307">
      <c r="A307" s="4" t="s">
        <v>119</v>
      </c>
    </row>
    <row r="308">
      <c r="A308" s="4" t="s">
        <v>164</v>
      </c>
    </row>
    <row r="309">
      <c r="A309" s="4" t="s">
        <v>947</v>
      </c>
    </row>
    <row r="310">
      <c r="A310" s="4" t="s">
        <v>40</v>
      </c>
    </row>
    <row r="311">
      <c r="A311" s="4" t="s">
        <v>1509</v>
      </c>
    </row>
    <row r="312">
      <c r="A312" s="4" t="s">
        <v>1367</v>
      </c>
    </row>
    <row r="313">
      <c r="A313" s="4" t="s">
        <v>1368</v>
      </c>
    </row>
    <row r="314">
      <c r="A314" s="4" t="s">
        <v>129</v>
      </c>
    </row>
    <row r="315">
      <c r="A315" s="4" t="s">
        <v>3286</v>
      </c>
    </row>
    <row r="316">
      <c r="A316" s="4" t="s">
        <v>126</v>
      </c>
    </row>
    <row r="317">
      <c r="A317" s="4" t="s">
        <v>3287</v>
      </c>
    </row>
    <row r="318">
      <c r="A318" s="4" t="s">
        <v>41</v>
      </c>
    </row>
    <row r="319">
      <c r="A319" s="4" t="s">
        <v>3288</v>
      </c>
    </row>
    <row r="320">
      <c r="A320" s="4" t="s">
        <v>33</v>
      </c>
    </row>
    <row r="321">
      <c r="A321" s="4" t="s">
        <v>3289</v>
      </c>
    </row>
    <row r="322">
      <c r="A322" s="4" t="s">
        <v>953</v>
      </c>
    </row>
    <row r="323">
      <c r="A323" s="4" t="s">
        <v>960</v>
      </c>
    </row>
    <row r="324">
      <c r="A324" s="4" t="s">
        <v>159</v>
      </c>
    </row>
    <row r="325">
      <c r="A325" s="4" t="s">
        <v>147</v>
      </c>
    </row>
    <row r="326">
      <c r="A326" s="4" t="s">
        <v>553</v>
      </c>
    </row>
    <row r="327">
      <c r="A327" s="4" t="s">
        <v>866</v>
      </c>
    </row>
    <row r="328">
      <c r="A328" s="4" t="s">
        <v>41</v>
      </c>
    </row>
    <row r="329">
      <c r="A329" s="4" t="s">
        <v>867</v>
      </c>
    </row>
    <row r="330">
      <c r="A330" s="4" t="s">
        <v>90</v>
      </c>
    </row>
    <row r="331">
      <c r="A331" s="4" t="s">
        <v>33</v>
      </c>
    </row>
    <row r="332">
      <c r="A332" s="4" t="s">
        <v>3290</v>
      </c>
    </row>
    <row r="333">
      <c r="A333" s="4" t="s">
        <v>44</v>
      </c>
    </row>
    <row r="334">
      <c r="A334" s="4" t="s">
        <v>1508</v>
      </c>
    </row>
    <row r="335">
      <c r="A335" s="4" t="s">
        <v>88</v>
      </c>
    </row>
    <row r="336">
      <c r="A336" s="4" t="s">
        <v>40</v>
      </c>
    </row>
    <row r="337">
      <c r="A337" s="4" t="s">
        <v>75</v>
      </c>
    </row>
    <row r="338">
      <c r="A338" s="4" t="s">
        <v>33</v>
      </c>
    </row>
    <row r="339">
      <c r="A339" s="4" t="s">
        <v>534</v>
      </c>
    </row>
    <row r="340">
      <c r="A340" s="4" t="s">
        <v>41</v>
      </c>
    </row>
    <row r="341">
      <c r="A341" s="4" t="s">
        <v>908</v>
      </c>
    </row>
    <row r="342">
      <c r="A342" s="4" t="s">
        <v>909</v>
      </c>
    </row>
    <row r="343">
      <c r="A343" s="4" t="s">
        <v>88</v>
      </c>
    </row>
    <row r="344">
      <c r="A344" s="4" t="s">
        <v>40</v>
      </c>
    </row>
    <row r="345">
      <c r="A345" s="4" t="s">
        <v>75</v>
      </c>
    </row>
    <row r="346">
      <c r="A346" s="4" t="s">
        <v>553</v>
      </c>
    </row>
    <row r="347">
      <c r="A347" s="4" t="s">
        <v>866</v>
      </c>
    </row>
    <row r="348">
      <c r="A348" s="4" t="s">
        <v>44</v>
      </c>
    </row>
    <row r="349">
      <c r="A349" s="4" t="s">
        <v>3291</v>
      </c>
    </row>
    <row r="350">
      <c r="A350" s="4" t="s">
        <v>160</v>
      </c>
    </row>
    <row r="351">
      <c r="A351" s="4" t="s">
        <v>527</v>
      </c>
    </row>
    <row r="352">
      <c r="A352" s="4" t="s">
        <v>33</v>
      </c>
    </row>
    <row r="353">
      <c r="A353" s="4" t="s">
        <v>3292</v>
      </c>
    </row>
    <row r="354">
      <c r="A354" s="4" t="s">
        <v>36</v>
      </c>
    </row>
    <row r="355">
      <c r="A355" s="4" t="s">
        <v>891</v>
      </c>
    </row>
    <row r="356">
      <c r="A356" s="4" t="s">
        <v>895</v>
      </c>
    </row>
    <row r="357">
      <c r="A357" s="4" t="s">
        <v>109</v>
      </c>
    </row>
    <row r="358">
      <c r="A358" s="4" t="s">
        <v>509</v>
      </c>
    </row>
    <row r="359">
      <c r="A359" s="4" t="s">
        <v>92</v>
      </c>
    </row>
    <row r="360">
      <c r="A360" s="4" t="s">
        <v>122</v>
      </c>
    </row>
    <row r="361">
      <c r="A361" s="4" t="s">
        <v>119</v>
      </c>
    </row>
    <row r="362">
      <c r="A362" s="4" t="s">
        <v>3293</v>
      </c>
    </row>
    <row r="363">
      <c r="A363" s="4" t="s">
        <v>57</v>
      </c>
    </row>
    <row r="364">
      <c r="A364" s="4" t="s">
        <v>33</v>
      </c>
    </row>
    <row r="365">
      <c r="A365" s="4" t="s">
        <v>959</v>
      </c>
    </row>
    <row r="366">
      <c r="A366" s="4" t="s">
        <v>44</v>
      </c>
    </row>
    <row r="367">
      <c r="A367" s="4" t="s">
        <v>92</v>
      </c>
    </row>
    <row r="368">
      <c r="A368" s="4" t="s">
        <v>527</v>
      </c>
    </row>
    <row r="369">
      <c r="A369" s="4" t="s">
        <v>1551</v>
      </c>
    </row>
    <row r="370">
      <c r="A370" s="4" t="s">
        <v>77</v>
      </c>
    </row>
    <row r="371">
      <c r="A371" s="4" t="s">
        <v>2599</v>
      </c>
    </row>
    <row r="372">
      <c r="A372" s="4" t="s">
        <v>3294</v>
      </c>
    </row>
    <row r="373">
      <c r="A373" s="4" t="s">
        <v>79</v>
      </c>
    </row>
    <row r="374">
      <c r="A374" s="4" t="s">
        <v>33</v>
      </c>
    </row>
    <row r="375">
      <c r="A375" s="4" t="s">
        <v>876</v>
      </c>
    </row>
    <row r="376">
      <c r="A376" s="4" t="s">
        <v>41</v>
      </c>
    </row>
    <row r="377">
      <c r="A377" s="4" t="s">
        <v>516</v>
      </c>
    </row>
    <row r="378">
      <c r="A378" s="4" t="s">
        <v>90</v>
      </c>
    </row>
    <row r="379">
      <c r="A379" s="4" t="s">
        <v>159</v>
      </c>
    </row>
    <row r="380">
      <c r="A380" s="4" t="s">
        <v>873</v>
      </c>
    </row>
    <row r="381">
      <c r="A381" s="4" t="s">
        <v>113</v>
      </c>
    </row>
    <row r="382">
      <c r="A382" s="4" t="s">
        <v>41</v>
      </c>
    </row>
    <row r="383">
      <c r="A383" s="4" t="s">
        <v>3295</v>
      </c>
    </row>
    <row r="384">
      <c r="A384" s="4" t="s">
        <v>44</v>
      </c>
    </row>
    <row r="385">
      <c r="A385" s="4" t="s">
        <v>3296</v>
      </c>
    </row>
    <row r="386">
      <c r="A386" s="4" t="s">
        <v>3297</v>
      </c>
    </row>
    <row r="387">
      <c r="A387" s="4" t="s">
        <v>33</v>
      </c>
    </row>
    <row r="388">
      <c r="A388" s="4" t="s">
        <v>897</v>
      </c>
    </row>
    <row r="389">
      <c r="A389" s="4" t="s">
        <v>41</v>
      </c>
    </row>
    <row r="390">
      <c r="A390" s="4" t="s">
        <v>913</v>
      </c>
    </row>
    <row r="391">
      <c r="A391" s="4" t="s">
        <v>871</v>
      </c>
    </row>
    <row r="392">
      <c r="A392" s="4" t="s">
        <v>88</v>
      </c>
    </row>
    <row r="393">
      <c r="A393" s="4" t="s">
        <v>3298</v>
      </c>
    </row>
    <row r="394">
      <c r="A394" s="4" t="s">
        <v>48</v>
      </c>
    </row>
    <row r="395">
      <c r="A395" s="4" t="s">
        <v>547</v>
      </c>
    </row>
    <row r="396">
      <c r="A396" s="4" t="s">
        <v>871</v>
      </c>
    </row>
    <row r="397">
      <c r="A397" s="4" t="s">
        <v>89</v>
      </c>
    </row>
    <row r="398">
      <c r="A398" s="4" t="s">
        <v>115</v>
      </c>
    </row>
    <row r="399">
      <c r="A399" s="4" t="s">
        <v>553</v>
      </c>
    </row>
    <row r="400">
      <c r="A400" s="4" t="s">
        <v>866</v>
      </c>
    </row>
    <row r="401">
      <c r="A401" s="4" t="s">
        <v>3299</v>
      </c>
    </row>
    <row r="402">
      <c r="A402" s="4" t="s">
        <v>40</v>
      </c>
    </row>
    <row r="403">
      <c r="A403" s="4" t="s">
        <v>147</v>
      </c>
    </row>
    <row r="404">
      <c r="A404" s="4" t="s">
        <v>553</v>
      </c>
    </row>
    <row r="405">
      <c r="A405" s="4" t="s">
        <v>3005</v>
      </c>
    </row>
    <row r="406">
      <c r="A406" s="4" t="s">
        <v>44</v>
      </c>
    </row>
    <row r="407">
      <c r="A407" s="4" t="s">
        <v>513</v>
      </c>
    </row>
    <row r="408">
      <c r="A408" s="4" t="s">
        <v>902</v>
      </c>
    </row>
    <row r="409">
      <c r="A409" s="4" t="s">
        <v>1227</v>
      </c>
    </row>
    <row r="410">
      <c r="A410" s="4" t="s">
        <v>3300</v>
      </c>
    </row>
    <row r="411">
      <c r="A411" s="4" t="s">
        <v>160</v>
      </c>
    </row>
    <row r="412">
      <c r="A412" s="4" t="s">
        <v>3301</v>
      </c>
    </row>
    <row r="413">
      <c r="A413" s="4" t="s">
        <v>527</v>
      </c>
    </row>
    <row r="414">
      <c r="A414" s="4" t="s">
        <v>33</v>
      </c>
    </row>
    <row r="415">
      <c r="A415" s="4" t="s">
        <v>939</v>
      </c>
    </row>
    <row r="416">
      <c r="A416" s="4" t="s">
        <v>544</v>
      </c>
    </row>
    <row r="417">
      <c r="A417" s="4" t="s">
        <v>107</v>
      </c>
    </row>
    <row r="418">
      <c r="A418" s="4" t="s">
        <v>41</v>
      </c>
    </row>
    <row r="419">
      <c r="A419" s="4" t="s">
        <v>3017</v>
      </c>
    </row>
    <row r="420">
      <c r="A420" s="4" t="s">
        <v>48</v>
      </c>
    </row>
    <row r="421">
      <c r="A421" s="4" t="s">
        <v>88</v>
      </c>
    </row>
    <row r="422">
      <c r="A422" s="4" t="s">
        <v>871</v>
      </c>
    </row>
    <row r="423">
      <c r="A423" s="4" t="s">
        <v>75</v>
      </c>
    </row>
    <row r="424">
      <c r="A424" s="4" t="s">
        <v>33</v>
      </c>
    </row>
    <row r="425">
      <c r="A425" s="4" t="s">
        <v>534</v>
      </c>
    </row>
    <row r="426">
      <c r="A426" s="4" t="s">
        <v>41</v>
      </c>
    </row>
    <row r="427">
      <c r="A427" s="4" t="s">
        <v>908</v>
      </c>
    </row>
    <row r="428">
      <c r="A428" s="4" t="s">
        <v>909</v>
      </c>
    </row>
    <row r="429">
      <c r="A429" s="4" t="s">
        <v>90</v>
      </c>
    </row>
    <row r="430">
      <c r="A430" s="4" t="s">
        <v>94</v>
      </c>
    </row>
    <row r="431">
      <c r="A431" s="4" t="s">
        <v>3302</v>
      </c>
    </row>
    <row r="432">
      <c r="A432" s="4" t="s">
        <v>33</v>
      </c>
    </row>
    <row r="433">
      <c r="A433" s="4" t="s">
        <v>3303</v>
      </c>
    </row>
    <row r="434">
      <c r="A434" s="4" t="s">
        <v>80</v>
      </c>
    </row>
    <row r="435">
      <c r="A435" s="4" t="s">
        <v>891</v>
      </c>
    </row>
    <row r="436">
      <c r="A436" s="4" t="s">
        <v>889</v>
      </c>
    </row>
    <row r="437">
      <c r="A437" s="4" t="s">
        <v>3304</v>
      </c>
    </row>
    <row r="438">
      <c r="A438" s="4" t="s">
        <v>115</v>
      </c>
    </row>
    <row r="439">
      <c r="A439" s="4" t="s">
        <v>119</v>
      </c>
    </row>
    <row r="440">
      <c r="A440" s="4" t="s">
        <v>120</v>
      </c>
    </row>
    <row r="441">
      <c r="A441" s="4" t="s">
        <v>524</v>
      </c>
    </row>
    <row r="442">
      <c r="A442" s="4" t="s">
        <v>553</v>
      </c>
    </row>
    <row r="443">
      <c r="A443" s="4" t="s">
        <v>3253</v>
      </c>
    </row>
    <row r="444">
      <c r="A444" s="4" t="s">
        <v>88</v>
      </c>
    </row>
    <row r="445">
      <c r="A445" s="4" t="s">
        <v>40</v>
      </c>
    </row>
    <row r="446">
      <c r="A446" s="4" t="s">
        <v>75</v>
      </c>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row r="1007">
      <c r="A1007" s="4"/>
    </row>
    <row r="1008">
      <c r="A1008" s="4"/>
    </row>
    <row r="1009">
      <c r="A1009" s="4"/>
    </row>
    <row r="1010">
      <c r="A1010" s="4"/>
    </row>
    <row r="1011">
      <c r="A1011" s="4"/>
    </row>
    <row r="1012">
      <c r="A1012" s="4"/>
    </row>
    <row r="1013">
      <c r="A1013" s="4"/>
    </row>
    <row r="1014">
      <c r="A1014" s="4"/>
    </row>
    <row r="1015">
      <c r="A1015" s="4"/>
    </row>
    <row r="1016">
      <c r="A1016" s="4"/>
    </row>
    <row r="1017">
      <c r="A1017" s="4"/>
    </row>
    <row r="1018">
      <c r="A1018" s="4"/>
    </row>
    <row r="1019">
      <c r="A1019" s="4"/>
    </row>
    <row r="1020">
      <c r="A1020" s="4"/>
    </row>
    <row r="1021">
      <c r="A1021" s="4"/>
    </row>
    <row r="1022">
      <c r="A1022" s="4"/>
    </row>
    <row r="1023">
      <c r="A1023" s="4"/>
    </row>
    <row r="1024">
      <c r="A1024" s="4"/>
    </row>
    <row r="1025">
      <c r="A1025" s="4"/>
    </row>
    <row r="1026">
      <c r="A1026" s="4"/>
    </row>
    <row r="1027">
      <c r="A1027" s="4"/>
    </row>
    <row r="1028">
      <c r="A1028" s="4"/>
    </row>
    <row r="1029">
      <c r="A1029" s="4"/>
    </row>
    <row r="1030">
      <c r="A1030" s="4"/>
    </row>
    <row r="1031">
      <c r="A1031" s="4"/>
    </row>
    <row r="1032">
      <c r="A1032" s="4"/>
    </row>
    <row r="1033">
      <c r="A1033" s="4"/>
    </row>
    <row r="1034">
      <c r="A1034" s="4"/>
    </row>
    <row r="1035">
      <c r="A1035" s="4"/>
    </row>
    <row r="1036">
      <c r="A1036" s="4"/>
    </row>
    <row r="1037">
      <c r="A1037" s="4"/>
    </row>
    <row r="1038">
      <c r="A1038" s="4"/>
    </row>
    <row r="1039">
      <c r="A1039" s="4"/>
    </row>
    <row r="1040">
      <c r="A1040" s="4"/>
    </row>
    <row r="1041">
      <c r="A1041" s="4"/>
    </row>
    <row r="1042">
      <c r="A1042" s="4"/>
    </row>
    <row r="1043">
      <c r="A1043" s="4"/>
    </row>
    <row r="1044">
      <c r="A1044" s="4"/>
    </row>
    <row r="1045">
      <c r="A1045" s="4"/>
    </row>
    <row r="1046">
      <c r="A1046" s="4"/>
    </row>
    <row r="1047">
      <c r="A1047" s="4"/>
    </row>
    <row r="1048">
      <c r="A1048" s="4"/>
    </row>
    <row r="1049">
      <c r="A1049" s="4"/>
    </row>
    <row r="1050">
      <c r="A1050" s="4"/>
    </row>
    <row r="1051">
      <c r="A1051" s="4"/>
    </row>
    <row r="1052">
      <c r="A1052" s="4"/>
    </row>
    <row r="1053">
      <c r="A1053" s="4"/>
    </row>
    <row r="1054">
      <c r="A1054" s="4"/>
    </row>
    <row r="1055">
      <c r="A1055" s="4"/>
    </row>
    <row r="1056">
      <c r="A1056" s="4"/>
    </row>
    <row r="1057">
      <c r="A1057" s="4"/>
    </row>
    <row r="1058">
      <c r="A1058" s="4"/>
    </row>
    <row r="1059">
      <c r="A1059" s="4"/>
    </row>
    <row r="1060">
      <c r="A1060" s="4"/>
    </row>
    <row r="1061">
      <c r="A1061" s="4"/>
    </row>
    <row r="1062">
      <c r="A1062" s="4"/>
    </row>
    <row r="1063">
      <c r="A1063" s="4"/>
    </row>
    <row r="1064">
      <c r="A1064" s="4"/>
    </row>
    <row r="1065">
      <c r="A1065" s="4"/>
    </row>
    <row r="1066">
      <c r="A1066" s="4"/>
    </row>
    <row r="1067">
      <c r="A1067" s="4"/>
    </row>
    <row r="1068">
      <c r="A1068" s="4"/>
    </row>
    <row r="1069">
      <c r="A1069" s="4"/>
    </row>
    <row r="1070">
      <c r="A1070" s="4"/>
    </row>
    <row r="1071">
      <c r="A1071" s="4"/>
    </row>
    <row r="1072">
      <c r="A1072" s="4"/>
    </row>
    <row r="1073">
      <c r="A1073" s="4"/>
    </row>
    <row r="1074">
      <c r="A1074" s="4"/>
    </row>
    <row r="1075">
      <c r="A1075" s="4"/>
    </row>
    <row r="1076">
      <c r="A1076" s="4"/>
    </row>
    <row r="1077">
      <c r="A1077" s="4"/>
    </row>
    <row r="1078">
      <c r="A1078" s="4"/>
    </row>
    <row r="1079">
      <c r="A1079" s="4"/>
    </row>
    <row r="1080">
      <c r="A1080" s="4"/>
    </row>
    <row r="1081">
      <c r="A1081" s="4"/>
    </row>
    <row r="1082">
      <c r="A1082" s="4"/>
    </row>
    <row r="1083">
      <c r="A1083" s="4"/>
    </row>
    <row r="1084">
      <c r="A1084" s="4"/>
    </row>
    <row r="1085">
      <c r="A1085" s="4"/>
    </row>
    <row r="1086">
      <c r="A1086" s="4"/>
    </row>
    <row r="1087">
      <c r="A1087" s="4"/>
    </row>
    <row r="1088">
      <c r="A1088" s="4"/>
    </row>
    <row r="1089">
      <c r="A1089" s="4"/>
    </row>
    <row r="1090">
      <c r="A1090" s="4"/>
    </row>
    <row r="1091">
      <c r="A1091" s="4"/>
    </row>
    <row r="1092">
      <c r="A1092" s="4"/>
    </row>
    <row r="1093">
      <c r="A1093" s="4"/>
    </row>
    <row r="1094">
      <c r="A1094" s="4"/>
    </row>
    <row r="1095">
      <c r="A1095" s="4"/>
    </row>
    <row r="1096">
      <c r="A1096" s="4"/>
    </row>
    <row r="1097">
      <c r="A1097" s="4"/>
    </row>
    <row r="1098">
      <c r="A1098" s="4"/>
    </row>
    <row r="1099">
      <c r="A1099" s="4"/>
    </row>
    <row r="1100">
      <c r="A1100" s="4"/>
    </row>
    <row r="1101">
      <c r="A1101" s="4"/>
    </row>
    <row r="1102">
      <c r="A1102" s="4"/>
    </row>
    <row r="1103">
      <c r="A1103" s="4"/>
    </row>
    <row r="1104">
      <c r="A1104" s="4"/>
    </row>
    <row r="1105">
      <c r="A1105" s="4"/>
    </row>
    <row r="1106">
      <c r="A1106" s="4"/>
    </row>
    <row r="1107">
      <c r="A1107" s="4"/>
    </row>
    <row r="1108">
      <c r="A1108" s="4"/>
    </row>
    <row r="1109">
      <c r="A1109" s="4"/>
    </row>
    <row r="1110">
      <c r="A1110" s="4"/>
    </row>
    <row r="1111">
      <c r="A1111" s="4"/>
    </row>
    <row r="1112">
      <c r="A1112" s="4"/>
    </row>
    <row r="1113">
      <c r="A1113" s="4"/>
    </row>
    <row r="1114">
      <c r="A1114" s="4"/>
    </row>
    <row r="1115">
      <c r="A1115" s="4"/>
    </row>
    <row r="1116">
      <c r="A1116" s="4"/>
    </row>
    <row r="1117">
      <c r="A1117" s="4"/>
    </row>
    <row r="1118">
      <c r="A1118" s="4"/>
    </row>
    <row r="1119">
      <c r="A1119" s="4"/>
    </row>
    <row r="1120">
      <c r="A1120" s="4"/>
    </row>
    <row r="1121">
      <c r="A1121" s="4"/>
    </row>
    <row r="1122">
      <c r="A1122" s="4"/>
    </row>
    <row r="1123">
      <c r="A1123" s="4"/>
    </row>
    <row r="1124">
      <c r="A1124" s="4"/>
    </row>
    <row r="1125">
      <c r="A1125" s="4"/>
    </row>
    <row r="1126">
      <c r="A1126" s="4"/>
    </row>
    <row r="1127">
      <c r="A1127" s="4"/>
    </row>
    <row r="1128">
      <c r="A1128" s="4"/>
    </row>
    <row r="1129">
      <c r="A1129" s="4"/>
    </row>
    <row r="1130">
      <c r="A1130" s="4"/>
    </row>
    <row r="1131">
      <c r="A1131" s="4"/>
    </row>
    <row r="1132">
      <c r="A1132" s="4"/>
    </row>
    <row r="1133">
      <c r="A1133" s="4"/>
    </row>
    <row r="1134">
      <c r="A1134" s="4"/>
    </row>
    <row r="1135">
      <c r="A1135" s="4"/>
    </row>
    <row r="1136">
      <c r="A1136" s="4"/>
    </row>
    <row r="1137">
      <c r="A1137" s="4"/>
    </row>
    <row r="1138">
      <c r="A1138" s="4"/>
    </row>
    <row r="1139">
      <c r="A1139" s="4"/>
    </row>
    <row r="1140">
      <c r="A1140" s="4"/>
    </row>
    <row r="1141">
      <c r="A1141" s="4"/>
    </row>
    <row r="1142">
      <c r="A1142" s="4"/>
    </row>
    <row r="1143">
      <c r="A1143" s="4"/>
    </row>
    <row r="1144">
      <c r="A1144" s="4"/>
    </row>
    <row r="1145">
      <c r="A1145" s="4"/>
    </row>
    <row r="1146">
      <c r="A1146" s="4"/>
    </row>
    <row r="1147">
      <c r="A1147" s="4"/>
    </row>
    <row r="1148">
      <c r="A1148" s="4"/>
    </row>
    <row r="1149">
      <c r="A1149" s="4"/>
    </row>
    <row r="1150">
      <c r="A1150" s="4"/>
    </row>
    <row r="1151">
      <c r="A1151" s="4"/>
    </row>
    <row r="1152">
      <c r="A1152" s="4"/>
    </row>
    <row r="1153">
      <c r="A1153" s="4"/>
    </row>
    <row r="1154">
      <c r="A1154" s="4"/>
    </row>
    <row r="1155">
      <c r="A1155" s="4"/>
    </row>
    <row r="1156">
      <c r="A1156" s="4"/>
    </row>
    <row r="1157">
      <c r="A1157" s="4"/>
    </row>
    <row r="1158">
      <c r="A1158" s="4"/>
    </row>
    <row r="1159">
      <c r="A1159" s="4"/>
    </row>
    <row r="1160">
      <c r="A1160" s="4"/>
    </row>
    <row r="1161">
      <c r="A1161" s="4"/>
    </row>
    <row r="1162">
      <c r="A1162" s="4"/>
    </row>
    <row r="1163">
      <c r="A1163" s="4"/>
    </row>
    <row r="1164">
      <c r="A1164" s="4"/>
    </row>
    <row r="1165">
      <c r="A1165" s="4"/>
    </row>
    <row r="1166">
      <c r="A1166" s="4"/>
    </row>
    <row r="1167">
      <c r="A1167" s="4"/>
    </row>
    <row r="1168">
      <c r="A1168" s="4"/>
    </row>
    <row r="1169">
      <c r="A1169" s="4"/>
    </row>
    <row r="1170">
      <c r="A1170" s="4"/>
    </row>
    <row r="1171">
      <c r="A1171" s="4"/>
    </row>
    <row r="1172">
      <c r="A1172" s="4"/>
    </row>
    <row r="1173">
      <c r="A1173" s="4"/>
    </row>
    <row r="1174">
      <c r="A1174" s="4"/>
    </row>
    <row r="1175">
      <c r="A1175" s="4"/>
    </row>
    <row r="1176">
      <c r="A1176" s="4"/>
    </row>
    <row r="1177">
      <c r="A1177" s="4"/>
    </row>
    <row r="1178">
      <c r="A1178" s="4"/>
    </row>
    <row r="1179">
      <c r="A1179" s="4"/>
    </row>
    <row r="1180">
      <c r="A1180" s="4"/>
    </row>
    <row r="1181">
      <c r="A1181" s="4"/>
    </row>
    <row r="1182">
      <c r="A1182" s="4"/>
    </row>
    <row r="1183">
      <c r="A1183" s="4"/>
    </row>
    <row r="1184">
      <c r="A1184" s="4"/>
    </row>
    <row r="1185">
      <c r="A1185" s="4"/>
    </row>
    <row r="1186">
      <c r="A1186" s="4"/>
    </row>
    <row r="1187">
      <c r="A1187" s="4"/>
    </row>
    <row r="1188">
      <c r="A1188" s="4"/>
    </row>
    <row r="1189">
      <c r="A1189" s="4"/>
    </row>
    <row r="1190">
      <c r="A1190" s="4"/>
    </row>
    <row r="1191">
      <c r="A1191" s="4"/>
    </row>
    <row r="1192">
      <c r="A1192" s="4"/>
    </row>
    <row r="1193">
      <c r="A1193" s="4"/>
    </row>
    <row r="1194">
      <c r="A1194" s="4"/>
    </row>
    <row r="1195">
      <c r="A1195" s="4"/>
    </row>
    <row r="1196">
      <c r="A1196" s="4"/>
    </row>
    <row r="1197">
      <c r="A1197" s="4"/>
    </row>
    <row r="1198">
      <c r="A1198" s="4"/>
    </row>
    <row r="1199">
      <c r="A1199" s="4"/>
    </row>
    <row r="1200">
      <c r="A1200" s="4"/>
    </row>
    <row r="1201">
      <c r="A1201" s="4"/>
    </row>
    <row r="1202">
      <c r="A1202" s="4"/>
    </row>
    <row r="1203">
      <c r="A1203" s="4"/>
    </row>
    <row r="1204">
      <c r="A1204" s="4"/>
    </row>
    <row r="1205">
      <c r="A1205" s="4"/>
    </row>
    <row r="1206">
      <c r="A1206" s="4"/>
    </row>
    <row r="1207">
      <c r="A1207" s="4"/>
    </row>
    <row r="1208">
      <c r="A1208" s="4"/>
    </row>
    <row r="1209">
      <c r="A1209" s="4"/>
    </row>
    <row r="1210">
      <c r="A1210" s="4"/>
    </row>
    <row r="1211">
      <c r="A1211" s="4"/>
    </row>
    <row r="1212">
      <c r="A1212" s="4"/>
    </row>
    <row r="1213">
      <c r="A1213" s="4"/>
    </row>
    <row r="1214">
      <c r="A1214" s="4"/>
    </row>
    <row r="1215">
      <c r="A1215" s="4"/>
    </row>
    <row r="1216">
      <c r="A1216" s="4"/>
    </row>
    <row r="1217">
      <c r="A1217" s="4"/>
    </row>
    <row r="1218">
      <c r="A1218" s="4"/>
    </row>
    <row r="1219">
      <c r="A1219" s="4"/>
    </row>
    <row r="1220">
      <c r="A1220" s="4"/>
    </row>
    <row r="1221">
      <c r="A1221" s="4"/>
    </row>
    <row r="1222">
      <c r="A1222" s="4"/>
    </row>
    <row r="1223">
      <c r="A1223" s="4"/>
    </row>
    <row r="1224">
      <c r="A1224" s="4"/>
    </row>
    <row r="1225">
      <c r="A1225" s="4"/>
    </row>
    <row r="1226">
      <c r="A1226" s="4"/>
    </row>
    <row r="1227">
      <c r="A1227" s="4"/>
    </row>
    <row r="1228">
      <c r="A1228" s="4"/>
    </row>
    <row r="1229">
      <c r="A1229" s="4"/>
    </row>
    <row r="1230">
      <c r="A1230" s="4"/>
    </row>
    <row r="1231">
      <c r="A1231" s="4"/>
    </row>
    <row r="1232">
      <c r="A1232" s="4"/>
    </row>
    <row r="1233">
      <c r="A1233" s="4"/>
    </row>
    <row r="1234">
      <c r="A1234" s="4"/>
    </row>
    <row r="1235">
      <c r="A1235" s="4"/>
    </row>
    <row r="1236">
      <c r="A1236" s="4"/>
    </row>
    <row r="1237">
      <c r="A1237" s="4"/>
    </row>
    <row r="1238">
      <c r="A1238" s="4"/>
    </row>
    <row r="1239">
      <c r="A1239" s="4"/>
    </row>
    <row r="1240">
      <c r="A1240" s="4"/>
    </row>
    <row r="1241">
      <c r="A1241" s="4"/>
    </row>
    <row r="1242">
      <c r="A1242" s="4"/>
    </row>
    <row r="1243">
      <c r="A1243" s="4"/>
    </row>
    <row r="1244">
      <c r="A1244" s="4"/>
    </row>
    <row r="1245">
      <c r="A1245" s="4"/>
    </row>
    <row r="1246">
      <c r="A1246" s="4"/>
    </row>
    <row r="1247">
      <c r="A1247" s="4"/>
    </row>
    <row r="1248">
      <c r="A1248" s="4"/>
    </row>
    <row r="1249">
      <c r="A1249" s="4"/>
    </row>
    <row r="1250">
      <c r="A1250" s="4"/>
    </row>
    <row r="1251">
      <c r="A1251" s="4"/>
    </row>
    <row r="1252">
      <c r="A1252" s="4"/>
    </row>
    <row r="1253">
      <c r="A1253" s="4"/>
    </row>
    <row r="1254">
      <c r="A1254" s="4"/>
    </row>
    <row r="1255">
      <c r="A1255" s="4"/>
    </row>
    <row r="1256">
      <c r="A1256" s="4"/>
    </row>
    <row r="1257">
      <c r="A1257" s="4"/>
    </row>
    <row r="1258">
      <c r="A1258" s="4"/>
    </row>
    <row r="1259">
      <c r="A1259" s="4"/>
    </row>
    <row r="1260">
      <c r="A1260" s="4"/>
    </row>
    <row r="1261">
      <c r="A1261" s="4"/>
    </row>
    <row r="1262">
      <c r="A1262" s="4"/>
    </row>
    <row r="1263">
      <c r="A1263" s="4"/>
    </row>
    <row r="1264">
      <c r="A1264" s="4"/>
    </row>
    <row r="1265">
      <c r="A1265" s="4"/>
    </row>
    <row r="1266">
      <c r="A1266" s="4"/>
    </row>
    <row r="1267">
      <c r="A1267" s="4"/>
    </row>
    <row r="1268">
      <c r="A1268" s="4"/>
    </row>
    <row r="1269">
      <c r="A1269" s="4"/>
    </row>
    <row r="1270">
      <c r="A1270" s="4"/>
    </row>
    <row r="1271">
      <c r="A1271" s="4"/>
    </row>
    <row r="1272">
      <c r="A1272" s="4"/>
    </row>
    <row r="1273">
      <c r="A1273" s="4"/>
    </row>
    <row r="1274">
      <c r="A1274" s="4"/>
    </row>
    <row r="1275">
      <c r="A1275" s="4"/>
    </row>
    <row r="1276">
      <c r="A1276" s="4"/>
    </row>
    <row r="1277">
      <c r="A1277" s="4"/>
    </row>
    <row r="1278">
      <c r="A1278" s="4"/>
    </row>
    <row r="1279">
      <c r="A1279" s="4"/>
    </row>
    <row r="1280">
      <c r="A1280" s="4"/>
    </row>
    <row r="1281">
      <c r="A1281" s="4"/>
    </row>
    <row r="1282">
      <c r="A1282" s="4"/>
    </row>
    <row r="1283">
      <c r="A1283" s="4"/>
    </row>
    <row r="1284">
      <c r="A1284" s="4"/>
    </row>
    <row r="1285">
      <c r="A1285" s="4"/>
    </row>
    <row r="1286">
      <c r="A1286" s="4"/>
    </row>
    <row r="1287">
      <c r="A1287" s="4"/>
    </row>
    <row r="1288">
      <c r="A1288" s="4"/>
    </row>
    <row r="1289">
      <c r="A1289" s="4"/>
    </row>
    <row r="1290">
      <c r="A1290" s="4"/>
    </row>
    <row r="1291">
      <c r="A1291" s="4"/>
    </row>
    <row r="1292">
      <c r="A1292" s="4"/>
    </row>
    <row r="1293">
      <c r="A1293" s="4"/>
    </row>
    <row r="1294">
      <c r="A1294" s="4"/>
    </row>
    <row r="1295">
      <c r="A1295" s="4"/>
    </row>
    <row r="1296">
      <c r="A1296" s="4"/>
    </row>
    <row r="1297">
      <c r="A1297" s="4"/>
    </row>
    <row r="1298">
      <c r="A1298" s="4"/>
    </row>
    <row r="1299">
      <c r="A1299" s="4"/>
    </row>
    <row r="1300">
      <c r="A1300" s="4"/>
    </row>
    <row r="1301">
      <c r="A1301" s="4"/>
    </row>
    <row r="1302">
      <c r="A1302" s="4"/>
    </row>
    <row r="1303">
      <c r="A1303" s="4"/>
    </row>
    <row r="1304">
      <c r="A1304" s="4"/>
    </row>
    <row r="1305">
      <c r="A1305" s="4"/>
    </row>
    <row r="1306">
      <c r="A1306" s="4"/>
    </row>
    <row r="1307">
      <c r="A1307" s="4"/>
    </row>
    <row r="1308">
      <c r="A1308" s="4"/>
    </row>
    <row r="1309">
      <c r="A1309" s="4"/>
    </row>
    <row r="1310">
      <c r="A1310" s="4"/>
    </row>
    <row r="1311">
      <c r="A1311" s="4"/>
    </row>
    <row r="1312">
      <c r="A1312" s="4"/>
    </row>
    <row r="1313">
      <c r="A1313" s="4"/>
    </row>
    <row r="1314">
      <c r="A1314" s="4"/>
    </row>
    <row r="1315">
      <c r="A1315" s="4"/>
    </row>
    <row r="1316">
      <c r="A1316" s="4"/>
    </row>
    <row r="1317">
      <c r="A1317" s="4"/>
    </row>
    <row r="1318">
      <c r="A1318" s="4"/>
    </row>
    <row r="1319">
      <c r="A1319" s="4"/>
    </row>
    <row r="1320">
      <c r="A1320" s="4"/>
    </row>
    <row r="1321">
      <c r="A1321" s="4"/>
    </row>
    <row r="1322">
      <c r="A1322" s="4"/>
    </row>
    <row r="1323">
      <c r="A1323" s="4"/>
    </row>
    <row r="1324">
      <c r="A1324" s="4"/>
    </row>
    <row r="1325">
      <c r="A1325" s="4"/>
    </row>
    <row r="1326">
      <c r="A1326" s="4"/>
    </row>
    <row r="1327">
      <c r="A1327" s="4"/>
    </row>
    <row r="1328">
      <c r="A1328" s="4"/>
    </row>
    <row r="1329">
      <c r="A1329" s="4"/>
    </row>
    <row r="1330">
      <c r="A1330" s="4"/>
    </row>
    <row r="1331">
      <c r="A1331" s="4"/>
    </row>
    <row r="1332">
      <c r="A1332" s="4"/>
    </row>
    <row r="1333">
      <c r="A1333" s="4"/>
    </row>
    <row r="1334">
      <c r="A1334" s="4"/>
    </row>
    <row r="1335">
      <c r="A1335" s="4"/>
    </row>
    <row r="1336">
      <c r="A1336" s="4"/>
    </row>
    <row r="1337">
      <c r="A1337" s="4"/>
    </row>
    <row r="1338">
      <c r="A1338" s="4"/>
    </row>
    <row r="1339">
      <c r="A1339" s="4"/>
    </row>
    <row r="1340">
      <c r="A1340" s="4"/>
    </row>
    <row r="1341">
      <c r="A1341" s="4"/>
    </row>
    <row r="1342">
      <c r="A1342" s="4"/>
    </row>
    <row r="1343">
      <c r="A1343" s="4"/>
    </row>
    <row r="1344">
      <c r="A1344" s="4"/>
    </row>
    <row r="1345">
      <c r="A1345" s="4"/>
    </row>
    <row r="1346">
      <c r="A1346" s="4"/>
    </row>
    <row r="1347">
      <c r="A1347" s="4"/>
    </row>
    <row r="1348">
      <c r="A1348" s="4"/>
    </row>
    <row r="1349">
      <c r="A1349" s="4"/>
    </row>
    <row r="1350">
      <c r="A1350" s="4"/>
    </row>
    <row r="1351">
      <c r="A1351" s="4"/>
    </row>
    <row r="1352">
      <c r="A1352" s="4"/>
    </row>
    <row r="1353">
      <c r="A1353" s="4"/>
    </row>
    <row r="1354">
      <c r="A1354" s="4"/>
    </row>
    <row r="1355">
      <c r="A1355" s="4"/>
    </row>
    <row r="1356">
      <c r="A1356" s="4"/>
    </row>
    <row r="1357">
      <c r="A1357" s="4"/>
    </row>
    <row r="1358">
      <c r="A1358" s="4"/>
    </row>
    <row r="1359">
      <c r="A1359" s="4"/>
    </row>
    <row r="1360">
      <c r="A1360" s="4"/>
    </row>
    <row r="1361">
      <c r="A1361" s="4"/>
    </row>
    <row r="1362">
      <c r="A1362" s="4"/>
    </row>
    <row r="1363">
      <c r="A1363" s="4"/>
    </row>
    <row r="1364">
      <c r="A1364" s="4"/>
    </row>
    <row r="1365">
      <c r="A1365" s="4"/>
    </row>
    <row r="1366">
      <c r="A1366" s="4"/>
    </row>
    <row r="1367">
      <c r="A1367" s="4"/>
    </row>
    <row r="1368">
      <c r="A1368" s="4"/>
    </row>
    <row r="1369">
      <c r="A1369" s="4"/>
    </row>
    <row r="1370">
      <c r="A1370" s="4"/>
    </row>
    <row r="1371">
      <c r="A1371" s="4"/>
    </row>
    <row r="1372">
      <c r="A1372" s="4"/>
    </row>
    <row r="1373">
      <c r="A1373" s="4"/>
    </row>
    <row r="1374">
      <c r="A1374" s="4"/>
    </row>
    <row r="1375">
      <c r="A1375" s="4"/>
    </row>
    <row r="1376">
      <c r="A1376" s="4"/>
    </row>
    <row r="1377">
      <c r="A1377" s="4"/>
    </row>
    <row r="1378">
      <c r="A1378" s="4"/>
    </row>
    <row r="1379">
      <c r="A1379" s="4"/>
    </row>
    <row r="1380">
      <c r="A1380" s="4"/>
    </row>
    <row r="1381">
      <c r="A1381" s="4"/>
    </row>
    <row r="1382">
      <c r="A1382" s="4"/>
    </row>
    <row r="1383">
      <c r="A1383" s="4"/>
    </row>
    <row r="1384">
      <c r="A1384" s="4"/>
    </row>
    <row r="1385">
      <c r="A1385" s="4"/>
    </row>
    <row r="1386">
      <c r="A1386" s="4"/>
    </row>
    <row r="1387">
      <c r="A1387" s="4"/>
    </row>
    <row r="1388">
      <c r="A1388" s="4"/>
    </row>
    <row r="1389">
      <c r="A1389" s="4"/>
    </row>
    <row r="1390">
      <c r="A1390" s="4"/>
    </row>
    <row r="1391">
      <c r="A1391" s="4"/>
    </row>
    <row r="1392">
      <c r="A1392" s="4"/>
    </row>
    <row r="1393">
      <c r="A1393" s="4"/>
    </row>
    <row r="1394">
      <c r="A1394" s="4"/>
    </row>
    <row r="1395">
      <c r="A1395" s="4"/>
    </row>
    <row r="1396">
      <c r="A1396" s="4"/>
    </row>
    <row r="1397">
      <c r="A1397" s="4"/>
    </row>
    <row r="1398">
      <c r="A1398" s="4"/>
    </row>
    <row r="1399">
      <c r="A1399" s="4"/>
    </row>
    <row r="1400">
      <c r="A1400" s="4"/>
    </row>
    <row r="1401">
      <c r="A1401" s="4"/>
    </row>
    <row r="1402">
      <c r="A1402" s="4"/>
    </row>
    <row r="1403">
      <c r="A1403" s="4"/>
    </row>
    <row r="1404">
      <c r="A1404" s="4"/>
    </row>
    <row r="1405">
      <c r="A1405" s="4"/>
    </row>
    <row r="1406">
      <c r="A1406" s="4"/>
    </row>
    <row r="1407">
      <c r="A1407" s="4"/>
    </row>
    <row r="1408">
      <c r="A1408" s="4"/>
    </row>
    <row r="1409">
      <c r="A1409" s="4"/>
    </row>
    <row r="1410">
      <c r="A1410" s="4"/>
    </row>
    <row r="1411">
      <c r="A1411" s="4"/>
    </row>
    <row r="1412">
      <c r="A1412" s="4"/>
    </row>
    <row r="1413">
      <c r="A1413" s="4"/>
    </row>
    <row r="1414">
      <c r="A1414" s="4"/>
    </row>
    <row r="1415">
      <c r="A1415" s="4"/>
    </row>
    <row r="1416">
      <c r="A1416" s="4"/>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3305</v>
      </c>
      <c r="D2" s="4" t="str">
        <f t="shared" ref="D2:D446" si="1">C2</f>
        <v>{"valorA":"bastante","valorB":1}</v>
      </c>
      <c r="E2" s="8" t="str">
        <f t="shared" ref="E2:E446" si="2">SUBSTITUTE(MID(C2,FIND(":",C2)+1,FIND(",",C2)-FIND(":",C2)-1),"""","")</f>
        <v>bastante</v>
      </c>
      <c r="F2" s="8" t="str">
        <f>IFERROR(__xludf.DUMMYFUNCTION("UNIQUE(E2:E1416)"),"bastante")</f>
        <v>bastante</v>
      </c>
      <c r="G2" s="8" t="str">
        <f t="shared" ref="G2:G446" si="3">MID(C2,FIND("valorB",C2)+8,FIND("}",C2)-FIND("valorB",C2)-8)</f>
        <v>1</v>
      </c>
      <c r="H2" s="9">
        <f t="shared" ref="H2:H446" si="4">VALUE(SUBSTITUTE(G2,".",","))</f>
        <v>1</v>
      </c>
      <c r="I2" s="10">
        <f>IFERROR(__xludf.DUMMYFUNCTION("MAX(FILTER($H$2:$H1416,$E$2:$E1416=F2))"),5.0)</f>
        <v>5</v>
      </c>
    </row>
    <row r="3">
      <c r="A3" s="4"/>
      <c r="C3" s="4" t="s">
        <v>2647</v>
      </c>
      <c r="D3" s="4" t="str">
        <f t="shared" si="1"/>
        <v>{"valorA":"a","valorB":1}</v>
      </c>
      <c r="E3" s="8" t="str">
        <f t="shared" si="2"/>
        <v>a</v>
      </c>
      <c r="F3" s="8" t="str">
        <f>IFERROR(__xludf.DUMMYFUNCTION("""COMPUTED_VALUE"""),"a")</f>
        <v>a</v>
      </c>
      <c r="G3" s="8" t="str">
        <f t="shared" si="3"/>
        <v>1</v>
      </c>
      <c r="H3" s="9">
        <f t="shared" si="4"/>
        <v>1</v>
      </c>
      <c r="I3" s="10">
        <f>IFERROR(__xludf.DUMMYFUNCTION("MAX(FILTER($H$2:$H1416,$E$2:$E1416=F3))"),7.0)</f>
        <v>7</v>
      </c>
    </row>
    <row r="4">
      <c r="A4" s="4"/>
      <c r="C4" s="4" t="s">
        <v>2910</v>
      </c>
      <c r="D4" s="4" t="str">
        <f t="shared" si="1"/>
        <v>{"valorA":"comprar","valorB":1}</v>
      </c>
      <c r="E4" s="8" t="str">
        <f t="shared" si="2"/>
        <v>comprar</v>
      </c>
      <c r="F4" s="8" t="str">
        <f>IFERROR(__xludf.DUMMYFUNCTION("""COMPUTED_VALUE"""),"comprar")</f>
        <v>comprar</v>
      </c>
      <c r="G4" s="8" t="str">
        <f t="shared" si="3"/>
        <v>1</v>
      </c>
      <c r="H4" s="9">
        <f t="shared" si="4"/>
        <v>1</v>
      </c>
      <c r="I4" s="10">
        <f>IFERROR(__xludf.DUMMYFUNCTION("MAX(FILTER($H$2:$H1416,$E$2:$E1416=F4))"),2.0)</f>
        <v>2</v>
      </c>
    </row>
    <row r="5">
      <c r="A5" s="4"/>
      <c r="C5" s="4" t="s">
        <v>2171</v>
      </c>
      <c r="D5" s="4" t="str">
        <f t="shared" si="1"/>
        <v>{"valorA":"celular","valorB":1}</v>
      </c>
      <c r="E5" s="8" t="str">
        <f t="shared" si="2"/>
        <v>celular</v>
      </c>
      <c r="F5" s="8" t="str">
        <f>IFERROR(__xludf.DUMMYFUNCTION("""COMPUTED_VALUE"""),"celular")</f>
        <v>celular</v>
      </c>
      <c r="G5" s="8" t="str">
        <f t="shared" si="3"/>
        <v>1</v>
      </c>
      <c r="H5" s="9">
        <f t="shared" si="4"/>
        <v>1</v>
      </c>
      <c r="I5" s="10">
        <f>IFERROR(__xludf.DUMMYFUNCTION("MAX(FILTER($H$2:$H1416,$E$2:$E1416=F5))"),2.0)</f>
        <v>2</v>
      </c>
    </row>
    <row r="6">
      <c r="A6" s="4"/>
      <c r="C6" s="4" t="s">
        <v>3306</v>
      </c>
      <c r="D6" s="4" t="str">
        <f t="shared" si="1"/>
        <v>{"valorA":"armazenamento","valorB":1}</v>
      </c>
      <c r="E6" s="8" t="str">
        <f t="shared" si="2"/>
        <v>armazenamento</v>
      </c>
      <c r="F6" s="8" t="str">
        <f>IFERROR(__xludf.DUMMYFUNCTION("""COMPUTED_VALUE"""),"armazenamento")</f>
        <v>armazenamento</v>
      </c>
      <c r="G6" s="8" t="str">
        <f t="shared" si="3"/>
        <v>1</v>
      </c>
      <c r="H6" s="9">
        <f t="shared" si="4"/>
        <v>1</v>
      </c>
      <c r="I6" s="10">
        <f>IFERROR(__xludf.DUMMYFUNCTION("MAX(FILTER($H$2:$H1416,$E$2:$E1416=F6))"),1.0)</f>
        <v>1</v>
      </c>
    </row>
    <row r="7">
      <c r="A7" s="4"/>
      <c r="C7" s="4" t="s">
        <v>2233</v>
      </c>
      <c r="D7" s="4" t="str">
        <f t="shared" si="1"/>
        <v>{"valorA":"celular","valorB":2}</v>
      </c>
      <c r="E7" s="8" t="str">
        <f t="shared" si="2"/>
        <v>celular</v>
      </c>
      <c r="F7" s="8" t="str">
        <f>IFERROR(__xludf.DUMMYFUNCTION("""COMPUTED_VALUE"""),"ao")</f>
        <v>ao</v>
      </c>
      <c r="G7" s="8" t="str">
        <f t="shared" si="3"/>
        <v>2</v>
      </c>
      <c r="H7" s="9">
        <f t="shared" si="4"/>
        <v>2</v>
      </c>
      <c r="I7" s="10">
        <f>IFERROR(__xludf.DUMMYFUNCTION("MAX(FILTER($H$2:$H1416,$E$2:$E1416=F7))"),1.0)</f>
        <v>1</v>
      </c>
    </row>
    <row r="8">
      <c r="A8" s="4"/>
      <c r="C8" s="4" t="s">
        <v>3307</v>
      </c>
      <c r="D8" s="4" t="str">
        <f t="shared" si="1"/>
        <v>{"valorA":"ao","valorB":1}</v>
      </c>
      <c r="E8" s="8" t="str">
        <f t="shared" si="2"/>
        <v>ao</v>
      </c>
      <c r="F8" s="8" t="str">
        <f>IFERROR(__xludf.DUMMYFUNCTION("""COMPUTED_VALUE"""),"bluray")</f>
        <v>bluray</v>
      </c>
      <c r="G8" s="8" t="str">
        <f t="shared" si="3"/>
        <v>1</v>
      </c>
      <c r="H8" s="9">
        <f t="shared" si="4"/>
        <v>1</v>
      </c>
      <c r="I8" s="10">
        <f>IFERROR(__xludf.DUMMYFUNCTION("MAX(FILTER($H$2:$H1416,$E$2:$E1416=F8))"),1.0)</f>
        <v>1</v>
      </c>
    </row>
    <row r="9">
      <c r="A9" s="4"/>
      <c r="C9" s="4" t="s">
        <v>3308</v>
      </c>
      <c r="D9" s="4" t="str">
        <f t="shared" si="1"/>
        <v>{"valorA":"bluray","valorB":1}</v>
      </c>
      <c r="E9" s="8" t="str">
        <f t="shared" si="2"/>
        <v>bluray</v>
      </c>
      <c r="F9" s="8" t="str">
        <f>IFERROR(__xludf.DUMMYFUNCTION("""COMPUTED_VALUE"""),"muito")</f>
        <v>muito</v>
      </c>
      <c r="G9" s="8" t="str">
        <f t="shared" si="3"/>
        <v>1</v>
      </c>
      <c r="H9" s="9">
        <f t="shared" si="4"/>
        <v>1</v>
      </c>
      <c r="I9" s="10">
        <f>IFERROR(__xludf.DUMMYFUNCTION("MAX(FILTER($H$2:$H1416,$E$2:$E1416=F9))"),22.0)</f>
        <v>22</v>
      </c>
    </row>
    <row r="10">
      <c r="A10" s="4"/>
      <c r="C10" s="4" t="s">
        <v>2637</v>
      </c>
      <c r="D10" s="4" t="str">
        <f t="shared" si="1"/>
        <v>{"valorA":"muito","valorB":1}</v>
      </c>
      <c r="E10" s="8" t="str">
        <f t="shared" si="2"/>
        <v>muito</v>
      </c>
      <c r="F10" s="8" t="str">
        <f>IFERROR(__xludf.DUMMYFUNCTION("""COMPUTED_VALUE"""),"satisfeito")</f>
        <v>satisfeito</v>
      </c>
      <c r="G10" s="8" t="str">
        <f t="shared" si="3"/>
        <v>1</v>
      </c>
      <c r="H10" s="9">
        <f t="shared" si="4"/>
        <v>1</v>
      </c>
      <c r="I10" s="10">
        <f>IFERROR(__xludf.DUMMYFUNCTION("MAX(FILTER($H$2:$H1416,$E$2:$E1416=F10))"),1.0)</f>
        <v>1</v>
      </c>
    </row>
    <row r="11">
      <c r="A11" s="4"/>
      <c r="C11" s="4" t="s">
        <v>2665</v>
      </c>
      <c r="D11" s="4" t="str">
        <f t="shared" si="1"/>
        <v>{"valorA":"satisfeito","valorB":1}</v>
      </c>
      <c r="E11" s="8" t="str">
        <f t="shared" si="2"/>
        <v>satisfeito</v>
      </c>
      <c r="F11" s="8" t="str">
        <f>IFERROR(__xludf.DUMMYFUNCTION("""COMPUTED_VALUE"""),"organizado")</f>
        <v>organizado</v>
      </c>
      <c r="G11" s="8" t="str">
        <f t="shared" si="3"/>
        <v>1</v>
      </c>
      <c r="H11" s="9">
        <f t="shared" si="4"/>
        <v>1</v>
      </c>
      <c r="I11" s="10">
        <f>IFERROR(__xludf.DUMMYFUNCTION("MAX(FILTER($H$2:$H1416,$E$2:$E1416=F11))"),1.0)</f>
        <v>1</v>
      </c>
    </row>
    <row r="12">
      <c r="A12" s="4"/>
      <c r="C12" s="4" t="s">
        <v>3309</v>
      </c>
      <c r="D12" s="4" t="str">
        <f t="shared" si="1"/>
        <v>{"valorA":"organizado","valorB":1}</v>
      </c>
      <c r="E12" s="8" t="str">
        <f t="shared" si="2"/>
        <v>organizado</v>
      </c>
      <c r="F12" s="8" t="str">
        <f>IFERROR(__xludf.DUMMYFUNCTION("""COMPUTED_VALUE"""),"serviço")</f>
        <v>serviço</v>
      </c>
      <c r="G12" s="8" t="str">
        <f t="shared" si="3"/>
        <v>1</v>
      </c>
      <c r="H12" s="9">
        <f t="shared" si="4"/>
        <v>1</v>
      </c>
      <c r="I12" s="10">
        <f>IFERROR(__xludf.DUMMYFUNCTION("MAX(FILTER($H$2:$H1416,$E$2:$E1416=F12))"),1.0)</f>
        <v>1</v>
      </c>
    </row>
    <row r="13">
      <c r="A13" s="4"/>
      <c r="C13" s="4" t="s">
        <v>2663</v>
      </c>
      <c r="D13" s="4" t="str">
        <f t="shared" si="1"/>
        <v>{"valorA":"muito","valorB":2}</v>
      </c>
      <c r="E13" s="8" t="str">
        <f t="shared" si="2"/>
        <v>muito</v>
      </c>
      <c r="F13" s="8" t="str">
        <f>IFERROR(__xludf.DUMMYFUNCTION("""COMPUTED_VALUE"""),"o")</f>
        <v>o</v>
      </c>
      <c r="G13" s="8" t="str">
        <f t="shared" si="3"/>
        <v>2</v>
      </c>
      <c r="H13" s="9">
        <f t="shared" si="4"/>
        <v>2</v>
      </c>
      <c r="I13" s="10">
        <f>IFERROR(__xludf.DUMMYFUNCTION("MAX(FILTER($H$2:$H1416,$E$2:$E1416=F13))"),13.0)</f>
        <v>13</v>
      </c>
    </row>
    <row r="14">
      <c r="A14" s="4"/>
      <c r="C14" s="4" t="s">
        <v>3310</v>
      </c>
      <c r="D14" s="4" t="str">
        <f t="shared" si="1"/>
        <v>{"valorA":"serviço","valorB":1}</v>
      </c>
      <c r="E14" s="8" t="str">
        <f t="shared" si="2"/>
        <v>serviço</v>
      </c>
      <c r="F14" s="8" t="str">
        <f>IFERROR(__xludf.DUMMYFUNCTION("""COMPUTED_VALUE"""),"cabine")</f>
        <v>cabine</v>
      </c>
      <c r="G14" s="8" t="str">
        <f t="shared" si="3"/>
        <v>1</v>
      </c>
      <c r="H14" s="9">
        <f t="shared" si="4"/>
        <v>1</v>
      </c>
      <c r="I14" s="10">
        <f>IFERROR(__xludf.DUMMYFUNCTION("MAX(FILTER($H$2:$H1416,$E$2:$E1416=F14))"),1.0)</f>
        <v>1</v>
      </c>
    </row>
    <row r="15">
      <c r="A15" s="4"/>
      <c r="C15" s="4" t="s">
        <v>2638</v>
      </c>
      <c r="D15" s="4" t="str">
        <f t="shared" si="1"/>
        <v>{"valorA":"o","valorB":1}</v>
      </c>
      <c r="E15" s="8" t="str">
        <f t="shared" si="2"/>
        <v>o</v>
      </c>
      <c r="F15" s="8" t="str">
        <f>IFERROR(__xludf.DUMMYFUNCTION("""COMPUTED_VALUE"""),"ótimo")</f>
        <v>ótimo</v>
      </c>
      <c r="G15" s="8" t="str">
        <f t="shared" si="3"/>
        <v>1</v>
      </c>
      <c r="H15" s="9">
        <f t="shared" si="4"/>
        <v>1</v>
      </c>
      <c r="I15" s="10">
        <f>IFERROR(__xludf.DUMMYFUNCTION("MAX(FILTER($H$2:$H1416,$E$2:$E1416=F15))"),36.0)</f>
        <v>36</v>
      </c>
    </row>
    <row r="16">
      <c r="A16" s="4"/>
      <c r="C16" s="4" t="s">
        <v>3311</v>
      </c>
      <c r="D16" s="4" t="str">
        <f t="shared" si="1"/>
        <v>{"valorA":"cabine","valorB":1}</v>
      </c>
      <c r="E16" s="8" t="str">
        <f t="shared" si="2"/>
        <v>cabine</v>
      </c>
      <c r="F16" s="8" t="str">
        <f>IFERROR(__xludf.DUMMYFUNCTION("""COMPUTED_VALUE"""),"com")</f>
        <v>com</v>
      </c>
      <c r="G16" s="8" t="str">
        <f t="shared" si="3"/>
        <v>1</v>
      </c>
      <c r="H16" s="9">
        <f t="shared" si="4"/>
        <v>1</v>
      </c>
      <c r="I16" s="10">
        <f>IFERROR(__xludf.DUMMYFUNCTION("MAX(FILTER($H$2:$H1416,$E$2:$E1416=F16))"),8.0)</f>
        <v>8</v>
      </c>
    </row>
    <row r="17">
      <c r="A17" s="4"/>
      <c r="C17" s="4" t="s">
        <v>2639</v>
      </c>
      <c r="D17" s="4" t="str">
        <f t="shared" si="1"/>
        <v>{"valorA":"ótimo","valorB":1}</v>
      </c>
      <c r="E17" s="8" t="str">
        <f t="shared" si="2"/>
        <v>ótimo</v>
      </c>
      <c r="F17" s="8" t="str">
        <f>IFERROR(__xludf.DUMMYFUNCTION("""COMPUTED_VALUE"""),"bem")</f>
        <v>bem</v>
      </c>
      <c r="G17" s="8" t="str">
        <f t="shared" si="3"/>
        <v>1</v>
      </c>
      <c r="H17" s="9">
        <f t="shared" si="4"/>
        <v>1</v>
      </c>
      <c r="I17" s="10">
        <f>IFERROR(__xludf.DUMMYFUNCTION("MAX(FILTER($H$2:$H1416,$E$2:$E1416=F17))"),12.0)</f>
        <v>12</v>
      </c>
    </row>
    <row r="18">
      <c r="A18" s="4"/>
      <c r="C18" s="4" t="s">
        <v>2666</v>
      </c>
      <c r="D18" s="4" t="str">
        <f t="shared" si="1"/>
        <v>{"valorA":"com","valorB":1}</v>
      </c>
      <c r="E18" s="8" t="str">
        <f t="shared" si="2"/>
        <v>com</v>
      </c>
      <c r="F18" s="8" t="str">
        <f>IFERROR(__xludf.DUMMYFUNCTION("""COMPUTED_VALUE"""),"e")</f>
        <v>e</v>
      </c>
      <c r="G18" s="8" t="str">
        <f t="shared" si="3"/>
        <v>1</v>
      </c>
      <c r="H18" s="9">
        <f t="shared" si="4"/>
        <v>1</v>
      </c>
      <c r="I18" s="10">
        <f>IFERROR(__xludf.DUMMYFUNCTION("MAX(FILTER($H$2:$H1416,$E$2:$E1416=F18))"),8.0)</f>
        <v>8</v>
      </c>
    </row>
    <row r="19">
      <c r="A19" s="4"/>
      <c r="C19" s="4" t="s">
        <v>2652</v>
      </c>
      <c r="D19" s="4" t="str">
        <f t="shared" si="1"/>
        <v>{"valorA":"ótimo","valorB":2}</v>
      </c>
      <c r="E19" s="8" t="str">
        <f t="shared" si="2"/>
        <v>ótimo</v>
      </c>
      <c r="F19" s="8" t="str">
        <f>IFERROR(__xludf.DUMMYFUNCTION("""COMPUTED_VALUE"""),"compra")</f>
        <v>compra</v>
      </c>
      <c r="G19" s="8" t="str">
        <f t="shared" si="3"/>
        <v>2</v>
      </c>
      <c r="H19" s="9">
        <f t="shared" si="4"/>
        <v>2</v>
      </c>
      <c r="I19" s="10">
        <f>IFERROR(__xludf.DUMMYFUNCTION("MAX(FILTER($H$2:$H1416,$E$2:$E1416=F19))"),2.0)</f>
        <v>2</v>
      </c>
    </row>
    <row r="20">
      <c r="A20" s="4"/>
      <c r="C20" s="4" t="s">
        <v>2653</v>
      </c>
      <c r="D20" s="4" t="str">
        <f t="shared" si="1"/>
        <v>{"valorA":"ótimo","valorB":3}</v>
      </c>
      <c r="E20" s="8" t="str">
        <f t="shared" si="2"/>
        <v>ótimo</v>
      </c>
      <c r="F20" s="8" t="str">
        <f>IFERROR(__xludf.DUMMYFUNCTION("""COMPUTED_VALUE"""),"player")</f>
        <v>player</v>
      </c>
      <c r="G20" s="8" t="str">
        <f t="shared" si="3"/>
        <v>3</v>
      </c>
      <c r="H20" s="9">
        <f t="shared" si="4"/>
        <v>3</v>
      </c>
      <c r="I20" s="10">
        <f>IFERROR(__xludf.DUMMYFUNCTION("MAX(FILTER($H$2:$H1416,$E$2:$E1416=F20))"),2.0)</f>
        <v>2</v>
      </c>
    </row>
    <row r="21">
      <c r="A21" s="4"/>
      <c r="C21" s="4" t="s">
        <v>2675</v>
      </c>
      <c r="D21" s="4" t="str">
        <f t="shared" si="1"/>
        <v>{"valorA":"bem","valorB":1}</v>
      </c>
      <c r="E21" s="8" t="str">
        <f t="shared" si="2"/>
        <v>bem</v>
      </c>
      <c r="F21" s="8" t="str">
        <f>IFERROR(__xludf.DUMMYFUNCTION("""COMPUTED_VALUE"""),"para")</f>
        <v>para</v>
      </c>
      <c r="G21" s="8" t="str">
        <f t="shared" si="3"/>
        <v>1</v>
      </c>
      <c r="H21" s="9">
        <f t="shared" si="4"/>
        <v>1</v>
      </c>
      <c r="I21" s="10">
        <f>IFERROR(__xludf.DUMMYFUNCTION("MAX(FILTER($H$2:$H1416,$E$2:$E1416=F21))"),12.0)</f>
        <v>12</v>
      </c>
    </row>
    <row r="22">
      <c r="A22" s="4"/>
      <c r="C22" s="4" t="s">
        <v>2657</v>
      </c>
      <c r="D22" s="4" t="str">
        <f t="shared" si="1"/>
        <v>{"valorA":"ótimo","valorB":4}</v>
      </c>
      <c r="E22" s="8" t="str">
        <f t="shared" si="2"/>
        <v>ótimo</v>
      </c>
      <c r="F22" s="8" t="str">
        <f>IFERROR(__xludf.DUMMYFUNCTION("""COMPUTED_VALUE"""),"funciona")</f>
        <v>funciona</v>
      </c>
      <c r="G22" s="8" t="str">
        <f t="shared" si="3"/>
        <v>4</v>
      </c>
      <c r="H22" s="9">
        <f t="shared" si="4"/>
        <v>4</v>
      </c>
      <c r="I22" s="10">
        <f>IFERROR(__xludf.DUMMYFUNCTION("MAX(FILTER($H$2:$H1416,$E$2:$E1416=F22))"),14.0)</f>
        <v>14</v>
      </c>
    </row>
    <row r="23">
      <c r="A23" s="4"/>
      <c r="C23" s="4" t="s">
        <v>2658</v>
      </c>
      <c r="D23" s="4" t="str">
        <f t="shared" si="1"/>
        <v>{"valorA":"e","valorB":1}</v>
      </c>
      <c r="E23" s="8" t="str">
        <f t="shared" si="2"/>
        <v>e</v>
      </c>
      <c r="F23" s="8" t="str">
        <f>IFERROR(__xludf.DUMMYFUNCTION("""COMPUTED_VALUE"""),"útil")</f>
        <v>útil</v>
      </c>
      <c r="G23" s="8" t="str">
        <f t="shared" si="3"/>
        <v>1</v>
      </c>
      <c r="H23" s="9">
        <f t="shared" si="4"/>
        <v>1</v>
      </c>
      <c r="I23" s="10">
        <f>IFERROR(__xludf.DUMMYFUNCTION("MAX(FILTER($H$2:$H1416,$E$2:$E1416=F23))"),2.0)</f>
        <v>2</v>
      </c>
    </row>
    <row r="24">
      <c r="A24" s="4"/>
      <c r="C24" s="4" t="s">
        <v>2731</v>
      </c>
      <c r="D24" s="4" t="str">
        <f t="shared" si="1"/>
        <v>{"valorA":"bem","valorB":2}</v>
      </c>
      <c r="E24" s="8" t="str">
        <f t="shared" si="2"/>
        <v>bem</v>
      </c>
      <c r="F24" s="8" t="str">
        <f>IFERROR(__xludf.DUMMYFUNCTION("""COMPUTED_VALUE"""),"perfeitamente")</f>
        <v>perfeitamente</v>
      </c>
      <c r="G24" s="8" t="str">
        <f t="shared" si="3"/>
        <v>2</v>
      </c>
      <c r="H24" s="9">
        <f t="shared" si="4"/>
        <v>2</v>
      </c>
      <c r="I24" s="10">
        <f>IFERROR(__xludf.DUMMYFUNCTION("MAX(FILTER($H$2:$H1416,$E$2:$E1416=F24))"),3.0)</f>
        <v>3</v>
      </c>
    </row>
    <row r="25">
      <c r="A25" s="4"/>
      <c r="C25" s="4" t="s">
        <v>2664</v>
      </c>
      <c r="D25" s="4" t="str">
        <f t="shared" si="1"/>
        <v>{"valorA":"compra","valorB":1}</v>
      </c>
      <c r="E25" s="8" t="str">
        <f t="shared" si="2"/>
        <v>compra</v>
      </c>
      <c r="F25" s="8" t="str">
        <f>IFERROR(__xludf.DUMMYFUNCTION("""COMPUTED_VALUE"""),"telefone")</f>
        <v>telefone</v>
      </c>
      <c r="G25" s="8" t="str">
        <f t="shared" si="3"/>
        <v>1</v>
      </c>
      <c r="H25" s="9">
        <f t="shared" si="4"/>
        <v>1</v>
      </c>
      <c r="I25" s="10">
        <f>IFERROR(__xludf.DUMMYFUNCTION("MAX(FILTER($H$2:$H1416,$E$2:$E1416=F25))"),1.0)</f>
        <v>1</v>
      </c>
    </row>
    <row r="26">
      <c r="A26" s="4"/>
      <c r="C26" s="4" t="s">
        <v>3312</v>
      </c>
      <c r="D26" s="4" t="str">
        <f t="shared" si="1"/>
        <v>{"valorA":"player","valorB":1}</v>
      </c>
      <c r="E26" s="8" t="str">
        <f t="shared" si="2"/>
        <v>player</v>
      </c>
      <c r="F26" s="8" t="str">
        <f>IFERROR(__xludf.DUMMYFUNCTION("""COMPUTED_VALUE"""),"ótima")</f>
        <v>ótima</v>
      </c>
      <c r="G26" s="8" t="str">
        <f t="shared" si="3"/>
        <v>1</v>
      </c>
      <c r="H26" s="9">
        <f t="shared" si="4"/>
        <v>1</v>
      </c>
      <c r="I26" s="10">
        <f>IFERROR(__xludf.DUMMYFUNCTION("MAX(FILTER($H$2:$H1416,$E$2:$E1416=F26))"),12.0)</f>
        <v>12</v>
      </c>
    </row>
    <row r="27">
      <c r="A27" s="4"/>
      <c r="C27" s="4" t="s">
        <v>2627</v>
      </c>
      <c r="D27" s="4" t="str">
        <f t="shared" si="1"/>
        <v>{"valorA":"para","valorB":1}</v>
      </c>
      <c r="E27" s="8" t="str">
        <f t="shared" si="2"/>
        <v>para</v>
      </c>
      <c r="F27" s="8" t="str">
        <f>IFERROR(__xludf.DUMMYFUNCTION("""COMPUTED_VALUE"""),"cadeira")</f>
        <v>cadeira</v>
      </c>
      <c r="G27" s="8" t="str">
        <f t="shared" si="3"/>
        <v>1</v>
      </c>
      <c r="H27" s="9">
        <f t="shared" si="4"/>
        <v>1</v>
      </c>
      <c r="I27" s="10">
        <f>IFERROR(__xludf.DUMMYFUNCTION("MAX(FILTER($H$2:$H1416,$E$2:$E1416=F27))"),5.0)</f>
        <v>5</v>
      </c>
    </row>
    <row r="28">
      <c r="A28" s="4"/>
      <c r="C28" s="4" t="s">
        <v>2624</v>
      </c>
      <c r="D28" s="4" t="str">
        <f t="shared" si="1"/>
        <v>{"valorA":"funciona","valorB":1}</v>
      </c>
      <c r="E28" s="8" t="str">
        <f t="shared" si="2"/>
        <v>funciona</v>
      </c>
      <c r="F28" s="8" t="str">
        <f>IFERROR(__xludf.DUMMYFUNCTION("""COMPUTED_VALUE"""),"de")</f>
        <v>de</v>
      </c>
      <c r="G28" s="8" t="str">
        <f t="shared" si="3"/>
        <v>1</v>
      </c>
      <c r="H28" s="9">
        <f t="shared" si="4"/>
        <v>1</v>
      </c>
      <c r="I28" s="10">
        <f>IFERROR(__xludf.DUMMYFUNCTION("MAX(FILTER($H$2:$H1416,$E$2:$E1416=F28))"),20.0)</f>
        <v>20</v>
      </c>
    </row>
    <row r="29">
      <c r="A29" s="4"/>
      <c r="C29" s="4" t="s">
        <v>2963</v>
      </c>
      <c r="D29" s="4" t="str">
        <f t="shared" si="1"/>
        <v>{"valorA":"útil","valorB":1}</v>
      </c>
      <c r="E29" s="8" t="str">
        <f t="shared" si="2"/>
        <v>útil</v>
      </c>
      <c r="F29" s="8" t="str">
        <f>IFERROR(__xludf.DUMMYFUNCTION("""COMPUTED_VALUE"""),"escritório")</f>
        <v>escritório</v>
      </c>
      <c r="G29" s="8" t="str">
        <f t="shared" si="3"/>
        <v>1</v>
      </c>
      <c r="H29" s="9">
        <f t="shared" si="4"/>
        <v>1</v>
      </c>
      <c r="I29" s="10">
        <f>IFERROR(__xludf.DUMMYFUNCTION("MAX(FILTER($H$2:$H1416,$E$2:$E1416=F29))"),4.0)</f>
        <v>4</v>
      </c>
    </row>
    <row r="30">
      <c r="A30" s="4"/>
      <c r="C30" s="4" t="s">
        <v>2678</v>
      </c>
      <c r="D30" s="4" t="str">
        <f t="shared" si="1"/>
        <v>{"valorA":"funciona","valorB":2}</v>
      </c>
      <c r="E30" s="8" t="str">
        <f t="shared" si="2"/>
        <v>funciona</v>
      </c>
      <c r="F30" s="8" t="str">
        <f>IFERROR(__xludf.DUMMYFUNCTION("""COMPUTED_VALUE"""),"é")</f>
        <v>é</v>
      </c>
      <c r="G30" s="8" t="str">
        <f t="shared" si="3"/>
        <v>2</v>
      </c>
      <c r="H30" s="9">
        <f t="shared" si="4"/>
        <v>2</v>
      </c>
      <c r="I30" s="10">
        <f>IFERROR(__xludf.DUMMYFUNCTION("MAX(FILTER($H$2:$H1416,$E$2:$E1416=F30))"),2.0)</f>
        <v>2</v>
      </c>
    </row>
    <row r="31">
      <c r="A31" s="4"/>
      <c r="C31" s="4" t="s">
        <v>2646</v>
      </c>
      <c r="D31" s="4" t="str">
        <f t="shared" si="1"/>
        <v>{"valorA":"perfeitamente","valorB":1}</v>
      </c>
      <c r="E31" s="8" t="str">
        <f t="shared" si="2"/>
        <v>perfeitamente</v>
      </c>
      <c r="F31" s="8" t="str">
        <f>IFERROR(__xludf.DUMMYFUNCTION("""COMPUTED_VALUE"""),"confortável")</f>
        <v>confortável</v>
      </c>
      <c r="G31" s="8" t="str">
        <f t="shared" si="3"/>
        <v>1</v>
      </c>
      <c r="H31" s="9">
        <f t="shared" si="4"/>
        <v>1</v>
      </c>
      <c r="I31" s="10">
        <f>IFERROR(__xludf.DUMMYFUNCTION("MAX(FILTER($H$2:$H1416,$E$2:$E1416=F31))"),4.0)</f>
        <v>4</v>
      </c>
    </row>
    <row r="32">
      <c r="A32" s="4"/>
      <c r="C32" s="4" t="s">
        <v>3313</v>
      </c>
      <c r="D32" s="4" t="str">
        <f t="shared" si="1"/>
        <v>{"valorA":"telefone","valorB":1}</v>
      </c>
      <c r="E32" s="8" t="str">
        <f t="shared" si="2"/>
        <v>telefone</v>
      </c>
      <c r="F32" s="8" t="str">
        <f>IFERROR(__xludf.DUMMYFUNCTION("""COMPUTED_VALUE"""),"calculadora")</f>
        <v>calculadora</v>
      </c>
      <c r="G32" s="8" t="str">
        <f t="shared" si="3"/>
        <v>1</v>
      </c>
      <c r="H32" s="9">
        <f t="shared" si="4"/>
        <v>1</v>
      </c>
      <c r="I32" s="10">
        <f>IFERROR(__xludf.DUMMYFUNCTION("MAX(FILTER($H$2:$H1416,$E$2:$E1416=F32))"),2.0)</f>
        <v>2</v>
      </c>
    </row>
    <row r="33">
      <c r="A33" s="4"/>
      <c r="C33" s="4" t="s">
        <v>3093</v>
      </c>
      <c r="D33" s="4" t="str">
        <f t="shared" si="1"/>
        <v>{"valorA":"ótima","valorB":1}</v>
      </c>
      <c r="E33" s="8" t="str">
        <f t="shared" si="2"/>
        <v>ótima</v>
      </c>
      <c r="F33" s="8" t="str">
        <f>IFERROR(__xludf.DUMMYFUNCTION("""COMPUTED_VALUE"""),"sempre")</f>
        <v>sempre</v>
      </c>
      <c r="G33" s="8" t="str">
        <f t="shared" si="3"/>
        <v>1</v>
      </c>
      <c r="H33" s="9">
        <f t="shared" si="4"/>
        <v>1</v>
      </c>
      <c r="I33" s="10">
        <f>IFERROR(__xludf.DUMMYFUNCTION("MAX(FILTER($H$2:$H1416,$E$2:$E1416=F33))"),1.0)</f>
        <v>1</v>
      </c>
    </row>
    <row r="34">
      <c r="A34" s="4"/>
      <c r="C34" s="4" t="s">
        <v>2697</v>
      </c>
      <c r="D34" s="4" t="str">
        <f t="shared" si="1"/>
        <v>{"valorA":"cadeira","valorB":1}</v>
      </c>
      <c r="E34" s="8" t="str">
        <f t="shared" si="2"/>
        <v>cadeira</v>
      </c>
      <c r="F34" s="8" t="str">
        <f>IFERROR(__xludf.DUMMYFUNCTION("""COMPUTED_VALUE"""),"lavador")</f>
        <v>lavador</v>
      </c>
      <c r="G34" s="8" t="str">
        <f t="shared" si="3"/>
        <v>1</v>
      </c>
      <c r="H34" s="9">
        <f t="shared" si="4"/>
        <v>1</v>
      </c>
      <c r="I34" s="10">
        <f>IFERROR(__xludf.DUMMYFUNCTION("MAX(FILTER($H$2:$H1416,$E$2:$E1416=F34))"),4.0)</f>
        <v>4</v>
      </c>
    </row>
    <row r="35">
      <c r="A35" s="4"/>
      <c r="C35" s="4" t="s">
        <v>2680</v>
      </c>
      <c r="D35" s="4" t="str">
        <f t="shared" si="1"/>
        <v>{"valorA":"de","valorB":1}</v>
      </c>
      <c r="E35" s="8" t="str">
        <f t="shared" si="2"/>
        <v>de</v>
      </c>
      <c r="F35" s="8" t="str">
        <f>IFERROR(__xludf.DUMMYFUNCTION("""COMPUTED_VALUE"""),"poucos")</f>
        <v>poucos</v>
      </c>
      <c r="G35" s="8" t="str">
        <f t="shared" si="3"/>
        <v>1</v>
      </c>
      <c r="H35" s="9">
        <f t="shared" si="4"/>
        <v>1</v>
      </c>
      <c r="I35" s="10">
        <f>IFERROR(__xludf.DUMMYFUNCTION("MAX(FILTER($H$2:$H1416,$E$2:$E1416=F35))"),1.0)</f>
        <v>1</v>
      </c>
    </row>
    <row r="36">
      <c r="A36" s="4"/>
      <c r="C36" s="4" t="s">
        <v>2753</v>
      </c>
      <c r="D36" s="4" t="str">
        <f t="shared" si="1"/>
        <v>{"valorA":"escritório","valorB":1}</v>
      </c>
      <c r="E36" s="8" t="str">
        <f t="shared" si="2"/>
        <v>escritório</v>
      </c>
      <c r="F36" s="8" t="str">
        <f>IFERROR(__xludf.DUMMYFUNCTION("""COMPUTED_VALUE"""),"pratos")</f>
        <v>pratos</v>
      </c>
      <c r="G36" s="8" t="str">
        <f t="shared" si="3"/>
        <v>1</v>
      </c>
      <c r="H36" s="9">
        <f t="shared" si="4"/>
        <v>1</v>
      </c>
      <c r="I36" s="10">
        <f>IFERROR(__xludf.DUMMYFUNCTION("MAX(FILTER($H$2:$H1416,$E$2:$E1416=F36))"),4.0)</f>
        <v>4</v>
      </c>
    </row>
    <row r="37">
      <c r="A37" s="4"/>
      <c r="C37" s="4" t="s">
        <v>2679</v>
      </c>
      <c r="D37" s="4" t="str">
        <f t="shared" si="1"/>
        <v>{"valorA":"é","valorB":1}</v>
      </c>
      <c r="E37" s="8" t="str">
        <f t="shared" si="2"/>
        <v>é</v>
      </c>
      <c r="F37" s="8" t="str">
        <f>IFERROR(__xludf.DUMMYFUNCTION("""COMPUTED_VALUE"""),"defeitos")</f>
        <v>defeitos</v>
      </c>
      <c r="G37" s="8" t="str">
        <f t="shared" si="3"/>
        <v>1</v>
      </c>
      <c r="H37" s="9">
        <f t="shared" si="4"/>
        <v>1</v>
      </c>
      <c r="I37" s="10">
        <f>IFERROR(__xludf.DUMMYFUNCTION("MAX(FILTER($H$2:$H1416,$E$2:$E1416=F37))"),1.0)</f>
        <v>1</v>
      </c>
    </row>
    <row r="38">
      <c r="A38" s="4"/>
      <c r="C38" s="4" t="s">
        <v>2699</v>
      </c>
      <c r="D38" s="4" t="str">
        <f t="shared" si="1"/>
        <v>{"valorA":"confortável","valorB":1}</v>
      </c>
      <c r="E38" s="8" t="str">
        <f t="shared" si="2"/>
        <v>confortável</v>
      </c>
      <c r="F38" s="8" t="str">
        <f>IFERROR(__xludf.DUMMYFUNCTION("""COMPUTED_VALUE"""),"tudo")</f>
        <v>tudo</v>
      </c>
      <c r="G38" s="8" t="str">
        <f t="shared" si="3"/>
        <v>1</v>
      </c>
      <c r="H38" s="9">
        <f t="shared" si="4"/>
        <v>1</v>
      </c>
      <c r="I38" s="10">
        <f>IFERROR(__xludf.DUMMYFUNCTION("MAX(FILTER($H$2:$H1416,$E$2:$E1416=F38))"),6.0)</f>
        <v>6</v>
      </c>
    </row>
    <row r="39">
      <c r="A39" s="4"/>
      <c r="C39" s="4" t="s">
        <v>2705</v>
      </c>
      <c r="D39" s="4" t="str">
        <f t="shared" si="1"/>
        <v>{"valorA":"muito","valorB":3}</v>
      </c>
      <c r="E39" s="8" t="str">
        <f t="shared" si="2"/>
        <v>muito</v>
      </c>
      <c r="F39" s="8" t="str">
        <f>IFERROR(__xludf.DUMMYFUNCTION("""COMPUTED_VALUE"""),"limpa")</f>
        <v>limpa</v>
      </c>
      <c r="G39" s="8" t="str">
        <f t="shared" si="3"/>
        <v>3</v>
      </c>
      <c r="H39" s="9">
        <f t="shared" si="4"/>
        <v>3</v>
      </c>
      <c r="I39" s="10">
        <f>IFERROR(__xludf.DUMMYFUNCTION("MAX(FILTER($H$2:$H1416,$E$2:$E1416=F39))"),2.0)</f>
        <v>2</v>
      </c>
    </row>
    <row r="40">
      <c r="A40" s="4"/>
      <c r="C40" s="4" t="s">
        <v>3314</v>
      </c>
      <c r="D40" s="4" t="str">
        <f t="shared" si="1"/>
        <v>{"valorA":"ótima","valorB":2}</v>
      </c>
      <c r="E40" s="8" t="str">
        <f t="shared" si="2"/>
        <v>ótima</v>
      </c>
      <c r="F40" s="8" t="str">
        <f>IFERROR(__xludf.DUMMYFUNCTION("""COMPUTED_VALUE"""),"bom")</f>
        <v>bom</v>
      </c>
      <c r="G40" s="8" t="str">
        <f t="shared" si="3"/>
        <v>2</v>
      </c>
      <c r="H40" s="9">
        <f t="shared" si="4"/>
        <v>2</v>
      </c>
      <c r="I40" s="10">
        <f>IFERROR(__xludf.DUMMYFUNCTION("MAX(FILTER($H$2:$H1416,$E$2:$E1416=F40))"),3.0)</f>
        <v>3</v>
      </c>
    </row>
    <row r="41">
      <c r="A41" s="4"/>
      <c r="C41" s="4" t="s">
        <v>3315</v>
      </c>
      <c r="D41" s="4" t="str">
        <f t="shared" si="1"/>
        <v>{"valorA":"calculadora","valorB":1}</v>
      </c>
      <c r="E41" s="8" t="str">
        <f t="shared" si="2"/>
        <v>calculadora</v>
      </c>
      <c r="F41" s="8" t="str">
        <f>IFERROR(__xludf.DUMMYFUNCTION("""COMPUTED_VALUE"""),"respeito")</f>
        <v>respeito</v>
      </c>
      <c r="G41" s="8" t="str">
        <f t="shared" si="3"/>
        <v>1</v>
      </c>
      <c r="H41" s="9">
        <f t="shared" si="4"/>
        <v>1</v>
      </c>
      <c r="I41" s="10">
        <f>IFERROR(__xludf.DUMMYFUNCTION("MAX(FILTER($H$2:$H1416,$E$2:$E1416=F41))"),1.0)</f>
        <v>1</v>
      </c>
    </row>
    <row r="42">
      <c r="A42" s="4"/>
      <c r="C42" s="4" t="s">
        <v>2782</v>
      </c>
      <c r="D42" s="4" t="str">
        <f t="shared" si="1"/>
        <v>{"valorA":"bem","valorB":3}</v>
      </c>
      <c r="E42" s="8" t="str">
        <f t="shared" si="2"/>
        <v>bem</v>
      </c>
      <c r="F42" s="8" t="str">
        <f>IFERROR(__xludf.DUMMYFUNCTION("""COMPUTED_VALUE"""),"tv")</f>
        <v>tv</v>
      </c>
      <c r="G42" s="8" t="str">
        <f t="shared" si="3"/>
        <v>3</v>
      </c>
      <c r="H42" s="9">
        <f t="shared" si="4"/>
        <v>3</v>
      </c>
      <c r="I42" s="10">
        <f>IFERROR(__xludf.DUMMYFUNCTION("MAX(FILTER($H$2:$H1416,$E$2:$E1416=F42))"),2.0)</f>
        <v>2</v>
      </c>
    </row>
    <row r="43">
      <c r="A43" s="4"/>
      <c r="C43" s="4" t="s">
        <v>3316</v>
      </c>
      <c r="D43" s="4" t="str">
        <f t="shared" si="1"/>
        <v>{"valorA":"sempre","valorB":1}</v>
      </c>
      <c r="E43" s="8" t="str">
        <f t="shared" si="2"/>
        <v>sempre</v>
      </c>
      <c r="F43" s="8" t="str">
        <f>IFERROR(__xludf.DUMMYFUNCTION("""COMPUTED_VALUE"""),"aparelho")</f>
        <v>aparelho</v>
      </c>
      <c r="G43" s="8" t="str">
        <f t="shared" si="3"/>
        <v>1</v>
      </c>
      <c r="H43" s="9">
        <f t="shared" si="4"/>
        <v>1</v>
      </c>
      <c r="I43" s="10">
        <f>IFERROR(__xludf.DUMMYFUNCTION("MAX(FILTER($H$2:$H1416,$E$2:$E1416=F43))"),4.0)</f>
        <v>4</v>
      </c>
    </row>
    <row r="44">
      <c r="A44" s="4"/>
      <c r="C44" s="4" t="s">
        <v>2785</v>
      </c>
      <c r="D44" s="4" t="str">
        <f t="shared" si="1"/>
        <v>{"valorA":"muito","valorB":4}</v>
      </c>
      <c r="E44" s="8" t="str">
        <f t="shared" si="2"/>
        <v>muito</v>
      </c>
      <c r="F44" s="8" t="str">
        <f>IFERROR(__xludf.DUMMYFUNCTION("""COMPUTED_VALUE"""),"do")</f>
        <v>do</v>
      </c>
      <c r="G44" s="8" t="str">
        <f t="shared" si="3"/>
        <v>4</v>
      </c>
      <c r="H44" s="9">
        <f t="shared" si="4"/>
        <v>4</v>
      </c>
      <c r="I44" s="10">
        <f>IFERROR(__xludf.DUMMYFUNCTION("MAX(FILTER($H$2:$H1416,$E$2:$E1416=F44))"),2.0)</f>
        <v>2</v>
      </c>
    </row>
    <row r="45">
      <c r="A45" s="4"/>
      <c r="C45" s="4" t="s">
        <v>2712</v>
      </c>
      <c r="D45" s="4" t="str">
        <f t="shared" si="1"/>
        <v>{"valorA":"funciona","valorB":3}</v>
      </c>
      <c r="E45" s="8" t="str">
        <f t="shared" si="2"/>
        <v>funciona</v>
      </c>
      <c r="F45" s="8" t="str">
        <f>IFERROR(__xludf.DUMMYFUNCTION("""COMPUTED_VALUE"""),"preço")</f>
        <v>preço</v>
      </c>
      <c r="G45" s="8" t="str">
        <f t="shared" si="3"/>
        <v>3</v>
      </c>
      <c r="H45" s="9">
        <f t="shared" si="4"/>
        <v>3</v>
      </c>
      <c r="I45" s="10">
        <f>IFERROR(__xludf.DUMMYFUNCTION("MAX(FILTER($H$2:$H1416,$E$2:$E1416=F45))"),2.0)</f>
        <v>2</v>
      </c>
    </row>
    <row r="46">
      <c r="A46" s="4"/>
      <c r="C46" s="4" t="s">
        <v>2659</v>
      </c>
      <c r="D46" s="4" t="str">
        <f t="shared" si="1"/>
        <v>{"valorA":"ótimo","valorB":5}</v>
      </c>
      <c r="E46" s="8" t="str">
        <f t="shared" si="2"/>
        <v>ótimo</v>
      </c>
      <c r="F46" s="8" t="str">
        <f>IFERROR(__xludf.DUMMYFUNCTION("""COMPUTED_VALUE"""),"esse")</f>
        <v>esse</v>
      </c>
      <c r="G46" s="8" t="str">
        <f t="shared" si="3"/>
        <v>5</v>
      </c>
      <c r="H46" s="9">
        <f t="shared" si="4"/>
        <v>5</v>
      </c>
      <c r="I46" s="10">
        <f>IFERROR(__xludf.DUMMYFUNCTION("MAX(FILTER($H$2:$H1416,$E$2:$E1416=F46))"),3.0)</f>
        <v>3</v>
      </c>
    </row>
    <row r="47">
      <c r="A47" s="4"/>
      <c r="C47" s="4" t="s">
        <v>3317</v>
      </c>
      <c r="D47" s="4" t="str">
        <f t="shared" si="1"/>
        <v>{"valorA":"lavador","valorB":1}</v>
      </c>
      <c r="E47" s="8" t="str">
        <f t="shared" si="2"/>
        <v>lavador</v>
      </c>
      <c r="F47" s="8" t="str">
        <f>IFERROR(__xludf.DUMMYFUNCTION("""COMPUTED_VALUE"""),"surpreendeu")</f>
        <v>surpreendeu</v>
      </c>
      <c r="G47" s="8" t="str">
        <f t="shared" si="3"/>
        <v>1</v>
      </c>
      <c r="H47" s="9">
        <f t="shared" si="4"/>
        <v>1</v>
      </c>
      <c r="I47" s="10">
        <f>IFERROR(__xludf.DUMMYFUNCTION("MAX(FILTER($H$2:$H1416,$E$2:$E1416=F47))"),1.0)</f>
        <v>1</v>
      </c>
    </row>
    <row r="48">
      <c r="A48" s="4"/>
      <c r="C48" s="4" t="s">
        <v>2792</v>
      </c>
      <c r="D48" s="4" t="str">
        <f t="shared" si="1"/>
        <v>{"valorA":"muito","valorB":5}</v>
      </c>
      <c r="E48" s="8" t="str">
        <f t="shared" si="2"/>
        <v>muito</v>
      </c>
      <c r="F48" s="8" t="str">
        <f>IFERROR(__xludf.DUMMYFUNCTION("""COMPUTED_VALUE"""),"me")</f>
        <v>me</v>
      </c>
      <c r="G48" s="8" t="str">
        <f t="shared" si="3"/>
        <v>5</v>
      </c>
      <c r="H48" s="9">
        <f t="shared" si="4"/>
        <v>5</v>
      </c>
      <c r="I48" s="10">
        <f>IFERROR(__xludf.DUMMYFUNCTION("MAX(FILTER($H$2:$H1416,$E$2:$E1416=F48))"),2.0)</f>
        <v>2</v>
      </c>
    </row>
    <row r="49">
      <c r="A49" s="4"/>
      <c r="C49" s="4" t="s">
        <v>2879</v>
      </c>
      <c r="D49" s="4" t="str">
        <f t="shared" si="1"/>
        <v>{"valorA":"bem","valorB":4}</v>
      </c>
      <c r="E49" s="8" t="str">
        <f t="shared" si="2"/>
        <v>bem</v>
      </c>
      <c r="F49" s="8" t="str">
        <f>IFERROR(__xludf.DUMMYFUNCTION("""COMPUTED_VALUE"""),"leitor")</f>
        <v>leitor</v>
      </c>
      <c r="G49" s="8" t="str">
        <f t="shared" si="3"/>
        <v>4</v>
      </c>
      <c r="H49" s="9">
        <f t="shared" si="4"/>
        <v>4</v>
      </c>
      <c r="I49" s="10">
        <f>IFERROR(__xludf.DUMMYFUNCTION("MAX(FILTER($H$2:$H1416,$E$2:$E1416=F49))"),2.0)</f>
        <v>2</v>
      </c>
    </row>
    <row r="50">
      <c r="A50" s="4"/>
      <c r="C50" s="4" t="s">
        <v>2814</v>
      </c>
      <c r="D50" s="4" t="str">
        <f t="shared" si="1"/>
        <v>{"valorA":"com","valorB":2}</v>
      </c>
      <c r="E50" s="8" t="str">
        <f t="shared" si="2"/>
        <v>com</v>
      </c>
      <c r="F50" s="8" t="str">
        <f>IFERROR(__xludf.DUMMYFUNCTION("""COMPUTED_VALUE"""),"kindle")</f>
        <v>kindle</v>
      </c>
      <c r="G50" s="8" t="str">
        <f t="shared" si="3"/>
        <v>2</v>
      </c>
      <c r="H50" s="9">
        <f t="shared" si="4"/>
        <v>2</v>
      </c>
      <c r="I50" s="10">
        <f>IFERROR(__xludf.DUMMYFUNCTION("MAX(FILTER($H$2:$H1416,$E$2:$E1416=F50))"),1.0)</f>
        <v>1</v>
      </c>
    </row>
    <row r="51">
      <c r="A51" s="4"/>
      <c r="C51" s="4" t="s">
        <v>3318</v>
      </c>
      <c r="D51" s="4" t="str">
        <f t="shared" si="1"/>
        <v>{"valorA":"poucos","valorB":1}</v>
      </c>
      <c r="E51" s="8" t="str">
        <f t="shared" si="2"/>
        <v>poucos</v>
      </c>
      <c r="F51" s="8" t="str">
        <f>IFERROR(__xludf.DUMMYFUNCTION("""COMPUTED_VALUE"""),"amo")</f>
        <v>amo</v>
      </c>
      <c r="G51" s="8" t="str">
        <f t="shared" si="3"/>
        <v>1</v>
      </c>
      <c r="H51" s="9">
        <f t="shared" si="4"/>
        <v>1</v>
      </c>
      <c r="I51" s="10">
        <f>IFERROR(__xludf.DUMMYFUNCTION("MAX(FILTER($H$2:$H1416,$E$2:$E1416=F51))"),1.0)</f>
        <v>1</v>
      </c>
    </row>
    <row r="52">
      <c r="A52" s="4"/>
      <c r="C52" s="4" t="s">
        <v>2720</v>
      </c>
      <c r="D52" s="4" t="str">
        <f t="shared" si="1"/>
        <v>{"valorA":"de","valorB":2}</v>
      </c>
      <c r="E52" s="8" t="str">
        <f t="shared" si="2"/>
        <v>de</v>
      </c>
      <c r="F52" s="8" t="str">
        <f>IFERROR(__xludf.DUMMYFUNCTION("""COMPUTED_VALUE"""),"lugar")</f>
        <v>lugar</v>
      </c>
      <c r="G52" s="8" t="str">
        <f t="shared" si="3"/>
        <v>2</v>
      </c>
      <c r="H52" s="9">
        <f t="shared" si="4"/>
        <v>2</v>
      </c>
      <c r="I52" s="10">
        <f>IFERROR(__xludf.DUMMYFUNCTION("MAX(FILTER($H$2:$H1416,$E$2:$E1416=F52))"),1.0)</f>
        <v>1</v>
      </c>
    </row>
    <row r="53">
      <c r="A53" s="4"/>
      <c r="C53" s="4" t="s">
        <v>3319</v>
      </c>
      <c r="D53" s="4" t="str">
        <f t="shared" si="1"/>
        <v>{"valorA":"pratos","valorB":1}</v>
      </c>
      <c r="E53" s="8" t="str">
        <f t="shared" si="2"/>
        <v>pratos</v>
      </c>
      <c r="F53" s="8" t="str">
        <f>IFERROR(__xludf.DUMMYFUNCTION("""COMPUTED_VALUE"""),"ele")</f>
        <v>ele</v>
      </c>
      <c r="G53" s="8" t="str">
        <f t="shared" si="3"/>
        <v>1</v>
      </c>
      <c r="H53" s="9">
        <f t="shared" si="4"/>
        <v>1</v>
      </c>
      <c r="I53" s="10">
        <f>IFERROR(__xludf.DUMMYFUNCTION("MAX(FILTER($H$2:$H1416,$E$2:$E1416=F53))"),2.0)</f>
        <v>2</v>
      </c>
    </row>
    <row r="54">
      <c r="A54" s="4"/>
      <c r="C54" s="4" t="s">
        <v>2715</v>
      </c>
      <c r="D54" s="4" t="str">
        <f t="shared" si="1"/>
        <v>{"valorA":"funciona","valorB":4}</v>
      </c>
      <c r="E54" s="8" t="str">
        <f t="shared" si="2"/>
        <v>funciona</v>
      </c>
      <c r="F54" s="8" t="str">
        <f>IFERROR(__xludf.DUMMYFUNCTION("""COMPUTED_VALUE"""),"em")</f>
        <v>em</v>
      </c>
      <c r="G54" s="8" t="str">
        <f t="shared" si="3"/>
        <v>4</v>
      </c>
      <c r="H54" s="9">
        <f t="shared" si="4"/>
        <v>4</v>
      </c>
      <c r="I54" s="10">
        <f>IFERROR(__xludf.DUMMYFUNCTION("MAX(FILTER($H$2:$H1416,$E$2:$E1416=F54))"),4.0)</f>
        <v>4</v>
      </c>
    </row>
    <row r="55">
      <c r="A55" s="4"/>
      <c r="C55" s="4" t="s">
        <v>3320</v>
      </c>
      <c r="D55" s="4" t="str">
        <f t="shared" si="1"/>
        <v>{"valorA":"defeitos","valorB":1}</v>
      </c>
      <c r="E55" s="8" t="str">
        <f t="shared" si="2"/>
        <v>defeitos</v>
      </c>
      <c r="F55" s="8" t="str">
        <f>IFERROR(__xludf.DUMMYFUNCTION("""COMPUTED_VALUE"""),"ler")</f>
        <v>ler</v>
      </c>
      <c r="G55" s="8" t="str">
        <f t="shared" si="3"/>
        <v>1</v>
      </c>
      <c r="H55" s="9">
        <f t="shared" si="4"/>
        <v>1</v>
      </c>
      <c r="I55" s="10">
        <f>IFERROR(__xludf.DUMMYFUNCTION("MAX(FILTER($H$2:$H1416,$E$2:$E1416=F55))"),1.0)</f>
        <v>1</v>
      </c>
    </row>
    <row r="56">
      <c r="A56" s="4"/>
      <c r="C56" s="4" t="s">
        <v>2662</v>
      </c>
      <c r="D56" s="4" t="str">
        <f t="shared" si="1"/>
        <v>{"valorA":"ótimo","valorB":6}</v>
      </c>
      <c r="E56" s="8" t="str">
        <f t="shared" si="2"/>
        <v>ótimo</v>
      </c>
      <c r="F56" s="8" t="str">
        <f>IFERROR(__xludf.DUMMYFUNCTION("""COMPUTED_VALUE"""),"qualquer")</f>
        <v>qualquer</v>
      </c>
      <c r="G56" s="8" t="str">
        <f t="shared" si="3"/>
        <v>6</v>
      </c>
      <c r="H56" s="9">
        <f t="shared" si="4"/>
        <v>6</v>
      </c>
      <c r="I56" s="10">
        <f>IFERROR(__xludf.DUMMYFUNCTION("MAX(FILTER($H$2:$H1416,$E$2:$E1416=F56))"),1.0)</f>
        <v>1</v>
      </c>
    </row>
    <row r="57">
      <c r="A57" s="4"/>
      <c r="C57" s="4" t="s">
        <v>3321</v>
      </c>
      <c r="D57" s="4" t="str">
        <f t="shared" si="1"/>
        <v>{"valorA":"lavador","valorB":2}</v>
      </c>
      <c r="E57" s="8" t="str">
        <f t="shared" si="2"/>
        <v>lavador</v>
      </c>
      <c r="F57" s="8" t="str">
        <f>IFERROR(__xludf.DUMMYFUNCTION("""COMPUTED_VALUE"""),"recomendo")</f>
        <v>recomendo</v>
      </c>
      <c r="G57" s="8" t="str">
        <f t="shared" si="3"/>
        <v>2</v>
      </c>
      <c r="H57" s="9">
        <f t="shared" si="4"/>
        <v>2</v>
      </c>
      <c r="I57" s="10">
        <f>IFERROR(__xludf.DUMMYFUNCTION("MAX(FILTER($H$2:$H1416,$E$2:$E1416=F57))"),5.0)</f>
        <v>5</v>
      </c>
    </row>
    <row r="58">
      <c r="A58" s="4"/>
      <c r="C58" s="4" t="s">
        <v>2902</v>
      </c>
      <c r="D58" s="4" t="str">
        <f t="shared" si="1"/>
        <v>{"valorA":"bem","valorB":5}</v>
      </c>
      <c r="E58" s="8" t="str">
        <f t="shared" si="2"/>
        <v>bem</v>
      </c>
      <c r="F58" s="8" t="str">
        <f>IFERROR(__xludf.DUMMYFUNCTION("""COMPUTED_VALUE"""),"confiável")</f>
        <v>confiável</v>
      </c>
      <c r="G58" s="8" t="str">
        <f t="shared" si="3"/>
        <v>5</v>
      </c>
      <c r="H58" s="9">
        <f t="shared" si="4"/>
        <v>5</v>
      </c>
      <c r="I58" s="10">
        <f>IFERROR(__xludf.DUMMYFUNCTION("MAX(FILTER($H$2:$H1416,$E$2:$E1416=F58))"),1.0)</f>
        <v>1</v>
      </c>
    </row>
    <row r="59">
      <c r="A59" s="4"/>
      <c r="C59" s="4" t="s">
        <v>3079</v>
      </c>
      <c r="D59" s="4" t="str">
        <f t="shared" si="1"/>
        <v>{"valorA":"tudo","valorB":1}</v>
      </c>
      <c r="E59" s="8" t="str">
        <f t="shared" si="2"/>
        <v>tudo</v>
      </c>
      <c r="F59" s="8" t="str">
        <f>IFERROR(__xludf.DUMMYFUNCTION("""COMPUTED_VALUE"""),"blender")</f>
        <v>blender</v>
      </c>
      <c r="G59" s="8" t="str">
        <f t="shared" si="3"/>
        <v>1</v>
      </c>
      <c r="H59" s="9">
        <f t="shared" si="4"/>
        <v>1</v>
      </c>
      <c r="I59" s="10">
        <f>IFERROR(__xludf.DUMMYFUNCTION("MAX(FILTER($H$2:$H1416,$E$2:$E1416=F59))"),1.0)</f>
        <v>1</v>
      </c>
    </row>
    <row r="60">
      <c r="A60" s="4"/>
      <c r="C60" s="4" t="s">
        <v>2811</v>
      </c>
      <c r="D60" s="4" t="str">
        <f t="shared" si="1"/>
        <v>{"valorA":"muito","valorB":6}</v>
      </c>
      <c r="E60" s="8" t="str">
        <f t="shared" si="2"/>
        <v>muito</v>
      </c>
      <c r="F60" s="8" t="str">
        <f>IFERROR(__xludf.DUMMYFUNCTION("""COMPUTED_VALUE"""),"dvdblue")</f>
        <v>dvdblue</v>
      </c>
      <c r="G60" s="8" t="str">
        <f t="shared" si="3"/>
        <v>6</v>
      </c>
      <c r="H60" s="9">
        <f t="shared" si="4"/>
        <v>6</v>
      </c>
      <c r="I60" s="10">
        <f>IFERROR(__xludf.DUMMYFUNCTION("MAX(FILTER($H$2:$H1416,$E$2:$E1416=F60))"),1.0)</f>
        <v>1</v>
      </c>
    </row>
    <row r="61">
      <c r="A61" s="4"/>
      <c r="C61" s="4" t="s">
        <v>2736</v>
      </c>
      <c r="D61" s="4" t="str">
        <f t="shared" si="1"/>
        <v>{"valorA":"de","valorB":3}</v>
      </c>
      <c r="E61" s="8" t="str">
        <f t="shared" si="2"/>
        <v>de</v>
      </c>
      <c r="F61" s="8" t="str">
        <f>IFERROR(__xludf.DUMMYFUNCTION("""COMPUTED_VALUE"""),"ray")</f>
        <v>ray</v>
      </c>
      <c r="G61" s="8" t="str">
        <f t="shared" si="3"/>
        <v>3</v>
      </c>
      <c r="H61" s="9">
        <f t="shared" si="4"/>
        <v>3</v>
      </c>
      <c r="I61" s="10">
        <f>IFERROR(__xludf.DUMMYFUNCTION("MAX(FILTER($H$2:$H1416,$E$2:$E1416=F61))"),1.0)</f>
        <v>1</v>
      </c>
    </row>
    <row r="62">
      <c r="A62" s="4"/>
      <c r="C62" s="4" t="s">
        <v>3322</v>
      </c>
      <c r="D62" s="4" t="str">
        <f t="shared" si="1"/>
        <v>{"valorA":"pratos","valorB":2}</v>
      </c>
      <c r="E62" s="8" t="str">
        <f t="shared" si="2"/>
        <v>pratos</v>
      </c>
      <c r="F62" s="8" t="str">
        <f>IFERROR(__xludf.DUMMYFUNCTION("""COMPUTED_VALUE"""),"comprei")</f>
        <v>comprei</v>
      </c>
      <c r="G62" s="8" t="str">
        <f t="shared" si="3"/>
        <v>2</v>
      </c>
      <c r="H62" s="9">
        <f t="shared" si="4"/>
        <v>2</v>
      </c>
      <c r="I62" s="10">
        <f>IFERROR(__xludf.DUMMYFUNCTION("MAX(FILTER($H$2:$H1416,$E$2:$E1416=F62))"),5.0)</f>
        <v>5</v>
      </c>
    </row>
    <row r="63">
      <c r="A63" s="4"/>
      <c r="C63" s="4" t="s">
        <v>3323</v>
      </c>
      <c r="D63" s="4" t="str">
        <f t="shared" si="1"/>
        <v>{"valorA":"limpa","valorB":1}</v>
      </c>
      <c r="E63" s="8" t="str">
        <f t="shared" si="2"/>
        <v>limpa</v>
      </c>
      <c r="F63" s="8" t="str">
        <f>IFERROR(__xludf.DUMMYFUNCTION("""COMPUTED_VALUE"""),"um")</f>
        <v>um</v>
      </c>
      <c r="G63" s="8" t="str">
        <f t="shared" si="3"/>
        <v>1</v>
      </c>
      <c r="H63" s="9">
        <f t="shared" si="4"/>
        <v>1</v>
      </c>
      <c r="I63" s="10">
        <f>IFERROR(__xludf.DUMMYFUNCTION("MAX(FILTER($H$2:$H1416,$E$2:$E1416=F63))"),2.0)</f>
        <v>2</v>
      </c>
    </row>
    <row r="64">
      <c r="A64" s="4"/>
      <c r="C64" s="4" t="s">
        <v>2835</v>
      </c>
      <c r="D64" s="4" t="str">
        <f t="shared" si="1"/>
        <v>{"valorA":"muito","valorB":7}</v>
      </c>
      <c r="E64" s="8" t="str">
        <f t="shared" si="2"/>
        <v>muito</v>
      </c>
      <c r="F64" s="8" t="str">
        <f>IFERROR(__xludf.DUMMYFUNCTION("""COMPUTED_VALUE"""),"modelo")</f>
        <v>modelo</v>
      </c>
      <c r="G64" s="8" t="str">
        <f t="shared" si="3"/>
        <v>7</v>
      </c>
      <c r="H64" s="9">
        <f t="shared" si="4"/>
        <v>7</v>
      </c>
      <c r="I64" s="10">
        <f>IFERROR(__xludf.DUMMYFUNCTION("MAX(FILTER($H$2:$H1416,$E$2:$E1416=F64))"),2.0)</f>
        <v>2</v>
      </c>
    </row>
    <row r="65">
      <c r="A65" s="4"/>
      <c r="C65" s="4" t="s">
        <v>2671</v>
      </c>
      <c r="D65" s="4" t="str">
        <f t="shared" si="1"/>
        <v>{"valorA":"ótimo","valorB":7}</v>
      </c>
      <c r="E65" s="8" t="str">
        <f t="shared" si="2"/>
        <v>ótimo</v>
      </c>
      <c r="F65" s="8" t="str">
        <f>IFERROR(__xludf.DUMMYFUNCTION("""COMPUTED_VALUE"""),"refrigerador")</f>
        <v>refrigerador</v>
      </c>
      <c r="G65" s="8" t="str">
        <f t="shared" si="3"/>
        <v>7</v>
      </c>
      <c r="H65" s="9">
        <f t="shared" si="4"/>
        <v>7</v>
      </c>
      <c r="I65" s="10">
        <f>IFERROR(__xludf.DUMMYFUNCTION("MAX(FILTER($H$2:$H1416,$E$2:$E1416=F65))"),1.0)</f>
        <v>1</v>
      </c>
    </row>
    <row r="66">
      <c r="A66" s="4"/>
      <c r="C66" s="4" t="s">
        <v>3023</v>
      </c>
      <c r="D66" s="4" t="str">
        <f t="shared" si="1"/>
        <v>{"valorA":"bom","valorB":1}</v>
      </c>
      <c r="E66" s="8" t="str">
        <f t="shared" si="2"/>
        <v>bom</v>
      </c>
      <c r="F66" s="8" t="str">
        <f>IFERROR(__xludf.DUMMYFUNCTION("""COMPUTED_VALUE"""),"mês")</f>
        <v>mês</v>
      </c>
      <c r="G66" s="8" t="str">
        <f t="shared" si="3"/>
        <v>1</v>
      </c>
      <c r="H66" s="9">
        <f t="shared" si="4"/>
        <v>1</v>
      </c>
      <c r="I66" s="10">
        <f>IFERROR(__xludf.DUMMYFUNCTION("MAX(FILTER($H$2:$H1416,$E$2:$E1416=F66))"),2.0)</f>
        <v>2</v>
      </c>
    </row>
    <row r="67">
      <c r="A67" s="4"/>
      <c r="C67" s="4" t="s">
        <v>3324</v>
      </c>
      <c r="D67" s="4" t="str">
        <f t="shared" si="1"/>
        <v>{"valorA":"respeito","valorB":1}</v>
      </c>
      <c r="E67" s="8" t="str">
        <f t="shared" si="2"/>
        <v>respeito</v>
      </c>
      <c r="F67" s="8" t="str">
        <f>IFERROR(__xludf.DUMMYFUNCTION("""COMPUTED_VALUE"""),"ainda")</f>
        <v>ainda</v>
      </c>
      <c r="G67" s="8" t="str">
        <f t="shared" si="3"/>
        <v>1</v>
      </c>
      <c r="H67" s="9">
        <f t="shared" si="4"/>
        <v>1</v>
      </c>
      <c r="I67" s="10">
        <f>IFERROR(__xludf.DUMMYFUNCTION("MAX(FILTER($H$2:$H1416,$E$2:$E1416=F67))"),1.0)</f>
        <v>1</v>
      </c>
    </row>
    <row r="68">
      <c r="A68" s="4"/>
      <c r="C68" s="4" t="s">
        <v>3131</v>
      </c>
      <c r="D68" s="4" t="str">
        <f t="shared" si="1"/>
        <v>{"valorA":"tv","valorB":1}</v>
      </c>
      <c r="E68" s="8" t="str">
        <f t="shared" si="2"/>
        <v>tv</v>
      </c>
      <c r="F68" s="8" t="str">
        <f>IFERROR(__xludf.DUMMYFUNCTION("""COMPUTED_VALUE"""),"atrás")</f>
        <v>atrás</v>
      </c>
      <c r="G68" s="8" t="str">
        <f t="shared" si="3"/>
        <v>1</v>
      </c>
      <c r="H68" s="9">
        <f t="shared" si="4"/>
        <v>1</v>
      </c>
      <c r="I68" s="10">
        <f>IFERROR(__xludf.DUMMYFUNCTION("MAX(FILTER($H$2:$H1416,$E$2:$E1416=F68))"),1.0)</f>
        <v>1</v>
      </c>
    </row>
    <row r="69">
      <c r="A69" s="4"/>
      <c r="C69" s="4" t="s">
        <v>2660</v>
      </c>
      <c r="D69" s="4" t="str">
        <f t="shared" si="1"/>
        <v>{"valorA":"a","valorB":2}</v>
      </c>
      <c r="E69" s="8" t="str">
        <f t="shared" si="2"/>
        <v>a</v>
      </c>
      <c r="F69" s="8" t="str">
        <f>IFERROR(__xludf.DUMMYFUNCTION("""COMPUTED_VALUE"""),"coment")</f>
        <v>coment</v>
      </c>
      <c r="G69" s="8" t="str">
        <f t="shared" si="3"/>
        <v>2</v>
      </c>
      <c r="H69" s="9">
        <f t="shared" si="4"/>
        <v>2</v>
      </c>
      <c r="I69" s="10">
        <f>IFERROR(__xludf.DUMMYFUNCTION("MAX(FILTER($H$2:$H1416,$E$2:$E1416=F69))"),3.0)</f>
        <v>3</v>
      </c>
    </row>
    <row r="70">
      <c r="A70" s="4"/>
      <c r="C70" s="4" t="s">
        <v>3325</v>
      </c>
      <c r="D70" s="4" t="str">
        <f t="shared" si="1"/>
        <v>{"valorA":"aparelho","valorB":1}</v>
      </c>
      <c r="E70" s="8" t="str">
        <f t="shared" si="2"/>
        <v>aparelho</v>
      </c>
      <c r="F70" s="8" t="str">
        <f>IFERROR(__xludf.DUMMYFUNCTION("""COMPUTED_VALUE"""),"óptimo")</f>
        <v>óptimo</v>
      </c>
      <c r="G70" s="8" t="str">
        <f t="shared" si="3"/>
        <v>1</v>
      </c>
      <c r="H70" s="9">
        <f t="shared" si="4"/>
        <v>1</v>
      </c>
      <c r="I70" s="10">
        <f>IFERROR(__xludf.DUMMYFUNCTION("MAX(FILTER($H$2:$H1416,$E$2:$E1416=F70))"),2.0)</f>
        <v>2</v>
      </c>
    </row>
    <row r="71">
      <c r="A71" s="4"/>
      <c r="C71" s="4" t="s">
        <v>2738</v>
      </c>
      <c r="D71" s="4" t="str">
        <f t="shared" si="1"/>
        <v>{"valorA":"de","valorB":4}</v>
      </c>
      <c r="E71" s="8" t="str">
        <f t="shared" si="2"/>
        <v>de</v>
      </c>
      <c r="F71" s="8" t="str">
        <f>IFERROR(__xludf.DUMMYFUNCTION("""COMPUTED_VALUE"""),"ontem")</f>
        <v>ontem</v>
      </c>
      <c r="G71" s="8" t="str">
        <f t="shared" si="3"/>
        <v>4</v>
      </c>
      <c r="H71" s="9">
        <f t="shared" si="4"/>
        <v>4</v>
      </c>
      <c r="I71" s="10">
        <f>IFERROR(__xludf.DUMMYFUNCTION("MAX(FILTER($H$2:$H1416,$E$2:$E1416=F71))"),1.0)</f>
        <v>1</v>
      </c>
    </row>
    <row r="72">
      <c r="A72" s="4"/>
      <c r="C72" s="4" t="s">
        <v>2654</v>
      </c>
      <c r="D72" s="4" t="str">
        <f t="shared" si="1"/>
        <v>{"valorA":"do","valorB":1}</v>
      </c>
      <c r="E72" s="8" t="str">
        <f t="shared" si="2"/>
        <v>do</v>
      </c>
      <c r="F72" s="8" t="str">
        <f>IFERROR(__xludf.DUMMYFUNCTION("""COMPUTED_VALUE"""),"gosto")</f>
        <v>gosto</v>
      </c>
      <c r="G72" s="8" t="str">
        <f t="shared" si="3"/>
        <v>1</v>
      </c>
      <c r="H72" s="9">
        <f t="shared" si="4"/>
        <v>1</v>
      </c>
      <c r="I72" s="10">
        <f>IFERROR(__xludf.DUMMYFUNCTION("MAX(FILTER($H$2:$H1416,$E$2:$E1416=F72))"),3.0)</f>
        <v>3</v>
      </c>
    </row>
    <row r="73">
      <c r="A73" s="4"/>
      <c r="C73" s="4" t="s">
        <v>2655</v>
      </c>
      <c r="D73" s="4" t="str">
        <f t="shared" si="1"/>
        <v>{"valorA":"preço","valorB":1}</v>
      </c>
      <c r="E73" s="8" t="str">
        <f t="shared" si="2"/>
        <v>preço</v>
      </c>
      <c r="F73" s="8" t="str">
        <f>IFERROR(__xludf.DUMMYFUNCTION("""COMPUTED_VALUE"""),"produto")</f>
        <v>produto</v>
      </c>
      <c r="G73" s="8" t="str">
        <f t="shared" si="3"/>
        <v>1</v>
      </c>
      <c r="H73" s="9">
        <f t="shared" si="4"/>
        <v>1</v>
      </c>
      <c r="I73" s="10">
        <f>IFERROR(__xludf.DUMMYFUNCTION("MAX(FILTER($H$2:$H1416,$E$2:$E1416=F73))"),4.0)</f>
        <v>4</v>
      </c>
    </row>
    <row r="74">
      <c r="A74" s="4"/>
      <c r="C74" s="4" t="s">
        <v>2630</v>
      </c>
      <c r="D74" s="4" t="str">
        <f t="shared" si="1"/>
        <v>{"valorA":"esse","valorB":1}</v>
      </c>
      <c r="E74" s="8" t="str">
        <f t="shared" si="2"/>
        <v>esse</v>
      </c>
      <c r="F74" s="8" t="str">
        <f>IFERROR(__xludf.DUMMYFUNCTION("""COMPUTED_VALUE"""),"desse")</f>
        <v>desse</v>
      </c>
      <c r="G74" s="8" t="str">
        <f t="shared" si="3"/>
        <v>1</v>
      </c>
      <c r="H74" s="9">
        <f t="shared" si="4"/>
        <v>1</v>
      </c>
      <c r="I74" s="10">
        <f>IFERROR(__xludf.DUMMYFUNCTION("MAX(FILTER($H$2:$H1416,$E$2:$E1416=F74))"),1.0)</f>
        <v>1</v>
      </c>
    </row>
    <row r="75">
      <c r="A75" s="4"/>
      <c r="C75" s="4" t="s">
        <v>2673</v>
      </c>
      <c r="D75" s="4" t="str">
        <f t="shared" si="1"/>
        <v>{"valorA":"ótimo","valorB":8}</v>
      </c>
      <c r="E75" s="8" t="str">
        <f t="shared" si="2"/>
        <v>ótimo</v>
      </c>
      <c r="F75" s="8" t="str">
        <f>IFERROR(__xludf.DUMMYFUNCTION("""COMPUTED_VALUE"""),"aspirador")</f>
        <v>aspirador</v>
      </c>
      <c r="G75" s="8" t="str">
        <f t="shared" si="3"/>
        <v>8</v>
      </c>
      <c r="H75" s="9">
        <f t="shared" si="4"/>
        <v>8</v>
      </c>
      <c r="I75" s="10">
        <f>IFERROR(__xludf.DUMMYFUNCTION("MAX(FILTER($H$2:$H1416,$E$2:$E1416=F75))"),1.0)</f>
        <v>1</v>
      </c>
    </row>
    <row r="76">
      <c r="A76" s="4"/>
      <c r="C76" s="4" t="s">
        <v>3326</v>
      </c>
      <c r="D76" s="4" t="str">
        <f t="shared" si="1"/>
        <v>{"valorA":"surpreendeu","valorB":1}</v>
      </c>
      <c r="E76" s="8" t="str">
        <f t="shared" si="2"/>
        <v>surpreendeu</v>
      </c>
      <c r="F76" s="8" t="str">
        <f>IFERROR(__xludf.DUMMYFUNCTION("""COMPUTED_VALUE"""),"que")</f>
        <v>que</v>
      </c>
      <c r="G76" s="8" t="str">
        <f t="shared" si="3"/>
        <v>1</v>
      </c>
      <c r="H76" s="9">
        <f t="shared" si="4"/>
        <v>1</v>
      </c>
      <c r="I76" s="10">
        <f>IFERROR(__xludf.DUMMYFUNCTION("MAX(FILTER($H$2:$H1416,$E$2:$E1416=F76))"),7.0)</f>
        <v>7</v>
      </c>
    </row>
    <row r="77">
      <c r="A77" s="4"/>
      <c r="C77" s="4" t="s">
        <v>2848</v>
      </c>
      <c r="D77" s="4" t="str">
        <f t="shared" si="1"/>
        <v>{"valorA":"me","valorB":1}</v>
      </c>
      <c r="E77" s="8" t="str">
        <f t="shared" si="2"/>
        <v>me</v>
      </c>
      <c r="F77" s="8" t="str">
        <f>IFERROR(__xludf.DUMMYFUNCTION("""COMPUTED_VALUE"""),"caixa")</f>
        <v>caixa</v>
      </c>
      <c r="G77" s="8" t="str">
        <f t="shared" si="3"/>
        <v>1</v>
      </c>
      <c r="H77" s="9">
        <f t="shared" si="4"/>
        <v>1</v>
      </c>
      <c r="I77" s="10">
        <f>IFERROR(__xludf.DUMMYFUNCTION("MAX(FILTER($H$2:$H1416,$E$2:$E1416=F77))"),1.0)</f>
        <v>1</v>
      </c>
    </row>
    <row r="78">
      <c r="A78" s="4"/>
      <c r="C78" s="4" t="s">
        <v>3327</v>
      </c>
      <c r="D78" s="4" t="str">
        <f t="shared" si="1"/>
        <v>{"valorA":"aparelho","valorB":2}</v>
      </c>
      <c r="E78" s="8" t="str">
        <f t="shared" si="2"/>
        <v>aparelho</v>
      </c>
      <c r="F78" s="8" t="str">
        <f>IFERROR(__xludf.DUMMYFUNCTION("""COMPUTED_VALUE"""),"carro")</f>
        <v>carro</v>
      </c>
      <c r="G78" s="8" t="str">
        <f t="shared" si="3"/>
        <v>2</v>
      </c>
      <c r="H78" s="9">
        <f t="shared" si="4"/>
        <v>2</v>
      </c>
      <c r="I78" s="10">
        <f>IFERROR(__xludf.DUMMYFUNCTION("MAX(FILTER($H$2:$H1416,$E$2:$E1416=F78))"),2.0)</f>
        <v>2</v>
      </c>
    </row>
    <row r="79">
      <c r="A79" s="4"/>
      <c r="C79" s="4" t="s">
        <v>3206</v>
      </c>
      <c r="D79" s="4" t="str">
        <f t="shared" si="1"/>
        <v>{"valorA":"leitor","valorB":1}</v>
      </c>
      <c r="E79" s="8" t="str">
        <f t="shared" si="2"/>
        <v>leitor</v>
      </c>
      <c r="F79" s="8" t="str">
        <f>IFERROR(__xludf.DUMMYFUNCTION("""COMPUTED_VALUE"""),"som")</f>
        <v>som</v>
      </c>
      <c r="G79" s="8" t="str">
        <f t="shared" si="3"/>
        <v>1</v>
      </c>
      <c r="H79" s="9">
        <f t="shared" si="4"/>
        <v>1</v>
      </c>
      <c r="I79" s="10">
        <f>IFERROR(__xludf.DUMMYFUNCTION("MAX(FILTER($H$2:$H1416,$E$2:$E1416=F79))"),1.0)</f>
        <v>1</v>
      </c>
    </row>
    <row r="80">
      <c r="A80" s="4"/>
      <c r="C80" s="4" t="s">
        <v>3328</v>
      </c>
      <c r="D80" s="4" t="str">
        <f t="shared" si="1"/>
        <v>{"valorA":"kindle","valorB":1}</v>
      </c>
      <c r="E80" s="8" t="str">
        <f t="shared" si="2"/>
        <v>kindle</v>
      </c>
      <c r="F80" s="8" t="str">
        <f>IFERROR(__xludf.DUMMYFUNCTION("""COMPUTED_VALUE"""),"música")</f>
        <v>música</v>
      </c>
      <c r="G80" s="8" t="str">
        <f t="shared" si="3"/>
        <v>1</v>
      </c>
      <c r="H80" s="9">
        <f t="shared" si="4"/>
        <v>1</v>
      </c>
      <c r="I80" s="10">
        <f>IFERROR(__xludf.DUMMYFUNCTION("MAX(FILTER($H$2:$H1416,$E$2:$E1416=F80))"),1.0)</f>
        <v>1</v>
      </c>
    </row>
    <row r="81">
      <c r="A81" s="4"/>
      <c r="C81" s="4" t="s">
        <v>3329</v>
      </c>
      <c r="D81" s="4" t="str">
        <f t="shared" si="1"/>
        <v>{"valorA":"amo","valorB":1}</v>
      </c>
      <c r="E81" s="8" t="str">
        <f t="shared" si="2"/>
        <v>amo</v>
      </c>
      <c r="F81" s="8" t="str">
        <f>IFERROR(__xludf.DUMMYFUNCTION("""COMPUTED_VALUE"""),"agradável")</f>
        <v>agradável</v>
      </c>
      <c r="G81" s="8" t="str">
        <f t="shared" si="3"/>
        <v>1</v>
      </c>
      <c r="H81" s="9">
        <f t="shared" si="4"/>
        <v>1</v>
      </c>
      <c r="I81" s="10">
        <f>IFERROR(__xludf.DUMMYFUNCTION("MAX(FILTER($H$2:$H1416,$E$2:$E1416=F81))"),1.0)</f>
        <v>1</v>
      </c>
    </row>
    <row r="82">
      <c r="A82" s="4"/>
      <c r="C82" s="4" t="s">
        <v>2684</v>
      </c>
      <c r="D82" s="4" t="str">
        <f t="shared" si="1"/>
        <v>{"valorA":"ótimo","valorB":9}</v>
      </c>
      <c r="E82" s="8" t="str">
        <f t="shared" si="2"/>
        <v>ótimo</v>
      </c>
      <c r="F82" s="8" t="str">
        <f>IFERROR(__xludf.DUMMYFUNCTION("""COMPUTED_VALUE"""),"agora")</f>
        <v>agora</v>
      </c>
      <c r="G82" s="8" t="str">
        <f t="shared" si="3"/>
        <v>9</v>
      </c>
      <c r="H82" s="9">
        <f t="shared" si="4"/>
        <v>9</v>
      </c>
      <c r="I82" s="10">
        <f>IFERROR(__xludf.DUMMYFUNCTION("MAX(FILTER($H$2:$H1416,$E$2:$E1416=F82))"),2.0)</f>
        <v>2</v>
      </c>
    </row>
    <row r="83">
      <c r="A83" s="4"/>
      <c r="C83" s="4" t="s">
        <v>3330</v>
      </c>
      <c r="D83" s="4" t="str">
        <f t="shared" si="1"/>
        <v>{"valorA":"lugar","valorB":1}</v>
      </c>
      <c r="E83" s="8" t="str">
        <f t="shared" si="2"/>
        <v>lugar</v>
      </c>
      <c r="F83" s="8" t="str">
        <f>IFERROR(__xludf.DUMMYFUNCTION("""COMPUTED_VALUE"""),"mais")</f>
        <v>mais</v>
      </c>
      <c r="G83" s="8" t="str">
        <f t="shared" si="3"/>
        <v>1</v>
      </c>
      <c r="H83" s="9">
        <f t="shared" si="4"/>
        <v>1</v>
      </c>
      <c r="I83" s="10">
        <f>IFERROR(__xludf.DUMMYFUNCTION("MAX(FILTER($H$2:$H1416,$E$2:$E1416=F83))"),1.0)</f>
        <v>1</v>
      </c>
    </row>
    <row r="84">
      <c r="A84" s="4"/>
      <c r="C84" s="4" t="s">
        <v>2927</v>
      </c>
      <c r="D84" s="4" t="str">
        <f t="shared" si="1"/>
        <v>{"valorA":"com","valorB":3}</v>
      </c>
      <c r="E84" s="8" t="str">
        <f t="shared" si="2"/>
        <v>com</v>
      </c>
      <c r="F84" s="8" t="str">
        <f>IFERROR(__xludf.DUMMYFUNCTION("""COMPUTED_VALUE"""),"lavabo")</f>
        <v>lavabo</v>
      </c>
      <c r="G84" s="8" t="str">
        <f t="shared" si="3"/>
        <v>3</v>
      </c>
      <c r="H84" s="9">
        <f t="shared" si="4"/>
        <v>3</v>
      </c>
      <c r="I84" s="10">
        <f>IFERROR(__xludf.DUMMYFUNCTION("MAX(FILTER($H$2:$H1416,$E$2:$E1416=F84))"),1.0)</f>
        <v>1</v>
      </c>
    </row>
    <row r="85">
      <c r="A85" s="4"/>
      <c r="C85" s="4" t="s">
        <v>2672</v>
      </c>
      <c r="D85" s="4" t="str">
        <f t="shared" si="1"/>
        <v>{"valorA":"ele","valorB":1}</v>
      </c>
      <c r="E85" s="8" t="str">
        <f t="shared" si="2"/>
        <v>ele</v>
      </c>
      <c r="F85" s="8" t="str">
        <f>IFERROR(__xludf.DUMMYFUNCTION("""COMPUTED_VALUE"""),"facilidade")</f>
        <v>facilidade</v>
      </c>
      <c r="G85" s="8" t="str">
        <f t="shared" si="3"/>
        <v>1</v>
      </c>
      <c r="H85" s="9">
        <f t="shared" si="4"/>
        <v>1</v>
      </c>
      <c r="I85" s="10">
        <f>IFERROR(__xludf.DUMMYFUNCTION("MAX(FILTER($H$2:$H1416,$E$2:$E1416=F85))"),1.0)</f>
        <v>1</v>
      </c>
    </row>
    <row r="86">
      <c r="A86" s="4"/>
      <c r="C86" s="4" t="s">
        <v>3189</v>
      </c>
      <c r="D86" s="4" t="str">
        <f t="shared" si="1"/>
        <v>{"valorA":"em","valorB":1}</v>
      </c>
      <c r="E86" s="8" t="str">
        <f t="shared" si="2"/>
        <v>em</v>
      </c>
      <c r="F86" s="8" t="str">
        <f>IFERROR(__xludf.DUMMYFUNCTION("""COMPUTED_VALUE"""),"muita")</f>
        <v>muita</v>
      </c>
      <c r="G86" s="8" t="str">
        <f t="shared" si="3"/>
        <v>1</v>
      </c>
      <c r="H86" s="9">
        <f t="shared" si="4"/>
        <v>1</v>
      </c>
      <c r="I86" s="10">
        <f>IFERROR(__xludf.DUMMYFUNCTION("MAX(FILTER($H$2:$H1416,$E$2:$E1416=F86))"),2.0)</f>
        <v>2</v>
      </c>
    </row>
    <row r="87">
      <c r="A87" s="4"/>
      <c r="C87" s="4" t="s">
        <v>3331</v>
      </c>
      <c r="D87" s="4" t="str">
        <f t="shared" si="1"/>
        <v>{"valorA":"ler","valorB":1}</v>
      </c>
      <c r="E87" s="8" t="str">
        <f t="shared" si="2"/>
        <v>ler</v>
      </c>
      <c r="F87" s="8" t="str">
        <f>IFERROR(__xludf.DUMMYFUNCTION("""COMPUTED_VALUE"""),"lave")</f>
        <v>lave</v>
      </c>
      <c r="G87" s="8" t="str">
        <f t="shared" si="3"/>
        <v>1</v>
      </c>
      <c r="H87" s="9">
        <f t="shared" si="4"/>
        <v>1</v>
      </c>
      <c r="I87" s="10">
        <f>IFERROR(__xludf.DUMMYFUNCTION("MAX(FILTER($H$2:$H1416,$E$2:$E1416=F87))"),1.0)</f>
        <v>1</v>
      </c>
    </row>
    <row r="88">
      <c r="A88" s="4"/>
      <c r="C88" s="4" t="s">
        <v>3332</v>
      </c>
      <c r="D88" s="4" t="str">
        <f t="shared" si="1"/>
        <v>{"valorA":"qualquer","valorB":1}</v>
      </c>
      <c r="E88" s="8" t="str">
        <f t="shared" si="2"/>
        <v>qualquer</v>
      </c>
      <c r="F88" s="8" t="str">
        <f>IFERROR(__xludf.DUMMYFUNCTION("""COMPUTED_VALUE"""),"satisfeita")</f>
        <v>satisfeita</v>
      </c>
      <c r="G88" s="8" t="str">
        <f t="shared" si="3"/>
        <v>1</v>
      </c>
      <c r="H88" s="9">
        <f t="shared" si="4"/>
        <v>1</v>
      </c>
      <c r="I88" s="10">
        <f>IFERROR(__xludf.DUMMYFUNCTION("MAX(FILTER($H$2:$H1416,$E$2:$E1416=F88))"),1.0)</f>
        <v>1</v>
      </c>
    </row>
    <row r="89">
      <c r="A89" s="4"/>
      <c r="C89" s="4" t="s">
        <v>2690</v>
      </c>
      <c r="D89" s="4" t="str">
        <f t="shared" si="1"/>
        <v>{"valorA":"ótimo","valorB":10}</v>
      </c>
      <c r="E89" s="8" t="str">
        <f t="shared" si="2"/>
        <v>ótimo</v>
      </c>
      <c r="F89" s="8" t="str">
        <f>IFERROR(__xludf.DUMMYFUNCTION("""COMPUTED_VALUE"""),"fiquei")</f>
        <v>fiquei</v>
      </c>
      <c r="G89" s="8" t="str">
        <f t="shared" si="3"/>
        <v>10</v>
      </c>
      <c r="H89" s="9">
        <f t="shared" si="4"/>
        <v>10</v>
      </c>
      <c r="I89" s="10">
        <f>IFERROR(__xludf.DUMMYFUNCTION("MAX(FILTER($H$2:$H1416,$E$2:$E1416=F89))"),1.0)</f>
        <v>1</v>
      </c>
    </row>
    <row r="90">
      <c r="A90" s="4"/>
      <c r="C90" s="4" t="s">
        <v>2651</v>
      </c>
      <c r="D90" s="4" t="str">
        <f t="shared" si="1"/>
        <v>{"valorA":"esse","valorB":2}</v>
      </c>
      <c r="E90" s="8" t="str">
        <f t="shared" si="2"/>
        <v>esse</v>
      </c>
      <c r="F90" s="8" t="str">
        <f>IFERROR(__xludf.DUMMYFUNCTION("""COMPUTED_VALUE"""),"prática")</f>
        <v>prática</v>
      </c>
      <c r="G90" s="8" t="str">
        <f t="shared" si="3"/>
        <v>2</v>
      </c>
      <c r="H90" s="9">
        <f t="shared" si="4"/>
        <v>2</v>
      </c>
      <c r="I90" s="10">
        <f>IFERROR(__xludf.DUMMYFUNCTION("MAX(FILTER($H$2:$H1416,$E$2:$E1416=F90))"),1.0)</f>
        <v>1</v>
      </c>
    </row>
    <row r="91">
      <c r="A91" s="4"/>
      <c r="C91" s="4" t="s">
        <v>2724</v>
      </c>
      <c r="D91" s="4" t="str">
        <f t="shared" si="1"/>
        <v>{"valorA":"recomendo","valorB":1}</v>
      </c>
      <c r="E91" s="8" t="str">
        <f t="shared" si="2"/>
        <v>recomendo</v>
      </c>
      <c r="F91" s="8" t="str">
        <f>IFERROR(__xludf.DUMMYFUNCTION("""COMPUTED_VALUE"""),"fica")</f>
        <v>fica</v>
      </c>
      <c r="G91" s="8" t="str">
        <f t="shared" si="3"/>
        <v>1</v>
      </c>
      <c r="H91" s="9">
        <f t="shared" si="4"/>
        <v>1</v>
      </c>
      <c r="I91" s="10">
        <f>IFERROR(__xludf.DUMMYFUNCTION("MAX(FILTER($H$2:$H1416,$E$2:$E1416=F91))"),1.0)</f>
        <v>1</v>
      </c>
    </row>
    <row r="92">
      <c r="A92" s="4"/>
      <c r="C92" s="4" t="s">
        <v>2676</v>
      </c>
      <c r="D92" s="4" t="str">
        <f t="shared" si="1"/>
        <v>{"valorA":"e","valorB":2}</v>
      </c>
      <c r="E92" s="8" t="str">
        <f t="shared" si="2"/>
        <v>e</v>
      </c>
      <c r="F92" s="8" t="str">
        <f>IFERROR(__xludf.DUMMYFUNCTION("""COMPUTED_VALUE"""),"quem")</f>
        <v>quem</v>
      </c>
      <c r="G92" s="8" t="str">
        <f t="shared" si="3"/>
        <v>2</v>
      </c>
      <c r="H92" s="9">
        <f t="shared" si="4"/>
        <v>2</v>
      </c>
      <c r="I92" s="10">
        <f>IFERROR(__xludf.DUMMYFUNCTION("MAX(FILTER($H$2:$H1416,$E$2:$E1416=F92))"),4.0)</f>
        <v>4</v>
      </c>
    </row>
    <row r="93">
      <c r="A93" s="4"/>
      <c r="C93" s="4" t="s">
        <v>2622</v>
      </c>
      <c r="D93" s="4" t="str">
        <f t="shared" si="1"/>
        <v>{"valorA":"confiável","valorB":1}</v>
      </c>
      <c r="E93" s="8" t="str">
        <f t="shared" si="2"/>
        <v>confiável</v>
      </c>
      <c r="F93" s="8" t="str">
        <f>IFERROR(__xludf.DUMMYFUNCTION("""COMPUTED_VALUE"""),"máquina")</f>
        <v>máquina</v>
      </c>
      <c r="G93" s="8" t="str">
        <f t="shared" si="3"/>
        <v>1</v>
      </c>
      <c r="H93" s="9">
        <f t="shared" si="4"/>
        <v>1</v>
      </c>
      <c r="I93" s="10">
        <f>IFERROR(__xludf.DUMMYFUNCTION("MAX(FILTER($H$2:$H1416,$E$2:$E1416=F93))"),1.0)</f>
        <v>1</v>
      </c>
    </row>
    <row r="94">
      <c r="A94" s="4"/>
      <c r="C94" s="4" t="s">
        <v>3087</v>
      </c>
      <c r="D94" s="4" t="str">
        <f t="shared" si="1"/>
        <v>{"valorA":"blender","valorB":1}</v>
      </c>
      <c r="E94" s="8" t="str">
        <f t="shared" si="2"/>
        <v>blender</v>
      </c>
      <c r="F94" s="8" t="str">
        <f>IFERROR(__xludf.DUMMYFUNCTION("""COMPUTED_VALUE"""),"precisa")</f>
        <v>precisa</v>
      </c>
      <c r="G94" s="8" t="str">
        <f t="shared" si="3"/>
        <v>1</v>
      </c>
      <c r="H94" s="9">
        <f t="shared" si="4"/>
        <v>1</v>
      </c>
      <c r="I94" s="10">
        <f>IFERROR(__xludf.DUMMYFUNCTION("MAX(FILTER($H$2:$H1416,$E$2:$E1416=F94))"),1.0)</f>
        <v>1</v>
      </c>
    </row>
    <row r="95">
      <c r="A95" s="4"/>
      <c r="C95" s="4" t="s">
        <v>2894</v>
      </c>
      <c r="D95" s="4" t="str">
        <f t="shared" si="1"/>
        <v>{"valorA":"muito","valorB":8}</v>
      </c>
      <c r="E95" s="8" t="str">
        <f t="shared" si="2"/>
        <v>muito</v>
      </c>
      <c r="F95" s="8" t="str">
        <f>IFERROR(__xludf.DUMMYFUNCTION("""COMPUTED_VALUE"""),"uma")</f>
        <v>uma</v>
      </c>
      <c r="G95" s="8" t="str">
        <f t="shared" si="3"/>
        <v>8</v>
      </c>
      <c r="H95" s="9">
        <f t="shared" si="4"/>
        <v>8</v>
      </c>
      <c r="I95" s="10">
        <f>IFERROR(__xludf.DUMMYFUNCTION("MAX(FILTER($H$2:$H1416,$E$2:$E1416=F95))"),2.0)</f>
        <v>2</v>
      </c>
    </row>
    <row r="96">
      <c r="A96" s="4"/>
      <c r="C96" s="4" t="s">
        <v>2748</v>
      </c>
      <c r="D96" s="4" t="str">
        <f t="shared" si="1"/>
        <v>{"valorA":"de","valorB":5}</v>
      </c>
      <c r="E96" s="8" t="str">
        <f t="shared" si="2"/>
        <v>de</v>
      </c>
      <c r="F96" s="8" t="str">
        <f>IFERROR(__xludf.DUMMYFUNCTION("""COMPUTED_VALUE"""),"seja")</f>
        <v>seja</v>
      </c>
      <c r="G96" s="8" t="str">
        <f t="shared" si="3"/>
        <v>5</v>
      </c>
      <c r="H96" s="9">
        <f t="shared" si="4"/>
        <v>5</v>
      </c>
      <c r="I96" s="10">
        <f>IFERROR(__xludf.DUMMYFUNCTION("MAX(FILTER($H$2:$H1416,$E$2:$E1416=F96))"),1.0)</f>
        <v>1</v>
      </c>
    </row>
    <row r="97">
      <c r="A97" s="4"/>
      <c r="C97" s="4" t="s">
        <v>2698</v>
      </c>
      <c r="D97" s="4" t="str">
        <f t="shared" si="1"/>
        <v>{"valorA":"ótimo","valorB":11}</v>
      </c>
      <c r="E97" s="8" t="str">
        <f t="shared" si="2"/>
        <v>ótimo</v>
      </c>
      <c r="F97" s="8" t="str">
        <f>IFERROR(__xludf.DUMMYFUNCTION("""COMPUTED_VALUE"""),"portátil")</f>
        <v>portátil</v>
      </c>
      <c r="G97" s="8" t="str">
        <f t="shared" si="3"/>
        <v>11</v>
      </c>
      <c r="H97" s="9">
        <f t="shared" si="4"/>
        <v>11</v>
      </c>
      <c r="I97" s="10">
        <f>IFERROR(__xludf.DUMMYFUNCTION("MAX(FILTER($H$2:$H1416,$E$2:$E1416=F97))"),2.0)</f>
        <v>2</v>
      </c>
    </row>
    <row r="98">
      <c r="A98" s="4"/>
      <c r="C98" s="4" t="s">
        <v>2714</v>
      </c>
      <c r="D98" s="4" t="str">
        <f t="shared" si="1"/>
        <v>{"valorA":"perfeitamente","valorB":2}</v>
      </c>
      <c r="E98" s="8" t="str">
        <f t="shared" si="2"/>
        <v>perfeitamente</v>
      </c>
      <c r="F98" s="8" t="str">
        <f>IFERROR(__xludf.DUMMYFUNCTION("""COMPUTED_VALUE"""),"leve")</f>
        <v>leve</v>
      </c>
      <c r="G98" s="8" t="str">
        <f t="shared" si="3"/>
        <v>2</v>
      </c>
      <c r="H98" s="9">
        <f t="shared" si="4"/>
        <v>2</v>
      </c>
      <c r="I98" s="10">
        <f>IFERROR(__xludf.DUMMYFUNCTION("MAX(FILTER($H$2:$H1416,$E$2:$E1416=F98))"),1.0)</f>
        <v>1</v>
      </c>
    </row>
    <row r="99">
      <c r="A99" s="4"/>
      <c r="C99" s="4" t="s">
        <v>3333</v>
      </c>
      <c r="D99" s="4" t="str">
        <f t="shared" si="1"/>
        <v>{"valorA":"dvdblue","valorB":1}</v>
      </c>
      <c r="E99" s="8" t="str">
        <f t="shared" si="2"/>
        <v>dvdblue</v>
      </c>
      <c r="F99" s="8" t="str">
        <f>IFERROR(__xludf.DUMMYFUNCTION("""COMPUTED_VALUE"""),"silenciosa")</f>
        <v>silenciosa</v>
      </c>
      <c r="G99" s="8" t="str">
        <f t="shared" si="3"/>
        <v>1</v>
      </c>
      <c r="H99" s="9">
        <f t="shared" si="4"/>
        <v>1</v>
      </c>
      <c r="I99" s="10">
        <f>IFERROR(__xludf.DUMMYFUNCTION("MAX(FILTER($H$2:$H1416,$E$2:$E1416=F99))"),1.0)</f>
        <v>1</v>
      </c>
    </row>
    <row r="100">
      <c r="A100" s="4"/>
      <c r="C100" s="4" t="s">
        <v>3334</v>
      </c>
      <c r="D100" s="4" t="str">
        <f t="shared" si="1"/>
        <v>{"valorA":"leitor","valorB":2}</v>
      </c>
      <c r="E100" s="8" t="str">
        <f t="shared" si="2"/>
        <v>leitor</v>
      </c>
      <c r="F100" s="8" t="str">
        <f>IFERROR(__xludf.DUMMYFUNCTION("""COMPUTED_VALUE"""),"câmera")</f>
        <v>câmera</v>
      </c>
      <c r="G100" s="8" t="str">
        <f t="shared" si="3"/>
        <v>2</v>
      </c>
      <c r="H100" s="9">
        <f t="shared" si="4"/>
        <v>2</v>
      </c>
      <c r="I100" s="10">
        <f>IFERROR(__xludf.DUMMYFUNCTION("MAX(FILTER($H$2:$H1416,$E$2:$E1416=F100))"),2.0)</f>
        <v>2</v>
      </c>
    </row>
    <row r="101">
      <c r="A101" s="4"/>
      <c r="C101" s="4" t="s">
        <v>2756</v>
      </c>
      <c r="D101" s="4" t="str">
        <f t="shared" si="1"/>
        <v>{"valorA":"funciona","valorB":5}</v>
      </c>
      <c r="E101" s="8" t="str">
        <f t="shared" si="2"/>
        <v>funciona</v>
      </c>
      <c r="F101" s="8" t="str">
        <f>IFERROR(__xludf.DUMMYFUNCTION("""COMPUTED_VALUE"""),"começa")</f>
        <v>começa</v>
      </c>
      <c r="G101" s="8" t="str">
        <f t="shared" si="3"/>
        <v>5</v>
      </c>
      <c r="H101" s="9">
        <f t="shared" si="4"/>
        <v>5</v>
      </c>
      <c r="I101" s="10">
        <f>IFERROR(__xludf.DUMMYFUNCTION("MAX(FILTER($H$2:$H1416,$E$2:$E1416=F101))"),1.0)</f>
        <v>1</v>
      </c>
    </row>
    <row r="102">
      <c r="A102" s="4"/>
      <c r="C102" s="4" t="s">
        <v>3335</v>
      </c>
      <c r="D102" s="4" t="str">
        <f t="shared" si="1"/>
        <v>{"valorA":"ray","valorB":1}</v>
      </c>
      <c r="E102" s="8" t="str">
        <f t="shared" si="2"/>
        <v>ray</v>
      </c>
      <c r="F102" s="8" t="str">
        <f>IFERROR(__xludf.DUMMYFUNCTION("""COMPUTED_VALUE"""),"fotografar")</f>
        <v>fotografar</v>
      </c>
      <c r="G102" s="8" t="str">
        <f t="shared" si="3"/>
        <v>1</v>
      </c>
      <c r="H102" s="9">
        <f t="shared" si="4"/>
        <v>1</v>
      </c>
      <c r="I102" s="10">
        <f>IFERROR(__xludf.DUMMYFUNCTION("MAX(FILTER($H$2:$H1416,$E$2:$E1416=F102))"),1.0)</f>
        <v>1</v>
      </c>
    </row>
    <row r="103">
      <c r="A103" s="4"/>
      <c r="C103" s="4" t="s">
        <v>2700</v>
      </c>
      <c r="D103" s="4" t="str">
        <f t="shared" si="1"/>
        <v>{"valorA":"comprei","valorB":1}</v>
      </c>
      <c r="E103" s="8" t="str">
        <f t="shared" si="2"/>
        <v>comprei</v>
      </c>
      <c r="F103" s="8" t="str">
        <f>IFERROR(__xludf.DUMMYFUNCTION("""COMPUTED_VALUE"""),"qualidade")</f>
        <v>qualidade</v>
      </c>
      <c r="G103" s="8" t="str">
        <f t="shared" si="3"/>
        <v>1</v>
      </c>
      <c r="H103" s="9">
        <f t="shared" si="4"/>
        <v>1</v>
      </c>
      <c r="I103" s="10">
        <f>IFERROR(__xludf.DUMMYFUNCTION("MAX(FILTER($H$2:$H1416,$E$2:$E1416=F103))"),2.0)</f>
        <v>2</v>
      </c>
    </row>
    <row r="104">
      <c r="A104" s="4"/>
      <c r="C104" s="4" t="s">
        <v>3025</v>
      </c>
      <c r="D104" s="4" t="str">
        <f t="shared" si="1"/>
        <v>{"valorA":"um","valorB":1}</v>
      </c>
      <c r="E104" s="8" t="str">
        <f t="shared" si="2"/>
        <v>um</v>
      </c>
      <c r="F104" s="8" t="str">
        <f>IFERROR(__xludf.DUMMYFUNCTION("""COMPUTED_VALUE"""),"quer")</f>
        <v>quer</v>
      </c>
      <c r="G104" s="8" t="str">
        <f t="shared" si="3"/>
        <v>1</v>
      </c>
      <c r="H104" s="9">
        <f t="shared" si="4"/>
        <v>1</v>
      </c>
      <c r="I104" s="10">
        <f>IFERROR(__xludf.DUMMYFUNCTION("MAX(FILTER($H$2:$H1416,$E$2:$E1416=F104))"),1.0)</f>
        <v>1</v>
      </c>
    </row>
    <row r="105">
      <c r="A105" s="4"/>
      <c r="C105" s="4" t="s">
        <v>3336</v>
      </c>
      <c r="D105" s="4" t="str">
        <f t="shared" si="1"/>
        <v>{"valorA":"modelo","valorB":1}</v>
      </c>
      <c r="E105" s="8" t="str">
        <f t="shared" si="2"/>
        <v>modelo</v>
      </c>
      <c r="F105" s="8" t="str">
        <f>IFERROR(__xludf.DUMMYFUNCTION("""COMPUTED_VALUE"""),"fotográfica")</f>
        <v>fotográfica</v>
      </c>
      <c r="G105" s="8" t="str">
        <f t="shared" si="3"/>
        <v>1</v>
      </c>
      <c r="H105" s="9">
        <f t="shared" si="4"/>
        <v>1</v>
      </c>
      <c r="I105" s="10">
        <f>IFERROR(__xludf.DUMMYFUNCTION("MAX(FILTER($H$2:$H1416,$E$2:$E1416=F105))"),1.0)</f>
        <v>1</v>
      </c>
    </row>
    <row r="106">
      <c r="A106" s="4"/>
      <c r="C106" s="4" t="s">
        <v>3337</v>
      </c>
      <c r="D106" s="4" t="str">
        <f t="shared" si="1"/>
        <v>{"valorA":"refrigerador","valorB":1}</v>
      </c>
      <c r="E106" s="8" t="str">
        <f t="shared" si="2"/>
        <v>refrigerador</v>
      </c>
      <c r="F106" s="8" t="str">
        <f>IFERROR(__xludf.DUMMYFUNCTION("""COMPUTED_VALUE"""),"excelente")</f>
        <v>excelente</v>
      </c>
      <c r="G106" s="8" t="str">
        <f t="shared" si="3"/>
        <v>1</v>
      </c>
      <c r="H106" s="9">
        <f t="shared" si="4"/>
        <v>1</v>
      </c>
      <c r="I106" s="10">
        <f>IFERROR(__xludf.DUMMYFUNCTION("MAX(FILTER($H$2:$H1416,$E$2:$E1416=F106))"),1.0)</f>
        <v>1</v>
      </c>
    </row>
    <row r="107">
      <c r="A107" s="4"/>
      <c r="C107" s="4" t="s">
        <v>2702</v>
      </c>
      <c r="D107" s="4" t="str">
        <f t="shared" si="1"/>
        <v>{"valorA":"ótimo","valorB":12}</v>
      </c>
      <c r="E107" s="8" t="str">
        <f t="shared" si="2"/>
        <v>ótimo</v>
      </c>
      <c r="F107" s="8" t="str">
        <f>IFERROR(__xludf.DUMMYFUNCTION("""COMPUTED_VALUE"""),"achei")</f>
        <v>achei</v>
      </c>
      <c r="G107" s="8" t="str">
        <f t="shared" si="3"/>
        <v>12</v>
      </c>
      <c r="H107" s="9">
        <f t="shared" si="4"/>
        <v>12</v>
      </c>
      <c r="I107" s="10">
        <f>IFERROR(__xludf.DUMMYFUNCTION("MAX(FILTER($H$2:$H1416,$E$2:$E1416=F107))"),2.0)</f>
        <v>2</v>
      </c>
    </row>
    <row r="108">
      <c r="A108" s="4"/>
      <c r="C108" s="4" t="s">
        <v>3338</v>
      </c>
      <c r="D108" s="4" t="str">
        <f t="shared" si="1"/>
        <v>{"valorA":"mês","valorB":1}</v>
      </c>
      <c r="E108" s="8" t="str">
        <f t="shared" si="2"/>
        <v>mês</v>
      </c>
      <c r="F108" s="8" t="str">
        <f>IFERROR(__xludf.DUMMYFUNCTION("""COMPUTED_VALUE"""),"incrível")</f>
        <v>incrível</v>
      </c>
      <c r="G108" s="8" t="str">
        <f t="shared" si="3"/>
        <v>1</v>
      </c>
      <c r="H108" s="9">
        <f t="shared" si="4"/>
        <v>1</v>
      </c>
      <c r="I108" s="10">
        <f>IFERROR(__xludf.DUMMYFUNCTION("MAX(FILTER($H$2:$H1416,$E$2:$E1416=F108))"),2.0)</f>
        <v>2</v>
      </c>
    </row>
    <row r="109">
      <c r="A109" s="4"/>
      <c r="C109" s="4" t="s">
        <v>2876</v>
      </c>
      <c r="D109" s="4" t="str">
        <f t="shared" si="1"/>
        <v>{"valorA":"de","valorB":6}</v>
      </c>
      <c r="E109" s="8" t="str">
        <f t="shared" si="2"/>
        <v>de</v>
      </c>
      <c r="F109" s="8" t="str">
        <f>IFERROR(__xludf.DUMMYFUNCTION("""COMPUTED_VALUE"""),"funcionamentos")</f>
        <v>funcionamentos</v>
      </c>
      <c r="G109" s="8" t="str">
        <f t="shared" si="3"/>
        <v>6</v>
      </c>
      <c r="H109" s="9">
        <f t="shared" si="4"/>
        <v>6</v>
      </c>
      <c r="I109" s="10">
        <f>IFERROR(__xludf.DUMMYFUNCTION("MAX(FILTER($H$2:$H1416,$E$2:$E1416=F109))"),1.0)</f>
        <v>1</v>
      </c>
    </row>
    <row r="110">
      <c r="A110" s="4"/>
      <c r="C110" s="4" t="s">
        <v>3339</v>
      </c>
      <c r="D110" s="4" t="str">
        <f t="shared" si="1"/>
        <v>{"valorA":"ainda","valorB":1}</v>
      </c>
      <c r="E110" s="8" t="str">
        <f t="shared" si="2"/>
        <v>ainda</v>
      </c>
      <c r="F110" s="8" t="str">
        <f>IFERROR(__xludf.DUMMYFUNCTION("""COMPUTED_VALUE"""),"muitos")</f>
        <v>muitos</v>
      </c>
      <c r="G110" s="8" t="str">
        <f t="shared" si="3"/>
        <v>1</v>
      </c>
      <c r="H110" s="9">
        <f t="shared" si="4"/>
        <v>1</v>
      </c>
      <c r="I110" s="10">
        <f>IFERROR(__xludf.DUMMYFUNCTION("MAX(FILTER($H$2:$H1416,$E$2:$E1416=F110))"),1.0)</f>
        <v>1</v>
      </c>
    </row>
    <row r="111">
      <c r="A111" s="4"/>
      <c r="C111" s="4" t="s">
        <v>2701</v>
      </c>
      <c r="D111" s="4" t="str">
        <f t="shared" si="1"/>
        <v>{"valorA":"e","valorB":3}</v>
      </c>
      <c r="E111" s="8" t="str">
        <f t="shared" si="2"/>
        <v>e</v>
      </c>
      <c r="F111" s="8" t="str">
        <f>IFERROR(__xludf.DUMMYFUNCTION("""COMPUTED_VALUE"""),"geladeira")</f>
        <v>geladeira</v>
      </c>
      <c r="G111" s="8" t="str">
        <f t="shared" si="3"/>
        <v>3</v>
      </c>
      <c r="H111" s="9">
        <f t="shared" si="4"/>
        <v>3</v>
      </c>
      <c r="I111" s="10">
        <f>IFERROR(__xludf.DUMMYFUNCTION("MAX(FILTER($H$2:$H1416,$E$2:$E1416=F111))"),2.0)</f>
        <v>2</v>
      </c>
    </row>
    <row r="112">
      <c r="A112" s="4"/>
      <c r="C112" s="4" t="s">
        <v>3340</v>
      </c>
      <c r="D112" s="4" t="str">
        <f t="shared" si="1"/>
        <v>{"valorA":"atrás","valorB":1}</v>
      </c>
      <c r="E112" s="8" t="str">
        <f t="shared" si="2"/>
        <v>atrás</v>
      </c>
      <c r="F112" s="8" t="str">
        <f>IFERROR(__xludf.DUMMYFUNCTION("""COMPUTED_VALUE"""),"valor")</f>
        <v>valor</v>
      </c>
      <c r="G112" s="8" t="str">
        <f t="shared" si="3"/>
        <v>1</v>
      </c>
      <c r="H112" s="9">
        <f t="shared" si="4"/>
        <v>1</v>
      </c>
      <c r="I112" s="10">
        <f>IFERROR(__xludf.DUMMYFUNCTION("MAX(FILTER($H$2:$H1416,$E$2:$E1416=F112))"),1.0)</f>
        <v>1</v>
      </c>
    </row>
    <row r="113">
      <c r="A113" s="4"/>
      <c r="C113" s="4" t="s">
        <v>2765</v>
      </c>
      <c r="D113" s="4" t="str">
        <f t="shared" si="1"/>
        <v>{"valorA":"funciona","valorB":6}</v>
      </c>
      <c r="E113" s="8" t="str">
        <f t="shared" si="2"/>
        <v>funciona</v>
      </c>
      <c r="F113" s="8" t="str">
        <f>IFERROR(__xludf.DUMMYFUNCTION("""COMPUTED_VALUE"""),"paguei")</f>
        <v>paguei</v>
      </c>
      <c r="G113" s="8" t="str">
        <f t="shared" si="3"/>
        <v>6</v>
      </c>
      <c r="H113" s="9">
        <f t="shared" si="4"/>
        <v>6</v>
      </c>
      <c r="I113" s="10">
        <f>IFERROR(__xludf.DUMMYFUNCTION("MAX(FILTER($H$2:$H1416,$E$2:$E1416=F113))"),1.0)</f>
        <v>1</v>
      </c>
    </row>
    <row r="114">
      <c r="A114" s="4"/>
      <c r="C114" s="4" t="s">
        <v>3114</v>
      </c>
      <c r="D114" s="4" t="str">
        <f t="shared" si="1"/>
        <v>{"valorA":"bem","valorB":6}</v>
      </c>
      <c r="E114" s="8" t="str">
        <f t="shared" si="2"/>
        <v>bem</v>
      </c>
      <c r="F114" s="8" t="str">
        <f>IFERROR(__xludf.DUMMYFUNCTION("""COMPUTED_VALUE"""),"por")</f>
        <v>por</v>
      </c>
      <c r="G114" s="8" t="str">
        <f t="shared" si="3"/>
        <v>6</v>
      </c>
      <c r="H114" s="9">
        <f t="shared" si="4"/>
        <v>6</v>
      </c>
      <c r="I114" s="10">
        <f>IFERROR(__xludf.DUMMYFUNCTION("MAX(FILTER($H$2:$H1416,$E$2:$E1416=F114))"),1.0)</f>
        <v>1</v>
      </c>
    </row>
    <row r="115">
      <c r="A115" s="4"/>
      <c r="C115" s="4" t="s">
        <v>2915</v>
      </c>
      <c r="D115" s="4" t="str">
        <f t="shared" si="1"/>
        <v>{"valorA":"muito","valorB":9}</v>
      </c>
      <c r="E115" s="8" t="str">
        <f t="shared" si="2"/>
        <v>muito</v>
      </c>
      <c r="F115" s="8" t="str">
        <f>IFERROR(__xludf.DUMMYFUNCTION("""COMPUTED_VALUE"""),"pneu")</f>
        <v>pneu</v>
      </c>
      <c r="G115" s="8" t="str">
        <f t="shared" si="3"/>
        <v>9</v>
      </c>
      <c r="H115" s="9">
        <f t="shared" si="4"/>
        <v>9</v>
      </c>
      <c r="I115" s="10">
        <f>IFERROR(__xludf.DUMMYFUNCTION("MAX(FILTER($H$2:$H1416,$E$2:$E1416=F115))"),1.0)</f>
        <v>1</v>
      </c>
    </row>
    <row r="116">
      <c r="A116" s="4"/>
      <c r="C116" s="4" t="s">
        <v>3341</v>
      </c>
      <c r="D116" s="4" t="str">
        <f t="shared" si="1"/>
        <v>{"valorA":"coment","valorB":1}</v>
      </c>
      <c r="E116" s="8" t="str">
        <f t="shared" si="2"/>
        <v>coment</v>
      </c>
      <c r="F116" s="8" t="str">
        <f>IFERROR(__xludf.DUMMYFUNCTION("""COMPUTED_VALUE"""),"meu")</f>
        <v>meu</v>
      </c>
      <c r="G116" s="8" t="str">
        <f t="shared" si="3"/>
        <v>1</v>
      </c>
      <c r="H116" s="9">
        <f t="shared" si="4"/>
        <v>1</v>
      </c>
      <c r="I116" s="10">
        <f>IFERROR(__xludf.DUMMYFUNCTION("MAX(FILTER($H$2:$H1416,$E$2:$E1416=F116))"),1.0)</f>
        <v>1</v>
      </c>
    </row>
    <row r="117">
      <c r="A117" s="4"/>
      <c r="C117" s="4" t="s">
        <v>2691</v>
      </c>
      <c r="D117" s="4" t="str">
        <f t="shared" si="1"/>
        <v>{"valorA":"o","valorB":2}</v>
      </c>
      <c r="E117" s="8" t="str">
        <f t="shared" si="2"/>
        <v>o</v>
      </c>
      <c r="F117" s="8" t="str">
        <f>IFERROR(__xludf.DUMMYFUNCTION("""COMPUTED_VALUE"""),"mesa")</f>
        <v>mesa</v>
      </c>
      <c r="G117" s="8" t="str">
        <f t="shared" si="3"/>
        <v>2</v>
      </c>
      <c r="H117" s="9">
        <f t="shared" si="4"/>
        <v>2</v>
      </c>
      <c r="I117" s="10">
        <f>IFERROR(__xludf.DUMMYFUNCTION("MAX(FILTER($H$2:$H1416,$E$2:$E1416=F117))"),1.0)</f>
        <v>1</v>
      </c>
    </row>
    <row r="118">
      <c r="A118" s="4"/>
      <c r="C118" s="4" t="s">
        <v>3342</v>
      </c>
      <c r="D118" s="4" t="str">
        <f t="shared" si="1"/>
        <v>{"valorA":"óptimo","valorB":1}</v>
      </c>
      <c r="E118" s="8" t="str">
        <f t="shared" si="2"/>
        <v>óptimo</v>
      </c>
      <c r="F118" s="8" t="str">
        <f>IFERROR(__xludf.DUMMYFUNCTION("""COMPUTED_VALUE"""),"valeu")</f>
        <v>valeu</v>
      </c>
      <c r="G118" s="8" t="str">
        <f t="shared" si="3"/>
        <v>1</v>
      </c>
      <c r="H118" s="9">
        <f t="shared" si="4"/>
        <v>1</v>
      </c>
      <c r="I118" s="10">
        <f>IFERROR(__xludf.DUMMYFUNCTION("MAX(FILTER($H$2:$H1416,$E$2:$E1416=F118))"),2.0)</f>
        <v>2</v>
      </c>
    </row>
    <row r="119">
      <c r="A119" s="4"/>
      <c r="C119" s="4" t="s">
        <v>2713</v>
      </c>
      <c r="D119" s="4" t="str">
        <f t="shared" si="1"/>
        <v>{"valorA":"ontem","valorB":1}</v>
      </c>
      <c r="E119" s="8" t="str">
        <f t="shared" si="2"/>
        <v>ontem</v>
      </c>
      <c r="F119" s="8" t="str">
        <f>IFERROR(__xludf.DUMMYFUNCTION("""COMPUTED_VALUE"""),"pena")</f>
        <v>pena</v>
      </c>
      <c r="G119" s="8" t="str">
        <f t="shared" si="3"/>
        <v>1</v>
      </c>
      <c r="H119" s="9">
        <f t="shared" si="4"/>
        <v>1</v>
      </c>
      <c r="I119" s="10">
        <f>IFERROR(__xludf.DUMMYFUNCTION("MAX(FILTER($H$2:$H1416,$E$2:$E1416=F119))"),2.0)</f>
        <v>2</v>
      </c>
    </row>
    <row r="120">
      <c r="A120" s="4"/>
      <c r="C120" s="4" t="s">
        <v>2895</v>
      </c>
      <c r="D120" s="4" t="str">
        <f t="shared" si="1"/>
        <v>{"valorA":"gosto","valorB":1}</v>
      </c>
      <c r="E120" s="8" t="str">
        <f t="shared" si="2"/>
        <v>gosto</v>
      </c>
      <c r="F120" s="8" t="str">
        <f>IFERROR(__xludf.DUMMYFUNCTION("""COMPUTED_VALUE"""),"certo")</f>
        <v>certo</v>
      </c>
      <c r="G120" s="8" t="str">
        <f t="shared" si="3"/>
        <v>1</v>
      </c>
      <c r="H120" s="9">
        <f t="shared" si="4"/>
        <v>1</v>
      </c>
      <c r="I120" s="10">
        <f>IFERROR(__xludf.DUMMYFUNCTION("MAX(FILTER($H$2:$H1416,$E$2:$E1416=F120))"),1.0)</f>
        <v>1</v>
      </c>
    </row>
    <row r="121">
      <c r="A121" s="4"/>
      <c r="C121" s="4" t="s">
        <v>2634</v>
      </c>
      <c r="D121" s="4" t="str">
        <f t="shared" si="1"/>
        <v>{"valorA":"produto","valorB":1}</v>
      </c>
      <c r="E121" s="8" t="str">
        <f t="shared" si="2"/>
        <v>produto</v>
      </c>
      <c r="F121" s="8" t="str">
        <f>IFERROR(__xludf.DUMMYFUNCTION("""COMPUTED_VALUE"""),"momento")</f>
        <v>momento</v>
      </c>
      <c r="G121" s="8" t="str">
        <f t="shared" si="3"/>
        <v>1</v>
      </c>
      <c r="H121" s="9">
        <f t="shared" si="4"/>
        <v>1</v>
      </c>
      <c r="I121" s="10">
        <f>IFERROR(__xludf.DUMMYFUNCTION("MAX(FILTER($H$2:$H1416,$E$2:$E1416=F121))"),1.0)</f>
        <v>1</v>
      </c>
    </row>
    <row r="122">
      <c r="A122" s="4"/>
      <c r="C122" s="4" t="s">
        <v>2934</v>
      </c>
      <c r="D122" s="4" t="str">
        <f t="shared" si="1"/>
        <v>{"valorA":"muito","valorB":10}</v>
      </c>
      <c r="E122" s="8" t="str">
        <f t="shared" si="2"/>
        <v>muito</v>
      </c>
      <c r="F122" s="8" t="str">
        <f>IFERROR(__xludf.DUMMYFUNCTION("""COMPUTED_VALUE"""),"desde")</f>
        <v>desde</v>
      </c>
      <c r="G122" s="8" t="str">
        <f t="shared" si="3"/>
        <v>10</v>
      </c>
      <c r="H122" s="9">
        <f t="shared" si="4"/>
        <v>10</v>
      </c>
      <c r="I122" s="10">
        <f>IFERROR(__xludf.DUMMYFUNCTION("MAX(FILTER($H$2:$H1416,$E$2:$E1416=F122))"),1.0)</f>
        <v>1</v>
      </c>
    </row>
    <row r="123">
      <c r="A123" s="4"/>
      <c r="C123" s="4" t="s">
        <v>2711</v>
      </c>
      <c r="D123" s="4" t="str">
        <f t="shared" si="1"/>
        <v>{"valorA":"comprei","valorB":2}</v>
      </c>
      <c r="E123" s="8" t="str">
        <f t="shared" si="2"/>
        <v>comprei</v>
      </c>
      <c r="F123" s="8" t="str">
        <f>IFERROR(__xludf.DUMMYFUNCTION("""COMPUTED_VALUE"""),"led")</f>
        <v>led</v>
      </c>
      <c r="G123" s="8" t="str">
        <f t="shared" si="3"/>
        <v>2</v>
      </c>
      <c r="H123" s="9">
        <f t="shared" si="4"/>
        <v>2</v>
      </c>
      <c r="I123" s="10">
        <f>IFERROR(__xludf.DUMMYFUNCTION("MAX(FILTER($H$2:$H1416,$E$2:$E1416=F123))"),1.0)</f>
        <v>1</v>
      </c>
    </row>
    <row r="124">
      <c r="A124" s="4"/>
      <c r="C124" s="4" t="s">
        <v>2632</v>
      </c>
      <c r="D124" s="4" t="str">
        <f t="shared" si="1"/>
        <v>{"valorA":"desse","valorB":1}</v>
      </c>
      <c r="E124" s="8" t="str">
        <f t="shared" si="2"/>
        <v>desse</v>
      </c>
      <c r="F124" s="8" t="str">
        <f>IFERROR(__xludf.DUMMYFUNCTION("""COMPUTED_VALUE"""),"lâmpada")</f>
        <v>lâmpada</v>
      </c>
      <c r="G124" s="8" t="str">
        <f t="shared" si="3"/>
        <v>1</v>
      </c>
      <c r="H124" s="9">
        <f t="shared" si="4"/>
        <v>1</v>
      </c>
      <c r="I124" s="10">
        <f>IFERROR(__xludf.DUMMYFUNCTION("MAX(FILTER($H$2:$H1416,$E$2:$E1416=F124))"),1.0)</f>
        <v>1</v>
      </c>
    </row>
    <row r="125">
      <c r="A125" s="4"/>
      <c r="C125" s="4" t="s">
        <v>2217</v>
      </c>
      <c r="D125" s="4" t="str">
        <f t="shared" si="1"/>
        <v>{"valorA":"aspirador","valorB":1}</v>
      </c>
      <c r="E125" s="8" t="str">
        <f t="shared" si="2"/>
        <v>aspirador</v>
      </c>
      <c r="F125" s="8" t="str">
        <f>IFERROR(__xludf.DUMMYFUNCTION("""COMPUTED_VALUE"""),"ela")</f>
        <v>ela</v>
      </c>
      <c r="G125" s="8" t="str">
        <f t="shared" si="3"/>
        <v>1</v>
      </c>
      <c r="H125" s="9">
        <f t="shared" si="4"/>
        <v>1</v>
      </c>
      <c r="I125" s="10">
        <f>IFERROR(__xludf.DUMMYFUNCTION("MAX(FILTER($H$2:$H1416,$E$2:$E1416=F125))"),1.0)</f>
        <v>1</v>
      </c>
    </row>
    <row r="126">
      <c r="A126" s="4"/>
      <c r="C126" s="4" t="s">
        <v>2642</v>
      </c>
      <c r="D126" s="4" t="str">
        <f t="shared" si="1"/>
        <v>{"valorA":"que","valorB":1}</v>
      </c>
      <c r="E126" s="8" t="str">
        <f t="shared" si="2"/>
        <v>que</v>
      </c>
      <c r="F126" s="8" t="str">
        <f>IFERROR(__xludf.DUMMYFUNCTION("""COMPUTED_VALUE"""),"na")</f>
        <v>na</v>
      </c>
      <c r="G126" s="8" t="str">
        <f t="shared" si="3"/>
        <v>1</v>
      </c>
      <c r="H126" s="9">
        <f t="shared" si="4"/>
        <v>1</v>
      </c>
      <c r="I126" s="10">
        <f>IFERROR(__xludf.DUMMYFUNCTION("MAX(FILTER($H$2:$H1416,$E$2:$E1416=F126))"),2.0)</f>
        <v>2</v>
      </c>
    </row>
    <row r="127">
      <c r="A127" s="4"/>
      <c r="C127" s="4" t="s">
        <v>2710</v>
      </c>
      <c r="D127" s="4" t="str">
        <f t="shared" si="1"/>
        <v>{"valorA":"ótimo","valorB":13}</v>
      </c>
      <c r="E127" s="8" t="str">
        <f t="shared" si="2"/>
        <v>ótimo</v>
      </c>
      <c r="F127" s="8" t="str">
        <f>IFERROR(__xludf.DUMMYFUNCTION("""COMPUTED_VALUE"""),"brilhante")</f>
        <v>brilhante</v>
      </c>
      <c r="G127" s="8" t="str">
        <f t="shared" si="3"/>
        <v>13</v>
      </c>
      <c r="H127" s="9">
        <f t="shared" si="4"/>
        <v>13</v>
      </c>
      <c r="I127" s="10">
        <f>IFERROR(__xludf.DUMMYFUNCTION("MAX(FILTER($H$2:$H1416,$E$2:$E1416=F127))"),1.0)</f>
        <v>1</v>
      </c>
    </row>
    <row r="128">
      <c r="A128" s="4"/>
      <c r="C128" s="4" t="s">
        <v>2727</v>
      </c>
      <c r="D128" s="4" t="str">
        <f t="shared" si="1"/>
        <v>{"valorA":"para","valorB":2}</v>
      </c>
      <c r="E128" s="8" t="str">
        <f t="shared" si="2"/>
        <v>para</v>
      </c>
      <c r="F128" s="8" t="str">
        <f>IFERROR(__xludf.DUMMYFUNCTION("""COMPUTED_VALUE"""),"dinheiro")</f>
        <v>dinheiro</v>
      </c>
      <c r="G128" s="8" t="str">
        <f t="shared" si="3"/>
        <v>2</v>
      </c>
      <c r="H128" s="9">
        <f t="shared" si="4"/>
        <v>2</v>
      </c>
      <c r="I128" s="10">
        <f>IFERROR(__xludf.DUMMYFUNCTION("MAX(FILTER($H$2:$H1416,$E$2:$E1416=F128))"),1.0)</f>
        <v>1</v>
      </c>
    </row>
    <row r="129">
      <c r="A129" s="4"/>
      <c r="C129" s="4" t="s">
        <v>3343</v>
      </c>
      <c r="D129" s="4" t="str">
        <f t="shared" si="1"/>
        <v>{"valorA":"caixa","valorB":1}</v>
      </c>
      <c r="E129" s="8" t="str">
        <f t="shared" si="2"/>
        <v>caixa</v>
      </c>
      <c r="F129" s="8" t="str">
        <f>IFERROR(__xludf.DUMMYFUNCTION("""COMPUTED_VALUE"""),"economiza")</f>
        <v>economiza</v>
      </c>
      <c r="G129" s="8" t="str">
        <f t="shared" si="3"/>
        <v>1</v>
      </c>
      <c r="H129" s="9">
        <f t="shared" si="4"/>
        <v>1</v>
      </c>
      <c r="I129" s="10">
        <f>IFERROR(__xludf.DUMMYFUNCTION("MAX(FILTER($H$2:$H1416,$E$2:$E1416=F129))"),1.0)</f>
        <v>1</v>
      </c>
    </row>
    <row r="130">
      <c r="A130" s="4"/>
      <c r="C130" s="4" t="s">
        <v>2781</v>
      </c>
      <c r="D130" s="4" t="str">
        <f t="shared" si="1"/>
        <v>{"valorA":"o","valorB":3}</v>
      </c>
      <c r="E130" s="8" t="str">
        <f t="shared" si="2"/>
        <v>o</v>
      </c>
      <c r="F130" s="8" t="str">
        <f>IFERROR(__xludf.DUMMYFUNCTION("""COMPUTED_VALUE"""),"ficou")</f>
        <v>ficou</v>
      </c>
      <c r="G130" s="8" t="str">
        <f t="shared" si="3"/>
        <v>3</v>
      </c>
      <c r="H130" s="9">
        <f t="shared" si="4"/>
        <v>3</v>
      </c>
      <c r="I130" s="10">
        <f>IFERROR(__xludf.DUMMYFUNCTION("MAX(FILTER($H$2:$H1416,$E$2:$E1416=F130))"),1.0)</f>
        <v>1</v>
      </c>
    </row>
    <row r="131">
      <c r="A131" s="4"/>
      <c r="C131" s="4" t="s">
        <v>2769</v>
      </c>
      <c r="D131" s="4" t="str">
        <f t="shared" si="1"/>
        <v>{"valorA":"carro","valorB":1}</v>
      </c>
      <c r="E131" s="8" t="str">
        <f t="shared" si="2"/>
        <v>carro</v>
      </c>
      <c r="F131" s="8" t="str">
        <f>IFERROR(__xludf.DUMMYFUNCTION("""COMPUTED_VALUE"""),"cabelinho")</f>
        <v>cabelinho</v>
      </c>
      <c r="G131" s="8" t="str">
        <f t="shared" si="3"/>
        <v>1</v>
      </c>
      <c r="H131" s="9">
        <f t="shared" si="4"/>
        <v>1</v>
      </c>
      <c r="I131" s="10">
        <f>IFERROR(__xludf.DUMMYFUNCTION("MAX(FILTER($H$2:$H1416,$E$2:$E1416=F131))"),2.0)</f>
        <v>2</v>
      </c>
    </row>
    <row r="132">
      <c r="A132" s="4"/>
      <c r="C132" s="4" t="s">
        <v>2984</v>
      </c>
      <c r="D132" s="4" t="str">
        <f t="shared" si="1"/>
        <v>{"valorA":"de","valorB":7}</v>
      </c>
      <c r="E132" s="8" t="str">
        <f t="shared" si="2"/>
        <v>de</v>
      </c>
      <c r="F132" s="8" t="str">
        <f>IFERROR(__xludf.DUMMYFUNCTION("""COMPUTED_VALUE"""),"estilo")</f>
        <v>estilo</v>
      </c>
      <c r="G132" s="8" t="str">
        <f t="shared" si="3"/>
        <v>7</v>
      </c>
      <c r="H132" s="9">
        <f t="shared" si="4"/>
        <v>7</v>
      </c>
      <c r="I132" s="10">
        <f>IFERROR(__xludf.DUMMYFUNCTION("MAX(FILTER($H$2:$H1416,$E$2:$E1416=F132))"),2.0)</f>
        <v>2</v>
      </c>
    </row>
    <row r="133">
      <c r="A133" s="4"/>
      <c r="C133" s="4" t="s">
        <v>3035</v>
      </c>
      <c r="D133" s="4" t="str">
        <f t="shared" si="1"/>
        <v>{"valorA":"som","valorB":1}</v>
      </c>
      <c r="E133" s="8" t="str">
        <f t="shared" si="2"/>
        <v>som</v>
      </c>
      <c r="F133" s="8" t="str">
        <f>IFERROR(__xludf.DUMMYFUNCTION("""COMPUTED_VALUE"""),"dvd")</f>
        <v>dvd</v>
      </c>
      <c r="G133" s="8" t="str">
        <f t="shared" si="3"/>
        <v>1</v>
      </c>
      <c r="H133" s="9">
        <f t="shared" si="4"/>
        <v>1</v>
      </c>
      <c r="I133" s="10">
        <f>IFERROR(__xludf.DUMMYFUNCTION("MAX(FILTER($H$2:$H1416,$E$2:$E1416=F133))"),1.0)</f>
        <v>1</v>
      </c>
    </row>
    <row r="134">
      <c r="A134" s="4"/>
      <c r="C134" s="4" t="s">
        <v>3344</v>
      </c>
      <c r="D134" s="4" t="str">
        <f t="shared" si="1"/>
        <v>{"valorA":"música","valorB":1}</v>
      </c>
      <c r="E134" s="8" t="str">
        <f t="shared" si="2"/>
        <v>música</v>
      </c>
      <c r="F134" s="8" t="str">
        <f>IFERROR(__xludf.DUMMYFUNCTION("""COMPUTED_VALUE"""),"foi")</f>
        <v>foi</v>
      </c>
      <c r="G134" s="8" t="str">
        <f t="shared" si="3"/>
        <v>1</v>
      </c>
      <c r="H134" s="9">
        <f t="shared" si="4"/>
        <v>1</v>
      </c>
      <c r="I134" s="10">
        <f>IFERROR(__xludf.DUMMYFUNCTION("MAX(FILTER($H$2:$H1416,$E$2:$E1416=F134))"),2.0)</f>
        <v>2</v>
      </c>
    </row>
    <row r="135">
      <c r="A135" s="4"/>
      <c r="C135" s="4" t="s">
        <v>2940</v>
      </c>
      <c r="D135" s="4" t="str">
        <f t="shared" si="1"/>
        <v>{"valorA":"muito","valorB":11}</v>
      </c>
      <c r="E135" s="8" t="str">
        <f t="shared" si="2"/>
        <v>muito</v>
      </c>
      <c r="F135" s="8" t="str">
        <f>IFERROR(__xludf.DUMMYFUNCTION("""COMPUTED_VALUE"""),"até")</f>
        <v>até</v>
      </c>
      <c r="G135" s="8" t="str">
        <f t="shared" si="3"/>
        <v>11</v>
      </c>
      <c r="H135" s="9">
        <f t="shared" si="4"/>
        <v>11</v>
      </c>
      <c r="I135" s="10">
        <f>IFERROR(__xludf.DUMMYFUNCTION("MAX(FILTER($H$2:$H1416,$E$2:$E1416=F135))"),1.0)</f>
        <v>1</v>
      </c>
    </row>
    <row r="136">
      <c r="A136" s="4"/>
      <c r="C136" s="4" t="s">
        <v>3345</v>
      </c>
      <c r="D136" s="4" t="str">
        <f t="shared" si="1"/>
        <v>{"valorA":"agradável","valorB":1}</v>
      </c>
      <c r="E136" s="8" t="str">
        <f t="shared" si="2"/>
        <v>agradável</v>
      </c>
      <c r="F136" s="8" t="str">
        <f>IFERROR(__xludf.DUMMYFUNCTION("""COMPUTED_VALUE"""),"há")</f>
        <v>há</v>
      </c>
      <c r="G136" s="8" t="str">
        <f t="shared" si="3"/>
        <v>1</v>
      </c>
      <c r="H136" s="9">
        <f t="shared" si="4"/>
        <v>1</v>
      </c>
      <c r="I136" s="10">
        <f>IFERROR(__xludf.DUMMYFUNCTION("MAX(FILTER($H$2:$H1416,$E$2:$E1416=F136))"),1.0)</f>
        <v>1</v>
      </c>
    </row>
    <row r="137">
      <c r="A137" s="4"/>
      <c r="C137" s="4" t="s">
        <v>3346</v>
      </c>
      <c r="D137" s="4" t="str">
        <f t="shared" si="1"/>
        <v>{"valorA":"agora","valorB":1}</v>
      </c>
      <c r="E137" s="8" t="str">
        <f t="shared" si="2"/>
        <v>agora</v>
      </c>
      <c r="F137" s="8" t="str">
        <f>IFERROR(__xludf.DUMMYFUNCTION("""COMPUTED_VALUE"""),"frigorifico")</f>
        <v>frigorifico</v>
      </c>
      <c r="G137" s="8" t="str">
        <f t="shared" si="3"/>
        <v>1</v>
      </c>
      <c r="H137" s="9">
        <f t="shared" si="4"/>
        <v>1</v>
      </c>
      <c r="I137" s="10">
        <f>IFERROR(__xludf.DUMMYFUNCTION("MAX(FILTER($H$2:$H1416,$E$2:$E1416=F137))"),1.0)</f>
        <v>1</v>
      </c>
    </row>
    <row r="138">
      <c r="A138" s="4"/>
      <c r="C138" s="4" t="s">
        <v>2772</v>
      </c>
      <c r="D138" s="4" t="str">
        <f t="shared" si="1"/>
        <v>{"valorA":"mais","valorB":1}</v>
      </c>
      <c r="E138" s="8" t="str">
        <f t="shared" si="2"/>
        <v>mais</v>
      </c>
      <c r="F138" s="8" t="str">
        <f>IFERROR(__xludf.DUMMYFUNCTION("""COMPUTED_VALUE"""),"comentário")</f>
        <v>comentário</v>
      </c>
      <c r="G138" s="8" t="str">
        <f t="shared" si="3"/>
        <v>1</v>
      </c>
      <c r="H138" s="9">
        <f t="shared" si="4"/>
        <v>1</v>
      </c>
      <c r="I138" s="10">
        <f>IFERROR(__xludf.DUMMYFUNCTION("MAX(FILTER($H$2:$H1416,$E$2:$E1416=F138))"),2.0)</f>
        <v>2</v>
      </c>
    </row>
    <row r="139">
      <c r="A139" s="4"/>
      <c r="C139" s="4" t="s">
        <v>3347</v>
      </c>
      <c r="D139" s="4" t="str">
        <f t="shared" si="1"/>
        <v>{"valorA":"coment","valorB":2}</v>
      </c>
      <c r="E139" s="8" t="str">
        <f t="shared" si="2"/>
        <v>coment</v>
      </c>
      <c r="F139" s="8" t="str">
        <f>IFERROR(__xludf.DUMMYFUNCTION("""COMPUTED_VALUE"""),"relaxado")</f>
        <v>relaxado</v>
      </c>
      <c r="G139" s="8" t="str">
        <f t="shared" si="3"/>
        <v>2</v>
      </c>
      <c r="H139" s="9">
        <f t="shared" si="4"/>
        <v>2</v>
      </c>
      <c r="I139" s="10">
        <f>IFERROR(__xludf.DUMMYFUNCTION("MAX(FILTER($H$2:$H1416,$E$2:$E1416=F139))"),1.0)</f>
        <v>1</v>
      </c>
    </row>
    <row r="140">
      <c r="A140" s="4"/>
      <c r="C140" s="4" t="s">
        <v>3348</v>
      </c>
      <c r="D140" s="4" t="str">
        <f t="shared" si="1"/>
        <v>{"valorA":"lavabo","valorB":1}</v>
      </c>
      <c r="E140" s="8" t="str">
        <f t="shared" si="2"/>
        <v>lavabo</v>
      </c>
      <c r="F140" s="8" t="str">
        <f>IFERROR(__xludf.DUMMYFUNCTION("""COMPUTED_VALUE"""),"reto")</f>
        <v>reto</v>
      </c>
      <c r="G140" s="8" t="str">
        <f t="shared" si="3"/>
        <v>1</v>
      </c>
      <c r="H140" s="9">
        <f t="shared" si="4"/>
        <v>1</v>
      </c>
      <c r="I140" s="10">
        <f>IFERROR(__xludf.DUMMYFUNCTION("MAX(FILTER($H$2:$H1416,$E$2:$E1416=F140))"),1.0)</f>
        <v>1</v>
      </c>
    </row>
    <row r="141">
      <c r="A141" s="4"/>
      <c r="C141" s="4" t="s">
        <v>2941</v>
      </c>
      <c r="D141" s="4" t="str">
        <f t="shared" si="1"/>
        <v>{"valorA":"gosto","valorB":2}</v>
      </c>
      <c r="E141" s="8" t="str">
        <f t="shared" si="2"/>
        <v>gosto</v>
      </c>
      <c r="F141" s="8" t="str">
        <f>IFERROR(__xludf.DUMMYFUNCTION("""COMPUTED_VALUE"""),"encanta")</f>
        <v>encanta</v>
      </c>
      <c r="G141" s="8" t="str">
        <f t="shared" si="3"/>
        <v>2</v>
      </c>
      <c r="H141" s="9">
        <f t="shared" si="4"/>
        <v>2</v>
      </c>
      <c r="I141" s="10">
        <f>IFERROR(__xludf.DUMMYFUNCTION("MAX(FILTER($H$2:$H1416,$E$2:$E1416=F141))"),1.0)</f>
        <v>1</v>
      </c>
    </row>
    <row r="142">
      <c r="A142" s="4"/>
      <c r="C142" s="4" t="s">
        <v>2718</v>
      </c>
      <c r="D142" s="4" t="str">
        <f t="shared" si="1"/>
        <v>{"valorA":"ótimo","valorB":14}</v>
      </c>
      <c r="E142" s="8" t="str">
        <f t="shared" si="2"/>
        <v>ótimo</v>
      </c>
      <c r="F142" s="8" t="str">
        <f>IFERROR(__xludf.DUMMYFUNCTION("""COMPUTED_VALUE"""),"esses")</f>
        <v>esses</v>
      </c>
      <c r="G142" s="8" t="str">
        <f t="shared" si="3"/>
        <v>14</v>
      </c>
      <c r="H142" s="9">
        <f t="shared" si="4"/>
        <v>14</v>
      </c>
      <c r="I142" s="10">
        <f>IFERROR(__xludf.DUMMYFUNCTION("MAX(FILTER($H$2:$H1416,$E$2:$E1416=F142))"),1.0)</f>
        <v>1</v>
      </c>
    </row>
    <row r="143">
      <c r="A143" s="4"/>
      <c r="C143" s="4" t="s">
        <v>3349</v>
      </c>
      <c r="D143" s="4" t="str">
        <f t="shared" si="1"/>
        <v>{"valorA":"bastante","valorB":2}</v>
      </c>
      <c r="E143" s="8" t="str">
        <f t="shared" si="2"/>
        <v>bastante</v>
      </c>
      <c r="F143" s="8" t="str">
        <f>IFERROR(__xludf.DUMMYFUNCTION("""COMPUTED_VALUE"""),"sapatos")</f>
        <v>sapatos</v>
      </c>
      <c r="G143" s="8" t="str">
        <f t="shared" si="3"/>
        <v>2</v>
      </c>
      <c r="H143" s="9">
        <f t="shared" si="4"/>
        <v>2</v>
      </c>
      <c r="I143" s="10">
        <f>IFERROR(__xludf.DUMMYFUNCTION("MAX(FILTER($H$2:$H1416,$E$2:$E1416=F143))"),1.0)</f>
        <v>1</v>
      </c>
    </row>
    <row r="144">
      <c r="A144" s="4"/>
      <c r="C144" s="4" t="s">
        <v>2726</v>
      </c>
      <c r="D144" s="4" t="str">
        <f t="shared" si="1"/>
        <v>{"valorA":"ótimo","valorB":15}</v>
      </c>
      <c r="E144" s="8" t="str">
        <f t="shared" si="2"/>
        <v>ótimo</v>
      </c>
      <c r="F144" s="8" t="str">
        <f>IFERROR(__xludf.DUMMYFUNCTION("""COMPUTED_VALUE"""),"refrigerante")</f>
        <v>refrigerante</v>
      </c>
      <c r="G144" s="8" t="str">
        <f t="shared" si="3"/>
        <v>15</v>
      </c>
      <c r="H144" s="9">
        <f t="shared" si="4"/>
        <v>15</v>
      </c>
      <c r="I144" s="10">
        <f>IFERROR(__xludf.DUMMYFUNCTION("MAX(FILTER($H$2:$H1416,$E$2:$E1416=F144))"),1.0)</f>
        <v>1</v>
      </c>
    </row>
    <row r="145">
      <c r="A145" s="4"/>
      <c r="C145" s="4" t="s">
        <v>3350</v>
      </c>
      <c r="D145" s="4" t="str">
        <f t="shared" si="1"/>
        <v>{"valorA":"lavador","valorB":3}</v>
      </c>
      <c r="E145" s="8" t="str">
        <f t="shared" si="2"/>
        <v>lavador</v>
      </c>
      <c r="F145" s="8" t="str">
        <f>IFERROR(__xludf.DUMMYFUNCTION("""COMPUTED_VALUE"""),"econômico")</f>
        <v>econômico</v>
      </c>
      <c r="G145" s="8" t="str">
        <f t="shared" si="3"/>
        <v>3</v>
      </c>
      <c r="H145" s="9">
        <f t="shared" si="4"/>
        <v>3</v>
      </c>
      <c r="I145" s="10">
        <f>IFERROR(__xludf.DUMMYFUNCTION("MAX(FILTER($H$2:$H1416,$E$2:$E1416=F145))"),1.0)</f>
        <v>1</v>
      </c>
    </row>
    <row r="146">
      <c r="A146" s="4"/>
      <c r="C146" s="4" t="s">
        <v>3069</v>
      </c>
      <c r="D146" s="4" t="str">
        <f t="shared" si="1"/>
        <v>{"valorA":"de","valorB":8}</v>
      </c>
      <c r="E146" s="8" t="str">
        <f t="shared" si="2"/>
        <v>de</v>
      </c>
      <c r="F146" s="8" t="str">
        <f>IFERROR(__xludf.DUMMYFUNCTION("""COMPUTED_VALUE"""),"hora")</f>
        <v>hora</v>
      </c>
      <c r="G146" s="8" t="str">
        <f t="shared" si="3"/>
        <v>8</v>
      </c>
      <c r="H146" s="9">
        <f t="shared" si="4"/>
        <v>8</v>
      </c>
      <c r="I146" s="10">
        <f>IFERROR(__xludf.DUMMYFUNCTION("MAX(FILTER($H$2:$H1416,$E$2:$E1416=F146))"),1.0)</f>
        <v>1</v>
      </c>
    </row>
    <row r="147">
      <c r="A147" s="4"/>
      <c r="C147" s="4" t="s">
        <v>3351</v>
      </c>
      <c r="D147" s="4" t="str">
        <f t="shared" si="1"/>
        <v>{"valorA":"pratos","valorB":3}</v>
      </c>
      <c r="E147" s="8" t="str">
        <f t="shared" si="2"/>
        <v>pratos</v>
      </c>
      <c r="F147" s="8" t="str">
        <f>IFERROR(__xludf.DUMMYFUNCTION("""COMPUTED_VALUE"""),"da")</f>
        <v>da</v>
      </c>
      <c r="G147" s="8" t="str">
        <f t="shared" si="3"/>
        <v>3</v>
      </c>
      <c r="H147" s="9">
        <f t="shared" si="4"/>
        <v>3</v>
      </c>
      <c r="I147" s="10">
        <f>IFERROR(__xludf.DUMMYFUNCTION("MAX(FILTER($H$2:$H1416,$E$2:$E1416=F147))"),1.0)</f>
        <v>1</v>
      </c>
    </row>
    <row r="148">
      <c r="A148" s="4"/>
      <c r="C148" s="4" t="s">
        <v>3352</v>
      </c>
      <c r="D148" s="4" t="str">
        <f t="shared" si="1"/>
        <v>{"valorA":"facilidade","valorB":1}</v>
      </c>
      <c r="E148" s="8" t="str">
        <f t="shared" si="2"/>
        <v>facilidade</v>
      </c>
      <c r="F148" s="8" t="str">
        <f>IFERROR(__xludf.DUMMYFUNCTION("""COMPUTED_VALUE"""),"quarto")</f>
        <v>quarto</v>
      </c>
      <c r="G148" s="8" t="str">
        <f t="shared" si="3"/>
        <v>1</v>
      </c>
      <c r="H148" s="9">
        <f t="shared" si="4"/>
        <v>1</v>
      </c>
      <c r="I148" s="10">
        <f>IFERROR(__xludf.DUMMYFUNCTION("MAX(FILTER($H$2:$H1416,$E$2:$E1416=F148))"),1.0)</f>
        <v>1</v>
      </c>
    </row>
    <row r="149">
      <c r="A149" s="4"/>
      <c r="C149" s="4" t="s">
        <v>2956</v>
      </c>
      <c r="D149" s="4" t="str">
        <f t="shared" si="1"/>
        <v>{"valorA":"com","valorB":4}</v>
      </c>
      <c r="E149" s="8" t="str">
        <f t="shared" si="2"/>
        <v>com</v>
      </c>
      <c r="F149" s="8" t="str">
        <f>IFERROR(__xludf.DUMMYFUNCTION("""COMPUTED_VALUE"""),"festa")</f>
        <v>festa</v>
      </c>
      <c r="G149" s="8" t="str">
        <f t="shared" si="3"/>
        <v>4</v>
      </c>
      <c r="H149" s="9">
        <f t="shared" si="4"/>
        <v>4</v>
      </c>
      <c r="I149" s="10">
        <f>IFERROR(__xludf.DUMMYFUNCTION("MAX(FILTER($H$2:$H1416,$E$2:$E1416=F149))"),1.0)</f>
        <v>1</v>
      </c>
    </row>
    <row r="150">
      <c r="A150" s="4"/>
      <c r="C150" s="4" t="s">
        <v>3353</v>
      </c>
      <c r="D150" s="4" t="str">
        <f t="shared" si="1"/>
        <v>{"valorA":"tudo","valorB":2}</v>
      </c>
      <c r="E150" s="8" t="str">
        <f t="shared" si="2"/>
        <v>tudo</v>
      </c>
      <c r="F150" s="8" t="str">
        <f>IFERROR(__xludf.DUMMYFUNCTION("""COMPUTED_VALUE"""),"anivers")</f>
        <v>anivers</v>
      </c>
      <c r="G150" s="8" t="str">
        <f t="shared" si="3"/>
        <v>2</v>
      </c>
      <c r="H150" s="9">
        <f t="shared" si="4"/>
        <v>2</v>
      </c>
      <c r="I150" s="10">
        <f>IFERROR(__xludf.DUMMYFUNCTION("MAX(FILTER($H$2:$H1416,$E$2:$E1416=F150))"),1.0)</f>
        <v>1</v>
      </c>
    </row>
    <row r="151">
      <c r="A151" s="4"/>
      <c r="C151" s="4" t="s">
        <v>3143</v>
      </c>
      <c r="D151" s="4" t="str">
        <f t="shared" si="1"/>
        <v>{"valorA":"muita","valorB":1}</v>
      </c>
      <c r="E151" s="8" t="str">
        <f t="shared" si="2"/>
        <v>muita</v>
      </c>
      <c r="F151" s="8" t="str">
        <f>IFERROR(__xludf.DUMMYFUNCTION("""COMPUTED_VALUE"""),"cadeirante")</f>
        <v>cadeirante</v>
      </c>
      <c r="G151" s="8" t="str">
        <f t="shared" si="3"/>
        <v>1</v>
      </c>
      <c r="H151" s="9">
        <f t="shared" si="4"/>
        <v>1</v>
      </c>
      <c r="I151" s="10">
        <f>IFERROR(__xludf.DUMMYFUNCTION("MAX(FILTER($H$2:$H1416,$E$2:$E1416=F151))"),1.0)</f>
        <v>1</v>
      </c>
    </row>
    <row r="152">
      <c r="A152" s="4"/>
      <c r="C152" s="4" t="s">
        <v>3354</v>
      </c>
      <c r="D152" s="4" t="str">
        <f t="shared" si="1"/>
        <v>{"valorA":"lave","valorB":1}</v>
      </c>
      <c r="E152" s="8" t="str">
        <f t="shared" si="2"/>
        <v>lave</v>
      </c>
      <c r="F152" s="8" t="str">
        <f>IFERROR(__xludf.DUMMYFUNCTION("""COMPUTED_VALUE"""),"elétrico")</f>
        <v>elétrico</v>
      </c>
      <c r="G152" s="8" t="str">
        <f t="shared" si="3"/>
        <v>1</v>
      </c>
      <c r="H152" s="9">
        <f t="shared" si="4"/>
        <v>1</v>
      </c>
      <c r="I152" s="10">
        <f>IFERROR(__xludf.DUMMYFUNCTION("MAX(FILTER($H$2:$H1416,$E$2:$E1416=F152))"),1.0)</f>
        <v>1</v>
      </c>
    </row>
    <row r="153">
      <c r="A153" s="4"/>
      <c r="C153" s="4" t="s">
        <v>2744</v>
      </c>
      <c r="D153" s="4" t="str">
        <f t="shared" si="1"/>
        <v>{"valorA":"para","valorB":3}</v>
      </c>
      <c r="E153" s="8" t="str">
        <f t="shared" si="2"/>
        <v>para</v>
      </c>
      <c r="F153" s="8" t="str">
        <f>IFERROR(__xludf.DUMMYFUNCTION("""COMPUTED_VALUE"""),"aquecedor")</f>
        <v>aquecedor</v>
      </c>
      <c r="G153" s="8" t="str">
        <f t="shared" si="3"/>
        <v>3</v>
      </c>
      <c r="H153" s="9">
        <f t="shared" si="4"/>
        <v>3</v>
      </c>
      <c r="I153" s="10">
        <f>IFERROR(__xludf.DUMMYFUNCTION("MAX(FILTER($H$2:$H1416,$E$2:$E1416=F153))"),1.0)</f>
        <v>1</v>
      </c>
    </row>
    <row r="154">
      <c r="A154" s="4"/>
      <c r="C154" s="4" t="s">
        <v>2808</v>
      </c>
      <c r="D154" s="4" t="str">
        <f t="shared" si="1"/>
        <v>{"valorA":"preço","valorB":2}</v>
      </c>
      <c r="E154" s="8" t="str">
        <f t="shared" si="2"/>
        <v>preço</v>
      </c>
      <c r="F154" s="8" t="str">
        <f>IFERROR(__xludf.DUMMYFUNCTION("""COMPUTED_VALUE"""),"banho")</f>
        <v>banho</v>
      </c>
      <c r="G154" s="8" t="str">
        <f t="shared" si="3"/>
        <v>2</v>
      </c>
      <c r="H154" s="9">
        <f t="shared" si="4"/>
        <v>2</v>
      </c>
      <c r="I154" s="10">
        <f>IFERROR(__xludf.DUMMYFUNCTION("MAX(FILTER($H$2:$H1416,$E$2:$E1416=F154))"),1.0)</f>
        <v>1</v>
      </c>
    </row>
    <row r="155">
      <c r="A155" s="4"/>
      <c r="C155" s="4" t="s">
        <v>2729</v>
      </c>
      <c r="D155" s="4" t="str">
        <f t="shared" si="1"/>
        <v>{"valorA":"ótimo","valorB":16}</v>
      </c>
      <c r="E155" s="8" t="str">
        <f t="shared" si="2"/>
        <v>ótimo</v>
      </c>
      <c r="F155" s="8" t="str">
        <f>IFERROR(__xludf.DUMMYFUNCTION("""COMPUTED_VALUE"""),"condicionado")</f>
        <v>condicionado</v>
      </c>
      <c r="G155" s="8" t="str">
        <f t="shared" si="3"/>
        <v>16</v>
      </c>
      <c r="H155" s="9">
        <f t="shared" si="4"/>
        <v>16</v>
      </c>
      <c r="I155" s="10">
        <f>IFERROR(__xludf.DUMMYFUNCTION("MAX(FILTER($H$2:$H1416,$E$2:$E1416=F155))"),2.0)</f>
        <v>2</v>
      </c>
    </row>
    <row r="156">
      <c r="A156" s="4"/>
      <c r="C156" s="4" t="s">
        <v>2810</v>
      </c>
      <c r="D156" s="4" t="str">
        <f t="shared" si="1"/>
        <v>{"valorA":"o","valorB":4}</v>
      </c>
      <c r="E156" s="8" t="str">
        <f t="shared" si="2"/>
        <v>o</v>
      </c>
      <c r="F156" s="8" t="str">
        <f>IFERROR(__xludf.DUMMYFUNCTION("""COMPUTED_VALUE"""),"sistema")</f>
        <v>sistema</v>
      </c>
      <c r="G156" s="8" t="str">
        <f t="shared" si="3"/>
        <v>4</v>
      </c>
      <c r="H156" s="9">
        <f t="shared" si="4"/>
        <v>4</v>
      </c>
      <c r="I156" s="10">
        <f>IFERROR(__xludf.DUMMYFUNCTION("MAX(FILTER($H$2:$H1416,$E$2:$E1416=F156))"),2.0)</f>
        <v>2</v>
      </c>
    </row>
    <row r="157">
      <c r="A157" s="4"/>
      <c r="C157" s="4" t="s">
        <v>3355</v>
      </c>
      <c r="D157" s="4" t="str">
        <f t="shared" si="1"/>
        <v>{"valorA":"aparelho","valorB":3}</v>
      </c>
      <c r="E157" s="8" t="str">
        <f t="shared" si="2"/>
        <v>aparelho</v>
      </c>
      <c r="F157" s="8" t="str">
        <f>IFERROR(__xludf.DUMMYFUNCTION("""COMPUTED_VALUE"""),"ar")</f>
        <v>ar</v>
      </c>
      <c r="G157" s="8" t="str">
        <f t="shared" si="3"/>
        <v>3</v>
      </c>
      <c r="H157" s="9">
        <f t="shared" si="4"/>
        <v>3</v>
      </c>
      <c r="I157" s="10">
        <f>IFERROR(__xludf.DUMMYFUNCTION("MAX(FILTER($H$2:$H1416,$E$2:$E1416=F157))"),2.0)</f>
        <v>2</v>
      </c>
    </row>
    <row r="158">
      <c r="A158" s="4"/>
      <c r="C158" s="4" t="s">
        <v>2953</v>
      </c>
      <c r="D158" s="4" t="str">
        <f t="shared" si="1"/>
        <v>{"valorA":"muito","valorB":12}</v>
      </c>
      <c r="E158" s="8" t="str">
        <f t="shared" si="2"/>
        <v>muito</v>
      </c>
      <c r="F158" s="8" t="str">
        <f>IFERROR(__xludf.DUMMYFUNCTION("""COMPUTED_VALUE"""),"casa")</f>
        <v>casa</v>
      </c>
      <c r="G158" s="8" t="str">
        <f t="shared" si="3"/>
        <v>12</v>
      </c>
      <c r="H158" s="9">
        <f t="shared" si="4"/>
        <v>12</v>
      </c>
      <c r="I158" s="10">
        <f>IFERROR(__xludf.DUMMYFUNCTION("MAX(FILTER($H$2:$H1416,$E$2:$E1416=F158))"),3.0)</f>
        <v>3</v>
      </c>
    </row>
    <row r="159">
      <c r="A159" s="4"/>
      <c r="C159" s="4" t="s">
        <v>3356</v>
      </c>
      <c r="D159" s="4" t="str">
        <f t="shared" si="1"/>
        <v>{"valorA":"com","valorB":5}</v>
      </c>
      <c r="E159" s="8" t="str">
        <f t="shared" si="2"/>
        <v>com</v>
      </c>
      <c r="F159" s="8" t="str">
        <f>IFERROR(__xludf.DUMMYFUNCTION("""COMPUTED_VALUE"""),"trabalhar")</f>
        <v>trabalhar</v>
      </c>
      <c r="G159" s="8" t="str">
        <f t="shared" si="3"/>
        <v>5</v>
      </c>
      <c r="H159" s="9">
        <f t="shared" si="4"/>
        <v>5</v>
      </c>
      <c r="I159" s="10">
        <f>IFERROR(__xludf.DUMMYFUNCTION("MAX(FILTER($H$2:$H1416,$E$2:$E1416=F159))"),1.0)</f>
        <v>1</v>
      </c>
    </row>
    <row r="160">
      <c r="A160" s="4"/>
      <c r="C160" s="4" t="s">
        <v>3357</v>
      </c>
      <c r="D160" s="4" t="str">
        <f t="shared" si="1"/>
        <v>{"valorA":"satisfeita","valorB":1}</v>
      </c>
      <c r="E160" s="8" t="str">
        <f t="shared" si="2"/>
        <v>satisfeita</v>
      </c>
      <c r="F160" s="8" t="str">
        <f>IFERROR(__xludf.DUMMYFUNCTION("""COMPUTED_VALUE"""),"acho")</f>
        <v>acho</v>
      </c>
      <c r="G160" s="8" t="str">
        <f t="shared" si="3"/>
        <v>1</v>
      </c>
      <c r="H160" s="9">
        <f t="shared" si="4"/>
        <v>1</v>
      </c>
      <c r="I160" s="10">
        <f>IFERROR(__xludf.DUMMYFUNCTION("MAX(FILTER($H$2:$H1416,$E$2:$E1416=F160))"),1.0)</f>
        <v>1</v>
      </c>
    </row>
    <row r="161">
      <c r="A161" s="4"/>
      <c r="C161" s="4" t="s">
        <v>3358</v>
      </c>
      <c r="D161" s="4" t="str">
        <f t="shared" si="1"/>
        <v>{"valorA":"fiquei","valorB":1}</v>
      </c>
      <c r="E161" s="8" t="str">
        <f t="shared" si="2"/>
        <v>fiquei</v>
      </c>
      <c r="F161" s="8" t="str">
        <f>IFERROR(__xludf.DUMMYFUNCTION("""COMPUTED_VALUE"""),"lavadora")</f>
        <v>lavadora</v>
      </c>
      <c r="G161" s="8" t="str">
        <f t="shared" si="3"/>
        <v>1</v>
      </c>
      <c r="H161" s="9">
        <f t="shared" si="4"/>
        <v>1</v>
      </c>
      <c r="I161" s="10">
        <f>IFERROR(__xludf.DUMMYFUNCTION("MAX(FILTER($H$2:$H1416,$E$2:$E1416=F161))"),2.0)</f>
        <v>2</v>
      </c>
    </row>
    <row r="162">
      <c r="A162" s="4"/>
      <c r="C162" s="4" t="s">
        <v>2686</v>
      </c>
      <c r="D162" s="4" t="str">
        <f t="shared" si="1"/>
        <v>{"valorA":"a","valorB":3}</v>
      </c>
      <c r="E162" s="8" t="str">
        <f t="shared" si="2"/>
        <v>a</v>
      </c>
      <c r="F162" s="8" t="str">
        <f>IFERROR(__xludf.DUMMYFUNCTION("""COMPUTED_VALUE"""),"eficiente")</f>
        <v>eficiente</v>
      </c>
      <c r="G162" s="8" t="str">
        <f t="shared" si="3"/>
        <v>3</v>
      </c>
      <c r="H162" s="9">
        <f t="shared" si="4"/>
        <v>3</v>
      </c>
      <c r="I162" s="10">
        <f>IFERROR(__xludf.DUMMYFUNCTION("MAX(FILTER($H$2:$H1416,$E$2:$E1416=F162))"),1.0)</f>
        <v>1</v>
      </c>
    </row>
    <row r="163">
      <c r="A163" s="4"/>
      <c r="C163" s="4" t="s">
        <v>2687</v>
      </c>
      <c r="D163" s="4" t="str">
        <f t="shared" si="1"/>
        <v>{"valorA":"compra","valorB":2}</v>
      </c>
      <c r="E163" s="8" t="str">
        <f t="shared" si="2"/>
        <v>compra</v>
      </c>
      <c r="F163" s="8" t="str">
        <f>IFERROR(__xludf.DUMMYFUNCTION("""COMPUTED_VALUE"""),"investimento")</f>
        <v>investimento</v>
      </c>
      <c r="G163" s="8" t="str">
        <f t="shared" si="3"/>
        <v>2</v>
      </c>
      <c r="H163" s="9">
        <f t="shared" si="4"/>
        <v>2</v>
      </c>
      <c r="I163" s="10">
        <f>IFERROR(__xludf.DUMMYFUNCTION("MAX(FILTER($H$2:$H1416,$E$2:$E1416=F163))"),1.0)</f>
        <v>1</v>
      </c>
    </row>
    <row r="164">
      <c r="A164" s="4"/>
      <c r="C164" s="4" t="s">
        <v>3359</v>
      </c>
      <c r="D164" s="4" t="str">
        <f t="shared" si="1"/>
        <v>{"valorA":"ótima","valorB":3}</v>
      </c>
      <c r="E164" s="8" t="str">
        <f t="shared" si="2"/>
        <v>ótima</v>
      </c>
      <c r="F164" s="8" t="str">
        <f>IFERROR(__xludf.DUMMYFUNCTION("""COMPUTED_VALUE"""),"meus")</f>
        <v>meus</v>
      </c>
      <c r="G164" s="8" t="str">
        <f t="shared" si="3"/>
        <v>3</v>
      </c>
      <c r="H164" s="9">
        <f t="shared" si="4"/>
        <v>3</v>
      </c>
      <c r="I164" s="10">
        <f>IFERROR(__xludf.DUMMYFUNCTION("MAX(FILTER($H$2:$H1416,$E$2:$E1416=F164))"),1.0)</f>
        <v>1</v>
      </c>
    </row>
    <row r="165">
      <c r="A165" s="4"/>
      <c r="C165" s="4" t="s">
        <v>2721</v>
      </c>
      <c r="D165" s="4" t="str">
        <f t="shared" si="1"/>
        <v>{"valorA":"e","valorB":4}</v>
      </c>
      <c r="E165" s="8" t="str">
        <f t="shared" si="2"/>
        <v>e</v>
      </c>
      <c r="F165" s="8" t="str">
        <f>IFERROR(__xludf.DUMMYFUNCTION("""COMPUTED_VALUE"""),"dos")</f>
        <v>dos</v>
      </c>
      <c r="G165" s="8" t="str">
        <f t="shared" si="3"/>
        <v>4</v>
      </c>
      <c r="H165" s="9">
        <f t="shared" si="4"/>
        <v>4</v>
      </c>
      <c r="I165" s="10">
        <f>IFERROR(__xludf.DUMMYFUNCTION("MAX(FILTER($H$2:$H1416,$E$2:$E1416=F165))"),1.0)</f>
        <v>1</v>
      </c>
    </row>
    <row r="166">
      <c r="A166" s="4"/>
      <c r="C166" s="4" t="s">
        <v>3360</v>
      </c>
      <c r="D166" s="4" t="str">
        <f t="shared" si="1"/>
        <v>{"valorA":"prática","valorB":1}</v>
      </c>
      <c r="E166" s="8" t="str">
        <f t="shared" si="2"/>
        <v>prática</v>
      </c>
      <c r="F166" s="8" t="str">
        <f>IFERROR(__xludf.DUMMYFUNCTION("""COMPUTED_VALUE"""),"adoram")</f>
        <v>adoram</v>
      </c>
      <c r="G166" s="8" t="str">
        <f t="shared" si="3"/>
        <v>1</v>
      </c>
      <c r="H166" s="9">
        <f t="shared" si="4"/>
        <v>1</v>
      </c>
      <c r="I166" s="10">
        <f>IFERROR(__xludf.DUMMYFUNCTION("MAX(FILTER($H$2:$H1416,$E$2:$E1416=F166))"),1.0)</f>
        <v>1</v>
      </c>
    </row>
    <row r="167">
      <c r="A167" s="4"/>
      <c r="C167" s="4" t="s">
        <v>2749</v>
      </c>
      <c r="D167" s="4" t="str">
        <f t="shared" si="1"/>
        <v>{"valorA":"confortável","valorB":2}</v>
      </c>
      <c r="E167" s="8" t="str">
        <f t="shared" si="2"/>
        <v>confortável</v>
      </c>
      <c r="F167" s="8" t="str">
        <f>IFERROR(__xludf.DUMMYFUNCTION("""COMPUTED_VALUE"""),"balanço")</f>
        <v>balanço</v>
      </c>
      <c r="G167" s="8" t="str">
        <f t="shared" si="3"/>
        <v>2</v>
      </c>
      <c r="H167" s="9">
        <f t="shared" si="4"/>
        <v>2</v>
      </c>
      <c r="I167" s="10">
        <f>IFERROR(__xludf.DUMMYFUNCTION("MAX(FILTER($H$2:$H1416,$E$2:$E1416=F167))"),1.0)</f>
        <v>1</v>
      </c>
    </row>
    <row r="168">
      <c r="A168" s="4"/>
      <c r="C168" s="4" t="s">
        <v>2989</v>
      </c>
      <c r="D168" s="4" t="str">
        <f t="shared" si="1"/>
        <v>{"valorA":"muito","valorB":13}</v>
      </c>
      <c r="E168" s="8" t="str">
        <f t="shared" si="2"/>
        <v>muito</v>
      </c>
      <c r="F168" s="8" t="str">
        <f>IFERROR(__xludf.DUMMYFUNCTION("""COMPUTED_VALUE"""),"filhos")</f>
        <v>filhos</v>
      </c>
      <c r="G168" s="8" t="str">
        <f t="shared" si="3"/>
        <v>13</v>
      </c>
      <c r="H168" s="9">
        <f t="shared" si="4"/>
        <v>13</v>
      </c>
      <c r="I168" s="10">
        <f>IFERROR(__xludf.DUMMYFUNCTION("MAX(FILTER($H$2:$H1416,$E$2:$E1416=F168))"),1.0)</f>
        <v>1</v>
      </c>
    </row>
    <row r="169">
      <c r="A169" s="4"/>
      <c r="C169" s="4" t="s">
        <v>2751</v>
      </c>
      <c r="D169" s="4" t="str">
        <f t="shared" si="1"/>
        <v>{"valorA":"cadeira","valorB":2}</v>
      </c>
      <c r="E169" s="8" t="str">
        <f t="shared" si="2"/>
        <v>cadeira</v>
      </c>
      <c r="F169" s="8" t="str">
        <f>IFERROR(__xludf.DUMMYFUNCTION("""COMPUTED_VALUE"""),"eles")</f>
        <v>eles</v>
      </c>
      <c r="G169" s="8" t="str">
        <f t="shared" si="3"/>
        <v>2</v>
      </c>
      <c r="H169" s="9">
        <f t="shared" si="4"/>
        <v>2</v>
      </c>
      <c r="I169" s="10">
        <f>IFERROR(__xludf.DUMMYFUNCTION("MAX(FILTER($H$2:$H1416,$E$2:$E1416=F169))"),1.0)</f>
        <v>1</v>
      </c>
    </row>
    <row r="170">
      <c r="A170" s="4"/>
      <c r="C170" s="4" t="s">
        <v>3361</v>
      </c>
      <c r="D170" s="4" t="str">
        <f t="shared" si="1"/>
        <v>{"valorA":"fica","valorB":1}</v>
      </c>
      <c r="E170" s="8" t="str">
        <f t="shared" si="2"/>
        <v>fica</v>
      </c>
      <c r="F170" s="8" t="str">
        <f>IFERROR(__xludf.DUMMYFUNCTION("""COMPUTED_VALUE"""),"cabelo")</f>
        <v>cabelo</v>
      </c>
      <c r="G170" s="8" t="str">
        <f t="shared" si="3"/>
        <v>1</v>
      </c>
      <c r="H170" s="9">
        <f t="shared" si="4"/>
        <v>1</v>
      </c>
      <c r="I170" s="10">
        <f>IFERROR(__xludf.DUMMYFUNCTION("MAX(FILTER($H$2:$H1416,$E$2:$E1416=F170))"),1.0)</f>
        <v>1</v>
      </c>
    </row>
    <row r="171">
      <c r="A171" s="4"/>
      <c r="C171" s="4" t="s">
        <v>3072</v>
      </c>
      <c r="D171" s="4" t="str">
        <f t="shared" si="1"/>
        <v>{"valorA":"de","valorB":9}</v>
      </c>
      <c r="E171" s="8" t="str">
        <f t="shared" si="2"/>
        <v>de</v>
      </c>
      <c r="F171" s="8" t="str">
        <f>IFERROR(__xludf.DUMMYFUNCTION("""COMPUTED_VALUE"""),"elétricas")</f>
        <v>elétricas</v>
      </c>
      <c r="G171" s="8" t="str">
        <f t="shared" si="3"/>
        <v>9</v>
      </c>
      <c r="H171" s="9">
        <f t="shared" si="4"/>
        <v>9</v>
      </c>
      <c r="I171" s="10">
        <f>IFERROR(__xludf.DUMMYFUNCTION("MAX(FILTER($H$2:$H1416,$E$2:$E1416=F171))"),1.0)</f>
        <v>1</v>
      </c>
    </row>
    <row r="172">
      <c r="A172" s="4"/>
      <c r="C172" s="4" t="s">
        <v>3362</v>
      </c>
      <c r="D172" s="4" t="str">
        <f t="shared" si="1"/>
        <v>{"valorA":"escritório","valorB":2}</v>
      </c>
      <c r="E172" s="8" t="str">
        <f t="shared" si="2"/>
        <v>escritório</v>
      </c>
      <c r="F172" s="8" t="str">
        <f>IFERROR(__xludf.DUMMYFUNCTION("""COMPUTED_VALUE"""),"aço")</f>
        <v>aço</v>
      </c>
      <c r="G172" s="8" t="str">
        <f t="shared" si="3"/>
        <v>2</v>
      </c>
      <c r="H172" s="9">
        <f t="shared" si="4"/>
        <v>2</v>
      </c>
      <c r="I172" s="10">
        <f>IFERROR(__xludf.DUMMYFUNCTION("MAX(FILTER($H$2:$H1416,$E$2:$E1416=F172))"),1.0)</f>
        <v>1</v>
      </c>
    </row>
    <row r="173">
      <c r="A173" s="4"/>
      <c r="C173" s="4" t="s">
        <v>2733</v>
      </c>
      <c r="D173" s="4" t="str">
        <f t="shared" si="1"/>
        <v>{"valorA":"quem","valorB":1}</v>
      </c>
      <c r="E173" s="8" t="str">
        <f t="shared" si="2"/>
        <v>quem</v>
      </c>
      <c r="F173" s="8" t="str">
        <f>IFERROR(__xludf.DUMMYFUNCTION("""COMPUTED_VALUE"""),"ferramentas")</f>
        <v>ferramentas</v>
      </c>
      <c r="G173" s="8" t="str">
        <f t="shared" si="3"/>
        <v>1</v>
      </c>
      <c r="H173" s="9">
        <f t="shared" si="4"/>
        <v>1</v>
      </c>
      <c r="I173" s="10">
        <f>IFERROR(__xludf.DUMMYFUNCTION("MAX(FILTER($H$2:$H1416,$E$2:$E1416=F173))"),1.0)</f>
        <v>1</v>
      </c>
    </row>
    <row r="174">
      <c r="A174" s="4"/>
      <c r="C174" s="4" t="s">
        <v>2735</v>
      </c>
      <c r="D174" s="4" t="str">
        <f t="shared" si="1"/>
        <v>{"valorA":"ótimo","valorB":17}</v>
      </c>
      <c r="E174" s="8" t="str">
        <f t="shared" si="2"/>
        <v>ótimo</v>
      </c>
      <c r="F174" s="8" t="str">
        <f>IFERROR(__xludf.DUMMYFUNCTION("""COMPUTED_VALUE"""),"corretamente")</f>
        <v>corretamente</v>
      </c>
      <c r="G174" s="8" t="str">
        <f t="shared" si="3"/>
        <v>17</v>
      </c>
      <c r="H174" s="9">
        <f t="shared" si="4"/>
        <v>17</v>
      </c>
      <c r="I174" s="10">
        <f>IFERROR(__xludf.DUMMYFUNCTION("MAX(FILTER($H$2:$H1416,$E$2:$E1416=F174))"),1.0)</f>
        <v>1</v>
      </c>
    </row>
    <row r="175">
      <c r="A175" s="4"/>
      <c r="C175" s="4" t="s">
        <v>2759</v>
      </c>
      <c r="D175" s="4" t="str">
        <f t="shared" si="1"/>
        <v>{"valorA":"para","valorB":4}</v>
      </c>
      <c r="E175" s="8" t="str">
        <f t="shared" si="2"/>
        <v>para</v>
      </c>
      <c r="F175" s="8" t="str">
        <f>IFERROR(__xludf.DUMMYFUNCTION("""COMPUTED_VALUE"""),"gamer")</f>
        <v>gamer</v>
      </c>
      <c r="G175" s="8" t="str">
        <f t="shared" si="3"/>
        <v>4</v>
      </c>
      <c r="H175" s="9">
        <f t="shared" si="4"/>
        <v>4</v>
      </c>
      <c r="I175" s="10">
        <f>IFERROR(__xludf.DUMMYFUNCTION("MAX(FILTER($H$2:$H1416,$E$2:$E1416=F175))"),1.0)</f>
        <v>1</v>
      </c>
    </row>
    <row r="176">
      <c r="A176" s="4"/>
      <c r="C176" s="4" t="s">
        <v>3363</v>
      </c>
      <c r="D176" s="4" t="str">
        <f t="shared" si="1"/>
        <v>{"valorA":"máquina","valorB":1}</v>
      </c>
      <c r="E176" s="8" t="str">
        <f t="shared" si="2"/>
        <v>máquina</v>
      </c>
      <c r="F176" s="8" t="str">
        <f>IFERROR(__xludf.DUMMYFUNCTION("""COMPUTED_VALUE"""),"tem")</f>
        <v>tem</v>
      </c>
      <c r="G176" s="8" t="str">
        <f t="shared" si="3"/>
        <v>1</v>
      </c>
      <c r="H176" s="9">
        <f t="shared" si="4"/>
        <v>1</v>
      </c>
      <c r="I176" s="10">
        <f>IFERROR(__xludf.DUMMYFUNCTION("MAX(FILTER($H$2:$H1416,$E$2:$E1416=F176))"),1.0)</f>
        <v>1</v>
      </c>
    </row>
    <row r="177">
      <c r="A177" s="4"/>
      <c r="C177" s="4" t="s">
        <v>2745</v>
      </c>
      <c r="D177" s="4" t="str">
        <f t="shared" si="1"/>
        <v>{"valorA":"precisa","valorB":1}</v>
      </c>
      <c r="E177" s="8" t="str">
        <f t="shared" si="2"/>
        <v>precisa</v>
      </c>
      <c r="F177" s="8" t="str">
        <f>IFERROR(__xludf.DUMMYFUNCTION("""COMPUTED_VALUE"""),"opção")</f>
        <v>opção</v>
      </c>
      <c r="G177" s="8" t="str">
        <f t="shared" si="3"/>
        <v>1</v>
      </c>
      <c r="H177" s="9">
        <f t="shared" si="4"/>
        <v>1</v>
      </c>
      <c r="I177" s="10">
        <f>IFERROR(__xludf.DUMMYFUNCTION("MAX(FILTER($H$2:$H1416,$E$2:$E1416=F177))"),1.0)</f>
        <v>1</v>
      </c>
    </row>
    <row r="178">
      <c r="A178" s="4"/>
      <c r="C178" s="4" t="s">
        <v>3076</v>
      </c>
      <c r="D178" s="4" t="str">
        <f t="shared" si="1"/>
        <v>{"valorA":"de","valorB":10}</v>
      </c>
      <c r="E178" s="8" t="str">
        <f t="shared" si="2"/>
        <v>de</v>
      </c>
      <c r="F178" s="8" t="str">
        <f>IFERROR(__xludf.DUMMYFUNCTION("""COMPUTED_VALUE"""),"pouco")</f>
        <v>pouco</v>
      </c>
      <c r="G178" s="8" t="str">
        <f t="shared" si="3"/>
        <v>10</v>
      </c>
      <c r="H178" s="9">
        <f t="shared" si="4"/>
        <v>10</v>
      </c>
      <c r="I178" s="10">
        <f>IFERROR(__xludf.DUMMYFUNCTION("MAX(FILTER($H$2:$H1416,$E$2:$E1416=F178))"),1.0)</f>
        <v>1</v>
      </c>
    </row>
    <row r="179">
      <c r="A179" s="4"/>
      <c r="C179" s="4" t="s">
        <v>2650</v>
      </c>
      <c r="D179" s="4" t="str">
        <f t="shared" si="1"/>
        <v>{"valorA":"produto","valorB":2}</v>
      </c>
      <c r="E179" s="8" t="str">
        <f t="shared" si="2"/>
        <v>produto</v>
      </c>
      <c r="F179" s="8" t="str">
        <f>IFERROR(__xludf.DUMMYFUNCTION("""COMPUTED_VALUE"""),"espaço")</f>
        <v>espaço</v>
      </c>
      <c r="G179" s="8" t="str">
        <f t="shared" si="3"/>
        <v>2</v>
      </c>
      <c r="H179" s="9">
        <f t="shared" si="4"/>
        <v>2</v>
      </c>
      <c r="I179" s="10">
        <f>IFERROR(__xludf.DUMMYFUNCTION("MAX(FILTER($H$2:$H1416,$E$2:$E1416=F179))"),1.0)</f>
        <v>1</v>
      </c>
    </row>
    <row r="180">
      <c r="A180" s="4"/>
      <c r="C180" s="4" t="s">
        <v>2695</v>
      </c>
      <c r="D180" s="4" t="str">
        <f t="shared" si="1"/>
        <v>{"valorA":"que","valorB":2}</v>
      </c>
      <c r="E180" s="8" t="str">
        <f t="shared" si="2"/>
        <v>que</v>
      </c>
      <c r="F180" s="8" t="str">
        <f>IFERROR(__xludf.DUMMYFUNCTION("""COMPUTED_VALUE"""),"sua")</f>
        <v>sua</v>
      </c>
      <c r="G180" s="8" t="str">
        <f t="shared" si="3"/>
        <v>2</v>
      </c>
      <c r="H180" s="9">
        <f t="shared" si="4"/>
        <v>2</v>
      </c>
      <c r="I180" s="10">
        <f>IFERROR(__xludf.DUMMYFUNCTION("MAX(FILTER($H$2:$H1416,$E$2:$E1416=F180))"),1.0)</f>
        <v>1</v>
      </c>
    </row>
    <row r="181">
      <c r="A181" s="4"/>
      <c r="C181" s="4" t="s">
        <v>3090</v>
      </c>
      <c r="D181" s="4" t="str">
        <f t="shared" si="1"/>
        <v>{"valorA":"uma","valorB":1}</v>
      </c>
      <c r="E181" s="8" t="str">
        <f t="shared" si="2"/>
        <v>uma</v>
      </c>
      <c r="F181" s="8" t="str">
        <f>IFERROR(__xludf.DUMMYFUNCTION("""COMPUTED_VALUE"""),"carregar")</f>
        <v>carregar</v>
      </c>
      <c r="G181" s="8" t="str">
        <f t="shared" si="3"/>
        <v>1</v>
      </c>
      <c r="H181" s="9">
        <f t="shared" si="4"/>
        <v>1</v>
      </c>
      <c r="I181" s="10">
        <f>IFERROR(__xludf.DUMMYFUNCTION("MAX(FILTER($H$2:$H1416,$E$2:$E1416=F181))"),1.0)</f>
        <v>1</v>
      </c>
    </row>
    <row r="182">
      <c r="A182" s="4"/>
      <c r="C182" s="4" t="s">
        <v>3364</v>
      </c>
      <c r="D182" s="4" t="str">
        <f t="shared" si="1"/>
        <v>{"valorA":"seja","valorB":1}</v>
      </c>
      <c r="E182" s="8" t="str">
        <f t="shared" si="2"/>
        <v>seja</v>
      </c>
      <c r="F182" s="8" t="str">
        <f>IFERROR(__xludf.DUMMYFUNCTION("""COMPUTED_VALUE"""),"computador")</f>
        <v>computador</v>
      </c>
      <c r="G182" s="8" t="str">
        <f t="shared" si="3"/>
        <v>1</v>
      </c>
      <c r="H182" s="9">
        <f t="shared" si="4"/>
        <v>1</v>
      </c>
      <c r="I182" s="10">
        <f>IFERROR(__xludf.DUMMYFUNCTION("MAX(FILTER($H$2:$H1416,$E$2:$E1416=F182))"),1.0)</f>
        <v>1</v>
      </c>
    </row>
    <row r="183">
      <c r="A183" s="4"/>
      <c r="C183" s="4" t="s">
        <v>3197</v>
      </c>
      <c r="D183" s="4" t="str">
        <f t="shared" si="1"/>
        <v>{"valorA":"portátil","valorB":1}</v>
      </c>
      <c r="E183" s="8" t="str">
        <f t="shared" si="2"/>
        <v>portátil</v>
      </c>
      <c r="F183" s="8" t="str">
        <f>IFERROR(__xludf.DUMMYFUNCTION("""COMPUTED_VALUE"""),"fácil")</f>
        <v>fácil</v>
      </c>
      <c r="G183" s="8" t="str">
        <f t="shared" si="3"/>
        <v>1</v>
      </c>
      <c r="H183" s="9">
        <f t="shared" si="4"/>
        <v>1</v>
      </c>
      <c r="I183" s="10">
        <f>IFERROR(__xludf.DUMMYFUNCTION("MAX(FILTER($H$2:$H1416,$E$2:$E1416=F183))"),1.0)</f>
        <v>1</v>
      </c>
    </row>
    <row r="184">
      <c r="A184" s="4"/>
      <c r="C184" s="4" t="s">
        <v>3173</v>
      </c>
      <c r="D184" s="4" t="str">
        <f t="shared" si="1"/>
        <v>{"valorA":"leve","valorB":1}</v>
      </c>
      <c r="E184" s="8" t="str">
        <f t="shared" si="2"/>
        <v>leve</v>
      </c>
      <c r="F184" s="8" t="str">
        <f>IFERROR(__xludf.DUMMYFUNCTION("""COMPUTED_VALUE"""),"sem")</f>
        <v>sem</v>
      </c>
      <c r="G184" s="8" t="str">
        <f t="shared" si="3"/>
        <v>1</v>
      </c>
      <c r="H184" s="9">
        <f t="shared" si="4"/>
        <v>1</v>
      </c>
      <c r="I184" s="10">
        <f>IFERROR(__xludf.DUMMYFUNCTION("MAX(FILTER($H$2:$H1416,$E$2:$E1416=F184))"),1.0)</f>
        <v>1</v>
      </c>
    </row>
    <row r="185">
      <c r="A185" s="4"/>
      <c r="C185" s="4" t="s">
        <v>3365</v>
      </c>
      <c r="D185" s="4" t="str">
        <f t="shared" si="1"/>
        <v>{"valorA":"silenciosa","valorB":1}</v>
      </c>
      <c r="E185" s="8" t="str">
        <f t="shared" si="2"/>
        <v>silenciosa</v>
      </c>
      <c r="F185" s="8" t="str">
        <f>IFERROR(__xludf.DUMMYFUNCTION("""COMPUTED_VALUE"""),"reservas")</f>
        <v>reservas</v>
      </c>
      <c r="G185" s="8" t="str">
        <f t="shared" si="3"/>
        <v>1</v>
      </c>
      <c r="H185" s="9">
        <f t="shared" si="4"/>
        <v>1</v>
      </c>
      <c r="I185" s="10">
        <f>IFERROR(__xludf.DUMMYFUNCTION("MAX(FILTER($H$2:$H1416,$E$2:$E1416=F185))"),1.0)</f>
        <v>1</v>
      </c>
    </row>
    <row r="186">
      <c r="A186" s="4"/>
      <c r="C186" s="4" t="s">
        <v>2740</v>
      </c>
      <c r="D186" s="4" t="str">
        <f t="shared" si="1"/>
        <v>{"valorA":"e","valorB":5}</v>
      </c>
      <c r="E186" s="8" t="str">
        <f t="shared" si="2"/>
        <v>e</v>
      </c>
      <c r="F186" s="8" t="str">
        <f>IFERROR(__xludf.DUMMYFUNCTION("""COMPUTED_VALUE"""),"eficaz")</f>
        <v>eficaz</v>
      </c>
      <c r="G186" s="8" t="str">
        <f t="shared" si="3"/>
        <v>5</v>
      </c>
      <c r="H186" s="9">
        <f t="shared" si="4"/>
        <v>5</v>
      </c>
      <c r="I186" s="10">
        <f>IFERROR(__xludf.DUMMYFUNCTION("MAX(FILTER($H$2:$H1416,$E$2:$E1416=F186))"),1.0)</f>
        <v>1</v>
      </c>
    </row>
    <row r="187">
      <c r="A187" s="4"/>
      <c r="C187" s="4" t="s">
        <v>2799</v>
      </c>
      <c r="D187" s="4" t="str">
        <f t="shared" si="1"/>
        <v>{"valorA":"câmera","valorB":1}</v>
      </c>
      <c r="E187" s="8" t="str">
        <f t="shared" si="2"/>
        <v>câmera</v>
      </c>
      <c r="F187" s="8" t="str">
        <f>IFERROR(__xludf.DUMMYFUNCTION("""COMPUTED_VALUE"""),"surpreendido")</f>
        <v>surpreendido</v>
      </c>
      <c r="G187" s="8" t="str">
        <f t="shared" si="3"/>
        <v>1</v>
      </c>
      <c r="H187" s="9">
        <f t="shared" si="4"/>
        <v>1</v>
      </c>
      <c r="I187" s="10">
        <f>IFERROR(__xludf.DUMMYFUNCTION("MAX(FILTER($H$2:$H1416,$E$2:$E1416=F187))"),1.0)</f>
        <v>1</v>
      </c>
    </row>
    <row r="188">
      <c r="A188" s="4"/>
      <c r="C188" s="4" t="s">
        <v>2850</v>
      </c>
      <c r="D188" s="4" t="str">
        <f t="shared" si="1"/>
        <v>{"valorA":"a","valorB":4}</v>
      </c>
      <c r="E188" s="8" t="str">
        <f t="shared" si="2"/>
        <v>a</v>
      </c>
      <c r="F188" s="8" t="str">
        <f>IFERROR(__xludf.DUMMYFUNCTION("""COMPUTED_VALUE"""),"final")</f>
        <v>final</v>
      </c>
      <c r="G188" s="8" t="str">
        <f t="shared" si="3"/>
        <v>4</v>
      </c>
      <c r="H188" s="9">
        <f t="shared" si="4"/>
        <v>4</v>
      </c>
      <c r="I188" s="10">
        <f>IFERROR(__xludf.DUMMYFUNCTION("MAX(FILTER($H$2:$H1416,$E$2:$E1416=F188))"),1.0)</f>
        <v>1</v>
      </c>
    </row>
    <row r="189">
      <c r="A189" s="4"/>
      <c r="C189" s="4" t="s">
        <v>3366</v>
      </c>
      <c r="D189" s="4" t="str">
        <f t="shared" si="1"/>
        <v>{"valorA":"ótima","valorB":4}</v>
      </c>
      <c r="E189" s="8" t="str">
        <f t="shared" si="2"/>
        <v>ótima</v>
      </c>
      <c r="F189" s="8" t="str">
        <f>IFERROR(__xludf.DUMMYFUNCTION("""COMPUTED_VALUE"""),"essa")</f>
        <v>essa</v>
      </c>
      <c r="G189" s="8" t="str">
        <f t="shared" si="3"/>
        <v>4</v>
      </c>
      <c r="H189" s="9">
        <f t="shared" si="4"/>
        <v>4</v>
      </c>
      <c r="I189" s="10">
        <f>IFERROR(__xludf.DUMMYFUNCTION("MAX(FILTER($H$2:$H1416,$E$2:$E1416=F189))"),1.0)</f>
        <v>1</v>
      </c>
    </row>
    <row r="190">
      <c r="A190" s="4"/>
      <c r="C190" s="4" t="s">
        <v>2856</v>
      </c>
      <c r="D190" s="4" t="str">
        <f t="shared" si="1"/>
        <v>{"valorA":"quem","valorB":2}</v>
      </c>
      <c r="E190" s="8" t="str">
        <f t="shared" si="2"/>
        <v>quem</v>
      </c>
      <c r="F190" s="8" t="str">
        <f>IFERROR(__xludf.DUMMYFUNCTION("""COMPUTED_VALUE"""),"fui")</f>
        <v>fui</v>
      </c>
      <c r="G190" s="8" t="str">
        <f t="shared" si="3"/>
        <v>2</v>
      </c>
      <c r="H190" s="9">
        <f t="shared" si="4"/>
        <v>2</v>
      </c>
      <c r="I190" s="10">
        <f>IFERROR(__xludf.DUMMYFUNCTION("MAX(FILTER($H$2:$H1416,$E$2:$E1416=F190))"),1.0)</f>
        <v>1</v>
      </c>
    </row>
    <row r="191">
      <c r="A191" s="4"/>
      <c r="C191" s="4" t="s">
        <v>2805</v>
      </c>
      <c r="D191" s="4" t="str">
        <f t="shared" si="1"/>
        <v>{"valorA":"para","valorB":5}</v>
      </c>
      <c r="E191" s="8" t="str">
        <f t="shared" si="2"/>
        <v>para</v>
      </c>
      <c r="F191" s="8" t="str">
        <f>IFERROR(__xludf.DUMMYFUNCTION("""COMPUTED_VALUE"""),"resultado")</f>
        <v>resultado</v>
      </c>
      <c r="G191" s="8" t="str">
        <f t="shared" si="3"/>
        <v>5</v>
      </c>
      <c r="H191" s="9">
        <f t="shared" si="4"/>
        <v>5</v>
      </c>
      <c r="I191" s="10">
        <f>IFERROR(__xludf.DUMMYFUNCTION("MAX(FILTER($H$2:$H1416,$E$2:$E1416=F191))"),1.0)</f>
        <v>1</v>
      </c>
    </row>
    <row r="192">
      <c r="A192" s="4"/>
      <c r="C192" s="4" t="s">
        <v>3367</v>
      </c>
      <c r="D192" s="4" t="str">
        <f t="shared" si="1"/>
        <v>{"valorA":"começa","valorB":1}</v>
      </c>
      <c r="E192" s="8" t="str">
        <f t="shared" si="2"/>
        <v>começa</v>
      </c>
      <c r="F192" s="8"/>
      <c r="G192" s="8" t="str">
        <f t="shared" si="3"/>
        <v>1</v>
      </c>
      <c r="H192" s="9">
        <f t="shared" si="4"/>
        <v>1</v>
      </c>
      <c r="I192" s="10">
        <f>IFERROR(__xludf.DUMMYFUNCTION("MAX(FILTER($H$2:$H1416,$E$2:$E1416=F192))"),0.0)</f>
        <v>0</v>
      </c>
    </row>
    <row r="193">
      <c r="A193" s="4"/>
      <c r="C193" s="4" t="s">
        <v>3368</v>
      </c>
      <c r="D193" s="4" t="str">
        <f t="shared" si="1"/>
        <v>{"valorA":"fotografar","valorB":1}</v>
      </c>
      <c r="E193" s="8" t="str">
        <f t="shared" si="2"/>
        <v>fotografar</v>
      </c>
      <c r="F193" s="8"/>
      <c r="G193" s="8" t="str">
        <f t="shared" si="3"/>
        <v>1</v>
      </c>
      <c r="H193" s="9">
        <f t="shared" si="4"/>
        <v>1</v>
      </c>
      <c r="I193" s="10">
        <f>IFERROR(__xludf.DUMMYFUNCTION("MAX(FILTER($H$2:$H1416,$E$2:$E1416=F193))"),0.0)</f>
        <v>0</v>
      </c>
    </row>
    <row r="194">
      <c r="A194" s="4"/>
      <c r="C194" s="4" t="s">
        <v>3369</v>
      </c>
      <c r="D194" s="4" t="str">
        <f t="shared" si="1"/>
        <v>{"valorA":"ótima","valorB":5}</v>
      </c>
      <c r="E194" s="8" t="str">
        <f t="shared" si="2"/>
        <v>ótima</v>
      </c>
      <c r="F194" s="8"/>
      <c r="G194" s="8" t="str">
        <f t="shared" si="3"/>
        <v>5</v>
      </c>
      <c r="H194" s="9">
        <f t="shared" si="4"/>
        <v>5</v>
      </c>
      <c r="I194" s="10">
        <f>IFERROR(__xludf.DUMMYFUNCTION("MAX(FILTER($H$2:$H1416,$E$2:$E1416=F194))"),0.0)</f>
        <v>0</v>
      </c>
    </row>
    <row r="195">
      <c r="A195" s="4"/>
      <c r="C195" s="4" t="s">
        <v>3181</v>
      </c>
      <c r="D195" s="4" t="str">
        <f t="shared" si="1"/>
        <v>{"valorA":"quem","valorB":3}</v>
      </c>
      <c r="E195" s="8" t="str">
        <f t="shared" si="2"/>
        <v>quem</v>
      </c>
      <c r="F195" s="8"/>
      <c r="G195" s="8" t="str">
        <f t="shared" si="3"/>
        <v>3</v>
      </c>
      <c r="H195" s="9">
        <f t="shared" si="4"/>
        <v>3</v>
      </c>
      <c r="I195" s="10">
        <f>IFERROR(__xludf.DUMMYFUNCTION("MAX(FILTER($H$2:$H1416,$E$2:$E1416=F195))"),0.0)</f>
        <v>0</v>
      </c>
    </row>
    <row r="196">
      <c r="A196" s="4"/>
      <c r="C196" s="4" t="s">
        <v>3048</v>
      </c>
      <c r="D196" s="4" t="str">
        <f t="shared" si="1"/>
        <v>{"valorA":"recomendo","valorB":2}</v>
      </c>
      <c r="E196" s="8" t="str">
        <f t="shared" si="2"/>
        <v>recomendo</v>
      </c>
      <c r="F196" s="8"/>
      <c r="G196" s="8" t="str">
        <f t="shared" si="3"/>
        <v>2</v>
      </c>
      <c r="H196" s="9">
        <f t="shared" si="4"/>
        <v>2</v>
      </c>
      <c r="I196" s="10">
        <f>IFERROR(__xludf.DUMMYFUNCTION("MAX(FILTER($H$2:$H1416,$E$2:$E1416=F196))"),0.0)</f>
        <v>0</v>
      </c>
    </row>
    <row r="197">
      <c r="A197" s="4"/>
      <c r="C197" s="4" t="s">
        <v>3166</v>
      </c>
      <c r="D197" s="4" t="str">
        <f t="shared" si="1"/>
        <v>{"valorA":"muito","valorB":14}</v>
      </c>
      <c r="E197" s="8" t="str">
        <f t="shared" si="2"/>
        <v>muito</v>
      </c>
      <c r="F197" s="8"/>
      <c r="G197" s="8" t="str">
        <f t="shared" si="3"/>
        <v>14</v>
      </c>
      <c r="H197" s="9">
        <f t="shared" si="4"/>
        <v>14</v>
      </c>
      <c r="I197" s="10">
        <f>IFERROR(__xludf.DUMMYFUNCTION("MAX(FILTER($H$2:$H1416,$E$2:$E1416=F197))"),0.0)</f>
        <v>0</v>
      </c>
    </row>
    <row r="198">
      <c r="A198" s="4"/>
      <c r="C198" s="4" t="s">
        <v>2878</v>
      </c>
      <c r="D198" s="4" t="str">
        <f t="shared" si="1"/>
        <v>{"valorA":"qualidade","valorB":1}</v>
      </c>
      <c r="E198" s="8" t="str">
        <f t="shared" si="2"/>
        <v>qualidade</v>
      </c>
      <c r="F198" s="8"/>
      <c r="G198" s="8" t="str">
        <f t="shared" si="3"/>
        <v>1</v>
      </c>
      <c r="H198" s="9">
        <f t="shared" si="4"/>
        <v>1</v>
      </c>
      <c r="I198" s="10">
        <f>IFERROR(__xludf.DUMMYFUNCTION("MAX(FILTER($H$2:$H1416,$E$2:$E1416=F198))"),0.0)</f>
        <v>0</v>
      </c>
    </row>
    <row r="199">
      <c r="A199" s="4"/>
      <c r="C199" s="4" t="s">
        <v>3370</v>
      </c>
      <c r="D199" s="4" t="str">
        <f t="shared" si="1"/>
        <v>{"valorA":"quer","valorB":1}</v>
      </c>
      <c r="E199" s="8" t="str">
        <f t="shared" si="2"/>
        <v>quer</v>
      </c>
      <c r="F199" s="8"/>
      <c r="G199" s="8" t="str">
        <f t="shared" si="3"/>
        <v>1</v>
      </c>
      <c r="H199" s="9">
        <f t="shared" si="4"/>
        <v>1</v>
      </c>
      <c r="I199" s="10">
        <f>IFERROR(__xludf.DUMMYFUNCTION("MAX(FILTER($H$2:$H1416,$E$2:$E1416=F199))"),0.0)</f>
        <v>0</v>
      </c>
    </row>
    <row r="200">
      <c r="A200" s="4"/>
      <c r="C200" s="4" t="s">
        <v>3116</v>
      </c>
      <c r="D200" s="4" t="str">
        <f t="shared" si="1"/>
        <v>{"valorA":"bem","valorB":7}</v>
      </c>
      <c r="E200" s="8" t="str">
        <f t="shared" si="2"/>
        <v>bem</v>
      </c>
      <c r="F200" s="8"/>
      <c r="G200" s="8" t="str">
        <f t="shared" si="3"/>
        <v>7</v>
      </c>
      <c r="H200" s="9">
        <f t="shared" si="4"/>
        <v>7</v>
      </c>
      <c r="I200" s="10">
        <f>IFERROR(__xludf.DUMMYFUNCTION("MAX(FILTER($H$2:$H1416,$E$2:$E1416=F200))"),0.0)</f>
        <v>0</v>
      </c>
    </row>
    <row r="201">
      <c r="A201" s="4"/>
      <c r="C201" s="4" t="s">
        <v>3371</v>
      </c>
      <c r="D201" s="4" t="str">
        <f t="shared" si="1"/>
        <v>{"valorA":"câmera","valorB":2}</v>
      </c>
      <c r="E201" s="8" t="str">
        <f t="shared" si="2"/>
        <v>câmera</v>
      </c>
      <c r="F201" s="8"/>
      <c r="G201" s="8" t="str">
        <f t="shared" si="3"/>
        <v>2</v>
      </c>
      <c r="H201" s="9">
        <f t="shared" si="4"/>
        <v>2</v>
      </c>
      <c r="I201" s="10">
        <f>IFERROR(__xludf.DUMMYFUNCTION("MAX(FILTER($H$2:$H1416,$E$2:$E1416=F201))"),0.0)</f>
        <v>0</v>
      </c>
    </row>
    <row r="202">
      <c r="A202" s="4"/>
      <c r="C202" s="4" t="s">
        <v>2827</v>
      </c>
      <c r="D202" s="4" t="str">
        <f t="shared" si="1"/>
        <v>{"valorA":"para","valorB":6}</v>
      </c>
      <c r="E202" s="8" t="str">
        <f t="shared" si="2"/>
        <v>para</v>
      </c>
      <c r="F202" s="8"/>
      <c r="G202" s="8" t="str">
        <f t="shared" si="3"/>
        <v>6</v>
      </c>
      <c r="H202" s="9">
        <f t="shared" si="4"/>
        <v>6</v>
      </c>
      <c r="I202" s="10">
        <f>IFERROR(__xludf.DUMMYFUNCTION("MAX(FILTER($H$2:$H1416,$E$2:$E1416=F202))"),0.0)</f>
        <v>0</v>
      </c>
    </row>
    <row r="203">
      <c r="A203" s="4"/>
      <c r="C203" s="4" t="s">
        <v>2776</v>
      </c>
      <c r="D203" s="4" t="str">
        <f t="shared" si="1"/>
        <v>{"valorA":"funciona","valorB":7}</v>
      </c>
      <c r="E203" s="8" t="str">
        <f t="shared" si="2"/>
        <v>funciona</v>
      </c>
      <c r="F203" s="8"/>
      <c r="G203" s="8" t="str">
        <f t="shared" si="3"/>
        <v>7</v>
      </c>
      <c r="H203" s="9">
        <f t="shared" si="4"/>
        <v>7</v>
      </c>
      <c r="I203" s="10">
        <f>IFERROR(__xludf.DUMMYFUNCTION("MAX(FILTER($H$2:$H1416,$E$2:$E1416=F203))"),0.0)</f>
        <v>0</v>
      </c>
    </row>
    <row r="204">
      <c r="A204" s="4"/>
      <c r="C204" s="4" t="s">
        <v>3372</v>
      </c>
      <c r="D204" s="4" t="str">
        <f t="shared" si="1"/>
        <v>{"valorA":"fotográfica","valorB":1}</v>
      </c>
      <c r="E204" s="8" t="str">
        <f t="shared" si="2"/>
        <v>fotográfica</v>
      </c>
      <c r="F204" s="8"/>
      <c r="G204" s="8" t="str">
        <f t="shared" si="3"/>
        <v>1</v>
      </c>
      <c r="H204" s="9">
        <f t="shared" si="4"/>
        <v>1</v>
      </c>
      <c r="I204" s="10">
        <f>IFERROR(__xludf.DUMMYFUNCTION("MAX(FILTER($H$2:$H1416,$E$2:$E1416=F204))"),0.0)</f>
        <v>0</v>
      </c>
    </row>
    <row r="205">
      <c r="A205" s="4"/>
      <c r="C205" s="4" t="s">
        <v>3373</v>
      </c>
      <c r="D205" s="4" t="str">
        <f t="shared" si="1"/>
        <v>{"valorA":"uma","valorB":2}</v>
      </c>
      <c r="E205" s="8" t="str">
        <f t="shared" si="2"/>
        <v>uma</v>
      </c>
      <c r="F205" s="8"/>
      <c r="G205" s="8" t="str">
        <f t="shared" si="3"/>
        <v>2</v>
      </c>
      <c r="H205" s="9">
        <f t="shared" si="4"/>
        <v>2</v>
      </c>
      <c r="I205" s="10">
        <f>IFERROR(__xludf.DUMMYFUNCTION("MAX(FILTER($H$2:$H1416,$E$2:$E1416=F205))"),0.0)</f>
        <v>0</v>
      </c>
    </row>
    <row r="206">
      <c r="A206" s="4"/>
      <c r="C206" s="4" t="s">
        <v>3034</v>
      </c>
      <c r="D206" s="4" t="str">
        <f t="shared" si="1"/>
        <v>{"valorA":"excelente","valorB":1}</v>
      </c>
      <c r="E206" s="8" t="str">
        <f t="shared" si="2"/>
        <v>excelente</v>
      </c>
      <c r="F206" s="8"/>
      <c r="G206" s="8" t="str">
        <f t="shared" si="3"/>
        <v>1</v>
      </c>
      <c r="H206" s="9">
        <f t="shared" si="4"/>
        <v>1</v>
      </c>
      <c r="I206" s="10">
        <f>IFERROR(__xludf.DUMMYFUNCTION("MAX(FILTER($H$2:$H1416,$E$2:$E1416=F206))"),0.0)</f>
        <v>0</v>
      </c>
    </row>
    <row r="207">
      <c r="A207" s="4"/>
      <c r="C207" s="4" t="s">
        <v>2746</v>
      </c>
      <c r="D207" s="4" t="str">
        <f t="shared" si="1"/>
        <v>{"valorA":"ótimo","valorB":18}</v>
      </c>
      <c r="E207" s="8" t="str">
        <f t="shared" si="2"/>
        <v>ótimo</v>
      </c>
      <c r="F207" s="8"/>
      <c r="G207" s="8" t="str">
        <f t="shared" si="3"/>
        <v>18</v>
      </c>
      <c r="H207" s="9">
        <f t="shared" si="4"/>
        <v>18</v>
      </c>
      <c r="I207" s="10">
        <f>IFERROR(__xludf.DUMMYFUNCTION("MAX(FILTER($H$2:$H1416,$E$2:$E1416=F207))"),0.0)</f>
        <v>0</v>
      </c>
    </row>
    <row r="208">
      <c r="A208" s="4"/>
      <c r="C208" s="4" t="s">
        <v>3374</v>
      </c>
      <c r="D208" s="4" t="str">
        <f t="shared" si="1"/>
        <v>{"valorA":"achei","valorB":1}</v>
      </c>
      <c r="E208" s="8" t="str">
        <f t="shared" si="2"/>
        <v>achei</v>
      </c>
      <c r="F208" s="8"/>
      <c r="G208" s="8" t="str">
        <f t="shared" si="3"/>
        <v>1</v>
      </c>
      <c r="H208" s="9">
        <f t="shared" si="4"/>
        <v>1</v>
      </c>
      <c r="I208" s="10">
        <f>IFERROR(__xludf.DUMMYFUNCTION("MAX(FILTER($H$2:$H1416,$E$2:$E1416=F208))"),0.0)</f>
        <v>0</v>
      </c>
    </row>
    <row r="209">
      <c r="A209" s="4"/>
      <c r="C209" s="4" t="s">
        <v>2868</v>
      </c>
      <c r="D209" s="4" t="str">
        <f t="shared" si="1"/>
        <v>{"valorA":"incrível","valorB":1}</v>
      </c>
      <c r="E209" s="8" t="str">
        <f t="shared" si="2"/>
        <v>incrível</v>
      </c>
      <c r="F209" s="8"/>
      <c r="G209" s="8" t="str">
        <f t="shared" si="3"/>
        <v>1</v>
      </c>
      <c r="H209" s="9">
        <f t="shared" si="4"/>
        <v>1</v>
      </c>
      <c r="I209" s="10">
        <f>IFERROR(__xludf.DUMMYFUNCTION("MAX(FILTER($H$2:$H1416,$E$2:$E1416=F209))"),0.0)</f>
        <v>0</v>
      </c>
    </row>
    <row r="210">
      <c r="A210" s="4"/>
      <c r="C210" s="4" t="s">
        <v>3375</v>
      </c>
      <c r="D210" s="4" t="str">
        <f t="shared" si="1"/>
        <v>{"valorA":"com","valorB":6}</v>
      </c>
      <c r="E210" s="8" t="str">
        <f t="shared" si="2"/>
        <v>com</v>
      </c>
      <c r="F210" s="8"/>
      <c r="G210" s="8" t="str">
        <f t="shared" si="3"/>
        <v>6</v>
      </c>
      <c r="H210" s="9">
        <f t="shared" si="4"/>
        <v>6</v>
      </c>
      <c r="I210" s="10">
        <f>IFERROR(__xludf.DUMMYFUNCTION("MAX(FILTER($H$2:$H1416,$E$2:$E1416=F210))"),0.0)</f>
        <v>0</v>
      </c>
    </row>
    <row r="211">
      <c r="A211" s="4"/>
      <c r="C211" s="4" t="s">
        <v>3376</v>
      </c>
      <c r="D211" s="4" t="str">
        <f t="shared" si="1"/>
        <v>{"valorA":"funcionamentos","valorB":1}</v>
      </c>
      <c r="E211" s="8" t="str">
        <f t="shared" si="2"/>
        <v>funcionamentos</v>
      </c>
      <c r="F211" s="8"/>
      <c r="G211" s="8" t="str">
        <f t="shared" si="3"/>
        <v>1</v>
      </c>
      <c r="H211" s="9">
        <f t="shared" si="4"/>
        <v>1</v>
      </c>
      <c r="I211" s="10">
        <f>IFERROR(__xludf.DUMMYFUNCTION("MAX(FILTER($H$2:$H1416,$E$2:$E1416=F211))"),0.0)</f>
        <v>0</v>
      </c>
    </row>
    <row r="212">
      <c r="A212" s="4"/>
      <c r="C212" s="4" t="s">
        <v>3377</v>
      </c>
      <c r="D212" s="4" t="str">
        <f t="shared" si="1"/>
        <v>{"valorA":"muitos","valorB":1}</v>
      </c>
      <c r="E212" s="8" t="str">
        <f t="shared" si="2"/>
        <v>muitos</v>
      </c>
      <c r="F212" s="8"/>
      <c r="G212" s="8" t="str">
        <f t="shared" si="3"/>
        <v>1</v>
      </c>
      <c r="H212" s="9">
        <f t="shared" si="4"/>
        <v>1</v>
      </c>
      <c r="I212" s="10">
        <f>IFERROR(__xludf.DUMMYFUNCTION("MAX(FILTER($H$2:$H1416,$E$2:$E1416=F212))"),0.0)</f>
        <v>0</v>
      </c>
    </row>
    <row r="213">
      <c r="A213" s="4"/>
      <c r="C213" s="4" t="s">
        <v>3378</v>
      </c>
      <c r="D213" s="4" t="str">
        <f t="shared" si="1"/>
        <v>{"valorA":"geladeira","valorB":1}</v>
      </c>
      <c r="E213" s="8" t="str">
        <f t="shared" si="2"/>
        <v>geladeira</v>
      </c>
      <c r="F213" s="8"/>
      <c r="G213" s="8" t="str">
        <f t="shared" si="3"/>
        <v>1</v>
      </c>
      <c r="H213" s="9">
        <f t="shared" si="4"/>
        <v>1</v>
      </c>
      <c r="I213" s="10">
        <f>IFERROR(__xludf.DUMMYFUNCTION("MAX(FILTER($H$2:$H1416,$E$2:$E1416=F213))"),0.0)</f>
        <v>0</v>
      </c>
    </row>
    <row r="214">
      <c r="A214" s="4"/>
      <c r="C214" s="4" t="s">
        <v>2844</v>
      </c>
      <c r="D214" s="4" t="str">
        <f t="shared" si="1"/>
        <v>{"valorA":"ele","valorB":2}</v>
      </c>
      <c r="E214" s="8" t="str">
        <f t="shared" si="2"/>
        <v>ele</v>
      </c>
      <c r="F214" s="8"/>
      <c r="G214" s="8" t="str">
        <f t="shared" si="3"/>
        <v>2</v>
      </c>
      <c r="H214" s="9">
        <f t="shared" si="4"/>
        <v>2</v>
      </c>
      <c r="I214" s="10">
        <f>IFERROR(__xludf.DUMMYFUNCTION("MAX(FILTER($H$2:$H1416,$E$2:$E1416=F214))"),0.0)</f>
        <v>0</v>
      </c>
    </row>
    <row r="215">
      <c r="A215" s="4"/>
      <c r="C215" s="4" t="s">
        <v>3379</v>
      </c>
      <c r="D215" s="4" t="str">
        <f t="shared" si="1"/>
        <v>{"valorA":"valor","valorB":1}</v>
      </c>
      <c r="E215" s="8" t="str">
        <f t="shared" si="2"/>
        <v>valor</v>
      </c>
      <c r="F215" s="8"/>
      <c r="G215" s="8" t="str">
        <f t="shared" si="3"/>
        <v>1</v>
      </c>
      <c r="H215" s="9">
        <f t="shared" si="4"/>
        <v>1</v>
      </c>
      <c r="I215" s="10">
        <f>IFERROR(__xludf.DUMMYFUNCTION("MAX(FILTER($H$2:$H1416,$E$2:$E1416=F215))"),0.0)</f>
        <v>0</v>
      </c>
    </row>
    <row r="216">
      <c r="A216" s="4"/>
      <c r="C216" s="4" t="s">
        <v>2883</v>
      </c>
      <c r="D216" s="4" t="str">
        <f t="shared" si="1"/>
        <v>{"valorA":"o","valorB":5}</v>
      </c>
      <c r="E216" s="8" t="str">
        <f t="shared" si="2"/>
        <v>o</v>
      </c>
      <c r="F216" s="8"/>
      <c r="G216" s="8" t="str">
        <f t="shared" si="3"/>
        <v>5</v>
      </c>
      <c r="H216" s="9">
        <f t="shared" si="4"/>
        <v>5</v>
      </c>
      <c r="I216" s="10">
        <f>IFERROR(__xludf.DUMMYFUNCTION("MAX(FILTER($H$2:$H1416,$E$2:$E1416=F216))"),0.0)</f>
        <v>0</v>
      </c>
    </row>
    <row r="217">
      <c r="A217" s="4"/>
      <c r="C217" s="4" t="s">
        <v>2656</v>
      </c>
      <c r="D217" s="4" t="str">
        <f t="shared" si="1"/>
        <v>{"valorA":"paguei","valorB":1}</v>
      </c>
      <c r="E217" s="8" t="str">
        <f t="shared" si="2"/>
        <v>paguei</v>
      </c>
      <c r="F217" s="8"/>
      <c r="G217" s="8" t="str">
        <f t="shared" si="3"/>
        <v>1</v>
      </c>
      <c r="H217" s="9">
        <f t="shared" si="4"/>
        <v>1</v>
      </c>
      <c r="I217" s="10">
        <f>IFERROR(__xludf.DUMMYFUNCTION("MAX(FILTER($H$2:$H1416,$E$2:$E1416=F217))"),0.0)</f>
        <v>0</v>
      </c>
    </row>
    <row r="218">
      <c r="A218" s="4"/>
      <c r="C218" s="4" t="s">
        <v>3380</v>
      </c>
      <c r="D218" s="4" t="str">
        <f t="shared" si="1"/>
        <v>{"valorA":"por","valorB":1}</v>
      </c>
      <c r="E218" s="8" t="str">
        <f t="shared" si="2"/>
        <v>por</v>
      </c>
      <c r="F218" s="8"/>
      <c r="G218" s="8" t="str">
        <f t="shared" si="3"/>
        <v>1</v>
      </c>
      <c r="H218" s="9">
        <f t="shared" si="4"/>
        <v>1</v>
      </c>
      <c r="I218" s="10">
        <f>IFERROR(__xludf.DUMMYFUNCTION("MAX(FILTER($H$2:$H1416,$E$2:$E1416=F218))"),0.0)</f>
        <v>0</v>
      </c>
    </row>
    <row r="219">
      <c r="A219" s="4"/>
      <c r="C219" s="4" t="s">
        <v>2708</v>
      </c>
      <c r="D219" s="4" t="str">
        <f t="shared" si="1"/>
        <v>{"valorA":"que","valorB":3}</v>
      </c>
      <c r="E219" s="8" t="str">
        <f t="shared" si="2"/>
        <v>que</v>
      </c>
      <c r="F219" s="8"/>
      <c r="G219" s="8" t="str">
        <f t="shared" si="3"/>
        <v>3</v>
      </c>
      <c r="H219" s="9">
        <f t="shared" si="4"/>
        <v>3</v>
      </c>
      <c r="I219" s="10">
        <f>IFERROR(__xludf.DUMMYFUNCTION("MAX(FILTER($H$2:$H1416,$E$2:$E1416=F219))"),0.0)</f>
        <v>0</v>
      </c>
    </row>
    <row r="220">
      <c r="A220" s="4"/>
      <c r="C220" s="4" t="s">
        <v>3381</v>
      </c>
      <c r="D220" s="4" t="str">
        <f t="shared" si="1"/>
        <v>{"valorA":"pneu","valorB":1}</v>
      </c>
      <c r="E220" s="8" t="str">
        <f t="shared" si="2"/>
        <v>pneu</v>
      </c>
      <c r="F220" s="8"/>
      <c r="G220" s="8" t="str">
        <f t="shared" si="3"/>
        <v>1</v>
      </c>
      <c r="H220" s="9">
        <f t="shared" si="4"/>
        <v>1</v>
      </c>
      <c r="I220" s="10">
        <f>IFERROR(__xludf.DUMMYFUNCTION("MAX(FILTER($H$2:$H1416,$E$2:$E1416=F220))"),0.0)</f>
        <v>0</v>
      </c>
    </row>
    <row r="221">
      <c r="A221" s="4"/>
      <c r="C221" s="4" t="s">
        <v>2670</v>
      </c>
      <c r="D221" s="4" t="str">
        <f t="shared" si="1"/>
        <v>{"valorA":"meu","valorB":1}</v>
      </c>
      <c r="E221" s="8" t="str">
        <f t="shared" si="2"/>
        <v>meu</v>
      </c>
      <c r="F221" s="8"/>
      <c r="G221" s="8" t="str">
        <f t="shared" si="3"/>
        <v>1</v>
      </c>
      <c r="H221" s="9">
        <f t="shared" si="4"/>
        <v>1</v>
      </c>
      <c r="I221" s="10">
        <f>IFERROR(__xludf.DUMMYFUNCTION("MAX(FILTER($H$2:$H1416,$E$2:$E1416=F221))"),0.0)</f>
        <v>0</v>
      </c>
    </row>
    <row r="222">
      <c r="A222" s="4"/>
      <c r="C222" s="4" t="s">
        <v>3382</v>
      </c>
      <c r="D222" s="4" t="str">
        <f t="shared" si="1"/>
        <v>{"valorA":"gosto","valorB":3}</v>
      </c>
      <c r="E222" s="8" t="str">
        <f t="shared" si="2"/>
        <v>gosto</v>
      </c>
      <c r="F222" s="8"/>
      <c r="G222" s="8" t="str">
        <f t="shared" si="3"/>
        <v>3</v>
      </c>
      <c r="H222" s="9">
        <f t="shared" si="4"/>
        <v>3</v>
      </c>
      <c r="I222" s="10">
        <f>IFERROR(__xludf.DUMMYFUNCTION("MAX(FILTER($H$2:$H1416,$E$2:$E1416=F222))"),0.0)</f>
        <v>0</v>
      </c>
    </row>
    <row r="223">
      <c r="A223" s="4"/>
      <c r="C223" s="4" t="s">
        <v>2761</v>
      </c>
      <c r="D223" s="4" t="str">
        <f t="shared" si="1"/>
        <v>{"valorA":"ótimo","valorB":19}</v>
      </c>
      <c r="E223" s="8" t="str">
        <f t="shared" si="2"/>
        <v>ótimo</v>
      </c>
      <c r="F223" s="8"/>
      <c r="G223" s="8" t="str">
        <f t="shared" si="3"/>
        <v>19</v>
      </c>
      <c r="H223" s="9">
        <f t="shared" si="4"/>
        <v>19</v>
      </c>
      <c r="I223" s="10">
        <f>IFERROR(__xludf.DUMMYFUNCTION("MAX(FILTER($H$2:$H1416,$E$2:$E1416=F223))"),0.0)</f>
        <v>0</v>
      </c>
    </row>
    <row r="224">
      <c r="A224" s="4"/>
      <c r="C224" s="4" t="s">
        <v>2951</v>
      </c>
      <c r="D224" s="4" t="str">
        <f t="shared" si="1"/>
        <v>{"valorA":"carro","valorB":2}</v>
      </c>
      <c r="E224" s="8" t="str">
        <f t="shared" si="2"/>
        <v>carro</v>
      </c>
      <c r="F224" s="8"/>
      <c r="G224" s="8" t="str">
        <f t="shared" si="3"/>
        <v>2</v>
      </c>
      <c r="H224" s="9">
        <f t="shared" si="4"/>
        <v>2</v>
      </c>
      <c r="I224" s="10">
        <f>IFERROR(__xludf.DUMMYFUNCTION("MAX(FILTER($H$2:$H1416,$E$2:$E1416=F224))"),0.0)</f>
        <v>0</v>
      </c>
    </row>
    <row r="225">
      <c r="A225" s="4"/>
      <c r="C225" s="4" t="s">
        <v>2840</v>
      </c>
      <c r="D225" s="4" t="str">
        <f t="shared" si="1"/>
        <v>{"valorA":"para","valorB":7}</v>
      </c>
      <c r="E225" s="8" t="str">
        <f t="shared" si="2"/>
        <v>para</v>
      </c>
      <c r="F225" s="8"/>
      <c r="G225" s="8" t="str">
        <f t="shared" si="3"/>
        <v>7</v>
      </c>
      <c r="H225" s="9">
        <f t="shared" si="4"/>
        <v>7</v>
      </c>
      <c r="I225" s="10">
        <f>IFERROR(__xludf.DUMMYFUNCTION("MAX(FILTER($H$2:$H1416,$E$2:$E1416=F225))"),0.0)</f>
        <v>0</v>
      </c>
    </row>
    <row r="226">
      <c r="A226" s="4"/>
      <c r="C226" s="4" t="s">
        <v>2898</v>
      </c>
      <c r="D226" s="4" t="str">
        <f t="shared" si="1"/>
        <v>{"valorA":"o","valorB":6}</v>
      </c>
      <c r="E226" s="8" t="str">
        <f t="shared" si="2"/>
        <v>o</v>
      </c>
      <c r="F226" s="8"/>
      <c r="G226" s="8" t="str">
        <f t="shared" si="3"/>
        <v>6</v>
      </c>
      <c r="H226" s="9">
        <f t="shared" si="4"/>
        <v>6</v>
      </c>
      <c r="I226" s="10">
        <f>IFERROR(__xludf.DUMMYFUNCTION("MAX(FILTER($H$2:$H1416,$E$2:$E1416=F226))"),0.0)</f>
        <v>0</v>
      </c>
    </row>
    <row r="227">
      <c r="A227" s="4"/>
      <c r="C227" s="4" t="s">
        <v>3383</v>
      </c>
      <c r="D227" s="4" t="str">
        <f t="shared" si="1"/>
        <v>{"valorA":"bastante","valorB":3}</v>
      </c>
      <c r="E227" s="8" t="str">
        <f t="shared" si="2"/>
        <v>bastante</v>
      </c>
      <c r="F227" s="8"/>
      <c r="G227" s="8" t="str">
        <f t="shared" si="3"/>
        <v>3</v>
      </c>
      <c r="H227" s="9">
        <f t="shared" si="4"/>
        <v>3</v>
      </c>
      <c r="I227" s="10">
        <f>IFERROR(__xludf.DUMMYFUNCTION("MAX(FILTER($H$2:$H1416,$E$2:$E1416=F227))"),0.0)</f>
        <v>0</v>
      </c>
    </row>
    <row r="228">
      <c r="A228" s="4"/>
      <c r="C228" s="4" t="s">
        <v>3384</v>
      </c>
      <c r="D228" s="4" t="str">
        <f t="shared" si="1"/>
        <v>{"valorA":"ótima","valorB":6}</v>
      </c>
      <c r="E228" s="8" t="str">
        <f t="shared" si="2"/>
        <v>ótima</v>
      </c>
      <c r="F228" s="8"/>
      <c r="G228" s="8" t="str">
        <f t="shared" si="3"/>
        <v>6</v>
      </c>
      <c r="H228" s="9">
        <f t="shared" si="4"/>
        <v>6</v>
      </c>
      <c r="I228" s="10">
        <f>IFERROR(__xludf.DUMMYFUNCTION("MAX(FILTER($H$2:$H1416,$E$2:$E1416=F228))"),0.0)</f>
        <v>0</v>
      </c>
    </row>
    <row r="229">
      <c r="A229" s="4"/>
      <c r="C229" s="4" t="s">
        <v>3081</v>
      </c>
      <c r="D229" s="4" t="str">
        <f t="shared" si="1"/>
        <v>{"valorA":"de","valorB":11}</v>
      </c>
      <c r="E229" s="8" t="str">
        <f t="shared" si="2"/>
        <v>de</v>
      </c>
      <c r="F229" s="8"/>
      <c r="G229" s="8" t="str">
        <f t="shared" si="3"/>
        <v>11</v>
      </c>
      <c r="H229" s="9">
        <f t="shared" si="4"/>
        <v>11</v>
      </c>
      <c r="I229" s="10">
        <f>IFERROR(__xludf.DUMMYFUNCTION("MAX(FILTER($H$2:$H1416,$E$2:$E1416=F229))"),0.0)</f>
        <v>0</v>
      </c>
    </row>
    <row r="230">
      <c r="A230" s="4"/>
      <c r="C230" s="4" t="s">
        <v>3204</v>
      </c>
      <c r="D230" s="4" t="str">
        <f t="shared" si="1"/>
        <v>{"valorA":"mesa","valorB":1}</v>
      </c>
      <c r="E230" s="8" t="str">
        <f t="shared" si="2"/>
        <v>mesa</v>
      </c>
      <c r="F230" s="8"/>
      <c r="G230" s="8" t="str">
        <f t="shared" si="3"/>
        <v>1</v>
      </c>
      <c r="H230" s="9">
        <f t="shared" si="4"/>
        <v>1</v>
      </c>
      <c r="I230" s="10">
        <f>IFERROR(__xludf.DUMMYFUNCTION("MAX(FILTER($H$2:$H1416,$E$2:$E1416=F230))"),0.0)</f>
        <v>0</v>
      </c>
    </row>
    <row r="231">
      <c r="A231" s="4"/>
      <c r="C231" s="4" t="s">
        <v>3385</v>
      </c>
      <c r="D231" s="4" t="str">
        <f t="shared" si="1"/>
        <v>{"valorA":"escritório","valorB":3}</v>
      </c>
      <c r="E231" s="8" t="str">
        <f t="shared" si="2"/>
        <v>escritório</v>
      </c>
      <c r="F231" s="8"/>
      <c r="G231" s="8" t="str">
        <f t="shared" si="3"/>
        <v>3</v>
      </c>
      <c r="H231" s="9">
        <f t="shared" si="4"/>
        <v>3</v>
      </c>
      <c r="I231" s="10">
        <f>IFERROR(__xludf.DUMMYFUNCTION("MAX(FILTER($H$2:$H1416,$E$2:$E1416=F231))"),0.0)</f>
        <v>0</v>
      </c>
    </row>
    <row r="232">
      <c r="A232" s="4"/>
      <c r="C232" s="4" t="s">
        <v>3037</v>
      </c>
      <c r="D232" s="4" t="str">
        <f t="shared" si="1"/>
        <v>{"valorA":"valeu","valorB":1}</v>
      </c>
      <c r="E232" s="8" t="str">
        <f t="shared" si="2"/>
        <v>valeu</v>
      </c>
      <c r="F232" s="8"/>
      <c r="G232" s="8" t="str">
        <f t="shared" si="3"/>
        <v>1</v>
      </c>
      <c r="H232" s="9">
        <f t="shared" si="4"/>
        <v>1</v>
      </c>
      <c r="I232" s="10">
        <f>IFERROR(__xludf.DUMMYFUNCTION("MAX(FILTER($H$2:$H1416,$E$2:$E1416=F232))"),0.0)</f>
        <v>0</v>
      </c>
    </row>
    <row r="233">
      <c r="A233" s="4"/>
      <c r="C233" s="4" t="s">
        <v>2888</v>
      </c>
      <c r="D233" s="4" t="str">
        <f t="shared" si="1"/>
        <v>{"valorA":"a","valorB":5}</v>
      </c>
      <c r="E233" s="8" t="str">
        <f t="shared" si="2"/>
        <v>a</v>
      </c>
      <c r="F233" s="8"/>
      <c r="G233" s="8" t="str">
        <f t="shared" si="3"/>
        <v>5</v>
      </c>
      <c r="H233" s="9">
        <f t="shared" si="4"/>
        <v>5</v>
      </c>
      <c r="I233" s="10">
        <f>IFERROR(__xludf.DUMMYFUNCTION("MAX(FILTER($H$2:$H1416,$E$2:$E1416=F233))"),0.0)</f>
        <v>0</v>
      </c>
    </row>
    <row r="234">
      <c r="A234" s="4"/>
      <c r="C234" s="4" t="s">
        <v>2649</v>
      </c>
      <c r="D234" s="4" t="str">
        <f t="shared" si="1"/>
        <v>{"valorA":"pena","valorB":1}</v>
      </c>
      <c r="E234" s="8" t="str">
        <f t="shared" si="2"/>
        <v>pena</v>
      </c>
      <c r="F234" s="8"/>
      <c r="G234" s="8" t="str">
        <f t="shared" si="3"/>
        <v>1</v>
      </c>
      <c r="H234" s="9">
        <f t="shared" si="4"/>
        <v>1</v>
      </c>
      <c r="I234" s="10">
        <f>IFERROR(__xludf.DUMMYFUNCTION("MAX(FILTER($H$2:$H1416,$E$2:$E1416=F234))"),0.0)</f>
        <v>0</v>
      </c>
    </row>
    <row r="235">
      <c r="A235" s="4"/>
      <c r="C235" s="4" t="s">
        <v>3386</v>
      </c>
      <c r="D235" s="4" t="str">
        <f t="shared" si="1"/>
        <v>{"valorA":"comprar","valorB":2}</v>
      </c>
      <c r="E235" s="8" t="str">
        <f t="shared" si="2"/>
        <v>comprar</v>
      </c>
      <c r="F235" s="8"/>
      <c r="G235" s="8" t="str">
        <f t="shared" si="3"/>
        <v>2</v>
      </c>
      <c r="H235" s="9">
        <f t="shared" si="4"/>
        <v>2</v>
      </c>
      <c r="I235" s="10">
        <f>IFERROR(__xludf.DUMMYFUNCTION("MAX(FILTER($H$2:$H1416,$E$2:$E1416=F235))"),0.0)</f>
        <v>0</v>
      </c>
    </row>
    <row r="236">
      <c r="A236" s="4"/>
      <c r="C236" s="4" t="s">
        <v>3387</v>
      </c>
      <c r="D236" s="4" t="str">
        <f t="shared" si="1"/>
        <v>{"valorA":"modelo","valorB":2}</v>
      </c>
      <c r="E236" s="8" t="str">
        <f t="shared" si="2"/>
        <v>modelo</v>
      </c>
      <c r="F236" s="8"/>
      <c r="G236" s="8" t="str">
        <f t="shared" si="3"/>
        <v>2</v>
      </c>
      <c r="H236" s="9">
        <f t="shared" si="4"/>
        <v>2</v>
      </c>
      <c r="I236" s="10">
        <f>IFERROR(__xludf.DUMMYFUNCTION("MAX(FILTER($H$2:$H1416,$E$2:$E1416=F236))"),0.0)</f>
        <v>0</v>
      </c>
    </row>
    <row r="237">
      <c r="A237" s="4"/>
      <c r="C237" s="4" t="s">
        <v>2766</v>
      </c>
      <c r="D237" s="4" t="str">
        <f t="shared" si="1"/>
        <v>{"valorA":"ótimo","valorB":20}</v>
      </c>
      <c r="E237" s="8" t="str">
        <f t="shared" si="2"/>
        <v>ótimo</v>
      </c>
      <c r="F237" s="8"/>
      <c r="G237" s="8" t="str">
        <f t="shared" si="3"/>
        <v>20</v>
      </c>
      <c r="H237" s="9">
        <f t="shared" si="4"/>
        <v>20</v>
      </c>
      <c r="I237" s="10">
        <f>IFERROR(__xludf.DUMMYFUNCTION("MAX(FILTER($H$2:$H1416,$E$2:$E1416=F237))"),0.0)</f>
        <v>0</v>
      </c>
    </row>
    <row r="238">
      <c r="A238" s="4"/>
      <c r="C238" s="4" t="s">
        <v>3388</v>
      </c>
      <c r="D238" s="4" t="str">
        <f t="shared" si="1"/>
        <v>{"valorA":"tudo","valorB":3}</v>
      </c>
      <c r="E238" s="8" t="str">
        <f t="shared" si="2"/>
        <v>tudo</v>
      </c>
      <c r="F238" s="8"/>
      <c r="G238" s="8" t="str">
        <f t="shared" si="3"/>
        <v>3</v>
      </c>
      <c r="H238" s="9">
        <f t="shared" si="4"/>
        <v>3</v>
      </c>
      <c r="I238" s="10">
        <f>IFERROR(__xludf.DUMMYFUNCTION("MAX(FILTER($H$2:$H1416,$E$2:$E1416=F238))"),0.0)</f>
        <v>0</v>
      </c>
    </row>
    <row r="239">
      <c r="A239" s="4"/>
      <c r="C239" s="4" t="s">
        <v>3389</v>
      </c>
      <c r="D239" s="4" t="str">
        <f t="shared" si="1"/>
        <v>{"valorA":"certo","valorB":1}</v>
      </c>
      <c r="E239" s="8" t="str">
        <f t="shared" si="2"/>
        <v>certo</v>
      </c>
      <c r="F239" s="8"/>
      <c r="G239" s="8" t="str">
        <f t="shared" si="3"/>
        <v>1</v>
      </c>
      <c r="H239" s="9">
        <f t="shared" si="4"/>
        <v>1</v>
      </c>
      <c r="I239" s="10">
        <f>IFERROR(__xludf.DUMMYFUNCTION("MAX(FILTER($H$2:$H1416,$E$2:$E1416=F239))"),0.0)</f>
        <v>0</v>
      </c>
    </row>
    <row r="240">
      <c r="A240" s="4"/>
      <c r="C240" s="4" t="s">
        <v>3110</v>
      </c>
      <c r="D240" s="4" t="str">
        <f t="shared" si="1"/>
        <v>{"valorA":"de","valorB":12}</v>
      </c>
      <c r="E240" s="8" t="str">
        <f t="shared" si="2"/>
        <v>de</v>
      </c>
      <c r="F240" s="8"/>
      <c r="G240" s="8" t="str">
        <f t="shared" si="3"/>
        <v>12</v>
      </c>
      <c r="H240" s="9">
        <f t="shared" si="4"/>
        <v>12</v>
      </c>
      <c r="I240" s="10">
        <f>IFERROR(__xludf.DUMMYFUNCTION("MAX(FILTER($H$2:$H1416,$E$2:$E1416=F240))"),0.0)</f>
        <v>0</v>
      </c>
    </row>
    <row r="241">
      <c r="A241" s="4"/>
      <c r="C241" s="4" t="s">
        <v>3390</v>
      </c>
      <c r="D241" s="4" t="str">
        <f t="shared" si="1"/>
        <v>{"valorA":"geladeira","valorB":2}</v>
      </c>
      <c r="E241" s="8" t="str">
        <f t="shared" si="2"/>
        <v>geladeira</v>
      </c>
      <c r="F241" s="8"/>
      <c r="G241" s="8" t="str">
        <f t="shared" si="3"/>
        <v>2</v>
      </c>
      <c r="H241" s="9">
        <f t="shared" si="4"/>
        <v>2</v>
      </c>
      <c r="I241" s="10">
        <f>IFERROR(__xludf.DUMMYFUNCTION("MAX(FILTER($H$2:$H1416,$E$2:$E1416=F241))"),0.0)</f>
        <v>0</v>
      </c>
    </row>
    <row r="242">
      <c r="A242" s="4"/>
      <c r="C242" s="4" t="s">
        <v>2816</v>
      </c>
      <c r="D242" s="4" t="str">
        <f t="shared" si="1"/>
        <v>{"valorA":"funciona","valorB":8}</v>
      </c>
      <c r="E242" s="8" t="str">
        <f t="shared" si="2"/>
        <v>funciona</v>
      </c>
      <c r="F242" s="8"/>
      <c r="G242" s="8" t="str">
        <f t="shared" si="3"/>
        <v>8</v>
      </c>
      <c r="H242" s="9">
        <f t="shared" si="4"/>
        <v>8</v>
      </c>
      <c r="I242" s="10">
        <f>IFERROR(__xludf.DUMMYFUNCTION("MAX(FILTER($H$2:$H1416,$E$2:$E1416=F242))"),0.0)</f>
        <v>0</v>
      </c>
    </row>
    <row r="243">
      <c r="A243" s="4"/>
      <c r="C243" s="4" t="s">
        <v>3391</v>
      </c>
      <c r="D243" s="4" t="str">
        <f t="shared" si="1"/>
        <v>{"valorA":"momento","valorB":1}</v>
      </c>
      <c r="E243" s="8" t="str">
        <f t="shared" si="2"/>
        <v>momento</v>
      </c>
      <c r="F243" s="8"/>
      <c r="G243" s="8" t="str">
        <f t="shared" si="3"/>
        <v>1</v>
      </c>
      <c r="H243" s="9">
        <f t="shared" si="4"/>
        <v>1</v>
      </c>
      <c r="I243" s="10">
        <f>IFERROR(__xludf.DUMMYFUNCTION("MAX(FILTER($H$2:$H1416,$E$2:$E1416=F243))"),0.0)</f>
        <v>0</v>
      </c>
    </row>
    <row r="244">
      <c r="A244" s="4"/>
      <c r="C244" s="4" t="s">
        <v>3392</v>
      </c>
      <c r="D244" s="4" t="str">
        <f t="shared" si="1"/>
        <v>{"valorA":"desde","valorB":1}</v>
      </c>
      <c r="E244" s="8" t="str">
        <f t="shared" si="2"/>
        <v>desde</v>
      </c>
      <c r="F244" s="8"/>
      <c r="G244" s="8" t="str">
        <f t="shared" si="3"/>
        <v>1</v>
      </c>
      <c r="H244" s="9">
        <f t="shared" si="4"/>
        <v>1</v>
      </c>
      <c r="I244" s="10">
        <f>IFERROR(__xludf.DUMMYFUNCTION("MAX(FILTER($H$2:$H1416,$E$2:$E1416=F244))"),0.0)</f>
        <v>0</v>
      </c>
    </row>
    <row r="245">
      <c r="A245" s="4"/>
      <c r="C245" s="4" t="s">
        <v>3393</v>
      </c>
      <c r="D245" s="4" t="str">
        <f t="shared" si="1"/>
        <v>{"valorA":"coment","valorB":3}</v>
      </c>
      <c r="E245" s="8" t="str">
        <f t="shared" si="2"/>
        <v>coment</v>
      </c>
      <c r="F245" s="8"/>
      <c r="G245" s="8" t="str">
        <f t="shared" si="3"/>
        <v>3</v>
      </c>
      <c r="H245" s="9">
        <f t="shared" si="4"/>
        <v>3</v>
      </c>
      <c r="I245" s="10">
        <f>IFERROR(__xludf.DUMMYFUNCTION("MAX(FILTER($H$2:$H1416,$E$2:$E1416=F245))"),0.0)</f>
        <v>0</v>
      </c>
    </row>
    <row r="246">
      <c r="A246" s="4"/>
      <c r="C246" s="4" t="s">
        <v>2942</v>
      </c>
      <c r="D246" s="4" t="str">
        <f t="shared" si="1"/>
        <v>{"valorA":"o","valorB":7}</v>
      </c>
      <c r="E246" s="8" t="str">
        <f t="shared" si="2"/>
        <v>o</v>
      </c>
      <c r="F246" s="8"/>
      <c r="G246" s="8" t="str">
        <f t="shared" si="3"/>
        <v>7</v>
      </c>
      <c r="H246" s="9">
        <f t="shared" si="4"/>
        <v>7</v>
      </c>
      <c r="I246" s="10">
        <f>IFERROR(__xludf.DUMMYFUNCTION("MAX(FILTER($H$2:$H1416,$E$2:$E1416=F246))"),0.0)</f>
        <v>0</v>
      </c>
    </row>
    <row r="247">
      <c r="A247" s="4"/>
      <c r="C247" s="4" t="s">
        <v>2752</v>
      </c>
      <c r="D247" s="4" t="str">
        <f t="shared" si="1"/>
        <v>{"valorA":"comprei","valorB":3}</v>
      </c>
      <c r="E247" s="8" t="str">
        <f t="shared" si="2"/>
        <v>comprei</v>
      </c>
      <c r="F247" s="8"/>
      <c r="G247" s="8" t="str">
        <f t="shared" si="3"/>
        <v>3</v>
      </c>
      <c r="H247" s="9">
        <f t="shared" si="4"/>
        <v>3</v>
      </c>
      <c r="I247" s="10">
        <f>IFERROR(__xludf.DUMMYFUNCTION("MAX(FILTER($H$2:$H1416,$E$2:$E1416=F247))"),0.0)</f>
        <v>0</v>
      </c>
    </row>
    <row r="248">
      <c r="A248" s="4"/>
      <c r="C248" s="4" t="s">
        <v>3394</v>
      </c>
      <c r="D248" s="4" t="str">
        <f t="shared" si="1"/>
        <v>{"valorA":"em","valorB":2}</v>
      </c>
      <c r="E248" s="8" t="str">
        <f t="shared" si="2"/>
        <v>em</v>
      </c>
      <c r="F248" s="8"/>
      <c r="G248" s="8" t="str">
        <f t="shared" si="3"/>
        <v>2</v>
      </c>
      <c r="H248" s="9">
        <f t="shared" si="4"/>
        <v>2</v>
      </c>
      <c r="I248" s="10">
        <f>IFERROR(__xludf.DUMMYFUNCTION("MAX(FILTER($H$2:$H1416,$E$2:$E1416=F248))"),0.0)</f>
        <v>0</v>
      </c>
    </row>
    <row r="249">
      <c r="A249" s="4"/>
      <c r="C249" s="4" t="s">
        <v>2754</v>
      </c>
      <c r="D249" s="4" t="str">
        <f t="shared" si="1"/>
        <v>{"valorA":"que","valorB":4}</v>
      </c>
      <c r="E249" s="8" t="str">
        <f t="shared" si="2"/>
        <v>que</v>
      </c>
      <c r="F249" s="8"/>
      <c r="G249" s="8" t="str">
        <f t="shared" si="3"/>
        <v>4</v>
      </c>
      <c r="H249" s="9">
        <f t="shared" si="4"/>
        <v>4</v>
      </c>
      <c r="I249" s="10">
        <f>IFERROR(__xludf.DUMMYFUNCTION("MAX(FILTER($H$2:$H1416,$E$2:$E1416=F249))"),0.0)</f>
        <v>0</v>
      </c>
    </row>
    <row r="250">
      <c r="A250" s="4"/>
      <c r="C250" s="4" t="s">
        <v>3395</v>
      </c>
      <c r="D250" s="4" t="str">
        <f t="shared" si="1"/>
        <v>{"valorA":"ótima","valorB":7}</v>
      </c>
      <c r="E250" s="8" t="str">
        <f t="shared" si="2"/>
        <v>ótima</v>
      </c>
      <c r="F250" s="8"/>
      <c r="G250" s="8" t="str">
        <f t="shared" si="3"/>
        <v>7</v>
      </c>
      <c r="H250" s="9">
        <f t="shared" si="4"/>
        <v>7</v>
      </c>
      <c r="I250" s="10">
        <f>IFERROR(__xludf.DUMMYFUNCTION("MAX(FILTER($H$2:$H1416,$E$2:$E1416=F250))"),0.0)</f>
        <v>0</v>
      </c>
    </row>
    <row r="251">
      <c r="A251" s="4"/>
      <c r="C251" s="4" t="s">
        <v>3396</v>
      </c>
      <c r="D251" s="4" t="str">
        <f t="shared" si="1"/>
        <v>{"valorA":"led","valorB":1}</v>
      </c>
      <c r="E251" s="8" t="str">
        <f t="shared" si="2"/>
        <v>led</v>
      </c>
      <c r="F251" s="8"/>
      <c r="G251" s="8" t="str">
        <f t="shared" si="3"/>
        <v>1</v>
      </c>
      <c r="H251" s="9">
        <f t="shared" si="4"/>
        <v>1</v>
      </c>
      <c r="I251" s="10">
        <f>IFERROR(__xludf.DUMMYFUNCTION("MAX(FILTER($H$2:$H1416,$E$2:$E1416=F251))"),0.0)</f>
        <v>0</v>
      </c>
    </row>
    <row r="252">
      <c r="A252" s="4"/>
      <c r="C252" s="4" t="s">
        <v>3397</v>
      </c>
      <c r="D252" s="4" t="str">
        <f t="shared" si="1"/>
        <v>{"valorA":"lâmpada","valorB":1}</v>
      </c>
      <c r="E252" s="8" t="str">
        <f t="shared" si="2"/>
        <v>lâmpada</v>
      </c>
      <c r="F252" s="8"/>
      <c r="G252" s="8" t="str">
        <f t="shared" si="3"/>
        <v>1</v>
      </c>
      <c r="H252" s="9">
        <f t="shared" si="4"/>
        <v>1</v>
      </c>
      <c r="I252" s="10">
        <f>IFERROR(__xludf.DUMMYFUNCTION("MAX(FILTER($H$2:$H1416,$E$2:$E1416=F252))"),0.0)</f>
        <v>0</v>
      </c>
    </row>
    <row r="253">
      <c r="A253" s="4"/>
      <c r="C253" s="4" t="s">
        <v>2719</v>
      </c>
      <c r="D253" s="4" t="str">
        <f t="shared" si="1"/>
        <v>{"valorA":"é","valorB":2}</v>
      </c>
      <c r="E253" s="8" t="str">
        <f t="shared" si="2"/>
        <v>é</v>
      </c>
      <c r="F253" s="8"/>
      <c r="G253" s="8" t="str">
        <f t="shared" si="3"/>
        <v>2</v>
      </c>
      <c r="H253" s="9">
        <f t="shared" si="4"/>
        <v>2</v>
      </c>
      <c r="I253" s="10">
        <f>IFERROR(__xludf.DUMMYFUNCTION("MAX(FILTER($H$2:$H1416,$E$2:$E1416=F253))"),0.0)</f>
        <v>0</v>
      </c>
    </row>
    <row r="254">
      <c r="A254" s="4"/>
      <c r="C254" s="4" t="s">
        <v>3398</v>
      </c>
      <c r="D254" s="4" t="str">
        <f t="shared" si="1"/>
        <v>{"valorA":"ela","valorB":1}</v>
      </c>
      <c r="E254" s="8" t="str">
        <f t="shared" si="2"/>
        <v>ela</v>
      </c>
      <c r="F254" s="8"/>
      <c r="G254" s="8" t="str">
        <f t="shared" si="3"/>
        <v>1</v>
      </c>
      <c r="H254" s="9">
        <f t="shared" si="4"/>
        <v>1</v>
      </c>
      <c r="I254" s="10">
        <f>IFERROR(__xludf.DUMMYFUNCTION("MAX(FILTER($H$2:$H1416,$E$2:$E1416=F254))"),0.0)</f>
        <v>0</v>
      </c>
    </row>
    <row r="255">
      <c r="A255" s="4"/>
      <c r="C255" s="4" t="s">
        <v>2750</v>
      </c>
      <c r="D255" s="4" t="str">
        <f t="shared" si="1"/>
        <v>{"valorA":"e","valorB":6}</v>
      </c>
      <c r="E255" s="8" t="str">
        <f t="shared" si="2"/>
        <v>e</v>
      </c>
      <c r="F255" s="8"/>
      <c r="G255" s="8" t="str">
        <f t="shared" si="3"/>
        <v>6</v>
      </c>
      <c r="H255" s="9">
        <f t="shared" si="4"/>
        <v>6</v>
      </c>
      <c r="I255" s="10">
        <f>IFERROR(__xludf.DUMMYFUNCTION("MAX(FILTER($H$2:$H1416,$E$2:$E1416=F255))"),0.0)</f>
        <v>0</v>
      </c>
    </row>
    <row r="256">
      <c r="A256" s="4"/>
      <c r="C256" s="4" t="s">
        <v>3399</v>
      </c>
      <c r="D256" s="4" t="str">
        <f t="shared" si="1"/>
        <v>{"valorA":"na","valorB":1}</v>
      </c>
      <c r="E256" s="8" t="str">
        <f t="shared" si="2"/>
        <v>na</v>
      </c>
      <c r="F256" s="8"/>
      <c r="G256" s="8" t="str">
        <f t="shared" si="3"/>
        <v>1</v>
      </c>
      <c r="H256" s="9">
        <f t="shared" si="4"/>
        <v>1</v>
      </c>
      <c r="I256" s="10">
        <f>IFERROR(__xludf.DUMMYFUNCTION("MAX(FILTER($H$2:$H1416,$E$2:$E1416=F256))"),0.0)</f>
        <v>0</v>
      </c>
    </row>
    <row r="257">
      <c r="A257" s="4"/>
      <c r="C257" s="4" t="s">
        <v>2913</v>
      </c>
      <c r="D257" s="4" t="str">
        <f t="shared" si="1"/>
        <v>{"valorA":"incrível","valorB":2}</v>
      </c>
      <c r="E257" s="8" t="str">
        <f t="shared" si="2"/>
        <v>incrível</v>
      </c>
      <c r="F257" s="8"/>
      <c r="G257" s="8" t="str">
        <f t="shared" si="3"/>
        <v>2</v>
      </c>
      <c r="H257" s="9">
        <f t="shared" si="4"/>
        <v>2</v>
      </c>
      <c r="I257" s="10">
        <f>IFERROR(__xludf.DUMMYFUNCTION("MAX(FILTER($H$2:$H1416,$E$2:$E1416=F257))"),0.0)</f>
        <v>0</v>
      </c>
    </row>
    <row r="258">
      <c r="A258" s="4"/>
      <c r="C258" s="4" t="s">
        <v>3198</v>
      </c>
      <c r="D258" s="4" t="str">
        <f t="shared" si="1"/>
        <v>{"valorA":"muito","valorB":15}</v>
      </c>
      <c r="E258" s="8" t="str">
        <f t="shared" si="2"/>
        <v>muito</v>
      </c>
      <c r="F258" s="8"/>
      <c r="G258" s="8" t="str">
        <f t="shared" si="3"/>
        <v>15</v>
      </c>
      <c r="H258" s="9">
        <f t="shared" si="4"/>
        <v>15</v>
      </c>
      <c r="I258" s="10">
        <f>IFERROR(__xludf.DUMMYFUNCTION("MAX(FILTER($H$2:$H1416,$E$2:$E1416=F258))"),0.0)</f>
        <v>0</v>
      </c>
    </row>
    <row r="259">
      <c r="A259" s="4"/>
      <c r="C259" s="4" t="s">
        <v>3400</v>
      </c>
      <c r="D259" s="4" t="str">
        <f t="shared" si="1"/>
        <v>{"valorA":"brilhante","valorB":1}</v>
      </c>
      <c r="E259" s="8" t="str">
        <f t="shared" si="2"/>
        <v>brilhante</v>
      </c>
      <c r="F259" s="8"/>
      <c r="G259" s="8" t="str">
        <f t="shared" si="3"/>
        <v>1</v>
      </c>
      <c r="H259" s="9">
        <f t="shared" si="4"/>
        <v>1</v>
      </c>
      <c r="I259" s="10">
        <f>IFERROR(__xludf.DUMMYFUNCTION("MAX(FILTER($H$2:$H1416,$E$2:$E1416=F259))"),0.0)</f>
        <v>0</v>
      </c>
    </row>
    <row r="260">
      <c r="A260" s="4"/>
      <c r="C260" s="4" t="s">
        <v>3200</v>
      </c>
      <c r="D260" s="4" t="str">
        <f t="shared" si="1"/>
        <v>{"valorA":"dinheiro","valorB":1}</v>
      </c>
      <c r="E260" s="8" t="str">
        <f t="shared" si="2"/>
        <v>dinheiro</v>
      </c>
      <c r="F260" s="8"/>
      <c r="G260" s="8" t="str">
        <f t="shared" si="3"/>
        <v>1</v>
      </c>
      <c r="H260" s="9">
        <f t="shared" si="4"/>
        <v>1</v>
      </c>
      <c r="I260" s="10">
        <f>IFERROR(__xludf.DUMMYFUNCTION("MAX(FILTER($H$2:$H1416,$E$2:$E1416=F260))"),0.0)</f>
        <v>0</v>
      </c>
    </row>
    <row r="261">
      <c r="A261" s="4"/>
      <c r="C261" s="4" t="s">
        <v>3401</v>
      </c>
      <c r="D261" s="4" t="str">
        <f t="shared" si="1"/>
        <v>{"valorA":"economiza","valorB":1}</v>
      </c>
      <c r="E261" s="8" t="str">
        <f t="shared" si="2"/>
        <v>economiza</v>
      </c>
      <c r="F261" s="8"/>
      <c r="G261" s="8" t="str">
        <f t="shared" si="3"/>
        <v>1</v>
      </c>
      <c r="H261" s="9">
        <f t="shared" si="4"/>
        <v>1</v>
      </c>
      <c r="I261" s="10">
        <f>IFERROR(__xludf.DUMMYFUNCTION("MAX(FILTER($H$2:$H1416,$E$2:$E1416=F261))"),0.0)</f>
        <v>0</v>
      </c>
    </row>
    <row r="262">
      <c r="A262" s="4"/>
      <c r="C262" s="4" t="s">
        <v>2920</v>
      </c>
      <c r="D262" s="4" t="str">
        <f t="shared" si="1"/>
        <v>{"valorA":"qualidade","valorB":2}</v>
      </c>
      <c r="E262" s="8" t="str">
        <f t="shared" si="2"/>
        <v>qualidade</v>
      </c>
      <c r="F262" s="8"/>
      <c r="G262" s="8" t="str">
        <f t="shared" si="3"/>
        <v>2</v>
      </c>
      <c r="H262" s="9">
        <f t="shared" si="4"/>
        <v>2</v>
      </c>
      <c r="I262" s="10">
        <f>IFERROR(__xludf.DUMMYFUNCTION("MAX(FILTER($H$2:$H1416,$E$2:$E1416=F262))"),0.0)</f>
        <v>0</v>
      </c>
    </row>
    <row r="263">
      <c r="A263" s="4"/>
      <c r="C263" s="4" t="s">
        <v>3044</v>
      </c>
      <c r="D263" s="4" t="str">
        <f t="shared" si="1"/>
        <v>{"valorA":"bom","valorB":2}</v>
      </c>
      <c r="E263" s="8" t="str">
        <f t="shared" si="2"/>
        <v>bom</v>
      </c>
      <c r="F263" s="8"/>
      <c r="G263" s="8" t="str">
        <f t="shared" si="3"/>
        <v>2</v>
      </c>
      <c r="H263" s="9">
        <f t="shared" si="4"/>
        <v>2</v>
      </c>
      <c r="I263" s="10">
        <f>IFERROR(__xludf.DUMMYFUNCTION("MAX(FILTER($H$2:$H1416,$E$2:$E1416=F263))"),0.0)</f>
        <v>0</v>
      </c>
    </row>
    <row r="264">
      <c r="A264" s="4"/>
      <c r="C264" s="4" t="s">
        <v>2983</v>
      </c>
      <c r="D264" s="4" t="str">
        <f t="shared" si="1"/>
        <v>{"valorA":"o","valorB":8}</v>
      </c>
      <c r="E264" s="8" t="str">
        <f t="shared" si="2"/>
        <v>o</v>
      </c>
      <c r="F264" s="8"/>
      <c r="G264" s="8" t="str">
        <f t="shared" si="3"/>
        <v>8</v>
      </c>
      <c r="H264" s="9">
        <f t="shared" si="4"/>
        <v>8</v>
      </c>
      <c r="I264" s="10">
        <f>IFERROR(__xludf.DUMMYFUNCTION("MAX(FILTER($H$2:$H1416,$E$2:$E1416=F264))"),0.0)</f>
        <v>0</v>
      </c>
    </row>
    <row r="265">
      <c r="A265" s="4"/>
      <c r="C265" s="4" t="s">
        <v>2779</v>
      </c>
      <c r="D265" s="4" t="str">
        <f t="shared" si="1"/>
        <v>{"valorA":"ótimo","valorB":21}</v>
      </c>
      <c r="E265" s="8" t="str">
        <f t="shared" si="2"/>
        <v>ótimo</v>
      </c>
      <c r="F265" s="8"/>
      <c r="G265" s="8" t="str">
        <f t="shared" si="3"/>
        <v>21</v>
      </c>
      <c r="H265" s="9">
        <f t="shared" si="4"/>
        <v>21</v>
      </c>
      <c r="I265" s="10">
        <f>IFERROR(__xludf.DUMMYFUNCTION("MAX(FILTER($H$2:$H1416,$E$2:$E1416=F265))"),0.0)</f>
        <v>0</v>
      </c>
    </row>
    <row r="266">
      <c r="A266" s="4"/>
      <c r="C266" s="4" t="s">
        <v>3402</v>
      </c>
      <c r="D266" s="4" t="str">
        <f t="shared" si="1"/>
        <v>{"valorA":"muita","valorB":2}</v>
      </c>
      <c r="E266" s="8" t="str">
        <f t="shared" si="2"/>
        <v>muita</v>
      </c>
      <c r="F266" s="8"/>
      <c r="G266" s="8" t="str">
        <f t="shared" si="3"/>
        <v>2</v>
      </c>
      <c r="H266" s="9">
        <f t="shared" si="4"/>
        <v>2</v>
      </c>
      <c r="I266" s="10">
        <f>IFERROR(__xludf.DUMMYFUNCTION("MAX(FILTER($H$2:$H1416,$E$2:$E1416=F266))"),0.0)</f>
        <v>0</v>
      </c>
    </row>
    <row r="267">
      <c r="A267" s="4"/>
      <c r="C267" s="4" t="s">
        <v>3403</v>
      </c>
      <c r="D267" s="4" t="str">
        <f t="shared" si="1"/>
        <v>{"valorA":"ficou","valorB":1}</v>
      </c>
      <c r="E267" s="8" t="str">
        <f t="shared" si="2"/>
        <v>ficou</v>
      </c>
      <c r="F267" s="8"/>
      <c r="G267" s="8" t="str">
        <f t="shared" si="3"/>
        <v>1</v>
      </c>
      <c r="H267" s="9">
        <f t="shared" si="4"/>
        <v>1</v>
      </c>
      <c r="I267" s="10">
        <f>IFERROR(__xludf.DUMMYFUNCTION("MAX(FILTER($H$2:$H1416,$E$2:$E1416=F267))"),0.0)</f>
        <v>0</v>
      </c>
    </row>
    <row r="268">
      <c r="A268" s="4"/>
      <c r="C268" s="4" t="s">
        <v>3404</v>
      </c>
      <c r="D268" s="4" t="str">
        <f t="shared" si="1"/>
        <v>{"valorA":"cabelinho","valorB":1}</v>
      </c>
      <c r="E268" s="8" t="str">
        <f t="shared" si="2"/>
        <v>cabelinho</v>
      </c>
      <c r="F268" s="8"/>
      <c r="G268" s="8" t="str">
        <f t="shared" si="3"/>
        <v>1</v>
      </c>
      <c r="H268" s="9">
        <f t="shared" si="4"/>
        <v>1</v>
      </c>
      <c r="I268" s="10">
        <f>IFERROR(__xludf.DUMMYFUNCTION("MAX(FILTER($H$2:$H1416,$E$2:$E1416=F268))"),0.0)</f>
        <v>0</v>
      </c>
    </row>
    <row r="269">
      <c r="A269" s="4"/>
      <c r="C269" s="4" t="s">
        <v>2661</v>
      </c>
      <c r="D269" s="4" t="str">
        <f t="shared" si="1"/>
        <v>{"valorA":"produto","valorB":3}</v>
      </c>
      <c r="E269" s="8" t="str">
        <f t="shared" si="2"/>
        <v>produto</v>
      </c>
      <c r="F269" s="8"/>
      <c r="G269" s="8" t="str">
        <f t="shared" si="3"/>
        <v>3</v>
      </c>
      <c r="H269" s="9">
        <f t="shared" si="4"/>
        <v>3</v>
      </c>
      <c r="I269" s="10">
        <f>IFERROR(__xludf.DUMMYFUNCTION("MAX(FILTER($H$2:$H1416,$E$2:$E1416=F269))"),0.0)</f>
        <v>0</v>
      </c>
    </row>
    <row r="270">
      <c r="A270" s="4"/>
      <c r="C270" s="4" t="s">
        <v>3405</v>
      </c>
      <c r="D270" s="4" t="str">
        <f t="shared" si="1"/>
        <v>{"valorA":"estilo","valorB":1}</v>
      </c>
      <c r="E270" s="8" t="str">
        <f t="shared" si="2"/>
        <v>estilo</v>
      </c>
      <c r="F270" s="8"/>
      <c r="G270" s="8" t="str">
        <f t="shared" si="3"/>
        <v>1</v>
      </c>
      <c r="H270" s="9">
        <f t="shared" si="4"/>
        <v>1</v>
      </c>
      <c r="I270" s="10">
        <f>IFERROR(__xludf.DUMMYFUNCTION("MAX(FILTER($H$2:$H1416,$E$2:$E1416=F270))"),0.0)</f>
        <v>0</v>
      </c>
    </row>
    <row r="271">
      <c r="A271" s="4"/>
      <c r="C271" s="4" t="s">
        <v>2788</v>
      </c>
      <c r="D271" s="4" t="str">
        <f t="shared" si="1"/>
        <v>{"valorA":"ótimo","valorB":22}</v>
      </c>
      <c r="E271" s="8" t="str">
        <f t="shared" si="2"/>
        <v>ótimo</v>
      </c>
      <c r="F271" s="8"/>
      <c r="G271" s="8" t="str">
        <f t="shared" si="3"/>
        <v>22</v>
      </c>
      <c r="H271" s="9">
        <f t="shared" si="4"/>
        <v>22</v>
      </c>
      <c r="I271" s="10">
        <f>IFERROR(__xludf.DUMMYFUNCTION("MAX(FILTER($H$2:$H1416,$E$2:$E1416=F271))"),0.0)</f>
        <v>0</v>
      </c>
    </row>
    <row r="272">
      <c r="A272" s="4"/>
      <c r="C272" s="4" t="s">
        <v>3406</v>
      </c>
      <c r="D272" s="4" t="str">
        <f t="shared" si="1"/>
        <v>{"valorA":"dvd","valorB":1}</v>
      </c>
      <c r="E272" s="8" t="str">
        <f t="shared" si="2"/>
        <v>dvd</v>
      </c>
      <c r="F272" s="8"/>
      <c r="G272" s="8" t="str">
        <f t="shared" si="3"/>
        <v>1</v>
      </c>
      <c r="H272" s="9">
        <f t="shared" si="4"/>
        <v>1</v>
      </c>
      <c r="I272" s="10">
        <f>IFERROR(__xludf.DUMMYFUNCTION("MAX(FILTER($H$2:$H1416,$E$2:$E1416=F272))"),0.0)</f>
        <v>0</v>
      </c>
    </row>
    <row r="273">
      <c r="A273" s="4"/>
      <c r="C273" s="4" t="s">
        <v>3407</v>
      </c>
      <c r="D273" s="4" t="str">
        <f t="shared" si="1"/>
        <v>{"valorA":"o","valorB":9}</v>
      </c>
      <c r="E273" s="8" t="str">
        <f t="shared" si="2"/>
        <v>o</v>
      </c>
      <c r="F273" s="8"/>
      <c r="G273" s="8" t="str">
        <f t="shared" si="3"/>
        <v>9</v>
      </c>
      <c r="H273" s="9">
        <f t="shared" si="4"/>
        <v>9</v>
      </c>
      <c r="I273" s="10">
        <f>IFERROR(__xludf.DUMMYFUNCTION("MAX(FILTER($H$2:$H1416,$E$2:$E1416=F273))"),0.0)</f>
        <v>0</v>
      </c>
    </row>
    <row r="274">
      <c r="A274" s="4"/>
      <c r="C274" s="4" t="s">
        <v>3408</v>
      </c>
      <c r="D274" s="4" t="str">
        <f t="shared" si="1"/>
        <v>{"valorA":"player","valorB":2}</v>
      </c>
      <c r="E274" s="8" t="str">
        <f t="shared" si="2"/>
        <v>player</v>
      </c>
      <c r="F274" s="8"/>
      <c r="G274" s="8" t="str">
        <f t="shared" si="3"/>
        <v>2</v>
      </c>
      <c r="H274" s="9">
        <f t="shared" si="4"/>
        <v>2</v>
      </c>
      <c r="I274" s="10">
        <f>IFERROR(__xludf.DUMMYFUNCTION("MAX(FILTER($H$2:$H1416,$E$2:$E1416=F274))"),0.0)</f>
        <v>0</v>
      </c>
    </row>
    <row r="275">
      <c r="A275" s="4"/>
      <c r="C275" s="4" t="s">
        <v>2773</v>
      </c>
      <c r="D275" s="4" t="str">
        <f t="shared" si="1"/>
        <v>{"valorA":"que","valorB":5}</v>
      </c>
      <c r="E275" s="8" t="str">
        <f t="shared" si="2"/>
        <v>que</v>
      </c>
      <c r="F275" s="8"/>
      <c r="G275" s="8" t="str">
        <f t="shared" si="3"/>
        <v>5</v>
      </c>
      <c r="H275" s="9">
        <f t="shared" si="4"/>
        <v>5</v>
      </c>
      <c r="I275" s="10">
        <f>IFERROR(__xludf.DUMMYFUNCTION("MAX(FILTER($H$2:$H1416,$E$2:$E1416=F275))"),0.0)</f>
        <v>0</v>
      </c>
    </row>
    <row r="276">
      <c r="A276" s="4"/>
      <c r="C276" s="4" t="s">
        <v>3409</v>
      </c>
      <c r="D276" s="4" t="str">
        <f t="shared" si="1"/>
        <v>{"valorA":"foi","valorB":1}</v>
      </c>
      <c r="E276" s="8" t="str">
        <f t="shared" si="2"/>
        <v>foi</v>
      </c>
      <c r="F276" s="8"/>
      <c r="G276" s="8" t="str">
        <f t="shared" si="3"/>
        <v>1</v>
      </c>
      <c r="H276" s="9">
        <f t="shared" si="4"/>
        <v>1</v>
      </c>
      <c r="I276" s="10">
        <f>IFERROR(__xludf.DUMMYFUNCTION("MAX(FILTER($H$2:$H1416,$E$2:$E1416=F276))"),0.0)</f>
        <v>0</v>
      </c>
    </row>
    <row r="277">
      <c r="A277" s="4"/>
      <c r="C277" s="4" t="s">
        <v>3057</v>
      </c>
      <c r="D277" s="4" t="str">
        <f t="shared" si="1"/>
        <v>{"valorA":"bom","valorB":3}</v>
      </c>
      <c r="E277" s="8" t="str">
        <f t="shared" si="2"/>
        <v>bom</v>
      </c>
      <c r="F277" s="8"/>
      <c r="G277" s="8" t="str">
        <f t="shared" si="3"/>
        <v>3</v>
      </c>
      <c r="H277" s="9">
        <f t="shared" si="4"/>
        <v>3</v>
      </c>
      <c r="I277" s="10">
        <f>IFERROR(__xludf.DUMMYFUNCTION("MAX(FILTER($H$2:$H1416,$E$2:$E1416=F277))"),0.0)</f>
        <v>0</v>
      </c>
    </row>
    <row r="278">
      <c r="A278" s="4"/>
      <c r="C278" s="4" t="s">
        <v>2829</v>
      </c>
      <c r="D278" s="4" t="str">
        <f t="shared" si="1"/>
        <v>{"valorA":"comprei","valorB":4}</v>
      </c>
      <c r="E278" s="8" t="str">
        <f t="shared" si="2"/>
        <v>comprei</v>
      </c>
      <c r="F278" s="8"/>
      <c r="G278" s="8" t="str">
        <f t="shared" si="3"/>
        <v>4</v>
      </c>
      <c r="H278" s="9">
        <f t="shared" si="4"/>
        <v>4</v>
      </c>
      <c r="I278" s="10">
        <f>IFERROR(__xludf.DUMMYFUNCTION("MAX(FILTER($H$2:$H1416,$E$2:$E1416=F278))"),0.0)</f>
        <v>0</v>
      </c>
    </row>
    <row r="279">
      <c r="A279" s="4"/>
      <c r="C279" s="4" t="s">
        <v>3215</v>
      </c>
      <c r="D279" s="4" t="str">
        <f t="shared" si="1"/>
        <v>{"valorA":"muito","valorB":16}</v>
      </c>
      <c r="E279" s="8" t="str">
        <f t="shared" si="2"/>
        <v>muito</v>
      </c>
      <c r="F279" s="8"/>
      <c r="G279" s="8" t="str">
        <f t="shared" si="3"/>
        <v>16</v>
      </c>
      <c r="H279" s="9">
        <f t="shared" si="4"/>
        <v>16</v>
      </c>
      <c r="I279" s="10">
        <f>IFERROR(__xludf.DUMMYFUNCTION("MAX(FILTER($H$2:$H1416,$E$2:$E1416=F279))"),0.0)</f>
        <v>0</v>
      </c>
    </row>
    <row r="280">
      <c r="A280" s="4"/>
      <c r="C280" s="4" t="s">
        <v>3410</v>
      </c>
      <c r="D280" s="4" t="str">
        <f t="shared" si="1"/>
        <v>{"valorA":"agora","valorB":2}</v>
      </c>
      <c r="E280" s="8" t="str">
        <f t="shared" si="2"/>
        <v>agora</v>
      </c>
      <c r="F280" s="8"/>
      <c r="G280" s="8" t="str">
        <f t="shared" si="3"/>
        <v>2</v>
      </c>
      <c r="H280" s="9">
        <f t="shared" si="4"/>
        <v>2</v>
      </c>
      <c r="I280" s="10">
        <f>IFERROR(__xludf.DUMMYFUNCTION("MAX(FILTER($H$2:$H1416,$E$2:$E1416=F280))"),0.0)</f>
        <v>0</v>
      </c>
    </row>
    <row r="281">
      <c r="A281" s="4"/>
      <c r="C281" s="4" t="s">
        <v>3411</v>
      </c>
      <c r="D281" s="4" t="str">
        <f t="shared" si="1"/>
        <v>{"valorA":"até","valorB":1}</v>
      </c>
      <c r="E281" s="8" t="str">
        <f t="shared" si="2"/>
        <v>até</v>
      </c>
      <c r="F281" s="8"/>
      <c r="G281" s="8" t="str">
        <f t="shared" si="3"/>
        <v>1</v>
      </c>
      <c r="H281" s="9">
        <f t="shared" si="4"/>
        <v>1</v>
      </c>
      <c r="I281" s="10">
        <f>IFERROR(__xludf.DUMMYFUNCTION("MAX(FILTER($H$2:$H1416,$E$2:$E1416=F281))"),0.0)</f>
        <v>0</v>
      </c>
    </row>
    <row r="282">
      <c r="A282" s="4"/>
      <c r="C282" s="4" t="s">
        <v>3412</v>
      </c>
      <c r="D282" s="4" t="str">
        <f t="shared" si="1"/>
        <v>{"valorA":"comprei","valorB":5}</v>
      </c>
      <c r="E282" s="8" t="str">
        <f t="shared" si="2"/>
        <v>comprei</v>
      </c>
      <c r="F282" s="8"/>
      <c r="G282" s="8" t="str">
        <f t="shared" si="3"/>
        <v>5</v>
      </c>
      <c r="H282" s="9">
        <f t="shared" si="4"/>
        <v>5</v>
      </c>
      <c r="I282" s="10">
        <f>IFERROR(__xludf.DUMMYFUNCTION("MAX(FILTER($H$2:$H1416,$E$2:$E1416=F282))"),0.0)</f>
        <v>0</v>
      </c>
    </row>
    <row r="283">
      <c r="A283" s="4"/>
      <c r="C283" s="4" t="s">
        <v>3413</v>
      </c>
      <c r="D283" s="4" t="str">
        <f t="shared" si="1"/>
        <v>{"valorA":"o","valorB":10}</v>
      </c>
      <c r="E283" s="8" t="str">
        <f t="shared" si="2"/>
        <v>o</v>
      </c>
      <c r="F283" s="8"/>
      <c r="G283" s="8" t="str">
        <f t="shared" si="3"/>
        <v>10</v>
      </c>
      <c r="H283" s="9">
        <f t="shared" si="4"/>
        <v>10</v>
      </c>
      <c r="I283" s="10">
        <f>IFERROR(__xludf.DUMMYFUNCTION("MAX(FILTER($H$2:$H1416,$E$2:$E1416=F283))"),0.0)</f>
        <v>0</v>
      </c>
    </row>
    <row r="284">
      <c r="A284" s="4"/>
      <c r="C284" s="4" t="s">
        <v>2824</v>
      </c>
      <c r="D284" s="4" t="str">
        <f t="shared" si="1"/>
        <v>{"valorA":"que","valorB":6}</v>
      </c>
      <c r="E284" s="8" t="str">
        <f t="shared" si="2"/>
        <v>que</v>
      </c>
      <c r="F284" s="8"/>
      <c r="G284" s="8" t="str">
        <f t="shared" si="3"/>
        <v>6</v>
      </c>
      <c r="H284" s="9">
        <f t="shared" si="4"/>
        <v>6</v>
      </c>
      <c r="I284" s="10">
        <f>IFERROR(__xludf.DUMMYFUNCTION("MAX(FILTER($H$2:$H1416,$E$2:$E1416=F284))"),0.0)</f>
        <v>0</v>
      </c>
    </row>
    <row r="285">
      <c r="A285" s="4"/>
      <c r="C285" s="4" t="s">
        <v>2791</v>
      </c>
      <c r="D285" s="4" t="str">
        <f t="shared" si="1"/>
        <v>{"valorA":"ótimo","valorB":23}</v>
      </c>
      <c r="E285" s="8" t="str">
        <f t="shared" si="2"/>
        <v>ótimo</v>
      </c>
      <c r="F285" s="8"/>
      <c r="G285" s="8" t="str">
        <f t="shared" si="3"/>
        <v>23</v>
      </c>
      <c r="H285" s="9">
        <f t="shared" si="4"/>
        <v>23</v>
      </c>
      <c r="I285" s="10">
        <f>IFERROR(__xludf.DUMMYFUNCTION("MAX(FILTER($H$2:$H1416,$E$2:$E1416=F285))"),0.0)</f>
        <v>0</v>
      </c>
    </row>
    <row r="286">
      <c r="A286" s="4"/>
      <c r="C286" s="4" t="s">
        <v>3414</v>
      </c>
      <c r="D286" s="4" t="str">
        <f t="shared" si="1"/>
        <v>{"valorA":"há","valorB":1}</v>
      </c>
      <c r="E286" s="8" t="str">
        <f t="shared" si="2"/>
        <v>há</v>
      </c>
      <c r="F286" s="8"/>
      <c r="G286" s="8" t="str">
        <f t="shared" si="3"/>
        <v>1</v>
      </c>
      <c r="H286" s="9">
        <f t="shared" si="4"/>
        <v>1</v>
      </c>
      <c r="I286" s="10">
        <f>IFERROR(__xludf.DUMMYFUNCTION("MAX(FILTER($H$2:$H1416,$E$2:$E1416=F286))"),0.0)</f>
        <v>0</v>
      </c>
    </row>
    <row r="287">
      <c r="A287" s="4"/>
      <c r="C287" s="4" t="s">
        <v>3415</v>
      </c>
      <c r="D287" s="4" t="str">
        <f t="shared" si="1"/>
        <v>{"valorA":"frigorifico","valorB":1}</v>
      </c>
      <c r="E287" s="8" t="str">
        <f t="shared" si="2"/>
        <v>frigorifico</v>
      </c>
      <c r="F287" s="8"/>
      <c r="G287" s="8" t="str">
        <f t="shared" si="3"/>
        <v>1</v>
      </c>
      <c r="H287" s="9">
        <f t="shared" si="4"/>
        <v>1</v>
      </c>
      <c r="I287" s="10">
        <f>IFERROR(__xludf.DUMMYFUNCTION("MAX(FILTER($H$2:$H1416,$E$2:$E1416=F287))"),0.0)</f>
        <v>0</v>
      </c>
    </row>
    <row r="288">
      <c r="A288" s="4"/>
      <c r="C288" s="4" t="s">
        <v>2877</v>
      </c>
      <c r="D288" s="4" t="str">
        <f t="shared" si="1"/>
        <v>{"valorA":"funciona","valorB":9}</v>
      </c>
      <c r="E288" s="8" t="str">
        <f t="shared" si="2"/>
        <v>funciona</v>
      </c>
      <c r="F288" s="8"/>
      <c r="G288" s="8" t="str">
        <f t="shared" si="3"/>
        <v>9</v>
      </c>
      <c r="H288" s="9">
        <f t="shared" si="4"/>
        <v>9</v>
      </c>
      <c r="I288" s="10">
        <f>IFERROR(__xludf.DUMMYFUNCTION("MAX(FILTER($H$2:$H1416,$E$2:$E1416=F288))"),0.0)</f>
        <v>0</v>
      </c>
    </row>
    <row r="289">
      <c r="A289" s="4"/>
      <c r="C289" s="4" t="s">
        <v>3416</v>
      </c>
      <c r="D289" s="4" t="str">
        <f t="shared" si="1"/>
        <v>{"valorA":"comentário","valorB":1}</v>
      </c>
      <c r="E289" s="8" t="str">
        <f t="shared" si="2"/>
        <v>comentário</v>
      </c>
      <c r="F289" s="8"/>
      <c r="G289" s="8" t="str">
        <f t="shared" si="3"/>
        <v>1</v>
      </c>
      <c r="H289" s="9">
        <f t="shared" si="4"/>
        <v>1</v>
      </c>
      <c r="I289" s="10">
        <f>IFERROR(__xludf.DUMMYFUNCTION("MAX(FILTER($H$2:$H1416,$E$2:$E1416=F289))"),0.0)</f>
        <v>0</v>
      </c>
    </row>
    <row r="290">
      <c r="A290" s="4"/>
      <c r="C290" s="4" t="s">
        <v>3224</v>
      </c>
      <c r="D290" s="4" t="str">
        <f t="shared" si="1"/>
        <v>{"valorA":"muito","valorB":17}</v>
      </c>
      <c r="E290" s="8" t="str">
        <f t="shared" si="2"/>
        <v>muito</v>
      </c>
      <c r="F290" s="8"/>
      <c r="G290" s="8" t="str">
        <f t="shared" si="3"/>
        <v>17</v>
      </c>
      <c r="H290" s="9">
        <f t="shared" si="4"/>
        <v>17</v>
      </c>
      <c r="I290" s="10">
        <f>IFERROR(__xludf.DUMMYFUNCTION("MAX(FILTER($H$2:$H1416,$E$2:$E1416=F290))"),0.0)</f>
        <v>0</v>
      </c>
    </row>
    <row r="291">
      <c r="A291" s="4"/>
      <c r="C291" s="4" t="s">
        <v>3046</v>
      </c>
      <c r="D291" s="4" t="str">
        <f t="shared" si="1"/>
        <v>{"valorA":"um","valorB":2}</v>
      </c>
      <c r="E291" s="8" t="str">
        <f t="shared" si="2"/>
        <v>um</v>
      </c>
      <c r="F291" s="8"/>
      <c r="G291" s="8" t="str">
        <f t="shared" si="3"/>
        <v>2</v>
      </c>
      <c r="H291" s="9">
        <f t="shared" si="4"/>
        <v>2</v>
      </c>
      <c r="I291" s="10">
        <f>IFERROR(__xludf.DUMMYFUNCTION("MAX(FILTER($H$2:$H1416,$E$2:$E1416=F291))"),0.0)</f>
        <v>0</v>
      </c>
    </row>
    <row r="292">
      <c r="A292" s="4"/>
      <c r="C292" s="4" t="s">
        <v>3124</v>
      </c>
      <c r="D292" s="4" t="str">
        <f t="shared" si="1"/>
        <v>{"valorA":"bem","valorB":8}</v>
      </c>
      <c r="E292" s="8" t="str">
        <f t="shared" si="2"/>
        <v>bem</v>
      </c>
      <c r="F292" s="8"/>
      <c r="G292" s="8" t="str">
        <f t="shared" si="3"/>
        <v>8</v>
      </c>
      <c r="H292" s="9">
        <f t="shared" si="4"/>
        <v>8</v>
      </c>
      <c r="I292" s="10">
        <f>IFERROR(__xludf.DUMMYFUNCTION("MAX(FILTER($H$2:$H1416,$E$2:$E1416=F292))"),0.0)</f>
        <v>0</v>
      </c>
    </row>
    <row r="293">
      <c r="A293" s="4"/>
      <c r="C293" s="4" t="s">
        <v>3417</v>
      </c>
      <c r="D293" s="4" t="str">
        <f t="shared" si="1"/>
        <v>{"valorA":"mês","valorB":2}</v>
      </c>
      <c r="E293" s="8" t="str">
        <f t="shared" si="2"/>
        <v>mês</v>
      </c>
      <c r="F293" s="8"/>
      <c r="G293" s="8" t="str">
        <f t="shared" si="3"/>
        <v>2</v>
      </c>
      <c r="H293" s="9">
        <f t="shared" si="4"/>
        <v>2</v>
      </c>
      <c r="I293" s="10">
        <f>IFERROR(__xludf.DUMMYFUNCTION("MAX(FILTER($H$2:$H1416,$E$2:$E1416=F293))"),0.0)</f>
        <v>0</v>
      </c>
    </row>
    <row r="294">
      <c r="A294" s="4"/>
      <c r="C294" s="4" t="s">
        <v>3418</v>
      </c>
      <c r="D294" s="4" t="str">
        <f t="shared" si="1"/>
        <v>{"valorA":"relaxado","valorB":1}</v>
      </c>
      <c r="E294" s="8" t="str">
        <f t="shared" si="2"/>
        <v>relaxado</v>
      </c>
      <c r="F294" s="8"/>
      <c r="G294" s="8" t="str">
        <f t="shared" si="3"/>
        <v>1</v>
      </c>
      <c r="H294" s="9">
        <f t="shared" si="4"/>
        <v>1</v>
      </c>
      <c r="I294" s="10">
        <f>IFERROR(__xludf.DUMMYFUNCTION("MAX(FILTER($H$2:$H1416,$E$2:$E1416=F294))"),0.0)</f>
        <v>0</v>
      </c>
    </row>
    <row r="295">
      <c r="A295" s="4"/>
      <c r="C295" s="4" t="s">
        <v>2798</v>
      </c>
      <c r="D295" s="4" t="str">
        <f t="shared" si="1"/>
        <v>{"valorA":"ótimo","valorB":24}</v>
      </c>
      <c r="E295" s="8" t="str">
        <f t="shared" si="2"/>
        <v>ótimo</v>
      </c>
      <c r="F295" s="8"/>
      <c r="G295" s="8" t="str">
        <f t="shared" si="3"/>
        <v>24</v>
      </c>
      <c r="H295" s="9">
        <f t="shared" si="4"/>
        <v>24</v>
      </c>
      <c r="I295" s="10">
        <f>IFERROR(__xludf.DUMMYFUNCTION("MAX(FILTER($H$2:$H1416,$E$2:$E1416=F295))"),0.0)</f>
        <v>0</v>
      </c>
    </row>
    <row r="296">
      <c r="A296" s="4"/>
      <c r="C296" s="4" t="s">
        <v>3419</v>
      </c>
      <c r="D296" s="4" t="str">
        <f t="shared" si="1"/>
        <v>{"valorA":"cabelinho","valorB":2}</v>
      </c>
      <c r="E296" s="8" t="str">
        <f t="shared" si="2"/>
        <v>cabelinho</v>
      </c>
      <c r="F296" s="8"/>
      <c r="G296" s="8" t="str">
        <f t="shared" si="3"/>
        <v>2</v>
      </c>
      <c r="H296" s="9">
        <f t="shared" si="4"/>
        <v>2</v>
      </c>
      <c r="I296" s="10">
        <f>IFERROR(__xludf.DUMMYFUNCTION("MAX(FILTER($H$2:$H1416,$E$2:$E1416=F296))"),0.0)</f>
        <v>0</v>
      </c>
    </row>
    <row r="297">
      <c r="A297" s="4"/>
      <c r="C297" s="4" t="s">
        <v>3420</v>
      </c>
      <c r="D297" s="4" t="str">
        <f t="shared" si="1"/>
        <v>{"valorA":"reto","valorB":1}</v>
      </c>
      <c r="E297" s="8" t="str">
        <f t="shared" si="2"/>
        <v>reto</v>
      </c>
      <c r="F297" s="8"/>
      <c r="G297" s="8" t="str">
        <f t="shared" si="3"/>
        <v>1</v>
      </c>
      <c r="H297" s="9">
        <f t="shared" si="4"/>
        <v>1</v>
      </c>
      <c r="I297" s="10">
        <f>IFERROR(__xludf.DUMMYFUNCTION("MAX(FILTER($H$2:$H1416,$E$2:$E1416=F297))"),0.0)</f>
        <v>0</v>
      </c>
    </row>
    <row r="298">
      <c r="A298" s="4"/>
      <c r="C298" s="4" t="s">
        <v>3421</v>
      </c>
      <c r="D298" s="4" t="str">
        <f t="shared" si="1"/>
        <v>{"valorA":"estilo","valorB":2}</v>
      </c>
      <c r="E298" s="8" t="str">
        <f t="shared" si="2"/>
        <v>estilo</v>
      </c>
      <c r="F298" s="8"/>
      <c r="G298" s="8" t="str">
        <f t="shared" si="3"/>
        <v>2</v>
      </c>
      <c r="H298" s="9">
        <f t="shared" si="4"/>
        <v>2</v>
      </c>
      <c r="I298" s="10">
        <f>IFERROR(__xludf.DUMMYFUNCTION("MAX(FILTER($H$2:$H1416,$E$2:$E1416=F298))"),0.0)</f>
        <v>0</v>
      </c>
    </row>
    <row r="299">
      <c r="A299" s="4"/>
      <c r="C299" s="4" t="s">
        <v>3155</v>
      </c>
      <c r="D299" s="4" t="str">
        <f t="shared" si="1"/>
        <v>{"valorA":"me","valorB":2}</v>
      </c>
      <c r="E299" s="8" t="str">
        <f t="shared" si="2"/>
        <v>me</v>
      </c>
      <c r="F299" s="8"/>
      <c r="G299" s="8" t="str">
        <f t="shared" si="3"/>
        <v>2</v>
      </c>
      <c r="H299" s="9">
        <f t="shared" si="4"/>
        <v>2</v>
      </c>
      <c r="I299" s="10">
        <f>IFERROR(__xludf.DUMMYFUNCTION("MAX(FILTER($H$2:$H1416,$E$2:$E1416=F299))"),0.0)</f>
        <v>0</v>
      </c>
    </row>
    <row r="300">
      <c r="A300" s="4"/>
      <c r="C300" s="4" t="s">
        <v>2846</v>
      </c>
      <c r="D300" s="4" t="str">
        <f t="shared" si="1"/>
        <v>{"valorA":"encanta","valorB":1}</v>
      </c>
      <c r="E300" s="8" t="str">
        <f t="shared" si="2"/>
        <v>encanta</v>
      </c>
      <c r="F300" s="8"/>
      <c r="G300" s="8" t="str">
        <f t="shared" si="3"/>
        <v>1</v>
      </c>
      <c r="H300" s="9">
        <f t="shared" si="4"/>
        <v>1</v>
      </c>
      <c r="I300" s="10">
        <f>IFERROR(__xludf.DUMMYFUNCTION("MAX(FILTER($H$2:$H1416,$E$2:$E1416=F300))"),0.0)</f>
        <v>0</v>
      </c>
    </row>
    <row r="301">
      <c r="A301" s="4"/>
      <c r="C301" s="4" t="s">
        <v>3422</v>
      </c>
      <c r="D301" s="4" t="str">
        <f t="shared" si="1"/>
        <v>{"valorA":"esses","valorB":1}</v>
      </c>
      <c r="E301" s="8" t="str">
        <f t="shared" si="2"/>
        <v>esses</v>
      </c>
      <c r="F301" s="8"/>
      <c r="G301" s="8" t="str">
        <f t="shared" si="3"/>
        <v>1</v>
      </c>
      <c r="H301" s="9">
        <f t="shared" si="4"/>
        <v>1</v>
      </c>
      <c r="I301" s="10">
        <f>IFERROR(__xludf.DUMMYFUNCTION("MAX(FILTER($H$2:$H1416,$E$2:$E1416=F301))"),0.0)</f>
        <v>0</v>
      </c>
    </row>
    <row r="302">
      <c r="A302" s="4"/>
      <c r="C302" s="4" t="s">
        <v>3423</v>
      </c>
      <c r="D302" s="4" t="str">
        <f t="shared" si="1"/>
        <v>{"valorA":"sapatos","valorB":1}</v>
      </c>
      <c r="E302" s="8" t="str">
        <f t="shared" si="2"/>
        <v>sapatos</v>
      </c>
      <c r="F302" s="8"/>
      <c r="G302" s="8" t="str">
        <f t="shared" si="3"/>
        <v>1</v>
      </c>
      <c r="H302" s="9">
        <f t="shared" si="4"/>
        <v>1</v>
      </c>
      <c r="I302" s="10">
        <f>IFERROR(__xludf.DUMMYFUNCTION("MAX(FILTER($H$2:$H1416,$E$2:$E1416=F302))"),0.0)</f>
        <v>0</v>
      </c>
    </row>
    <row r="303">
      <c r="A303" s="4"/>
      <c r="C303" s="4" t="s">
        <v>2806</v>
      </c>
      <c r="D303" s="4" t="str">
        <f t="shared" si="1"/>
        <v>{"valorA":"ótimo","valorB":25}</v>
      </c>
      <c r="E303" s="8" t="str">
        <f t="shared" si="2"/>
        <v>ótimo</v>
      </c>
      <c r="F303" s="8"/>
      <c r="G303" s="8" t="str">
        <f t="shared" si="3"/>
        <v>25</v>
      </c>
      <c r="H303" s="9">
        <f t="shared" si="4"/>
        <v>25</v>
      </c>
      <c r="I303" s="10">
        <f>IFERROR(__xludf.DUMMYFUNCTION("MAX(FILTER($H$2:$H1416,$E$2:$E1416=F303))"),0.0)</f>
        <v>0</v>
      </c>
    </row>
    <row r="304">
      <c r="A304" s="4"/>
      <c r="C304" s="4" t="s">
        <v>2667</v>
      </c>
      <c r="D304" s="4" t="str">
        <f t="shared" si="1"/>
        <v>{"valorA":"produto","valorB":4}</v>
      </c>
      <c r="E304" s="8" t="str">
        <f t="shared" si="2"/>
        <v>produto</v>
      </c>
      <c r="F304" s="8"/>
      <c r="G304" s="8" t="str">
        <f t="shared" si="3"/>
        <v>4</v>
      </c>
      <c r="H304" s="9">
        <f t="shared" si="4"/>
        <v>4</v>
      </c>
      <c r="I304" s="10">
        <f>IFERROR(__xludf.DUMMYFUNCTION("MAX(FILTER($H$2:$H1416,$E$2:$E1416=F304))"),0.0)</f>
        <v>0</v>
      </c>
    </row>
    <row r="305">
      <c r="A305" s="4"/>
      <c r="C305" s="4" t="s">
        <v>3243</v>
      </c>
      <c r="D305" s="4" t="str">
        <f t="shared" si="1"/>
        <v>{"valorA":"muito","valorB":18}</v>
      </c>
      <c r="E305" s="8" t="str">
        <f t="shared" si="2"/>
        <v>muito</v>
      </c>
      <c r="F305" s="8"/>
      <c r="G305" s="8" t="str">
        <f t="shared" si="3"/>
        <v>18</v>
      </c>
      <c r="H305" s="9">
        <f t="shared" si="4"/>
        <v>18</v>
      </c>
      <c r="I305" s="10">
        <f>IFERROR(__xludf.DUMMYFUNCTION("MAX(FILTER($H$2:$H1416,$E$2:$E1416=F305))"),0.0)</f>
        <v>0</v>
      </c>
    </row>
    <row r="306">
      <c r="A306" s="4"/>
      <c r="C306" s="4" t="s">
        <v>2809</v>
      </c>
      <c r="D306" s="4" t="str">
        <f t="shared" si="1"/>
        <v>{"valorA":"ótimo","valorB":26}</v>
      </c>
      <c r="E306" s="8" t="str">
        <f t="shared" si="2"/>
        <v>ótimo</v>
      </c>
      <c r="F306" s="8"/>
      <c r="G306" s="8" t="str">
        <f t="shared" si="3"/>
        <v>26</v>
      </c>
      <c r="H306" s="9">
        <f t="shared" si="4"/>
        <v>26</v>
      </c>
      <c r="I306" s="10">
        <f>IFERROR(__xludf.DUMMYFUNCTION("MAX(FILTER($H$2:$H1416,$E$2:$E1416=F306))"),0.0)</f>
        <v>0</v>
      </c>
    </row>
    <row r="307">
      <c r="A307" s="4"/>
      <c r="C307" s="4" t="s">
        <v>2921</v>
      </c>
      <c r="D307" s="4" t="str">
        <f t="shared" si="1"/>
        <v>{"valorA":"refrigerante","valorB":1}</v>
      </c>
      <c r="E307" s="8" t="str">
        <f t="shared" si="2"/>
        <v>refrigerante</v>
      </c>
      <c r="F307" s="8"/>
      <c r="G307" s="8" t="str">
        <f t="shared" si="3"/>
        <v>1</v>
      </c>
      <c r="H307" s="9">
        <f t="shared" si="4"/>
        <v>1</v>
      </c>
      <c r="I307" s="10">
        <f>IFERROR(__xludf.DUMMYFUNCTION("MAX(FILTER($H$2:$H1416,$E$2:$E1416=F307))"),0.0)</f>
        <v>0</v>
      </c>
    </row>
    <row r="308">
      <c r="A308" s="4"/>
      <c r="C308" s="4" t="s">
        <v>3424</v>
      </c>
      <c r="D308" s="4" t="str">
        <f t="shared" si="1"/>
        <v>{"valorA":"o","valorB":11}</v>
      </c>
      <c r="E308" s="8" t="str">
        <f t="shared" si="2"/>
        <v>o</v>
      </c>
      <c r="F308" s="8"/>
      <c r="G308" s="8" t="str">
        <f t="shared" si="3"/>
        <v>11</v>
      </c>
      <c r="H308" s="9">
        <f t="shared" si="4"/>
        <v>11</v>
      </c>
      <c r="I308" s="10">
        <f>IFERROR(__xludf.DUMMYFUNCTION("MAX(FILTER($H$2:$H1416,$E$2:$E1416=F308))"),0.0)</f>
        <v>0</v>
      </c>
    </row>
    <row r="309">
      <c r="A309" s="4"/>
      <c r="C309" s="4" t="s">
        <v>3030</v>
      </c>
      <c r="D309" s="4" t="str">
        <f t="shared" si="1"/>
        <v>{"valorA":"econômico","valorB":1}</v>
      </c>
      <c r="E309" s="8" t="str">
        <f t="shared" si="2"/>
        <v>econômico</v>
      </c>
      <c r="F309" s="8"/>
      <c r="G309" s="8" t="str">
        <f t="shared" si="3"/>
        <v>1</v>
      </c>
      <c r="H309" s="9">
        <f t="shared" si="4"/>
        <v>1</v>
      </c>
      <c r="I309" s="10">
        <f>IFERROR(__xludf.DUMMYFUNCTION("MAX(FILTER($H$2:$H1416,$E$2:$E1416=F309))"),0.0)</f>
        <v>0</v>
      </c>
    </row>
    <row r="310">
      <c r="A310" s="4"/>
      <c r="C310" s="4" t="s">
        <v>3425</v>
      </c>
      <c r="D310" s="4" t="str">
        <f t="shared" si="1"/>
        <v>{"valorA":"foi","valorB":2}</v>
      </c>
      <c r="E310" s="8" t="str">
        <f t="shared" si="2"/>
        <v>foi</v>
      </c>
      <c r="F310" s="8"/>
      <c r="G310" s="8" t="str">
        <f t="shared" si="3"/>
        <v>2</v>
      </c>
      <c r="H310" s="9">
        <f t="shared" si="4"/>
        <v>2</v>
      </c>
      <c r="I310" s="10">
        <f>IFERROR(__xludf.DUMMYFUNCTION("MAX(FILTER($H$2:$H1416,$E$2:$E1416=F310))"),0.0)</f>
        <v>0</v>
      </c>
    </row>
    <row r="311">
      <c r="A311" s="4"/>
      <c r="C311" s="4" t="s">
        <v>3426</v>
      </c>
      <c r="D311" s="4" t="str">
        <f t="shared" si="1"/>
        <v>{"valorA":"na","valorB":2}</v>
      </c>
      <c r="E311" s="8" t="str">
        <f t="shared" si="2"/>
        <v>na</v>
      </c>
      <c r="F311" s="8"/>
      <c r="G311" s="8" t="str">
        <f t="shared" si="3"/>
        <v>2</v>
      </c>
      <c r="H311" s="9">
        <f t="shared" si="4"/>
        <v>2</v>
      </c>
      <c r="I311" s="10">
        <f>IFERROR(__xludf.DUMMYFUNCTION("MAX(FILTER($H$2:$H1416,$E$2:$E1416=F311))"),0.0)</f>
        <v>0</v>
      </c>
    </row>
    <row r="312">
      <c r="A312" s="4"/>
      <c r="C312" s="4" t="s">
        <v>3427</v>
      </c>
      <c r="D312" s="4" t="str">
        <f t="shared" si="1"/>
        <v>{"valorA":"hora","valorB":1}</v>
      </c>
      <c r="E312" s="8" t="str">
        <f t="shared" si="2"/>
        <v>hora</v>
      </c>
      <c r="F312" s="8"/>
      <c r="G312" s="8" t="str">
        <f t="shared" si="3"/>
        <v>1</v>
      </c>
      <c r="H312" s="9">
        <f t="shared" si="4"/>
        <v>1</v>
      </c>
      <c r="I312" s="10">
        <f>IFERROR(__xludf.DUMMYFUNCTION("MAX(FILTER($H$2:$H1416,$E$2:$E1416=F312))"),0.0)</f>
        <v>0</v>
      </c>
    </row>
    <row r="313">
      <c r="A313" s="4"/>
      <c r="C313" s="4" t="s">
        <v>2919</v>
      </c>
      <c r="D313" s="4" t="str">
        <f t="shared" si="1"/>
        <v>{"valorA":"da","valorB":1}</v>
      </c>
      <c r="E313" s="8" t="str">
        <f t="shared" si="2"/>
        <v>da</v>
      </c>
      <c r="F313" s="8"/>
      <c r="G313" s="8" t="str">
        <f t="shared" si="3"/>
        <v>1</v>
      </c>
      <c r="H313" s="9">
        <f t="shared" si="4"/>
        <v>1</v>
      </c>
      <c r="I313" s="10">
        <f>IFERROR(__xludf.DUMMYFUNCTION("MAX(FILTER($H$2:$H1416,$E$2:$E1416=F313))"),0.0)</f>
        <v>0</v>
      </c>
    </row>
    <row r="314">
      <c r="A314" s="4"/>
      <c r="C314" s="4" t="s">
        <v>2707</v>
      </c>
      <c r="D314" s="4" t="str">
        <f t="shared" si="1"/>
        <v>{"valorA":"do","valorB":2}</v>
      </c>
      <c r="E314" s="8" t="str">
        <f t="shared" si="2"/>
        <v>do</v>
      </c>
      <c r="F314" s="8"/>
      <c r="G314" s="8" t="str">
        <f t="shared" si="3"/>
        <v>2</v>
      </c>
      <c r="H314" s="9">
        <f t="shared" si="4"/>
        <v>2</v>
      </c>
      <c r="I314" s="10">
        <f>IFERROR(__xludf.DUMMYFUNCTION("MAX(FILTER($H$2:$H1416,$E$2:$E1416=F314))"),0.0)</f>
        <v>0</v>
      </c>
    </row>
    <row r="315">
      <c r="A315" s="4"/>
      <c r="C315" s="4" t="s">
        <v>3428</v>
      </c>
      <c r="D315" s="4" t="str">
        <f t="shared" si="1"/>
        <v>{"valorA":"quarto","valorB":1}</v>
      </c>
      <c r="E315" s="8" t="str">
        <f t="shared" si="2"/>
        <v>quarto</v>
      </c>
      <c r="F315" s="8"/>
      <c r="G315" s="8" t="str">
        <f t="shared" si="3"/>
        <v>1</v>
      </c>
      <c r="H315" s="9">
        <f t="shared" si="4"/>
        <v>1</v>
      </c>
      <c r="I315" s="10">
        <f>IFERROR(__xludf.DUMMYFUNCTION("MAX(FILTER($H$2:$H1416,$E$2:$E1416=F315))"),0.0)</f>
        <v>0</v>
      </c>
    </row>
    <row r="316">
      <c r="A316" s="4"/>
      <c r="C316" s="4" t="s">
        <v>3429</v>
      </c>
      <c r="D316" s="4" t="str">
        <f t="shared" si="1"/>
        <v>{"valorA":"festa","valorB":1}</v>
      </c>
      <c r="E316" s="8" t="str">
        <f t="shared" si="2"/>
        <v>festa</v>
      </c>
      <c r="F316" s="8"/>
      <c r="G316" s="8" t="str">
        <f t="shared" si="3"/>
        <v>1</v>
      </c>
      <c r="H316" s="9">
        <f t="shared" si="4"/>
        <v>1</v>
      </c>
      <c r="I316" s="10">
        <f>IFERROR(__xludf.DUMMYFUNCTION("MAX(FILTER($H$2:$H1416,$E$2:$E1416=F316))"),0.0)</f>
        <v>0</v>
      </c>
    </row>
    <row r="317">
      <c r="A317" s="4"/>
      <c r="C317" s="4" t="s">
        <v>3430</v>
      </c>
      <c r="D317" s="4" t="str">
        <f t="shared" si="1"/>
        <v>{"valorA":"útil","valorB":2}</v>
      </c>
      <c r="E317" s="8" t="str">
        <f t="shared" si="2"/>
        <v>útil</v>
      </c>
      <c r="F317" s="8"/>
      <c r="G317" s="8" t="str">
        <f t="shared" si="3"/>
        <v>2</v>
      </c>
      <c r="H317" s="9">
        <f t="shared" si="4"/>
        <v>2</v>
      </c>
      <c r="I317" s="10">
        <f>IFERROR(__xludf.DUMMYFUNCTION("MAX(FILTER($H$2:$H1416,$E$2:$E1416=F317))"),0.0)</f>
        <v>0</v>
      </c>
    </row>
    <row r="318">
      <c r="A318" s="4"/>
      <c r="C318" s="4" t="s">
        <v>3128</v>
      </c>
      <c r="D318" s="4" t="str">
        <f t="shared" si="1"/>
        <v>{"valorA":"de","valorB":13}</v>
      </c>
      <c r="E318" s="8" t="str">
        <f t="shared" si="2"/>
        <v>de</v>
      </c>
      <c r="F318" s="8"/>
      <c r="G318" s="8" t="str">
        <f t="shared" si="3"/>
        <v>13</v>
      </c>
      <c r="H318" s="9">
        <f t="shared" si="4"/>
        <v>13</v>
      </c>
      <c r="I318" s="10">
        <f>IFERROR(__xludf.DUMMYFUNCTION("MAX(FILTER($H$2:$H1416,$E$2:$E1416=F318))"),0.0)</f>
        <v>0</v>
      </c>
    </row>
    <row r="319">
      <c r="A319" s="4"/>
      <c r="C319" s="4" t="s">
        <v>3431</v>
      </c>
      <c r="D319" s="4" t="str">
        <f t="shared" si="1"/>
        <v>{"valorA":"anivers","valorB":1}</v>
      </c>
      <c r="E319" s="8" t="str">
        <f t="shared" si="2"/>
        <v>anivers</v>
      </c>
      <c r="F319" s="8"/>
      <c r="G319" s="8" t="str">
        <f t="shared" si="3"/>
        <v>1</v>
      </c>
      <c r="H319" s="9">
        <f t="shared" si="4"/>
        <v>1</v>
      </c>
      <c r="I319" s="10">
        <f>IFERROR(__xludf.DUMMYFUNCTION("MAX(FILTER($H$2:$H1416,$E$2:$E1416=F319))"),0.0)</f>
        <v>0</v>
      </c>
    </row>
    <row r="320">
      <c r="A320" s="4"/>
      <c r="C320" s="4" t="s">
        <v>3432</v>
      </c>
      <c r="D320" s="4" t="str">
        <f t="shared" si="1"/>
        <v>{"valorA":"cadeirante","valorB":1}</v>
      </c>
      <c r="E320" s="8" t="str">
        <f t="shared" si="2"/>
        <v>cadeirante</v>
      </c>
      <c r="F320" s="8"/>
      <c r="G320" s="8" t="str">
        <f t="shared" si="3"/>
        <v>1</v>
      </c>
      <c r="H320" s="9">
        <f t="shared" si="4"/>
        <v>1</v>
      </c>
      <c r="I320" s="10">
        <f>IFERROR(__xludf.DUMMYFUNCTION("MAX(FILTER($H$2:$H1416,$E$2:$E1416=F320))"),0.0)</f>
        <v>0</v>
      </c>
    </row>
    <row r="321">
      <c r="A321" s="4"/>
      <c r="C321" s="4" t="s">
        <v>2818</v>
      </c>
      <c r="D321" s="4" t="str">
        <f t="shared" si="1"/>
        <v>{"valorA":"ótimo","valorB":27}</v>
      </c>
      <c r="E321" s="8" t="str">
        <f t="shared" si="2"/>
        <v>ótimo</v>
      </c>
      <c r="F321" s="8"/>
      <c r="G321" s="8" t="str">
        <f t="shared" si="3"/>
        <v>27</v>
      </c>
      <c r="H321" s="9">
        <f t="shared" si="4"/>
        <v>27</v>
      </c>
      <c r="I321" s="10">
        <f>IFERROR(__xludf.DUMMYFUNCTION("MAX(FILTER($H$2:$H1416,$E$2:$E1416=F321))"),0.0)</f>
        <v>0</v>
      </c>
    </row>
    <row r="322">
      <c r="A322" s="4"/>
      <c r="C322" s="4" t="s">
        <v>2768</v>
      </c>
      <c r="D322" s="4" t="str">
        <f t="shared" si="1"/>
        <v>{"valorA":"confortável","valorB":3}</v>
      </c>
      <c r="E322" s="8" t="str">
        <f t="shared" si="2"/>
        <v>confortável</v>
      </c>
      <c r="F322" s="8"/>
      <c r="G322" s="8" t="str">
        <f t="shared" si="3"/>
        <v>3</v>
      </c>
      <c r="H322" s="9">
        <f t="shared" si="4"/>
        <v>3</v>
      </c>
      <c r="I322" s="10">
        <f>IFERROR(__xludf.DUMMYFUNCTION("MAX(FILTER($H$2:$H1416,$E$2:$E1416=F322))"),0.0)</f>
        <v>0</v>
      </c>
    </row>
    <row r="323">
      <c r="A323" s="4"/>
      <c r="C323" s="4" t="s">
        <v>3433</v>
      </c>
      <c r="D323" s="4" t="str">
        <f t="shared" si="1"/>
        <v>{"valorA":"achei","valorB":2}</v>
      </c>
      <c r="E323" s="8" t="str">
        <f t="shared" si="2"/>
        <v>achei</v>
      </c>
      <c r="F323" s="8"/>
      <c r="G323" s="8" t="str">
        <f t="shared" si="3"/>
        <v>2</v>
      </c>
      <c r="H323" s="9">
        <f t="shared" si="4"/>
        <v>2</v>
      </c>
      <c r="I323" s="10">
        <f>IFERROR(__xludf.DUMMYFUNCTION("MAX(FILTER($H$2:$H1416,$E$2:$E1416=F323))"),0.0)</f>
        <v>0</v>
      </c>
    </row>
    <row r="324">
      <c r="A324" s="4"/>
      <c r="C324" s="4" t="s">
        <v>3434</v>
      </c>
      <c r="D324" s="4" t="str">
        <f t="shared" si="1"/>
        <v>{"valorA":"elétrico","valorB":1}</v>
      </c>
      <c r="E324" s="8" t="str">
        <f t="shared" si="2"/>
        <v>elétrico</v>
      </c>
      <c r="F324" s="8"/>
      <c r="G324" s="8" t="str">
        <f t="shared" si="3"/>
        <v>1</v>
      </c>
      <c r="H324" s="9">
        <f t="shared" si="4"/>
        <v>1</v>
      </c>
      <c r="I324" s="10">
        <f>IFERROR(__xludf.DUMMYFUNCTION("MAX(FILTER($H$2:$H1416,$E$2:$E1416=F324))"),0.0)</f>
        <v>0</v>
      </c>
    </row>
    <row r="325">
      <c r="A325" s="4"/>
      <c r="C325" s="4" t="s">
        <v>3435</v>
      </c>
      <c r="D325" s="4" t="str">
        <f t="shared" si="1"/>
        <v>{"valorA":"bastante","valorB":4}</v>
      </c>
      <c r="E325" s="8" t="str">
        <f t="shared" si="2"/>
        <v>bastante</v>
      </c>
      <c r="F325" s="8"/>
      <c r="G325" s="8" t="str">
        <f t="shared" si="3"/>
        <v>4</v>
      </c>
      <c r="H325" s="9">
        <f t="shared" si="4"/>
        <v>4</v>
      </c>
      <c r="I325" s="10">
        <f>IFERROR(__xludf.DUMMYFUNCTION("MAX(FILTER($H$2:$H1416,$E$2:$E1416=F325))"),0.0)</f>
        <v>0</v>
      </c>
    </row>
    <row r="326">
      <c r="A326" s="4"/>
      <c r="C326" s="4" t="s">
        <v>3436</v>
      </c>
      <c r="D326" s="4" t="str">
        <f t="shared" si="1"/>
        <v>{"valorA":"ótima","valorB":8}</v>
      </c>
      <c r="E326" s="8" t="str">
        <f t="shared" si="2"/>
        <v>ótima</v>
      </c>
      <c r="F326" s="8"/>
      <c r="G326" s="8" t="str">
        <f t="shared" si="3"/>
        <v>8</v>
      </c>
      <c r="H326" s="9">
        <f t="shared" si="4"/>
        <v>8</v>
      </c>
      <c r="I326" s="10">
        <f>IFERROR(__xludf.DUMMYFUNCTION("MAX(FILTER($H$2:$H1416,$E$2:$E1416=F326))"),0.0)</f>
        <v>0</v>
      </c>
    </row>
    <row r="327">
      <c r="A327" s="4"/>
      <c r="C327" s="4" t="s">
        <v>3058</v>
      </c>
      <c r="D327" s="4" t="str">
        <f t="shared" si="1"/>
        <v>{"valorA":"recomendo","valorB":3}</v>
      </c>
      <c r="E327" s="8" t="str">
        <f t="shared" si="2"/>
        <v>recomendo</v>
      </c>
      <c r="F327" s="8"/>
      <c r="G327" s="8" t="str">
        <f t="shared" si="3"/>
        <v>3</v>
      </c>
      <c r="H327" s="9">
        <f t="shared" si="4"/>
        <v>3</v>
      </c>
      <c r="I327" s="10">
        <f>IFERROR(__xludf.DUMMYFUNCTION("MAX(FILTER($H$2:$H1416,$E$2:$E1416=F327))"),0.0)</f>
        <v>0</v>
      </c>
    </row>
    <row r="328">
      <c r="A328" s="4"/>
      <c r="C328" s="4" t="s">
        <v>2802</v>
      </c>
      <c r="D328" s="4" t="str">
        <f t="shared" si="1"/>
        <v>{"valorA":"cadeira","valorB":3}</v>
      </c>
      <c r="E328" s="8" t="str">
        <f t="shared" si="2"/>
        <v>cadeira</v>
      </c>
      <c r="F328" s="8"/>
      <c r="G328" s="8" t="str">
        <f t="shared" si="3"/>
        <v>3</v>
      </c>
      <c r="H328" s="9">
        <f t="shared" si="4"/>
        <v>3</v>
      </c>
      <c r="I328" s="10">
        <f>IFERROR(__xludf.DUMMYFUNCTION("MAX(FILTER($H$2:$H1416,$E$2:$E1416=F328))"),0.0)</f>
        <v>0</v>
      </c>
    </row>
    <row r="329">
      <c r="A329" s="4"/>
      <c r="C329" s="4" t="s">
        <v>3136</v>
      </c>
      <c r="D329" s="4" t="str">
        <f t="shared" si="1"/>
        <v>{"valorA":"de","valorB":14}</v>
      </c>
      <c r="E329" s="8" t="str">
        <f t="shared" si="2"/>
        <v>de</v>
      </c>
      <c r="F329" s="8"/>
      <c r="G329" s="8" t="str">
        <f t="shared" si="3"/>
        <v>14</v>
      </c>
      <c r="H329" s="9">
        <f t="shared" si="4"/>
        <v>14</v>
      </c>
      <c r="I329" s="10">
        <f>IFERROR(__xludf.DUMMYFUNCTION("MAX(FILTER($H$2:$H1416,$E$2:$E1416=F329))"),0.0)</f>
        <v>0</v>
      </c>
    </row>
    <row r="330">
      <c r="A330" s="4"/>
      <c r="C330" s="4" t="s">
        <v>3437</v>
      </c>
      <c r="D330" s="4" t="str">
        <f t="shared" si="1"/>
        <v>{"valorA":"escritório","valorB":4}</v>
      </c>
      <c r="E330" s="8" t="str">
        <f t="shared" si="2"/>
        <v>escritório</v>
      </c>
      <c r="F330" s="8"/>
      <c r="G330" s="8" t="str">
        <f t="shared" si="3"/>
        <v>4</v>
      </c>
      <c r="H330" s="9">
        <f t="shared" si="4"/>
        <v>4</v>
      </c>
      <c r="I330" s="10">
        <f>IFERROR(__xludf.DUMMYFUNCTION("MAX(FILTER($H$2:$H1416,$E$2:$E1416=F330))"),0.0)</f>
        <v>0</v>
      </c>
    </row>
    <row r="331">
      <c r="A331" s="4"/>
      <c r="C331" s="4" t="s">
        <v>3195</v>
      </c>
      <c r="D331" s="4" t="str">
        <f t="shared" si="1"/>
        <v>{"valorA":"funciona","valorB":10}</v>
      </c>
      <c r="E331" s="8" t="str">
        <f t="shared" si="2"/>
        <v>funciona</v>
      </c>
      <c r="F331" s="8"/>
      <c r="G331" s="8" t="str">
        <f t="shared" si="3"/>
        <v>10</v>
      </c>
      <c r="H331" s="9">
        <f t="shared" si="4"/>
        <v>10</v>
      </c>
      <c r="I331" s="10">
        <f>IFERROR(__xludf.DUMMYFUNCTION("MAX(FILTER($H$2:$H1416,$E$2:$E1416=F331))"),0.0)</f>
        <v>0</v>
      </c>
    </row>
    <row r="332">
      <c r="A332" s="4"/>
      <c r="C332" s="4" t="s">
        <v>2828</v>
      </c>
      <c r="D332" s="4" t="str">
        <f t="shared" si="1"/>
        <v>{"valorA":"ótimo","valorB":28}</v>
      </c>
      <c r="E332" s="8" t="str">
        <f t="shared" si="2"/>
        <v>ótimo</v>
      </c>
      <c r="F332" s="8"/>
      <c r="G332" s="8" t="str">
        <f t="shared" si="3"/>
        <v>28</v>
      </c>
      <c r="H332" s="9">
        <f t="shared" si="4"/>
        <v>28</v>
      </c>
      <c r="I332" s="10">
        <f>IFERROR(__xludf.DUMMYFUNCTION("MAX(FILTER($H$2:$H1416,$E$2:$E1416=F332))"),0.0)</f>
        <v>0</v>
      </c>
    </row>
    <row r="333">
      <c r="A333" s="4"/>
      <c r="C333" s="4" t="s">
        <v>3438</v>
      </c>
      <c r="D333" s="4" t="str">
        <f t="shared" si="1"/>
        <v>{"valorA":"aquecedor","valorB":1}</v>
      </c>
      <c r="E333" s="8" t="str">
        <f t="shared" si="2"/>
        <v>aquecedor</v>
      </c>
      <c r="F333" s="8"/>
      <c r="G333" s="8" t="str">
        <f t="shared" si="3"/>
        <v>1</v>
      </c>
      <c r="H333" s="9">
        <f t="shared" si="4"/>
        <v>1</v>
      </c>
      <c r="I333" s="10">
        <f>IFERROR(__xludf.DUMMYFUNCTION("MAX(FILTER($H$2:$H1416,$E$2:$E1416=F333))"),0.0)</f>
        <v>0</v>
      </c>
    </row>
    <row r="334">
      <c r="A334" s="4"/>
      <c r="C334" s="4" t="s">
        <v>2854</v>
      </c>
      <c r="D334" s="4" t="str">
        <f t="shared" si="1"/>
        <v>{"valorA":"para","valorB":8}</v>
      </c>
      <c r="E334" s="8" t="str">
        <f t="shared" si="2"/>
        <v>para</v>
      </c>
      <c r="F334" s="8"/>
      <c r="G334" s="8" t="str">
        <f t="shared" si="3"/>
        <v>8</v>
      </c>
      <c r="H334" s="9">
        <f t="shared" si="4"/>
        <v>8</v>
      </c>
      <c r="I334" s="10">
        <f>IFERROR(__xludf.DUMMYFUNCTION("MAX(FILTER($H$2:$H1416,$E$2:$E1416=F334))"),0.0)</f>
        <v>0</v>
      </c>
    </row>
    <row r="335">
      <c r="A335" s="4"/>
      <c r="C335" s="4" t="s">
        <v>3439</v>
      </c>
      <c r="D335" s="4" t="str">
        <f t="shared" si="1"/>
        <v>{"valorA":"muito","valorB":19}</v>
      </c>
      <c r="E335" s="8" t="str">
        <f t="shared" si="2"/>
        <v>muito</v>
      </c>
      <c r="F335" s="8"/>
      <c r="G335" s="8" t="str">
        <f t="shared" si="3"/>
        <v>19</v>
      </c>
      <c r="H335" s="9">
        <f t="shared" si="4"/>
        <v>19</v>
      </c>
      <c r="I335" s="10">
        <f>IFERROR(__xludf.DUMMYFUNCTION("MAX(FILTER($H$2:$H1416,$E$2:$E1416=F335))"),0.0)</f>
        <v>0</v>
      </c>
    </row>
    <row r="336">
      <c r="A336" s="4"/>
      <c r="C336" s="4" t="s">
        <v>3440</v>
      </c>
      <c r="D336" s="4" t="str">
        <f t="shared" si="1"/>
        <v>{"valorA":"banho","valorB":1}</v>
      </c>
      <c r="E336" s="8" t="str">
        <f t="shared" si="2"/>
        <v>banho</v>
      </c>
      <c r="F336" s="8"/>
      <c r="G336" s="8" t="str">
        <f t="shared" si="3"/>
        <v>1</v>
      </c>
      <c r="H336" s="9">
        <f t="shared" si="4"/>
        <v>1</v>
      </c>
      <c r="I336" s="10">
        <f>IFERROR(__xludf.DUMMYFUNCTION("MAX(FILTER($H$2:$H1416,$E$2:$E1416=F336))"),0.0)</f>
        <v>0</v>
      </c>
    </row>
    <row r="337">
      <c r="A337" s="4"/>
      <c r="C337" s="4" t="s">
        <v>3183</v>
      </c>
      <c r="D337" s="4" t="str">
        <f t="shared" si="1"/>
        <v>{"valorA":"bem","valorB":9}</v>
      </c>
      <c r="E337" s="8" t="str">
        <f t="shared" si="2"/>
        <v>bem</v>
      </c>
      <c r="F337" s="8"/>
      <c r="G337" s="8" t="str">
        <f t="shared" si="3"/>
        <v>9</v>
      </c>
      <c r="H337" s="9">
        <f t="shared" si="4"/>
        <v>9</v>
      </c>
      <c r="I337" s="10">
        <f>IFERROR(__xludf.DUMMYFUNCTION("MAX(FILTER($H$2:$H1416,$E$2:$E1416=F337))"),0.0)</f>
        <v>0</v>
      </c>
    </row>
    <row r="338">
      <c r="A338" s="4"/>
      <c r="C338" s="4" t="s">
        <v>3180</v>
      </c>
      <c r="D338" s="4" t="str">
        <f t="shared" si="1"/>
        <v>{"valorA":"de","valorB":15}</v>
      </c>
      <c r="E338" s="8" t="str">
        <f t="shared" si="2"/>
        <v>de</v>
      </c>
      <c r="F338" s="8"/>
      <c r="G338" s="8" t="str">
        <f t="shared" si="3"/>
        <v>15</v>
      </c>
      <c r="H338" s="9">
        <f t="shared" si="4"/>
        <v>15</v>
      </c>
      <c r="I338" s="10">
        <f>IFERROR(__xludf.DUMMYFUNCTION("MAX(FILTER($H$2:$H1416,$E$2:$E1416=F338))"),0.0)</f>
        <v>0</v>
      </c>
    </row>
    <row r="339">
      <c r="A339" s="4"/>
      <c r="C339" s="4" t="s">
        <v>3441</v>
      </c>
      <c r="D339" s="4" t="str">
        <f t="shared" si="1"/>
        <v>{"valorA":"condicionado","valorB":1}</v>
      </c>
      <c r="E339" s="8" t="str">
        <f t="shared" si="2"/>
        <v>condicionado</v>
      </c>
      <c r="F339" s="8"/>
      <c r="G339" s="8" t="str">
        <f t="shared" si="3"/>
        <v>1</v>
      </c>
      <c r="H339" s="9">
        <f t="shared" si="4"/>
        <v>1</v>
      </c>
      <c r="I339" s="10">
        <f>IFERROR(__xludf.DUMMYFUNCTION("MAX(FILTER($H$2:$H1416,$E$2:$E1416=F339))"),0.0)</f>
        <v>0</v>
      </c>
    </row>
    <row r="340">
      <c r="A340" s="4"/>
      <c r="C340" s="4" t="s">
        <v>2831</v>
      </c>
      <c r="D340" s="4" t="str">
        <f t="shared" si="1"/>
        <v>{"valorA":"ótimo","valorB":29}</v>
      </c>
      <c r="E340" s="8" t="str">
        <f t="shared" si="2"/>
        <v>ótimo</v>
      </c>
      <c r="F340" s="8"/>
      <c r="G340" s="8" t="str">
        <f t="shared" si="3"/>
        <v>29</v>
      </c>
      <c r="H340" s="9">
        <f t="shared" si="4"/>
        <v>29</v>
      </c>
      <c r="I340" s="10">
        <f>IFERROR(__xludf.DUMMYFUNCTION("MAX(FILTER($H$2:$H1416,$E$2:$E1416=F340))"),0.0)</f>
        <v>0</v>
      </c>
    </row>
    <row r="341">
      <c r="A341" s="4"/>
      <c r="C341" s="4" t="s">
        <v>3442</v>
      </c>
      <c r="D341" s="4" t="str">
        <f t="shared" si="1"/>
        <v>{"valorA":"sistema","valorB":1}</v>
      </c>
      <c r="E341" s="8" t="str">
        <f t="shared" si="2"/>
        <v>sistema</v>
      </c>
      <c r="F341" s="8"/>
      <c r="G341" s="8" t="str">
        <f t="shared" si="3"/>
        <v>1</v>
      </c>
      <c r="H341" s="9">
        <f t="shared" si="4"/>
        <v>1</v>
      </c>
      <c r="I341" s="10">
        <f>IFERROR(__xludf.DUMMYFUNCTION("MAX(FILTER($H$2:$H1416,$E$2:$E1416=F341))"),0.0)</f>
        <v>0</v>
      </c>
    </row>
    <row r="342">
      <c r="A342" s="4"/>
      <c r="C342" s="4" t="s">
        <v>3443</v>
      </c>
      <c r="D342" s="4" t="str">
        <f t="shared" si="1"/>
        <v>{"valorA":"muito","valorB":20}</v>
      </c>
      <c r="E342" s="8" t="str">
        <f t="shared" si="2"/>
        <v>muito</v>
      </c>
      <c r="F342" s="8"/>
      <c r="G342" s="8" t="str">
        <f t="shared" si="3"/>
        <v>20</v>
      </c>
      <c r="H342" s="9">
        <f t="shared" si="4"/>
        <v>20</v>
      </c>
      <c r="I342" s="10">
        <f>IFERROR(__xludf.DUMMYFUNCTION("MAX(FILTER($H$2:$H1416,$E$2:$E1416=F342))"),0.0)</f>
        <v>0</v>
      </c>
    </row>
    <row r="343">
      <c r="A343" s="4"/>
      <c r="C343" s="4" t="s">
        <v>3216</v>
      </c>
      <c r="D343" s="4" t="str">
        <f t="shared" si="1"/>
        <v>{"valorA":"bem","valorB":10}</v>
      </c>
      <c r="E343" s="8" t="str">
        <f t="shared" si="2"/>
        <v>bem</v>
      </c>
      <c r="F343" s="8"/>
      <c r="G343" s="8" t="str">
        <f t="shared" si="3"/>
        <v>10</v>
      </c>
      <c r="H343" s="9">
        <f t="shared" si="4"/>
        <v>10</v>
      </c>
      <c r="I343" s="10">
        <f>IFERROR(__xludf.DUMMYFUNCTION("MAX(FILTER($H$2:$H1416,$E$2:$E1416=F343))"),0.0)</f>
        <v>0</v>
      </c>
    </row>
    <row r="344">
      <c r="A344" s="4"/>
      <c r="C344" s="4" t="s">
        <v>3444</v>
      </c>
      <c r="D344" s="4" t="str">
        <f t="shared" si="1"/>
        <v>{"valorA":"ar","valorB":1}</v>
      </c>
      <c r="E344" s="8" t="str">
        <f t="shared" si="2"/>
        <v>ar</v>
      </c>
      <c r="F344" s="8"/>
      <c r="G344" s="8" t="str">
        <f t="shared" si="3"/>
        <v>1</v>
      </c>
      <c r="H344" s="9">
        <f t="shared" si="4"/>
        <v>1</v>
      </c>
      <c r="I344" s="10">
        <f>IFERROR(__xludf.DUMMYFUNCTION("MAX(FILTER($H$2:$H1416,$E$2:$E1416=F344))"),0.0)</f>
        <v>0</v>
      </c>
    </row>
    <row r="345">
      <c r="A345" s="4"/>
      <c r="C345" s="4" t="s">
        <v>3211</v>
      </c>
      <c r="D345" s="4" t="str">
        <f t="shared" si="1"/>
        <v>{"valorA":"funciona","valorB":11}</v>
      </c>
      <c r="E345" s="8" t="str">
        <f t="shared" si="2"/>
        <v>funciona</v>
      </c>
      <c r="F345" s="8"/>
      <c r="G345" s="8" t="str">
        <f t="shared" si="3"/>
        <v>11</v>
      </c>
      <c r="H345" s="9">
        <f t="shared" si="4"/>
        <v>11</v>
      </c>
      <c r="I345" s="10">
        <f>IFERROR(__xludf.DUMMYFUNCTION("MAX(FILTER($H$2:$H1416,$E$2:$E1416=F345))"),0.0)</f>
        <v>0</v>
      </c>
    </row>
    <row r="346">
      <c r="A346" s="4"/>
      <c r="C346" s="4" t="s">
        <v>2863</v>
      </c>
      <c r="D346" s="4" t="str">
        <f t="shared" si="1"/>
        <v>{"valorA":"para","valorB":9}</v>
      </c>
      <c r="E346" s="8" t="str">
        <f t="shared" si="2"/>
        <v>para</v>
      </c>
      <c r="F346" s="8"/>
      <c r="G346" s="8" t="str">
        <f t="shared" si="3"/>
        <v>9</v>
      </c>
      <c r="H346" s="9">
        <f t="shared" si="4"/>
        <v>9</v>
      </c>
      <c r="I346" s="10">
        <f>IFERROR(__xludf.DUMMYFUNCTION("MAX(FILTER($H$2:$H1416,$E$2:$E1416=F346))"),0.0)</f>
        <v>0</v>
      </c>
    </row>
    <row r="347">
      <c r="A347" s="4"/>
      <c r="C347" s="4" t="s">
        <v>3445</v>
      </c>
      <c r="D347" s="4" t="str">
        <f t="shared" si="1"/>
        <v>{"valorA":"em","valorB":3}</v>
      </c>
      <c r="E347" s="8" t="str">
        <f t="shared" si="2"/>
        <v>em</v>
      </c>
      <c r="F347" s="8"/>
      <c r="G347" s="8" t="str">
        <f t="shared" si="3"/>
        <v>3</v>
      </c>
      <c r="H347" s="9">
        <f t="shared" si="4"/>
        <v>3</v>
      </c>
      <c r="I347" s="10">
        <f>IFERROR(__xludf.DUMMYFUNCTION("MAX(FILTER($H$2:$H1416,$E$2:$E1416=F347))"),0.0)</f>
        <v>0</v>
      </c>
    </row>
    <row r="348">
      <c r="A348" s="4"/>
      <c r="C348" s="4" t="s">
        <v>3184</v>
      </c>
      <c r="D348" s="4" t="str">
        <f t="shared" si="1"/>
        <v>{"valorA":"casa","valorB":1}</v>
      </c>
      <c r="E348" s="8" t="str">
        <f t="shared" si="2"/>
        <v>casa</v>
      </c>
      <c r="F348" s="8"/>
      <c r="G348" s="8" t="str">
        <f t="shared" si="3"/>
        <v>1</v>
      </c>
      <c r="H348" s="9">
        <f t="shared" si="4"/>
        <v>1</v>
      </c>
      <c r="I348" s="10">
        <f>IFERROR(__xludf.DUMMYFUNCTION("MAX(FILTER($H$2:$H1416,$E$2:$E1416=F348))"),0.0)</f>
        <v>0</v>
      </c>
    </row>
    <row r="349">
      <c r="A349" s="4"/>
      <c r="C349" s="4" t="s">
        <v>3446</v>
      </c>
      <c r="D349" s="4" t="str">
        <f t="shared" si="1"/>
        <v>{"valorA":"cadeira","valorB":4}</v>
      </c>
      <c r="E349" s="8" t="str">
        <f t="shared" si="2"/>
        <v>cadeira</v>
      </c>
      <c r="F349" s="8"/>
      <c r="G349" s="8" t="str">
        <f t="shared" si="3"/>
        <v>4</v>
      </c>
      <c r="H349" s="9">
        <f t="shared" si="4"/>
        <v>4</v>
      </c>
      <c r="I349" s="10">
        <f>IFERROR(__xludf.DUMMYFUNCTION("MAX(FILTER($H$2:$H1416,$E$2:$E1416=F349))"),0.0)</f>
        <v>0</v>
      </c>
    </row>
    <row r="350">
      <c r="A350" s="4"/>
      <c r="C350" s="4" t="s">
        <v>3447</v>
      </c>
      <c r="D350" s="4" t="str">
        <f t="shared" si="1"/>
        <v>{"valorA":"ótima","valorB":9}</v>
      </c>
      <c r="E350" s="8" t="str">
        <f t="shared" si="2"/>
        <v>ótima</v>
      </c>
      <c r="F350" s="8"/>
      <c r="G350" s="8" t="str">
        <f t="shared" si="3"/>
        <v>9</v>
      </c>
      <c r="H350" s="9">
        <f t="shared" si="4"/>
        <v>9</v>
      </c>
      <c r="I350" s="10">
        <f>IFERROR(__xludf.DUMMYFUNCTION("MAX(FILTER($H$2:$H1416,$E$2:$E1416=F350))"),0.0)</f>
        <v>0</v>
      </c>
    </row>
    <row r="351">
      <c r="A351" s="4"/>
      <c r="C351" s="4" t="s">
        <v>3448</v>
      </c>
      <c r="D351" s="4" t="str">
        <f t="shared" si="1"/>
        <v>{"valorA":"trabalhar","valorB":1}</v>
      </c>
      <c r="E351" s="8" t="str">
        <f t="shared" si="2"/>
        <v>trabalhar</v>
      </c>
      <c r="F351" s="8"/>
      <c r="G351" s="8" t="str">
        <f t="shared" si="3"/>
        <v>1</v>
      </c>
      <c r="H351" s="9">
        <f t="shared" si="4"/>
        <v>1</v>
      </c>
      <c r="I351" s="10">
        <f>IFERROR(__xludf.DUMMYFUNCTION("MAX(FILTER($H$2:$H1416,$E$2:$E1416=F351))"),0.0)</f>
        <v>0</v>
      </c>
    </row>
    <row r="352">
      <c r="A352" s="4"/>
      <c r="C352" s="4" t="s">
        <v>3108</v>
      </c>
      <c r="D352" s="4" t="str">
        <f t="shared" si="1"/>
        <v>{"valorA":"valeu","valorB":2}</v>
      </c>
      <c r="E352" s="8" t="str">
        <f t="shared" si="2"/>
        <v>valeu</v>
      </c>
      <c r="F352" s="8"/>
      <c r="G352" s="8" t="str">
        <f t="shared" si="3"/>
        <v>2</v>
      </c>
      <c r="H352" s="9">
        <f t="shared" si="4"/>
        <v>2</v>
      </c>
      <c r="I352" s="10">
        <f>IFERROR(__xludf.DUMMYFUNCTION("MAX(FILTER($H$2:$H1416,$E$2:$E1416=F352))"),0.0)</f>
        <v>0</v>
      </c>
    </row>
    <row r="353">
      <c r="A353" s="4"/>
      <c r="C353" s="4" t="s">
        <v>2789</v>
      </c>
      <c r="D353" s="4" t="str">
        <f t="shared" si="1"/>
        <v>{"valorA":"esse","valorB":3}</v>
      </c>
      <c r="E353" s="8" t="str">
        <f t="shared" si="2"/>
        <v>esse</v>
      </c>
      <c r="F353" s="8"/>
      <c r="G353" s="8" t="str">
        <f t="shared" si="3"/>
        <v>3</v>
      </c>
      <c r="H353" s="9">
        <f t="shared" si="4"/>
        <v>3</v>
      </c>
      <c r="I353" s="10">
        <f>IFERROR(__xludf.DUMMYFUNCTION("MAX(FILTER($H$2:$H1416,$E$2:$E1416=F353))"),0.0)</f>
        <v>0</v>
      </c>
    </row>
    <row r="354">
      <c r="A354" s="4"/>
      <c r="C354" s="4" t="s">
        <v>3449</v>
      </c>
      <c r="D354" s="4" t="str">
        <f t="shared" si="1"/>
        <v>{"valorA":"acho","valorB":1}</v>
      </c>
      <c r="E354" s="8" t="str">
        <f t="shared" si="2"/>
        <v>acho</v>
      </c>
      <c r="F354" s="8"/>
      <c r="G354" s="8" t="str">
        <f t="shared" si="3"/>
        <v>1</v>
      </c>
      <c r="H354" s="9">
        <f t="shared" si="4"/>
        <v>1</v>
      </c>
      <c r="I354" s="10">
        <f>IFERROR(__xludf.DUMMYFUNCTION("MAX(FILTER($H$2:$H1416,$E$2:$E1416=F354))"),0.0)</f>
        <v>0</v>
      </c>
    </row>
    <row r="355">
      <c r="A355" s="4"/>
      <c r="C355" s="4" t="s">
        <v>2841</v>
      </c>
      <c r="D355" s="4" t="str">
        <f t="shared" si="1"/>
        <v>{"valorA":"ótimo","valorB":30}</v>
      </c>
      <c r="E355" s="8" t="str">
        <f t="shared" si="2"/>
        <v>ótimo</v>
      </c>
      <c r="F355" s="8"/>
      <c r="G355" s="8" t="str">
        <f t="shared" si="3"/>
        <v>30</v>
      </c>
      <c r="H355" s="9">
        <f t="shared" si="4"/>
        <v>30</v>
      </c>
      <c r="I355" s="10">
        <f>IFERROR(__xludf.DUMMYFUNCTION("MAX(FILTER($H$2:$H1416,$E$2:$E1416=F355))"),0.0)</f>
        <v>0</v>
      </c>
    </row>
    <row r="356">
      <c r="A356" s="4"/>
      <c r="C356" s="4" t="s">
        <v>3450</v>
      </c>
      <c r="D356" s="4" t="str">
        <f t="shared" si="1"/>
        <v>{"valorA":"lavadora","valorB":1}</v>
      </c>
      <c r="E356" s="8" t="str">
        <f t="shared" si="2"/>
        <v>lavadora</v>
      </c>
      <c r="F356" s="8"/>
      <c r="G356" s="8" t="str">
        <f t="shared" si="3"/>
        <v>1</v>
      </c>
      <c r="H356" s="9">
        <f t="shared" si="4"/>
        <v>1</v>
      </c>
      <c r="I356" s="10">
        <f>IFERROR(__xludf.DUMMYFUNCTION("MAX(FILTER($H$2:$H1416,$E$2:$E1416=F356))"),0.0)</f>
        <v>0</v>
      </c>
    </row>
    <row r="357">
      <c r="A357" s="4"/>
      <c r="C357" s="4" t="s">
        <v>2887</v>
      </c>
      <c r="D357" s="4" t="str">
        <f t="shared" si="1"/>
        <v>{"valorA":"que","valorB":7}</v>
      </c>
      <c r="E357" s="8" t="str">
        <f t="shared" si="2"/>
        <v>que</v>
      </c>
      <c r="F357" s="8"/>
      <c r="G357" s="8" t="str">
        <f t="shared" si="3"/>
        <v>7</v>
      </c>
      <c r="H357" s="9">
        <f t="shared" si="4"/>
        <v>7</v>
      </c>
      <c r="I357" s="10">
        <f>IFERROR(__xludf.DUMMYFUNCTION("MAX(FILTER($H$2:$H1416,$E$2:$E1416=F357))"),0.0)</f>
        <v>0</v>
      </c>
    </row>
    <row r="358">
      <c r="A358" s="4"/>
      <c r="C358" s="4" t="s">
        <v>3451</v>
      </c>
      <c r="D358" s="4" t="str">
        <f t="shared" si="1"/>
        <v>{"valorA":"eficiente","valorB":1}</v>
      </c>
      <c r="E358" s="8" t="str">
        <f t="shared" si="2"/>
        <v>eficiente</v>
      </c>
      <c r="F358" s="8"/>
      <c r="G358" s="8" t="str">
        <f t="shared" si="3"/>
        <v>1</v>
      </c>
      <c r="H358" s="9">
        <f t="shared" si="4"/>
        <v>1</v>
      </c>
      <c r="I358" s="10">
        <f>IFERROR(__xludf.DUMMYFUNCTION("MAX(FILTER($H$2:$H1416,$E$2:$E1416=F358))"),0.0)</f>
        <v>0</v>
      </c>
    </row>
    <row r="359">
      <c r="A359" s="4"/>
      <c r="C359" s="4" t="s">
        <v>3452</v>
      </c>
      <c r="D359" s="4" t="str">
        <f t="shared" si="1"/>
        <v>{"valorA":"o","valorB":12}</v>
      </c>
      <c r="E359" s="8" t="str">
        <f t="shared" si="2"/>
        <v>o</v>
      </c>
      <c r="F359" s="8"/>
      <c r="G359" s="8" t="str">
        <f t="shared" si="3"/>
        <v>12</v>
      </c>
      <c r="H359" s="9">
        <f t="shared" si="4"/>
        <v>12</v>
      </c>
      <c r="I359" s="10">
        <f>IFERROR(__xludf.DUMMYFUNCTION("MAX(FILTER($H$2:$H1416,$E$2:$E1416=F359))"),0.0)</f>
        <v>0</v>
      </c>
    </row>
    <row r="360">
      <c r="A360" s="4"/>
      <c r="C360" s="4" t="s">
        <v>3453</v>
      </c>
      <c r="D360" s="4" t="str">
        <f t="shared" si="1"/>
        <v>{"valorA":"investimento","valorB":1}</v>
      </c>
      <c r="E360" s="8" t="str">
        <f t="shared" si="2"/>
        <v>investimento</v>
      </c>
      <c r="F360" s="8"/>
      <c r="G360" s="8" t="str">
        <f t="shared" si="3"/>
        <v>1</v>
      </c>
      <c r="H360" s="9">
        <f t="shared" si="4"/>
        <v>1</v>
      </c>
      <c r="I360" s="10">
        <f>IFERROR(__xludf.DUMMYFUNCTION("MAX(FILTER($H$2:$H1416,$E$2:$E1416=F360))"),0.0)</f>
        <v>0</v>
      </c>
    </row>
    <row r="361">
      <c r="A361" s="4"/>
      <c r="C361" s="4" t="s">
        <v>2891</v>
      </c>
      <c r="D361" s="4" t="str">
        <f t="shared" si="1"/>
        <v>{"valorA":"pena","valorB":2}</v>
      </c>
      <c r="E361" s="8" t="str">
        <f t="shared" si="2"/>
        <v>pena</v>
      </c>
      <c r="F361" s="8"/>
      <c r="G361" s="8" t="str">
        <f t="shared" si="3"/>
        <v>2</v>
      </c>
      <c r="H361" s="9">
        <f t="shared" si="4"/>
        <v>2</v>
      </c>
      <c r="I361" s="10">
        <f>IFERROR(__xludf.DUMMYFUNCTION("MAX(FILTER($H$2:$H1416,$E$2:$E1416=F361))"),0.0)</f>
        <v>0</v>
      </c>
    </row>
    <row r="362">
      <c r="A362" s="4"/>
      <c r="C362" s="4" t="s">
        <v>2911</v>
      </c>
      <c r="D362" s="4" t="str">
        <f t="shared" si="1"/>
        <v>{"valorA":"a","valorB":6}</v>
      </c>
      <c r="E362" s="8" t="str">
        <f t="shared" si="2"/>
        <v>a</v>
      </c>
      <c r="F362" s="8"/>
      <c r="G362" s="8" t="str">
        <f t="shared" si="3"/>
        <v>6</v>
      </c>
      <c r="H362" s="9">
        <f t="shared" si="4"/>
        <v>6</v>
      </c>
      <c r="I362" s="10">
        <f>IFERROR(__xludf.DUMMYFUNCTION("MAX(FILTER($H$2:$H1416,$E$2:$E1416=F362))"),0.0)</f>
        <v>0</v>
      </c>
    </row>
    <row r="363">
      <c r="A363" s="4"/>
      <c r="C363" s="4" t="s">
        <v>3454</v>
      </c>
      <c r="D363" s="4" t="str">
        <f t="shared" si="1"/>
        <v>{"valorA":"comentário","valorB":2}</v>
      </c>
      <c r="E363" s="8" t="str">
        <f t="shared" si="2"/>
        <v>comentário</v>
      </c>
      <c r="F363" s="8"/>
      <c r="G363" s="8" t="str">
        <f t="shared" si="3"/>
        <v>2</v>
      </c>
      <c r="H363" s="9">
        <f t="shared" si="4"/>
        <v>2</v>
      </c>
      <c r="I363" s="10">
        <f>IFERROR(__xludf.DUMMYFUNCTION("MAX(FILTER($H$2:$H1416,$E$2:$E1416=F363))"),0.0)</f>
        <v>0</v>
      </c>
    </row>
    <row r="364">
      <c r="A364" s="4"/>
      <c r="C364" s="4" t="s">
        <v>2969</v>
      </c>
      <c r="D364" s="4" t="str">
        <f t="shared" si="1"/>
        <v>{"valorA":"para","valorB":10}</v>
      </c>
      <c r="E364" s="8" t="str">
        <f t="shared" si="2"/>
        <v>para</v>
      </c>
      <c r="F364" s="8"/>
      <c r="G364" s="8" t="str">
        <f t="shared" si="3"/>
        <v>10</v>
      </c>
      <c r="H364" s="9">
        <f t="shared" si="4"/>
        <v>10</v>
      </c>
      <c r="I364" s="10">
        <f>IFERROR(__xludf.DUMMYFUNCTION("MAX(FILTER($H$2:$H1416,$E$2:$E1416=F364))"),0.0)</f>
        <v>0</v>
      </c>
    </row>
    <row r="365">
      <c r="A365" s="4"/>
      <c r="C365" s="4" t="s">
        <v>2845</v>
      </c>
      <c r="D365" s="4" t="str">
        <f t="shared" si="1"/>
        <v>{"valorA":"ótimo","valorB":31}</v>
      </c>
      <c r="E365" s="8" t="str">
        <f t="shared" si="2"/>
        <v>ótimo</v>
      </c>
      <c r="F365" s="8"/>
      <c r="G365" s="8" t="str">
        <f t="shared" si="3"/>
        <v>31</v>
      </c>
      <c r="H365" s="9">
        <f t="shared" si="4"/>
        <v>31</v>
      </c>
      <c r="I365" s="10">
        <f>IFERROR(__xludf.DUMMYFUNCTION("MAX(FILTER($H$2:$H1416,$E$2:$E1416=F365))"),0.0)</f>
        <v>0</v>
      </c>
    </row>
    <row r="366">
      <c r="A366" s="4"/>
      <c r="C366" s="4" t="s">
        <v>2636</v>
      </c>
      <c r="D366" s="4" t="str">
        <f t="shared" si="1"/>
        <v>{"valorA":"meus","valorB":1}</v>
      </c>
      <c r="E366" s="8" t="str">
        <f t="shared" si="2"/>
        <v>meus</v>
      </c>
      <c r="F366" s="8"/>
      <c r="G366" s="8" t="str">
        <f t="shared" si="3"/>
        <v>1</v>
      </c>
      <c r="H366" s="9">
        <f t="shared" si="4"/>
        <v>1</v>
      </c>
      <c r="I366" s="10">
        <f>IFERROR(__xludf.DUMMYFUNCTION("MAX(FILTER($H$2:$H1416,$E$2:$E1416=F366))"),0.0)</f>
        <v>0</v>
      </c>
    </row>
    <row r="367">
      <c r="A367" s="4"/>
      <c r="C367" s="4" t="s">
        <v>3455</v>
      </c>
      <c r="D367" s="4" t="str">
        <f t="shared" si="1"/>
        <v>{"valorA":"dos","valorB":1}</v>
      </c>
      <c r="E367" s="8" t="str">
        <f t="shared" si="2"/>
        <v>dos</v>
      </c>
      <c r="F367" s="8"/>
      <c r="G367" s="8" t="str">
        <f t="shared" si="3"/>
        <v>1</v>
      </c>
      <c r="H367" s="9">
        <f t="shared" si="4"/>
        <v>1</v>
      </c>
      <c r="I367" s="10">
        <f>IFERROR(__xludf.DUMMYFUNCTION("MAX(FILTER($H$2:$H1416,$E$2:$E1416=F367))"),0.0)</f>
        <v>0</v>
      </c>
    </row>
    <row r="368">
      <c r="A368" s="4"/>
      <c r="C368" s="4" t="s">
        <v>2633</v>
      </c>
      <c r="D368" s="4" t="str">
        <f t="shared" si="1"/>
        <v>{"valorA":"adoram","valorB":1}</v>
      </c>
      <c r="E368" s="8" t="str">
        <f t="shared" si="2"/>
        <v>adoram</v>
      </c>
      <c r="F368" s="8"/>
      <c r="G368" s="8" t="str">
        <f t="shared" si="3"/>
        <v>1</v>
      </c>
      <c r="H368" s="9">
        <f t="shared" si="4"/>
        <v>1</v>
      </c>
      <c r="I368" s="10">
        <f>IFERROR(__xludf.DUMMYFUNCTION("MAX(FILTER($H$2:$H1416,$E$2:$E1416=F368))"),0.0)</f>
        <v>0</v>
      </c>
    </row>
    <row r="369">
      <c r="A369" s="4"/>
      <c r="C369" s="4" t="s">
        <v>3456</v>
      </c>
      <c r="D369" s="4" t="str">
        <f t="shared" si="1"/>
        <v>{"valorA":"balanço","valorB":1}</v>
      </c>
      <c r="E369" s="8" t="str">
        <f t="shared" si="2"/>
        <v>balanço</v>
      </c>
      <c r="F369" s="8"/>
      <c r="G369" s="8" t="str">
        <f t="shared" si="3"/>
        <v>1</v>
      </c>
      <c r="H369" s="9">
        <f t="shared" si="4"/>
        <v>1</v>
      </c>
      <c r="I369" s="10">
        <f>IFERROR(__xludf.DUMMYFUNCTION("MAX(FILTER($H$2:$H1416,$E$2:$E1416=F369))"),0.0)</f>
        <v>0</v>
      </c>
    </row>
    <row r="370">
      <c r="A370" s="4"/>
      <c r="C370" s="4" t="s">
        <v>2922</v>
      </c>
      <c r="D370" s="4" t="str">
        <f t="shared" si="1"/>
        <v>{"valorA":"a","valorB":7}</v>
      </c>
      <c r="E370" s="8" t="str">
        <f t="shared" si="2"/>
        <v>a</v>
      </c>
      <c r="F370" s="8"/>
      <c r="G370" s="8" t="str">
        <f t="shared" si="3"/>
        <v>7</v>
      </c>
      <c r="H370" s="9">
        <f t="shared" si="4"/>
        <v>7</v>
      </c>
      <c r="I370" s="10">
        <f>IFERROR(__xludf.DUMMYFUNCTION("MAX(FILTER($H$2:$H1416,$E$2:$E1416=F370))"),0.0)</f>
        <v>0</v>
      </c>
    </row>
    <row r="371">
      <c r="A371" s="4"/>
      <c r="C371" s="4" t="s">
        <v>2644</v>
      </c>
      <c r="D371" s="4" t="str">
        <f t="shared" si="1"/>
        <v>{"valorA":"filhos","valorB":1}</v>
      </c>
      <c r="E371" s="8" t="str">
        <f t="shared" si="2"/>
        <v>filhos</v>
      </c>
      <c r="F371" s="8"/>
      <c r="G371" s="8" t="str">
        <f t="shared" si="3"/>
        <v>1</v>
      </c>
      <c r="H371" s="9">
        <f t="shared" si="4"/>
        <v>1</v>
      </c>
      <c r="I371" s="10">
        <f>IFERROR(__xludf.DUMMYFUNCTION("MAX(FILTER($H$2:$H1416,$E$2:$E1416=F371))"),0.0)</f>
        <v>0</v>
      </c>
    </row>
    <row r="372">
      <c r="A372" s="4"/>
      <c r="C372" s="4" t="s">
        <v>3457</v>
      </c>
      <c r="D372" s="4" t="str">
        <f t="shared" si="1"/>
        <v>{"valorA":"casa","valorB":2}</v>
      </c>
      <c r="E372" s="8" t="str">
        <f t="shared" si="2"/>
        <v>casa</v>
      </c>
      <c r="F372" s="8"/>
      <c r="G372" s="8" t="str">
        <f t="shared" si="3"/>
        <v>2</v>
      </c>
      <c r="H372" s="9">
        <f t="shared" si="4"/>
        <v>2</v>
      </c>
      <c r="I372" s="10">
        <f>IFERROR(__xludf.DUMMYFUNCTION("MAX(FILTER($H$2:$H1416,$E$2:$E1416=F372))"),0.0)</f>
        <v>0</v>
      </c>
    </row>
    <row r="373">
      <c r="A373" s="4"/>
      <c r="C373" s="4" t="s">
        <v>3458</v>
      </c>
      <c r="D373" s="4" t="str">
        <f t="shared" si="1"/>
        <v>{"valorA":"eles","valorB":1}</v>
      </c>
      <c r="E373" s="8" t="str">
        <f t="shared" si="2"/>
        <v>eles</v>
      </c>
      <c r="F373" s="8"/>
      <c r="G373" s="8" t="str">
        <f t="shared" si="3"/>
        <v>1</v>
      </c>
      <c r="H373" s="9">
        <f t="shared" si="4"/>
        <v>1</v>
      </c>
      <c r="I373" s="10">
        <f>IFERROR(__xludf.DUMMYFUNCTION("MAX(FILTER($H$2:$H1416,$E$2:$E1416=F373))"),0.0)</f>
        <v>0</v>
      </c>
    </row>
    <row r="374">
      <c r="A374" s="4"/>
      <c r="C374" s="4" t="s">
        <v>3459</v>
      </c>
      <c r="D374" s="4" t="str">
        <f t="shared" si="1"/>
        <v>{"valorA":"aparelho","valorB":4}</v>
      </c>
      <c r="E374" s="8" t="str">
        <f t="shared" si="2"/>
        <v>aparelho</v>
      </c>
      <c r="F374" s="8"/>
      <c r="G374" s="8" t="str">
        <f t="shared" si="3"/>
        <v>4</v>
      </c>
      <c r="H374" s="9">
        <f t="shared" si="4"/>
        <v>4</v>
      </c>
      <c r="I374" s="10">
        <f>IFERROR(__xludf.DUMMYFUNCTION("MAX(FILTER($H$2:$H1416,$E$2:$E1416=F374))"),0.0)</f>
        <v>0</v>
      </c>
    </row>
    <row r="375">
      <c r="A375" s="4"/>
      <c r="C375" s="4" t="s">
        <v>3460</v>
      </c>
      <c r="D375" s="4" t="str">
        <f t="shared" si="1"/>
        <v>{"valorA":"tv","valorB":2}</v>
      </c>
      <c r="E375" s="8" t="str">
        <f t="shared" si="2"/>
        <v>tv</v>
      </c>
      <c r="F375" s="8"/>
      <c r="G375" s="8" t="str">
        <f t="shared" si="3"/>
        <v>2</v>
      </c>
      <c r="H375" s="9">
        <f t="shared" si="4"/>
        <v>2</v>
      </c>
      <c r="I375" s="10">
        <f>IFERROR(__xludf.DUMMYFUNCTION("MAX(FILTER($H$2:$H1416,$E$2:$E1416=F375))"),0.0)</f>
        <v>0</v>
      </c>
    </row>
    <row r="376">
      <c r="A376" s="4"/>
      <c r="C376" s="4" t="s">
        <v>3207</v>
      </c>
      <c r="D376" s="4" t="str">
        <f t="shared" si="1"/>
        <v>{"valorA":"de","valorB":16}</v>
      </c>
      <c r="E376" s="8" t="str">
        <f t="shared" si="2"/>
        <v>de</v>
      </c>
      <c r="F376" s="8"/>
      <c r="G376" s="8" t="str">
        <f t="shared" si="3"/>
        <v>16</v>
      </c>
      <c r="H376" s="9">
        <f t="shared" si="4"/>
        <v>16</v>
      </c>
      <c r="I376" s="10">
        <f>IFERROR(__xludf.DUMMYFUNCTION("MAX(FILTER($H$2:$H1416,$E$2:$E1416=F376))"),0.0)</f>
        <v>0</v>
      </c>
    </row>
    <row r="377">
      <c r="A377" s="4"/>
      <c r="C377" s="4" t="s">
        <v>2855</v>
      </c>
      <c r="D377" s="4" t="str">
        <f t="shared" si="1"/>
        <v>{"valorA":"ótimo","valorB":32}</v>
      </c>
      <c r="E377" s="8" t="str">
        <f t="shared" si="2"/>
        <v>ótimo</v>
      </c>
      <c r="F377" s="8"/>
      <c r="G377" s="8" t="str">
        <f t="shared" si="3"/>
        <v>32</v>
      </c>
      <c r="H377" s="9">
        <f t="shared" si="4"/>
        <v>32</v>
      </c>
      <c r="I377" s="10">
        <f>IFERROR(__xludf.DUMMYFUNCTION("MAX(FILTER($H$2:$H1416,$E$2:$E1416=F377))"),0.0)</f>
        <v>0</v>
      </c>
    </row>
    <row r="378">
      <c r="A378" s="4"/>
      <c r="C378" s="4" t="s">
        <v>3461</v>
      </c>
      <c r="D378" s="4" t="str">
        <f t="shared" si="1"/>
        <v>{"valorA":"bastante","valorB":5}</v>
      </c>
      <c r="E378" s="8" t="str">
        <f t="shared" si="2"/>
        <v>bastante</v>
      </c>
      <c r="F378" s="8"/>
      <c r="G378" s="8" t="str">
        <f t="shared" si="3"/>
        <v>5</v>
      </c>
      <c r="H378" s="9">
        <f t="shared" si="4"/>
        <v>5</v>
      </c>
      <c r="I378" s="10">
        <f>IFERROR(__xludf.DUMMYFUNCTION("MAX(FILTER($H$2:$H1416,$E$2:$E1416=F378))"),0.0)</f>
        <v>0</v>
      </c>
    </row>
    <row r="379">
      <c r="A379" s="4"/>
      <c r="C379" s="4" t="s">
        <v>3060</v>
      </c>
      <c r="D379" s="4" t="str">
        <f t="shared" si="1"/>
        <v>{"valorA":"recomendo","valorB":4}</v>
      </c>
      <c r="E379" s="8" t="str">
        <f t="shared" si="2"/>
        <v>recomendo</v>
      </c>
      <c r="F379" s="8"/>
      <c r="G379" s="8" t="str">
        <f t="shared" si="3"/>
        <v>4</v>
      </c>
      <c r="H379" s="9">
        <f t="shared" si="4"/>
        <v>4</v>
      </c>
      <c r="I379" s="10">
        <f>IFERROR(__xludf.DUMMYFUNCTION("MAX(FILTER($H$2:$H1416,$E$2:$E1416=F379))"),0.0)</f>
        <v>0</v>
      </c>
    </row>
    <row r="380">
      <c r="A380" s="4"/>
      <c r="C380" s="4" t="s">
        <v>3462</v>
      </c>
      <c r="D380" s="4" t="str">
        <f t="shared" si="1"/>
        <v>{"valorA":"cabelo","valorB":1}</v>
      </c>
      <c r="E380" s="8" t="str">
        <f t="shared" si="2"/>
        <v>cabelo</v>
      </c>
      <c r="F380" s="8"/>
      <c r="G380" s="8" t="str">
        <f t="shared" si="3"/>
        <v>1</v>
      </c>
      <c r="H380" s="9">
        <f t="shared" si="4"/>
        <v>1</v>
      </c>
      <c r="I380" s="10">
        <f>IFERROR(__xludf.DUMMYFUNCTION("MAX(FILTER($H$2:$H1416,$E$2:$E1416=F380))"),0.0)</f>
        <v>0</v>
      </c>
    </row>
    <row r="381">
      <c r="A381" s="4"/>
      <c r="C381" s="4" t="s">
        <v>3463</v>
      </c>
      <c r="D381" s="4" t="str">
        <f t="shared" si="1"/>
        <v>{"valorA":"óptimo","valorB":2}</v>
      </c>
      <c r="E381" s="8" t="str">
        <f t="shared" si="2"/>
        <v>óptimo</v>
      </c>
      <c r="F381" s="8"/>
      <c r="G381" s="8" t="str">
        <f t="shared" si="3"/>
        <v>2</v>
      </c>
      <c r="H381" s="9">
        <f t="shared" si="4"/>
        <v>2</v>
      </c>
      <c r="I381" s="10">
        <f>IFERROR(__xludf.DUMMYFUNCTION("MAX(FILTER($H$2:$H1416,$E$2:$E1416=F381))"),0.0)</f>
        <v>0</v>
      </c>
    </row>
    <row r="382">
      <c r="A382" s="4"/>
      <c r="C382" s="4" t="s">
        <v>3120</v>
      </c>
      <c r="D382" s="4" t="str">
        <f t="shared" si="1"/>
        <v>{"valorA":"para","valorB":11}</v>
      </c>
      <c r="E382" s="8" t="str">
        <f t="shared" si="2"/>
        <v>para</v>
      </c>
      <c r="F382" s="8"/>
      <c r="G382" s="8" t="str">
        <f t="shared" si="3"/>
        <v>11</v>
      </c>
      <c r="H382" s="9">
        <f t="shared" si="4"/>
        <v>11</v>
      </c>
      <c r="I382" s="10">
        <f>IFERROR(__xludf.DUMMYFUNCTION("MAX(FILTER($H$2:$H1416,$E$2:$E1416=F382))"),0.0)</f>
        <v>0</v>
      </c>
    </row>
    <row r="383">
      <c r="A383" s="4"/>
      <c r="C383" s="4" t="s">
        <v>3464</v>
      </c>
      <c r="D383" s="4" t="str">
        <f t="shared" si="1"/>
        <v>{"valorA":"elétricas","valorB":1}</v>
      </c>
      <c r="E383" s="8" t="str">
        <f t="shared" si="2"/>
        <v>elétricas</v>
      </c>
      <c r="F383" s="8"/>
      <c r="G383" s="8" t="str">
        <f t="shared" si="3"/>
        <v>1</v>
      </c>
      <c r="H383" s="9">
        <f t="shared" si="4"/>
        <v>1</v>
      </c>
      <c r="I383" s="10">
        <f>IFERROR(__xludf.DUMMYFUNCTION("MAX(FILTER($H$2:$H1416,$E$2:$E1416=F383))"),0.0)</f>
        <v>0</v>
      </c>
    </row>
    <row r="384">
      <c r="A384" s="4"/>
      <c r="C384" s="4" t="s">
        <v>3465</v>
      </c>
      <c r="D384" s="4" t="str">
        <f t="shared" si="1"/>
        <v>{"valorA":"aço","valorB":1}</v>
      </c>
      <c r="E384" s="8" t="str">
        <f t="shared" si="2"/>
        <v>aço</v>
      </c>
      <c r="F384" s="8"/>
      <c r="G384" s="8" t="str">
        <f t="shared" si="3"/>
        <v>1</v>
      </c>
      <c r="H384" s="9">
        <f t="shared" si="4"/>
        <v>1</v>
      </c>
      <c r="I384" s="10">
        <f>IFERROR(__xludf.DUMMYFUNCTION("MAX(FILTER($H$2:$H1416,$E$2:$E1416=F384))"),0.0)</f>
        <v>0</v>
      </c>
    </row>
    <row r="385">
      <c r="A385" s="4"/>
      <c r="C385" s="4" t="s">
        <v>3466</v>
      </c>
      <c r="D385" s="4" t="str">
        <f t="shared" si="1"/>
        <v>{"valorA":"ferramentas","valorB":1}</v>
      </c>
      <c r="E385" s="8" t="str">
        <f t="shared" si="2"/>
        <v>ferramentas</v>
      </c>
      <c r="F385" s="8"/>
      <c r="G385" s="8" t="str">
        <f t="shared" si="3"/>
        <v>1</v>
      </c>
      <c r="H385" s="9">
        <f t="shared" si="4"/>
        <v>1</v>
      </c>
      <c r="I385" s="10">
        <f>IFERROR(__xludf.DUMMYFUNCTION("MAX(FILTER($H$2:$H1416,$E$2:$E1416=F385))"),0.0)</f>
        <v>0</v>
      </c>
    </row>
    <row r="386">
      <c r="A386" s="4"/>
      <c r="C386" s="4" t="s">
        <v>3236</v>
      </c>
      <c r="D386" s="4" t="str">
        <f t="shared" si="1"/>
        <v>{"valorA":"de","valorB":17}</v>
      </c>
      <c r="E386" s="8" t="str">
        <f t="shared" si="2"/>
        <v>de</v>
      </c>
      <c r="F386" s="8"/>
      <c r="G386" s="8" t="str">
        <f t="shared" si="3"/>
        <v>17</v>
      </c>
      <c r="H386" s="9">
        <f t="shared" si="4"/>
        <v>17</v>
      </c>
      <c r="I386" s="10">
        <f>IFERROR(__xludf.DUMMYFUNCTION("MAX(FILTER($H$2:$H1416,$E$2:$E1416=F386))"),0.0)</f>
        <v>0</v>
      </c>
    </row>
    <row r="387">
      <c r="A387" s="4"/>
      <c r="C387" s="4" t="s">
        <v>3467</v>
      </c>
      <c r="D387" s="4" t="str">
        <f t="shared" si="1"/>
        <v>{"valorA":"lavador","valorB":4}</v>
      </c>
      <c r="E387" s="8" t="str">
        <f t="shared" si="2"/>
        <v>lavador</v>
      </c>
      <c r="F387" s="8"/>
      <c r="G387" s="8" t="str">
        <f t="shared" si="3"/>
        <v>4</v>
      </c>
      <c r="H387" s="9">
        <f t="shared" si="4"/>
        <v>4</v>
      </c>
      <c r="I387" s="10">
        <f>IFERROR(__xludf.DUMMYFUNCTION("MAX(FILTER($H$2:$H1416,$E$2:$E1416=F387))"),0.0)</f>
        <v>0</v>
      </c>
    </row>
    <row r="388">
      <c r="A388" s="4"/>
      <c r="C388" s="4" t="s">
        <v>2859</v>
      </c>
      <c r="D388" s="4" t="str">
        <f t="shared" si="1"/>
        <v>{"valorA":"ótimo","valorB":33}</v>
      </c>
      <c r="E388" s="8" t="str">
        <f t="shared" si="2"/>
        <v>ótimo</v>
      </c>
      <c r="F388" s="8"/>
      <c r="G388" s="8" t="str">
        <f t="shared" si="3"/>
        <v>33</v>
      </c>
      <c r="H388" s="9">
        <f t="shared" si="4"/>
        <v>33</v>
      </c>
      <c r="I388" s="10">
        <f>IFERROR(__xludf.DUMMYFUNCTION("MAX(FILTER($H$2:$H1416,$E$2:$E1416=F388))"),0.0)</f>
        <v>0</v>
      </c>
    </row>
    <row r="389">
      <c r="A389" s="4"/>
      <c r="C389" s="4" t="s">
        <v>3241</v>
      </c>
      <c r="D389" s="4" t="str">
        <f t="shared" si="1"/>
        <v>{"valorA":"de","valorB":18}</v>
      </c>
      <c r="E389" s="8" t="str">
        <f t="shared" si="2"/>
        <v>de</v>
      </c>
      <c r="F389" s="8"/>
      <c r="G389" s="8" t="str">
        <f t="shared" si="3"/>
        <v>18</v>
      </c>
      <c r="H389" s="9">
        <f t="shared" si="4"/>
        <v>18</v>
      </c>
      <c r="I389" s="10">
        <f>IFERROR(__xludf.DUMMYFUNCTION("MAX(FILTER($H$2:$H1416,$E$2:$E1416=F389))"),0.0)</f>
        <v>0</v>
      </c>
    </row>
    <row r="390">
      <c r="A390" s="4"/>
      <c r="C390" s="4" t="s">
        <v>2716</v>
      </c>
      <c r="D390" s="4" t="str">
        <f t="shared" si="1"/>
        <v>{"valorA":"perfeitamente","valorB":3}</v>
      </c>
      <c r="E390" s="8" t="str">
        <f t="shared" si="2"/>
        <v>perfeitamente</v>
      </c>
      <c r="F390" s="8"/>
      <c r="G390" s="8" t="str">
        <f t="shared" si="3"/>
        <v>3</v>
      </c>
      <c r="H390" s="9">
        <f t="shared" si="4"/>
        <v>3</v>
      </c>
      <c r="I390" s="10">
        <f>IFERROR(__xludf.DUMMYFUNCTION("MAX(FILTER($H$2:$H1416,$E$2:$E1416=F390))"),0.0)</f>
        <v>0</v>
      </c>
    </row>
    <row r="391">
      <c r="A391" s="4"/>
      <c r="C391" s="4" t="s">
        <v>3468</v>
      </c>
      <c r="D391" s="4" t="str">
        <f t="shared" si="1"/>
        <v>{"valorA":"limpa","valorB":2}</v>
      </c>
      <c r="E391" s="8" t="str">
        <f t="shared" si="2"/>
        <v>limpa</v>
      </c>
      <c r="F391" s="8"/>
      <c r="G391" s="8" t="str">
        <f t="shared" si="3"/>
        <v>2</v>
      </c>
      <c r="H391" s="9">
        <f t="shared" si="4"/>
        <v>2</v>
      </c>
      <c r="I391" s="10">
        <f>IFERROR(__xludf.DUMMYFUNCTION("MAX(FILTER($H$2:$H1416,$E$2:$E1416=F391))"),0.0)</f>
        <v>0</v>
      </c>
    </row>
    <row r="392">
      <c r="A392" s="4"/>
      <c r="C392" s="4" t="s">
        <v>3469</v>
      </c>
      <c r="D392" s="4" t="str">
        <f t="shared" si="1"/>
        <v>{"valorA":"tudo","valorB":4}</v>
      </c>
      <c r="E392" s="8" t="str">
        <f t="shared" si="2"/>
        <v>tudo</v>
      </c>
      <c r="F392" s="8"/>
      <c r="G392" s="8" t="str">
        <f t="shared" si="3"/>
        <v>4</v>
      </c>
      <c r="H392" s="9">
        <f t="shared" si="4"/>
        <v>4</v>
      </c>
      <c r="I392" s="10">
        <f>IFERROR(__xludf.DUMMYFUNCTION("MAX(FILTER($H$2:$H1416,$E$2:$E1416=F392))"),0.0)</f>
        <v>0</v>
      </c>
    </row>
    <row r="393">
      <c r="A393" s="4"/>
      <c r="C393" s="4" t="s">
        <v>2770</v>
      </c>
      <c r="D393" s="4" t="str">
        <f t="shared" si="1"/>
        <v>{"valorA":"e","valorB":7}</v>
      </c>
      <c r="E393" s="8" t="str">
        <f t="shared" si="2"/>
        <v>e</v>
      </c>
      <c r="F393" s="8"/>
      <c r="G393" s="8" t="str">
        <f t="shared" si="3"/>
        <v>7</v>
      </c>
      <c r="H393" s="9">
        <f t="shared" si="4"/>
        <v>7</v>
      </c>
      <c r="I393" s="10">
        <f>IFERROR(__xludf.DUMMYFUNCTION("MAX(FILTER($H$2:$H1416,$E$2:$E1416=F393))"),0.0)</f>
        <v>0</v>
      </c>
    </row>
    <row r="394">
      <c r="A394" s="4"/>
      <c r="C394" s="4" t="s">
        <v>3470</v>
      </c>
      <c r="D394" s="4" t="str">
        <f t="shared" si="1"/>
        <v>{"valorA":"pratos","valorB":4}</v>
      </c>
      <c r="E394" s="8" t="str">
        <f t="shared" si="2"/>
        <v>pratos</v>
      </c>
      <c r="F394" s="8"/>
      <c r="G394" s="8" t="str">
        <f t="shared" si="3"/>
        <v>4</v>
      </c>
      <c r="H394" s="9">
        <f t="shared" si="4"/>
        <v>4</v>
      </c>
      <c r="I394" s="10">
        <f>IFERROR(__xludf.DUMMYFUNCTION("MAX(FILTER($H$2:$H1416,$E$2:$E1416=F394))"),0.0)</f>
        <v>0</v>
      </c>
    </row>
    <row r="395">
      <c r="A395" s="4"/>
      <c r="C395" s="4" t="s">
        <v>3471</v>
      </c>
      <c r="D395" s="4" t="str">
        <f t="shared" si="1"/>
        <v>{"valorA":"funciona","valorB":12}</v>
      </c>
      <c r="E395" s="8" t="str">
        <f t="shared" si="2"/>
        <v>funciona</v>
      </c>
      <c r="F395" s="8"/>
      <c r="G395" s="8" t="str">
        <f t="shared" si="3"/>
        <v>12</v>
      </c>
      <c r="H395" s="9">
        <f t="shared" si="4"/>
        <v>12</v>
      </c>
      <c r="I395" s="10">
        <f>IFERROR(__xludf.DUMMYFUNCTION("MAX(FILTER($H$2:$H1416,$E$2:$E1416=F395))"),0.0)</f>
        <v>0</v>
      </c>
    </row>
    <row r="396">
      <c r="A396" s="4"/>
      <c r="C396" s="4" t="s">
        <v>3472</v>
      </c>
      <c r="D396" s="4" t="str">
        <f t="shared" si="1"/>
        <v>{"valorA":"tudo","valorB":5}</v>
      </c>
      <c r="E396" s="8" t="str">
        <f t="shared" si="2"/>
        <v>tudo</v>
      </c>
      <c r="F396" s="8"/>
      <c r="G396" s="8" t="str">
        <f t="shared" si="3"/>
        <v>5</v>
      </c>
      <c r="H396" s="9">
        <f t="shared" si="4"/>
        <v>5</v>
      </c>
      <c r="I396" s="10">
        <f>IFERROR(__xludf.DUMMYFUNCTION("MAX(FILTER($H$2:$H1416,$E$2:$E1416=F396))"),0.0)</f>
        <v>0</v>
      </c>
    </row>
    <row r="397">
      <c r="A397" s="4"/>
      <c r="C397" s="4" t="s">
        <v>3473</v>
      </c>
      <c r="D397" s="4" t="str">
        <f t="shared" si="1"/>
        <v>{"valorA":"com","valorB":7}</v>
      </c>
      <c r="E397" s="8" t="str">
        <f t="shared" si="2"/>
        <v>com</v>
      </c>
      <c r="F397" s="8"/>
      <c r="G397" s="8" t="str">
        <f t="shared" si="3"/>
        <v>7</v>
      </c>
      <c r="H397" s="9">
        <f t="shared" si="4"/>
        <v>7</v>
      </c>
      <c r="I397" s="10">
        <f>IFERROR(__xludf.DUMMYFUNCTION("MAX(FILTER($H$2:$H1416,$E$2:$E1416=F397))"),0.0)</f>
        <v>0</v>
      </c>
    </row>
    <row r="398">
      <c r="A398" s="4"/>
      <c r="C398" s="4" t="s">
        <v>3474</v>
      </c>
      <c r="D398" s="4" t="str">
        <f t="shared" si="1"/>
        <v>{"valorA":"corretamente","valorB":1}</v>
      </c>
      <c r="E398" s="8" t="str">
        <f t="shared" si="2"/>
        <v>corretamente</v>
      </c>
      <c r="F398" s="8"/>
      <c r="G398" s="8" t="str">
        <f t="shared" si="3"/>
        <v>1</v>
      </c>
      <c r="H398" s="9">
        <f t="shared" si="4"/>
        <v>1</v>
      </c>
      <c r="I398" s="10">
        <f>IFERROR(__xludf.DUMMYFUNCTION("MAX(FILTER($H$2:$H1416,$E$2:$E1416=F398))"),0.0)</f>
        <v>0</v>
      </c>
    </row>
    <row r="399">
      <c r="A399" s="4"/>
      <c r="C399" s="4" t="s">
        <v>3475</v>
      </c>
      <c r="D399" s="4" t="str">
        <f t="shared" si="1"/>
        <v>{"valorA":"ótima","valorB":10}</v>
      </c>
      <c r="E399" s="8" t="str">
        <f t="shared" si="2"/>
        <v>ótima</v>
      </c>
      <c r="F399" s="8"/>
      <c r="G399" s="8" t="str">
        <f t="shared" si="3"/>
        <v>10</v>
      </c>
      <c r="H399" s="9">
        <f t="shared" si="4"/>
        <v>10</v>
      </c>
      <c r="I399" s="10">
        <f>IFERROR(__xludf.DUMMYFUNCTION("MAX(FILTER($H$2:$H1416,$E$2:$E1416=F399))"),0.0)</f>
        <v>0</v>
      </c>
    </row>
    <row r="400">
      <c r="A400" s="4"/>
      <c r="C400" s="4" t="s">
        <v>3476</v>
      </c>
      <c r="D400" s="4" t="str">
        <f t="shared" si="1"/>
        <v>{"valorA":"gamer","valorB":1}</v>
      </c>
      <c r="E400" s="8" t="str">
        <f t="shared" si="2"/>
        <v>gamer</v>
      </c>
      <c r="F400" s="8"/>
      <c r="G400" s="8" t="str">
        <f t="shared" si="3"/>
        <v>1</v>
      </c>
      <c r="H400" s="9">
        <f t="shared" si="4"/>
        <v>1</v>
      </c>
      <c r="I400" s="10">
        <f>IFERROR(__xludf.DUMMYFUNCTION("MAX(FILTER($H$2:$H1416,$E$2:$E1416=F400))"),0.0)</f>
        <v>0</v>
      </c>
    </row>
    <row r="401">
      <c r="A401" s="4"/>
      <c r="C401" s="4" t="s">
        <v>2991</v>
      </c>
      <c r="D401" s="4" t="str">
        <f t="shared" si="1"/>
        <v>{"valorA":"confortável","valorB":4}</v>
      </c>
      <c r="E401" s="8" t="str">
        <f t="shared" si="2"/>
        <v>confortável</v>
      </c>
      <c r="F401" s="8"/>
      <c r="G401" s="8" t="str">
        <f t="shared" si="3"/>
        <v>4</v>
      </c>
      <c r="H401" s="9">
        <f t="shared" si="4"/>
        <v>4</v>
      </c>
      <c r="I401" s="10">
        <f>IFERROR(__xludf.DUMMYFUNCTION("MAX(FILTER($H$2:$H1416,$E$2:$E1416=F401))"),0.0)</f>
        <v>0</v>
      </c>
    </row>
    <row r="402">
      <c r="A402" s="4"/>
      <c r="C402" s="4" t="s">
        <v>3477</v>
      </c>
      <c r="D402" s="4" t="str">
        <f t="shared" si="1"/>
        <v>{"valorA":"cadeira","valorB":5}</v>
      </c>
      <c r="E402" s="8" t="str">
        <f t="shared" si="2"/>
        <v>cadeira</v>
      </c>
      <c r="F402" s="8"/>
      <c r="G402" s="8" t="str">
        <f t="shared" si="3"/>
        <v>5</v>
      </c>
      <c r="H402" s="9">
        <f t="shared" si="4"/>
        <v>5</v>
      </c>
      <c r="I402" s="10">
        <f>IFERROR(__xludf.DUMMYFUNCTION("MAX(FILTER($H$2:$H1416,$E$2:$E1416=F402))"),0.0)</f>
        <v>0</v>
      </c>
    </row>
    <row r="403">
      <c r="A403" s="4"/>
      <c r="C403" s="4" t="s">
        <v>3478</v>
      </c>
      <c r="D403" s="4" t="str">
        <f t="shared" si="1"/>
        <v>{"valorA":"muito","valorB":21}</v>
      </c>
      <c r="E403" s="8" t="str">
        <f t="shared" si="2"/>
        <v>muito</v>
      </c>
      <c r="F403" s="8"/>
      <c r="G403" s="8" t="str">
        <f t="shared" si="3"/>
        <v>21</v>
      </c>
      <c r="H403" s="9">
        <f t="shared" si="4"/>
        <v>21</v>
      </c>
      <c r="I403" s="10">
        <f>IFERROR(__xludf.DUMMYFUNCTION("MAX(FILTER($H$2:$H1416,$E$2:$E1416=F403))"),0.0)</f>
        <v>0</v>
      </c>
    </row>
    <row r="404">
      <c r="A404" s="4"/>
      <c r="C404" s="4" t="s">
        <v>3479</v>
      </c>
      <c r="D404" s="4" t="str">
        <f t="shared" si="1"/>
        <v>{"valorA":"ótima","valorB":11}</v>
      </c>
      <c r="E404" s="8" t="str">
        <f t="shared" si="2"/>
        <v>ótima</v>
      </c>
      <c r="F404" s="8"/>
      <c r="G404" s="8" t="str">
        <f t="shared" si="3"/>
        <v>11</v>
      </c>
      <c r="H404" s="9">
        <f t="shared" si="4"/>
        <v>11</v>
      </c>
      <c r="I404" s="10">
        <f>IFERROR(__xludf.DUMMYFUNCTION("MAX(FILTER($H$2:$H1416,$E$2:$E1416=F404))"),0.0)</f>
        <v>0</v>
      </c>
    </row>
    <row r="405">
      <c r="A405" s="4"/>
      <c r="C405" s="4" t="s">
        <v>3480</v>
      </c>
      <c r="D405" s="4" t="str">
        <f t="shared" si="1"/>
        <v>{"valorA":"tem","valorB":1}</v>
      </c>
      <c r="E405" s="8" t="str">
        <f t="shared" si="2"/>
        <v>tem</v>
      </c>
      <c r="F405" s="8"/>
      <c r="G405" s="8" t="str">
        <f t="shared" si="3"/>
        <v>1</v>
      </c>
      <c r="H405" s="9">
        <f t="shared" si="4"/>
        <v>1</v>
      </c>
      <c r="I405" s="10">
        <f>IFERROR(__xludf.DUMMYFUNCTION("MAX(FILTER($H$2:$H1416,$E$2:$E1416=F405))"),0.0)</f>
        <v>0</v>
      </c>
    </row>
    <row r="406">
      <c r="A406" s="4"/>
      <c r="C406" s="4" t="s">
        <v>3094</v>
      </c>
      <c r="D406" s="4" t="str">
        <f t="shared" si="1"/>
        <v>{"valorA":"opção","valorB":1}</v>
      </c>
      <c r="E406" s="8" t="str">
        <f t="shared" si="2"/>
        <v>opção</v>
      </c>
      <c r="F406" s="8"/>
      <c r="G406" s="8" t="str">
        <f t="shared" si="3"/>
        <v>1</v>
      </c>
      <c r="H406" s="9">
        <f t="shared" si="4"/>
        <v>1</v>
      </c>
      <c r="I406" s="10">
        <f>IFERROR(__xludf.DUMMYFUNCTION("MAX(FILTER($H$2:$H1416,$E$2:$E1416=F406))"),0.0)</f>
        <v>0</v>
      </c>
    </row>
    <row r="407">
      <c r="A407" s="4"/>
      <c r="C407" s="4" t="s">
        <v>3174</v>
      </c>
      <c r="D407" s="4" t="str">
        <f t="shared" si="1"/>
        <v>{"valorA":"para","valorB":12}</v>
      </c>
      <c r="E407" s="8" t="str">
        <f t="shared" si="2"/>
        <v>para</v>
      </c>
      <c r="F407" s="8"/>
      <c r="G407" s="8" t="str">
        <f t="shared" si="3"/>
        <v>12</v>
      </c>
      <c r="H407" s="9">
        <f t="shared" si="4"/>
        <v>12</v>
      </c>
      <c r="I407" s="10">
        <f>IFERROR(__xludf.DUMMYFUNCTION("MAX(FILTER($H$2:$H1416,$E$2:$E1416=F407))"),0.0)</f>
        <v>0</v>
      </c>
    </row>
    <row r="408">
      <c r="A408" s="4"/>
      <c r="C408" s="4" t="s">
        <v>3192</v>
      </c>
      <c r="D408" s="4" t="str">
        <f t="shared" si="1"/>
        <v>{"valorA":"quem","valorB":4}</v>
      </c>
      <c r="E408" s="8" t="str">
        <f t="shared" si="2"/>
        <v>quem</v>
      </c>
      <c r="F408" s="8"/>
      <c r="G408" s="8" t="str">
        <f t="shared" si="3"/>
        <v>4</v>
      </c>
      <c r="H408" s="9">
        <f t="shared" si="4"/>
        <v>4</v>
      </c>
      <c r="I408" s="10">
        <f>IFERROR(__xludf.DUMMYFUNCTION("MAX(FILTER($H$2:$H1416,$E$2:$E1416=F408))"),0.0)</f>
        <v>0</v>
      </c>
    </row>
    <row r="409">
      <c r="A409" s="4"/>
      <c r="C409" s="4" t="s">
        <v>3481</v>
      </c>
      <c r="D409" s="4" t="str">
        <f t="shared" si="1"/>
        <v>{"valorA":"em","valorB":4}</v>
      </c>
      <c r="E409" s="8" t="str">
        <f t="shared" si="2"/>
        <v>em</v>
      </c>
      <c r="F409" s="8"/>
      <c r="G409" s="8" t="str">
        <f t="shared" si="3"/>
        <v>4</v>
      </c>
      <c r="H409" s="9">
        <f t="shared" si="4"/>
        <v>4</v>
      </c>
      <c r="I409" s="10">
        <f>IFERROR(__xludf.DUMMYFUNCTION("MAX(FILTER($H$2:$H1416,$E$2:$E1416=F409))"),0.0)</f>
        <v>0</v>
      </c>
    </row>
    <row r="410">
      <c r="A410" s="4"/>
      <c r="C410" s="4" t="s">
        <v>3482</v>
      </c>
      <c r="D410" s="4" t="str">
        <f t="shared" si="1"/>
        <v>{"valorA":"casa","valorB":3}</v>
      </c>
      <c r="E410" s="8" t="str">
        <f t="shared" si="2"/>
        <v>casa</v>
      </c>
      <c r="F410" s="8"/>
      <c r="G410" s="8" t="str">
        <f t="shared" si="3"/>
        <v>3</v>
      </c>
      <c r="H410" s="9">
        <f t="shared" si="4"/>
        <v>3</v>
      </c>
      <c r="I410" s="10">
        <f>IFERROR(__xludf.DUMMYFUNCTION("MAX(FILTER($H$2:$H1416,$E$2:$E1416=F410))"),0.0)</f>
        <v>0</v>
      </c>
    </row>
    <row r="411">
      <c r="A411" s="4"/>
      <c r="C411" s="4" t="s">
        <v>3483</v>
      </c>
      <c r="D411" s="4" t="str">
        <f t="shared" si="1"/>
        <v>{"valorA":"pouco","valorB":1}</v>
      </c>
      <c r="E411" s="8" t="str">
        <f t="shared" si="2"/>
        <v>pouco</v>
      </c>
      <c r="F411" s="8"/>
      <c r="G411" s="8" t="str">
        <f t="shared" si="3"/>
        <v>1</v>
      </c>
      <c r="H411" s="9">
        <f t="shared" si="4"/>
        <v>1</v>
      </c>
      <c r="I411" s="10">
        <f>IFERROR(__xludf.DUMMYFUNCTION("MAX(FILTER($H$2:$H1416,$E$2:$E1416=F411))"),0.0)</f>
        <v>0</v>
      </c>
    </row>
    <row r="412">
      <c r="A412" s="4"/>
      <c r="C412" s="4" t="s">
        <v>3484</v>
      </c>
      <c r="D412" s="4" t="str">
        <f t="shared" si="1"/>
        <v>{"valorA":"espaço","valorB":1}</v>
      </c>
      <c r="E412" s="8" t="str">
        <f t="shared" si="2"/>
        <v>espaço</v>
      </c>
      <c r="F412" s="8"/>
      <c r="G412" s="8" t="str">
        <f t="shared" si="3"/>
        <v>1</v>
      </c>
      <c r="H412" s="9">
        <f t="shared" si="4"/>
        <v>1</v>
      </c>
      <c r="I412" s="10">
        <f>IFERROR(__xludf.DUMMYFUNCTION("MAX(FILTER($H$2:$H1416,$E$2:$E1416=F412))"),0.0)</f>
        <v>0</v>
      </c>
    </row>
    <row r="413">
      <c r="A413" s="4"/>
      <c r="C413" s="4" t="s">
        <v>3485</v>
      </c>
      <c r="D413" s="4" t="str">
        <f t="shared" si="1"/>
        <v>{"valorA":"sua","valorB":1}</v>
      </c>
      <c r="E413" s="8" t="str">
        <f t="shared" si="2"/>
        <v>sua</v>
      </c>
      <c r="F413" s="8"/>
      <c r="G413" s="8" t="str">
        <f t="shared" si="3"/>
        <v>1</v>
      </c>
      <c r="H413" s="9">
        <f t="shared" si="4"/>
        <v>1</v>
      </c>
      <c r="I413" s="10">
        <f>IFERROR(__xludf.DUMMYFUNCTION("MAX(FILTER($H$2:$H1416,$E$2:$E1416=F413))"),0.0)</f>
        <v>0</v>
      </c>
    </row>
    <row r="414">
      <c r="A414" s="4"/>
      <c r="C414" s="4" t="s">
        <v>3486</v>
      </c>
      <c r="D414" s="4" t="str">
        <f t="shared" si="1"/>
        <v>{"valorA":"de","valorB":19}</v>
      </c>
      <c r="E414" s="8" t="str">
        <f t="shared" si="2"/>
        <v>de</v>
      </c>
      <c r="F414" s="8"/>
      <c r="G414" s="8" t="str">
        <f t="shared" si="3"/>
        <v>19</v>
      </c>
      <c r="H414" s="9">
        <f t="shared" si="4"/>
        <v>19</v>
      </c>
      <c r="I414" s="10">
        <f>IFERROR(__xludf.DUMMYFUNCTION("MAX(FILTER($H$2:$H1416,$E$2:$E1416=F414))"),0.0)</f>
        <v>0</v>
      </c>
    </row>
    <row r="415">
      <c r="A415" s="4"/>
      <c r="C415" s="4" t="s">
        <v>3175</v>
      </c>
      <c r="D415" s="4" t="str">
        <f t="shared" si="1"/>
        <v>{"valorA":"carregar","valorB":1}</v>
      </c>
      <c r="E415" s="8" t="str">
        <f t="shared" si="2"/>
        <v>carregar</v>
      </c>
      <c r="F415" s="8"/>
      <c r="G415" s="8" t="str">
        <f t="shared" si="3"/>
        <v>1</v>
      </c>
      <c r="H415" s="9">
        <f t="shared" si="4"/>
        <v>1</v>
      </c>
      <c r="I415" s="10">
        <f>IFERROR(__xludf.DUMMYFUNCTION("MAX(FILTER($H$2:$H1416,$E$2:$E1416=F415))"),0.0)</f>
        <v>0</v>
      </c>
    </row>
    <row r="416">
      <c r="A416" s="4"/>
      <c r="C416" s="4" t="s">
        <v>2180</v>
      </c>
      <c r="D416" s="4" t="str">
        <f t="shared" si="1"/>
        <v>{"valorA":"computador","valorB":1}</v>
      </c>
      <c r="E416" s="8" t="str">
        <f t="shared" si="2"/>
        <v>computador</v>
      </c>
      <c r="F416" s="8"/>
      <c r="G416" s="8" t="str">
        <f t="shared" si="3"/>
        <v>1</v>
      </c>
      <c r="H416" s="9">
        <f t="shared" si="4"/>
        <v>1</v>
      </c>
      <c r="I416" s="10">
        <f>IFERROR(__xludf.DUMMYFUNCTION("MAX(FILTER($H$2:$H1416,$E$2:$E1416=F416))"),0.0)</f>
        <v>0</v>
      </c>
    </row>
    <row r="417">
      <c r="A417" s="4"/>
      <c r="C417" s="4" t="s">
        <v>2866</v>
      </c>
      <c r="D417" s="4" t="str">
        <f t="shared" si="1"/>
        <v>{"valorA":"ótimo","valorB":34}</v>
      </c>
      <c r="E417" s="8" t="str">
        <f t="shared" si="2"/>
        <v>ótimo</v>
      </c>
      <c r="F417" s="8"/>
      <c r="G417" s="8" t="str">
        <f t="shared" si="3"/>
        <v>34</v>
      </c>
      <c r="H417" s="9">
        <f t="shared" si="4"/>
        <v>34</v>
      </c>
      <c r="I417" s="10">
        <f>IFERROR(__xludf.DUMMYFUNCTION("MAX(FILTER($H$2:$H1416,$E$2:$E1416=F417))"),0.0)</f>
        <v>0</v>
      </c>
    </row>
    <row r="418">
      <c r="A418" s="4"/>
      <c r="C418" s="4" t="s">
        <v>3232</v>
      </c>
      <c r="D418" s="4" t="str">
        <f t="shared" si="1"/>
        <v>{"valorA":"portátil","valorB":2}</v>
      </c>
      <c r="E418" s="8" t="str">
        <f t="shared" si="2"/>
        <v>portátil</v>
      </c>
      <c r="F418" s="8"/>
      <c r="G418" s="8" t="str">
        <f t="shared" si="3"/>
        <v>2</v>
      </c>
      <c r="H418" s="9">
        <f t="shared" si="4"/>
        <v>2</v>
      </c>
      <c r="I418" s="10">
        <f>IFERROR(__xludf.DUMMYFUNCTION("MAX(FILTER($H$2:$H1416,$E$2:$E1416=F418))"),0.0)</f>
        <v>0</v>
      </c>
    </row>
    <row r="419">
      <c r="A419" s="4"/>
      <c r="C419" s="4" t="s">
        <v>3487</v>
      </c>
      <c r="D419" s="4" t="str">
        <f t="shared" si="1"/>
        <v>{"valorA":"funciona","valorB":13}</v>
      </c>
      <c r="E419" s="8" t="str">
        <f t="shared" si="2"/>
        <v>funciona</v>
      </c>
      <c r="F419" s="8"/>
      <c r="G419" s="8" t="str">
        <f t="shared" si="3"/>
        <v>13</v>
      </c>
      <c r="H419" s="9">
        <f t="shared" si="4"/>
        <v>13</v>
      </c>
      <c r="I419" s="10">
        <f>IFERROR(__xludf.DUMMYFUNCTION("MAX(FILTER($H$2:$H1416,$E$2:$E1416=F419))"),0.0)</f>
        <v>0</v>
      </c>
    </row>
    <row r="420">
      <c r="A420" s="4"/>
      <c r="C420" s="4" t="s">
        <v>2677</v>
      </c>
      <c r="D420" s="4" t="str">
        <f t="shared" si="1"/>
        <v>{"valorA":"fácil","valorB":1}</v>
      </c>
      <c r="E420" s="8" t="str">
        <f t="shared" si="2"/>
        <v>fácil</v>
      </c>
      <c r="F420" s="8"/>
      <c r="G420" s="8" t="str">
        <f t="shared" si="3"/>
        <v>1</v>
      </c>
      <c r="H420" s="9">
        <f t="shared" si="4"/>
        <v>1</v>
      </c>
      <c r="I420" s="10">
        <f>IFERROR(__xludf.DUMMYFUNCTION("MAX(FILTER($H$2:$H1416,$E$2:$E1416=F420))"),0.0)</f>
        <v>0</v>
      </c>
    </row>
    <row r="421">
      <c r="A421" s="4"/>
      <c r="C421" s="4" t="s">
        <v>2784</v>
      </c>
      <c r="D421" s="4" t="str">
        <f t="shared" si="1"/>
        <v>{"valorA":"e","valorB":8}</v>
      </c>
      <c r="E421" s="8" t="str">
        <f t="shared" si="2"/>
        <v>e</v>
      </c>
      <c r="F421" s="8"/>
      <c r="G421" s="8" t="str">
        <f t="shared" si="3"/>
        <v>8</v>
      </c>
      <c r="H421" s="9">
        <f t="shared" si="4"/>
        <v>8</v>
      </c>
      <c r="I421" s="10">
        <f>IFERROR(__xludf.DUMMYFUNCTION("MAX(FILTER($H$2:$H1416,$E$2:$E1416=F421))"),0.0)</f>
        <v>0</v>
      </c>
    </row>
    <row r="422">
      <c r="A422" s="4"/>
      <c r="C422" s="4" t="s">
        <v>3488</v>
      </c>
      <c r="D422" s="4" t="str">
        <f t="shared" si="1"/>
        <v>{"valorA":"bem","valorB":11}</v>
      </c>
      <c r="E422" s="8" t="str">
        <f t="shared" si="2"/>
        <v>bem</v>
      </c>
      <c r="F422" s="8"/>
      <c r="G422" s="8" t="str">
        <f t="shared" si="3"/>
        <v>11</v>
      </c>
      <c r="H422" s="9">
        <f t="shared" si="4"/>
        <v>11</v>
      </c>
      <c r="I422" s="10">
        <f>IFERROR(__xludf.DUMMYFUNCTION("MAX(FILTER($H$2:$H1416,$E$2:$E1416=F422))"),0.0)</f>
        <v>0</v>
      </c>
    </row>
    <row r="423">
      <c r="A423" s="4"/>
      <c r="C423" s="4" t="s">
        <v>3489</v>
      </c>
      <c r="D423" s="4" t="str">
        <f t="shared" si="1"/>
        <v>{"valorA":"tudo","valorB":6}</v>
      </c>
      <c r="E423" s="8" t="str">
        <f t="shared" si="2"/>
        <v>tudo</v>
      </c>
      <c r="F423" s="8"/>
      <c r="G423" s="8" t="str">
        <f t="shared" si="3"/>
        <v>6</v>
      </c>
      <c r="H423" s="9">
        <f t="shared" si="4"/>
        <v>6</v>
      </c>
      <c r="I423" s="10">
        <f>IFERROR(__xludf.DUMMYFUNCTION("MAX(FILTER($H$2:$H1416,$E$2:$E1416=F423))"),0.0)</f>
        <v>0</v>
      </c>
    </row>
    <row r="424">
      <c r="A424" s="4"/>
      <c r="C424" s="4" t="s">
        <v>2871</v>
      </c>
      <c r="D424" s="4" t="str">
        <f t="shared" si="1"/>
        <v>{"valorA":"ótimo","valorB":35}</v>
      </c>
      <c r="E424" s="8" t="str">
        <f t="shared" si="2"/>
        <v>ótimo</v>
      </c>
      <c r="F424" s="8"/>
      <c r="G424" s="8" t="str">
        <f t="shared" si="3"/>
        <v>35</v>
      </c>
      <c r="H424" s="9">
        <f t="shared" si="4"/>
        <v>35</v>
      </c>
      <c r="I424" s="10">
        <f>IFERROR(__xludf.DUMMYFUNCTION("MAX(FILTER($H$2:$H1416,$E$2:$E1416=F424))"),0.0)</f>
        <v>0</v>
      </c>
    </row>
    <row r="425">
      <c r="A425" s="4"/>
      <c r="C425" s="4" t="s">
        <v>3490</v>
      </c>
      <c r="D425" s="4" t="str">
        <f t="shared" si="1"/>
        <v>{"valorA":"sistema","valorB":2}</v>
      </c>
      <c r="E425" s="8" t="str">
        <f t="shared" si="2"/>
        <v>sistema</v>
      </c>
      <c r="F425" s="8"/>
      <c r="G425" s="8" t="str">
        <f t="shared" si="3"/>
        <v>2</v>
      </c>
      <c r="H425" s="9">
        <f t="shared" si="4"/>
        <v>2</v>
      </c>
      <c r="I425" s="10">
        <f>IFERROR(__xludf.DUMMYFUNCTION("MAX(FILTER($H$2:$H1416,$E$2:$E1416=F425))"),0.0)</f>
        <v>0</v>
      </c>
    </row>
    <row r="426">
      <c r="A426" s="4"/>
      <c r="C426" s="4" t="s">
        <v>3491</v>
      </c>
      <c r="D426" s="4" t="str">
        <f t="shared" si="1"/>
        <v>{"valorA":"de","valorB":20}</v>
      </c>
      <c r="E426" s="8" t="str">
        <f t="shared" si="2"/>
        <v>de</v>
      </c>
      <c r="F426" s="8"/>
      <c r="G426" s="8" t="str">
        <f t="shared" si="3"/>
        <v>20</v>
      </c>
      <c r="H426" s="9">
        <f t="shared" si="4"/>
        <v>20</v>
      </c>
      <c r="I426" s="10">
        <f>IFERROR(__xludf.DUMMYFUNCTION("MAX(FILTER($H$2:$H1416,$E$2:$E1416=F426))"),0.0)</f>
        <v>0</v>
      </c>
    </row>
    <row r="427">
      <c r="A427" s="4"/>
      <c r="C427" s="4" t="s">
        <v>3492</v>
      </c>
      <c r="D427" s="4" t="str">
        <f t="shared" si="1"/>
        <v>{"valorA":"condicionado","valorB":2}</v>
      </c>
      <c r="E427" s="8" t="str">
        <f t="shared" si="2"/>
        <v>condicionado</v>
      </c>
      <c r="F427" s="8"/>
      <c r="G427" s="8" t="str">
        <f t="shared" si="3"/>
        <v>2</v>
      </c>
      <c r="H427" s="9">
        <f t="shared" si="4"/>
        <v>2</v>
      </c>
      <c r="I427" s="10">
        <f>IFERROR(__xludf.DUMMYFUNCTION("MAX(FILTER($H$2:$H1416,$E$2:$E1416=F427))"),0.0)</f>
        <v>0</v>
      </c>
    </row>
    <row r="428">
      <c r="A428" s="4"/>
      <c r="C428" s="4" t="s">
        <v>3064</v>
      </c>
      <c r="D428" s="4" t="str">
        <f t="shared" si="1"/>
        <v>{"valorA":"recomendo","valorB":5}</v>
      </c>
      <c r="E428" s="8" t="str">
        <f t="shared" si="2"/>
        <v>recomendo</v>
      </c>
      <c r="F428" s="8"/>
      <c r="G428" s="8" t="str">
        <f t="shared" si="3"/>
        <v>5</v>
      </c>
      <c r="H428" s="9">
        <f t="shared" si="4"/>
        <v>5</v>
      </c>
      <c r="I428" s="10">
        <f>IFERROR(__xludf.DUMMYFUNCTION("MAX(FILTER($H$2:$H1416,$E$2:$E1416=F428))"),0.0)</f>
        <v>0</v>
      </c>
    </row>
    <row r="429">
      <c r="A429" s="4"/>
      <c r="C429" s="4" t="s">
        <v>3493</v>
      </c>
      <c r="D429" s="4" t="str">
        <f t="shared" si="1"/>
        <v>{"valorA":"sem","valorB":1}</v>
      </c>
      <c r="E429" s="8" t="str">
        <f t="shared" si="2"/>
        <v>sem</v>
      </c>
      <c r="F429" s="8"/>
      <c r="G429" s="8" t="str">
        <f t="shared" si="3"/>
        <v>1</v>
      </c>
      <c r="H429" s="9">
        <f t="shared" si="4"/>
        <v>1</v>
      </c>
      <c r="I429" s="10">
        <f>IFERROR(__xludf.DUMMYFUNCTION("MAX(FILTER($H$2:$H1416,$E$2:$E1416=F429))"),0.0)</f>
        <v>0</v>
      </c>
    </row>
    <row r="430">
      <c r="A430" s="4"/>
      <c r="C430" s="4" t="s">
        <v>3494</v>
      </c>
      <c r="D430" s="4" t="str">
        <f t="shared" si="1"/>
        <v>{"valorA":"ar","valorB":2}</v>
      </c>
      <c r="E430" s="8" t="str">
        <f t="shared" si="2"/>
        <v>ar</v>
      </c>
      <c r="F430" s="8"/>
      <c r="G430" s="8" t="str">
        <f t="shared" si="3"/>
        <v>2</v>
      </c>
      <c r="H430" s="9">
        <f t="shared" si="4"/>
        <v>2</v>
      </c>
      <c r="I430" s="10">
        <f>IFERROR(__xludf.DUMMYFUNCTION("MAX(FILTER($H$2:$H1416,$E$2:$E1416=F430))"),0.0)</f>
        <v>0</v>
      </c>
    </row>
    <row r="431">
      <c r="A431" s="4"/>
      <c r="C431" s="4" t="s">
        <v>3495</v>
      </c>
      <c r="D431" s="4" t="str">
        <f t="shared" si="1"/>
        <v>{"valorA":"reservas","valorB":1}</v>
      </c>
      <c r="E431" s="8" t="str">
        <f t="shared" si="2"/>
        <v>reservas</v>
      </c>
      <c r="F431" s="8"/>
      <c r="G431" s="8" t="str">
        <f t="shared" si="3"/>
        <v>1</v>
      </c>
      <c r="H431" s="9">
        <f t="shared" si="4"/>
        <v>1</v>
      </c>
      <c r="I431" s="10">
        <f>IFERROR(__xludf.DUMMYFUNCTION("MAX(FILTER($H$2:$H1416,$E$2:$E1416=F431))"),0.0)</f>
        <v>0</v>
      </c>
    </row>
    <row r="432">
      <c r="A432" s="4"/>
      <c r="C432" s="4" t="s">
        <v>2884</v>
      </c>
      <c r="D432" s="4" t="str">
        <f t="shared" si="1"/>
        <v>{"valorA":"ótimo","valorB":36}</v>
      </c>
      <c r="E432" s="8" t="str">
        <f t="shared" si="2"/>
        <v>ótimo</v>
      </c>
      <c r="F432" s="8"/>
      <c r="G432" s="8" t="str">
        <f t="shared" si="3"/>
        <v>36</v>
      </c>
      <c r="H432" s="9">
        <f t="shared" si="4"/>
        <v>36</v>
      </c>
      <c r="I432" s="10">
        <f>IFERROR(__xludf.DUMMYFUNCTION("MAX(FILTER($H$2:$H1416,$E$2:$E1416=F432))"),0.0)</f>
        <v>0</v>
      </c>
    </row>
    <row r="433">
      <c r="A433" s="4"/>
      <c r="C433" s="4" t="s">
        <v>3496</v>
      </c>
      <c r="D433" s="4" t="str">
        <f t="shared" si="1"/>
        <v>{"valorA":"eficaz","valorB":1}</v>
      </c>
      <c r="E433" s="8" t="str">
        <f t="shared" si="2"/>
        <v>eficaz</v>
      </c>
      <c r="F433" s="8"/>
      <c r="G433" s="8" t="str">
        <f t="shared" si="3"/>
        <v>1</v>
      </c>
      <c r="H433" s="9">
        <f t="shared" si="4"/>
        <v>1</v>
      </c>
      <c r="I433" s="10">
        <f>IFERROR(__xludf.DUMMYFUNCTION("MAX(FILTER($H$2:$H1416,$E$2:$E1416=F433))"),0.0)</f>
        <v>0</v>
      </c>
    </row>
    <row r="434">
      <c r="A434" s="4"/>
      <c r="C434" s="4" t="s">
        <v>3497</v>
      </c>
      <c r="D434" s="4" t="str">
        <f t="shared" si="1"/>
        <v>{"valorA":"surpreendido","valorB":1}</v>
      </c>
      <c r="E434" s="8" t="str">
        <f t="shared" si="2"/>
        <v>surpreendido</v>
      </c>
      <c r="F434" s="8"/>
      <c r="G434" s="8" t="str">
        <f t="shared" si="3"/>
        <v>1</v>
      </c>
      <c r="H434" s="9">
        <f t="shared" si="4"/>
        <v>1</v>
      </c>
      <c r="I434" s="10">
        <f>IFERROR(__xludf.DUMMYFUNCTION("MAX(FILTER($H$2:$H1416,$E$2:$E1416=F434))"),0.0)</f>
        <v>0</v>
      </c>
    </row>
    <row r="435">
      <c r="A435" s="4"/>
      <c r="C435" s="4" t="s">
        <v>3498</v>
      </c>
      <c r="D435" s="4" t="str">
        <f t="shared" si="1"/>
        <v>{"valorA":"final","valorB":1}</v>
      </c>
      <c r="E435" s="8" t="str">
        <f t="shared" si="2"/>
        <v>final</v>
      </c>
      <c r="F435" s="8"/>
      <c r="G435" s="8" t="str">
        <f t="shared" si="3"/>
        <v>1</v>
      </c>
      <c r="H435" s="9">
        <f t="shared" si="4"/>
        <v>1</v>
      </c>
      <c r="I435" s="10">
        <f>IFERROR(__xludf.DUMMYFUNCTION("MAX(FILTER($H$2:$H1416,$E$2:$E1416=F435))"),0.0)</f>
        <v>0</v>
      </c>
    </row>
    <row r="436">
      <c r="A436" s="4"/>
      <c r="C436" s="4" t="s">
        <v>2683</v>
      </c>
      <c r="D436" s="4" t="str">
        <f t="shared" si="1"/>
        <v>{"valorA":"essa","valorB":1}</v>
      </c>
      <c r="E436" s="8" t="str">
        <f t="shared" si="2"/>
        <v>essa</v>
      </c>
      <c r="F436" s="8"/>
      <c r="G436" s="8" t="str">
        <f t="shared" si="3"/>
        <v>1</v>
      </c>
      <c r="H436" s="9">
        <f t="shared" si="4"/>
        <v>1</v>
      </c>
      <c r="I436" s="10">
        <f>IFERROR(__xludf.DUMMYFUNCTION("MAX(FILTER($H$2:$H1416,$E$2:$E1416=F436))"),0.0)</f>
        <v>0</v>
      </c>
    </row>
    <row r="437">
      <c r="A437" s="4"/>
      <c r="C437" s="4" t="s">
        <v>3499</v>
      </c>
      <c r="D437" s="4" t="str">
        <f t="shared" si="1"/>
        <v>{"valorA":"lavadora","valorB":2}</v>
      </c>
      <c r="E437" s="8" t="str">
        <f t="shared" si="2"/>
        <v>lavadora</v>
      </c>
      <c r="F437" s="8"/>
      <c r="G437" s="8" t="str">
        <f t="shared" si="3"/>
        <v>2</v>
      </c>
      <c r="H437" s="9">
        <f t="shared" si="4"/>
        <v>2</v>
      </c>
      <c r="I437" s="10">
        <f>IFERROR(__xludf.DUMMYFUNCTION("MAX(FILTER($H$2:$H1416,$E$2:$E1416=F437))"),0.0)</f>
        <v>0</v>
      </c>
    </row>
    <row r="438">
      <c r="A438" s="4"/>
      <c r="C438" s="4" t="s">
        <v>3500</v>
      </c>
      <c r="D438" s="4" t="str">
        <f t="shared" si="1"/>
        <v>{"valorA":"fui","valorB":1}</v>
      </c>
      <c r="E438" s="8" t="str">
        <f t="shared" si="2"/>
        <v>fui</v>
      </c>
      <c r="F438" s="8"/>
      <c r="G438" s="8" t="str">
        <f t="shared" si="3"/>
        <v>1</v>
      </c>
      <c r="H438" s="9">
        <f t="shared" si="4"/>
        <v>1</v>
      </c>
      <c r="I438" s="10">
        <f>IFERROR(__xludf.DUMMYFUNCTION("MAX(FILTER($H$2:$H1416,$E$2:$E1416=F438))"),0.0)</f>
        <v>0</v>
      </c>
    </row>
    <row r="439">
      <c r="A439" s="4"/>
      <c r="C439" s="4" t="s">
        <v>3501</v>
      </c>
      <c r="D439" s="4" t="str">
        <f t="shared" si="1"/>
        <v>{"valorA":"com","valorB":8}</v>
      </c>
      <c r="E439" s="8" t="str">
        <f t="shared" si="2"/>
        <v>com</v>
      </c>
      <c r="F439" s="8"/>
      <c r="G439" s="8" t="str">
        <f t="shared" si="3"/>
        <v>8</v>
      </c>
      <c r="H439" s="9">
        <f t="shared" si="4"/>
        <v>8</v>
      </c>
      <c r="I439" s="10">
        <f>IFERROR(__xludf.DUMMYFUNCTION("MAX(FILTER($H$2:$H1416,$E$2:$E1416=F439))"),0.0)</f>
        <v>0</v>
      </c>
    </row>
    <row r="440">
      <c r="A440" s="4"/>
      <c r="C440" s="4" t="s">
        <v>2648</v>
      </c>
      <c r="D440" s="4" t="str">
        <f t="shared" si="1"/>
        <v>{"valorA":"resultado","valorB":1}</v>
      </c>
      <c r="E440" s="8" t="str">
        <f t="shared" si="2"/>
        <v>resultado</v>
      </c>
      <c r="F440" s="8"/>
      <c r="G440" s="8" t="str">
        <f t="shared" si="3"/>
        <v>1</v>
      </c>
      <c r="H440" s="9">
        <f t="shared" si="4"/>
        <v>1</v>
      </c>
      <c r="I440" s="10">
        <f>IFERROR(__xludf.DUMMYFUNCTION("MAX(FILTER($H$2:$H1416,$E$2:$E1416=F440))"),0.0)</f>
        <v>0</v>
      </c>
    </row>
    <row r="441">
      <c r="A441" s="4"/>
      <c r="C441" s="4" t="s">
        <v>3502</v>
      </c>
      <c r="D441" s="4" t="str">
        <f t="shared" si="1"/>
        <v>{"valorA":"o","valorB":13}</v>
      </c>
      <c r="E441" s="8" t="str">
        <f t="shared" si="2"/>
        <v>o</v>
      </c>
      <c r="F441" s="8"/>
      <c r="G441" s="8" t="str">
        <f t="shared" si="3"/>
        <v>13</v>
      </c>
      <c r="H441" s="9">
        <f t="shared" si="4"/>
        <v>13</v>
      </c>
      <c r="I441" s="10">
        <f>IFERROR(__xludf.DUMMYFUNCTION("MAX(FILTER($H$2:$H1416,$E$2:$E1416=F441))"),0.0)</f>
        <v>0</v>
      </c>
    </row>
    <row r="442">
      <c r="A442" s="4"/>
      <c r="C442" s="4" t="s">
        <v>3503</v>
      </c>
      <c r="D442" s="4" t="str">
        <f t="shared" si="1"/>
        <v>{"valorA":"ótima","valorB":12}</v>
      </c>
      <c r="E442" s="8" t="str">
        <f t="shared" si="2"/>
        <v>ótima</v>
      </c>
      <c r="F442" s="8"/>
      <c r="G442" s="8" t="str">
        <f t="shared" si="3"/>
        <v>12</v>
      </c>
      <c r="H442" s="9">
        <f t="shared" si="4"/>
        <v>12</v>
      </c>
      <c r="I442" s="10">
        <f>IFERROR(__xludf.DUMMYFUNCTION("MAX(FILTER($H$2:$H1416,$E$2:$E1416=F442))"),0.0)</f>
        <v>0</v>
      </c>
    </row>
    <row r="443">
      <c r="A443" s="4"/>
      <c r="C443" s="4" t="s">
        <v>3504</v>
      </c>
      <c r="D443" s="4" t="str">
        <f t="shared" si="1"/>
        <v>{"valorA":"calculadora","valorB":2}</v>
      </c>
      <c r="E443" s="8" t="str">
        <f t="shared" si="2"/>
        <v>calculadora</v>
      </c>
      <c r="F443" s="8"/>
      <c r="G443" s="8" t="str">
        <f t="shared" si="3"/>
        <v>2</v>
      </c>
      <c r="H443" s="9">
        <f t="shared" si="4"/>
        <v>2</v>
      </c>
      <c r="I443" s="10">
        <f>IFERROR(__xludf.DUMMYFUNCTION("MAX(FILTER($H$2:$H1416,$E$2:$E1416=F443))"),0.0)</f>
        <v>0</v>
      </c>
    </row>
    <row r="444">
      <c r="A444" s="4"/>
      <c r="C444" s="4" t="s">
        <v>3505</v>
      </c>
      <c r="D444" s="4" t="str">
        <f t="shared" si="1"/>
        <v>{"valorA":"funciona","valorB":14}</v>
      </c>
      <c r="E444" s="8" t="str">
        <f t="shared" si="2"/>
        <v>funciona</v>
      </c>
      <c r="F444" s="8"/>
      <c r="G444" s="8" t="str">
        <f t="shared" si="3"/>
        <v>14</v>
      </c>
      <c r="H444" s="9">
        <f t="shared" si="4"/>
        <v>14</v>
      </c>
      <c r="I444" s="10">
        <f>IFERROR(__xludf.DUMMYFUNCTION("MAX(FILTER($H$2:$H1416,$E$2:$E1416=F444))"),0.0)</f>
        <v>0</v>
      </c>
    </row>
    <row r="445">
      <c r="A445" s="4"/>
      <c r="C445" s="4" t="s">
        <v>3506</v>
      </c>
      <c r="D445" s="4" t="str">
        <f t="shared" si="1"/>
        <v>{"valorA":"muito","valorB":22}</v>
      </c>
      <c r="E445" s="8" t="str">
        <f t="shared" si="2"/>
        <v>muito</v>
      </c>
      <c r="F445" s="8"/>
      <c r="G445" s="8" t="str">
        <f t="shared" si="3"/>
        <v>22</v>
      </c>
      <c r="H445" s="9">
        <f t="shared" si="4"/>
        <v>22</v>
      </c>
      <c r="I445" s="10">
        <f>IFERROR(__xludf.DUMMYFUNCTION("MAX(FILTER($H$2:$H1416,$E$2:$E1416=F445))"),0.0)</f>
        <v>0</v>
      </c>
    </row>
    <row r="446">
      <c r="A446" s="4"/>
      <c r="C446" s="4" t="s">
        <v>3507</v>
      </c>
      <c r="D446" s="4" t="str">
        <f t="shared" si="1"/>
        <v>{"valorA":"bem","valorB":12}</v>
      </c>
      <c r="E446" s="8" t="str">
        <f t="shared" si="2"/>
        <v>bem</v>
      </c>
      <c r="F446" s="8"/>
      <c r="G446" s="8" t="str">
        <f t="shared" si="3"/>
        <v>12</v>
      </c>
      <c r="H446" s="9">
        <f t="shared" si="4"/>
        <v>12</v>
      </c>
      <c r="I446" s="10">
        <f>IFERROR(__xludf.DUMMYFUNCTION("MAX(FILTER($H$2:$H1416,$E$2:$E1416=F446))"),0.0)</f>
        <v>0</v>
      </c>
    </row>
    <row r="447">
      <c r="A447" s="4"/>
      <c r="C447" s="4"/>
      <c r="D447" s="4"/>
      <c r="E447" s="8"/>
      <c r="F447" s="8"/>
      <c r="G447" s="8"/>
      <c r="H447" s="9"/>
    </row>
    <row r="448">
      <c r="A448" s="4"/>
      <c r="C448" s="4"/>
      <c r="D448" s="4"/>
      <c r="E448" s="8"/>
      <c r="F448" s="8"/>
      <c r="G448" s="8"/>
      <c r="H448" s="9"/>
    </row>
    <row r="449">
      <c r="A449" s="4"/>
      <c r="C449" s="4"/>
      <c r="D449" s="4"/>
      <c r="E449" s="8"/>
      <c r="F449" s="8"/>
      <c r="G449" s="8"/>
      <c r="H449" s="9"/>
    </row>
    <row r="450">
      <c r="A450" s="4"/>
      <c r="C450" s="4"/>
      <c r="D450" s="4"/>
      <c r="E450" s="8"/>
      <c r="F450" s="8"/>
      <c r="G450" s="8"/>
      <c r="H450" s="9"/>
    </row>
    <row r="451">
      <c r="A451" s="4"/>
      <c r="C451" s="4"/>
      <c r="D451" s="4"/>
      <c r="E451" s="8"/>
      <c r="F451" s="8"/>
      <c r="G451" s="8"/>
      <c r="H451" s="9"/>
    </row>
    <row r="452">
      <c r="A452" s="4"/>
      <c r="C452" s="4"/>
      <c r="D452" s="4"/>
      <c r="E452" s="8"/>
      <c r="F452" s="8"/>
      <c r="G452" s="8"/>
      <c r="H452" s="9"/>
    </row>
    <row r="453">
      <c r="A453" s="4"/>
      <c r="C453" s="4"/>
      <c r="D453" s="4"/>
      <c r="E453" s="8"/>
      <c r="F453" s="8"/>
      <c r="G453" s="8"/>
      <c r="H453" s="9"/>
    </row>
    <row r="454">
      <c r="A454" s="4"/>
      <c r="C454" s="4"/>
      <c r="D454" s="4"/>
      <c r="E454" s="8"/>
      <c r="F454" s="8"/>
      <c r="G454" s="8"/>
      <c r="H454" s="9"/>
    </row>
    <row r="455">
      <c r="A455" s="4"/>
      <c r="C455" s="4"/>
      <c r="D455" s="4"/>
      <c r="E455" s="8"/>
      <c r="F455" s="8"/>
      <c r="G455" s="8"/>
      <c r="H455" s="9"/>
    </row>
    <row r="456">
      <c r="A456" s="4"/>
      <c r="C456" s="4"/>
      <c r="D456" s="4"/>
      <c r="E456" s="8"/>
      <c r="F456" s="8"/>
      <c r="G456" s="8"/>
      <c r="H456" s="9"/>
    </row>
    <row r="457">
      <c r="A457" s="4"/>
      <c r="C457" s="4"/>
      <c r="D457" s="4"/>
      <c r="E457" s="8"/>
      <c r="F457" s="8"/>
      <c r="G457" s="8"/>
      <c r="H457" s="9"/>
    </row>
    <row r="458">
      <c r="A458" s="4"/>
      <c r="C458" s="4"/>
      <c r="D458" s="4"/>
      <c r="E458" s="8"/>
      <c r="F458" s="8"/>
      <c r="G458" s="8"/>
      <c r="H458" s="9"/>
    </row>
    <row r="459">
      <c r="A459" s="4"/>
      <c r="C459" s="4"/>
      <c r="D459" s="4"/>
      <c r="E459" s="8"/>
      <c r="F459" s="8"/>
      <c r="G459" s="8"/>
      <c r="H459" s="9"/>
    </row>
    <row r="460">
      <c r="A460" s="4"/>
      <c r="C460" s="4"/>
      <c r="D460" s="4"/>
      <c r="E460" s="8"/>
      <c r="F460" s="8"/>
      <c r="G460" s="8"/>
      <c r="H460" s="9"/>
    </row>
    <row r="461">
      <c r="A461" s="4"/>
      <c r="C461" s="4"/>
      <c r="D461" s="4"/>
      <c r="E461" s="8"/>
      <c r="F461" s="8"/>
      <c r="G461" s="8"/>
      <c r="H461" s="9"/>
    </row>
    <row r="462">
      <c r="A462" s="4"/>
      <c r="C462" s="4"/>
      <c r="D462" s="4"/>
      <c r="E462" s="8"/>
      <c r="F462" s="8"/>
      <c r="G462" s="8"/>
      <c r="H462" s="9"/>
    </row>
    <row r="463">
      <c r="A463" s="4"/>
      <c r="C463" s="4"/>
      <c r="D463" s="4"/>
      <c r="E463" s="8"/>
      <c r="F463" s="8"/>
      <c r="G463" s="8"/>
      <c r="H463" s="9"/>
    </row>
    <row r="464">
      <c r="A464" s="4"/>
      <c r="C464" s="4"/>
      <c r="D464" s="4"/>
      <c r="E464" s="8"/>
      <c r="F464" s="8"/>
      <c r="G464" s="8"/>
      <c r="H464" s="9"/>
    </row>
    <row r="465">
      <c r="A465" s="4"/>
      <c r="C465" s="4"/>
      <c r="D465" s="4"/>
      <c r="E465" s="8"/>
      <c r="F465" s="8"/>
      <c r="G465" s="8"/>
      <c r="H465" s="9"/>
    </row>
    <row r="466">
      <c r="A466" s="4"/>
      <c r="C466" s="4"/>
      <c r="D466" s="4"/>
      <c r="E466" s="8"/>
      <c r="F466" s="8"/>
      <c r="G466" s="8"/>
      <c r="H466" s="9"/>
    </row>
    <row r="467">
      <c r="A467" s="4"/>
      <c r="C467" s="4"/>
      <c r="D467" s="4"/>
      <c r="E467" s="8"/>
      <c r="F467" s="8"/>
      <c r="G467" s="8"/>
      <c r="H467" s="9"/>
    </row>
    <row r="468">
      <c r="A468" s="4"/>
      <c r="C468" s="4"/>
      <c r="D468" s="4"/>
      <c r="E468" s="8"/>
      <c r="F468" s="8"/>
      <c r="G468" s="8"/>
      <c r="H468" s="9"/>
    </row>
    <row r="469">
      <c r="A469" s="4"/>
      <c r="C469" s="4"/>
      <c r="D469" s="4"/>
      <c r="E469" s="8"/>
      <c r="F469" s="8"/>
      <c r="G469" s="8"/>
      <c r="H469" s="9"/>
    </row>
    <row r="470">
      <c r="A470" s="4"/>
      <c r="C470" s="4"/>
      <c r="D470" s="4"/>
      <c r="E470" s="8"/>
      <c r="F470" s="8"/>
      <c r="G470" s="8"/>
      <c r="H470" s="9"/>
    </row>
    <row r="471">
      <c r="A471" s="4"/>
      <c r="C471" s="4"/>
      <c r="D471" s="4"/>
      <c r="E471" s="8"/>
      <c r="F471" s="8"/>
      <c r="G471" s="8"/>
      <c r="H471" s="9"/>
    </row>
    <row r="472">
      <c r="A472" s="4"/>
      <c r="C472" s="4"/>
      <c r="D472" s="4"/>
      <c r="E472" s="8"/>
      <c r="F472" s="8"/>
      <c r="G472" s="8"/>
      <c r="H472" s="9"/>
    </row>
    <row r="473">
      <c r="A473" s="4"/>
      <c r="C473" s="4"/>
      <c r="D473" s="4"/>
      <c r="E473" s="8"/>
      <c r="F473" s="8"/>
      <c r="G473" s="8"/>
      <c r="H473" s="9"/>
    </row>
    <row r="474">
      <c r="A474" s="4"/>
      <c r="C474" s="4"/>
      <c r="D474" s="4"/>
      <c r="E474" s="8"/>
      <c r="F474" s="8"/>
      <c r="G474" s="8"/>
      <c r="H474" s="9"/>
    </row>
    <row r="475">
      <c r="A475" s="4"/>
      <c r="C475" s="4"/>
      <c r="D475" s="4"/>
      <c r="E475" s="8"/>
      <c r="F475" s="8"/>
      <c r="G475" s="8"/>
      <c r="H475" s="9"/>
    </row>
    <row r="476">
      <c r="A476" s="4"/>
      <c r="C476" s="4"/>
      <c r="D476" s="4"/>
      <c r="E476" s="8"/>
      <c r="F476" s="8"/>
      <c r="G476" s="8"/>
      <c r="H476" s="9"/>
    </row>
    <row r="477">
      <c r="A477" s="4"/>
      <c r="C477" s="4"/>
      <c r="D477" s="4"/>
      <c r="E477" s="8"/>
      <c r="F477" s="8"/>
      <c r="G477" s="8"/>
      <c r="H477" s="9"/>
    </row>
    <row r="478">
      <c r="A478" s="4"/>
      <c r="C478" s="4"/>
      <c r="D478" s="4"/>
      <c r="E478" s="8"/>
      <c r="F478" s="8"/>
      <c r="G478" s="8"/>
      <c r="H478" s="9"/>
    </row>
    <row r="479">
      <c r="A479" s="4"/>
      <c r="C479" s="4"/>
      <c r="D479" s="4"/>
      <c r="E479" s="8"/>
      <c r="F479" s="8"/>
      <c r="G479" s="8"/>
      <c r="H479" s="9"/>
    </row>
    <row r="480">
      <c r="A480" s="4"/>
      <c r="C480" s="4"/>
      <c r="D480" s="4"/>
      <c r="E480" s="8"/>
      <c r="F480" s="8"/>
      <c r="G480" s="8"/>
      <c r="H480" s="9"/>
    </row>
    <row r="481">
      <c r="A481" s="4"/>
      <c r="C481" s="4"/>
      <c r="D481" s="4"/>
      <c r="E481" s="8"/>
      <c r="F481" s="8"/>
      <c r="G481" s="8"/>
      <c r="H481" s="9"/>
    </row>
    <row r="482">
      <c r="A482" s="4"/>
      <c r="C482" s="4"/>
      <c r="D482" s="4"/>
      <c r="E482" s="8"/>
      <c r="F482" s="8"/>
      <c r="G482" s="8"/>
      <c r="H482" s="9"/>
    </row>
    <row r="483">
      <c r="A483" s="4"/>
      <c r="C483" s="4"/>
      <c r="D483" s="4"/>
      <c r="E483" s="8"/>
      <c r="F483" s="8"/>
      <c r="G483" s="8"/>
      <c r="H483" s="9"/>
    </row>
    <row r="484">
      <c r="A484" s="4"/>
      <c r="C484" s="4"/>
      <c r="D484" s="4"/>
      <c r="E484" s="8"/>
      <c r="F484" s="8"/>
      <c r="G484" s="8"/>
      <c r="H484" s="9"/>
    </row>
    <row r="485">
      <c r="A485" s="4"/>
      <c r="C485" s="4"/>
      <c r="D485" s="4"/>
      <c r="E485" s="8"/>
      <c r="F485" s="8"/>
      <c r="G485" s="8"/>
      <c r="H485" s="9"/>
    </row>
    <row r="486">
      <c r="A486" s="4"/>
      <c r="C486" s="4"/>
      <c r="D486" s="4"/>
      <c r="E486" s="8"/>
      <c r="F486" s="8"/>
      <c r="G486" s="8"/>
      <c r="H486" s="9"/>
    </row>
    <row r="487">
      <c r="A487" s="4"/>
      <c r="C487" s="4"/>
      <c r="D487" s="4"/>
      <c r="E487" s="8"/>
      <c r="F487" s="8"/>
      <c r="G487" s="8"/>
      <c r="H487" s="9"/>
    </row>
    <row r="488">
      <c r="A488" s="4"/>
      <c r="C488" s="4"/>
      <c r="D488" s="4"/>
      <c r="E488" s="8"/>
      <c r="F488" s="8"/>
      <c r="G488" s="8"/>
      <c r="H488" s="9"/>
    </row>
    <row r="489">
      <c r="A489" s="4"/>
      <c r="C489" s="4"/>
      <c r="D489" s="4"/>
      <c r="E489" s="8"/>
      <c r="F489" s="8"/>
      <c r="G489" s="8"/>
      <c r="H489" s="9"/>
    </row>
    <row r="490">
      <c r="A490" s="4"/>
      <c r="C490" s="4"/>
      <c r="D490" s="4"/>
      <c r="E490" s="8"/>
      <c r="F490" s="8"/>
      <c r="G490" s="8"/>
      <c r="H490" s="9"/>
    </row>
    <row r="491">
      <c r="A491" s="4"/>
      <c r="C491" s="4"/>
      <c r="D491" s="4"/>
      <c r="E491" s="8"/>
      <c r="F491" s="8"/>
      <c r="G491" s="8"/>
      <c r="H491" s="9"/>
    </row>
    <row r="492">
      <c r="A492" s="4"/>
      <c r="C492" s="4"/>
      <c r="D492" s="4"/>
      <c r="E492" s="8"/>
      <c r="F492" s="8"/>
      <c r="G492" s="8"/>
      <c r="H492" s="9"/>
    </row>
    <row r="493">
      <c r="A493" s="4"/>
      <c r="C493" s="4"/>
      <c r="D493" s="4"/>
      <c r="E493" s="8"/>
      <c r="F493" s="8"/>
      <c r="G493" s="8"/>
      <c r="H493" s="9"/>
    </row>
    <row r="494">
      <c r="A494" s="4"/>
      <c r="C494" s="4"/>
      <c r="D494" s="4"/>
      <c r="E494" s="8"/>
      <c r="F494" s="8"/>
      <c r="G494" s="8"/>
      <c r="H494" s="9"/>
    </row>
    <row r="495">
      <c r="A495" s="4"/>
      <c r="C495" s="4"/>
      <c r="D495" s="4"/>
      <c r="E495" s="8"/>
      <c r="F495" s="8"/>
      <c r="G495" s="8"/>
      <c r="H495" s="9"/>
    </row>
    <row r="496">
      <c r="A496" s="4"/>
      <c r="C496" s="4"/>
      <c r="D496" s="4"/>
      <c r="E496" s="8"/>
      <c r="F496" s="8"/>
      <c r="G496" s="8"/>
      <c r="H496" s="9"/>
    </row>
    <row r="497">
      <c r="A497" s="4"/>
      <c r="C497" s="4"/>
      <c r="D497" s="4"/>
      <c r="E497" s="8"/>
      <c r="F497" s="8"/>
      <c r="G497" s="8"/>
      <c r="H497" s="9"/>
    </row>
    <row r="498">
      <c r="A498" s="4"/>
      <c r="C498" s="4"/>
      <c r="D498" s="4"/>
      <c r="E498" s="8"/>
      <c r="F498" s="8"/>
      <c r="G498" s="8"/>
      <c r="H498" s="9"/>
    </row>
    <row r="499">
      <c r="A499" s="4"/>
      <c r="C499" s="4"/>
      <c r="D499" s="4"/>
      <c r="E499" s="8"/>
      <c r="F499" s="8"/>
      <c r="G499" s="8"/>
      <c r="H499" s="9"/>
    </row>
    <row r="500">
      <c r="A500" s="4"/>
      <c r="C500" s="4"/>
      <c r="D500" s="4"/>
      <c r="E500" s="8"/>
      <c r="F500" s="8"/>
      <c r="G500" s="8"/>
      <c r="H500" s="9"/>
    </row>
    <row r="501">
      <c r="A501" s="4"/>
      <c r="C501" s="4"/>
      <c r="D501" s="4"/>
      <c r="E501" s="8"/>
      <c r="F501" s="8"/>
      <c r="G501" s="8"/>
      <c r="H501" s="9"/>
    </row>
    <row r="502">
      <c r="A502" s="4"/>
      <c r="C502" s="4"/>
      <c r="D502" s="4"/>
      <c r="E502" s="8"/>
      <c r="F502" s="8"/>
      <c r="G502" s="8"/>
      <c r="H502" s="9"/>
    </row>
    <row r="503">
      <c r="A503" s="4"/>
      <c r="C503" s="4"/>
      <c r="D503" s="4"/>
      <c r="E503" s="8"/>
      <c r="F503" s="8"/>
      <c r="G503" s="8"/>
      <c r="H503" s="9"/>
    </row>
    <row r="504">
      <c r="A504" s="4"/>
      <c r="C504" s="4"/>
      <c r="D504" s="4"/>
      <c r="E504" s="8"/>
      <c r="F504" s="8"/>
      <c r="G504" s="8"/>
      <c r="H504" s="9"/>
    </row>
    <row r="505">
      <c r="A505" s="4"/>
      <c r="C505" s="4"/>
      <c r="D505" s="4"/>
      <c r="E505" s="8"/>
      <c r="F505" s="8"/>
      <c r="G505" s="8"/>
      <c r="H505" s="9"/>
    </row>
    <row r="506">
      <c r="A506" s="4"/>
      <c r="C506" s="4"/>
      <c r="D506" s="4"/>
      <c r="E506" s="8"/>
      <c r="F506" s="8"/>
      <c r="G506" s="8"/>
      <c r="H506" s="9"/>
    </row>
    <row r="507">
      <c r="A507" s="4"/>
      <c r="C507" s="4"/>
      <c r="D507" s="4"/>
      <c r="E507" s="8"/>
      <c r="F507" s="8"/>
      <c r="G507" s="8"/>
      <c r="H507" s="9"/>
    </row>
    <row r="508">
      <c r="A508" s="4"/>
      <c r="C508" s="4"/>
      <c r="D508" s="4"/>
      <c r="E508" s="8"/>
      <c r="F508" s="8"/>
      <c r="G508" s="8"/>
      <c r="H508" s="9"/>
    </row>
    <row r="509">
      <c r="A509" s="4"/>
      <c r="C509" s="4"/>
      <c r="D509" s="4"/>
      <c r="E509" s="8"/>
      <c r="F509" s="8"/>
      <c r="G509" s="8"/>
      <c r="H509" s="9"/>
    </row>
    <row r="510">
      <c r="A510" s="4"/>
      <c r="C510" s="4"/>
      <c r="D510" s="4"/>
      <c r="E510" s="8"/>
      <c r="F510" s="8"/>
      <c r="G510" s="8"/>
      <c r="H510" s="9"/>
    </row>
    <row r="511">
      <c r="A511" s="4"/>
      <c r="C511" s="4"/>
      <c r="D511" s="4"/>
      <c r="E511" s="8"/>
      <c r="F511" s="8"/>
      <c r="G511" s="8"/>
      <c r="H511" s="9"/>
    </row>
    <row r="512">
      <c r="A512" s="4"/>
      <c r="C512" s="4"/>
      <c r="D512" s="4"/>
      <c r="E512" s="8"/>
      <c r="F512" s="8"/>
      <c r="G512" s="8"/>
      <c r="H512" s="9"/>
    </row>
    <row r="513">
      <c r="A513" s="4"/>
      <c r="C513" s="4"/>
      <c r="D513" s="4"/>
      <c r="E513" s="8"/>
      <c r="F513" s="8"/>
      <c r="G513" s="8"/>
      <c r="H513" s="9"/>
    </row>
    <row r="514">
      <c r="A514" s="4"/>
      <c r="C514" s="4"/>
      <c r="D514" s="4"/>
      <c r="E514" s="8"/>
      <c r="F514" s="8"/>
      <c r="G514" s="8"/>
      <c r="H514" s="9"/>
    </row>
    <row r="515">
      <c r="A515" s="4"/>
      <c r="C515" s="4"/>
      <c r="D515" s="4"/>
      <c r="E515" s="8"/>
      <c r="F515" s="8"/>
      <c r="G515" s="8"/>
      <c r="H515" s="9"/>
    </row>
    <row r="516">
      <c r="A516" s="4"/>
      <c r="C516" s="4"/>
      <c r="D516" s="4"/>
      <c r="E516" s="8"/>
      <c r="F516" s="8"/>
      <c r="G516" s="8"/>
      <c r="H516" s="9"/>
    </row>
    <row r="517">
      <c r="A517" s="4"/>
      <c r="C517" s="4"/>
      <c r="D517" s="4"/>
      <c r="E517" s="8"/>
      <c r="F517" s="8"/>
      <c r="G517" s="8"/>
      <c r="H517" s="9"/>
    </row>
    <row r="518">
      <c r="A518" s="4"/>
      <c r="C518" s="4"/>
      <c r="D518" s="4"/>
      <c r="E518" s="8"/>
      <c r="F518" s="8"/>
      <c r="G518" s="8"/>
      <c r="H518" s="9"/>
    </row>
    <row r="519">
      <c r="A519" s="4"/>
      <c r="C519" s="4"/>
      <c r="D519" s="4"/>
      <c r="E519" s="8"/>
      <c r="F519" s="8"/>
      <c r="G519" s="8"/>
      <c r="H519" s="9"/>
    </row>
    <row r="520">
      <c r="A520" s="4"/>
      <c r="C520" s="4"/>
      <c r="D520" s="4"/>
      <c r="E520" s="8"/>
      <c r="F520" s="8"/>
      <c r="G520" s="8"/>
      <c r="H520" s="9"/>
    </row>
    <row r="521">
      <c r="A521" s="4"/>
      <c r="C521" s="4"/>
      <c r="D521" s="4"/>
      <c r="E521" s="8"/>
      <c r="F521" s="8"/>
      <c r="G521" s="8"/>
      <c r="H521" s="9"/>
    </row>
    <row r="522">
      <c r="A522" s="4"/>
      <c r="C522" s="4"/>
      <c r="D522" s="4"/>
      <c r="E522" s="8"/>
      <c r="F522" s="8"/>
      <c r="G522" s="8"/>
      <c r="H522" s="9"/>
    </row>
    <row r="523">
      <c r="A523" s="4"/>
      <c r="C523" s="4"/>
      <c r="D523" s="4"/>
      <c r="E523" s="8"/>
      <c r="F523" s="8"/>
      <c r="G523" s="8"/>
      <c r="H523" s="9"/>
    </row>
    <row r="524">
      <c r="A524" s="4"/>
      <c r="C524" s="4"/>
      <c r="D524" s="4"/>
      <c r="E524" s="8"/>
      <c r="F524" s="8"/>
      <c r="G524" s="8"/>
      <c r="H524" s="9"/>
    </row>
    <row r="525">
      <c r="A525" s="4"/>
      <c r="C525" s="4"/>
      <c r="D525" s="4"/>
      <c r="E525" s="8"/>
      <c r="F525" s="8"/>
      <c r="G525" s="8"/>
      <c r="H525" s="9"/>
    </row>
    <row r="526">
      <c r="A526" s="4"/>
      <c r="C526" s="4"/>
      <c r="D526" s="4"/>
      <c r="E526" s="8"/>
      <c r="F526" s="8"/>
      <c r="G526" s="8"/>
      <c r="H526" s="9"/>
    </row>
    <row r="527">
      <c r="A527" s="4"/>
      <c r="C527" s="4"/>
      <c r="D527" s="4"/>
      <c r="E527" s="8"/>
      <c r="F527" s="8"/>
      <c r="G527" s="8"/>
      <c r="H527" s="9"/>
    </row>
    <row r="528">
      <c r="A528" s="4"/>
      <c r="C528" s="4"/>
      <c r="D528" s="4"/>
      <c r="E528" s="8"/>
      <c r="F528" s="8"/>
      <c r="G528" s="8"/>
      <c r="H528" s="9"/>
    </row>
    <row r="529">
      <c r="A529" s="4"/>
      <c r="C529" s="4"/>
      <c r="D529" s="4"/>
      <c r="E529" s="8"/>
      <c r="F529" s="8"/>
      <c r="G529" s="8"/>
      <c r="H529" s="9"/>
    </row>
    <row r="530">
      <c r="A530" s="4"/>
      <c r="C530" s="4"/>
      <c r="D530" s="4"/>
      <c r="E530" s="8"/>
      <c r="F530" s="8"/>
      <c r="G530" s="8"/>
      <c r="H530" s="9"/>
    </row>
    <row r="531">
      <c r="A531" s="4"/>
      <c r="C531" s="4"/>
      <c r="D531" s="4"/>
      <c r="E531" s="8"/>
      <c r="F531" s="8"/>
      <c r="G531" s="8"/>
      <c r="H531" s="9"/>
    </row>
    <row r="532">
      <c r="A532" s="4"/>
      <c r="C532" s="4"/>
      <c r="D532" s="4"/>
      <c r="E532" s="8"/>
      <c r="F532" s="8"/>
      <c r="G532" s="8"/>
      <c r="H532" s="9"/>
    </row>
    <row r="533">
      <c r="A533" s="4"/>
      <c r="C533" s="4"/>
      <c r="D533" s="4"/>
      <c r="E533" s="8"/>
      <c r="F533" s="8"/>
      <c r="G533" s="8"/>
      <c r="H533" s="9"/>
    </row>
    <row r="534">
      <c r="A534" s="4"/>
      <c r="C534" s="4"/>
      <c r="D534" s="4"/>
      <c r="E534" s="8"/>
      <c r="F534" s="8"/>
      <c r="G534" s="8"/>
      <c r="H534" s="9"/>
    </row>
    <row r="535">
      <c r="A535" s="4"/>
      <c r="C535" s="4"/>
      <c r="D535" s="4"/>
      <c r="E535" s="8"/>
      <c r="F535" s="8"/>
      <c r="G535" s="8"/>
      <c r="H535" s="9"/>
    </row>
    <row r="536">
      <c r="A536" s="4"/>
      <c r="C536" s="4"/>
      <c r="D536" s="4"/>
      <c r="E536" s="8"/>
      <c r="F536" s="8"/>
      <c r="G536" s="8"/>
      <c r="H536" s="9"/>
    </row>
    <row r="537">
      <c r="A537" s="4"/>
      <c r="C537" s="4"/>
      <c r="D537" s="4"/>
      <c r="E537" s="8"/>
      <c r="F537" s="8"/>
      <c r="G537" s="8"/>
      <c r="H537" s="9"/>
    </row>
    <row r="538">
      <c r="A538" s="4"/>
      <c r="C538" s="4"/>
      <c r="D538" s="4"/>
      <c r="E538" s="8"/>
      <c r="F538" s="8"/>
      <c r="G538" s="8"/>
      <c r="H538" s="9"/>
    </row>
    <row r="539">
      <c r="A539" s="4"/>
      <c r="C539" s="4"/>
      <c r="D539" s="4"/>
      <c r="E539" s="8"/>
      <c r="F539" s="8"/>
      <c r="G539" s="8"/>
      <c r="H539" s="9"/>
    </row>
    <row r="540">
      <c r="A540" s="4"/>
      <c r="C540" s="4"/>
      <c r="D540" s="4"/>
      <c r="E540" s="8"/>
      <c r="F540" s="8"/>
      <c r="G540" s="8"/>
      <c r="H540" s="9"/>
    </row>
    <row r="541">
      <c r="A541" s="4"/>
      <c r="C541" s="4"/>
      <c r="D541" s="4"/>
      <c r="E541" s="8"/>
      <c r="F541" s="8"/>
      <c r="G541" s="8"/>
      <c r="H541" s="9"/>
    </row>
    <row r="542">
      <c r="A542" s="4"/>
      <c r="C542" s="4"/>
      <c r="D542" s="4"/>
      <c r="E542" s="8"/>
      <c r="F542" s="8"/>
      <c r="G542" s="8"/>
      <c r="H542" s="9"/>
    </row>
    <row r="543">
      <c r="A543" s="4"/>
      <c r="C543" s="4"/>
      <c r="D543" s="4"/>
      <c r="E543" s="8"/>
      <c r="F543" s="8"/>
      <c r="G543" s="8"/>
      <c r="H543" s="9"/>
    </row>
    <row r="544">
      <c r="A544" s="4"/>
      <c r="C544" s="4"/>
      <c r="D544" s="4"/>
      <c r="E544" s="8"/>
      <c r="F544" s="8"/>
      <c r="G544" s="8"/>
      <c r="H544" s="9"/>
    </row>
    <row r="545">
      <c r="A545" s="4"/>
      <c r="C545" s="4"/>
      <c r="D545" s="4"/>
      <c r="E545" s="8"/>
      <c r="F545" s="8"/>
      <c r="G545" s="8"/>
      <c r="H545" s="9"/>
    </row>
    <row r="546">
      <c r="A546" s="4"/>
      <c r="C546" s="4"/>
      <c r="D546" s="4"/>
      <c r="E546" s="8"/>
      <c r="F546" s="8"/>
      <c r="G546" s="8"/>
      <c r="H546" s="9"/>
    </row>
    <row r="547">
      <c r="A547" s="4"/>
      <c r="C547" s="4"/>
      <c r="D547" s="4"/>
      <c r="E547" s="8"/>
      <c r="F547" s="8"/>
      <c r="G547" s="8"/>
      <c r="H547" s="9"/>
    </row>
    <row r="548">
      <c r="A548" s="4"/>
      <c r="C548" s="4"/>
      <c r="D548" s="4"/>
      <c r="E548" s="8"/>
      <c r="F548" s="8"/>
      <c r="G548" s="8"/>
      <c r="H548" s="9"/>
    </row>
    <row r="549">
      <c r="A549" s="4"/>
      <c r="C549" s="4"/>
      <c r="D549" s="4"/>
      <c r="E549" s="8"/>
      <c r="F549" s="8"/>
      <c r="G549" s="8"/>
      <c r="H549" s="9"/>
    </row>
    <row r="550">
      <c r="A550" s="4"/>
      <c r="C550" s="4"/>
      <c r="D550" s="4"/>
      <c r="E550" s="8"/>
      <c r="F550" s="8"/>
      <c r="G550" s="8"/>
      <c r="H550" s="9"/>
    </row>
    <row r="551">
      <c r="A551" s="4"/>
      <c r="C551" s="4"/>
      <c r="D551" s="4"/>
      <c r="E551" s="8"/>
      <c r="F551" s="8"/>
      <c r="G551" s="8"/>
      <c r="H551" s="9"/>
    </row>
    <row r="552">
      <c r="A552" s="4"/>
      <c r="C552" s="4"/>
      <c r="D552" s="4"/>
      <c r="E552" s="8"/>
      <c r="F552" s="8"/>
      <c r="G552" s="8"/>
      <c r="H552" s="9"/>
    </row>
    <row r="553">
      <c r="A553" s="4"/>
      <c r="C553" s="4"/>
      <c r="D553" s="4"/>
      <c r="E553" s="8"/>
      <c r="F553" s="8"/>
      <c r="G553" s="8"/>
      <c r="H553" s="9"/>
    </row>
    <row r="554">
      <c r="A554" s="4"/>
      <c r="C554" s="4"/>
      <c r="D554" s="4"/>
      <c r="E554" s="8"/>
      <c r="F554" s="8"/>
      <c r="G554" s="8"/>
      <c r="H554" s="9"/>
    </row>
    <row r="555">
      <c r="A555" s="4"/>
      <c r="C555" s="4"/>
      <c r="D555" s="4"/>
      <c r="E555" s="8"/>
      <c r="F555" s="8"/>
      <c r="G555" s="8"/>
      <c r="H555" s="9"/>
    </row>
    <row r="556">
      <c r="A556" s="4"/>
      <c r="C556" s="4"/>
      <c r="D556" s="4"/>
      <c r="E556" s="8"/>
      <c r="F556" s="8"/>
      <c r="G556" s="8"/>
      <c r="H556" s="9"/>
    </row>
    <row r="557">
      <c r="A557" s="4"/>
      <c r="C557" s="4"/>
      <c r="D557" s="4"/>
      <c r="E557" s="8"/>
      <c r="F557" s="8"/>
      <c r="G557" s="8"/>
      <c r="H557" s="9"/>
    </row>
    <row r="558">
      <c r="A558" s="4"/>
      <c r="C558" s="4"/>
      <c r="D558" s="4"/>
      <c r="E558" s="8"/>
      <c r="F558" s="8"/>
      <c r="G558" s="8"/>
      <c r="H558" s="9"/>
    </row>
    <row r="559">
      <c r="A559" s="4"/>
      <c r="C559" s="4"/>
      <c r="D559" s="4"/>
      <c r="E559" s="8"/>
      <c r="F559" s="8"/>
      <c r="G559" s="8"/>
      <c r="H559" s="9"/>
    </row>
    <row r="560">
      <c r="A560" s="4"/>
      <c r="C560" s="4"/>
      <c r="D560" s="4"/>
      <c r="E560" s="8"/>
      <c r="F560" s="8"/>
      <c r="G560" s="8"/>
      <c r="H560" s="9"/>
    </row>
    <row r="561">
      <c r="A561" s="4"/>
      <c r="C561" s="4"/>
      <c r="D561" s="4"/>
      <c r="E561" s="8"/>
      <c r="F561" s="8"/>
      <c r="G561" s="8"/>
      <c r="H561" s="9"/>
    </row>
    <row r="562">
      <c r="A562" s="4"/>
      <c r="C562" s="4"/>
      <c r="D562" s="4"/>
      <c r="E562" s="8"/>
      <c r="F562" s="8"/>
      <c r="G562" s="8"/>
      <c r="H562" s="9"/>
    </row>
    <row r="563">
      <c r="A563" s="4"/>
      <c r="C563" s="4"/>
      <c r="D563" s="4"/>
      <c r="E563" s="8"/>
      <c r="F563" s="8"/>
      <c r="G563" s="8"/>
      <c r="H563" s="9"/>
    </row>
    <row r="564">
      <c r="A564" s="4"/>
      <c r="C564" s="4"/>
      <c r="D564" s="4"/>
      <c r="E564" s="8"/>
      <c r="F564" s="8"/>
      <c r="G564" s="8"/>
      <c r="H564" s="9"/>
    </row>
    <row r="565">
      <c r="A565" s="4"/>
      <c r="C565" s="4"/>
      <c r="D565" s="4"/>
      <c r="E565" s="8"/>
      <c r="F565" s="8"/>
      <c r="G565" s="8"/>
      <c r="H565" s="9"/>
    </row>
    <row r="566">
      <c r="A566" s="4"/>
      <c r="C566" s="4"/>
      <c r="D566" s="4"/>
      <c r="E566" s="8"/>
      <c r="F566" s="8"/>
      <c r="G566" s="8"/>
      <c r="H566" s="9"/>
    </row>
    <row r="567">
      <c r="A567" s="4"/>
      <c r="C567" s="4"/>
      <c r="D567" s="4"/>
      <c r="E567" s="8"/>
      <c r="F567" s="8"/>
      <c r="G567" s="8"/>
      <c r="H567" s="9"/>
    </row>
    <row r="568">
      <c r="A568" s="4"/>
      <c r="C568" s="4"/>
      <c r="D568" s="4"/>
      <c r="E568" s="8"/>
      <c r="F568" s="8"/>
      <c r="G568" s="8"/>
      <c r="H568" s="9"/>
    </row>
    <row r="569">
      <c r="A569" s="4"/>
      <c r="C569" s="4"/>
      <c r="D569" s="4"/>
      <c r="E569" s="8"/>
      <c r="F569" s="8"/>
      <c r="G569" s="8"/>
      <c r="H569" s="9"/>
    </row>
    <row r="570">
      <c r="A570" s="4"/>
      <c r="C570" s="4"/>
      <c r="D570" s="4"/>
      <c r="E570" s="8"/>
      <c r="F570" s="8"/>
      <c r="G570" s="8"/>
      <c r="H570" s="9"/>
    </row>
    <row r="571">
      <c r="A571" s="4"/>
      <c r="C571" s="4"/>
      <c r="D571" s="4"/>
      <c r="E571" s="8"/>
      <c r="F571" s="8"/>
      <c r="G571" s="8"/>
      <c r="H571" s="9"/>
    </row>
    <row r="572">
      <c r="A572" s="4"/>
      <c r="C572" s="4"/>
      <c r="D572" s="4"/>
      <c r="E572" s="8"/>
      <c r="F572" s="8"/>
      <c r="G572" s="8"/>
      <c r="H572" s="9"/>
    </row>
    <row r="573">
      <c r="A573" s="4"/>
      <c r="C573" s="4"/>
      <c r="D573" s="4"/>
      <c r="E573" s="8"/>
      <c r="F573" s="8"/>
      <c r="G573" s="8"/>
      <c r="H573" s="9"/>
    </row>
    <row r="574">
      <c r="A574" s="4"/>
      <c r="C574" s="4"/>
      <c r="D574" s="4"/>
      <c r="E574" s="8"/>
      <c r="F574" s="8"/>
      <c r="G574" s="8"/>
      <c r="H574" s="9"/>
    </row>
    <row r="575">
      <c r="A575" s="4"/>
      <c r="C575" s="4"/>
      <c r="D575" s="4"/>
      <c r="E575" s="8"/>
      <c r="F575" s="8"/>
      <c r="G575" s="8"/>
      <c r="H575" s="9"/>
    </row>
    <row r="576">
      <c r="A576" s="4"/>
      <c r="C576" s="4"/>
      <c r="D576" s="4"/>
      <c r="E576" s="8"/>
      <c r="F576" s="8"/>
      <c r="G576" s="8"/>
      <c r="H576" s="9"/>
    </row>
    <row r="577">
      <c r="A577" s="4"/>
      <c r="C577" s="4"/>
      <c r="D577" s="4"/>
      <c r="E577" s="8"/>
      <c r="F577" s="8"/>
      <c r="G577" s="8"/>
      <c r="H577" s="9"/>
    </row>
    <row r="578">
      <c r="A578" s="4"/>
      <c r="C578" s="4"/>
      <c r="D578" s="4"/>
      <c r="E578" s="8"/>
      <c r="F578" s="8"/>
      <c r="G578" s="8"/>
      <c r="H578" s="9"/>
    </row>
    <row r="579">
      <c r="A579" s="4"/>
      <c r="C579" s="4"/>
      <c r="D579" s="4"/>
      <c r="E579" s="8"/>
      <c r="F579" s="8"/>
      <c r="G579" s="8"/>
      <c r="H579" s="9"/>
    </row>
    <row r="580">
      <c r="A580" s="4"/>
      <c r="C580" s="4"/>
      <c r="D580" s="4"/>
      <c r="E580" s="8"/>
      <c r="F580" s="8"/>
      <c r="G580" s="8"/>
      <c r="H580" s="9"/>
    </row>
    <row r="581">
      <c r="A581" s="4"/>
      <c r="C581" s="4"/>
      <c r="D581" s="4"/>
      <c r="E581" s="8"/>
      <c r="F581" s="8"/>
      <c r="G581" s="8"/>
      <c r="H581" s="9"/>
    </row>
    <row r="582">
      <c r="A582" s="4"/>
      <c r="C582" s="4"/>
      <c r="D582" s="4"/>
      <c r="E582" s="8"/>
      <c r="F582" s="8"/>
      <c r="G582" s="8"/>
      <c r="H582" s="9"/>
    </row>
    <row r="583">
      <c r="A583" s="4"/>
      <c r="C583" s="4"/>
      <c r="D583" s="4"/>
      <c r="E583" s="8"/>
      <c r="F583" s="8"/>
      <c r="G583" s="8"/>
      <c r="H583" s="9"/>
    </row>
    <row r="584">
      <c r="A584" s="4"/>
      <c r="C584" s="4"/>
      <c r="D584" s="4"/>
      <c r="E584" s="8"/>
      <c r="F584" s="8"/>
      <c r="G584" s="8"/>
      <c r="H584" s="9"/>
    </row>
    <row r="585">
      <c r="A585" s="4"/>
      <c r="C585" s="4"/>
      <c r="D585" s="4"/>
      <c r="E585" s="8"/>
      <c r="F585" s="8"/>
      <c r="G585" s="8"/>
      <c r="H585" s="9"/>
    </row>
    <row r="586">
      <c r="A586" s="4"/>
      <c r="C586" s="4"/>
      <c r="D586" s="4"/>
      <c r="E586" s="8"/>
      <c r="F586" s="8"/>
      <c r="G586" s="8"/>
      <c r="H586" s="9"/>
    </row>
    <row r="587">
      <c r="A587" s="4"/>
      <c r="C587" s="4"/>
      <c r="D587" s="4"/>
      <c r="E587" s="8"/>
      <c r="F587" s="8"/>
      <c r="G587" s="8"/>
      <c r="H587" s="9"/>
    </row>
    <row r="588">
      <c r="A588" s="4"/>
      <c r="C588" s="4"/>
      <c r="D588" s="4"/>
      <c r="E588" s="8"/>
      <c r="F588" s="8"/>
      <c r="G588" s="8"/>
      <c r="H588" s="9"/>
    </row>
    <row r="589">
      <c r="A589" s="4"/>
      <c r="C589" s="4"/>
      <c r="D589" s="4"/>
      <c r="E589" s="8"/>
      <c r="F589" s="8"/>
      <c r="G589" s="8"/>
      <c r="H589" s="9"/>
    </row>
    <row r="590">
      <c r="A590" s="4"/>
      <c r="C590" s="4"/>
      <c r="D590" s="4"/>
      <c r="E590" s="8"/>
      <c r="F590" s="8"/>
      <c r="G590" s="8"/>
      <c r="H590" s="9"/>
    </row>
    <row r="591">
      <c r="A591" s="4"/>
      <c r="C591" s="4"/>
      <c r="D591" s="4"/>
      <c r="E591" s="8"/>
      <c r="F591" s="8"/>
      <c r="G591" s="8"/>
      <c r="H591" s="9"/>
    </row>
    <row r="592">
      <c r="A592" s="4"/>
      <c r="C592" s="4"/>
      <c r="D592" s="4"/>
      <c r="E592" s="8"/>
      <c r="F592" s="8"/>
      <c r="G592" s="8"/>
      <c r="H592" s="9"/>
    </row>
    <row r="593">
      <c r="A593" s="4"/>
      <c r="C593" s="4"/>
      <c r="D593" s="4"/>
      <c r="E593" s="8"/>
      <c r="F593" s="8"/>
      <c r="G593" s="8"/>
      <c r="H593" s="9"/>
    </row>
    <row r="594">
      <c r="A594" s="4"/>
      <c r="C594" s="4"/>
      <c r="D594" s="4"/>
      <c r="E594" s="8"/>
      <c r="F594" s="8"/>
      <c r="G594" s="8"/>
      <c r="H594" s="9"/>
    </row>
    <row r="595">
      <c r="A595" s="4"/>
      <c r="C595" s="4"/>
      <c r="D595" s="4"/>
      <c r="E595" s="8"/>
      <c r="F595" s="8"/>
      <c r="G595" s="8"/>
      <c r="H595" s="9"/>
    </row>
    <row r="596">
      <c r="A596" s="4"/>
      <c r="C596" s="4"/>
      <c r="D596" s="4"/>
      <c r="E596" s="8"/>
      <c r="F596" s="8"/>
      <c r="G596" s="8"/>
      <c r="H596" s="9"/>
    </row>
    <row r="597">
      <c r="A597" s="4"/>
      <c r="C597" s="4"/>
      <c r="D597" s="4"/>
      <c r="E597" s="8"/>
      <c r="F597" s="8"/>
      <c r="G597" s="8"/>
      <c r="H597" s="9"/>
    </row>
    <row r="598">
      <c r="A598" s="4"/>
      <c r="C598" s="4"/>
      <c r="D598" s="4"/>
      <c r="E598" s="8"/>
      <c r="F598" s="8"/>
      <c r="G598" s="8"/>
      <c r="H598" s="9"/>
    </row>
    <row r="599">
      <c r="A599" s="4"/>
      <c r="C599" s="4"/>
      <c r="D599" s="4"/>
      <c r="E599" s="8"/>
      <c r="F599" s="8"/>
      <c r="G599" s="8"/>
      <c r="H599" s="9"/>
    </row>
    <row r="600">
      <c r="A600" s="4"/>
      <c r="C600" s="4"/>
      <c r="D600" s="4"/>
      <c r="E600" s="8"/>
      <c r="F600" s="8"/>
      <c r="G600" s="8"/>
      <c r="H600" s="9"/>
    </row>
    <row r="601">
      <c r="A601" s="4"/>
      <c r="C601" s="4"/>
      <c r="D601" s="4"/>
      <c r="E601" s="8"/>
      <c r="F601" s="8"/>
      <c r="G601" s="8"/>
      <c r="H601" s="9"/>
    </row>
    <row r="602">
      <c r="A602" s="4"/>
      <c r="C602" s="4"/>
      <c r="D602" s="4"/>
      <c r="E602" s="8"/>
      <c r="F602" s="8"/>
      <c r="G602" s="8"/>
      <c r="H602" s="9"/>
    </row>
    <row r="603">
      <c r="A603" s="4"/>
      <c r="C603" s="4"/>
      <c r="D603" s="4"/>
      <c r="E603" s="8"/>
      <c r="F603" s="8"/>
      <c r="G603" s="8"/>
      <c r="H603" s="9"/>
    </row>
    <row r="604">
      <c r="A604" s="4"/>
      <c r="C604" s="4"/>
      <c r="D604" s="4"/>
      <c r="E604" s="8"/>
      <c r="F604" s="8"/>
      <c r="G604" s="8"/>
      <c r="H604" s="9"/>
    </row>
    <row r="605">
      <c r="A605" s="4"/>
      <c r="C605" s="4"/>
      <c r="D605" s="4"/>
      <c r="E605" s="8"/>
      <c r="F605" s="8"/>
      <c r="G605" s="8"/>
      <c r="H605" s="9"/>
    </row>
    <row r="606">
      <c r="A606" s="4"/>
      <c r="C606" s="4"/>
      <c r="D606" s="4"/>
      <c r="E606" s="8"/>
      <c r="F606" s="8"/>
      <c r="G606" s="8"/>
      <c r="H606" s="9"/>
    </row>
    <row r="607">
      <c r="A607" s="4"/>
      <c r="C607" s="4"/>
      <c r="D607" s="4"/>
      <c r="E607" s="8"/>
      <c r="F607" s="8"/>
      <c r="G607" s="8"/>
      <c r="H607" s="9"/>
    </row>
    <row r="608">
      <c r="A608" s="4"/>
      <c r="C608" s="4"/>
      <c r="D608" s="4"/>
      <c r="E608" s="8"/>
      <c r="F608" s="8"/>
      <c r="G608" s="8"/>
      <c r="H608" s="9"/>
    </row>
    <row r="609">
      <c r="A609" s="4"/>
      <c r="C609" s="4"/>
      <c r="D609" s="4"/>
      <c r="E609" s="8"/>
      <c r="F609" s="8"/>
      <c r="G609" s="8"/>
      <c r="H609" s="9"/>
    </row>
    <row r="610">
      <c r="A610" s="4"/>
      <c r="C610" s="4"/>
      <c r="D610" s="4"/>
      <c r="E610" s="8"/>
      <c r="F610" s="8"/>
      <c r="G610" s="8"/>
      <c r="H610" s="9"/>
    </row>
    <row r="611">
      <c r="A611" s="4"/>
      <c r="C611" s="4"/>
      <c r="D611" s="4"/>
      <c r="E611" s="8"/>
      <c r="F611" s="8"/>
      <c r="G611" s="8"/>
      <c r="H611" s="9"/>
    </row>
    <row r="612">
      <c r="A612" s="4"/>
      <c r="C612" s="4"/>
      <c r="D612" s="4"/>
      <c r="E612" s="8"/>
      <c r="F612" s="8"/>
      <c r="G612" s="8"/>
      <c r="H612" s="9"/>
    </row>
    <row r="613">
      <c r="A613" s="4"/>
      <c r="C613" s="4"/>
      <c r="D613" s="4"/>
      <c r="E613" s="8"/>
      <c r="F613" s="8"/>
      <c r="G613" s="8"/>
      <c r="H613" s="9"/>
    </row>
    <row r="614">
      <c r="A614" s="4"/>
      <c r="C614" s="4"/>
      <c r="D614" s="4"/>
      <c r="E614" s="8"/>
      <c r="F614" s="8"/>
      <c r="G614" s="8"/>
      <c r="H614" s="9"/>
    </row>
    <row r="615">
      <c r="A615" s="4"/>
      <c r="C615" s="4"/>
      <c r="D615" s="4"/>
      <c r="E615" s="8"/>
      <c r="F615" s="8"/>
      <c r="G615" s="8"/>
      <c r="H615" s="9"/>
    </row>
    <row r="616">
      <c r="A616" s="4"/>
      <c r="C616" s="4"/>
      <c r="D616" s="4"/>
      <c r="E616" s="8"/>
      <c r="F616" s="8"/>
      <c r="G616" s="8"/>
      <c r="H616" s="9"/>
    </row>
    <row r="617">
      <c r="A617" s="4"/>
      <c r="C617" s="4"/>
      <c r="D617" s="4"/>
      <c r="E617" s="8"/>
      <c r="F617" s="8"/>
      <c r="G617" s="8"/>
      <c r="H617" s="9"/>
    </row>
    <row r="618">
      <c r="A618" s="4"/>
      <c r="C618" s="4"/>
      <c r="D618" s="4"/>
      <c r="E618" s="8"/>
      <c r="F618" s="8"/>
      <c r="G618" s="8"/>
      <c r="H618" s="9"/>
    </row>
    <row r="619">
      <c r="A619" s="4"/>
      <c r="C619" s="4"/>
      <c r="D619" s="4"/>
      <c r="E619" s="8"/>
      <c r="F619" s="8"/>
      <c r="G619" s="8"/>
      <c r="H619" s="9"/>
    </row>
    <row r="620">
      <c r="A620" s="4"/>
      <c r="C620" s="4"/>
      <c r="D620" s="4"/>
      <c r="E620" s="8"/>
      <c r="F620" s="8"/>
      <c r="G620" s="8"/>
      <c r="H620" s="9"/>
    </row>
    <row r="621">
      <c r="A621" s="4"/>
      <c r="C621" s="4"/>
      <c r="D621" s="4"/>
      <c r="E621" s="8"/>
      <c r="F621" s="8"/>
      <c r="G621" s="8"/>
      <c r="H621" s="9"/>
    </row>
    <row r="622">
      <c r="A622" s="4"/>
      <c r="C622" s="4"/>
      <c r="D622" s="4"/>
      <c r="E622" s="8"/>
      <c r="F622" s="8"/>
      <c r="G622" s="8"/>
      <c r="H622" s="9"/>
    </row>
    <row r="623">
      <c r="A623" s="4"/>
      <c r="C623" s="4"/>
      <c r="D623" s="4"/>
      <c r="E623" s="8"/>
      <c r="F623" s="8"/>
      <c r="G623" s="8"/>
      <c r="H623" s="9"/>
    </row>
    <row r="624">
      <c r="A624" s="4"/>
      <c r="C624" s="4"/>
      <c r="D624" s="4"/>
      <c r="E624" s="8"/>
      <c r="F624" s="8"/>
      <c r="G624" s="8"/>
      <c r="H624" s="9"/>
    </row>
    <row r="625">
      <c r="A625" s="4"/>
      <c r="C625" s="4"/>
      <c r="D625" s="4"/>
      <c r="E625" s="8"/>
      <c r="F625" s="8"/>
      <c r="G625" s="8"/>
      <c r="H625" s="9"/>
    </row>
    <row r="626">
      <c r="A626" s="4"/>
      <c r="C626" s="4"/>
      <c r="D626" s="4"/>
      <c r="E626" s="8"/>
      <c r="F626" s="8"/>
      <c r="G626" s="8"/>
      <c r="H626" s="9"/>
    </row>
    <row r="627">
      <c r="A627" s="4"/>
      <c r="C627" s="4"/>
      <c r="D627" s="4"/>
      <c r="E627" s="8"/>
      <c r="F627" s="8"/>
      <c r="G627" s="8"/>
      <c r="H627" s="9"/>
    </row>
    <row r="628">
      <c r="A628" s="4"/>
      <c r="C628" s="4"/>
      <c r="D628" s="4"/>
      <c r="E628" s="8"/>
      <c r="F628" s="8"/>
      <c r="G628" s="8"/>
      <c r="H628" s="9"/>
    </row>
    <row r="629">
      <c r="A629" s="4"/>
      <c r="C629" s="4"/>
      <c r="D629" s="4"/>
      <c r="E629" s="8"/>
      <c r="F629" s="8"/>
      <c r="G629" s="8"/>
      <c r="H629" s="9"/>
    </row>
    <row r="630">
      <c r="A630" s="4"/>
      <c r="C630" s="4"/>
      <c r="D630" s="4"/>
      <c r="E630" s="8"/>
      <c r="F630" s="8"/>
      <c r="G630" s="8"/>
      <c r="H630" s="9"/>
    </row>
    <row r="631">
      <c r="A631" s="4"/>
      <c r="C631" s="4"/>
      <c r="D631" s="4"/>
      <c r="E631" s="8"/>
      <c r="F631" s="8"/>
      <c r="G631" s="8"/>
      <c r="H631" s="9"/>
    </row>
    <row r="632">
      <c r="A632" s="4"/>
      <c r="C632" s="4"/>
      <c r="D632" s="4"/>
      <c r="E632" s="8"/>
      <c r="F632" s="8"/>
      <c r="G632" s="8"/>
      <c r="H632" s="9"/>
    </row>
    <row r="633">
      <c r="A633" s="4"/>
      <c r="C633" s="4"/>
      <c r="D633" s="4"/>
      <c r="E633" s="8"/>
      <c r="F633" s="8"/>
      <c r="G633" s="8"/>
      <c r="H633" s="9"/>
    </row>
    <row r="634">
      <c r="A634" s="4"/>
      <c r="C634" s="4"/>
      <c r="D634" s="4"/>
      <c r="E634" s="8"/>
      <c r="F634" s="8"/>
      <c r="G634" s="8"/>
      <c r="H634" s="9"/>
    </row>
    <row r="635">
      <c r="A635" s="4"/>
      <c r="C635" s="4"/>
      <c r="D635" s="4"/>
      <c r="E635" s="8"/>
      <c r="F635" s="8"/>
      <c r="G635" s="8"/>
      <c r="H635" s="9"/>
    </row>
    <row r="636">
      <c r="A636" s="4"/>
      <c r="C636" s="4"/>
      <c r="D636" s="4"/>
      <c r="E636" s="8"/>
      <c r="F636" s="8"/>
      <c r="G636" s="8"/>
      <c r="H636" s="9"/>
    </row>
    <row r="637">
      <c r="A637" s="4"/>
      <c r="C637" s="4"/>
      <c r="D637" s="4"/>
      <c r="E637" s="8"/>
      <c r="F637" s="8"/>
      <c r="G637" s="8"/>
      <c r="H637" s="9"/>
    </row>
    <row r="638">
      <c r="A638" s="4"/>
      <c r="C638" s="4"/>
      <c r="D638" s="4"/>
      <c r="E638" s="8"/>
      <c r="F638" s="8"/>
      <c r="G638" s="8"/>
      <c r="H638" s="9"/>
    </row>
    <row r="639">
      <c r="A639" s="4"/>
      <c r="C639" s="4"/>
      <c r="D639" s="4"/>
      <c r="E639" s="8"/>
      <c r="F639" s="8"/>
      <c r="G639" s="8"/>
      <c r="H639" s="9"/>
    </row>
    <row r="640">
      <c r="A640" s="4"/>
      <c r="C640" s="4"/>
      <c r="D640" s="4"/>
      <c r="E640" s="8"/>
      <c r="F640" s="8"/>
      <c r="G640" s="8"/>
      <c r="H640" s="9"/>
    </row>
    <row r="641">
      <c r="A641" s="4"/>
      <c r="C641" s="4"/>
      <c r="D641" s="4"/>
      <c r="E641" s="8"/>
      <c r="F641" s="8"/>
      <c r="G641" s="8"/>
      <c r="H641" s="9"/>
    </row>
    <row r="642">
      <c r="A642" s="4"/>
      <c r="C642" s="4"/>
      <c r="D642" s="4"/>
      <c r="E642" s="8"/>
      <c r="F642" s="8"/>
      <c r="G642" s="8"/>
      <c r="H642" s="9"/>
    </row>
    <row r="643">
      <c r="A643" s="4"/>
      <c r="C643" s="4"/>
      <c r="D643" s="4"/>
      <c r="E643" s="8"/>
      <c r="F643" s="8"/>
      <c r="G643" s="8"/>
      <c r="H643" s="9"/>
    </row>
    <row r="644">
      <c r="A644" s="4"/>
      <c r="C644" s="4"/>
      <c r="D644" s="4"/>
      <c r="E644" s="8"/>
      <c r="F644" s="8"/>
      <c r="G644" s="8"/>
      <c r="H644" s="9"/>
    </row>
    <row r="645">
      <c r="A645" s="4"/>
      <c r="C645" s="4"/>
      <c r="D645" s="4"/>
      <c r="E645" s="8"/>
      <c r="F645" s="8"/>
      <c r="G645" s="8"/>
      <c r="H645" s="9"/>
    </row>
    <row r="646">
      <c r="A646" s="4"/>
      <c r="C646" s="4"/>
      <c r="D646" s="4"/>
      <c r="E646" s="8"/>
      <c r="F646" s="8"/>
      <c r="G646" s="8"/>
      <c r="H646" s="9"/>
    </row>
    <row r="647">
      <c r="A647" s="4"/>
      <c r="C647" s="4"/>
      <c r="D647" s="4"/>
      <c r="E647" s="8"/>
      <c r="F647" s="8"/>
      <c r="G647" s="8"/>
      <c r="H647" s="9"/>
    </row>
    <row r="648">
      <c r="A648" s="4"/>
      <c r="C648" s="4"/>
      <c r="D648" s="4"/>
      <c r="E648" s="8"/>
      <c r="F648" s="8"/>
      <c r="G648" s="8"/>
      <c r="H648" s="9"/>
    </row>
    <row r="649">
      <c r="A649" s="4"/>
      <c r="C649" s="4"/>
      <c r="D649" s="4"/>
      <c r="E649" s="8"/>
      <c r="F649" s="8"/>
      <c r="G649" s="8"/>
      <c r="H649" s="9"/>
    </row>
    <row r="650">
      <c r="A650" s="4"/>
      <c r="C650" s="4"/>
      <c r="D650" s="4"/>
      <c r="E650" s="8"/>
      <c r="F650" s="8"/>
      <c r="G650" s="8"/>
      <c r="H650" s="9"/>
    </row>
    <row r="651">
      <c r="A651" s="4"/>
      <c r="C651" s="4"/>
      <c r="D651" s="4"/>
      <c r="E651" s="8"/>
      <c r="F651" s="8"/>
      <c r="G651" s="8"/>
      <c r="H651" s="9"/>
    </row>
    <row r="652">
      <c r="A652" s="4"/>
      <c r="C652" s="4"/>
      <c r="D652" s="4"/>
      <c r="E652" s="8"/>
      <c r="F652" s="8"/>
      <c r="G652" s="8"/>
      <c r="H652" s="9"/>
    </row>
    <row r="653">
      <c r="A653" s="4"/>
      <c r="C653" s="4"/>
      <c r="D653" s="4"/>
      <c r="E653" s="8"/>
      <c r="F653" s="8"/>
      <c r="G653" s="8"/>
      <c r="H653" s="9"/>
    </row>
    <row r="654">
      <c r="A654" s="4"/>
      <c r="C654" s="4"/>
      <c r="D654" s="4"/>
      <c r="E654" s="8"/>
      <c r="F654" s="8"/>
      <c r="G654" s="8"/>
      <c r="H654" s="9"/>
    </row>
    <row r="655">
      <c r="A655" s="4"/>
      <c r="C655" s="4"/>
      <c r="D655" s="4"/>
      <c r="E655" s="8"/>
      <c r="F655" s="8"/>
      <c r="G655" s="8"/>
      <c r="H655" s="9"/>
    </row>
    <row r="656">
      <c r="A656" s="4"/>
      <c r="C656" s="4"/>
      <c r="D656" s="4"/>
      <c r="E656" s="8"/>
      <c r="F656" s="8"/>
      <c r="G656" s="8"/>
      <c r="H656" s="9"/>
    </row>
    <row r="657">
      <c r="A657" s="4"/>
      <c r="C657" s="4"/>
      <c r="D657" s="4"/>
      <c r="E657" s="8"/>
      <c r="F657" s="8"/>
      <c r="G657" s="8"/>
      <c r="H657" s="9"/>
    </row>
    <row r="658">
      <c r="A658" s="4"/>
      <c r="C658" s="4"/>
      <c r="D658" s="4"/>
      <c r="E658" s="8"/>
      <c r="F658" s="8"/>
      <c r="G658" s="8"/>
      <c r="H658" s="9"/>
    </row>
    <row r="659">
      <c r="A659" s="4"/>
      <c r="C659" s="4"/>
      <c r="D659" s="4"/>
      <c r="E659" s="8"/>
      <c r="F659" s="8"/>
      <c r="G659" s="8"/>
      <c r="H659" s="9"/>
    </row>
    <row r="660">
      <c r="A660" s="4"/>
      <c r="C660" s="4"/>
      <c r="D660" s="4"/>
      <c r="E660" s="8"/>
      <c r="F660" s="8"/>
      <c r="G660" s="8"/>
      <c r="H660" s="9"/>
    </row>
    <row r="661">
      <c r="A661" s="4"/>
      <c r="C661" s="4"/>
      <c r="D661" s="4"/>
      <c r="E661" s="8"/>
      <c r="F661" s="8"/>
      <c r="G661" s="8"/>
      <c r="H661" s="9"/>
    </row>
    <row r="662">
      <c r="A662" s="4"/>
      <c r="C662" s="4"/>
      <c r="D662" s="4"/>
      <c r="E662" s="8"/>
      <c r="F662" s="8"/>
      <c r="G662" s="8"/>
      <c r="H662" s="9"/>
    </row>
    <row r="663">
      <c r="A663" s="4"/>
      <c r="C663" s="4"/>
      <c r="D663" s="4"/>
      <c r="E663" s="8"/>
      <c r="F663" s="8"/>
      <c r="G663" s="8"/>
      <c r="H663" s="9"/>
    </row>
    <row r="664">
      <c r="A664" s="4"/>
      <c r="C664" s="4"/>
      <c r="D664" s="4"/>
      <c r="E664" s="8"/>
      <c r="F664" s="8"/>
      <c r="G664" s="8"/>
      <c r="H664" s="9"/>
    </row>
    <row r="665">
      <c r="A665" s="4"/>
      <c r="C665" s="4"/>
      <c r="D665" s="4"/>
      <c r="E665" s="8"/>
      <c r="F665" s="8"/>
      <c r="G665" s="8"/>
      <c r="H665" s="9"/>
    </row>
    <row r="666">
      <c r="A666" s="4"/>
      <c r="C666" s="4"/>
      <c r="D666" s="4"/>
      <c r="E666" s="8"/>
      <c r="F666" s="8"/>
      <c r="G666" s="8"/>
      <c r="H666" s="9"/>
    </row>
    <row r="667">
      <c r="A667" s="4"/>
      <c r="C667" s="4"/>
      <c r="D667" s="4"/>
      <c r="E667" s="8"/>
      <c r="F667" s="8"/>
      <c r="G667" s="8"/>
      <c r="H667" s="9"/>
    </row>
    <row r="668">
      <c r="A668" s="4"/>
      <c r="C668" s="4"/>
      <c r="D668" s="4"/>
      <c r="E668" s="8"/>
      <c r="F668" s="8"/>
      <c r="G668" s="8"/>
      <c r="H668" s="9"/>
    </row>
    <row r="669">
      <c r="A669" s="4"/>
      <c r="C669" s="4"/>
      <c r="D669" s="4"/>
      <c r="E669" s="8"/>
      <c r="F669" s="8"/>
      <c r="G669" s="8"/>
      <c r="H669" s="9"/>
    </row>
    <row r="670">
      <c r="A670" s="4"/>
      <c r="C670" s="4"/>
      <c r="D670" s="4"/>
      <c r="E670" s="8"/>
      <c r="F670" s="8"/>
      <c r="G670" s="8"/>
      <c r="H670" s="9"/>
    </row>
    <row r="671">
      <c r="A671" s="4"/>
      <c r="C671" s="4"/>
      <c r="D671" s="4"/>
      <c r="E671" s="8"/>
      <c r="F671" s="8"/>
      <c r="G671" s="8"/>
      <c r="H671" s="9"/>
    </row>
    <row r="672">
      <c r="A672" s="4"/>
      <c r="C672" s="4"/>
      <c r="D672" s="4"/>
      <c r="E672" s="8"/>
      <c r="F672" s="8"/>
      <c r="G672" s="8"/>
      <c r="H672" s="9"/>
    </row>
    <row r="673">
      <c r="A673" s="4"/>
      <c r="C673" s="4"/>
      <c r="D673" s="4"/>
      <c r="E673" s="8"/>
      <c r="F673" s="8"/>
      <c r="G673" s="8"/>
      <c r="H673" s="9"/>
    </row>
    <row r="674">
      <c r="A674" s="4"/>
      <c r="C674" s="4"/>
      <c r="D674" s="4"/>
      <c r="E674" s="8"/>
      <c r="F674" s="8"/>
      <c r="G674" s="8"/>
      <c r="H674" s="9"/>
    </row>
    <row r="675">
      <c r="A675" s="4"/>
      <c r="C675" s="4"/>
      <c r="D675" s="4"/>
      <c r="E675" s="8"/>
      <c r="F675" s="8"/>
      <c r="G675" s="8"/>
      <c r="H675" s="9"/>
    </row>
    <row r="676">
      <c r="A676" s="4"/>
      <c r="C676" s="4"/>
      <c r="D676" s="4"/>
      <c r="E676" s="8"/>
      <c r="F676" s="8"/>
      <c r="G676" s="8"/>
      <c r="H676" s="9"/>
    </row>
    <row r="677">
      <c r="A677" s="4"/>
      <c r="C677" s="4"/>
      <c r="D677" s="4"/>
      <c r="E677" s="8"/>
      <c r="F677" s="8"/>
      <c r="G677" s="8"/>
      <c r="H677" s="9"/>
    </row>
    <row r="678">
      <c r="A678" s="4"/>
      <c r="C678" s="4"/>
      <c r="D678" s="4"/>
      <c r="E678" s="8"/>
      <c r="F678" s="8"/>
      <c r="G678" s="8"/>
      <c r="H678" s="9"/>
    </row>
    <row r="679">
      <c r="A679" s="4"/>
      <c r="C679" s="4"/>
      <c r="D679" s="4"/>
      <c r="E679" s="8"/>
      <c r="F679" s="8"/>
      <c r="G679" s="8"/>
      <c r="H679" s="9"/>
    </row>
    <row r="680">
      <c r="A680" s="4"/>
      <c r="C680" s="4"/>
      <c r="D680" s="4"/>
      <c r="E680" s="8"/>
      <c r="F680" s="8"/>
      <c r="G680" s="8"/>
      <c r="H680" s="9"/>
    </row>
    <row r="681">
      <c r="A681" s="4"/>
      <c r="C681" s="4"/>
      <c r="D681" s="4"/>
      <c r="E681" s="8"/>
      <c r="F681" s="8"/>
      <c r="G681" s="8"/>
      <c r="H681" s="9"/>
    </row>
    <row r="682">
      <c r="A682" s="4"/>
      <c r="C682" s="4"/>
      <c r="D682" s="4"/>
      <c r="E682" s="8"/>
      <c r="F682" s="8"/>
      <c r="G682" s="8"/>
      <c r="H682" s="9"/>
    </row>
    <row r="683">
      <c r="A683" s="4"/>
      <c r="C683" s="4"/>
      <c r="D683" s="4"/>
      <c r="E683" s="8"/>
      <c r="F683" s="8"/>
      <c r="G683" s="8"/>
      <c r="H683" s="9"/>
    </row>
    <row r="684">
      <c r="A684" s="4"/>
      <c r="C684" s="4"/>
      <c r="D684" s="4"/>
      <c r="E684" s="8"/>
      <c r="F684" s="8"/>
      <c r="G684" s="8"/>
      <c r="H684" s="9"/>
    </row>
    <row r="685">
      <c r="A685" s="4"/>
      <c r="C685" s="4"/>
      <c r="D685" s="4"/>
      <c r="E685" s="8"/>
      <c r="F685" s="8"/>
      <c r="G685" s="8"/>
      <c r="H685" s="9"/>
    </row>
    <row r="686">
      <c r="A686" s="4"/>
      <c r="C686" s="4"/>
      <c r="D686" s="4"/>
      <c r="E686" s="8"/>
      <c r="F686" s="8"/>
      <c r="G686" s="8"/>
      <c r="H686" s="9"/>
    </row>
    <row r="687">
      <c r="A687" s="4"/>
      <c r="C687" s="4"/>
      <c r="D687" s="4"/>
      <c r="E687" s="8"/>
      <c r="F687" s="8"/>
      <c r="G687" s="8"/>
      <c r="H687" s="9"/>
    </row>
    <row r="688">
      <c r="A688" s="4"/>
      <c r="C688" s="4"/>
      <c r="D688" s="4"/>
      <c r="E688" s="8"/>
      <c r="F688" s="8"/>
      <c r="G688" s="8"/>
      <c r="H688" s="9"/>
    </row>
    <row r="689">
      <c r="A689" s="4"/>
      <c r="C689" s="4"/>
      <c r="D689" s="4"/>
      <c r="E689" s="8"/>
      <c r="F689" s="8"/>
      <c r="G689" s="8"/>
      <c r="H689" s="9"/>
    </row>
    <row r="690">
      <c r="A690" s="4"/>
      <c r="C690" s="4"/>
      <c r="D690" s="4"/>
      <c r="E690" s="8"/>
      <c r="F690" s="8"/>
      <c r="G690" s="8"/>
      <c r="H690" s="9"/>
    </row>
    <row r="691">
      <c r="A691" s="4"/>
      <c r="C691" s="4"/>
      <c r="D691" s="4"/>
      <c r="E691" s="8"/>
      <c r="F691" s="8"/>
      <c r="G691" s="8"/>
      <c r="H691" s="9"/>
    </row>
    <row r="692">
      <c r="A692" s="4"/>
      <c r="C692" s="4"/>
      <c r="D692" s="4"/>
      <c r="E692" s="8"/>
      <c r="F692" s="8"/>
      <c r="G692" s="8"/>
      <c r="H692" s="9"/>
    </row>
    <row r="693">
      <c r="A693" s="4"/>
      <c r="C693" s="4"/>
      <c r="D693" s="4"/>
      <c r="E693" s="8"/>
      <c r="F693" s="8"/>
      <c r="G693" s="8"/>
      <c r="H693" s="9"/>
    </row>
    <row r="694">
      <c r="A694" s="4"/>
      <c r="C694" s="4"/>
      <c r="D694" s="4"/>
      <c r="E694" s="8"/>
      <c r="F694" s="8"/>
      <c r="G694" s="8"/>
      <c r="H694" s="9"/>
    </row>
    <row r="695">
      <c r="A695" s="4"/>
      <c r="C695" s="4"/>
      <c r="D695" s="4"/>
      <c r="E695" s="8"/>
      <c r="F695" s="8"/>
      <c r="G695" s="8"/>
      <c r="H695" s="9"/>
    </row>
    <row r="696">
      <c r="A696" s="4"/>
      <c r="C696" s="4"/>
      <c r="D696" s="4"/>
      <c r="E696" s="8"/>
      <c r="F696" s="8"/>
      <c r="G696" s="8"/>
      <c r="H696" s="9"/>
    </row>
    <row r="697">
      <c r="A697" s="4"/>
      <c r="C697" s="4"/>
      <c r="D697" s="4"/>
      <c r="E697" s="8"/>
      <c r="F697" s="8"/>
      <c r="G697" s="8"/>
      <c r="H697" s="9"/>
    </row>
    <row r="698">
      <c r="A698" s="4"/>
      <c r="C698" s="4"/>
      <c r="D698" s="4"/>
      <c r="E698" s="8"/>
      <c r="F698" s="8"/>
      <c r="G698" s="8"/>
      <c r="H698" s="9"/>
    </row>
    <row r="699">
      <c r="A699" s="4"/>
      <c r="C699" s="4"/>
      <c r="D699" s="4"/>
      <c r="E699" s="8"/>
      <c r="F699" s="8"/>
      <c r="G699" s="8"/>
      <c r="H699" s="9"/>
    </row>
    <row r="700">
      <c r="A700" s="4"/>
      <c r="C700" s="4"/>
      <c r="D700" s="4"/>
      <c r="E700" s="8"/>
      <c r="F700" s="8"/>
      <c r="G700" s="8"/>
      <c r="H700" s="9"/>
    </row>
    <row r="701">
      <c r="A701" s="4"/>
      <c r="C701" s="4"/>
      <c r="D701" s="4"/>
      <c r="E701" s="8"/>
      <c r="F701" s="8"/>
      <c r="G701" s="8"/>
      <c r="H701" s="9"/>
    </row>
    <row r="702">
      <c r="A702" s="4"/>
      <c r="C702" s="4"/>
      <c r="D702" s="4"/>
      <c r="E702" s="8"/>
      <c r="F702" s="8"/>
      <c r="G702" s="8"/>
      <c r="H702" s="9"/>
    </row>
    <row r="703">
      <c r="A703" s="4"/>
      <c r="C703" s="4"/>
      <c r="D703" s="4"/>
      <c r="E703" s="8"/>
      <c r="F703" s="8"/>
      <c r="G703" s="8"/>
      <c r="H703" s="9"/>
    </row>
    <row r="704">
      <c r="A704" s="4"/>
      <c r="C704" s="4"/>
      <c r="D704" s="4"/>
      <c r="E704" s="8"/>
      <c r="F704" s="8"/>
      <c r="G704" s="8"/>
      <c r="H704" s="9"/>
    </row>
    <row r="705">
      <c r="A705" s="4"/>
      <c r="C705" s="4"/>
      <c r="D705" s="4"/>
      <c r="E705" s="8"/>
      <c r="F705" s="8"/>
      <c r="G705" s="8"/>
      <c r="H705" s="9"/>
    </row>
    <row r="706">
      <c r="A706" s="4"/>
      <c r="C706" s="4"/>
      <c r="D706" s="4"/>
      <c r="E706" s="8"/>
      <c r="F706" s="8"/>
      <c r="G706" s="8"/>
      <c r="H706" s="9"/>
    </row>
    <row r="707">
      <c r="A707" s="4"/>
      <c r="C707" s="4"/>
      <c r="D707" s="4"/>
      <c r="E707" s="8"/>
      <c r="F707" s="8"/>
      <c r="G707" s="8"/>
      <c r="H707" s="9"/>
    </row>
    <row r="708">
      <c r="A708" s="4"/>
      <c r="C708" s="4"/>
      <c r="D708" s="4"/>
      <c r="E708" s="8"/>
      <c r="F708" s="8"/>
      <c r="G708" s="8"/>
      <c r="H708" s="9"/>
    </row>
    <row r="709">
      <c r="A709" s="4"/>
      <c r="C709" s="4"/>
      <c r="D709" s="4"/>
      <c r="E709" s="8"/>
      <c r="F709" s="8"/>
      <c r="G709" s="8"/>
      <c r="H709" s="9"/>
    </row>
    <row r="710">
      <c r="A710" s="4"/>
      <c r="C710" s="4"/>
      <c r="D710" s="4"/>
      <c r="E710" s="8"/>
      <c r="F710" s="8"/>
      <c r="G710" s="8"/>
      <c r="H710" s="9"/>
    </row>
    <row r="711">
      <c r="A711" s="4"/>
      <c r="C711" s="4"/>
      <c r="D711" s="4"/>
      <c r="E711" s="8"/>
      <c r="F711" s="8"/>
      <c r="G711" s="8"/>
      <c r="H711" s="9"/>
    </row>
    <row r="712">
      <c r="A712" s="4"/>
      <c r="C712" s="4"/>
      <c r="D712" s="4"/>
      <c r="E712" s="8"/>
      <c r="F712" s="8"/>
      <c r="G712" s="8"/>
      <c r="H712" s="9"/>
    </row>
    <row r="713">
      <c r="A713" s="4"/>
      <c r="C713" s="4"/>
      <c r="D713" s="4"/>
      <c r="E713" s="8"/>
      <c r="F713" s="8"/>
      <c r="G713" s="8"/>
      <c r="H713" s="9"/>
    </row>
    <row r="714">
      <c r="A714" s="4"/>
      <c r="C714" s="4"/>
      <c r="D714" s="4"/>
      <c r="E714" s="8"/>
      <c r="F714" s="8"/>
      <c r="G714" s="8"/>
      <c r="H714" s="9"/>
    </row>
    <row r="715">
      <c r="A715" s="4"/>
      <c r="C715" s="4"/>
      <c r="D715" s="4"/>
      <c r="E715" s="8"/>
      <c r="F715" s="8"/>
      <c r="G715" s="8"/>
      <c r="H715" s="9"/>
    </row>
    <row r="716">
      <c r="A716" s="4"/>
      <c r="C716" s="4"/>
      <c r="D716" s="4"/>
      <c r="E716" s="8"/>
      <c r="F716" s="8"/>
      <c r="G716" s="8"/>
      <c r="H716" s="9"/>
    </row>
    <row r="717">
      <c r="A717" s="4"/>
      <c r="C717" s="4"/>
      <c r="D717" s="4"/>
      <c r="E717" s="8"/>
      <c r="F717" s="8"/>
      <c r="G717" s="8"/>
      <c r="H717" s="9"/>
    </row>
    <row r="718">
      <c r="A718" s="4"/>
      <c r="C718" s="4"/>
      <c r="D718" s="4"/>
      <c r="E718" s="8"/>
      <c r="F718" s="8"/>
      <c r="G718" s="8"/>
      <c r="H718" s="9"/>
    </row>
    <row r="719">
      <c r="A719" s="4"/>
      <c r="C719" s="4"/>
      <c r="D719" s="4"/>
      <c r="E719" s="8"/>
      <c r="F719" s="8"/>
      <c r="G719" s="8"/>
      <c r="H719" s="9"/>
    </row>
    <row r="720">
      <c r="A720" s="4"/>
      <c r="C720" s="4"/>
      <c r="D720" s="4"/>
      <c r="E720" s="8"/>
      <c r="F720" s="8"/>
      <c r="G720" s="8"/>
      <c r="H720" s="9"/>
    </row>
    <row r="721">
      <c r="A721" s="4"/>
      <c r="C721" s="4"/>
      <c r="D721" s="4"/>
      <c r="E721" s="8"/>
      <c r="F721" s="8"/>
      <c r="G721" s="8"/>
      <c r="H721" s="9"/>
    </row>
    <row r="722">
      <c r="A722" s="4"/>
      <c r="C722" s="4"/>
      <c r="D722" s="4"/>
      <c r="E722" s="8"/>
      <c r="F722" s="8"/>
      <c r="G722" s="8"/>
      <c r="H722" s="9"/>
    </row>
    <row r="723">
      <c r="A723" s="4"/>
      <c r="C723" s="4"/>
      <c r="D723" s="4"/>
      <c r="E723" s="8"/>
      <c r="F723" s="8"/>
      <c r="G723" s="8"/>
      <c r="H723" s="9"/>
    </row>
    <row r="724">
      <c r="A724" s="4"/>
      <c r="C724" s="4"/>
      <c r="D724" s="4"/>
      <c r="E724" s="8"/>
      <c r="F724" s="8"/>
      <c r="G724" s="8"/>
      <c r="H724" s="9"/>
    </row>
    <row r="725">
      <c r="A725" s="4"/>
      <c r="C725" s="4"/>
      <c r="D725" s="4"/>
      <c r="E725" s="8"/>
      <c r="F725" s="8"/>
      <c r="G725" s="8"/>
      <c r="H725" s="9"/>
    </row>
    <row r="726">
      <c r="A726" s="4"/>
      <c r="C726" s="4"/>
      <c r="D726" s="4"/>
      <c r="E726" s="8"/>
      <c r="F726" s="8"/>
      <c r="G726" s="8"/>
      <c r="H726" s="9"/>
    </row>
    <row r="727">
      <c r="A727" s="4"/>
      <c r="C727" s="4"/>
      <c r="D727" s="4"/>
      <c r="E727" s="8"/>
      <c r="F727" s="8"/>
      <c r="G727" s="8"/>
      <c r="H727" s="9"/>
    </row>
    <row r="728">
      <c r="A728" s="4"/>
      <c r="C728" s="4"/>
      <c r="D728" s="4"/>
      <c r="E728" s="8"/>
      <c r="F728" s="8"/>
      <c r="G728" s="8"/>
      <c r="H728" s="9"/>
    </row>
    <row r="729">
      <c r="A729" s="4"/>
      <c r="C729" s="4"/>
      <c r="D729" s="4"/>
      <c r="E729" s="8"/>
      <c r="F729" s="8"/>
      <c r="G729" s="8"/>
      <c r="H729" s="9"/>
    </row>
    <row r="730">
      <c r="A730" s="4"/>
      <c r="C730" s="4"/>
      <c r="D730" s="4"/>
      <c r="E730" s="8"/>
      <c r="F730" s="8"/>
      <c r="G730" s="8"/>
      <c r="H730" s="9"/>
    </row>
    <row r="731">
      <c r="A731" s="4"/>
      <c r="C731" s="4"/>
      <c r="D731" s="4"/>
      <c r="E731" s="8"/>
      <c r="F731" s="8"/>
      <c r="G731" s="8"/>
      <c r="H731" s="9"/>
    </row>
    <row r="732">
      <c r="A732" s="4"/>
      <c r="C732" s="4"/>
      <c r="D732" s="4"/>
      <c r="E732" s="8"/>
      <c r="F732" s="8"/>
      <c r="G732" s="8"/>
      <c r="H732" s="9"/>
    </row>
    <row r="733">
      <c r="A733" s="4"/>
      <c r="C733" s="4"/>
      <c r="D733" s="4"/>
      <c r="E733" s="8"/>
      <c r="F733" s="8"/>
      <c r="G733" s="8"/>
      <c r="H733" s="9"/>
    </row>
    <row r="734">
      <c r="A734" s="4"/>
      <c r="C734" s="4"/>
      <c r="D734" s="4"/>
      <c r="E734" s="8"/>
      <c r="F734" s="8"/>
      <c r="G734" s="8"/>
      <c r="H734" s="9"/>
    </row>
    <row r="735">
      <c r="A735" s="4"/>
      <c r="C735" s="4"/>
      <c r="D735" s="4"/>
      <c r="E735" s="8"/>
      <c r="F735" s="8"/>
      <c r="G735" s="8"/>
      <c r="H735" s="9"/>
    </row>
    <row r="736">
      <c r="A736" s="4"/>
      <c r="C736" s="4"/>
      <c r="D736" s="4"/>
      <c r="E736" s="8"/>
      <c r="F736" s="8"/>
      <c r="G736" s="8"/>
      <c r="H736" s="9"/>
    </row>
    <row r="737">
      <c r="A737" s="4"/>
      <c r="C737" s="4"/>
      <c r="D737" s="4"/>
      <c r="E737" s="8"/>
      <c r="F737" s="8"/>
      <c r="G737" s="8"/>
      <c r="H737" s="9"/>
    </row>
    <row r="738">
      <c r="A738" s="4"/>
      <c r="C738" s="4"/>
      <c r="D738" s="4"/>
      <c r="E738" s="8"/>
      <c r="F738" s="8"/>
      <c r="G738" s="8"/>
      <c r="H738" s="9"/>
    </row>
    <row r="739">
      <c r="A739" s="4"/>
      <c r="C739" s="4"/>
      <c r="D739" s="4"/>
      <c r="E739" s="8"/>
      <c r="F739" s="8"/>
      <c r="G739" s="8"/>
      <c r="H739" s="9"/>
    </row>
    <row r="740">
      <c r="A740" s="4"/>
      <c r="C740" s="4"/>
      <c r="D740" s="4"/>
      <c r="E740" s="8"/>
      <c r="F740" s="8"/>
      <c r="G740" s="8"/>
      <c r="H740" s="9"/>
    </row>
    <row r="741">
      <c r="A741" s="4"/>
      <c r="C741" s="4"/>
      <c r="D741" s="4"/>
      <c r="E741" s="8"/>
      <c r="F741" s="8"/>
      <c r="G741" s="8"/>
      <c r="H741" s="9"/>
    </row>
    <row r="742">
      <c r="A742" s="4"/>
      <c r="C742" s="4"/>
      <c r="D742" s="4"/>
      <c r="E742" s="8"/>
      <c r="F742" s="8"/>
      <c r="G742" s="8"/>
      <c r="H742" s="9"/>
    </row>
    <row r="743">
      <c r="A743" s="4"/>
      <c r="C743" s="4"/>
      <c r="D743" s="4"/>
      <c r="E743" s="8"/>
      <c r="F743" s="8"/>
      <c r="G743" s="8"/>
      <c r="H743" s="9"/>
    </row>
    <row r="744">
      <c r="A744" s="4"/>
      <c r="C744" s="4"/>
      <c r="D744" s="4"/>
      <c r="E744" s="8"/>
      <c r="F744" s="8"/>
      <c r="G744" s="8"/>
      <c r="H744" s="9"/>
    </row>
    <row r="745">
      <c r="A745" s="4"/>
      <c r="C745" s="4"/>
      <c r="D745" s="4"/>
      <c r="E745" s="8"/>
      <c r="F745" s="8"/>
      <c r="G745" s="8"/>
      <c r="H745" s="9"/>
    </row>
    <row r="746">
      <c r="A746" s="4"/>
      <c r="C746" s="4"/>
      <c r="D746" s="4"/>
      <c r="E746" s="8"/>
      <c r="F746" s="8"/>
      <c r="G746" s="8"/>
      <c r="H746" s="9"/>
    </row>
    <row r="747">
      <c r="A747" s="4"/>
      <c r="C747" s="4"/>
      <c r="D747" s="4"/>
      <c r="E747" s="8"/>
      <c r="F747" s="8"/>
      <c r="G747" s="8"/>
      <c r="H747" s="9"/>
    </row>
    <row r="748">
      <c r="A748" s="4"/>
      <c r="C748" s="4"/>
      <c r="D748" s="4"/>
      <c r="E748" s="8"/>
      <c r="F748" s="8"/>
      <c r="G748" s="8"/>
      <c r="H748" s="9"/>
    </row>
    <row r="749">
      <c r="A749" s="4"/>
      <c r="C749" s="4"/>
      <c r="D749" s="4"/>
      <c r="E749" s="8"/>
      <c r="F749" s="8"/>
      <c r="G749" s="8"/>
      <c r="H749" s="9"/>
    </row>
    <row r="750">
      <c r="A750" s="4"/>
      <c r="C750" s="4"/>
      <c r="D750" s="4"/>
      <c r="E750" s="8"/>
      <c r="F750" s="8"/>
      <c r="G750" s="8"/>
      <c r="H750" s="9"/>
    </row>
    <row r="751">
      <c r="A751" s="4"/>
      <c r="C751" s="4"/>
      <c r="D751" s="4"/>
      <c r="E751" s="8"/>
      <c r="F751" s="8"/>
      <c r="G751" s="8"/>
      <c r="H751" s="9"/>
    </row>
    <row r="752">
      <c r="A752" s="4"/>
      <c r="C752" s="4"/>
      <c r="D752" s="4"/>
      <c r="E752" s="8"/>
      <c r="F752" s="8"/>
      <c r="G752" s="8"/>
      <c r="H752" s="9"/>
    </row>
    <row r="753">
      <c r="A753" s="4"/>
      <c r="C753" s="4"/>
      <c r="D753" s="4"/>
      <c r="E753" s="8"/>
      <c r="F753" s="8"/>
      <c r="G753" s="8"/>
      <c r="H753" s="9"/>
    </row>
    <row r="754">
      <c r="A754" s="4"/>
      <c r="C754" s="4"/>
      <c r="D754" s="4"/>
      <c r="E754" s="8"/>
      <c r="F754" s="8"/>
      <c r="G754" s="8"/>
      <c r="H754" s="9"/>
    </row>
    <row r="755">
      <c r="A755" s="4"/>
      <c r="C755" s="4"/>
      <c r="D755" s="4"/>
      <c r="E755" s="8"/>
      <c r="F755" s="8"/>
      <c r="G755" s="8"/>
      <c r="H755" s="9"/>
    </row>
    <row r="756">
      <c r="A756" s="4"/>
      <c r="C756" s="4"/>
      <c r="D756" s="4"/>
      <c r="E756" s="8"/>
      <c r="F756" s="8"/>
      <c r="G756" s="8"/>
      <c r="H756" s="9"/>
    </row>
    <row r="757">
      <c r="A757" s="4"/>
      <c r="C757" s="4"/>
      <c r="D757" s="4"/>
      <c r="E757" s="8"/>
      <c r="F757" s="8"/>
      <c r="G757" s="8"/>
      <c r="H757" s="9"/>
    </row>
    <row r="758">
      <c r="A758" s="4"/>
      <c r="C758" s="4"/>
      <c r="D758" s="4"/>
      <c r="E758" s="8"/>
      <c r="F758" s="8"/>
      <c r="G758" s="8"/>
      <c r="H758" s="9"/>
    </row>
    <row r="759">
      <c r="A759" s="4"/>
      <c r="C759" s="4"/>
      <c r="D759" s="4"/>
      <c r="E759" s="8"/>
      <c r="F759" s="8"/>
      <c r="G759" s="8"/>
      <c r="H759" s="9"/>
    </row>
    <row r="760">
      <c r="A760" s="4"/>
      <c r="C760" s="4"/>
      <c r="D760" s="4"/>
      <c r="E760" s="8"/>
      <c r="F760" s="8"/>
      <c r="G760" s="8"/>
      <c r="H760" s="9"/>
    </row>
    <row r="761">
      <c r="A761" s="4"/>
      <c r="C761" s="4"/>
      <c r="D761" s="4"/>
      <c r="E761" s="8"/>
      <c r="F761" s="8"/>
      <c r="G761" s="8"/>
      <c r="H761" s="9"/>
    </row>
    <row r="762">
      <c r="A762" s="4"/>
      <c r="C762" s="4"/>
      <c r="D762" s="4"/>
      <c r="E762" s="8"/>
      <c r="F762" s="8"/>
      <c r="G762" s="8"/>
      <c r="H762" s="9"/>
    </row>
    <row r="763">
      <c r="A763" s="4"/>
      <c r="C763" s="4"/>
      <c r="D763" s="4"/>
      <c r="E763" s="8"/>
      <c r="F763" s="8"/>
      <c r="G763" s="8"/>
      <c r="H763" s="9"/>
    </row>
    <row r="764">
      <c r="A764" s="4"/>
      <c r="C764" s="4"/>
      <c r="D764" s="4"/>
      <c r="E764" s="8"/>
      <c r="F764" s="8"/>
      <c r="G764" s="8"/>
      <c r="H764" s="9"/>
    </row>
    <row r="765">
      <c r="A765" s="4"/>
      <c r="C765" s="4"/>
      <c r="D765" s="4"/>
      <c r="E765" s="8"/>
      <c r="F765" s="8"/>
      <c r="G765" s="8"/>
      <c r="H765" s="9"/>
    </row>
    <row r="766">
      <c r="A766" s="4"/>
      <c r="C766" s="4"/>
      <c r="D766" s="4"/>
      <c r="E766" s="8"/>
      <c r="F766" s="8"/>
      <c r="G766" s="8"/>
      <c r="H766" s="9"/>
    </row>
    <row r="767">
      <c r="A767" s="4"/>
      <c r="C767" s="4"/>
      <c r="D767" s="4"/>
      <c r="E767" s="8"/>
      <c r="F767" s="8"/>
      <c r="G767" s="8"/>
      <c r="H767" s="9"/>
    </row>
    <row r="768">
      <c r="A768" s="4"/>
      <c r="C768" s="4"/>
      <c r="D768" s="4"/>
      <c r="E768" s="8"/>
      <c r="F768" s="8"/>
      <c r="G768" s="8"/>
      <c r="H768" s="9"/>
    </row>
    <row r="769">
      <c r="A769" s="4"/>
      <c r="C769" s="4"/>
      <c r="D769" s="4"/>
      <c r="E769" s="8"/>
      <c r="F769" s="8"/>
      <c r="G769" s="8"/>
      <c r="H769" s="9"/>
    </row>
    <row r="770">
      <c r="A770" s="4"/>
      <c r="C770" s="4"/>
      <c r="D770" s="4"/>
      <c r="E770" s="8"/>
      <c r="F770" s="8"/>
      <c r="G770" s="8"/>
      <c r="H770" s="9"/>
    </row>
    <row r="771">
      <c r="A771" s="4"/>
      <c r="C771" s="4"/>
      <c r="D771" s="4"/>
      <c r="E771" s="8"/>
      <c r="F771" s="8"/>
      <c r="G771" s="8"/>
      <c r="H771" s="9"/>
    </row>
    <row r="772">
      <c r="A772" s="4"/>
      <c r="C772" s="4"/>
      <c r="D772" s="4"/>
      <c r="E772" s="8"/>
      <c r="F772" s="8"/>
      <c r="G772" s="8"/>
      <c r="H772" s="9"/>
    </row>
    <row r="773">
      <c r="A773" s="4"/>
      <c r="C773" s="4"/>
      <c r="D773" s="4"/>
      <c r="E773" s="8"/>
      <c r="F773" s="8"/>
      <c r="G773" s="8"/>
      <c r="H773" s="9"/>
    </row>
    <row r="774">
      <c r="A774" s="4"/>
      <c r="C774" s="4"/>
      <c r="D774" s="4"/>
      <c r="E774" s="8"/>
      <c r="F774" s="8"/>
      <c r="G774" s="8"/>
      <c r="H774" s="9"/>
    </row>
    <row r="775">
      <c r="A775" s="4"/>
      <c r="C775" s="4"/>
      <c r="D775" s="4"/>
      <c r="E775" s="8"/>
      <c r="F775" s="8"/>
      <c r="G775" s="8"/>
      <c r="H775" s="9"/>
    </row>
    <row r="776">
      <c r="A776" s="4"/>
      <c r="C776" s="4"/>
      <c r="D776" s="4"/>
      <c r="E776" s="8"/>
      <c r="F776" s="8"/>
      <c r="G776" s="8"/>
      <c r="H776" s="9"/>
    </row>
    <row r="777">
      <c r="A777" s="4"/>
      <c r="C777" s="4"/>
      <c r="D777" s="4"/>
      <c r="E777" s="8"/>
      <c r="F777" s="8"/>
      <c r="G777" s="8"/>
      <c r="H777" s="9"/>
    </row>
    <row r="778">
      <c r="A778" s="4"/>
      <c r="C778" s="4"/>
      <c r="D778" s="4"/>
      <c r="E778" s="8"/>
      <c r="F778" s="8"/>
      <c r="G778" s="8"/>
      <c r="H778" s="9"/>
    </row>
    <row r="779">
      <c r="A779" s="4"/>
      <c r="C779" s="4"/>
      <c r="D779" s="4"/>
      <c r="E779" s="8"/>
      <c r="F779" s="8"/>
      <c r="G779" s="8"/>
      <c r="H779" s="9"/>
    </row>
    <row r="780">
      <c r="A780" s="4"/>
      <c r="C780" s="4"/>
      <c r="D780" s="4"/>
      <c r="E780" s="8"/>
      <c r="F780" s="8"/>
      <c r="G780" s="8"/>
      <c r="H780" s="9"/>
    </row>
    <row r="781">
      <c r="A781" s="4"/>
      <c r="C781" s="4"/>
      <c r="D781" s="4"/>
      <c r="E781" s="8"/>
      <c r="F781" s="8"/>
      <c r="G781" s="8"/>
      <c r="H781" s="9"/>
    </row>
    <row r="782">
      <c r="A782" s="4"/>
      <c r="C782" s="4"/>
      <c r="D782" s="4"/>
      <c r="E782" s="8"/>
      <c r="F782" s="8"/>
      <c r="G782" s="8"/>
      <c r="H782" s="9"/>
    </row>
    <row r="783">
      <c r="A783" s="4"/>
      <c r="C783" s="4"/>
      <c r="D783" s="4"/>
      <c r="E783" s="8"/>
      <c r="F783" s="8"/>
      <c r="G783" s="8"/>
      <c r="H783" s="9"/>
    </row>
    <row r="784">
      <c r="A784" s="4"/>
      <c r="C784" s="4"/>
      <c r="D784" s="4"/>
      <c r="E784" s="8"/>
      <c r="F784" s="8"/>
      <c r="G784" s="8"/>
      <c r="H784" s="9"/>
    </row>
    <row r="785">
      <c r="A785" s="4"/>
      <c r="C785" s="4"/>
      <c r="D785" s="4"/>
      <c r="E785" s="8"/>
      <c r="F785" s="8"/>
      <c r="G785" s="8"/>
      <c r="H785" s="9"/>
    </row>
    <row r="786">
      <c r="A786" s="4"/>
      <c r="C786" s="4"/>
      <c r="D786" s="4"/>
      <c r="E786" s="8"/>
      <c r="F786" s="8"/>
      <c r="G786" s="8"/>
      <c r="H786" s="9"/>
    </row>
    <row r="787">
      <c r="A787" s="4"/>
      <c r="C787" s="4"/>
      <c r="D787" s="4"/>
      <c r="E787" s="8"/>
      <c r="F787" s="8"/>
      <c r="G787" s="8"/>
      <c r="H787" s="9"/>
    </row>
    <row r="788">
      <c r="A788" s="4"/>
      <c r="C788" s="4"/>
      <c r="D788" s="4"/>
      <c r="E788" s="8"/>
      <c r="F788" s="8"/>
      <c r="G788" s="8"/>
      <c r="H788" s="9"/>
    </row>
    <row r="789">
      <c r="A789" s="4"/>
      <c r="C789" s="4"/>
      <c r="D789" s="4"/>
      <c r="E789" s="8"/>
      <c r="F789" s="8"/>
      <c r="G789" s="8"/>
      <c r="H789" s="9"/>
    </row>
    <row r="790">
      <c r="A790" s="4"/>
      <c r="C790" s="4"/>
      <c r="D790" s="4"/>
      <c r="E790" s="8"/>
      <c r="F790" s="8"/>
      <c r="G790" s="8"/>
      <c r="H790" s="9"/>
    </row>
    <row r="791">
      <c r="A791" s="4"/>
      <c r="C791" s="4"/>
      <c r="D791" s="4"/>
      <c r="E791" s="8"/>
      <c r="F791" s="8"/>
      <c r="G791" s="8"/>
      <c r="H791" s="9"/>
    </row>
    <row r="792">
      <c r="A792" s="4"/>
      <c r="C792" s="4"/>
      <c r="D792" s="4"/>
      <c r="E792" s="8"/>
      <c r="F792" s="8"/>
      <c r="G792" s="8"/>
      <c r="H792" s="9"/>
    </row>
    <row r="793">
      <c r="A793" s="4"/>
      <c r="C793" s="4"/>
      <c r="D793" s="4"/>
      <c r="E793" s="8"/>
      <c r="F793" s="8"/>
      <c r="G793" s="8"/>
      <c r="H793" s="9"/>
    </row>
    <row r="794">
      <c r="A794" s="4"/>
      <c r="C794" s="4"/>
      <c r="D794" s="4"/>
      <c r="E794" s="8"/>
      <c r="F794" s="8"/>
      <c r="G794" s="8"/>
      <c r="H794" s="9"/>
    </row>
    <row r="795">
      <c r="A795" s="4"/>
      <c r="C795" s="4"/>
      <c r="D795" s="4"/>
      <c r="E795" s="8"/>
      <c r="F795" s="8"/>
      <c r="G795" s="8"/>
      <c r="H795" s="9"/>
    </row>
    <row r="796">
      <c r="A796" s="4"/>
      <c r="C796" s="4"/>
      <c r="D796" s="4"/>
      <c r="E796" s="8"/>
      <c r="F796" s="8"/>
      <c r="G796" s="8"/>
      <c r="H796" s="9"/>
    </row>
    <row r="797">
      <c r="A797" s="4"/>
      <c r="C797" s="4"/>
      <c r="D797" s="4"/>
      <c r="E797" s="8"/>
      <c r="F797" s="8"/>
      <c r="G797" s="8"/>
      <c r="H797" s="9"/>
    </row>
    <row r="798">
      <c r="A798" s="4"/>
      <c r="C798" s="4"/>
      <c r="D798" s="4"/>
      <c r="E798" s="8"/>
      <c r="F798" s="8"/>
      <c r="G798" s="8"/>
      <c r="H798" s="9"/>
    </row>
    <row r="799">
      <c r="A799" s="4"/>
      <c r="C799" s="4"/>
      <c r="D799" s="4"/>
      <c r="E799" s="8"/>
      <c r="F799" s="8"/>
      <c r="G799" s="8"/>
      <c r="H799" s="9"/>
    </row>
    <row r="800">
      <c r="A800" s="4"/>
      <c r="C800" s="4"/>
      <c r="D800" s="4"/>
      <c r="E800" s="8"/>
      <c r="F800" s="8"/>
      <c r="G800" s="8"/>
      <c r="H800" s="9"/>
    </row>
    <row r="801">
      <c r="A801" s="4"/>
      <c r="C801" s="4"/>
      <c r="D801" s="4"/>
      <c r="E801" s="8"/>
      <c r="F801" s="8"/>
      <c r="G801" s="8"/>
      <c r="H801" s="9"/>
    </row>
    <row r="802">
      <c r="A802" s="4"/>
      <c r="C802" s="4"/>
      <c r="D802" s="4"/>
      <c r="E802" s="8"/>
      <c r="F802" s="8"/>
      <c r="G802" s="8"/>
      <c r="H802" s="9"/>
    </row>
    <row r="803">
      <c r="A803" s="4"/>
      <c r="C803" s="4"/>
      <c r="D803" s="4"/>
      <c r="E803" s="8"/>
      <c r="F803" s="8"/>
      <c r="G803" s="8"/>
      <c r="H803" s="9"/>
    </row>
    <row r="804">
      <c r="A804" s="4"/>
      <c r="C804" s="4"/>
      <c r="D804" s="4"/>
      <c r="E804" s="8"/>
      <c r="F804" s="8"/>
      <c r="G804" s="8"/>
      <c r="H804" s="9"/>
    </row>
    <row r="805">
      <c r="A805" s="4"/>
      <c r="C805" s="4"/>
      <c r="D805" s="4"/>
      <c r="E805" s="8"/>
      <c r="F805" s="8"/>
      <c r="G805" s="8"/>
      <c r="H805" s="9"/>
    </row>
    <row r="806">
      <c r="A806" s="4"/>
      <c r="C806" s="4"/>
      <c r="D806" s="4"/>
      <c r="E806" s="8"/>
      <c r="F806" s="8"/>
      <c r="G806" s="8"/>
      <c r="H806" s="9"/>
    </row>
    <row r="807">
      <c r="A807" s="4"/>
      <c r="C807" s="4"/>
      <c r="D807" s="4"/>
      <c r="E807" s="8"/>
      <c r="F807" s="8"/>
      <c r="G807" s="8"/>
      <c r="H807" s="9"/>
    </row>
    <row r="808">
      <c r="A808" s="4"/>
      <c r="C808" s="4"/>
      <c r="D808" s="4"/>
      <c r="E808" s="8"/>
      <c r="F808" s="8"/>
      <c r="G808" s="8"/>
      <c r="H808" s="9"/>
    </row>
    <row r="809">
      <c r="A809" s="4"/>
      <c r="C809" s="4"/>
      <c r="D809" s="4"/>
      <c r="E809" s="8"/>
      <c r="F809" s="8"/>
      <c r="G809" s="8"/>
      <c r="H809" s="9"/>
    </row>
    <row r="810">
      <c r="A810" s="4"/>
      <c r="C810" s="4"/>
      <c r="D810" s="4"/>
      <c r="E810" s="8"/>
      <c r="F810" s="8"/>
      <c r="G810" s="8"/>
      <c r="H810" s="9"/>
    </row>
    <row r="811">
      <c r="A811" s="4"/>
      <c r="C811" s="4"/>
      <c r="D811" s="4"/>
      <c r="E811" s="8"/>
      <c r="F811" s="8"/>
      <c r="G811" s="8"/>
      <c r="H811" s="9"/>
    </row>
    <row r="812">
      <c r="A812" s="4"/>
      <c r="C812" s="4"/>
      <c r="D812" s="4"/>
      <c r="E812" s="8"/>
      <c r="F812" s="8"/>
      <c r="G812" s="8"/>
      <c r="H812" s="9"/>
    </row>
    <row r="813">
      <c r="A813" s="4"/>
      <c r="C813" s="4"/>
      <c r="D813" s="4"/>
      <c r="E813" s="8"/>
      <c r="F813" s="8"/>
      <c r="G813" s="8"/>
      <c r="H813" s="9"/>
    </row>
    <row r="814">
      <c r="A814" s="4"/>
      <c r="C814" s="4"/>
      <c r="D814" s="4"/>
      <c r="E814" s="8"/>
      <c r="F814" s="8"/>
      <c r="G814" s="8"/>
      <c r="H814" s="9"/>
    </row>
    <row r="815">
      <c r="A815" s="4"/>
      <c r="C815" s="4"/>
      <c r="D815" s="4"/>
      <c r="E815" s="8"/>
      <c r="F815" s="8"/>
      <c r="G815" s="8"/>
      <c r="H815" s="9"/>
    </row>
    <row r="816">
      <c r="A816" s="4"/>
      <c r="C816" s="4"/>
      <c r="D816" s="4"/>
      <c r="E816" s="8"/>
      <c r="F816" s="8"/>
      <c r="G816" s="8"/>
      <c r="H816" s="9"/>
    </row>
    <row r="817">
      <c r="A817" s="4"/>
      <c r="C817" s="4"/>
      <c r="D817" s="4"/>
      <c r="E817" s="8"/>
      <c r="F817" s="8"/>
      <c r="G817" s="8"/>
      <c r="H817" s="9"/>
    </row>
    <row r="818">
      <c r="A818" s="4"/>
      <c r="C818" s="4"/>
      <c r="D818" s="4"/>
      <c r="E818" s="8"/>
      <c r="F818" s="8"/>
      <c r="G818" s="8"/>
      <c r="H818" s="9"/>
    </row>
    <row r="819">
      <c r="A819" s="4"/>
      <c r="C819" s="4"/>
      <c r="D819" s="4"/>
      <c r="E819" s="8"/>
      <c r="F819" s="8"/>
      <c r="G819" s="8"/>
      <c r="H819" s="9"/>
    </row>
    <row r="820">
      <c r="A820" s="4"/>
      <c r="C820" s="4"/>
      <c r="D820" s="4"/>
      <c r="E820" s="8"/>
      <c r="F820" s="8"/>
      <c r="G820" s="8"/>
      <c r="H820" s="9"/>
    </row>
    <row r="821">
      <c r="A821" s="4"/>
      <c r="C821" s="4"/>
      <c r="D821" s="4"/>
      <c r="E821" s="8"/>
      <c r="F821" s="8"/>
      <c r="G821" s="8"/>
      <c r="H821" s="9"/>
    </row>
    <row r="822">
      <c r="A822" s="4"/>
      <c r="C822" s="4"/>
      <c r="D822" s="4"/>
      <c r="E822" s="8"/>
      <c r="F822" s="8"/>
      <c r="G822" s="8"/>
      <c r="H822" s="9"/>
    </row>
    <row r="823">
      <c r="A823" s="4"/>
      <c r="C823" s="4"/>
      <c r="D823" s="4"/>
      <c r="E823" s="8"/>
      <c r="F823" s="8"/>
      <c r="G823" s="8"/>
      <c r="H823" s="9"/>
    </row>
    <row r="824">
      <c r="A824" s="4"/>
      <c r="C824" s="4"/>
      <c r="D824" s="4"/>
      <c r="E824" s="8"/>
      <c r="F824" s="8"/>
      <c r="G824" s="8"/>
      <c r="H824" s="9"/>
    </row>
    <row r="825">
      <c r="A825" s="4"/>
      <c r="C825" s="4"/>
      <c r="D825" s="4"/>
      <c r="E825" s="8"/>
      <c r="F825" s="8"/>
      <c r="G825" s="8"/>
      <c r="H825" s="9"/>
    </row>
    <row r="826">
      <c r="A826" s="4"/>
      <c r="C826" s="4"/>
      <c r="D826" s="4"/>
      <c r="E826" s="8"/>
      <c r="F826" s="8"/>
      <c r="G826" s="8"/>
      <c r="H826" s="9"/>
    </row>
    <row r="827">
      <c r="A827" s="4"/>
      <c r="C827" s="4"/>
      <c r="D827" s="4"/>
      <c r="E827" s="8"/>
      <c r="F827" s="8"/>
      <c r="G827" s="8"/>
      <c r="H827" s="9"/>
    </row>
    <row r="828">
      <c r="A828" s="4"/>
      <c r="C828" s="4"/>
      <c r="D828" s="4"/>
      <c r="E828" s="8"/>
      <c r="F828" s="8"/>
      <c r="G828" s="8"/>
      <c r="H828" s="9"/>
    </row>
    <row r="829">
      <c r="A829" s="4"/>
      <c r="C829" s="4"/>
      <c r="D829" s="4"/>
      <c r="E829" s="8"/>
      <c r="F829" s="8"/>
      <c r="G829" s="8"/>
      <c r="H829" s="9"/>
    </row>
    <row r="830">
      <c r="A830" s="4"/>
      <c r="C830" s="4"/>
      <c r="D830" s="4"/>
      <c r="E830" s="8"/>
      <c r="F830" s="8"/>
      <c r="G830" s="8"/>
      <c r="H830" s="9"/>
    </row>
    <row r="831">
      <c r="A831" s="4"/>
      <c r="C831" s="4"/>
      <c r="D831" s="4"/>
      <c r="E831" s="8"/>
      <c r="F831" s="8"/>
      <c r="G831" s="8"/>
      <c r="H831" s="9"/>
    </row>
    <row r="832">
      <c r="A832" s="4"/>
      <c r="C832" s="4"/>
      <c r="D832" s="4"/>
      <c r="E832" s="8"/>
      <c r="F832" s="8"/>
      <c r="G832" s="8"/>
      <c r="H832" s="9"/>
    </row>
    <row r="833">
      <c r="A833" s="4"/>
      <c r="C833" s="4"/>
      <c r="D833" s="4"/>
      <c r="E833" s="8"/>
      <c r="F833" s="8"/>
      <c r="G833" s="8"/>
      <c r="H833" s="9"/>
    </row>
    <row r="834">
      <c r="A834" s="4"/>
      <c r="C834" s="4"/>
      <c r="D834" s="4"/>
      <c r="E834" s="8"/>
      <c r="F834" s="8"/>
      <c r="G834" s="8"/>
      <c r="H834" s="9"/>
    </row>
    <row r="835">
      <c r="A835" s="4"/>
      <c r="C835" s="4"/>
      <c r="D835" s="4"/>
      <c r="E835" s="8"/>
      <c r="F835" s="8"/>
      <c r="G835" s="8"/>
      <c r="H835" s="9"/>
    </row>
    <row r="836">
      <c r="A836" s="4"/>
      <c r="C836" s="4"/>
      <c r="D836" s="4"/>
      <c r="E836" s="8"/>
      <c r="F836" s="8"/>
      <c r="G836" s="8"/>
      <c r="H836" s="9"/>
    </row>
    <row r="837">
      <c r="A837" s="4"/>
      <c r="C837" s="4"/>
      <c r="D837" s="4"/>
      <c r="E837" s="8"/>
      <c r="F837" s="8"/>
      <c r="G837" s="8"/>
      <c r="H837" s="9"/>
    </row>
    <row r="838">
      <c r="A838" s="4"/>
      <c r="C838" s="4"/>
      <c r="D838" s="4"/>
      <c r="E838" s="8"/>
      <c r="F838" s="8"/>
      <c r="G838" s="8"/>
      <c r="H838" s="9"/>
    </row>
    <row r="839">
      <c r="A839" s="4"/>
      <c r="C839" s="4"/>
      <c r="D839" s="4"/>
      <c r="E839" s="8"/>
      <c r="F839" s="8"/>
      <c r="G839" s="8"/>
      <c r="H839" s="9"/>
    </row>
    <row r="840">
      <c r="A840" s="4"/>
      <c r="C840" s="4"/>
      <c r="D840" s="4"/>
      <c r="E840" s="8"/>
      <c r="F840" s="8"/>
      <c r="G840" s="8"/>
      <c r="H840" s="9"/>
    </row>
    <row r="841">
      <c r="A841" s="4"/>
      <c r="C841" s="4"/>
      <c r="D841" s="4"/>
      <c r="E841" s="8"/>
      <c r="F841" s="8"/>
      <c r="G841" s="8"/>
      <c r="H841" s="9"/>
    </row>
    <row r="842">
      <c r="A842" s="4"/>
      <c r="C842" s="4"/>
      <c r="D842" s="4"/>
      <c r="E842" s="8"/>
      <c r="F842" s="8"/>
      <c r="G842" s="8"/>
      <c r="H842" s="9"/>
    </row>
    <row r="843">
      <c r="A843" s="4"/>
      <c r="C843" s="4"/>
      <c r="D843" s="4"/>
      <c r="E843" s="8"/>
      <c r="F843" s="8"/>
      <c r="G843" s="8"/>
      <c r="H843" s="9"/>
    </row>
    <row r="844">
      <c r="A844" s="4"/>
      <c r="C844" s="4"/>
      <c r="D844" s="4"/>
      <c r="E844" s="8"/>
      <c r="F844" s="8"/>
      <c r="G844" s="8"/>
      <c r="H844" s="9"/>
    </row>
    <row r="845">
      <c r="A845" s="4"/>
      <c r="C845" s="4"/>
      <c r="D845" s="4"/>
      <c r="E845" s="8"/>
      <c r="F845" s="8"/>
      <c r="G845" s="8"/>
      <c r="H845" s="9"/>
    </row>
    <row r="846">
      <c r="A846" s="4"/>
      <c r="C846" s="4"/>
      <c r="D846" s="4"/>
      <c r="E846" s="8"/>
      <c r="F846" s="8"/>
      <c r="G846" s="8"/>
      <c r="H846" s="9"/>
    </row>
    <row r="847">
      <c r="A847" s="4"/>
      <c r="C847" s="4"/>
      <c r="D847" s="4"/>
      <c r="E847" s="8"/>
      <c r="F847" s="8"/>
      <c r="G847" s="8"/>
      <c r="H847" s="9"/>
    </row>
    <row r="848">
      <c r="A848" s="4"/>
      <c r="C848" s="4"/>
      <c r="D848" s="4"/>
      <c r="E848" s="8"/>
      <c r="F848" s="8"/>
      <c r="G848" s="8"/>
      <c r="H848" s="9"/>
    </row>
    <row r="849">
      <c r="A849" s="4"/>
      <c r="C849" s="4"/>
      <c r="D849" s="4"/>
      <c r="E849" s="8"/>
      <c r="F849" s="8"/>
      <c r="G849" s="8"/>
      <c r="H849" s="9"/>
    </row>
    <row r="850">
      <c r="A850" s="4"/>
      <c r="C850" s="4"/>
      <c r="D850" s="4"/>
      <c r="E850" s="8"/>
      <c r="F850" s="8"/>
      <c r="G850" s="8"/>
      <c r="H850" s="9"/>
    </row>
    <row r="851">
      <c r="A851" s="4"/>
      <c r="C851" s="4"/>
      <c r="D851" s="4"/>
      <c r="E851" s="8"/>
      <c r="F851" s="8"/>
      <c r="G851" s="8"/>
      <c r="H851" s="9"/>
    </row>
    <row r="852">
      <c r="A852" s="4"/>
      <c r="C852" s="4"/>
      <c r="D852" s="4"/>
      <c r="E852" s="8"/>
      <c r="F852" s="8"/>
      <c r="G852" s="8"/>
      <c r="H852" s="9"/>
    </row>
    <row r="853">
      <c r="A853" s="4"/>
      <c r="C853" s="4"/>
      <c r="D853" s="4"/>
      <c r="E853" s="8"/>
      <c r="F853" s="8"/>
      <c r="G853" s="8"/>
      <c r="H853" s="9"/>
    </row>
    <row r="854">
      <c r="A854" s="4"/>
      <c r="C854" s="4"/>
      <c r="D854" s="4"/>
      <c r="E854" s="8"/>
      <c r="F854" s="8"/>
      <c r="G854" s="8"/>
      <c r="H854" s="9"/>
    </row>
    <row r="855">
      <c r="A855" s="4"/>
      <c r="C855" s="4"/>
      <c r="D855" s="4"/>
      <c r="E855" s="8"/>
      <c r="F855" s="8"/>
      <c r="G855" s="8"/>
      <c r="H855" s="9"/>
    </row>
    <row r="856">
      <c r="A856" s="4"/>
      <c r="C856" s="4"/>
      <c r="D856" s="4"/>
      <c r="E856" s="8"/>
      <c r="F856" s="8"/>
      <c r="G856" s="8"/>
      <c r="H856" s="9"/>
    </row>
    <row r="857">
      <c r="A857" s="4"/>
      <c r="C857" s="4"/>
      <c r="D857" s="4"/>
      <c r="E857" s="8"/>
      <c r="F857" s="8"/>
      <c r="G857" s="8"/>
      <c r="H857" s="9"/>
    </row>
    <row r="858">
      <c r="A858" s="4"/>
      <c r="C858" s="4"/>
      <c r="D858" s="4"/>
      <c r="E858" s="8"/>
      <c r="F858" s="8"/>
      <c r="G858" s="8"/>
      <c r="H858" s="9"/>
    </row>
    <row r="859">
      <c r="A859" s="4"/>
      <c r="C859" s="4"/>
      <c r="D859" s="4"/>
      <c r="E859" s="8"/>
      <c r="F859" s="8"/>
      <c r="G859" s="8"/>
      <c r="H859" s="9"/>
    </row>
    <row r="860">
      <c r="A860" s="4"/>
      <c r="C860" s="4"/>
      <c r="D860" s="4"/>
      <c r="E860" s="8"/>
      <c r="F860" s="8"/>
      <c r="G860" s="8"/>
      <c r="H860" s="9"/>
    </row>
    <row r="861">
      <c r="A861" s="4"/>
      <c r="C861" s="4"/>
      <c r="D861" s="4"/>
      <c r="E861" s="8"/>
      <c r="F861" s="8"/>
      <c r="G861" s="8"/>
      <c r="H861" s="9"/>
    </row>
    <row r="862">
      <c r="A862" s="4"/>
      <c r="C862" s="4"/>
      <c r="D862" s="4"/>
      <c r="E862" s="8"/>
      <c r="F862" s="8"/>
      <c r="G862" s="8"/>
      <c r="H862" s="9"/>
    </row>
    <row r="863">
      <c r="A863" s="4"/>
      <c r="C863" s="4"/>
      <c r="D863" s="4"/>
      <c r="E863" s="8"/>
      <c r="F863" s="8"/>
      <c r="G863" s="8"/>
      <c r="H863" s="9"/>
    </row>
    <row r="864">
      <c r="A864" s="4"/>
      <c r="C864" s="4"/>
      <c r="D864" s="4"/>
      <c r="E864" s="8"/>
      <c r="F864" s="8"/>
      <c r="G864" s="8"/>
      <c r="H864" s="9"/>
    </row>
    <row r="865">
      <c r="A865" s="4"/>
      <c r="C865" s="4"/>
      <c r="D865" s="4"/>
      <c r="E865" s="8"/>
      <c r="F865" s="8"/>
      <c r="G865" s="8"/>
      <c r="H865" s="9"/>
    </row>
    <row r="866">
      <c r="A866" s="4"/>
      <c r="C866" s="4"/>
      <c r="D866" s="4"/>
      <c r="E866" s="8"/>
      <c r="F866" s="8"/>
      <c r="G866" s="8"/>
      <c r="H866" s="9"/>
    </row>
    <row r="867">
      <c r="A867" s="4"/>
      <c r="C867" s="4"/>
      <c r="D867" s="4"/>
      <c r="E867" s="8"/>
      <c r="F867" s="8"/>
      <c r="G867" s="8"/>
      <c r="H867" s="9"/>
    </row>
    <row r="868">
      <c r="A868" s="4"/>
      <c r="C868" s="4"/>
      <c r="D868" s="4"/>
      <c r="E868" s="8"/>
      <c r="F868" s="8"/>
      <c r="G868" s="8"/>
      <c r="H868" s="9"/>
    </row>
    <row r="869">
      <c r="A869" s="4"/>
      <c r="C869" s="4"/>
      <c r="D869" s="4"/>
      <c r="E869" s="8"/>
      <c r="F869" s="8"/>
      <c r="G869" s="8"/>
      <c r="H869" s="9"/>
    </row>
    <row r="870">
      <c r="A870" s="4"/>
      <c r="C870" s="4"/>
      <c r="D870" s="4"/>
      <c r="E870" s="8"/>
      <c r="F870" s="8"/>
      <c r="G870" s="8"/>
      <c r="H870" s="9"/>
    </row>
    <row r="871">
      <c r="A871" s="4"/>
      <c r="C871" s="4"/>
      <c r="D871" s="4"/>
      <c r="E871" s="8"/>
      <c r="F871" s="8"/>
      <c r="G871" s="8"/>
      <c r="H871" s="9"/>
    </row>
    <row r="872">
      <c r="A872" s="4"/>
      <c r="C872" s="4"/>
      <c r="D872" s="4"/>
      <c r="E872" s="8"/>
      <c r="F872" s="8"/>
      <c r="G872" s="8"/>
      <c r="H872" s="9"/>
    </row>
    <row r="873">
      <c r="A873" s="4"/>
      <c r="C873" s="4"/>
      <c r="D873" s="4"/>
      <c r="E873" s="8"/>
      <c r="F873" s="8"/>
      <c r="G873" s="8"/>
      <c r="H873" s="9"/>
    </row>
    <row r="874">
      <c r="A874" s="4"/>
      <c r="C874" s="4"/>
      <c r="D874" s="4"/>
      <c r="E874" s="8"/>
      <c r="F874" s="8"/>
      <c r="G874" s="8"/>
      <c r="H874" s="9"/>
    </row>
    <row r="875">
      <c r="A875" s="4"/>
      <c r="C875" s="4"/>
      <c r="D875" s="4"/>
      <c r="E875" s="8"/>
      <c r="F875" s="8"/>
      <c r="G875" s="8"/>
      <c r="H875" s="9"/>
    </row>
    <row r="876">
      <c r="A876" s="4"/>
      <c r="C876" s="4"/>
      <c r="D876" s="4"/>
      <c r="E876" s="8"/>
      <c r="F876" s="8"/>
      <c r="G876" s="8"/>
      <c r="H876" s="9"/>
    </row>
    <row r="877">
      <c r="A877" s="4"/>
      <c r="C877" s="4"/>
      <c r="D877" s="4"/>
      <c r="E877" s="8"/>
      <c r="F877" s="8"/>
      <c r="G877" s="8"/>
      <c r="H877" s="9"/>
    </row>
    <row r="878">
      <c r="A878" s="4"/>
      <c r="C878" s="4"/>
      <c r="D878" s="4"/>
      <c r="E878" s="8"/>
      <c r="F878" s="8"/>
      <c r="G878" s="8"/>
      <c r="H878" s="9"/>
    </row>
    <row r="879">
      <c r="A879" s="4"/>
      <c r="C879" s="4"/>
      <c r="D879" s="4"/>
      <c r="E879" s="8"/>
      <c r="F879" s="8"/>
      <c r="G879" s="8"/>
      <c r="H879" s="9"/>
    </row>
    <row r="880">
      <c r="A880" s="4"/>
      <c r="C880" s="4"/>
      <c r="D880" s="4"/>
      <c r="E880" s="8"/>
      <c r="F880" s="8"/>
      <c r="G880" s="8"/>
      <c r="H880" s="9"/>
    </row>
    <row r="881">
      <c r="A881" s="4"/>
      <c r="C881" s="4"/>
      <c r="D881" s="4"/>
      <c r="E881" s="8"/>
      <c r="F881" s="8"/>
      <c r="G881" s="8"/>
      <c r="H881" s="9"/>
    </row>
    <row r="882">
      <c r="A882" s="4"/>
      <c r="C882" s="4"/>
      <c r="D882" s="4"/>
      <c r="E882" s="8"/>
      <c r="F882" s="8"/>
      <c r="G882" s="8"/>
      <c r="H882" s="9"/>
    </row>
    <row r="883">
      <c r="A883" s="4"/>
      <c r="C883" s="4"/>
      <c r="D883" s="4"/>
      <c r="E883" s="8"/>
      <c r="F883" s="8"/>
      <c r="G883" s="8"/>
      <c r="H883" s="9"/>
    </row>
    <row r="884">
      <c r="A884" s="4"/>
      <c r="C884" s="4"/>
      <c r="D884" s="4"/>
      <c r="E884" s="8"/>
      <c r="F884" s="8"/>
      <c r="G884" s="8"/>
      <c r="H884" s="9"/>
    </row>
    <row r="885">
      <c r="A885" s="4"/>
      <c r="C885" s="4"/>
      <c r="D885" s="4"/>
      <c r="E885" s="8"/>
      <c r="F885" s="8"/>
      <c r="G885" s="8"/>
      <c r="H885" s="9"/>
    </row>
    <row r="886">
      <c r="A886" s="4"/>
      <c r="C886" s="4"/>
      <c r="D886" s="4"/>
      <c r="E886" s="8"/>
      <c r="F886" s="8"/>
      <c r="G886" s="8"/>
      <c r="H886" s="9"/>
    </row>
    <row r="887">
      <c r="A887" s="4"/>
      <c r="C887" s="4"/>
      <c r="D887" s="4"/>
      <c r="E887" s="8"/>
      <c r="F887" s="8"/>
      <c r="G887" s="8"/>
      <c r="H887" s="9"/>
    </row>
    <row r="888">
      <c r="A888" s="4"/>
      <c r="C888" s="4"/>
      <c r="D888" s="4"/>
      <c r="E888" s="8"/>
      <c r="F888" s="8"/>
      <c r="G888" s="8"/>
      <c r="H888" s="9"/>
    </row>
    <row r="889">
      <c r="A889" s="4"/>
      <c r="C889" s="4"/>
      <c r="D889" s="4"/>
      <c r="E889" s="8"/>
      <c r="F889" s="8"/>
      <c r="G889" s="8"/>
      <c r="H889" s="9"/>
    </row>
    <row r="890">
      <c r="A890" s="4"/>
      <c r="C890" s="4"/>
      <c r="D890" s="4"/>
      <c r="E890" s="8"/>
      <c r="F890" s="8"/>
      <c r="G890" s="8"/>
      <c r="H890" s="9"/>
    </row>
    <row r="891">
      <c r="A891" s="4"/>
      <c r="C891" s="4"/>
      <c r="D891" s="4"/>
      <c r="E891" s="8"/>
      <c r="F891" s="8"/>
      <c r="G891" s="8"/>
      <c r="H891" s="9"/>
    </row>
    <row r="892">
      <c r="A892" s="4"/>
      <c r="C892" s="4"/>
      <c r="D892" s="4"/>
      <c r="E892" s="8"/>
      <c r="F892" s="8"/>
      <c r="G892" s="8"/>
      <c r="H892" s="9"/>
    </row>
    <row r="893">
      <c r="A893" s="4"/>
      <c r="C893" s="4"/>
      <c r="D893" s="4"/>
      <c r="E893" s="8"/>
      <c r="F893" s="8"/>
      <c r="G893" s="8"/>
      <c r="H893" s="9"/>
    </row>
    <row r="894">
      <c r="A894" s="4"/>
      <c r="C894" s="4"/>
      <c r="D894" s="4"/>
      <c r="E894" s="8"/>
      <c r="F894" s="8"/>
      <c r="G894" s="8"/>
      <c r="H894" s="9"/>
    </row>
    <row r="895">
      <c r="A895" s="4"/>
      <c r="C895" s="4"/>
      <c r="D895" s="4"/>
      <c r="E895" s="8"/>
      <c r="F895" s="8"/>
      <c r="G895" s="8"/>
      <c r="H895" s="9"/>
    </row>
    <row r="896">
      <c r="A896" s="4"/>
      <c r="C896" s="4"/>
      <c r="D896" s="4"/>
      <c r="E896" s="8"/>
      <c r="F896" s="8"/>
      <c r="G896" s="8"/>
      <c r="H896" s="9"/>
    </row>
    <row r="897">
      <c r="A897" s="4"/>
      <c r="C897" s="4"/>
      <c r="D897" s="4"/>
      <c r="E897" s="8"/>
      <c r="F897" s="8"/>
      <c r="G897" s="8"/>
      <c r="H897" s="9"/>
    </row>
    <row r="898">
      <c r="A898" s="4"/>
      <c r="C898" s="4"/>
      <c r="D898" s="4"/>
      <c r="E898" s="8"/>
      <c r="F898" s="8"/>
      <c r="G898" s="8"/>
      <c r="H898" s="9"/>
    </row>
    <row r="899">
      <c r="A899" s="4"/>
      <c r="C899" s="4"/>
      <c r="D899" s="4"/>
      <c r="E899" s="8"/>
      <c r="F899" s="8"/>
      <c r="G899" s="8"/>
      <c r="H899" s="9"/>
    </row>
    <row r="900">
      <c r="A900" s="4"/>
      <c r="C900" s="4"/>
      <c r="D900" s="4"/>
      <c r="E900" s="8"/>
      <c r="F900" s="8"/>
      <c r="G900" s="8"/>
      <c r="H900" s="9"/>
    </row>
    <row r="901">
      <c r="A901" s="4"/>
      <c r="C901" s="4"/>
      <c r="D901" s="4"/>
      <c r="E901" s="8"/>
      <c r="F901" s="8"/>
      <c r="G901" s="8"/>
      <c r="H901" s="9"/>
    </row>
    <row r="902">
      <c r="A902" s="4"/>
      <c r="C902" s="4"/>
      <c r="D902" s="4"/>
      <c r="E902" s="8"/>
      <c r="F902" s="8"/>
      <c r="G902" s="8"/>
      <c r="H902" s="9"/>
    </row>
    <row r="903">
      <c r="A903" s="4"/>
      <c r="C903" s="4"/>
      <c r="D903" s="4"/>
      <c r="E903" s="8"/>
      <c r="F903" s="8"/>
      <c r="G903" s="8"/>
      <c r="H903" s="9"/>
    </row>
    <row r="904">
      <c r="A904" s="4"/>
      <c r="C904" s="4"/>
      <c r="D904" s="4"/>
      <c r="E904" s="8"/>
      <c r="F904" s="8"/>
      <c r="G904" s="8"/>
      <c r="H904" s="9"/>
    </row>
    <row r="905">
      <c r="A905" s="4"/>
      <c r="C905" s="4"/>
      <c r="D905" s="4"/>
      <c r="E905" s="8"/>
      <c r="F905" s="8"/>
      <c r="G905" s="8"/>
      <c r="H905" s="9"/>
    </row>
    <row r="906">
      <c r="A906" s="4"/>
      <c r="C906" s="4"/>
      <c r="D906" s="4"/>
      <c r="E906" s="8"/>
      <c r="F906" s="8"/>
      <c r="G906" s="8"/>
      <c r="H906" s="9"/>
    </row>
    <row r="907">
      <c r="A907" s="4"/>
      <c r="C907" s="4"/>
      <c r="D907" s="4"/>
      <c r="E907" s="8"/>
      <c r="F907" s="8"/>
      <c r="G907" s="8"/>
      <c r="H907" s="9"/>
    </row>
    <row r="908">
      <c r="A908" s="4"/>
      <c r="C908" s="4"/>
      <c r="D908" s="4"/>
      <c r="E908" s="8"/>
      <c r="F908" s="8"/>
      <c r="G908" s="8"/>
      <c r="H908" s="9"/>
    </row>
    <row r="909">
      <c r="A909" s="4"/>
      <c r="C909" s="4"/>
      <c r="D909" s="4"/>
      <c r="E909" s="8"/>
      <c r="F909" s="8"/>
      <c r="G909" s="8"/>
      <c r="H909" s="9"/>
    </row>
    <row r="910">
      <c r="A910" s="4"/>
      <c r="C910" s="4"/>
      <c r="D910" s="4"/>
      <c r="E910" s="8"/>
      <c r="F910" s="8"/>
      <c r="G910" s="8"/>
      <c r="H910" s="9"/>
    </row>
    <row r="911">
      <c r="A911" s="4"/>
      <c r="C911" s="4"/>
      <c r="D911" s="4"/>
      <c r="E911" s="8"/>
      <c r="F911" s="8"/>
      <c r="G911" s="8"/>
      <c r="H911" s="9"/>
    </row>
    <row r="912">
      <c r="A912" s="4"/>
      <c r="C912" s="4"/>
      <c r="D912" s="4"/>
      <c r="E912" s="8"/>
      <c r="F912" s="8"/>
      <c r="G912" s="8"/>
      <c r="H912" s="9"/>
    </row>
    <row r="913">
      <c r="A913" s="4"/>
      <c r="C913" s="4"/>
      <c r="D913" s="4"/>
      <c r="E913" s="8"/>
      <c r="F913" s="8"/>
      <c r="G913" s="8"/>
      <c r="H913" s="9"/>
    </row>
    <row r="914">
      <c r="A914" s="4"/>
      <c r="C914" s="4"/>
      <c r="D914" s="4"/>
      <c r="E914" s="8"/>
      <c r="F914" s="8"/>
      <c r="G914" s="8"/>
      <c r="H914" s="9"/>
    </row>
    <row r="915">
      <c r="A915" s="4"/>
      <c r="C915" s="4"/>
      <c r="D915" s="4"/>
      <c r="E915" s="8"/>
      <c r="F915" s="8"/>
      <c r="G915" s="8"/>
      <c r="H915" s="9"/>
    </row>
    <row r="916">
      <c r="A916" s="4"/>
      <c r="C916" s="4"/>
      <c r="D916" s="4"/>
      <c r="E916" s="8"/>
      <c r="F916" s="8"/>
      <c r="G916" s="8"/>
      <c r="H916" s="9"/>
    </row>
    <row r="917">
      <c r="A917" s="4"/>
      <c r="C917" s="4"/>
      <c r="D917" s="4"/>
      <c r="E917" s="8"/>
      <c r="F917" s="8"/>
      <c r="G917" s="8"/>
      <c r="H917" s="9"/>
    </row>
    <row r="918">
      <c r="A918" s="4"/>
      <c r="C918" s="4"/>
      <c r="D918" s="4"/>
      <c r="E918" s="8"/>
      <c r="F918" s="8"/>
      <c r="G918" s="8"/>
      <c r="H918" s="9"/>
    </row>
    <row r="919">
      <c r="A919" s="4"/>
      <c r="C919" s="4"/>
      <c r="D919" s="4"/>
      <c r="E919" s="8"/>
      <c r="F919" s="8"/>
      <c r="G919" s="8"/>
      <c r="H919" s="9"/>
    </row>
    <row r="920">
      <c r="A920" s="4"/>
      <c r="C920" s="4"/>
      <c r="D920" s="4"/>
      <c r="E920" s="8"/>
      <c r="F920" s="8"/>
      <c r="G920" s="8"/>
      <c r="H920" s="9"/>
    </row>
    <row r="921">
      <c r="A921" s="4"/>
      <c r="C921" s="4"/>
      <c r="D921" s="4"/>
      <c r="E921" s="8"/>
      <c r="F921" s="8"/>
      <c r="G921" s="8"/>
      <c r="H921" s="9"/>
    </row>
    <row r="922">
      <c r="A922" s="4"/>
      <c r="C922" s="4"/>
      <c r="D922" s="4"/>
      <c r="E922" s="8"/>
      <c r="F922" s="8"/>
      <c r="G922" s="8"/>
      <c r="H922" s="9"/>
    </row>
    <row r="923">
      <c r="A923" s="4"/>
      <c r="C923" s="4"/>
      <c r="D923" s="4"/>
      <c r="E923" s="8"/>
      <c r="F923" s="8"/>
      <c r="G923" s="8"/>
      <c r="H923" s="9"/>
    </row>
    <row r="924">
      <c r="A924" s="4"/>
      <c r="C924" s="4"/>
      <c r="D924" s="4"/>
      <c r="E924" s="8"/>
      <c r="F924" s="8"/>
      <c r="G924" s="8"/>
      <c r="H924" s="9"/>
    </row>
    <row r="925">
      <c r="A925" s="4"/>
      <c r="C925" s="4"/>
      <c r="D925" s="4"/>
      <c r="E925" s="8"/>
      <c r="F925" s="8"/>
      <c r="G925" s="8"/>
      <c r="H925" s="9"/>
    </row>
    <row r="926">
      <c r="A926" s="4"/>
      <c r="C926" s="4"/>
      <c r="D926" s="4"/>
      <c r="E926" s="8"/>
      <c r="F926" s="8"/>
      <c r="G926" s="8"/>
      <c r="H926" s="9"/>
    </row>
    <row r="927">
      <c r="A927" s="4"/>
      <c r="C927" s="4"/>
      <c r="D927" s="4"/>
      <c r="E927" s="8"/>
      <c r="F927" s="8"/>
      <c r="G927" s="8"/>
      <c r="H927" s="9"/>
    </row>
    <row r="928">
      <c r="A928" s="4"/>
      <c r="C928" s="4"/>
      <c r="D928" s="4"/>
      <c r="E928" s="8"/>
      <c r="F928" s="8"/>
      <c r="G928" s="8"/>
      <c r="H928" s="9"/>
    </row>
    <row r="929">
      <c r="A929" s="4"/>
      <c r="C929" s="4"/>
      <c r="D929" s="4"/>
      <c r="E929" s="8"/>
      <c r="F929" s="8"/>
      <c r="G929" s="8"/>
      <c r="H929" s="9"/>
    </row>
    <row r="930">
      <c r="A930" s="4"/>
      <c r="C930" s="4"/>
      <c r="D930" s="4"/>
      <c r="E930" s="8"/>
      <c r="F930" s="8"/>
      <c r="G930" s="8"/>
      <c r="H930" s="9"/>
    </row>
    <row r="931">
      <c r="A931" s="4"/>
      <c r="C931" s="4"/>
      <c r="D931" s="4"/>
      <c r="E931" s="8"/>
      <c r="F931" s="8"/>
      <c r="G931" s="8"/>
      <c r="H931" s="9"/>
    </row>
    <row r="932">
      <c r="A932" s="4"/>
      <c r="C932" s="4"/>
      <c r="D932" s="4"/>
      <c r="E932" s="8"/>
      <c r="F932" s="8"/>
      <c r="G932" s="8"/>
      <c r="H932" s="9"/>
    </row>
    <row r="933">
      <c r="A933" s="4"/>
      <c r="C933" s="4"/>
      <c r="D933" s="4"/>
      <c r="E933" s="8"/>
      <c r="F933" s="8"/>
      <c r="G933" s="8"/>
      <c r="H933" s="9"/>
    </row>
    <row r="934">
      <c r="A934" s="4"/>
      <c r="C934" s="4"/>
      <c r="D934" s="4"/>
      <c r="E934" s="8"/>
      <c r="F934" s="8"/>
      <c r="G934" s="8"/>
      <c r="H934" s="9"/>
    </row>
    <row r="935">
      <c r="A935" s="4"/>
      <c r="C935" s="4"/>
      <c r="D935" s="4"/>
      <c r="E935" s="8"/>
      <c r="F935" s="8"/>
      <c r="G935" s="8"/>
      <c r="H935" s="9"/>
    </row>
    <row r="936">
      <c r="A936" s="4"/>
      <c r="C936" s="4"/>
      <c r="D936" s="4"/>
      <c r="E936" s="8"/>
      <c r="F936" s="8"/>
      <c r="G936" s="8"/>
      <c r="H936" s="9"/>
    </row>
    <row r="937">
      <c r="A937" s="4"/>
      <c r="C937" s="4"/>
      <c r="D937" s="4"/>
      <c r="E937" s="8"/>
      <c r="F937" s="8"/>
      <c r="G937" s="8"/>
      <c r="H937" s="9"/>
    </row>
    <row r="938">
      <c r="A938" s="4"/>
      <c r="C938" s="4"/>
      <c r="D938" s="4"/>
      <c r="E938" s="8"/>
      <c r="F938" s="8"/>
      <c r="G938" s="8"/>
      <c r="H938" s="9"/>
    </row>
    <row r="939">
      <c r="A939" s="4"/>
      <c r="C939" s="4"/>
      <c r="D939" s="4"/>
      <c r="E939" s="8"/>
      <c r="F939" s="8"/>
      <c r="G939" s="8"/>
      <c r="H939" s="9"/>
    </row>
    <row r="940">
      <c r="A940" s="4"/>
      <c r="C940" s="4"/>
      <c r="D940" s="4"/>
      <c r="E940" s="8"/>
      <c r="F940" s="8"/>
      <c r="G940" s="8"/>
      <c r="H940" s="9"/>
    </row>
    <row r="941">
      <c r="A941" s="4"/>
      <c r="C941" s="4"/>
      <c r="D941" s="4"/>
      <c r="E941" s="8"/>
      <c r="F941" s="8"/>
      <c r="G941" s="8"/>
      <c r="H941" s="9"/>
    </row>
    <row r="942">
      <c r="A942" s="4"/>
      <c r="C942" s="4"/>
      <c r="D942" s="4"/>
      <c r="E942" s="8"/>
      <c r="F942" s="8"/>
      <c r="G942" s="8"/>
      <c r="H942" s="9"/>
    </row>
    <row r="943">
      <c r="A943" s="4"/>
      <c r="C943" s="4"/>
      <c r="D943" s="4"/>
      <c r="E943" s="8"/>
      <c r="F943" s="8"/>
      <c r="G943" s="8"/>
      <c r="H943" s="9"/>
    </row>
    <row r="944">
      <c r="A944" s="4"/>
      <c r="C944" s="4"/>
      <c r="D944" s="4"/>
      <c r="E944" s="8"/>
      <c r="F944" s="8"/>
      <c r="G944" s="8"/>
      <c r="H944" s="9"/>
    </row>
    <row r="945">
      <c r="A945" s="4"/>
      <c r="C945" s="4"/>
      <c r="D945" s="4"/>
      <c r="E945" s="8"/>
      <c r="F945" s="8"/>
      <c r="G945" s="8"/>
      <c r="H945" s="9"/>
    </row>
    <row r="946">
      <c r="A946" s="4"/>
      <c r="C946" s="4"/>
      <c r="D946" s="4"/>
      <c r="E946" s="8"/>
      <c r="F946" s="8"/>
      <c r="G946" s="8"/>
      <c r="H946" s="9"/>
    </row>
    <row r="947">
      <c r="A947" s="4"/>
      <c r="C947" s="4"/>
      <c r="D947" s="4"/>
      <c r="E947" s="8"/>
      <c r="F947" s="8"/>
      <c r="G947" s="8"/>
      <c r="H947" s="9"/>
    </row>
    <row r="948">
      <c r="A948" s="4"/>
      <c r="C948" s="4"/>
      <c r="D948" s="4"/>
      <c r="E948" s="8"/>
      <c r="F948" s="8"/>
      <c r="G948" s="8"/>
      <c r="H948" s="9"/>
    </row>
    <row r="949">
      <c r="A949" s="4"/>
      <c r="C949" s="4"/>
      <c r="D949" s="4"/>
      <c r="E949" s="8"/>
      <c r="F949" s="8"/>
      <c r="G949" s="8"/>
      <c r="H949" s="9"/>
    </row>
    <row r="950">
      <c r="A950" s="4"/>
      <c r="C950" s="4"/>
      <c r="D950" s="4"/>
      <c r="E950" s="8"/>
      <c r="F950" s="8"/>
      <c r="G950" s="8"/>
      <c r="H950" s="9"/>
    </row>
    <row r="951">
      <c r="A951" s="4"/>
      <c r="C951" s="4"/>
      <c r="D951" s="4"/>
      <c r="E951" s="8"/>
      <c r="F951" s="8"/>
      <c r="G951" s="8"/>
      <c r="H951" s="9"/>
    </row>
    <row r="952">
      <c r="A952" s="4"/>
      <c r="C952" s="4"/>
      <c r="D952" s="4"/>
      <c r="E952" s="8"/>
      <c r="F952" s="8"/>
      <c r="G952" s="8"/>
      <c r="H952" s="9"/>
    </row>
    <row r="953">
      <c r="A953" s="4"/>
      <c r="C953" s="4"/>
      <c r="D953" s="4"/>
      <c r="E953" s="8"/>
      <c r="F953" s="8"/>
      <c r="G953" s="8"/>
      <c r="H953" s="9"/>
    </row>
    <row r="954">
      <c r="A954" s="4"/>
      <c r="C954" s="4"/>
      <c r="D954" s="4"/>
      <c r="E954" s="8"/>
      <c r="F954" s="8"/>
      <c r="G954" s="8"/>
      <c r="H954" s="9"/>
    </row>
    <row r="955">
      <c r="A955" s="4"/>
      <c r="C955" s="4"/>
      <c r="D955" s="4"/>
      <c r="E955" s="8"/>
      <c r="F955" s="8"/>
      <c r="G955" s="8"/>
      <c r="H955" s="9"/>
    </row>
    <row r="956">
      <c r="A956" s="4"/>
      <c r="C956" s="4"/>
      <c r="D956" s="4"/>
      <c r="E956" s="8"/>
      <c r="F956" s="8"/>
      <c r="G956" s="8"/>
      <c r="H956" s="9"/>
    </row>
    <row r="957">
      <c r="A957" s="4"/>
      <c r="C957" s="4"/>
      <c r="D957" s="4"/>
      <c r="E957" s="8"/>
      <c r="F957" s="8"/>
      <c r="G957" s="8"/>
      <c r="H957" s="9"/>
    </row>
    <row r="958">
      <c r="A958" s="4"/>
      <c r="C958" s="4"/>
      <c r="D958" s="4"/>
      <c r="E958" s="8"/>
      <c r="F958" s="8"/>
      <c r="G958" s="8"/>
      <c r="H958" s="9"/>
    </row>
    <row r="959">
      <c r="A959" s="4"/>
      <c r="C959" s="4"/>
      <c r="D959" s="4"/>
      <c r="E959" s="8"/>
      <c r="F959" s="8"/>
      <c r="G959" s="8"/>
      <c r="H959" s="9"/>
    </row>
    <row r="960">
      <c r="A960" s="4"/>
      <c r="C960" s="4"/>
      <c r="D960" s="4"/>
      <c r="E960" s="8"/>
      <c r="F960" s="8"/>
      <c r="G960" s="8"/>
      <c r="H960" s="9"/>
    </row>
    <row r="961">
      <c r="A961" s="4"/>
      <c r="C961" s="4"/>
      <c r="D961" s="4"/>
      <c r="E961" s="8"/>
      <c r="F961" s="8"/>
      <c r="G961" s="8"/>
      <c r="H961" s="9"/>
    </row>
    <row r="962">
      <c r="A962" s="4"/>
      <c r="C962" s="4"/>
      <c r="D962" s="4"/>
      <c r="E962" s="8"/>
      <c r="F962" s="8"/>
      <c r="G962" s="8"/>
      <c r="H962" s="9"/>
    </row>
    <row r="963">
      <c r="A963" s="4"/>
      <c r="C963" s="4"/>
      <c r="D963" s="4"/>
      <c r="E963" s="8"/>
      <c r="F963" s="8"/>
      <c r="G963" s="8"/>
      <c r="H963" s="9"/>
    </row>
    <row r="964">
      <c r="A964" s="4"/>
      <c r="C964" s="4"/>
      <c r="D964" s="4"/>
      <c r="E964" s="8"/>
      <c r="F964" s="8"/>
      <c r="G964" s="8"/>
      <c r="H964" s="9"/>
    </row>
    <row r="965">
      <c r="A965" s="4"/>
      <c r="C965" s="4"/>
      <c r="D965" s="4"/>
      <c r="E965" s="8"/>
      <c r="F965" s="8"/>
      <c r="G965" s="8"/>
      <c r="H965" s="9"/>
    </row>
    <row r="966">
      <c r="A966" s="4"/>
      <c r="C966" s="4"/>
      <c r="D966" s="4"/>
      <c r="E966" s="8"/>
      <c r="F966" s="8"/>
      <c r="G966" s="8"/>
      <c r="H966" s="9"/>
    </row>
    <row r="967">
      <c r="A967" s="4"/>
      <c r="C967" s="4"/>
      <c r="D967" s="4"/>
      <c r="E967" s="8"/>
      <c r="F967" s="8"/>
      <c r="G967" s="8"/>
      <c r="H967" s="9"/>
    </row>
    <row r="968">
      <c r="A968" s="4"/>
      <c r="C968" s="4"/>
      <c r="D968" s="4"/>
      <c r="E968" s="8"/>
      <c r="F968" s="8"/>
      <c r="G968" s="8"/>
      <c r="H968" s="9"/>
    </row>
    <row r="969">
      <c r="A969" s="4"/>
      <c r="C969" s="4"/>
      <c r="D969" s="4"/>
      <c r="E969" s="8"/>
      <c r="F969" s="8"/>
      <c r="G969" s="8"/>
      <c r="H969" s="9"/>
    </row>
    <row r="970">
      <c r="A970" s="4"/>
      <c r="C970" s="4"/>
      <c r="D970" s="4"/>
      <c r="E970" s="8"/>
      <c r="F970" s="8"/>
      <c r="G970" s="8"/>
      <c r="H970" s="9"/>
    </row>
    <row r="971">
      <c r="A971" s="4"/>
      <c r="C971" s="4"/>
      <c r="D971" s="4"/>
      <c r="E971" s="8"/>
      <c r="F971" s="8"/>
      <c r="G971" s="8"/>
      <c r="H971" s="9"/>
    </row>
    <row r="972">
      <c r="A972" s="4"/>
      <c r="C972" s="4"/>
      <c r="D972" s="4"/>
      <c r="E972" s="8"/>
      <c r="F972" s="8"/>
      <c r="G972" s="8"/>
      <c r="H972" s="9"/>
    </row>
    <row r="973">
      <c r="A973" s="4"/>
      <c r="C973" s="4"/>
      <c r="D973" s="4"/>
      <c r="E973" s="8"/>
      <c r="F973" s="8"/>
      <c r="G973" s="8"/>
      <c r="H973" s="9"/>
    </row>
    <row r="974">
      <c r="A974" s="4"/>
      <c r="C974" s="4"/>
      <c r="D974" s="4"/>
      <c r="E974" s="8"/>
      <c r="F974" s="8"/>
      <c r="G974" s="8"/>
      <c r="H974" s="9"/>
    </row>
    <row r="975">
      <c r="A975" s="4"/>
      <c r="C975" s="4"/>
      <c r="D975" s="4"/>
      <c r="E975" s="8"/>
      <c r="F975" s="8"/>
      <c r="G975" s="8"/>
      <c r="H975" s="9"/>
    </row>
    <row r="976">
      <c r="A976" s="4"/>
      <c r="C976" s="4"/>
      <c r="D976" s="4"/>
      <c r="E976" s="8"/>
      <c r="F976" s="8"/>
      <c r="G976" s="8"/>
      <c r="H976" s="9"/>
    </row>
    <row r="977">
      <c r="A977" s="4"/>
      <c r="C977" s="4"/>
      <c r="D977" s="4"/>
      <c r="E977" s="8"/>
      <c r="F977" s="8"/>
      <c r="G977" s="8"/>
      <c r="H977" s="9"/>
    </row>
    <row r="978">
      <c r="A978" s="4"/>
      <c r="C978" s="4"/>
      <c r="D978" s="4"/>
      <c r="E978" s="8"/>
      <c r="F978" s="8"/>
      <c r="G978" s="8"/>
      <c r="H978" s="9"/>
    </row>
    <row r="979">
      <c r="A979" s="4"/>
      <c r="C979" s="4"/>
      <c r="D979" s="4"/>
      <c r="E979" s="8"/>
      <c r="F979" s="8"/>
      <c r="G979" s="8"/>
      <c r="H979" s="9"/>
    </row>
    <row r="980">
      <c r="A980" s="4"/>
      <c r="C980" s="4"/>
      <c r="D980" s="4"/>
      <c r="E980" s="8"/>
      <c r="F980" s="8"/>
      <c r="G980" s="8"/>
      <c r="H980" s="9"/>
    </row>
    <row r="981">
      <c r="A981" s="4"/>
      <c r="C981" s="4"/>
      <c r="D981" s="4"/>
      <c r="E981" s="8"/>
      <c r="F981" s="8"/>
      <c r="G981" s="8"/>
      <c r="H981" s="9"/>
    </row>
    <row r="982">
      <c r="A982" s="4"/>
      <c r="C982" s="4"/>
      <c r="D982" s="4"/>
      <c r="E982" s="8"/>
      <c r="F982" s="8"/>
      <c r="G982" s="8"/>
      <c r="H982" s="9"/>
    </row>
    <row r="983">
      <c r="A983" s="4"/>
      <c r="C983" s="4"/>
      <c r="D983" s="4"/>
      <c r="E983" s="8"/>
      <c r="F983" s="8"/>
      <c r="G983" s="8"/>
      <c r="H983" s="9"/>
    </row>
    <row r="984">
      <c r="A984" s="4"/>
      <c r="C984" s="4"/>
      <c r="D984" s="4"/>
      <c r="E984" s="8"/>
      <c r="F984" s="8"/>
      <c r="G984" s="8"/>
      <c r="H984" s="9"/>
    </row>
    <row r="985">
      <c r="A985" s="4"/>
      <c r="C985" s="4"/>
      <c r="D985" s="4"/>
      <c r="E985" s="8"/>
      <c r="F985" s="8"/>
      <c r="G985" s="8"/>
      <c r="H985" s="9"/>
    </row>
    <row r="986">
      <c r="A986" s="4"/>
      <c r="C986" s="4"/>
      <c r="D986" s="4"/>
      <c r="E986" s="8"/>
      <c r="F986" s="8"/>
      <c r="G986" s="8"/>
      <c r="H986" s="9"/>
    </row>
    <row r="987">
      <c r="A987" s="4"/>
      <c r="C987" s="4"/>
      <c r="D987" s="4"/>
      <c r="E987" s="8"/>
      <c r="F987" s="8"/>
      <c r="G987" s="8"/>
      <c r="H987" s="9"/>
    </row>
    <row r="988">
      <c r="A988" s="4"/>
      <c r="C988" s="4"/>
      <c r="D988" s="4"/>
      <c r="E988" s="8"/>
      <c r="F988" s="8"/>
      <c r="G988" s="8"/>
      <c r="H988" s="9"/>
    </row>
    <row r="989">
      <c r="A989" s="4"/>
      <c r="C989" s="4"/>
      <c r="D989" s="4"/>
      <c r="E989" s="8"/>
      <c r="F989" s="8"/>
      <c r="G989" s="8"/>
      <c r="H989" s="9"/>
    </row>
    <row r="990">
      <c r="A990" s="4"/>
      <c r="C990" s="4"/>
      <c r="D990" s="4"/>
      <c r="E990" s="8"/>
      <c r="F990" s="8"/>
      <c r="G990" s="8"/>
      <c r="H990" s="9"/>
    </row>
    <row r="991">
      <c r="A991" s="4"/>
      <c r="C991" s="4"/>
      <c r="D991" s="4"/>
      <c r="E991" s="8"/>
      <c r="F991" s="8"/>
      <c r="G991" s="8"/>
      <c r="H991" s="9"/>
    </row>
    <row r="992">
      <c r="A992" s="4"/>
      <c r="C992" s="4"/>
      <c r="D992" s="4"/>
      <c r="E992" s="8"/>
      <c r="F992" s="8"/>
      <c r="G992" s="8"/>
      <c r="H992" s="9"/>
    </row>
    <row r="993">
      <c r="A993" s="4"/>
      <c r="C993" s="4"/>
      <c r="D993" s="4"/>
      <c r="E993" s="8"/>
      <c r="F993" s="8"/>
      <c r="G993" s="8"/>
      <c r="H993" s="9"/>
    </row>
    <row r="994">
      <c r="A994" s="4"/>
      <c r="C994" s="4"/>
      <c r="D994" s="4"/>
      <c r="E994" s="8"/>
      <c r="F994" s="8"/>
      <c r="G994" s="8"/>
      <c r="H994" s="9"/>
    </row>
    <row r="995">
      <c r="A995" s="4"/>
      <c r="C995" s="4"/>
      <c r="D995" s="4"/>
      <c r="E995" s="8"/>
      <c r="F995" s="8"/>
      <c r="G995" s="8"/>
      <c r="H995" s="9"/>
    </row>
    <row r="996">
      <c r="A996" s="4"/>
      <c r="C996" s="4"/>
      <c r="D996" s="4"/>
      <c r="E996" s="8"/>
      <c r="F996" s="8"/>
      <c r="G996" s="8"/>
      <c r="H996" s="9"/>
    </row>
    <row r="997">
      <c r="A997" s="4"/>
      <c r="C997" s="4"/>
      <c r="D997" s="4"/>
      <c r="E997" s="8"/>
      <c r="F997" s="8"/>
      <c r="G997" s="8"/>
      <c r="H997" s="9"/>
    </row>
    <row r="998">
      <c r="A998" s="4"/>
      <c r="C998" s="4"/>
      <c r="D998" s="4"/>
      <c r="E998" s="8"/>
      <c r="F998" s="8"/>
      <c r="G998" s="8"/>
      <c r="H998" s="9"/>
    </row>
    <row r="999">
      <c r="A999" s="4"/>
      <c r="C999" s="4"/>
      <c r="D999" s="4"/>
      <c r="E999" s="8"/>
      <c r="F999" s="8"/>
      <c r="G999" s="8"/>
      <c r="H999" s="9"/>
    </row>
    <row r="1000">
      <c r="A1000" s="4"/>
      <c r="C1000" s="4"/>
      <c r="D1000" s="4"/>
      <c r="E1000" s="8"/>
      <c r="F1000" s="8"/>
      <c r="G1000" s="8"/>
      <c r="H1000" s="9"/>
    </row>
    <row r="1001">
      <c r="A1001" s="4"/>
      <c r="C1001" s="4"/>
      <c r="D1001" s="4"/>
      <c r="E1001" s="8"/>
      <c r="F1001" s="8"/>
      <c r="G1001" s="8"/>
      <c r="H1001" s="9"/>
    </row>
    <row r="1002">
      <c r="A1002" s="4"/>
      <c r="C1002" s="4"/>
      <c r="D1002" s="4"/>
      <c r="E1002" s="8"/>
      <c r="F1002" s="8"/>
      <c r="G1002" s="8"/>
      <c r="H1002" s="9"/>
    </row>
    <row r="1003">
      <c r="A1003" s="4"/>
      <c r="C1003" s="4"/>
      <c r="D1003" s="4"/>
      <c r="E1003" s="8"/>
      <c r="F1003" s="8"/>
      <c r="G1003" s="8"/>
      <c r="H1003" s="9"/>
    </row>
    <row r="1004">
      <c r="A1004" s="4"/>
      <c r="C1004" s="4"/>
      <c r="D1004" s="4"/>
      <c r="E1004" s="8"/>
      <c r="F1004" s="8"/>
      <c r="G1004" s="8"/>
      <c r="H1004" s="9"/>
    </row>
    <row r="1005">
      <c r="A1005" s="4"/>
      <c r="C1005" s="4"/>
      <c r="D1005" s="4"/>
      <c r="E1005" s="8"/>
      <c r="F1005" s="8"/>
      <c r="G1005" s="8"/>
      <c r="H1005" s="9"/>
    </row>
    <row r="1006">
      <c r="A1006" s="4"/>
      <c r="C1006" s="4"/>
      <c r="D1006" s="4"/>
      <c r="E1006" s="8"/>
      <c r="F1006" s="8"/>
      <c r="G1006" s="8"/>
      <c r="H1006" s="9"/>
    </row>
    <row r="1007">
      <c r="A1007" s="4"/>
      <c r="C1007" s="4"/>
      <c r="D1007" s="4"/>
      <c r="E1007" s="8"/>
      <c r="F1007" s="8"/>
      <c r="G1007" s="8"/>
      <c r="H1007" s="9"/>
    </row>
    <row r="1008">
      <c r="A1008" s="4"/>
      <c r="C1008" s="4"/>
      <c r="D1008" s="4"/>
      <c r="E1008" s="8"/>
      <c r="F1008" s="8"/>
      <c r="G1008" s="8"/>
      <c r="H1008" s="9"/>
    </row>
    <row r="1009">
      <c r="A1009" s="4"/>
      <c r="C1009" s="4"/>
      <c r="D1009" s="4"/>
      <c r="E1009" s="8"/>
      <c r="F1009" s="8"/>
      <c r="G1009" s="8"/>
      <c r="H1009" s="9"/>
    </row>
    <row r="1010">
      <c r="A1010" s="4"/>
      <c r="C1010" s="4"/>
      <c r="D1010" s="4"/>
      <c r="E1010" s="8"/>
      <c r="F1010" s="8"/>
      <c r="G1010" s="8"/>
      <c r="H1010" s="9"/>
    </row>
    <row r="1011">
      <c r="A1011" s="4"/>
      <c r="C1011" s="4"/>
      <c r="D1011" s="4"/>
      <c r="E1011" s="8"/>
      <c r="F1011" s="8"/>
      <c r="G1011" s="8"/>
      <c r="H1011" s="9"/>
    </row>
    <row r="1012">
      <c r="A1012" s="4"/>
      <c r="C1012" s="4"/>
      <c r="D1012" s="4"/>
      <c r="E1012" s="8"/>
      <c r="F1012" s="8"/>
      <c r="G1012" s="8"/>
      <c r="H1012" s="9"/>
    </row>
    <row r="1013">
      <c r="A1013" s="4"/>
      <c r="C1013" s="4"/>
      <c r="D1013" s="4"/>
      <c r="E1013" s="8"/>
      <c r="F1013" s="8"/>
      <c r="G1013" s="8"/>
      <c r="H1013" s="9"/>
    </row>
    <row r="1014">
      <c r="A1014" s="4"/>
      <c r="C1014" s="4"/>
      <c r="D1014" s="4"/>
      <c r="E1014" s="8"/>
      <c r="F1014" s="8"/>
      <c r="G1014" s="8"/>
      <c r="H1014" s="9"/>
    </row>
    <row r="1015">
      <c r="A1015" s="4"/>
      <c r="C1015" s="4"/>
      <c r="D1015" s="4"/>
      <c r="E1015" s="8"/>
      <c r="F1015" s="8"/>
      <c r="G1015" s="8"/>
      <c r="H1015" s="9"/>
    </row>
    <row r="1016">
      <c r="A1016" s="4"/>
      <c r="C1016" s="4"/>
      <c r="D1016" s="4"/>
      <c r="E1016" s="8"/>
      <c r="F1016" s="8"/>
      <c r="G1016" s="8"/>
      <c r="H1016" s="9"/>
    </row>
    <row r="1017">
      <c r="A1017" s="4"/>
      <c r="C1017" s="4"/>
      <c r="D1017" s="4"/>
      <c r="E1017" s="8"/>
      <c r="F1017" s="8"/>
      <c r="G1017" s="8"/>
      <c r="H1017" s="9"/>
    </row>
    <row r="1018">
      <c r="A1018" s="4"/>
      <c r="C1018" s="4"/>
      <c r="D1018" s="4"/>
      <c r="E1018" s="8"/>
      <c r="F1018" s="8"/>
      <c r="G1018" s="8"/>
      <c r="H1018" s="9"/>
    </row>
    <row r="1019">
      <c r="A1019" s="4"/>
      <c r="C1019" s="4"/>
      <c r="D1019" s="4"/>
      <c r="E1019" s="8"/>
      <c r="F1019" s="8"/>
      <c r="G1019" s="8"/>
      <c r="H1019" s="9"/>
    </row>
    <row r="1020">
      <c r="A1020" s="4"/>
      <c r="C1020" s="4"/>
      <c r="D1020" s="4"/>
      <c r="E1020" s="8"/>
      <c r="F1020" s="8"/>
      <c r="G1020" s="8"/>
      <c r="H1020" s="9"/>
    </row>
    <row r="1021">
      <c r="A1021" s="4"/>
      <c r="C1021" s="4"/>
      <c r="D1021" s="4"/>
      <c r="E1021" s="8"/>
      <c r="F1021" s="8"/>
      <c r="G1021" s="8"/>
      <c r="H1021" s="9"/>
    </row>
    <row r="1022">
      <c r="A1022" s="4"/>
      <c r="C1022" s="4"/>
      <c r="D1022" s="4"/>
      <c r="E1022" s="8"/>
      <c r="F1022" s="8"/>
      <c r="G1022" s="8"/>
      <c r="H1022" s="9"/>
    </row>
    <row r="1023">
      <c r="A1023" s="4"/>
      <c r="C1023" s="4"/>
      <c r="D1023" s="4"/>
      <c r="E1023" s="8"/>
      <c r="F1023" s="8"/>
      <c r="G1023" s="8"/>
      <c r="H1023" s="9"/>
    </row>
    <row r="1024">
      <c r="A1024" s="4"/>
      <c r="C1024" s="4"/>
      <c r="D1024" s="4"/>
      <c r="E1024" s="8"/>
      <c r="F1024" s="8"/>
      <c r="G1024" s="8"/>
      <c r="H1024" s="9"/>
    </row>
    <row r="1025">
      <c r="A1025" s="4"/>
      <c r="C1025" s="4"/>
      <c r="D1025" s="4"/>
      <c r="E1025" s="8"/>
      <c r="F1025" s="8"/>
      <c r="G1025" s="8"/>
      <c r="H1025" s="9"/>
    </row>
    <row r="1026">
      <c r="A1026" s="4"/>
      <c r="C1026" s="4"/>
      <c r="D1026" s="4"/>
      <c r="E1026" s="8"/>
      <c r="F1026" s="8"/>
      <c r="G1026" s="8"/>
      <c r="H1026" s="9"/>
    </row>
    <row r="1027">
      <c r="A1027" s="4"/>
      <c r="C1027" s="4"/>
      <c r="D1027" s="4"/>
      <c r="E1027" s="8"/>
      <c r="F1027" s="8"/>
      <c r="G1027" s="8"/>
      <c r="H1027" s="9"/>
    </row>
    <row r="1028">
      <c r="A1028" s="4"/>
      <c r="C1028" s="4"/>
      <c r="D1028" s="4"/>
      <c r="E1028" s="8"/>
      <c r="F1028" s="8"/>
      <c r="G1028" s="8"/>
      <c r="H1028" s="9"/>
    </row>
    <row r="1029">
      <c r="A1029" s="4"/>
      <c r="C1029" s="4"/>
      <c r="D1029" s="4"/>
      <c r="E1029" s="8"/>
      <c r="F1029" s="8"/>
      <c r="G1029" s="8"/>
      <c r="H1029" s="9"/>
    </row>
    <row r="1030">
      <c r="A1030" s="4"/>
      <c r="C1030" s="4"/>
      <c r="D1030" s="4"/>
      <c r="E1030" s="8"/>
      <c r="F1030" s="8"/>
      <c r="G1030" s="8"/>
      <c r="H1030" s="9"/>
    </row>
    <row r="1031">
      <c r="A1031" s="4"/>
      <c r="C1031" s="4"/>
      <c r="D1031" s="4"/>
      <c r="E1031" s="8"/>
      <c r="F1031" s="8"/>
      <c r="G1031" s="8"/>
      <c r="H1031" s="9"/>
    </row>
    <row r="1032">
      <c r="A1032" s="4"/>
      <c r="C1032" s="4"/>
      <c r="D1032" s="4"/>
      <c r="E1032" s="8"/>
      <c r="F1032" s="8"/>
      <c r="G1032" s="8"/>
      <c r="H1032" s="9"/>
    </row>
    <row r="1033">
      <c r="A1033" s="4"/>
      <c r="C1033" s="4"/>
      <c r="D1033" s="4"/>
      <c r="E1033" s="8"/>
      <c r="F1033" s="8"/>
      <c r="G1033" s="8"/>
      <c r="H1033" s="9"/>
    </row>
    <row r="1034">
      <c r="A1034" s="4"/>
      <c r="C1034" s="4"/>
      <c r="D1034" s="4"/>
      <c r="E1034" s="8"/>
      <c r="F1034" s="8"/>
      <c r="G1034" s="8"/>
      <c r="H1034" s="9"/>
    </row>
    <row r="1035">
      <c r="A1035" s="4"/>
      <c r="C1035" s="4"/>
      <c r="D1035" s="4"/>
      <c r="E1035" s="8"/>
      <c r="F1035" s="8"/>
      <c r="G1035" s="8"/>
      <c r="H1035" s="9"/>
    </row>
    <row r="1036">
      <c r="A1036" s="4"/>
      <c r="C1036" s="4"/>
      <c r="D1036" s="4"/>
      <c r="E1036" s="8"/>
      <c r="F1036" s="8"/>
      <c r="G1036" s="8"/>
      <c r="H1036" s="9"/>
    </row>
    <row r="1037">
      <c r="A1037" s="4"/>
      <c r="C1037" s="4"/>
      <c r="D1037" s="4"/>
      <c r="E1037" s="8"/>
      <c r="F1037" s="8"/>
      <c r="G1037" s="8"/>
      <c r="H1037" s="9"/>
    </row>
    <row r="1038">
      <c r="A1038" s="4"/>
      <c r="C1038" s="4"/>
      <c r="D1038" s="4"/>
      <c r="E1038" s="8"/>
      <c r="F1038" s="8"/>
      <c r="G1038" s="8"/>
      <c r="H1038" s="9"/>
    </row>
    <row r="1039">
      <c r="A1039" s="4"/>
      <c r="C1039" s="4"/>
      <c r="D1039" s="4"/>
      <c r="E1039" s="8"/>
      <c r="F1039" s="8"/>
      <c r="G1039" s="8"/>
      <c r="H1039" s="9"/>
    </row>
    <row r="1040">
      <c r="A1040" s="4"/>
      <c r="C1040" s="4"/>
      <c r="D1040" s="4"/>
      <c r="E1040" s="8"/>
      <c r="F1040" s="8"/>
      <c r="G1040" s="8"/>
      <c r="H1040" s="9"/>
    </row>
    <row r="1041">
      <c r="A1041" s="4"/>
      <c r="C1041" s="4"/>
      <c r="D1041" s="4"/>
      <c r="E1041" s="8"/>
      <c r="F1041" s="8"/>
      <c r="G1041" s="8"/>
      <c r="H1041" s="9"/>
    </row>
    <row r="1042">
      <c r="A1042" s="4"/>
      <c r="C1042" s="4"/>
      <c r="D1042" s="4"/>
      <c r="E1042" s="8"/>
      <c r="F1042" s="8"/>
      <c r="G1042" s="8"/>
      <c r="H1042" s="9"/>
    </row>
    <row r="1043">
      <c r="A1043" s="4"/>
      <c r="C1043" s="4"/>
      <c r="D1043" s="4"/>
      <c r="E1043" s="8"/>
      <c r="F1043" s="8"/>
      <c r="G1043" s="8"/>
      <c r="H1043" s="9"/>
    </row>
    <row r="1044">
      <c r="A1044" s="4"/>
      <c r="C1044" s="4"/>
      <c r="D1044" s="4"/>
      <c r="E1044" s="8"/>
      <c r="F1044" s="8"/>
      <c r="G1044" s="8"/>
      <c r="H1044" s="9"/>
    </row>
    <row r="1045">
      <c r="A1045" s="4"/>
      <c r="C1045" s="4"/>
      <c r="D1045" s="4"/>
      <c r="E1045" s="8"/>
      <c r="F1045" s="8"/>
      <c r="G1045" s="8"/>
      <c r="H1045" s="9"/>
    </row>
    <row r="1046">
      <c r="A1046" s="4"/>
      <c r="C1046" s="4"/>
      <c r="D1046" s="4"/>
      <c r="E1046" s="8"/>
      <c r="F1046" s="8"/>
      <c r="G1046" s="8"/>
      <c r="H1046" s="9"/>
    </row>
    <row r="1047">
      <c r="A1047" s="4"/>
      <c r="C1047" s="4"/>
      <c r="D1047" s="4"/>
      <c r="E1047" s="8"/>
      <c r="F1047" s="8"/>
      <c r="G1047" s="8"/>
      <c r="H1047" s="9"/>
    </row>
    <row r="1048">
      <c r="A1048" s="4"/>
      <c r="C1048" s="4"/>
      <c r="D1048" s="4"/>
      <c r="E1048" s="8"/>
      <c r="F1048" s="8"/>
      <c r="G1048" s="8"/>
      <c r="H1048" s="9"/>
    </row>
    <row r="1049">
      <c r="A1049" s="4"/>
      <c r="C1049" s="4"/>
      <c r="D1049" s="4"/>
      <c r="E1049" s="8"/>
      <c r="F1049" s="8"/>
      <c r="G1049" s="8"/>
      <c r="H1049" s="9"/>
    </row>
    <row r="1050">
      <c r="A1050" s="4"/>
      <c r="C1050" s="4"/>
      <c r="D1050" s="4"/>
      <c r="E1050" s="8"/>
      <c r="F1050" s="8"/>
      <c r="G1050" s="8"/>
      <c r="H1050" s="9"/>
    </row>
    <row r="1051">
      <c r="A1051" s="4"/>
      <c r="C1051" s="4"/>
      <c r="D1051" s="4"/>
      <c r="E1051" s="8"/>
      <c r="F1051" s="8"/>
      <c r="G1051" s="8"/>
      <c r="H1051" s="9"/>
    </row>
    <row r="1052">
      <c r="A1052" s="4"/>
      <c r="C1052" s="4"/>
      <c r="D1052" s="4"/>
      <c r="E1052" s="8"/>
      <c r="F1052" s="8"/>
      <c r="G1052" s="8"/>
      <c r="H1052" s="9"/>
    </row>
    <row r="1053">
      <c r="A1053" s="4"/>
      <c r="C1053" s="4"/>
      <c r="D1053" s="4"/>
      <c r="E1053" s="8"/>
      <c r="F1053" s="8"/>
      <c r="G1053" s="8"/>
      <c r="H1053" s="9"/>
    </row>
    <row r="1054">
      <c r="A1054" s="4"/>
      <c r="C1054" s="4"/>
      <c r="D1054" s="4"/>
      <c r="E1054" s="8"/>
      <c r="F1054" s="8"/>
      <c r="G1054" s="8"/>
      <c r="H1054" s="9"/>
    </row>
    <row r="1055">
      <c r="A1055" s="4"/>
      <c r="C1055" s="4"/>
      <c r="D1055" s="4"/>
      <c r="E1055" s="8"/>
      <c r="F1055" s="8"/>
      <c r="G1055" s="8"/>
      <c r="H1055" s="9"/>
    </row>
    <row r="1056">
      <c r="A1056" s="4"/>
      <c r="C1056" s="4"/>
      <c r="D1056" s="4"/>
      <c r="E1056" s="8"/>
      <c r="F1056" s="8"/>
      <c r="G1056" s="8"/>
      <c r="H1056" s="9"/>
    </row>
    <row r="1057">
      <c r="A1057" s="4"/>
      <c r="C1057" s="4"/>
      <c r="D1057" s="4"/>
      <c r="E1057" s="8"/>
      <c r="F1057" s="8"/>
      <c r="G1057" s="8"/>
      <c r="H1057" s="9"/>
    </row>
    <row r="1058">
      <c r="A1058" s="4"/>
      <c r="C1058" s="4"/>
      <c r="D1058" s="4"/>
      <c r="E1058" s="8"/>
      <c r="F1058" s="8"/>
      <c r="G1058" s="8"/>
      <c r="H1058" s="9"/>
    </row>
    <row r="1059">
      <c r="A1059" s="4"/>
      <c r="C1059" s="4"/>
      <c r="D1059" s="4"/>
      <c r="E1059" s="8"/>
      <c r="F1059" s="8"/>
      <c r="G1059" s="8"/>
      <c r="H1059" s="9"/>
    </row>
    <row r="1060">
      <c r="A1060" s="4"/>
      <c r="C1060" s="4"/>
      <c r="D1060" s="4"/>
      <c r="E1060" s="8"/>
      <c r="F1060" s="8"/>
      <c r="G1060" s="8"/>
      <c r="H1060" s="9"/>
    </row>
    <row r="1061">
      <c r="A1061" s="4"/>
      <c r="C1061" s="4"/>
      <c r="D1061" s="4"/>
      <c r="E1061" s="8"/>
      <c r="F1061" s="8"/>
      <c r="G1061" s="8"/>
      <c r="H1061" s="9"/>
    </row>
    <row r="1062">
      <c r="A1062" s="4"/>
      <c r="C1062" s="4"/>
      <c r="D1062" s="4"/>
      <c r="E1062" s="8"/>
      <c r="F1062" s="8"/>
      <c r="G1062" s="8"/>
      <c r="H1062" s="9"/>
    </row>
    <row r="1063">
      <c r="A1063" s="4"/>
      <c r="C1063" s="4"/>
      <c r="D1063" s="4"/>
      <c r="E1063" s="8"/>
      <c r="F1063" s="8"/>
      <c r="G1063" s="8"/>
      <c r="H1063" s="9"/>
    </row>
    <row r="1064">
      <c r="A1064" s="4"/>
      <c r="C1064" s="4"/>
      <c r="D1064" s="4"/>
      <c r="E1064" s="8"/>
      <c r="F1064" s="8"/>
      <c r="G1064" s="8"/>
      <c r="H1064" s="9"/>
    </row>
    <row r="1065">
      <c r="A1065" s="4"/>
      <c r="C1065" s="4"/>
      <c r="D1065" s="4"/>
      <c r="E1065" s="8"/>
      <c r="F1065" s="8"/>
      <c r="G1065" s="8"/>
      <c r="H1065" s="9"/>
    </row>
    <row r="1066">
      <c r="A1066" s="4"/>
      <c r="C1066" s="4"/>
      <c r="D1066" s="4"/>
      <c r="E1066" s="8"/>
      <c r="F1066" s="8"/>
      <c r="G1066" s="8"/>
      <c r="H1066" s="9"/>
    </row>
    <row r="1067">
      <c r="A1067" s="4"/>
      <c r="C1067" s="4"/>
      <c r="D1067" s="4"/>
      <c r="E1067" s="8"/>
      <c r="F1067" s="8"/>
      <c r="G1067" s="8"/>
      <c r="H1067" s="9"/>
    </row>
    <row r="1068">
      <c r="A1068" s="4"/>
      <c r="C1068" s="4"/>
      <c r="D1068" s="4"/>
      <c r="E1068" s="8"/>
      <c r="F1068" s="8"/>
      <c r="G1068" s="8"/>
      <c r="H1068" s="9"/>
    </row>
    <row r="1069">
      <c r="A1069" s="4"/>
      <c r="C1069" s="4"/>
      <c r="D1069" s="4"/>
      <c r="E1069" s="8"/>
      <c r="F1069" s="8"/>
      <c r="G1069" s="8"/>
      <c r="H1069" s="9"/>
    </row>
    <row r="1070">
      <c r="A1070" s="4"/>
      <c r="C1070" s="4"/>
      <c r="D1070" s="4"/>
      <c r="E1070" s="8"/>
      <c r="F1070" s="8"/>
      <c r="G1070" s="8"/>
      <c r="H1070" s="9"/>
    </row>
    <row r="1071">
      <c r="A1071" s="4"/>
      <c r="C1071" s="4"/>
      <c r="D1071" s="4"/>
      <c r="E1071" s="8"/>
      <c r="F1071" s="8"/>
      <c r="G1071" s="8"/>
      <c r="H1071" s="9"/>
    </row>
    <row r="1072">
      <c r="A1072" s="4"/>
      <c r="C1072" s="4"/>
      <c r="D1072" s="4"/>
      <c r="E1072" s="8"/>
      <c r="F1072" s="8"/>
      <c r="G1072" s="8"/>
      <c r="H1072" s="9"/>
    </row>
    <row r="1073">
      <c r="A1073" s="4"/>
      <c r="C1073" s="4"/>
      <c r="D1073" s="4"/>
      <c r="E1073" s="8"/>
      <c r="F1073" s="8"/>
      <c r="G1073" s="8"/>
      <c r="H1073" s="9"/>
    </row>
    <row r="1074">
      <c r="A1074" s="4"/>
      <c r="C1074" s="4"/>
      <c r="D1074" s="4"/>
      <c r="E1074" s="8"/>
      <c r="F1074" s="8"/>
      <c r="G1074" s="8"/>
      <c r="H1074" s="9"/>
    </row>
    <row r="1075">
      <c r="A1075" s="4"/>
      <c r="C1075" s="4"/>
      <c r="D1075" s="4"/>
      <c r="E1075" s="8"/>
      <c r="F1075" s="8"/>
      <c r="G1075" s="8"/>
      <c r="H1075" s="9"/>
    </row>
    <row r="1076">
      <c r="A1076" s="4"/>
      <c r="C1076" s="4"/>
      <c r="D1076" s="4"/>
      <c r="E1076" s="8"/>
      <c r="F1076" s="8"/>
      <c r="G1076" s="8"/>
      <c r="H1076" s="9"/>
    </row>
    <row r="1077">
      <c r="A1077" s="4"/>
      <c r="C1077" s="4"/>
      <c r="D1077" s="4"/>
      <c r="E1077" s="8"/>
      <c r="F1077" s="8"/>
      <c r="G1077" s="8"/>
      <c r="H1077" s="9"/>
    </row>
    <row r="1078">
      <c r="A1078" s="4"/>
      <c r="C1078" s="4"/>
      <c r="D1078" s="4"/>
      <c r="E1078" s="8"/>
      <c r="F1078" s="8"/>
      <c r="G1078" s="8"/>
      <c r="H1078" s="9"/>
    </row>
    <row r="1079">
      <c r="A1079" s="4"/>
      <c r="C1079" s="4"/>
      <c r="D1079" s="4"/>
      <c r="E1079" s="8"/>
      <c r="F1079" s="8"/>
      <c r="G1079" s="8"/>
      <c r="H1079" s="9"/>
    </row>
    <row r="1080">
      <c r="A1080" s="4"/>
      <c r="C1080" s="4"/>
      <c r="D1080" s="4"/>
      <c r="E1080" s="8"/>
      <c r="F1080" s="8"/>
      <c r="G1080" s="8"/>
      <c r="H1080" s="9"/>
    </row>
    <row r="1081">
      <c r="A1081" s="4"/>
      <c r="C1081" s="4"/>
      <c r="D1081" s="4"/>
      <c r="E1081" s="8"/>
      <c r="F1081" s="8"/>
      <c r="G1081" s="8"/>
      <c r="H1081" s="9"/>
    </row>
    <row r="1082">
      <c r="A1082" s="4"/>
      <c r="C1082" s="4"/>
      <c r="D1082" s="4"/>
      <c r="E1082" s="8"/>
      <c r="F1082" s="8"/>
      <c r="G1082" s="8"/>
      <c r="H1082" s="9"/>
    </row>
    <row r="1083">
      <c r="A1083" s="4"/>
      <c r="C1083" s="4"/>
      <c r="D1083" s="4"/>
      <c r="E1083" s="8"/>
      <c r="F1083" s="8"/>
      <c r="G1083" s="8"/>
      <c r="H1083" s="9"/>
    </row>
    <row r="1084">
      <c r="A1084" s="4"/>
      <c r="C1084" s="4"/>
      <c r="D1084" s="4"/>
      <c r="E1084" s="8"/>
      <c r="F1084" s="8"/>
      <c r="G1084" s="8"/>
      <c r="H1084" s="9"/>
    </row>
    <row r="1085">
      <c r="A1085" s="4"/>
      <c r="C1085" s="4"/>
      <c r="D1085" s="4"/>
      <c r="E1085" s="8"/>
      <c r="F1085" s="8"/>
      <c r="G1085" s="8"/>
      <c r="H1085" s="9"/>
    </row>
    <row r="1086">
      <c r="A1086" s="4"/>
      <c r="C1086" s="4"/>
      <c r="D1086" s="4"/>
      <c r="E1086" s="8"/>
      <c r="F1086" s="8"/>
      <c r="G1086" s="8"/>
      <c r="H1086" s="9"/>
    </row>
    <row r="1087">
      <c r="A1087" s="4"/>
      <c r="C1087" s="4"/>
      <c r="D1087" s="4"/>
      <c r="E1087" s="8"/>
      <c r="F1087" s="8"/>
      <c r="G1087" s="8"/>
      <c r="H1087" s="9"/>
    </row>
    <row r="1088">
      <c r="A1088" s="4"/>
      <c r="C1088" s="4"/>
      <c r="D1088" s="4"/>
      <c r="E1088" s="8"/>
      <c r="F1088" s="8"/>
      <c r="G1088" s="8"/>
      <c r="H1088" s="9"/>
    </row>
    <row r="1089">
      <c r="A1089" s="4"/>
      <c r="C1089" s="4"/>
      <c r="D1089" s="4"/>
      <c r="E1089" s="8"/>
      <c r="F1089" s="8"/>
      <c r="G1089" s="8"/>
      <c r="H1089" s="9"/>
    </row>
    <row r="1090">
      <c r="A1090" s="4"/>
      <c r="C1090" s="4"/>
      <c r="D1090" s="4"/>
      <c r="E1090" s="8"/>
      <c r="F1090" s="8"/>
      <c r="G1090" s="8"/>
      <c r="H1090" s="9"/>
    </row>
    <row r="1091">
      <c r="A1091" s="4"/>
      <c r="C1091" s="4"/>
      <c r="D1091" s="4"/>
      <c r="E1091" s="8"/>
      <c r="F1091" s="8"/>
      <c r="G1091" s="8"/>
      <c r="H1091" s="9"/>
    </row>
    <row r="1092">
      <c r="A1092" s="4"/>
      <c r="C1092" s="4"/>
      <c r="D1092" s="4"/>
      <c r="E1092" s="8"/>
      <c r="F1092" s="8"/>
      <c r="G1092" s="8"/>
      <c r="H1092" s="9"/>
    </row>
    <row r="1093">
      <c r="A1093" s="4"/>
      <c r="C1093" s="4"/>
      <c r="D1093" s="4"/>
      <c r="E1093" s="8"/>
      <c r="F1093" s="8"/>
      <c r="G1093" s="8"/>
      <c r="H1093" s="9"/>
    </row>
    <row r="1094">
      <c r="A1094" s="4"/>
      <c r="C1094" s="4"/>
      <c r="D1094" s="4"/>
      <c r="E1094" s="8"/>
      <c r="F1094" s="8"/>
      <c r="G1094" s="8"/>
      <c r="H1094" s="9"/>
    </row>
    <row r="1095">
      <c r="A1095" s="4"/>
      <c r="C1095" s="4"/>
      <c r="D1095" s="4"/>
      <c r="E1095" s="8"/>
      <c r="F1095" s="8"/>
      <c r="G1095" s="8"/>
      <c r="H1095" s="9"/>
    </row>
    <row r="1096">
      <c r="A1096" s="4"/>
      <c r="C1096" s="4"/>
      <c r="D1096" s="4"/>
      <c r="E1096" s="8"/>
      <c r="F1096" s="8"/>
      <c r="G1096" s="8"/>
      <c r="H1096" s="9"/>
    </row>
    <row r="1097">
      <c r="A1097" s="4"/>
      <c r="C1097" s="4"/>
      <c r="D1097" s="4"/>
      <c r="E1097" s="8"/>
      <c r="F1097" s="8"/>
      <c r="G1097" s="8"/>
      <c r="H1097" s="9"/>
    </row>
    <row r="1098">
      <c r="A1098" s="4"/>
      <c r="C1098" s="4"/>
      <c r="D1098" s="4"/>
      <c r="E1098" s="8"/>
      <c r="F1098" s="8"/>
      <c r="G1098" s="8"/>
      <c r="H1098" s="9"/>
    </row>
    <row r="1099">
      <c r="A1099" s="4"/>
      <c r="C1099" s="4"/>
      <c r="D1099" s="4"/>
      <c r="E1099" s="8"/>
      <c r="F1099" s="8"/>
      <c r="G1099" s="8"/>
      <c r="H1099" s="9"/>
    </row>
    <row r="1100">
      <c r="A1100" s="4"/>
      <c r="C1100" s="4"/>
      <c r="D1100" s="4"/>
      <c r="E1100" s="8"/>
      <c r="F1100" s="8"/>
      <c r="G1100" s="8"/>
      <c r="H1100" s="9"/>
    </row>
    <row r="1101">
      <c r="A1101" s="4"/>
      <c r="C1101" s="4"/>
      <c r="D1101" s="4"/>
      <c r="E1101" s="8"/>
      <c r="F1101" s="8"/>
      <c r="G1101" s="8"/>
      <c r="H1101" s="9"/>
    </row>
    <row r="1102">
      <c r="A1102" s="4"/>
      <c r="C1102" s="4"/>
      <c r="D1102" s="4"/>
      <c r="E1102" s="8"/>
      <c r="F1102" s="8"/>
      <c r="G1102" s="8"/>
      <c r="H1102" s="9"/>
    </row>
    <row r="1103">
      <c r="A1103" s="4"/>
      <c r="C1103" s="4"/>
      <c r="D1103" s="4"/>
      <c r="E1103" s="8"/>
      <c r="F1103" s="8"/>
      <c r="G1103" s="8"/>
      <c r="H1103" s="9"/>
    </row>
    <row r="1104">
      <c r="A1104" s="4"/>
      <c r="C1104" s="4"/>
      <c r="D1104" s="4"/>
      <c r="E1104" s="8"/>
      <c r="F1104" s="8"/>
      <c r="G1104" s="8"/>
      <c r="H1104" s="9"/>
    </row>
    <row r="1105">
      <c r="A1105" s="4"/>
      <c r="C1105" s="4"/>
      <c r="D1105" s="4"/>
      <c r="E1105" s="8"/>
      <c r="F1105" s="8"/>
      <c r="G1105" s="8"/>
      <c r="H1105" s="9"/>
    </row>
    <row r="1106">
      <c r="A1106" s="4"/>
      <c r="C1106" s="4"/>
      <c r="D1106" s="4"/>
      <c r="E1106" s="8"/>
      <c r="F1106" s="8"/>
      <c r="G1106" s="8"/>
      <c r="H1106" s="9"/>
    </row>
    <row r="1107">
      <c r="A1107" s="4"/>
      <c r="C1107" s="4"/>
      <c r="D1107" s="4"/>
      <c r="E1107" s="8"/>
      <c r="F1107" s="8"/>
      <c r="G1107" s="8"/>
      <c r="H1107" s="9"/>
    </row>
    <row r="1108">
      <c r="A1108" s="4"/>
      <c r="C1108" s="4"/>
      <c r="D1108" s="4"/>
      <c r="E1108" s="8"/>
      <c r="F1108" s="8"/>
      <c r="G1108" s="8"/>
      <c r="H1108" s="9"/>
    </row>
    <row r="1109">
      <c r="A1109" s="4"/>
      <c r="C1109" s="4"/>
      <c r="D1109" s="4"/>
      <c r="E1109" s="8"/>
      <c r="F1109" s="8"/>
      <c r="G1109" s="8"/>
      <c r="H1109" s="9"/>
    </row>
    <row r="1110">
      <c r="A1110" s="4"/>
      <c r="C1110" s="4"/>
      <c r="D1110" s="4"/>
      <c r="E1110" s="8"/>
      <c r="F1110" s="8"/>
      <c r="G1110" s="8"/>
      <c r="H1110" s="9"/>
    </row>
    <row r="1111">
      <c r="A1111" s="4"/>
      <c r="C1111" s="4"/>
      <c r="D1111" s="4"/>
      <c r="E1111" s="8"/>
      <c r="F1111" s="8"/>
      <c r="G1111" s="8"/>
      <c r="H1111" s="9"/>
    </row>
    <row r="1112">
      <c r="A1112" s="4"/>
      <c r="C1112" s="4"/>
      <c r="D1112" s="4"/>
      <c r="E1112" s="8"/>
      <c r="F1112" s="8"/>
      <c r="G1112" s="8"/>
      <c r="H1112" s="9"/>
    </row>
    <row r="1113">
      <c r="A1113" s="4"/>
      <c r="C1113" s="4"/>
      <c r="D1113" s="4"/>
      <c r="E1113" s="8"/>
      <c r="F1113" s="8"/>
      <c r="G1113" s="8"/>
      <c r="H1113" s="9"/>
    </row>
    <row r="1114">
      <c r="A1114" s="4"/>
      <c r="C1114" s="4"/>
      <c r="D1114" s="4"/>
      <c r="E1114" s="8"/>
      <c r="F1114" s="8"/>
      <c r="G1114" s="8"/>
      <c r="H1114" s="9"/>
    </row>
    <row r="1115">
      <c r="A1115" s="4"/>
      <c r="C1115" s="4"/>
      <c r="D1115" s="4"/>
      <c r="E1115" s="8"/>
      <c r="F1115" s="8"/>
      <c r="G1115" s="8"/>
      <c r="H1115" s="9"/>
    </row>
    <row r="1116">
      <c r="A1116" s="4"/>
      <c r="C1116" s="4"/>
      <c r="D1116" s="4"/>
      <c r="E1116" s="8"/>
      <c r="F1116" s="8"/>
      <c r="G1116" s="8"/>
      <c r="H1116" s="9"/>
    </row>
    <row r="1117">
      <c r="A1117" s="4"/>
      <c r="C1117" s="4"/>
      <c r="D1117" s="4"/>
      <c r="E1117" s="8"/>
      <c r="F1117" s="8"/>
      <c r="G1117" s="8"/>
      <c r="H1117" s="9"/>
    </row>
    <row r="1118">
      <c r="A1118" s="4"/>
      <c r="C1118" s="4"/>
      <c r="D1118" s="4"/>
      <c r="E1118" s="8"/>
      <c r="F1118" s="8"/>
      <c r="G1118" s="8"/>
      <c r="H1118" s="9"/>
    </row>
    <row r="1119">
      <c r="A1119" s="4"/>
      <c r="C1119" s="4"/>
      <c r="D1119" s="4"/>
      <c r="E1119" s="8"/>
      <c r="F1119" s="8"/>
      <c r="G1119" s="8"/>
      <c r="H1119" s="9"/>
    </row>
    <row r="1120">
      <c r="A1120" s="4"/>
      <c r="C1120" s="4"/>
      <c r="D1120" s="4"/>
      <c r="E1120" s="8"/>
      <c r="F1120" s="8"/>
      <c r="G1120" s="8"/>
      <c r="H1120" s="9"/>
    </row>
    <row r="1121">
      <c r="A1121" s="4"/>
      <c r="C1121" s="4"/>
      <c r="D1121" s="4"/>
      <c r="E1121" s="8"/>
      <c r="F1121" s="8"/>
      <c r="G1121" s="8"/>
      <c r="H1121" s="9"/>
    </row>
    <row r="1122">
      <c r="A1122" s="4"/>
      <c r="C1122" s="4"/>
      <c r="D1122" s="4"/>
      <c r="E1122" s="8"/>
      <c r="F1122" s="8"/>
      <c r="G1122" s="8"/>
      <c r="H1122" s="9"/>
    </row>
    <row r="1123">
      <c r="A1123" s="4"/>
      <c r="C1123" s="4"/>
      <c r="D1123" s="4"/>
      <c r="E1123" s="8"/>
      <c r="F1123" s="8"/>
      <c r="G1123" s="8"/>
      <c r="H1123" s="9"/>
    </row>
    <row r="1124">
      <c r="A1124" s="4"/>
      <c r="C1124" s="4"/>
      <c r="D1124" s="4"/>
      <c r="E1124" s="8"/>
      <c r="F1124" s="8"/>
      <c r="G1124" s="8"/>
      <c r="H1124" s="9"/>
    </row>
    <row r="1125">
      <c r="A1125" s="4"/>
      <c r="C1125" s="4"/>
      <c r="D1125" s="4"/>
      <c r="E1125" s="8"/>
      <c r="F1125" s="8"/>
      <c r="G1125" s="8"/>
      <c r="H1125" s="9"/>
    </row>
    <row r="1126">
      <c r="A1126" s="4"/>
      <c r="C1126" s="4"/>
      <c r="D1126" s="4"/>
      <c r="E1126" s="8"/>
      <c r="F1126" s="8"/>
      <c r="G1126" s="8"/>
      <c r="H1126" s="9"/>
    </row>
    <row r="1127">
      <c r="A1127" s="4"/>
      <c r="C1127" s="4"/>
      <c r="D1127" s="4"/>
      <c r="E1127" s="8"/>
      <c r="F1127" s="8"/>
      <c r="G1127" s="8"/>
      <c r="H1127" s="9"/>
    </row>
    <row r="1128">
      <c r="A1128" s="4"/>
      <c r="C1128" s="4"/>
      <c r="D1128" s="4"/>
      <c r="E1128" s="8"/>
      <c r="F1128" s="8"/>
      <c r="G1128" s="8"/>
      <c r="H1128" s="9"/>
    </row>
    <row r="1129">
      <c r="A1129" s="4"/>
      <c r="C1129" s="4"/>
      <c r="D1129" s="4"/>
      <c r="E1129" s="8"/>
      <c r="F1129" s="8"/>
      <c r="G1129" s="8"/>
      <c r="H1129" s="9"/>
    </row>
    <row r="1130">
      <c r="A1130" s="4"/>
      <c r="C1130" s="4"/>
      <c r="D1130" s="4"/>
      <c r="E1130" s="8"/>
      <c r="F1130" s="8"/>
      <c r="G1130" s="8"/>
      <c r="H1130" s="9"/>
    </row>
    <row r="1131">
      <c r="A1131" s="4"/>
      <c r="C1131" s="4"/>
      <c r="D1131" s="4"/>
      <c r="E1131" s="8"/>
      <c r="F1131" s="8"/>
      <c r="G1131" s="8"/>
      <c r="H1131" s="9"/>
    </row>
    <row r="1132">
      <c r="A1132" s="4"/>
      <c r="C1132" s="4"/>
      <c r="D1132" s="4"/>
      <c r="E1132" s="8"/>
      <c r="F1132" s="8"/>
      <c r="G1132" s="8"/>
      <c r="H1132" s="9"/>
    </row>
    <row r="1133">
      <c r="A1133" s="4"/>
      <c r="C1133" s="4"/>
      <c r="D1133" s="4"/>
      <c r="E1133" s="8"/>
      <c r="F1133" s="8"/>
      <c r="G1133" s="8"/>
      <c r="H1133" s="9"/>
    </row>
    <row r="1134">
      <c r="A1134" s="4"/>
      <c r="C1134" s="4"/>
      <c r="D1134" s="4"/>
      <c r="E1134" s="8"/>
      <c r="F1134" s="8"/>
      <c r="G1134" s="8"/>
      <c r="H1134" s="9"/>
    </row>
    <row r="1135">
      <c r="A1135" s="4"/>
      <c r="C1135" s="4"/>
      <c r="D1135" s="4"/>
      <c r="E1135" s="8"/>
      <c r="F1135" s="8"/>
      <c r="G1135" s="8"/>
      <c r="H1135" s="9"/>
    </row>
    <row r="1136">
      <c r="A1136" s="4"/>
      <c r="C1136" s="4"/>
      <c r="D1136" s="4"/>
      <c r="E1136" s="8"/>
      <c r="F1136" s="8"/>
      <c r="G1136" s="8"/>
      <c r="H1136" s="9"/>
    </row>
    <row r="1137">
      <c r="A1137" s="4"/>
      <c r="C1137" s="4"/>
      <c r="D1137" s="4"/>
      <c r="E1137" s="8"/>
      <c r="F1137" s="8"/>
      <c r="G1137" s="8"/>
      <c r="H1137" s="9"/>
    </row>
    <row r="1138">
      <c r="A1138" s="4"/>
      <c r="C1138" s="4"/>
      <c r="D1138" s="4"/>
      <c r="E1138" s="8"/>
      <c r="F1138" s="8"/>
      <c r="G1138" s="8"/>
      <c r="H1138" s="9"/>
    </row>
    <row r="1139">
      <c r="A1139" s="4"/>
      <c r="C1139" s="4"/>
      <c r="D1139" s="4"/>
      <c r="E1139" s="8"/>
      <c r="F1139" s="8"/>
      <c r="G1139" s="8"/>
      <c r="H1139" s="9"/>
    </row>
    <row r="1140">
      <c r="A1140" s="4"/>
      <c r="C1140" s="4"/>
      <c r="D1140" s="4"/>
      <c r="E1140" s="8"/>
      <c r="F1140" s="8"/>
      <c r="G1140" s="8"/>
      <c r="H1140" s="9"/>
    </row>
    <row r="1141">
      <c r="A1141" s="4"/>
      <c r="C1141" s="4"/>
      <c r="D1141" s="4"/>
      <c r="E1141" s="8"/>
      <c r="F1141" s="8"/>
      <c r="G1141" s="8"/>
      <c r="H1141" s="9"/>
    </row>
    <row r="1142">
      <c r="A1142" s="4"/>
      <c r="C1142" s="4"/>
      <c r="D1142" s="4"/>
      <c r="E1142" s="8"/>
      <c r="F1142" s="8"/>
      <c r="G1142" s="8"/>
      <c r="H1142" s="9"/>
    </row>
    <row r="1143">
      <c r="A1143" s="4"/>
      <c r="C1143" s="4"/>
      <c r="D1143" s="4"/>
      <c r="E1143" s="8"/>
      <c r="F1143" s="8"/>
      <c r="G1143" s="8"/>
      <c r="H1143" s="9"/>
    </row>
    <row r="1144">
      <c r="A1144" s="4"/>
      <c r="C1144" s="4"/>
      <c r="D1144" s="4"/>
      <c r="E1144" s="8"/>
      <c r="F1144" s="8"/>
      <c r="G1144" s="8"/>
      <c r="H1144" s="9"/>
    </row>
    <row r="1145">
      <c r="A1145" s="4"/>
      <c r="C1145" s="4"/>
      <c r="D1145" s="4"/>
      <c r="E1145" s="8"/>
      <c r="F1145" s="8"/>
      <c r="G1145" s="8"/>
      <c r="H1145" s="9"/>
    </row>
    <row r="1146">
      <c r="A1146" s="4"/>
      <c r="C1146" s="4"/>
      <c r="D1146" s="4"/>
      <c r="E1146" s="8"/>
      <c r="F1146" s="8"/>
      <c r="G1146" s="8"/>
      <c r="H1146" s="9"/>
    </row>
    <row r="1147">
      <c r="A1147" s="4"/>
      <c r="C1147" s="4"/>
      <c r="D1147" s="4"/>
      <c r="E1147" s="8"/>
      <c r="F1147" s="8"/>
      <c r="G1147" s="8"/>
      <c r="H1147" s="9"/>
    </row>
    <row r="1148">
      <c r="A1148" s="4"/>
      <c r="C1148" s="4"/>
      <c r="D1148" s="4"/>
      <c r="E1148" s="8"/>
      <c r="F1148" s="8"/>
      <c r="G1148" s="8"/>
      <c r="H1148" s="9"/>
    </row>
    <row r="1149">
      <c r="A1149" s="4"/>
      <c r="C1149" s="4"/>
      <c r="D1149" s="4"/>
      <c r="E1149" s="8"/>
      <c r="F1149" s="8"/>
      <c r="G1149" s="8"/>
      <c r="H1149" s="9"/>
    </row>
    <row r="1150">
      <c r="A1150" s="4"/>
      <c r="C1150" s="4"/>
      <c r="D1150" s="4"/>
      <c r="E1150" s="8"/>
      <c r="F1150" s="8"/>
      <c r="G1150" s="8"/>
      <c r="H1150" s="9"/>
    </row>
    <row r="1151">
      <c r="A1151" s="4"/>
      <c r="C1151" s="4"/>
      <c r="D1151" s="4"/>
      <c r="E1151" s="8"/>
      <c r="F1151" s="8"/>
      <c r="G1151" s="8"/>
      <c r="H1151" s="9"/>
    </row>
    <row r="1152">
      <c r="A1152" s="4"/>
      <c r="C1152" s="4"/>
      <c r="D1152" s="4"/>
      <c r="E1152" s="8"/>
      <c r="F1152" s="8"/>
      <c r="G1152" s="8"/>
      <c r="H1152" s="9"/>
    </row>
    <row r="1153">
      <c r="A1153" s="4"/>
      <c r="C1153" s="4"/>
      <c r="D1153" s="4"/>
      <c r="E1153" s="8"/>
      <c r="F1153" s="8"/>
      <c r="G1153" s="8"/>
      <c r="H1153" s="9"/>
    </row>
    <row r="1154">
      <c r="A1154" s="4"/>
      <c r="C1154" s="4"/>
      <c r="D1154" s="4"/>
      <c r="E1154" s="8"/>
      <c r="F1154" s="8"/>
      <c r="G1154" s="8"/>
      <c r="H1154" s="9"/>
    </row>
    <row r="1155">
      <c r="A1155" s="4"/>
      <c r="C1155" s="4"/>
      <c r="D1155" s="4"/>
      <c r="E1155" s="8"/>
      <c r="F1155" s="8"/>
      <c r="G1155" s="8"/>
      <c r="H1155" s="9"/>
    </row>
    <row r="1156">
      <c r="A1156" s="4"/>
      <c r="C1156" s="4"/>
      <c r="D1156" s="4"/>
      <c r="E1156" s="8"/>
      <c r="F1156" s="8"/>
      <c r="G1156" s="8"/>
      <c r="H1156" s="9"/>
    </row>
    <row r="1157">
      <c r="A1157" s="4"/>
      <c r="C1157" s="4"/>
      <c r="D1157" s="4"/>
      <c r="E1157" s="8"/>
      <c r="F1157" s="8"/>
      <c r="G1157" s="8"/>
      <c r="H1157" s="9"/>
    </row>
    <row r="1158">
      <c r="A1158" s="4"/>
      <c r="C1158" s="4"/>
      <c r="D1158" s="4"/>
      <c r="E1158" s="8"/>
      <c r="F1158" s="8"/>
      <c r="G1158" s="8"/>
      <c r="H1158" s="9"/>
    </row>
    <row r="1159">
      <c r="A1159" s="4"/>
      <c r="C1159" s="4"/>
      <c r="D1159" s="4"/>
      <c r="E1159" s="8"/>
      <c r="F1159" s="8"/>
      <c r="G1159" s="8"/>
      <c r="H1159" s="9"/>
    </row>
    <row r="1160">
      <c r="A1160" s="4"/>
      <c r="C1160" s="4"/>
      <c r="D1160" s="4"/>
      <c r="E1160" s="8"/>
      <c r="F1160" s="8"/>
      <c r="G1160" s="8"/>
      <c r="H1160" s="9"/>
    </row>
    <row r="1161">
      <c r="A1161" s="4"/>
      <c r="C1161" s="4"/>
      <c r="D1161" s="4"/>
      <c r="E1161" s="8"/>
      <c r="F1161" s="8"/>
      <c r="G1161" s="8"/>
      <c r="H1161" s="9"/>
    </row>
    <row r="1162">
      <c r="A1162" s="4"/>
      <c r="C1162" s="4"/>
      <c r="D1162" s="4"/>
      <c r="E1162" s="8"/>
      <c r="F1162" s="8"/>
      <c r="G1162" s="8"/>
      <c r="H1162" s="9"/>
    </row>
    <row r="1163">
      <c r="A1163" s="4"/>
      <c r="C1163" s="4"/>
      <c r="D1163" s="4"/>
      <c r="E1163" s="8"/>
      <c r="F1163" s="8"/>
      <c r="G1163" s="8"/>
      <c r="H1163" s="9"/>
    </row>
    <row r="1164">
      <c r="A1164" s="4"/>
      <c r="C1164" s="4"/>
      <c r="D1164" s="4"/>
      <c r="E1164" s="8"/>
      <c r="F1164" s="8"/>
      <c r="G1164" s="8"/>
      <c r="H1164" s="9"/>
    </row>
    <row r="1165">
      <c r="A1165" s="4"/>
      <c r="C1165" s="4"/>
      <c r="D1165" s="4"/>
      <c r="E1165" s="8"/>
      <c r="F1165" s="8"/>
      <c r="G1165" s="8"/>
      <c r="H1165" s="9"/>
    </row>
    <row r="1166">
      <c r="A1166" s="4"/>
      <c r="C1166" s="4"/>
      <c r="D1166" s="4"/>
      <c r="E1166" s="8"/>
      <c r="F1166" s="8"/>
      <c r="G1166" s="8"/>
      <c r="H1166" s="9"/>
    </row>
    <row r="1167">
      <c r="A1167" s="4"/>
      <c r="C1167" s="4"/>
      <c r="D1167" s="4"/>
      <c r="E1167" s="8"/>
      <c r="F1167" s="8"/>
      <c r="G1167" s="8"/>
      <c r="H1167" s="9"/>
    </row>
    <row r="1168">
      <c r="A1168" s="4"/>
      <c r="C1168" s="4"/>
      <c r="D1168" s="4"/>
      <c r="E1168" s="8"/>
      <c r="F1168" s="8"/>
      <c r="G1168" s="8"/>
      <c r="H1168" s="9"/>
    </row>
    <row r="1169">
      <c r="A1169" s="4"/>
      <c r="C1169" s="4"/>
      <c r="D1169" s="4"/>
      <c r="E1169" s="8"/>
      <c r="F1169" s="8"/>
      <c r="G1169" s="8"/>
      <c r="H1169" s="9"/>
    </row>
    <row r="1170">
      <c r="A1170" s="4"/>
      <c r="C1170" s="4"/>
      <c r="D1170" s="4"/>
      <c r="E1170" s="8"/>
      <c r="F1170" s="8"/>
      <c r="G1170" s="8"/>
      <c r="H1170" s="9"/>
    </row>
    <row r="1171">
      <c r="A1171" s="4"/>
      <c r="C1171" s="4"/>
      <c r="D1171" s="4"/>
      <c r="E1171" s="8"/>
      <c r="F1171" s="8"/>
      <c r="G1171" s="8"/>
      <c r="H1171" s="9"/>
    </row>
    <row r="1172">
      <c r="A1172" s="4"/>
      <c r="C1172" s="4"/>
      <c r="D1172" s="4"/>
      <c r="E1172" s="8"/>
      <c r="F1172" s="8"/>
      <c r="G1172" s="8"/>
      <c r="H1172" s="9"/>
    </row>
    <row r="1173">
      <c r="A1173" s="4"/>
      <c r="C1173" s="4"/>
      <c r="D1173" s="4"/>
      <c r="E1173" s="8"/>
      <c r="F1173" s="8"/>
      <c r="G1173" s="8"/>
      <c r="H1173" s="9"/>
    </row>
    <row r="1174">
      <c r="A1174" s="4"/>
      <c r="C1174" s="4"/>
      <c r="D1174" s="4"/>
      <c r="E1174" s="8"/>
      <c r="F1174" s="8"/>
      <c r="G1174" s="8"/>
      <c r="H1174" s="9"/>
    </row>
    <row r="1175">
      <c r="A1175" s="4"/>
      <c r="C1175" s="4"/>
      <c r="D1175" s="4"/>
      <c r="E1175" s="8"/>
      <c r="F1175" s="8"/>
      <c r="G1175" s="8"/>
      <c r="H1175" s="9"/>
    </row>
    <row r="1176">
      <c r="A1176" s="4"/>
      <c r="C1176" s="4"/>
      <c r="D1176" s="4"/>
      <c r="E1176" s="8"/>
      <c r="F1176" s="8"/>
      <c r="G1176" s="8"/>
      <c r="H1176" s="9"/>
    </row>
    <row r="1177">
      <c r="A1177" s="4"/>
      <c r="C1177" s="4"/>
      <c r="D1177" s="4"/>
      <c r="E1177" s="8"/>
      <c r="F1177" s="8"/>
      <c r="G1177" s="8"/>
      <c r="H1177" s="9"/>
    </row>
    <row r="1178">
      <c r="A1178" s="4"/>
      <c r="C1178" s="4"/>
      <c r="D1178" s="4"/>
      <c r="E1178" s="8"/>
      <c r="F1178" s="8"/>
      <c r="G1178" s="8"/>
      <c r="H1178" s="9"/>
    </row>
    <row r="1179">
      <c r="A1179" s="4"/>
      <c r="C1179" s="4"/>
      <c r="D1179" s="4"/>
      <c r="E1179" s="8"/>
      <c r="F1179" s="8"/>
      <c r="G1179" s="8"/>
      <c r="H1179" s="9"/>
    </row>
    <row r="1180">
      <c r="A1180" s="4"/>
      <c r="C1180" s="4"/>
      <c r="D1180" s="4"/>
      <c r="E1180" s="8"/>
      <c r="F1180" s="8"/>
      <c r="G1180" s="8"/>
      <c r="H1180" s="9"/>
    </row>
    <row r="1181">
      <c r="A1181" s="4"/>
      <c r="C1181" s="4"/>
      <c r="D1181" s="4"/>
      <c r="E1181" s="8"/>
      <c r="F1181" s="8"/>
      <c r="G1181" s="8"/>
      <c r="H1181" s="9"/>
    </row>
    <row r="1182">
      <c r="A1182" s="4"/>
      <c r="C1182" s="4"/>
      <c r="D1182" s="4"/>
      <c r="E1182" s="8"/>
      <c r="F1182" s="8"/>
      <c r="G1182" s="8"/>
      <c r="H1182" s="9"/>
    </row>
    <row r="1183">
      <c r="A1183" s="4"/>
      <c r="C1183" s="4"/>
      <c r="D1183" s="4"/>
      <c r="E1183" s="8"/>
      <c r="F1183" s="8"/>
      <c r="G1183" s="8"/>
      <c r="H1183" s="9"/>
    </row>
    <row r="1184">
      <c r="A1184" s="4"/>
      <c r="C1184" s="4"/>
      <c r="D1184" s="4"/>
      <c r="E1184" s="8"/>
      <c r="F1184" s="8"/>
      <c r="G1184" s="8"/>
      <c r="H1184" s="9"/>
    </row>
    <row r="1185">
      <c r="A1185" s="4"/>
      <c r="C1185" s="4"/>
      <c r="D1185" s="4"/>
      <c r="E1185" s="8"/>
      <c r="F1185" s="8"/>
      <c r="G1185" s="8"/>
      <c r="H1185" s="9"/>
    </row>
    <row r="1186">
      <c r="A1186" s="4"/>
      <c r="C1186" s="4"/>
      <c r="D1186" s="4"/>
      <c r="E1186" s="8"/>
      <c r="F1186" s="8"/>
      <c r="G1186" s="8"/>
      <c r="H1186" s="9"/>
    </row>
    <row r="1187">
      <c r="A1187" s="4"/>
      <c r="C1187" s="4"/>
      <c r="D1187" s="4"/>
      <c r="E1187" s="8"/>
      <c r="F1187" s="8"/>
      <c r="G1187" s="8"/>
      <c r="H1187" s="9"/>
    </row>
    <row r="1188">
      <c r="A1188" s="4"/>
      <c r="C1188" s="4"/>
      <c r="D1188" s="4"/>
      <c r="E1188" s="8"/>
      <c r="F1188" s="8"/>
      <c r="G1188" s="8"/>
      <c r="H1188" s="9"/>
    </row>
    <row r="1189">
      <c r="A1189" s="4"/>
      <c r="C1189" s="4"/>
      <c r="D1189" s="4"/>
      <c r="E1189" s="8"/>
      <c r="F1189" s="8"/>
      <c r="G1189" s="8"/>
      <c r="H1189" s="9"/>
    </row>
    <row r="1190">
      <c r="A1190" s="4"/>
      <c r="C1190" s="4"/>
      <c r="D1190" s="4"/>
      <c r="E1190" s="8"/>
      <c r="F1190" s="8"/>
      <c r="G1190" s="8"/>
      <c r="H1190" s="9"/>
    </row>
    <row r="1191">
      <c r="A1191" s="4"/>
      <c r="C1191" s="4"/>
      <c r="D1191" s="4"/>
      <c r="E1191" s="8"/>
      <c r="F1191" s="8"/>
      <c r="G1191" s="8"/>
      <c r="H1191" s="9"/>
    </row>
    <row r="1192">
      <c r="A1192" s="4"/>
      <c r="C1192" s="4"/>
      <c r="D1192" s="4"/>
      <c r="E1192" s="8"/>
      <c r="F1192" s="8"/>
      <c r="G1192" s="8"/>
      <c r="H1192" s="9"/>
    </row>
    <row r="1193">
      <c r="A1193" s="4"/>
      <c r="C1193" s="4"/>
      <c r="D1193" s="4"/>
      <c r="E1193" s="8"/>
      <c r="F1193" s="8"/>
      <c r="G1193" s="8"/>
      <c r="H1193" s="9"/>
    </row>
    <row r="1194">
      <c r="A1194" s="4"/>
      <c r="C1194" s="4"/>
      <c r="D1194" s="4"/>
      <c r="E1194" s="8"/>
      <c r="F1194" s="8"/>
      <c r="G1194" s="8"/>
      <c r="H1194" s="9"/>
    </row>
    <row r="1195">
      <c r="A1195" s="4"/>
      <c r="C1195" s="4"/>
      <c r="D1195" s="4"/>
      <c r="E1195" s="8"/>
      <c r="F1195" s="8"/>
      <c r="G1195" s="8"/>
      <c r="H1195" s="9"/>
    </row>
    <row r="1196">
      <c r="A1196" s="4"/>
      <c r="C1196" s="4"/>
      <c r="D1196" s="4"/>
      <c r="E1196" s="8"/>
      <c r="F1196" s="8"/>
      <c r="G1196" s="8"/>
      <c r="H1196" s="9"/>
    </row>
    <row r="1197">
      <c r="A1197" s="4"/>
      <c r="C1197" s="4"/>
      <c r="D1197" s="4"/>
      <c r="E1197" s="8"/>
      <c r="F1197" s="8"/>
      <c r="G1197" s="8"/>
      <c r="H1197" s="9"/>
    </row>
    <row r="1198">
      <c r="A1198" s="4"/>
      <c r="C1198" s="4"/>
      <c r="D1198" s="4"/>
      <c r="E1198" s="8"/>
      <c r="F1198" s="8"/>
      <c r="G1198" s="8"/>
      <c r="H1198" s="9"/>
    </row>
    <row r="1199">
      <c r="A1199" s="4"/>
      <c r="C1199" s="4"/>
      <c r="D1199" s="4"/>
      <c r="E1199" s="8"/>
      <c r="F1199" s="8"/>
      <c r="G1199" s="8"/>
      <c r="H1199" s="9"/>
    </row>
    <row r="1200">
      <c r="A1200" s="4"/>
      <c r="C1200" s="4"/>
      <c r="D1200" s="4"/>
      <c r="E1200" s="8"/>
      <c r="F1200" s="8"/>
      <c r="G1200" s="8"/>
      <c r="H1200" s="9"/>
    </row>
    <row r="1201">
      <c r="A1201" s="4"/>
      <c r="C1201" s="4"/>
      <c r="D1201" s="4"/>
      <c r="E1201" s="8"/>
      <c r="F1201" s="8"/>
      <c r="G1201" s="8"/>
      <c r="H1201" s="9"/>
    </row>
    <row r="1202">
      <c r="A1202" s="4"/>
      <c r="C1202" s="4"/>
      <c r="D1202" s="4"/>
      <c r="E1202" s="8"/>
      <c r="F1202" s="8"/>
      <c r="G1202" s="8"/>
      <c r="H1202" s="9"/>
    </row>
    <row r="1203">
      <c r="A1203" s="4"/>
      <c r="C1203" s="4"/>
      <c r="D1203" s="4"/>
      <c r="E1203" s="8"/>
      <c r="F1203" s="8"/>
      <c r="G1203" s="8"/>
      <c r="H1203" s="9"/>
    </row>
    <row r="1204">
      <c r="A1204" s="4"/>
      <c r="C1204" s="4"/>
      <c r="D1204" s="4"/>
      <c r="E1204" s="8"/>
      <c r="F1204" s="8"/>
      <c r="G1204" s="8"/>
      <c r="H1204" s="9"/>
    </row>
    <row r="1205">
      <c r="A1205" s="4"/>
      <c r="C1205" s="4"/>
      <c r="D1205" s="4"/>
      <c r="E1205" s="8"/>
      <c r="F1205" s="8"/>
      <c r="G1205" s="8"/>
      <c r="H1205" s="9"/>
    </row>
    <row r="1206">
      <c r="A1206" s="4"/>
      <c r="C1206" s="4"/>
      <c r="D1206" s="4"/>
      <c r="E1206" s="8"/>
      <c r="F1206" s="8"/>
      <c r="G1206" s="8"/>
      <c r="H1206" s="9"/>
    </row>
    <row r="1207">
      <c r="A1207" s="4"/>
      <c r="C1207" s="4"/>
      <c r="D1207" s="4"/>
      <c r="E1207" s="8"/>
      <c r="F1207" s="8"/>
      <c r="G1207" s="8"/>
      <c r="H1207" s="9"/>
    </row>
    <row r="1208">
      <c r="A1208" s="4"/>
      <c r="C1208" s="4"/>
      <c r="D1208" s="4"/>
      <c r="E1208" s="8"/>
      <c r="F1208" s="8"/>
      <c r="G1208" s="8"/>
      <c r="H1208" s="9"/>
    </row>
    <row r="1209">
      <c r="A1209" s="4"/>
      <c r="C1209" s="4"/>
      <c r="D1209" s="4"/>
      <c r="E1209" s="8"/>
      <c r="F1209" s="8"/>
      <c r="G1209" s="8"/>
      <c r="H1209" s="9"/>
    </row>
    <row r="1210">
      <c r="A1210" s="4"/>
      <c r="C1210" s="4"/>
      <c r="D1210" s="4"/>
      <c r="E1210" s="8"/>
      <c r="F1210" s="8"/>
      <c r="G1210" s="8"/>
      <c r="H1210" s="9"/>
    </row>
    <row r="1211">
      <c r="A1211" s="4"/>
      <c r="C1211" s="4"/>
      <c r="D1211" s="4"/>
      <c r="E1211" s="8"/>
      <c r="F1211" s="8"/>
      <c r="G1211" s="8"/>
      <c r="H1211" s="9"/>
    </row>
    <row r="1212">
      <c r="A1212" s="4"/>
      <c r="C1212" s="4"/>
      <c r="D1212" s="4"/>
      <c r="E1212" s="8"/>
      <c r="F1212" s="8"/>
      <c r="G1212" s="8"/>
      <c r="H1212" s="9"/>
    </row>
    <row r="1213">
      <c r="A1213" s="4"/>
      <c r="C1213" s="4"/>
      <c r="D1213" s="4"/>
      <c r="E1213" s="8"/>
      <c r="F1213" s="8"/>
      <c r="G1213" s="8"/>
      <c r="H1213" s="9"/>
    </row>
    <row r="1214">
      <c r="A1214" s="4"/>
      <c r="C1214" s="4"/>
      <c r="D1214" s="4"/>
      <c r="E1214" s="8"/>
      <c r="F1214" s="8"/>
      <c r="G1214" s="8"/>
      <c r="H1214" s="9"/>
    </row>
    <row r="1215">
      <c r="A1215" s="4"/>
      <c r="C1215" s="4"/>
      <c r="D1215" s="4"/>
      <c r="E1215" s="8"/>
      <c r="F1215" s="8"/>
      <c r="G1215" s="8"/>
      <c r="H1215" s="9"/>
    </row>
    <row r="1216">
      <c r="A1216" s="4"/>
      <c r="C1216" s="4"/>
      <c r="D1216" s="4"/>
      <c r="E1216" s="8"/>
      <c r="F1216" s="8"/>
      <c r="G1216" s="8"/>
      <c r="H1216" s="9"/>
    </row>
    <row r="1217">
      <c r="A1217" s="4"/>
      <c r="C1217" s="4"/>
      <c r="D1217" s="4"/>
      <c r="E1217" s="8"/>
      <c r="F1217" s="8"/>
      <c r="G1217" s="8"/>
      <c r="H1217" s="9"/>
    </row>
    <row r="1218">
      <c r="A1218" s="4"/>
      <c r="C1218" s="4"/>
      <c r="D1218" s="4"/>
      <c r="E1218" s="8"/>
      <c r="F1218" s="8"/>
      <c r="G1218" s="8"/>
      <c r="H1218" s="9"/>
    </row>
    <row r="1219">
      <c r="A1219" s="4"/>
      <c r="C1219" s="4"/>
      <c r="D1219" s="4"/>
      <c r="E1219" s="8"/>
      <c r="F1219" s="8"/>
      <c r="G1219" s="8"/>
      <c r="H1219" s="9"/>
    </row>
    <row r="1220">
      <c r="A1220" s="4"/>
      <c r="C1220" s="4"/>
      <c r="D1220" s="4"/>
      <c r="E1220" s="8"/>
      <c r="F1220" s="8"/>
      <c r="G1220" s="8"/>
      <c r="H1220" s="9"/>
    </row>
    <row r="1221">
      <c r="A1221" s="4"/>
      <c r="C1221" s="4"/>
      <c r="D1221" s="4"/>
      <c r="E1221" s="8"/>
      <c r="F1221" s="8"/>
      <c r="G1221" s="8"/>
      <c r="H1221" s="9"/>
    </row>
    <row r="1222">
      <c r="A1222" s="4"/>
      <c r="C1222" s="4"/>
      <c r="D1222" s="4"/>
      <c r="E1222" s="8"/>
      <c r="F1222" s="8"/>
      <c r="G1222" s="8"/>
      <c r="H1222" s="9"/>
    </row>
    <row r="1223">
      <c r="A1223" s="4"/>
      <c r="C1223" s="4"/>
      <c r="D1223" s="4"/>
      <c r="E1223" s="8"/>
      <c r="F1223" s="8"/>
      <c r="G1223" s="8"/>
      <c r="H1223" s="9"/>
    </row>
    <row r="1224">
      <c r="A1224" s="4"/>
      <c r="C1224" s="4"/>
      <c r="D1224" s="4"/>
      <c r="E1224" s="8"/>
      <c r="F1224" s="8"/>
      <c r="G1224" s="8"/>
      <c r="H1224" s="9"/>
    </row>
    <row r="1225">
      <c r="A1225" s="4"/>
      <c r="C1225" s="4"/>
      <c r="D1225" s="4"/>
      <c r="E1225" s="8"/>
      <c r="F1225" s="8"/>
      <c r="G1225" s="8"/>
      <c r="H1225" s="9"/>
    </row>
    <row r="1226">
      <c r="A1226" s="4"/>
      <c r="C1226" s="4"/>
      <c r="D1226" s="4"/>
      <c r="E1226" s="8"/>
      <c r="F1226" s="8"/>
      <c r="G1226" s="8"/>
      <c r="H1226" s="9"/>
    </row>
    <row r="1227">
      <c r="A1227" s="4"/>
      <c r="C1227" s="4"/>
      <c r="D1227" s="4"/>
      <c r="E1227" s="8"/>
      <c r="F1227" s="8"/>
      <c r="G1227" s="8"/>
      <c r="H1227" s="9"/>
    </row>
    <row r="1228">
      <c r="A1228" s="4"/>
      <c r="C1228" s="4"/>
      <c r="D1228" s="4"/>
      <c r="E1228" s="8"/>
      <c r="F1228" s="8"/>
      <c r="G1228" s="8"/>
      <c r="H1228" s="9"/>
    </row>
    <row r="1229">
      <c r="A1229" s="4"/>
      <c r="C1229" s="4"/>
      <c r="D1229" s="4"/>
      <c r="E1229" s="8"/>
      <c r="F1229" s="8"/>
      <c r="G1229" s="8"/>
      <c r="H1229" s="9"/>
    </row>
    <row r="1230">
      <c r="A1230" s="4"/>
      <c r="C1230" s="4"/>
      <c r="D1230" s="4"/>
      <c r="E1230" s="8"/>
      <c r="F1230" s="8"/>
      <c r="G1230" s="8"/>
      <c r="H1230" s="9"/>
    </row>
    <row r="1231">
      <c r="A1231" s="4"/>
      <c r="C1231" s="4"/>
      <c r="D1231" s="4"/>
      <c r="E1231" s="8"/>
      <c r="F1231" s="8"/>
      <c r="G1231" s="8"/>
      <c r="H1231" s="9"/>
    </row>
    <row r="1232">
      <c r="A1232" s="4"/>
      <c r="C1232" s="4"/>
      <c r="D1232" s="4"/>
      <c r="E1232" s="8"/>
      <c r="F1232" s="8"/>
      <c r="G1232" s="8"/>
      <c r="H1232" s="9"/>
    </row>
    <row r="1233">
      <c r="A1233" s="4"/>
      <c r="C1233" s="4"/>
      <c r="D1233" s="4"/>
      <c r="E1233" s="8"/>
      <c r="F1233" s="8"/>
      <c r="G1233" s="8"/>
      <c r="H1233" s="9"/>
    </row>
    <row r="1234">
      <c r="A1234" s="4"/>
      <c r="C1234" s="4"/>
      <c r="D1234" s="4"/>
      <c r="E1234" s="8"/>
      <c r="F1234" s="8"/>
      <c r="G1234" s="8"/>
      <c r="H1234" s="9"/>
    </row>
    <row r="1235">
      <c r="A1235" s="4"/>
      <c r="C1235" s="4"/>
      <c r="D1235" s="4"/>
      <c r="E1235" s="8"/>
      <c r="F1235" s="8"/>
      <c r="G1235" s="8"/>
      <c r="H1235" s="9"/>
    </row>
    <row r="1236">
      <c r="A1236" s="4"/>
      <c r="C1236" s="4"/>
      <c r="D1236" s="4"/>
      <c r="E1236" s="8"/>
      <c r="F1236" s="8"/>
      <c r="G1236" s="8"/>
      <c r="H1236" s="9"/>
    </row>
    <row r="1237">
      <c r="A1237" s="4"/>
      <c r="C1237" s="4"/>
      <c r="D1237" s="4"/>
      <c r="E1237" s="8"/>
      <c r="F1237" s="8"/>
      <c r="G1237" s="8"/>
      <c r="H1237" s="9"/>
    </row>
    <row r="1238">
      <c r="A1238" s="4"/>
      <c r="C1238" s="4"/>
      <c r="D1238" s="4"/>
      <c r="E1238" s="8"/>
      <c r="F1238" s="8"/>
      <c r="G1238" s="8"/>
      <c r="H1238" s="9"/>
    </row>
    <row r="1239">
      <c r="A1239" s="4"/>
      <c r="C1239" s="4"/>
      <c r="D1239" s="4"/>
      <c r="E1239" s="8"/>
      <c r="F1239" s="8"/>
      <c r="G1239" s="8"/>
      <c r="H1239" s="9"/>
    </row>
    <row r="1240">
      <c r="A1240" s="4"/>
      <c r="C1240" s="4"/>
      <c r="D1240" s="4"/>
      <c r="E1240" s="8"/>
      <c r="F1240" s="8"/>
      <c r="G1240" s="8"/>
      <c r="H1240" s="9"/>
    </row>
    <row r="1241">
      <c r="A1241" s="4"/>
      <c r="C1241" s="4"/>
      <c r="D1241" s="4"/>
      <c r="E1241" s="8"/>
      <c r="F1241" s="8"/>
      <c r="G1241" s="8"/>
      <c r="H1241" s="9"/>
    </row>
    <row r="1242">
      <c r="A1242" s="4"/>
      <c r="C1242" s="4"/>
      <c r="D1242" s="4"/>
      <c r="E1242" s="8"/>
      <c r="F1242" s="8"/>
      <c r="G1242" s="8"/>
      <c r="H1242" s="9"/>
    </row>
    <row r="1243">
      <c r="A1243" s="4"/>
      <c r="C1243" s="4"/>
      <c r="D1243" s="4"/>
      <c r="E1243" s="8"/>
      <c r="F1243" s="8"/>
      <c r="G1243" s="8"/>
      <c r="H1243" s="9"/>
    </row>
    <row r="1244">
      <c r="A1244" s="4"/>
      <c r="C1244" s="4"/>
      <c r="D1244" s="4"/>
      <c r="E1244" s="8"/>
      <c r="F1244" s="8"/>
      <c r="G1244" s="8"/>
      <c r="H1244" s="9"/>
    </row>
    <row r="1245">
      <c r="A1245" s="4"/>
      <c r="C1245" s="4"/>
      <c r="D1245" s="4"/>
      <c r="E1245" s="8"/>
      <c r="F1245" s="8"/>
      <c r="G1245" s="8"/>
      <c r="H1245" s="9"/>
    </row>
    <row r="1246">
      <c r="A1246" s="4"/>
      <c r="C1246" s="4"/>
      <c r="D1246" s="4"/>
      <c r="E1246" s="8"/>
      <c r="F1246" s="8"/>
      <c r="G1246" s="8"/>
      <c r="H1246" s="9"/>
    </row>
    <row r="1247">
      <c r="A1247" s="4"/>
      <c r="C1247" s="4"/>
      <c r="D1247" s="4"/>
      <c r="E1247" s="8"/>
      <c r="F1247" s="8"/>
      <c r="G1247" s="8"/>
      <c r="H1247" s="9"/>
    </row>
    <row r="1248">
      <c r="A1248" s="4"/>
      <c r="C1248" s="4"/>
      <c r="D1248" s="4"/>
      <c r="E1248" s="8"/>
      <c r="F1248" s="8"/>
      <c r="G1248" s="8"/>
      <c r="H1248" s="9"/>
    </row>
    <row r="1249">
      <c r="A1249" s="4"/>
      <c r="C1249" s="4"/>
      <c r="D1249" s="4"/>
      <c r="E1249" s="8"/>
      <c r="F1249" s="8"/>
      <c r="G1249" s="8"/>
      <c r="H1249" s="9"/>
    </row>
    <row r="1250">
      <c r="A1250" s="4"/>
      <c r="C1250" s="4"/>
      <c r="D1250" s="4"/>
      <c r="E1250" s="8"/>
      <c r="F1250" s="8"/>
      <c r="G1250" s="8"/>
      <c r="H1250" s="9"/>
    </row>
    <row r="1251">
      <c r="A1251" s="4"/>
      <c r="C1251" s="4"/>
      <c r="D1251" s="4"/>
      <c r="E1251" s="8"/>
      <c r="F1251" s="8"/>
      <c r="G1251" s="8"/>
      <c r="H1251" s="9"/>
    </row>
    <row r="1252">
      <c r="A1252" s="4"/>
      <c r="C1252" s="4"/>
      <c r="D1252" s="4"/>
      <c r="E1252" s="8"/>
      <c r="F1252" s="8"/>
      <c r="G1252" s="8"/>
      <c r="H1252" s="9"/>
    </row>
    <row r="1253">
      <c r="A1253" s="4"/>
      <c r="C1253" s="4"/>
      <c r="D1253" s="4"/>
      <c r="E1253" s="8"/>
      <c r="F1253" s="8"/>
      <c r="G1253" s="8"/>
      <c r="H1253" s="9"/>
    </row>
    <row r="1254">
      <c r="A1254" s="4"/>
      <c r="C1254" s="4"/>
      <c r="D1254" s="4"/>
      <c r="E1254" s="8"/>
      <c r="F1254" s="8"/>
      <c r="G1254" s="8"/>
      <c r="H1254" s="9"/>
    </row>
    <row r="1255">
      <c r="A1255" s="4"/>
      <c r="C1255" s="4"/>
      <c r="D1255" s="4"/>
      <c r="E1255" s="8"/>
      <c r="F1255" s="8"/>
      <c r="G1255" s="8"/>
      <c r="H1255" s="9"/>
    </row>
    <row r="1256">
      <c r="A1256" s="4"/>
      <c r="C1256" s="4"/>
      <c r="D1256" s="4"/>
      <c r="E1256" s="8"/>
      <c r="F1256" s="8"/>
      <c r="G1256" s="8"/>
      <c r="H1256" s="9"/>
    </row>
    <row r="1257">
      <c r="A1257" s="4"/>
      <c r="C1257" s="4"/>
      <c r="D1257" s="4"/>
      <c r="E1257" s="8"/>
      <c r="F1257" s="8"/>
      <c r="G1257" s="8"/>
      <c r="H1257" s="9"/>
    </row>
    <row r="1258">
      <c r="A1258" s="4"/>
      <c r="C1258" s="4"/>
      <c r="D1258" s="4"/>
      <c r="E1258" s="8"/>
      <c r="F1258" s="8"/>
      <c r="G1258" s="8"/>
      <c r="H1258" s="9"/>
    </row>
    <row r="1259">
      <c r="A1259" s="4"/>
      <c r="C1259" s="4"/>
      <c r="D1259" s="4"/>
      <c r="E1259" s="8"/>
      <c r="F1259" s="8"/>
      <c r="G1259" s="8"/>
      <c r="H1259" s="9"/>
    </row>
    <row r="1260">
      <c r="A1260" s="4"/>
      <c r="C1260" s="4"/>
      <c r="D1260" s="4"/>
      <c r="E1260" s="8"/>
      <c r="F1260" s="8"/>
      <c r="G1260" s="8"/>
      <c r="H1260" s="9"/>
    </row>
    <row r="1261">
      <c r="A1261" s="4"/>
      <c r="C1261" s="4"/>
      <c r="D1261" s="4"/>
      <c r="E1261" s="8"/>
      <c r="F1261" s="8"/>
      <c r="G1261" s="8"/>
      <c r="H1261" s="9"/>
    </row>
    <row r="1262">
      <c r="A1262" s="4"/>
      <c r="C1262" s="4"/>
      <c r="D1262" s="4"/>
      <c r="E1262" s="8"/>
      <c r="F1262" s="8"/>
      <c r="G1262" s="8"/>
      <c r="H1262" s="9"/>
    </row>
    <row r="1263">
      <c r="A1263" s="4"/>
      <c r="C1263" s="4"/>
      <c r="D1263" s="4"/>
      <c r="E1263" s="8"/>
      <c r="F1263" s="8"/>
      <c r="G1263" s="8"/>
      <c r="H1263" s="9"/>
    </row>
    <row r="1264">
      <c r="A1264" s="4"/>
      <c r="C1264" s="4"/>
      <c r="D1264" s="4"/>
      <c r="E1264" s="8"/>
      <c r="F1264" s="8"/>
      <c r="G1264" s="8"/>
      <c r="H1264" s="9"/>
    </row>
    <row r="1265">
      <c r="A1265" s="4"/>
      <c r="C1265" s="4"/>
      <c r="D1265" s="4"/>
      <c r="E1265" s="8"/>
      <c r="F1265" s="8"/>
      <c r="G1265" s="8"/>
      <c r="H1265" s="9"/>
    </row>
    <row r="1266">
      <c r="A1266" s="4"/>
      <c r="C1266" s="4"/>
      <c r="D1266" s="4"/>
      <c r="E1266" s="8"/>
      <c r="F1266" s="8"/>
      <c r="G1266" s="8"/>
      <c r="H1266" s="9"/>
    </row>
    <row r="1267">
      <c r="A1267" s="4"/>
      <c r="C1267" s="4"/>
      <c r="D1267" s="4"/>
      <c r="E1267" s="8"/>
      <c r="F1267" s="8"/>
      <c r="G1267" s="8"/>
      <c r="H1267" s="9"/>
    </row>
    <row r="1268">
      <c r="A1268" s="4"/>
      <c r="C1268" s="4"/>
      <c r="D1268" s="4"/>
      <c r="E1268" s="8"/>
      <c r="F1268" s="8"/>
      <c r="G1268" s="8"/>
      <c r="H1268" s="9"/>
    </row>
    <row r="1269">
      <c r="A1269" s="4"/>
      <c r="C1269" s="4"/>
      <c r="D1269" s="4"/>
      <c r="E1269" s="8"/>
      <c r="F1269" s="8"/>
      <c r="G1269" s="8"/>
      <c r="H1269" s="9"/>
    </row>
    <row r="1270">
      <c r="A1270" s="4"/>
      <c r="C1270" s="4"/>
      <c r="D1270" s="4"/>
      <c r="E1270" s="8"/>
      <c r="F1270" s="8"/>
      <c r="G1270" s="8"/>
      <c r="H1270" s="9"/>
    </row>
    <row r="1271">
      <c r="A1271" s="4"/>
      <c r="C1271" s="4"/>
      <c r="D1271" s="4"/>
      <c r="E1271" s="8"/>
      <c r="F1271" s="8"/>
      <c r="G1271" s="8"/>
      <c r="H1271" s="9"/>
    </row>
    <row r="1272">
      <c r="A1272" s="4"/>
      <c r="C1272" s="4"/>
      <c r="D1272" s="4"/>
      <c r="E1272" s="8"/>
      <c r="F1272" s="8"/>
      <c r="G1272" s="8"/>
      <c r="H1272" s="9"/>
    </row>
    <row r="1273">
      <c r="A1273" s="4"/>
      <c r="C1273" s="4"/>
      <c r="D1273" s="4"/>
      <c r="E1273" s="8"/>
      <c r="F1273" s="8"/>
      <c r="G1273" s="8"/>
      <c r="H1273" s="9"/>
    </row>
    <row r="1274">
      <c r="A1274" s="4"/>
      <c r="C1274" s="4"/>
      <c r="D1274" s="4"/>
      <c r="E1274" s="8"/>
      <c r="F1274" s="8"/>
      <c r="G1274" s="8"/>
      <c r="H1274" s="9"/>
    </row>
    <row r="1275">
      <c r="A1275" s="4"/>
      <c r="C1275" s="4"/>
      <c r="D1275" s="4"/>
      <c r="E1275" s="8"/>
      <c r="F1275" s="8"/>
      <c r="G1275" s="8"/>
      <c r="H1275" s="9"/>
    </row>
    <row r="1276">
      <c r="A1276" s="4"/>
      <c r="C1276" s="4"/>
      <c r="D1276" s="4"/>
      <c r="E1276" s="8"/>
      <c r="F1276" s="8"/>
      <c r="G1276" s="8"/>
      <c r="H1276" s="9"/>
    </row>
    <row r="1277">
      <c r="A1277" s="4"/>
      <c r="C1277" s="4"/>
      <c r="D1277" s="4"/>
      <c r="E1277" s="8"/>
      <c r="F1277" s="8"/>
      <c r="G1277" s="8"/>
      <c r="H1277" s="9"/>
    </row>
    <row r="1278">
      <c r="A1278" s="4"/>
      <c r="C1278" s="4"/>
      <c r="D1278" s="4"/>
      <c r="E1278" s="8"/>
      <c r="F1278" s="8"/>
      <c r="G1278" s="8"/>
      <c r="H1278" s="9"/>
    </row>
    <row r="1279">
      <c r="A1279" s="4"/>
      <c r="C1279" s="4"/>
      <c r="D1279" s="4"/>
      <c r="E1279" s="8"/>
      <c r="F1279" s="8"/>
      <c r="G1279" s="8"/>
      <c r="H1279" s="9"/>
    </row>
    <row r="1280">
      <c r="A1280" s="4"/>
      <c r="C1280" s="4"/>
      <c r="D1280" s="4"/>
      <c r="E1280" s="8"/>
      <c r="F1280" s="8"/>
      <c r="G1280" s="8"/>
      <c r="H1280" s="9"/>
    </row>
    <row r="1281">
      <c r="A1281" s="4"/>
      <c r="C1281" s="4"/>
      <c r="D1281" s="4"/>
      <c r="E1281" s="8"/>
      <c r="F1281" s="8"/>
      <c r="G1281" s="8"/>
      <c r="H1281" s="9"/>
    </row>
    <row r="1282">
      <c r="A1282" s="4"/>
      <c r="C1282" s="4"/>
      <c r="D1282" s="4"/>
      <c r="E1282" s="8"/>
      <c r="F1282" s="8"/>
      <c r="G1282" s="8"/>
      <c r="H1282" s="9"/>
    </row>
    <row r="1283">
      <c r="A1283" s="4"/>
      <c r="C1283" s="4"/>
      <c r="D1283" s="4"/>
      <c r="E1283" s="8"/>
      <c r="F1283" s="8"/>
      <c r="G1283" s="8"/>
      <c r="H1283" s="9"/>
    </row>
    <row r="1284">
      <c r="A1284" s="4"/>
      <c r="C1284" s="4"/>
      <c r="D1284" s="4"/>
      <c r="E1284" s="8"/>
      <c r="F1284" s="8"/>
      <c r="G1284" s="8"/>
      <c r="H1284" s="9"/>
    </row>
    <row r="1285">
      <c r="A1285" s="4"/>
      <c r="C1285" s="4"/>
      <c r="D1285" s="4"/>
      <c r="E1285" s="8"/>
      <c r="F1285" s="8"/>
      <c r="G1285" s="8"/>
      <c r="H1285" s="9"/>
    </row>
    <row r="1286">
      <c r="A1286" s="4"/>
      <c r="C1286" s="4"/>
      <c r="D1286" s="4"/>
      <c r="E1286" s="8"/>
      <c r="F1286" s="8"/>
      <c r="G1286" s="8"/>
      <c r="H1286" s="9"/>
    </row>
    <row r="1287">
      <c r="A1287" s="4"/>
      <c r="C1287" s="4"/>
      <c r="D1287" s="4"/>
      <c r="E1287" s="8"/>
      <c r="F1287" s="8"/>
      <c r="G1287" s="8"/>
      <c r="H1287" s="9"/>
    </row>
    <row r="1288">
      <c r="A1288" s="4"/>
      <c r="C1288" s="4"/>
      <c r="D1288" s="4"/>
      <c r="E1288" s="8"/>
      <c r="F1288" s="8"/>
      <c r="G1288" s="8"/>
      <c r="H1288" s="9"/>
    </row>
    <row r="1289">
      <c r="A1289" s="4"/>
      <c r="C1289" s="4"/>
      <c r="D1289" s="4"/>
      <c r="E1289" s="8"/>
      <c r="F1289" s="8"/>
      <c r="G1289" s="8"/>
      <c r="H1289" s="9"/>
    </row>
    <row r="1290">
      <c r="A1290" s="4"/>
      <c r="C1290" s="4"/>
      <c r="D1290" s="4"/>
      <c r="E1290" s="8"/>
      <c r="F1290" s="8"/>
      <c r="G1290" s="8"/>
      <c r="H1290" s="9"/>
    </row>
    <row r="1291">
      <c r="A1291" s="4"/>
      <c r="C1291" s="4"/>
      <c r="D1291" s="4"/>
      <c r="E1291" s="8"/>
      <c r="F1291" s="8"/>
      <c r="G1291" s="8"/>
      <c r="H1291" s="9"/>
    </row>
    <row r="1292">
      <c r="A1292" s="4"/>
      <c r="C1292" s="4"/>
      <c r="D1292" s="4"/>
      <c r="E1292" s="8"/>
      <c r="F1292" s="8"/>
      <c r="G1292" s="8"/>
      <c r="H1292" s="9"/>
    </row>
    <row r="1293">
      <c r="A1293" s="4"/>
      <c r="C1293" s="4"/>
      <c r="D1293" s="4"/>
      <c r="E1293" s="8"/>
      <c r="F1293" s="8"/>
      <c r="G1293" s="8"/>
      <c r="H1293" s="9"/>
    </row>
    <row r="1294">
      <c r="A1294" s="4"/>
      <c r="C1294" s="4"/>
      <c r="D1294" s="4"/>
      <c r="E1294" s="8"/>
      <c r="F1294" s="8"/>
      <c r="G1294" s="8"/>
      <c r="H1294" s="9"/>
    </row>
    <row r="1295">
      <c r="A1295" s="4"/>
      <c r="C1295" s="4"/>
      <c r="D1295" s="4"/>
      <c r="E1295" s="8"/>
      <c r="F1295" s="8"/>
      <c r="G1295" s="8"/>
      <c r="H1295" s="9"/>
    </row>
    <row r="1296">
      <c r="A1296" s="4"/>
      <c r="C1296" s="4"/>
      <c r="D1296" s="4"/>
      <c r="E1296" s="8"/>
      <c r="F1296" s="8"/>
      <c r="G1296" s="8"/>
      <c r="H1296" s="9"/>
    </row>
    <row r="1297">
      <c r="A1297" s="4"/>
      <c r="C1297" s="4"/>
      <c r="D1297" s="4"/>
      <c r="E1297" s="8"/>
      <c r="F1297" s="8"/>
      <c r="G1297" s="8"/>
      <c r="H1297" s="9"/>
    </row>
    <row r="1298">
      <c r="A1298" s="4"/>
      <c r="C1298" s="4"/>
      <c r="D1298" s="4"/>
      <c r="E1298" s="8"/>
      <c r="F1298" s="8"/>
      <c r="G1298" s="8"/>
      <c r="H1298" s="9"/>
    </row>
    <row r="1299">
      <c r="A1299" s="4"/>
      <c r="C1299" s="4"/>
      <c r="D1299" s="4"/>
      <c r="E1299" s="8"/>
      <c r="F1299" s="8"/>
      <c r="G1299" s="8"/>
      <c r="H1299" s="9"/>
    </row>
    <row r="1300">
      <c r="A1300" s="4"/>
      <c r="C1300" s="4"/>
      <c r="D1300" s="4"/>
      <c r="E1300" s="8"/>
      <c r="F1300" s="8"/>
      <c r="G1300" s="8"/>
      <c r="H1300" s="9"/>
    </row>
    <row r="1301">
      <c r="A1301" s="4"/>
      <c r="C1301" s="4"/>
      <c r="D1301" s="4"/>
      <c r="E1301" s="8"/>
      <c r="F1301" s="8"/>
      <c r="G1301" s="8"/>
      <c r="H1301" s="9"/>
    </row>
    <row r="1302">
      <c r="A1302" s="4"/>
      <c r="C1302" s="4"/>
      <c r="D1302" s="4"/>
      <c r="E1302" s="8"/>
      <c r="F1302" s="8"/>
      <c r="G1302" s="8"/>
      <c r="H1302" s="9"/>
    </row>
    <row r="1303">
      <c r="A1303" s="4"/>
      <c r="C1303" s="4"/>
      <c r="D1303" s="4"/>
      <c r="E1303" s="8"/>
      <c r="F1303" s="8"/>
      <c r="G1303" s="8"/>
      <c r="H1303" s="9"/>
    </row>
    <row r="1304">
      <c r="A1304" s="4"/>
      <c r="C1304" s="4"/>
      <c r="D1304" s="4"/>
      <c r="E1304" s="8"/>
      <c r="F1304" s="8"/>
      <c r="G1304" s="8"/>
      <c r="H1304" s="9"/>
    </row>
    <row r="1305">
      <c r="A1305" s="4"/>
      <c r="C1305" s="4"/>
      <c r="D1305" s="4"/>
      <c r="E1305" s="8"/>
      <c r="F1305" s="8"/>
      <c r="G1305" s="8"/>
      <c r="H1305" s="9"/>
    </row>
    <row r="1306">
      <c r="A1306" s="4"/>
      <c r="C1306" s="4"/>
      <c r="D1306" s="4"/>
      <c r="E1306" s="8"/>
      <c r="F1306" s="8"/>
      <c r="G1306" s="8"/>
      <c r="H1306" s="9"/>
    </row>
    <row r="1307">
      <c r="A1307" s="4"/>
      <c r="C1307" s="4"/>
      <c r="D1307" s="4"/>
      <c r="E1307" s="8"/>
      <c r="F1307" s="8"/>
      <c r="G1307" s="8"/>
      <c r="H1307" s="9"/>
    </row>
    <row r="1308">
      <c r="A1308" s="4"/>
      <c r="C1308" s="4"/>
      <c r="D1308" s="4"/>
      <c r="E1308" s="8"/>
      <c r="F1308" s="8"/>
      <c r="G1308" s="8"/>
      <c r="H1308" s="9"/>
    </row>
    <row r="1309">
      <c r="A1309" s="4"/>
      <c r="C1309" s="4"/>
      <c r="D1309" s="4"/>
      <c r="E1309" s="8"/>
      <c r="F1309" s="8"/>
      <c r="G1309" s="8"/>
      <c r="H1309" s="9"/>
    </row>
    <row r="1310">
      <c r="A1310" s="4"/>
      <c r="C1310" s="4"/>
      <c r="D1310" s="4"/>
      <c r="E1310" s="8"/>
      <c r="F1310" s="8"/>
      <c r="G1310" s="8"/>
      <c r="H1310" s="9"/>
    </row>
    <row r="1311">
      <c r="A1311" s="4"/>
      <c r="C1311" s="4"/>
      <c r="D1311" s="4"/>
      <c r="E1311" s="8"/>
      <c r="F1311" s="8"/>
      <c r="G1311" s="8"/>
      <c r="H1311" s="9"/>
    </row>
    <row r="1312">
      <c r="A1312" s="4"/>
      <c r="C1312" s="4"/>
      <c r="D1312" s="4"/>
      <c r="E1312" s="8"/>
      <c r="F1312" s="8"/>
      <c r="G1312" s="8"/>
      <c r="H1312" s="9"/>
    </row>
    <row r="1313">
      <c r="A1313" s="4"/>
      <c r="C1313" s="4"/>
      <c r="D1313" s="4"/>
      <c r="E1313" s="8"/>
      <c r="F1313" s="8"/>
      <c r="G1313" s="8"/>
      <c r="H1313" s="9"/>
    </row>
    <row r="1314">
      <c r="A1314" s="4"/>
      <c r="C1314" s="4"/>
      <c r="D1314" s="4"/>
      <c r="E1314" s="8"/>
      <c r="F1314" s="8"/>
      <c r="G1314" s="8"/>
      <c r="H1314" s="9"/>
    </row>
    <row r="1315">
      <c r="A1315" s="4"/>
      <c r="C1315" s="4"/>
      <c r="D1315" s="4"/>
      <c r="E1315" s="8"/>
      <c r="F1315" s="8"/>
      <c r="G1315" s="8"/>
      <c r="H1315" s="9"/>
    </row>
    <row r="1316">
      <c r="A1316" s="4"/>
      <c r="C1316" s="4"/>
      <c r="D1316" s="4"/>
      <c r="E1316" s="8"/>
      <c r="F1316" s="8"/>
      <c r="G1316" s="8"/>
      <c r="H1316" s="9"/>
    </row>
    <row r="1317">
      <c r="A1317" s="4"/>
      <c r="C1317" s="4"/>
      <c r="D1317" s="4"/>
      <c r="E1317" s="8"/>
      <c r="F1317" s="8"/>
      <c r="G1317" s="8"/>
      <c r="H1317" s="9"/>
    </row>
    <row r="1318">
      <c r="A1318" s="4"/>
      <c r="C1318" s="4"/>
      <c r="D1318" s="4"/>
      <c r="E1318" s="8"/>
      <c r="F1318" s="8"/>
      <c r="G1318" s="8"/>
      <c r="H1318" s="9"/>
    </row>
    <row r="1319">
      <c r="A1319" s="4"/>
      <c r="C1319" s="4"/>
      <c r="D1319" s="4"/>
      <c r="E1319" s="8"/>
      <c r="F1319" s="8"/>
      <c r="G1319" s="8"/>
      <c r="H1319" s="9"/>
    </row>
    <row r="1320">
      <c r="A1320" s="4"/>
      <c r="C1320" s="4"/>
      <c r="D1320" s="4"/>
      <c r="E1320" s="8"/>
      <c r="F1320" s="8"/>
      <c r="G1320" s="8"/>
      <c r="H1320" s="9"/>
    </row>
    <row r="1321">
      <c r="A1321" s="4"/>
      <c r="C1321" s="4"/>
      <c r="D1321" s="4"/>
      <c r="E1321" s="8"/>
      <c r="F1321" s="8"/>
      <c r="G1321" s="8"/>
      <c r="H1321" s="9"/>
    </row>
    <row r="1322">
      <c r="A1322" s="4"/>
      <c r="C1322" s="4"/>
      <c r="D1322" s="4"/>
      <c r="E1322" s="8"/>
      <c r="F1322" s="8"/>
      <c r="G1322" s="8"/>
      <c r="H1322" s="9"/>
    </row>
    <row r="1323">
      <c r="A1323" s="4"/>
      <c r="C1323" s="4"/>
      <c r="D1323" s="4"/>
      <c r="E1323" s="8"/>
      <c r="F1323" s="8"/>
      <c r="G1323" s="8"/>
      <c r="H1323" s="9"/>
    </row>
    <row r="1324">
      <c r="A1324" s="4"/>
      <c r="C1324" s="4"/>
      <c r="D1324" s="4"/>
      <c r="E1324" s="8"/>
      <c r="F1324" s="8"/>
      <c r="G1324" s="8"/>
      <c r="H1324" s="9"/>
    </row>
    <row r="1325">
      <c r="A1325" s="4"/>
      <c r="C1325" s="4"/>
      <c r="D1325" s="4"/>
      <c r="E1325" s="8"/>
      <c r="F1325" s="8"/>
      <c r="G1325" s="8"/>
      <c r="H1325" s="9"/>
    </row>
    <row r="1326">
      <c r="A1326" s="4"/>
      <c r="C1326" s="4"/>
      <c r="D1326" s="4"/>
      <c r="E1326" s="8"/>
      <c r="F1326" s="8"/>
      <c r="G1326" s="8"/>
      <c r="H1326" s="9"/>
    </row>
    <row r="1327">
      <c r="A1327" s="4"/>
      <c r="C1327" s="4"/>
      <c r="D1327" s="4"/>
      <c r="E1327" s="8"/>
      <c r="F1327" s="8"/>
      <c r="G1327" s="8"/>
      <c r="H1327" s="9"/>
    </row>
    <row r="1328">
      <c r="A1328" s="4"/>
      <c r="C1328" s="4"/>
      <c r="D1328" s="4"/>
      <c r="E1328" s="8"/>
      <c r="F1328" s="8"/>
      <c r="G1328" s="8"/>
      <c r="H1328" s="9"/>
    </row>
    <row r="1329">
      <c r="A1329" s="4"/>
      <c r="C1329" s="4"/>
      <c r="D1329" s="4"/>
      <c r="E1329" s="8"/>
      <c r="F1329" s="8"/>
      <c r="G1329" s="8"/>
      <c r="H1329" s="9"/>
    </row>
    <row r="1330">
      <c r="A1330" s="4"/>
      <c r="C1330" s="4"/>
      <c r="D1330" s="4"/>
      <c r="E1330" s="8"/>
      <c r="F1330" s="8"/>
      <c r="G1330" s="8"/>
      <c r="H1330" s="9"/>
    </row>
    <row r="1331">
      <c r="A1331" s="4"/>
      <c r="C1331" s="4"/>
      <c r="D1331" s="4"/>
      <c r="E1331" s="8"/>
      <c r="F1331" s="8"/>
      <c r="G1331" s="8"/>
      <c r="H1331" s="9"/>
    </row>
    <row r="1332">
      <c r="A1332" s="4"/>
      <c r="C1332" s="4"/>
      <c r="D1332" s="4"/>
      <c r="E1332" s="8"/>
      <c r="F1332" s="8"/>
      <c r="G1332" s="8"/>
      <c r="H1332" s="9"/>
    </row>
    <row r="1333">
      <c r="A1333" s="4"/>
      <c r="C1333" s="4"/>
      <c r="D1333" s="4"/>
      <c r="E1333" s="8"/>
      <c r="F1333" s="8"/>
      <c r="G1333" s="8"/>
      <c r="H1333" s="9"/>
    </row>
    <row r="1334">
      <c r="A1334" s="4"/>
      <c r="C1334" s="4"/>
      <c r="D1334" s="4"/>
      <c r="E1334" s="8"/>
      <c r="F1334" s="8"/>
      <c r="G1334" s="8"/>
      <c r="H1334" s="9"/>
    </row>
    <row r="1335">
      <c r="A1335" s="4"/>
      <c r="C1335" s="4"/>
      <c r="D1335" s="4"/>
      <c r="E1335" s="8"/>
      <c r="F1335" s="8"/>
      <c r="G1335" s="8"/>
      <c r="H1335" s="9"/>
    </row>
    <row r="1336">
      <c r="A1336" s="4"/>
      <c r="C1336" s="4"/>
      <c r="D1336" s="4"/>
      <c r="E1336" s="8"/>
      <c r="F1336" s="8"/>
      <c r="G1336" s="8"/>
      <c r="H1336" s="9"/>
    </row>
    <row r="1337">
      <c r="A1337" s="4"/>
      <c r="C1337" s="4"/>
      <c r="D1337" s="4"/>
      <c r="E1337" s="8"/>
      <c r="F1337" s="8"/>
      <c r="G1337" s="8"/>
      <c r="H1337" s="9"/>
    </row>
    <row r="1338">
      <c r="A1338" s="4"/>
      <c r="C1338" s="4"/>
      <c r="D1338" s="4"/>
      <c r="E1338" s="8"/>
      <c r="F1338" s="8"/>
      <c r="G1338" s="8"/>
      <c r="H1338" s="9"/>
    </row>
    <row r="1339">
      <c r="A1339" s="4"/>
      <c r="C1339" s="4"/>
      <c r="D1339" s="4"/>
      <c r="E1339" s="8"/>
      <c r="F1339" s="8"/>
      <c r="G1339" s="8"/>
      <c r="H1339" s="9"/>
    </row>
    <row r="1340">
      <c r="A1340" s="4"/>
      <c r="C1340" s="4"/>
      <c r="D1340" s="4"/>
      <c r="E1340" s="8"/>
      <c r="F1340" s="8"/>
      <c r="G1340" s="8"/>
      <c r="H1340" s="9"/>
    </row>
    <row r="1341">
      <c r="A1341" s="4"/>
      <c r="C1341" s="4"/>
      <c r="D1341" s="4"/>
      <c r="E1341" s="8"/>
      <c r="F1341" s="8"/>
      <c r="G1341" s="8"/>
      <c r="H1341" s="9"/>
    </row>
    <row r="1342">
      <c r="A1342" s="4"/>
      <c r="C1342" s="4"/>
      <c r="D1342" s="4"/>
      <c r="E1342" s="8"/>
      <c r="F1342" s="8"/>
      <c r="G1342" s="8"/>
      <c r="H1342" s="9"/>
    </row>
    <row r="1343">
      <c r="A1343" s="4"/>
      <c r="C1343" s="4"/>
      <c r="D1343" s="4"/>
      <c r="E1343" s="8"/>
      <c r="F1343" s="8"/>
      <c r="G1343" s="8"/>
      <c r="H1343" s="9"/>
    </row>
    <row r="1344">
      <c r="A1344" s="4"/>
      <c r="C1344" s="4"/>
      <c r="D1344" s="4"/>
      <c r="E1344" s="8"/>
      <c r="F1344" s="8"/>
      <c r="G1344" s="8"/>
      <c r="H1344" s="9"/>
    </row>
    <row r="1345">
      <c r="A1345" s="4"/>
      <c r="C1345" s="4"/>
      <c r="D1345" s="4"/>
      <c r="E1345" s="8"/>
      <c r="F1345" s="8"/>
      <c r="G1345" s="8"/>
      <c r="H1345" s="9"/>
    </row>
    <row r="1346">
      <c r="A1346" s="4"/>
      <c r="C1346" s="4"/>
      <c r="D1346" s="4"/>
      <c r="E1346" s="8"/>
      <c r="F1346" s="8"/>
      <c r="G1346" s="8"/>
      <c r="H1346" s="9"/>
    </row>
    <row r="1347">
      <c r="A1347" s="4"/>
      <c r="C1347" s="4"/>
      <c r="D1347" s="4"/>
      <c r="E1347" s="8"/>
      <c r="F1347" s="8"/>
      <c r="G1347" s="8"/>
      <c r="H1347" s="9"/>
    </row>
    <row r="1348">
      <c r="A1348" s="4"/>
      <c r="C1348" s="4"/>
      <c r="D1348" s="4"/>
      <c r="E1348" s="8"/>
      <c r="F1348" s="8"/>
      <c r="G1348" s="8"/>
      <c r="H1348" s="9"/>
    </row>
    <row r="1349">
      <c r="A1349" s="4"/>
      <c r="C1349" s="4"/>
      <c r="D1349" s="4"/>
      <c r="E1349" s="8"/>
      <c r="F1349" s="8"/>
      <c r="G1349" s="8"/>
      <c r="H1349" s="9"/>
    </row>
    <row r="1350">
      <c r="A1350" s="4"/>
      <c r="C1350" s="4"/>
      <c r="D1350" s="4"/>
      <c r="E1350" s="8"/>
      <c r="F1350" s="8"/>
      <c r="G1350" s="8"/>
      <c r="H1350" s="9"/>
    </row>
    <row r="1351">
      <c r="A1351" s="4"/>
      <c r="C1351" s="4"/>
      <c r="D1351" s="4"/>
      <c r="E1351" s="8"/>
      <c r="F1351" s="8"/>
      <c r="G1351" s="8"/>
      <c r="H1351" s="9"/>
    </row>
    <row r="1352">
      <c r="A1352" s="4"/>
      <c r="C1352" s="4"/>
      <c r="D1352" s="4"/>
      <c r="E1352" s="8"/>
      <c r="F1352" s="8"/>
      <c r="G1352" s="8"/>
      <c r="H1352" s="9"/>
    </row>
    <row r="1353">
      <c r="A1353" s="4"/>
      <c r="C1353" s="4"/>
      <c r="D1353" s="4"/>
      <c r="E1353" s="8"/>
      <c r="F1353" s="8"/>
      <c r="G1353" s="8"/>
      <c r="H1353" s="9"/>
    </row>
    <row r="1354">
      <c r="A1354" s="4"/>
      <c r="C1354" s="4"/>
      <c r="D1354" s="4"/>
      <c r="E1354" s="8"/>
      <c r="F1354" s="8"/>
      <c r="G1354" s="8"/>
      <c r="H1354" s="9"/>
    </row>
    <row r="1355">
      <c r="A1355" s="4"/>
      <c r="C1355" s="4"/>
      <c r="D1355" s="4"/>
      <c r="E1355" s="8"/>
      <c r="F1355" s="8"/>
      <c r="G1355" s="8"/>
      <c r="H1355" s="9"/>
    </row>
    <row r="1356">
      <c r="A1356" s="4"/>
      <c r="C1356" s="4"/>
      <c r="D1356" s="4"/>
      <c r="E1356" s="8"/>
      <c r="F1356" s="8"/>
      <c r="G1356" s="8"/>
      <c r="H1356" s="9"/>
    </row>
    <row r="1357">
      <c r="A1357" s="4"/>
      <c r="C1357" s="4"/>
      <c r="D1357" s="4"/>
      <c r="E1357" s="8"/>
      <c r="F1357" s="8"/>
      <c r="G1357" s="8"/>
      <c r="H1357" s="9"/>
    </row>
    <row r="1358">
      <c r="A1358" s="4"/>
      <c r="C1358" s="4"/>
      <c r="D1358" s="4"/>
      <c r="E1358" s="8"/>
      <c r="F1358" s="8"/>
      <c r="G1358" s="8"/>
      <c r="H1358" s="9"/>
    </row>
    <row r="1359">
      <c r="A1359" s="4"/>
      <c r="C1359" s="4"/>
      <c r="D1359" s="4"/>
      <c r="E1359" s="8"/>
      <c r="F1359" s="8"/>
      <c r="G1359" s="8"/>
      <c r="H1359" s="9"/>
    </row>
    <row r="1360">
      <c r="A1360" s="4"/>
      <c r="C1360" s="4"/>
      <c r="D1360" s="4"/>
      <c r="E1360" s="8"/>
      <c r="F1360" s="8"/>
      <c r="G1360" s="8"/>
      <c r="H1360" s="9"/>
    </row>
    <row r="1361">
      <c r="A1361" s="4"/>
      <c r="C1361" s="4"/>
      <c r="D1361" s="4"/>
      <c r="E1361" s="8"/>
      <c r="F1361" s="8"/>
      <c r="G1361" s="8"/>
      <c r="H1361" s="9"/>
    </row>
    <row r="1362">
      <c r="A1362" s="4"/>
      <c r="C1362" s="4"/>
      <c r="D1362" s="4"/>
      <c r="E1362" s="8"/>
      <c r="F1362" s="8"/>
      <c r="G1362" s="8"/>
      <c r="H1362" s="9"/>
    </row>
    <row r="1363">
      <c r="A1363" s="4"/>
      <c r="C1363" s="4"/>
      <c r="D1363" s="4"/>
      <c r="E1363" s="8"/>
      <c r="F1363" s="8"/>
      <c r="G1363" s="8"/>
      <c r="H1363" s="9"/>
    </row>
    <row r="1364">
      <c r="A1364" s="4"/>
      <c r="C1364" s="4"/>
      <c r="D1364" s="4"/>
      <c r="E1364" s="8"/>
      <c r="F1364" s="8"/>
      <c r="G1364" s="8"/>
      <c r="H1364" s="9"/>
    </row>
    <row r="1365">
      <c r="A1365" s="4"/>
      <c r="C1365" s="4"/>
      <c r="D1365" s="4"/>
      <c r="E1365" s="8"/>
      <c r="F1365" s="8"/>
      <c r="G1365" s="8"/>
      <c r="H1365" s="9"/>
    </row>
    <row r="1366">
      <c r="A1366" s="4"/>
      <c r="C1366" s="4"/>
      <c r="D1366" s="4"/>
      <c r="E1366" s="8"/>
      <c r="F1366" s="8"/>
      <c r="G1366" s="8"/>
      <c r="H1366" s="9"/>
    </row>
    <row r="1367">
      <c r="A1367" s="4"/>
      <c r="C1367" s="4"/>
      <c r="D1367" s="4"/>
      <c r="E1367" s="8"/>
      <c r="F1367" s="8"/>
      <c r="G1367" s="8"/>
      <c r="H1367" s="9"/>
    </row>
    <row r="1368">
      <c r="A1368" s="4"/>
      <c r="C1368" s="4"/>
      <c r="D1368" s="4"/>
      <c r="E1368" s="8"/>
      <c r="F1368" s="8"/>
      <c r="G1368" s="8"/>
      <c r="H1368" s="9"/>
    </row>
    <row r="1369">
      <c r="A1369" s="4"/>
      <c r="C1369" s="4"/>
      <c r="D1369" s="4"/>
      <c r="E1369" s="8"/>
      <c r="F1369" s="8"/>
      <c r="G1369" s="8"/>
      <c r="H1369" s="9"/>
    </row>
    <row r="1370">
      <c r="A1370" s="4"/>
      <c r="C1370" s="4"/>
      <c r="D1370" s="4"/>
      <c r="E1370" s="8"/>
      <c r="F1370" s="8"/>
      <c r="G1370" s="8"/>
      <c r="H1370" s="9"/>
    </row>
    <row r="1371">
      <c r="A1371" s="4"/>
      <c r="C1371" s="4"/>
      <c r="D1371" s="4"/>
      <c r="E1371" s="8"/>
      <c r="F1371" s="8"/>
      <c r="G1371" s="8"/>
      <c r="H1371" s="9"/>
    </row>
    <row r="1372">
      <c r="A1372" s="4"/>
      <c r="C1372" s="4"/>
      <c r="D1372" s="4"/>
      <c r="E1372" s="8"/>
      <c r="F1372" s="8"/>
      <c r="G1372" s="8"/>
      <c r="H1372" s="9"/>
    </row>
    <row r="1373">
      <c r="A1373" s="4"/>
      <c r="C1373" s="4"/>
      <c r="D1373" s="4"/>
      <c r="E1373" s="8"/>
      <c r="F1373" s="8"/>
      <c r="G1373" s="8"/>
      <c r="H1373" s="9"/>
    </row>
    <row r="1374">
      <c r="A1374" s="4"/>
      <c r="C1374" s="4"/>
      <c r="D1374" s="4"/>
      <c r="E1374" s="8"/>
      <c r="F1374" s="8"/>
      <c r="G1374" s="8"/>
      <c r="H1374" s="9"/>
    </row>
    <row r="1375">
      <c r="A1375" s="4"/>
      <c r="C1375" s="4"/>
      <c r="D1375" s="4"/>
      <c r="E1375" s="8"/>
      <c r="F1375" s="8"/>
      <c r="G1375" s="8"/>
      <c r="H1375" s="9"/>
    </row>
    <row r="1376">
      <c r="A1376" s="4"/>
      <c r="C1376" s="4"/>
      <c r="D1376" s="4"/>
      <c r="E1376" s="8"/>
      <c r="F1376" s="8"/>
      <c r="G1376" s="8"/>
      <c r="H1376" s="9"/>
    </row>
    <row r="1377">
      <c r="A1377" s="4"/>
      <c r="C1377" s="4"/>
      <c r="D1377" s="4"/>
      <c r="E1377" s="8"/>
      <c r="F1377" s="8"/>
      <c r="G1377" s="8"/>
      <c r="H1377" s="9"/>
    </row>
    <row r="1378">
      <c r="A1378" s="4"/>
      <c r="C1378" s="4"/>
      <c r="D1378" s="4"/>
      <c r="E1378" s="8"/>
      <c r="F1378" s="8"/>
      <c r="G1378" s="8"/>
      <c r="H1378" s="9"/>
    </row>
    <row r="1379">
      <c r="A1379" s="4"/>
      <c r="C1379" s="4"/>
      <c r="D1379" s="4"/>
      <c r="E1379" s="8"/>
      <c r="F1379" s="8"/>
      <c r="G1379" s="8"/>
      <c r="H1379" s="9"/>
    </row>
    <row r="1380">
      <c r="A1380" s="4"/>
      <c r="C1380" s="4"/>
      <c r="D1380" s="4"/>
      <c r="E1380" s="8"/>
      <c r="F1380" s="8"/>
      <c r="G1380" s="8"/>
      <c r="H1380" s="9"/>
    </row>
    <row r="1381">
      <c r="A1381" s="4"/>
      <c r="C1381" s="4"/>
      <c r="D1381" s="4"/>
      <c r="E1381" s="8"/>
      <c r="F1381" s="8"/>
      <c r="G1381" s="8"/>
      <c r="H1381" s="9"/>
    </row>
    <row r="1382">
      <c r="A1382" s="4"/>
      <c r="C1382" s="4"/>
      <c r="D1382" s="4"/>
      <c r="E1382" s="8"/>
      <c r="F1382" s="8"/>
      <c r="G1382" s="8"/>
      <c r="H1382" s="9"/>
    </row>
    <row r="1383">
      <c r="A1383" s="4"/>
      <c r="C1383" s="4"/>
      <c r="D1383" s="4"/>
      <c r="E1383" s="8"/>
      <c r="F1383" s="8"/>
      <c r="G1383" s="8"/>
      <c r="H1383" s="9"/>
    </row>
    <row r="1384">
      <c r="A1384" s="4"/>
      <c r="C1384" s="4"/>
      <c r="D1384" s="4"/>
      <c r="E1384" s="8"/>
      <c r="F1384" s="8"/>
      <c r="G1384" s="8"/>
      <c r="H1384" s="9"/>
    </row>
    <row r="1385">
      <c r="A1385" s="4"/>
      <c r="C1385" s="4"/>
      <c r="D1385" s="4"/>
      <c r="E1385" s="8"/>
      <c r="F1385" s="8"/>
      <c r="G1385" s="8"/>
      <c r="H1385" s="9"/>
    </row>
    <row r="1386">
      <c r="A1386" s="4"/>
      <c r="C1386" s="4"/>
      <c r="D1386" s="4"/>
      <c r="E1386" s="8"/>
      <c r="F1386" s="8"/>
      <c r="G1386" s="8"/>
      <c r="H1386" s="9"/>
    </row>
    <row r="1387">
      <c r="A1387" s="4"/>
      <c r="C1387" s="4"/>
      <c r="D1387" s="4"/>
      <c r="E1387" s="8"/>
      <c r="F1387" s="8"/>
      <c r="G1387" s="8"/>
      <c r="H1387" s="9"/>
    </row>
    <row r="1388">
      <c r="A1388" s="4"/>
      <c r="C1388" s="4"/>
      <c r="D1388" s="4"/>
      <c r="E1388" s="8"/>
      <c r="F1388" s="8"/>
      <c r="G1388" s="8"/>
      <c r="H1388" s="9"/>
    </row>
    <row r="1389">
      <c r="A1389" s="4"/>
      <c r="C1389" s="4"/>
      <c r="D1389" s="4"/>
      <c r="E1389" s="8"/>
      <c r="F1389" s="8"/>
      <c r="G1389" s="8"/>
      <c r="H1389" s="9"/>
    </row>
    <row r="1390">
      <c r="A1390" s="4"/>
      <c r="C1390" s="4"/>
      <c r="D1390" s="4"/>
      <c r="E1390" s="8"/>
      <c r="F1390" s="8"/>
      <c r="G1390" s="8"/>
      <c r="H1390" s="9"/>
    </row>
    <row r="1391">
      <c r="A1391" s="4"/>
      <c r="C1391" s="4"/>
      <c r="D1391" s="4"/>
      <c r="E1391" s="8"/>
      <c r="F1391" s="8"/>
      <c r="G1391" s="8"/>
      <c r="H1391" s="9"/>
    </row>
    <row r="1392">
      <c r="A1392" s="4"/>
      <c r="C1392" s="4"/>
      <c r="D1392" s="4"/>
      <c r="E1392" s="8"/>
      <c r="F1392" s="8"/>
      <c r="G1392" s="8"/>
      <c r="H1392" s="9"/>
    </row>
    <row r="1393">
      <c r="A1393" s="4"/>
      <c r="C1393" s="4"/>
      <c r="D1393" s="4"/>
      <c r="E1393" s="8"/>
      <c r="F1393" s="8"/>
      <c r="G1393" s="8"/>
      <c r="H1393" s="9"/>
    </row>
    <row r="1394">
      <c r="A1394" s="4"/>
      <c r="C1394" s="4"/>
      <c r="D1394" s="4"/>
      <c r="E1394" s="8"/>
      <c r="F1394" s="8"/>
      <c r="G1394" s="8"/>
      <c r="H1394" s="9"/>
    </row>
    <row r="1395">
      <c r="A1395" s="4"/>
      <c r="C1395" s="4"/>
      <c r="D1395" s="4"/>
      <c r="E1395" s="8"/>
      <c r="F1395" s="8"/>
      <c r="G1395" s="8"/>
      <c r="H1395" s="9"/>
    </row>
    <row r="1396">
      <c r="A1396" s="4"/>
      <c r="C1396" s="4"/>
      <c r="D1396" s="4"/>
      <c r="E1396" s="8"/>
      <c r="F1396" s="8"/>
      <c r="G1396" s="8"/>
      <c r="H1396" s="9"/>
    </row>
    <row r="1397">
      <c r="A1397" s="4"/>
      <c r="C1397" s="4"/>
      <c r="D1397" s="4"/>
      <c r="E1397" s="8"/>
      <c r="F1397" s="8"/>
      <c r="G1397" s="8"/>
      <c r="H1397" s="9"/>
    </row>
    <row r="1398">
      <c r="A1398" s="4"/>
      <c r="C1398" s="4"/>
      <c r="D1398" s="4"/>
      <c r="E1398" s="8"/>
      <c r="F1398" s="8"/>
      <c r="G1398" s="8"/>
      <c r="H1398" s="9"/>
    </row>
    <row r="1399">
      <c r="A1399" s="4"/>
      <c r="C1399" s="4"/>
      <c r="D1399" s="4"/>
      <c r="E1399" s="8"/>
      <c r="F1399" s="8"/>
      <c r="G1399" s="8"/>
      <c r="H1399" s="9"/>
    </row>
    <row r="1400">
      <c r="A1400" s="4"/>
      <c r="C1400" s="4"/>
      <c r="D1400" s="4"/>
      <c r="E1400" s="8"/>
      <c r="F1400" s="8"/>
      <c r="G1400" s="8"/>
      <c r="H1400" s="9"/>
    </row>
    <row r="1401">
      <c r="A1401" s="4"/>
      <c r="C1401" s="4"/>
      <c r="D1401" s="4"/>
      <c r="E1401" s="8"/>
      <c r="F1401" s="8"/>
      <c r="G1401" s="8"/>
      <c r="H1401" s="9"/>
    </row>
    <row r="1402">
      <c r="A1402" s="4"/>
      <c r="C1402" s="4"/>
      <c r="D1402" s="4"/>
      <c r="E1402" s="8"/>
      <c r="F1402" s="8"/>
      <c r="G1402" s="8"/>
      <c r="H1402" s="9"/>
    </row>
    <row r="1403">
      <c r="A1403" s="4"/>
      <c r="C1403" s="4"/>
      <c r="D1403" s="4"/>
      <c r="E1403" s="8"/>
      <c r="F1403" s="8"/>
      <c r="G1403" s="8"/>
      <c r="H1403" s="9"/>
    </row>
    <row r="1404">
      <c r="A1404" s="4"/>
      <c r="C1404" s="4"/>
      <c r="D1404" s="4"/>
      <c r="E1404" s="8"/>
      <c r="F1404" s="8"/>
      <c r="G1404" s="8"/>
      <c r="H1404" s="9"/>
    </row>
    <row r="1405">
      <c r="A1405" s="4"/>
      <c r="C1405" s="4"/>
      <c r="D1405" s="4"/>
      <c r="E1405" s="8"/>
      <c r="F1405" s="8"/>
      <c r="G1405" s="8"/>
      <c r="H1405" s="9"/>
    </row>
    <row r="1406">
      <c r="A1406" s="4"/>
      <c r="C1406" s="4"/>
      <c r="D1406" s="4"/>
      <c r="E1406" s="8"/>
      <c r="F1406" s="8"/>
      <c r="G1406" s="8"/>
      <c r="H1406" s="9"/>
    </row>
    <row r="1407">
      <c r="A1407" s="4"/>
      <c r="C1407" s="4"/>
      <c r="D1407" s="4"/>
      <c r="E1407" s="8"/>
      <c r="F1407" s="8"/>
      <c r="G1407" s="8"/>
      <c r="H1407" s="9"/>
    </row>
    <row r="1408">
      <c r="A1408" s="4"/>
      <c r="C1408" s="4"/>
      <c r="D1408" s="4"/>
      <c r="E1408" s="8"/>
      <c r="F1408" s="8"/>
      <c r="G1408" s="8"/>
      <c r="H1408" s="9"/>
    </row>
    <row r="1409">
      <c r="A1409" s="4"/>
      <c r="C1409" s="4"/>
      <c r="D1409" s="4"/>
      <c r="E1409" s="8"/>
      <c r="F1409" s="8"/>
      <c r="G1409" s="8"/>
      <c r="H1409" s="9"/>
    </row>
    <row r="1410">
      <c r="A1410" s="4"/>
      <c r="C1410" s="4"/>
      <c r="D1410" s="4"/>
      <c r="E1410" s="8"/>
      <c r="F1410" s="8"/>
      <c r="G1410" s="8"/>
      <c r="H1410" s="9"/>
    </row>
    <row r="1411">
      <c r="A1411" s="4"/>
      <c r="C1411" s="4"/>
      <c r="D1411" s="4"/>
      <c r="E1411" s="8"/>
      <c r="F1411" s="8"/>
      <c r="G1411" s="8"/>
      <c r="H1411" s="9"/>
    </row>
    <row r="1412">
      <c r="A1412" s="4"/>
      <c r="C1412" s="4"/>
      <c r="D1412" s="4"/>
      <c r="E1412" s="8"/>
      <c r="F1412" s="8"/>
      <c r="G1412" s="8"/>
      <c r="H1412" s="9"/>
    </row>
    <row r="1413">
      <c r="A1413" s="4"/>
      <c r="C1413" s="4"/>
      <c r="D1413" s="4"/>
      <c r="E1413" s="8"/>
      <c r="F1413" s="8"/>
      <c r="G1413" s="8"/>
      <c r="H1413" s="9"/>
    </row>
    <row r="1414">
      <c r="A1414" s="4"/>
      <c r="C1414" s="4"/>
      <c r="D1414" s="4"/>
      <c r="E1414" s="8"/>
      <c r="F1414" s="8"/>
      <c r="G1414" s="8"/>
      <c r="H1414" s="9"/>
    </row>
    <row r="1415">
      <c r="A1415" s="4"/>
      <c r="C1415" s="4"/>
      <c r="D1415" s="4"/>
      <c r="E1415" s="8"/>
      <c r="F1415" s="8"/>
      <c r="G1415" s="8"/>
      <c r="H1415" s="9"/>
    </row>
    <row r="1416">
      <c r="A1416" s="4"/>
      <c r="C1416" s="4"/>
      <c r="D1416" s="4"/>
      <c r="E1416" s="8"/>
      <c r="F1416" s="8"/>
      <c r="G1416" s="8"/>
      <c r="H1416" s="9"/>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ht="15.0" customHeight="1">
      <c r="A2" s="4" t="s">
        <v>1656</v>
      </c>
    </row>
    <row r="3">
      <c r="A3" s="4" t="s">
        <v>1656</v>
      </c>
    </row>
    <row r="4">
      <c r="A4" s="4" t="s">
        <v>1657</v>
      </c>
    </row>
    <row r="5">
      <c r="A5" s="4" t="s">
        <v>1655</v>
      </c>
    </row>
    <row r="6">
      <c r="A6" s="4" t="s">
        <v>1657</v>
      </c>
    </row>
    <row r="7">
      <c r="A7" s="4" t="s">
        <v>1657</v>
      </c>
    </row>
    <row r="8">
      <c r="A8" s="4" t="s">
        <v>1656</v>
      </c>
    </row>
    <row r="9">
      <c r="A9" s="4" t="s">
        <v>1657</v>
      </c>
    </row>
    <row r="10">
      <c r="A10" s="4" t="s">
        <v>1657</v>
      </c>
    </row>
    <row r="11">
      <c r="A11" s="4" t="s">
        <v>1655</v>
      </c>
    </row>
    <row r="12">
      <c r="A12" s="4" t="s">
        <v>1656</v>
      </c>
    </row>
    <row r="13">
      <c r="A13" s="4" t="s">
        <v>1655</v>
      </c>
    </row>
    <row r="14">
      <c r="A14" s="4" t="s">
        <v>1655</v>
      </c>
    </row>
    <row r="15">
      <c r="A15" s="4" t="s">
        <v>1657</v>
      </c>
    </row>
    <row r="16">
      <c r="A16" s="4" t="s">
        <v>1656</v>
      </c>
    </row>
    <row r="17">
      <c r="A17" s="4" t="s">
        <v>1657</v>
      </c>
    </row>
    <row r="18">
      <c r="A18" s="4" t="s">
        <v>1655</v>
      </c>
    </row>
    <row r="19">
      <c r="A19" s="4" t="s">
        <v>1656</v>
      </c>
    </row>
    <row r="20">
      <c r="A20" s="4" t="s">
        <v>1655</v>
      </c>
    </row>
    <row r="21">
      <c r="A21" s="4" t="s">
        <v>1657</v>
      </c>
    </row>
    <row r="22">
      <c r="A22" s="4" t="s">
        <v>1657</v>
      </c>
    </row>
    <row r="23">
      <c r="A23" s="4" t="s">
        <v>1656</v>
      </c>
    </row>
    <row r="24">
      <c r="A24" s="4" t="s">
        <v>1656</v>
      </c>
    </row>
    <row r="25">
      <c r="A25" s="4" t="s">
        <v>1655</v>
      </c>
    </row>
    <row r="26">
      <c r="A26" s="4" t="s">
        <v>1656</v>
      </c>
    </row>
    <row r="27">
      <c r="A27" s="4" t="s">
        <v>1656</v>
      </c>
    </row>
    <row r="28">
      <c r="A28" s="4" t="s">
        <v>1657</v>
      </c>
    </row>
    <row r="29">
      <c r="A29" s="4" t="s">
        <v>1655</v>
      </c>
    </row>
    <row r="30">
      <c r="A30" s="4" t="s">
        <v>1656</v>
      </c>
    </row>
    <row r="31">
      <c r="A31" s="4" t="s">
        <v>1657</v>
      </c>
    </row>
    <row r="32">
      <c r="A32" s="4" t="s">
        <v>1657</v>
      </c>
    </row>
    <row r="33">
      <c r="A33" s="4" t="s">
        <v>1657</v>
      </c>
    </row>
    <row r="34">
      <c r="A34" s="4" t="s">
        <v>1656</v>
      </c>
    </row>
    <row r="35">
      <c r="A35" s="4" t="s">
        <v>1656</v>
      </c>
    </row>
    <row r="36">
      <c r="A36" s="4" t="s">
        <v>1655</v>
      </c>
    </row>
    <row r="37">
      <c r="A37" s="4" t="s">
        <v>1655</v>
      </c>
    </row>
    <row r="38">
      <c r="A38" s="4" t="s">
        <v>1655</v>
      </c>
    </row>
    <row r="39">
      <c r="A39" s="4" t="s">
        <v>1655</v>
      </c>
    </row>
    <row r="40">
      <c r="A40" s="4" t="s">
        <v>1656</v>
      </c>
    </row>
    <row r="41">
      <c r="A41" s="4" t="s">
        <v>1656</v>
      </c>
    </row>
    <row r="42">
      <c r="A42" s="4" t="s">
        <v>1657</v>
      </c>
    </row>
    <row r="43">
      <c r="A43" s="4" t="s">
        <v>1657</v>
      </c>
    </row>
    <row r="44">
      <c r="A44" s="4" t="s">
        <v>1657</v>
      </c>
    </row>
    <row r="45">
      <c r="A45" s="4" t="s">
        <v>1656</v>
      </c>
    </row>
    <row r="46">
      <c r="A46" s="4" t="s">
        <v>1656</v>
      </c>
    </row>
    <row r="47">
      <c r="A47" s="4" t="s">
        <v>1656</v>
      </c>
    </row>
    <row r="48">
      <c r="A48" s="4" t="s">
        <v>1656</v>
      </c>
    </row>
    <row r="49">
      <c r="A49" s="4" t="s">
        <v>1657</v>
      </c>
    </row>
    <row r="50">
      <c r="A50" s="4" t="s">
        <v>1657</v>
      </c>
    </row>
    <row r="51">
      <c r="A51" s="4" t="s">
        <v>1656</v>
      </c>
    </row>
    <row r="52">
      <c r="A52" s="4" t="s">
        <v>1655</v>
      </c>
    </row>
    <row r="53">
      <c r="A53" s="4" t="s">
        <v>1655</v>
      </c>
    </row>
    <row r="54">
      <c r="A54" s="4" t="s">
        <v>1657</v>
      </c>
    </row>
    <row r="55">
      <c r="A55" s="4" t="s">
        <v>1657</v>
      </c>
    </row>
    <row r="56">
      <c r="A56" s="4" t="s">
        <v>1657</v>
      </c>
    </row>
    <row r="57">
      <c r="A57" s="4" t="s">
        <v>1655</v>
      </c>
    </row>
    <row r="58">
      <c r="A58" s="4" t="s">
        <v>1655</v>
      </c>
    </row>
    <row r="59">
      <c r="A59" s="4" t="s">
        <v>1655</v>
      </c>
    </row>
    <row r="60">
      <c r="A60" s="4" t="s">
        <v>1656</v>
      </c>
    </row>
    <row r="61">
      <c r="A61" s="4" t="s">
        <v>1656</v>
      </c>
    </row>
    <row r="62">
      <c r="A62" s="4" t="s">
        <v>1656</v>
      </c>
    </row>
    <row r="63">
      <c r="A63" s="4" t="s">
        <v>1655</v>
      </c>
    </row>
    <row r="64">
      <c r="A64" s="4" t="s">
        <v>1656</v>
      </c>
    </row>
    <row r="65">
      <c r="A65" s="4" t="s">
        <v>1657</v>
      </c>
    </row>
    <row r="66">
      <c r="A66" s="4" t="s">
        <v>1656</v>
      </c>
    </row>
    <row r="67">
      <c r="A67" s="4" t="s">
        <v>1655</v>
      </c>
    </row>
    <row r="68">
      <c r="A68" s="4" t="s">
        <v>1657</v>
      </c>
    </row>
    <row r="69">
      <c r="A69" s="4" t="s">
        <v>1657</v>
      </c>
    </row>
    <row r="70">
      <c r="A70" s="4" t="s">
        <v>1655</v>
      </c>
    </row>
    <row r="71">
      <c r="A71" s="4" t="s">
        <v>1655</v>
      </c>
    </row>
    <row r="72">
      <c r="A72" s="4" t="s">
        <v>1656</v>
      </c>
    </row>
    <row r="73">
      <c r="A73" s="4" t="s">
        <v>1656</v>
      </c>
    </row>
    <row r="74">
      <c r="A74" s="4" t="s">
        <v>1656</v>
      </c>
    </row>
    <row r="75">
      <c r="A75" s="4" t="s">
        <v>1656</v>
      </c>
    </row>
    <row r="76">
      <c r="A76" s="4" t="s">
        <v>1656</v>
      </c>
    </row>
    <row r="77">
      <c r="A77" s="4" t="s">
        <v>1657</v>
      </c>
    </row>
    <row r="78">
      <c r="A78" s="4" t="s">
        <v>1657</v>
      </c>
    </row>
    <row r="79">
      <c r="A79" s="4" t="s">
        <v>1655</v>
      </c>
    </row>
    <row r="80">
      <c r="A80" s="4" t="s">
        <v>1657</v>
      </c>
    </row>
    <row r="81">
      <c r="A81" s="4" t="s">
        <v>1655</v>
      </c>
    </row>
    <row r="82">
      <c r="A82" s="4" t="s">
        <v>1657</v>
      </c>
    </row>
    <row r="83">
      <c r="A83" s="4" t="s">
        <v>1655</v>
      </c>
    </row>
    <row r="84">
      <c r="A84" s="4" t="s">
        <v>1657</v>
      </c>
    </row>
    <row r="85">
      <c r="A85" s="4" t="s">
        <v>1656</v>
      </c>
    </row>
    <row r="86">
      <c r="A86" s="4" t="s">
        <v>1656</v>
      </c>
    </row>
    <row r="87">
      <c r="A87" s="4" t="s">
        <v>1656</v>
      </c>
    </row>
    <row r="88">
      <c r="A88" s="4" t="s">
        <v>1657</v>
      </c>
    </row>
    <row r="89">
      <c r="A89" s="4" t="s">
        <v>1656</v>
      </c>
    </row>
    <row r="90">
      <c r="A90" s="4" t="s">
        <v>1655</v>
      </c>
    </row>
    <row r="91">
      <c r="A91" s="4" t="s">
        <v>1657</v>
      </c>
    </row>
    <row r="92">
      <c r="A92" s="4" t="s">
        <v>1655</v>
      </c>
    </row>
    <row r="93">
      <c r="A93" s="4" t="s">
        <v>1656</v>
      </c>
    </row>
    <row r="94">
      <c r="A94" s="4" t="s">
        <v>1655</v>
      </c>
    </row>
    <row r="95">
      <c r="A95" s="4" t="s">
        <v>1656</v>
      </c>
    </row>
    <row r="96">
      <c r="A96" s="4" t="s">
        <v>1655</v>
      </c>
    </row>
    <row r="97">
      <c r="A97" s="4" t="s">
        <v>1655</v>
      </c>
    </row>
    <row r="98">
      <c r="A98" s="4" t="s">
        <v>1655</v>
      </c>
    </row>
    <row r="99">
      <c r="A99" s="4" t="s">
        <v>1656</v>
      </c>
    </row>
    <row r="100">
      <c r="A100" s="4" t="s">
        <v>1655</v>
      </c>
    </row>
    <row r="101">
      <c r="A101" s="4" t="s">
        <v>1656</v>
      </c>
    </row>
    <row r="102">
      <c r="A102" s="4" t="s">
        <v>1657</v>
      </c>
    </row>
    <row r="103">
      <c r="A103" s="4" t="s">
        <v>1656</v>
      </c>
    </row>
    <row r="104">
      <c r="A104" s="4" t="s">
        <v>1655</v>
      </c>
    </row>
    <row r="105">
      <c r="A105" s="4" t="s">
        <v>1656</v>
      </c>
    </row>
    <row r="106">
      <c r="A106" s="4" t="s">
        <v>1657</v>
      </c>
    </row>
    <row r="107">
      <c r="A107" s="4" t="s">
        <v>1657</v>
      </c>
    </row>
    <row r="108">
      <c r="A108" s="4" t="s">
        <v>1656</v>
      </c>
    </row>
    <row r="109">
      <c r="A109" s="4" t="s">
        <v>1655</v>
      </c>
    </row>
    <row r="110">
      <c r="A110" s="4" t="s">
        <v>1655</v>
      </c>
    </row>
    <row r="111">
      <c r="A111" s="4" t="s">
        <v>1656</v>
      </c>
    </row>
    <row r="112">
      <c r="A112" s="4" t="s">
        <v>1657</v>
      </c>
    </row>
    <row r="113">
      <c r="A113" s="4" t="s">
        <v>1657</v>
      </c>
    </row>
    <row r="114">
      <c r="A114" s="4" t="s">
        <v>1655</v>
      </c>
    </row>
    <row r="115">
      <c r="A115" s="4" t="s">
        <v>1655</v>
      </c>
    </row>
    <row r="116">
      <c r="A116" s="4" t="s">
        <v>1657</v>
      </c>
    </row>
    <row r="117">
      <c r="A117" s="4" t="s">
        <v>1656</v>
      </c>
    </row>
    <row r="118">
      <c r="A118" s="4" t="s">
        <v>1657</v>
      </c>
    </row>
    <row r="119">
      <c r="A119" s="4" t="s">
        <v>1656</v>
      </c>
    </row>
    <row r="120">
      <c r="A120" s="4" t="s">
        <v>1655</v>
      </c>
    </row>
    <row r="121">
      <c r="A121" s="4" t="s">
        <v>1657</v>
      </c>
    </row>
    <row r="122">
      <c r="A122" s="4" t="s">
        <v>1656</v>
      </c>
    </row>
    <row r="123">
      <c r="A123" s="4" t="s">
        <v>1655</v>
      </c>
    </row>
    <row r="124">
      <c r="A124" s="4" t="s">
        <v>1656</v>
      </c>
    </row>
    <row r="125">
      <c r="A125" s="4" t="s">
        <v>1655</v>
      </c>
    </row>
    <row r="126">
      <c r="A126" s="4" t="s">
        <v>1655</v>
      </c>
    </row>
    <row r="127">
      <c r="A127" s="4" t="s">
        <v>1657</v>
      </c>
    </row>
    <row r="128">
      <c r="A128" s="4" t="s">
        <v>1655</v>
      </c>
    </row>
    <row r="129">
      <c r="A129" s="4" t="s">
        <v>1657</v>
      </c>
    </row>
    <row r="130">
      <c r="A130" s="4" t="s">
        <v>1656</v>
      </c>
    </row>
    <row r="131">
      <c r="A131" s="4" t="s">
        <v>1656</v>
      </c>
    </row>
    <row r="132">
      <c r="A132" s="4" t="s">
        <v>1655</v>
      </c>
    </row>
    <row r="133">
      <c r="A133" s="4" t="s">
        <v>1656</v>
      </c>
    </row>
    <row r="134">
      <c r="A134" s="4" t="s">
        <v>1656</v>
      </c>
    </row>
    <row r="135">
      <c r="A135" s="4" t="s">
        <v>1655</v>
      </c>
    </row>
    <row r="136">
      <c r="A136" s="4" t="s">
        <v>1655</v>
      </c>
    </row>
    <row r="137">
      <c r="A137" s="4" t="s">
        <v>1657</v>
      </c>
    </row>
    <row r="138">
      <c r="A138" s="4" t="s">
        <v>1657</v>
      </c>
    </row>
    <row r="139">
      <c r="A139" s="4" t="s">
        <v>1655</v>
      </c>
    </row>
    <row r="140">
      <c r="A140" s="4" t="s">
        <v>1656</v>
      </c>
    </row>
    <row r="141">
      <c r="A141" s="4" t="s">
        <v>1655</v>
      </c>
    </row>
    <row r="142">
      <c r="A142" s="4" t="s">
        <v>1656</v>
      </c>
    </row>
    <row r="143">
      <c r="A143" s="4" t="s">
        <v>1656</v>
      </c>
    </row>
    <row r="144">
      <c r="A144" s="4" t="s">
        <v>1657</v>
      </c>
    </row>
    <row r="145">
      <c r="A145" s="4" t="s">
        <v>1656</v>
      </c>
    </row>
    <row r="146">
      <c r="A146" s="4" t="s">
        <v>1655</v>
      </c>
    </row>
    <row r="147">
      <c r="A147" s="4" t="s">
        <v>1656</v>
      </c>
    </row>
    <row r="148">
      <c r="A148" s="4" t="s">
        <v>1657</v>
      </c>
    </row>
    <row r="149">
      <c r="A149" s="4" t="s">
        <v>1655</v>
      </c>
    </row>
    <row r="150">
      <c r="A150" s="4" t="s">
        <v>1655</v>
      </c>
    </row>
    <row r="151">
      <c r="A151" s="4" t="s">
        <v>1657</v>
      </c>
    </row>
    <row r="152">
      <c r="A152" s="4" t="s">
        <v>1655</v>
      </c>
    </row>
    <row r="153">
      <c r="A153" s="4" t="s">
        <v>1655</v>
      </c>
    </row>
    <row r="154">
      <c r="A154" s="4" t="s">
        <v>1655</v>
      </c>
    </row>
    <row r="155">
      <c r="A155" s="4" t="s">
        <v>1656</v>
      </c>
    </row>
    <row r="156">
      <c r="A156" s="4" t="s">
        <v>1655</v>
      </c>
    </row>
    <row r="157">
      <c r="A157" s="4" t="s">
        <v>1655</v>
      </c>
    </row>
    <row r="158">
      <c r="A158" s="4" t="s">
        <v>1656</v>
      </c>
    </row>
    <row r="159">
      <c r="A159" s="4" t="s">
        <v>1655</v>
      </c>
    </row>
    <row r="160">
      <c r="A160" s="4" t="s">
        <v>1655</v>
      </c>
    </row>
    <row r="161">
      <c r="A161" s="4" t="s">
        <v>1657</v>
      </c>
    </row>
    <row r="162">
      <c r="A162" s="4" t="s">
        <v>1656</v>
      </c>
    </row>
    <row r="163">
      <c r="A163" s="4" t="s">
        <v>1657</v>
      </c>
    </row>
    <row r="164">
      <c r="A164" s="4" t="s">
        <v>1655</v>
      </c>
    </row>
    <row r="165">
      <c r="A165" s="4" t="s">
        <v>1656</v>
      </c>
    </row>
    <row r="166">
      <c r="A166" s="4" t="s">
        <v>1656</v>
      </c>
    </row>
    <row r="167">
      <c r="A167" s="4" t="s">
        <v>1656</v>
      </c>
    </row>
    <row r="168">
      <c r="A168" s="4" t="s">
        <v>1655</v>
      </c>
    </row>
    <row r="169">
      <c r="A169" s="4" t="s">
        <v>1656</v>
      </c>
    </row>
    <row r="170">
      <c r="A170" s="4" t="s">
        <v>1656</v>
      </c>
    </row>
    <row r="171">
      <c r="A171" s="4" t="s">
        <v>1657</v>
      </c>
    </row>
    <row r="172">
      <c r="A172" s="4" t="s">
        <v>1657</v>
      </c>
    </row>
    <row r="173">
      <c r="A173" s="4" t="s">
        <v>1657</v>
      </c>
    </row>
    <row r="174">
      <c r="A174" s="4" t="s">
        <v>1657</v>
      </c>
    </row>
    <row r="175">
      <c r="A175" s="4" t="s">
        <v>1657</v>
      </c>
    </row>
    <row r="176">
      <c r="A176" s="4" t="s">
        <v>1656</v>
      </c>
    </row>
    <row r="177">
      <c r="A177" s="4" t="s">
        <v>1655</v>
      </c>
    </row>
    <row r="178">
      <c r="A178" s="4" t="s">
        <v>1657</v>
      </c>
    </row>
    <row r="179">
      <c r="A179" s="4" t="s">
        <v>1656</v>
      </c>
    </row>
    <row r="180">
      <c r="A180" s="4" t="s">
        <v>1656</v>
      </c>
    </row>
    <row r="181">
      <c r="A181" s="4" t="s">
        <v>1655</v>
      </c>
    </row>
    <row r="182">
      <c r="A182" s="4" t="s">
        <v>1656</v>
      </c>
    </row>
    <row r="183">
      <c r="A183" s="4" t="s">
        <v>1656</v>
      </c>
    </row>
    <row r="184">
      <c r="A184" s="4" t="s">
        <v>1657</v>
      </c>
    </row>
    <row r="185">
      <c r="A185" s="4" t="s">
        <v>1657</v>
      </c>
    </row>
    <row r="186">
      <c r="A186" s="4" t="s">
        <v>1657</v>
      </c>
    </row>
    <row r="187">
      <c r="A187" s="4" t="s">
        <v>1656</v>
      </c>
    </row>
    <row r="188">
      <c r="A188" s="4" t="s">
        <v>1657</v>
      </c>
    </row>
    <row r="189">
      <c r="A189" s="4" t="s">
        <v>1657</v>
      </c>
    </row>
    <row r="190">
      <c r="A190" s="4" t="s">
        <v>1656</v>
      </c>
    </row>
    <row r="191">
      <c r="A191" s="4" t="s">
        <v>1655</v>
      </c>
    </row>
    <row r="192">
      <c r="A192" s="4" t="s">
        <v>1656</v>
      </c>
    </row>
    <row r="193">
      <c r="A193" s="4" t="s">
        <v>1655</v>
      </c>
    </row>
    <row r="194">
      <c r="A194" s="4" t="s">
        <v>1657</v>
      </c>
    </row>
    <row r="195">
      <c r="A195" s="4" t="s">
        <v>1657</v>
      </c>
    </row>
    <row r="196">
      <c r="A196" s="4" t="s">
        <v>1656</v>
      </c>
    </row>
    <row r="197">
      <c r="A197" s="4" t="s">
        <v>1655</v>
      </c>
    </row>
    <row r="198">
      <c r="A198" s="4" t="s">
        <v>1657</v>
      </c>
    </row>
    <row r="199">
      <c r="A199" s="4" t="s">
        <v>1655</v>
      </c>
    </row>
    <row r="200">
      <c r="A200" s="4" t="s">
        <v>1657</v>
      </c>
    </row>
    <row r="201">
      <c r="A201" s="4" t="s">
        <v>1656</v>
      </c>
    </row>
    <row r="202">
      <c r="A202" s="4" t="s">
        <v>1655</v>
      </c>
    </row>
    <row r="203">
      <c r="A203" s="4" t="s">
        <v>1657</v>
      </c>
    </row>
    <row r="204">
      <c r="A204" s="4" t="s">
        <v>1655</v>
      </c>
    </row>
    <row r="205">
      <c r="A205" s="4" t="s">
        <v>1657</v>
      </c>
    </row>
    <row r="206">
      <c r="A206" s="4" t="s">
        <v>1655</v>
      </c>
    </row>
    <row r="207">
      <c r="A207" s="4" t="s">
        <v>1657</v>
      </c>
    </row>
    <row r="208">
      <c r="A208" s="4" t="s">
        <v>1657</v>
      </c>
    </row>
    <row r="209">
      <c r="A209" s="4" t="s">
        <v>1657</v>
      </c>
    </row>
    <row r="210">
      <c r="A210" s="4" t="s">
        <v>1655</v>
      </c>
    </row>
    <row r="211">
      <c r="A211" s="4" t="s">
        <v>1656</v>
      </c>
    </row>
    <row r="212">
      <c r="A212" s="4" t="s">
        <v>1656</v>
      </c>
    </row>
    <row r="213">
      <c r="A213" s="4" t="s">
        <v>1657</v>
      </c>
    </row>
    <row r="214">
      <c r="A214" s="4" t="s">
        <v>1657</v>
      </c>
    </row>
    <row r="215">
      <c r="A215" s="4" t="s">
        <v>1655</v>
      </c>
    </row>
    <row r="216">
      <c r="A216" s="4" t="s">
        <v>1657</v>
      </c>
    </row>
    <row r="217">
      <c r="A217" s="4" t="s">
        <v>1656</v>
      </c>
    </row>
    <row r="218">
      <c r="A218" s="4" t="s">
        <v>1657</v>
      </c>
    </row>
    <row r="219">
      <c r="A219" s="4" t="s">
        <v>1656</v>
      </c>
    </row>
    <row r="220">
      <c r="A220" s="4" t="s">
        <v>1655</v>
      </c>
    </row>
    <row r="221">
      <c r="A221" s="4" t="s">
        <v>1657</v>
      </c>
    </row>
    <row r="222">
      <c r="A222" s="4" t="s">
        <v>1655</v>
      </c>
    </row>
    <row r="223">
      <c r="A223" s="4" t="s">
        <v>1655</v>
      </c>
    </row>
    <row r="224">
      <c r="A224" s="4" t="s">
        <v>1655</v>
      </c>
    </row>
    <row r="225">
      <c r="A225" s="4" t="s">
        <v>1655</v>
      </c>
    </row>
    <row r="226">
      <c r="A226" s="4" t="s">
        <v>1657</v>
      </c>
    </row>
    <row r="227">
      <c r="A227" s="4" t="s">
        <v>1655</v>
      </c>
    </row>
    <row r="228">
      <c r="A228" s="4" t="s">
        <v>1655</v>
      </c>
    </row>
    <row r="229">
      <c r="A229" s="4" t="s">
        <v>1657</v>
      </c>
    </row>
    <row r="230">
      <c r="A230" s="4" t="s">
        <v>1657</v>
      </c>
    </row>
    <row r="231">
      <c r="A231" s="4" t="s">
        <v>1655</v>
      </c>
    </row>
    <row r="232">
      <c r="A232" s="4" t="s">
        <v>1656</v>
      </c>
    </row>
    <row r="233">
      <c r="A233" s="4" t="s">
        <v>1657</v>
      </c>
    </row>
    <row r="234">
      <c r="A234" s="4" t="s">
        <v>1656</v>
      </c>
    </row>
    <row r="235">
      <c r="A235" s="4" t="s">
        <v>1657</v>
      </c>
    </row>
    <row r="236">
      <c r="A236" s="4" t="s">
        <v>1657</v>
      </c>
    </row>
    <row r="237">
      <c r="A237" s="4" t="s">
        <v>1656</v>
      </c>
    </row>
    <row r="238">
      <c r="A238" s="4" t="s">
        <v>1655</v>
      </c>
    </row>
    <row r="239">
      <c r="A239" s="4" t="s">
        <v>1655</v>
      </c>
    </row>
    <row r="240">
      <c r="A240" s="4" t="s">
        <v>1655</v>
      </c>
    </row>
    <row r="241">
      <c r="A241" s="4" t="s">
        <v>1656</v>
      </c>
    </row>
    <row r="242">
      <c r="A242" s="4" t="s">
        <v>1656</v>
      </c>
    </row>
    <row r="243">
      <c r="A243" s="4" t="s">
        <v>1657</v>
      </c>
    </row>
    <row r="244">
      <c r="A244" s="4" t="s">
        <v>1657</v>
      </c>
    </row>
    <row r="245">
      <c r="A245" s="4" t="s">
        <v>1657</v>
      </c>
    </row>
    <row r="246">
      <c r="A246" s="4" t="s">
        <v>1657</v>
      </c>
    </row>
    <row r="247">
      <c r="A247" s="4" t="s">
        <v>1656</v>
      </c>
    </row>
    <row r="248">
      <c r="A248" s="4" t="s">
        <v>1656</v>
      </c>
    </row>
    <row r="249">
      <c r="A249" s="4" t="s">
        <v>1657</v>
      </c>
    </row>
    <row r="250">
      <c r="A250" s="4" t="s">
        <v>1655</v>
      </c>
    </row>
    <row r="251">
      <c r="A251" s="4" t="s">
        <v>1656</v>
      </c>
    </row>
    <row r="252">
      <c r="A252" s="4" t="s">
        <v>1657</v>
      </c>
    </row>
    <row r="253">
      <c r="A253" s="4" t="s">
        <v>1655</v>
      </c>
    </row>
    <row r="254">
      <c r="A254" s="4" t="s">
        <v>1655</v>
      </c>
    </row>
    <row r="255">
      <c r="A255" s="4" t="s">
        <v>1655</v>
      </c>
    </row>
    <row r="256">
      <c r="A256" s="4" t="s">
        <v>1655</v>
      </c>
    </row>
    <row r="257">
      <c r="A257" s="4" t="s">
        <v>1656</v>
      </c>
    </row>
    <row r="258">
      <c r="A258" s="4" t="s">
        <v>1655</v>
      </c>
    </row>
    <row r="259">
      <c r="A259" s="4" t="s">
        <v>1657</v>
      </c>
    </row>
    <row r="260">
      <c r="A260" s="4" t="s">
        <v>1657</v>
      </c>
    </row>
    <row r="261">
      <c r="A261" s="4" t="s">
        <v>1656</v>
      </c>
    </row>
    <row r="262">
      <c r="A262" s="4" t="s">
        <v>1655</v>
      </c>
    </row>
    <row r="263">
      <c r="A263" s="4" t="s">
        <v>1655</v>
      </c>
    </row>
    <row r="264">
      <c r="A264" s="4" t="s">
        <v>1657</v>
      </c>
    </row>
    <row r="265">
      <c r="A265" s="4" t="s">
        <v>1656</v>
      </c>
    </row>
    <row r="266">
      <c r="A266" s="4" t="s">
        <v>1657</v>
      </c>
    </row>
    <row r="267">
      <c r="A267" s="4" t="s">
        <v>1655</v>
      </c>
    </row>
    <row r="268">
      <c r="A268" s="4" t="s">
        <v>1655</v>
      </c>
    </row>
    <row r="269">
      <c r="A269" s="4" t="s">
        <v>1657</v>
      </c>
    </row>
    <row r="270">
      <c r="A270" s="4" t="s">
        <v>1655</v>
      </c>
    </row>
    <row r="271">
      <c r="A271" s="4" t="s">
        <v>1656</v>
      </c>
    </row>
    <row r="272">
      <c r="A272" s="4" t="s">
        <v>1657</v>
      </c>
    </row>
    <row r="273">
      <c r="A273" s="4" t="s">
        <v>1656</v>
      </c>
    </row>
    <row r="274">
      <c r="A274" s="4" t="s">
        <v>1655</v>
      </c>
    </row>
    <row r="275">
      <c r="A275" s="4" t="s">
        <v>1657</v>
      </c>
    </row>
    <row r="276">
      <c r="A276" s="4" t="s">
        <v>1656</v>
      </c>
    </row>
    <row r="277">
      <c r="A277" s="4" t="s">
        <v>1657</v>
      </c>
    </row>
    <row r="278">
      <c r="A278" s="4" t="s">
        <v>1655</v>
      </c>
    </row>
    <row r="279">
      <c r="A279" s="4" t="s">
        <v>1656</v>
      </c>
    </row>
    <row r="280">
      <c r="A280" s="4" t="s">
        <v>1657</v>
      </c>
    </row>
    <row r="281">
      <c r="A281" s="4" t="s">
        <v>1656</v>
      </c>
    </row>
    <row r="282">
      <c r="A282" s="4" t="s">
        <v>1657</v>
      </c>
    </row>
    <row r="283">
      <c r="A283" s="4" t="s">
        <v>1655</v>
      </c>
    </row>
    <row r="284">
      <c r="A284" s="4" t="s">
        <v>1655</v>
      </c>
    </row>
    <row r="285">
      <c r="A285" s="4" t="s">
        <v>1655</v>
      </c>
    </row>
    <row r="286">
      <c r="A286" s="4" t="s">
        <v>1655</v>
      </c>
    </row>
    <row r="287">
      <c r="A287" s="4" t="s">
        <v>1656</v>
      </c>
    </row>
    <row r="288">
      <c r="A288" s="4" t="s">
        <v>1656</v>
      </c>
    </row>
    <row r="289">
      <c r="A289" s="4" t="s">
        <v>1656</v>
      </c>
    </row>
    <row r="290">
      <c r="A290" s="4" t="s">
        <v>1657</v>
      </c>
    </row>
    <row r="291">
      <c r="A291" s="4" t="s">
        <v>1656</v>
      </c>
    </row>
    <row r="292">
      <c r="A292" s="4" t="s">
        <v>1656</v>
      </c>
    </row>
    <row r="293">
      <c r="A293" s="4" t="s">
        <v>1655</v>
      </c>
    </row>
    <row r="294">
      <c r="A294" s="4" t="s">
        <v>1657</v>
      </c>
    </row>
    <row r="295">
      <c r="A295" s="4" t="s">
        <v>1655</v>
      </c>
    </row>
    <row r="296">
      <c r="A296" s="4" t="s">
        <v>1657</v>
      </c>
    </row>
    <row r="297">
      <c r="A297" s="4" t="s">
        <v>1655</v>
      </c>
    </row>
    <row r="298">
      <c r="A298" s="4" t="s">
        <v>1655</v>
      </c>
    </row>
    <row r="299">
      <c r="A299" s="4" t="s">
        <v>1656</v>
      </c>
    </row>
    <row r="300">
      <c r="A300" s="4" t="s">
        <v>1656</v>
      </c>
    </row>
    <row r="301">
      <c r="A301" s="4" t="s">
        <v>1657</v>
      </c>
    </row>
    <row r="302">
      <c r="A302" s="4" t="s">
        <v>1655</v>
      </c>
    </row>
    <row r="303">
      <c r="A303" s="4" t="s">
        <v>1656</v>
      </c>
    </row>
    <row r="304">
      <c r="A304" s="4" t="s">
        <v>1657</v>
      </c>
    </row>
    <row r="305">
      <c r="A305" s="4" t="s">
        <v>1655</v>
      </c>
    </row>
    <row r="306">
      <c r="A306" s="4" t="s">
        <v>1657</v>
      </c>
    </row>
    <row r="307">
      <c r="A307" s="4" t="s">
        <v>1657</v>
      </c>
    </row>
    <row r="308">
      <c r="A308" s="4" t="s">
        <v>1657</v>
      </c>
    </row>
    <row r="309">
      <c r="A309" s="4" t="s">
        <v>1656</v>
      </c>
    </row>
    <row r="310">
      <c r="A310" s="4" t="s">
        <v>1655</v>
      </c>
    </row>
    <row r="311">
      <c r="A311" s="4" t="s">
        <v>1657</v>
      </c>
    </row>
    <row r="312">
      <c r="A312" s="4" t="s">
        <v>1656</v>
      </c>
    </row>
    <row r="313">
      <c r="A313" s="4" t="s">
        <v>1657</v>
      </c>
    </row>
    <row r="314">
      <c r="A314" s="4" t="s">
        <v>1656</v>
      </c>
    </row>
    <row r="315">
      <c r="A315" s="4" t="s">
        <v>1655</v>
      </c>
    </row>
    <row r="316">
      <c r="A316" s="4" t="s">
        <v>1657</v>
      </c>
    </row>
    <row r="317">
      <c r="A317" s="4" t="s">
        <v>1656</v>
      </c>
    </row>
    <row r="318">
      <c r="A318" s="4" t="s">
        <v>1655</v>
      </c>
    </row>
    <row r="319">
      <c r="A319" s="4" t="s">
        <v>1656</v>
      </c>
    </row>
    <row r="320">
      <c r="A320" s="4" t="s">
        <v>1655</v>
      </c>
    </row>
    <row r="321">
      <c r="A321" s="4" t="s">
        <v>1655</v>
      </c>
    </row>
    <row r="322">
      <c r="A322" s="4" t="s">
        <v>1657</v>
      </c>
    </row>
    <row r="323">
      <c r="A323" s="4" t="s">
        <v>1657</v>
      </c>
    </row>
    <row r="324">
      <c r="A324" s="4" t="s">
        <v>1656</v>
      </c>
    </row>
    <row r="325">
      <c r="A325" s="4" t="s">
        <v>1656</v>
      </c>
    </row>
    <row r="326">
      <c r="A326" s="4" t="s">
        <v>1657</v>
      </c>
    </row>
    <row r="327">
      <c r="A327" s="4" t="s">
        <v>1655</v>
      </c>
    </row>
    <row r="328">
      <c r="A328" s="4" t="s">
        <v>1655</v>
      </c>
    </row>
    <row r="329">
      <c r="A329" s="4" t="s">
        <v>1657</v>
      </c>
    </row>
    <row r="330">
      <c r="A330" s="4" t="s">
        <v>1656</v>
      </c>
    </row>
    <row r="331">
      <c r="A331" s="4" t="s">
        <v>1655</v>
      </c>
    </row>
    <row r="332">
      <c r="A332" s="4" t="s">
        <v>1655</v>
      </c>
    </row>
    <row r="333">
      <c r="A333" s="4" t="s">
        <v>1657</v>
      </c>
    </row>
    <row r="334">
      <c r="A334" s="4" t="s">
        <v>1655</v>
      </c>
    </row>
    <row r="335">
      <c r="A335" s="4" t="s">
        <v>1656</v>
      </c>
    </row>
    <row r="336">
      <c r="A336" s="4" t="s">
        <v>1657</v>
      </c>
    </row>
    <row r="337">
      <c r="A337" s="4" t="s">
        <v>1657</v>
      </c>
    </row>
    <row r="338">
      <c r="A338" s="4" t="s">
        <v>1656</v>
      </c>
    </row>
    <row r="339">
      <c r="A339" s="4" t="s">
        <v>1656</v>
      </c>
    </row>
    <row r="340">
      <c r="A340" s="4" t="s">
        <v>1656</v>
      </c>
    </row>
    <row r="341">
      <c r="A341" s="4" t="s">
        <v>1655</v>
      </c>
    </row>
    <row r="342">
      <c r="A342" s="4" t="s">
        <v>1656</v>
      </c>
    </row>
    <row r="343">
      <c r="A343" s="4" t="s">
        <v>1656</v>
      </c>
    </row>
    <row r="344">
      <c r="A344" s="4" t="s">
        <v>1656</v>
      </c>
    </row>
    <row r="345">
      <c r="A345" s="4" t="s">
        <v>1655</v>
      </c>
    </row>
    <row r="346">
      <c r="A346" s="4" t="s">
        <v>1657</v>
      </c>
    </row>
    <row r="347">
      <c r="A347" s="4" t="s">
        <v>1657</v>
      </c>
    </row>
    <row r="348">
      <c r="A348" s="4" t="s">
        <v>1656</v>
      </c>
    </row>
    <row r="349">
      <c r="A349" s="4" t="s">
        <v>1657</v>
      </c>
    </row>
    <row r="350">
      <c r="A350" s="4" t="s">
        <v>1657</v>
      </c>
    </row>
    <row r="351">
      <c r="A351" s="4" t="s">
        <v>1655</v>
      </c>
    </row>
    <row r="352">
      <c r="A352" s="4" t="s">
        <v>1656</v>
      </c>
    </row>
    <row r="353">
      <c r="A353" s="4" t="s">
        <v>1657</v>
      </c>
    </row>
    <row r="354">
      <c r="A354" s="4" t="s">
        <v>1657</v>
      </c>
    </row>
    <row r="355">
      <c r="A355" s="4" t="s">
        <v>1657</v>
      </c>
    </row>
    <row r="356">
      <c r="A356" s="4" t="s">
        <v>1657</v>
      </c>
    </row>
    <row r="357">
      <c r="A357" s="4" t="s">
        <v>1655</v>
      </c>
    </row>
    <row r="358">
      <c r="A358" s="4" t="s">
        <v>1656</v>
      </c>
    </row>
    <row r="359">
      <c r="A359" s="4" t="s">
        <v>1655</v>
      </c>
    </row>
    <row r="360">
      <c r="A360" s="4" t="s">
        <v>1657</v>
      </c>
    </row>
    <row r="361">
      <c r="A361" s="4" t="s">
        <v>1657</v>
      </c>
    </row>
    <row r="362">
      <c r="A362" s="4" t="s">
        <v>1657</v>
      </c>
    </row>
    <row r="363">
      <c r="A363" s="4" t="s">
        <v>1657</v>
      </c>
    </row>
    <row r="364">
      <c r="A364" s="4" t="s">
        <v>1657</v>
      </c>
    </row>
    <row r="365">
      <c r="A365" s="4" t="s">
        <v>1657</v>
      </c>
    </row>
    <row r="366">
      <c r="A366" s="4" t="s">
        <v>1657</v>
      </c>
    </row>
    <row r="367">
      <c r="A367" s="4" t="s">
        <v>1655</v>
      </c>
    </row>
    <row r="368">
      <c r="A368" s="4" t="s">
        <v>1657</v>
      </c>
    </row>
    <row r="369">
      <c r="A369" s="4" t="s">
        <v>1655</v>
      </c>
    </row>
    <row r="370">
      <c r="A370" s="4" t="s">
        <v>1656</v>
      </c>
    </row>
    <row r="371">
      <c r="A371" s="4" t="s">
        <v>1657</v>
      </c>
    </row>
    <row r="372">
      <c r="A372" s="4" t="s">
        <v>1657</v>
      </c>
    </row>
    <row r="373">
      <c r="A373" s="4" t="s">
        <v>1655</v>
      </c>
    </row>
    <row r="374">
      <c r="A374" s="4" t="s">
        <v>1656</v>
      </c>
    </row>
    <row r="375">
      <c r="A375" s="4" t="s">
        <v>1657</v>
      </c>
    </row>
    <row r="376">
      <c r="A376" s="4" t="s">
        <v>1656</v>
      </c>
    </row>
    <row r="377">
      <c r="A377" s="4" t="s">
        <v>1655</v>
      </c>
    </row>
    <row r="378">
      <c r="A378" s="4" t="s">
        <v>1657</v>
      </c>
    </row>
    <row r="379">
      <c r="A379" s="4" t="s">
        <v>1656</v>
      </c>
    </row>
    <row r="380">
      <c r="A380" s="4" t="s">
        <v>1656</v>
      </c>
    </row>
    <row r="381">
      <c r="A381" s="4" t="s">
        <v>1656</v>
      </c>
    </row>
    <row r="382">
      <c r="A382" s="4" t="s">
        <v>1655</v>
      </c>
    </row>
    <row r="383">
      <c r="A383" s="4" t="s">
        <v>1656</v>
      </c>
    </row>
    <row r="384">
      <c r="A384" s="4" t="s">
        <v>1655</v>
      </c>
    </row>
    <row r="385">
      <c r="A385" s="4" t="s">
        <v>1657</v>
      </c>
    </row>
    <row r="386">
      <c r="A386" s="4" t="s">
        <v>1657</v>
      </c>
    </row>
    <row r="387">
      <c r="A387" s="4" t="s">
        <v>1656</v>
      </c>
    </row>
    <row r="388">
      <c r="A388" s="4" t="s">
        <v>1657</v>
      </c>
    </row>
    <row r="389">
      <c r="A389" s="4" t="s">
        <v>1655</v>
      </c>
    </row>
    <row r="390">
      <c r="A390" s="4" t="s">
        <v>1655</v>
      </c>
    </row>
    <row r="391">
      <c r="A391" s="4" t="s">
        <v>1655</v>
      </c>
    </row>
    <row r="392">
      <c r="A392" s="4" t="s">
        <v>1657</v>
      </c>
    </row>
    <row r="393">
      <c r="A393" s="4" t="s">
        <v>1656</v>
      </c>
    </row>
    <row r="394">
      <c r="A394" s="4" t="s">
        <v>1657</v>
      </c>
    </row>
    <row r="395">
      <c r="A395" s="4" t="s">
        <v>1656</v>
      </c>
    </row>
    <row r="396">
      <c r="A396" s="4" t="s">
        <v>1655</v>
      </c>
    </row>
    <row r="397">
      <c r="A397" s="4" t="s">
        <v>1655</v>
      </c>
    </row>
    <row r="398">
      <c r="A398" s="4" t="s">
        <v>1657</v>
      </c>
    </row>
    <row r="399">
      <c r="A399" s="4" t="s">
        <v>1657</v>
      </c>
    </row>
    <row r="400">
      <c r="A400" s="4" t="s">
        <v>1655</v>
      </c>
    </row>
    <row r="401">
      <c r="A401" s="4" t="s">
        <v>1656</v>
      </c>
    </row>
    <row r="402">
      <c r="A402" s="4" t="s">
        <v>1655</v>
      </c>
    </row>
    <row r="403">
      <c r="A403" s="4" t="s">
        <v>1656</v>
      </c>
    </row>
    <row r="404">
      <c r="A404" s="4" t="s">
        <v>1657</v>
      </c>
    </row>
    <row r="405">
      <c r="A405" s="4" t="s">
        <v>1655</v>
      </c>
    </row>
    <row r="406">
      <c r="A406" s="4" t="s">
        <v>1657</v>
      </c>
    </row>
    <row r="407">
      <c r="A407" s="4" t="s">
        <v>1657</v>
      </c>
    </row>
    <row r="408">
      <c r="A408" s="4" t="s">
        <v>1657</v>
      </c>
    </row>
    <row r="409">
      <c r="A409" s="4" t="s">
        <v>1655</v>
      </c>
    </row>
    <row r="410">
      <c r="A410" s="4" t="s">
        <v>1657</v>
      </c>
    </row>
    <row r="411">
      <c r="A411" s="4" t="s">
        <v>1657</v>
      </c>
    </row>
    <row r="412">
      <c r="A412" s="4" t="s">
        <v>1657</v>
      </c>
    </row>
    <row r="413">
      <c r="A413" s="4" t="s">
        <v>1655</v>
      </c>
    </row>
    <row r="414">
      <c r="A414" s="4" t="s">
        <v>1657</v>
      </c>
    </row>
    <row r="415">
      <c r="A415" s="4" t="s">
        <v>1657</v>
      </c>
    </row>
    <row r="416">
      <c r="A416" s="4" t="s">
        <v>1655</v>
      </c>
    </row>
    <row r="417">
      <c r="A417" s="4" t="s">
        <v>1655</v>
      </c>
    </row>
    <row r="418">
      <c r="A418" s="4" t="s">
        <v>1655</v>
      </c>
    </row>
    <row r="419">
      <c r="A419" s="4" t="s">
        <v>1656</v>
      </c>
    </row>
    <row r="420">
      <c r="A420" s="4" t="s">
        <v>1657</v>
      </c>
    </row>
    <row r="421">
      <c r="A421" s="4" t="s">
        <v>1657</v>
      </c>
    </row>
    <row r="422">
      <c r="A422" s="4" t="s">
        <v>1656</v>
      </c>
    </row>
    <row r="423">
      <c r="A423" s="4" t="s">
        <v>1655</v>
      </c>
    </row>
    <row r="424">
      <c r="A424" s="4" t="s">
        <v>1655</v>
      </c>
    </row>
    <row r="425">
      <c r="A425" s="4" t="s">
        <v>1657</v>
      </c>
    </row>
    <row r="426">
      <c r="A426" s="4" t="s">
        <v>1655</v>
      </c>
    </row>
    <row r="427">
      <c r="A427" s="4" t="s">
        <v>1656</v>
      </c>
    </row>
    <row r="428">
      <c r="A428" s="4" t="s">
        <v>1656</v>
      </c>
    </row>
    <row r="429">
      <c r="A429" s="4" t="s">
        <v>1656</v>
      </c>
    </row>
    <row r="430">
      <c r="A430" s="4" t="s">
        <v>1656</v>
      </c>
    </row>
    <row r="431">
      <c r="A431" s="4" t="s">
        <v>1656</v>
      </c>
    </row>
    <row r="432">
      <c r="A432" s="4" t="s">
        <v>1657</v>
      </c>
    </row>
    <row r="433">
      <c r="A433" s="4" t="s">
        <v>1655</v>
      </c>
    </row>
    <row r="434">
      <c r="A434" s="4" t="s">
        <v>1657</v>
      </c>
    </row>
    <row r="435">
      <c r="A435" s="4" t="s">
        <v>1656</v>
      </c>
    </row>
    <row r="436">
      <c r="A436" s="4" t="s">
        <v>1655</v>
      </c>
    </row>
    <row r="437">
      <c r="A437" s="4" t="s">
        <v>1657</v>
      </c>
    </row>
    <row r="438">
      <c r="A438" s="4" t="s">
        <v>1656</v>
      </c>
    </row>
    <row r="439">
      <c r="A439" s="4" t="s">
        <v>1655</v>
      </c>
    </row>
    <row r="440">
      <c r="A440" s="4" t="s">
        <v>1656</v>
      </c>
    </row>
    <row r="441">
      <c r="A441" s="4" t="s">
        <v>1656</v>
      </c>
    </row>
    <row r="442">
      <c r="A442" s="4" t="s">
        <v>1656</v>
      </c>
    </row>
    <row r="443">
      <c r="A443" s="4" t="s">
        <v>1655</v>
      </c>
    </row>
    <row r="444">
      <c r="A444" s="4" t="s">
        <v>1655</v>
      </c>
    </row>
    <row r="445">
      <c r="A445" s="4" t="s">
        <v>1657</v>
      </c>
    </row>
    <row r="446">
      <c r="A446" s="4" t="s">
        <v>1657</v>
      </c>
    </row>
    <row r="447">
      <c r="A447" s="4" t="s">
        <v>1656</v>
      </c>
    </row>
    <row r="448">
      <c r="A448" s="4" t="s">
        <v>1656</v>
      </c>
    </row>
    <row r="449">
      <c r="A449" s="4" t="s">
        <v>1656</v>
      </c>
    </row>
    <row r="450">
      <c r="A450" s="4" t="s">
        <v>1655</v>
      </c>
    </row>
    <row r="451">
      <c r="A451" s="4" t="s">
        <v>1656</v>
      </c>
    </row>
    <row r="452">
      <c r="A452" s="4" t="s">
        <v>1656</v>
      </c>
    </row>
    <row r="453">
      <c r="A453" s="4" t="s">
        <v>1656</v>
      </c>
    </row>
    <row r="454">
      <c r="A454" s="4" t="s">
        <v>1655</v>
      </c>
    </row>
    <row r="455">
      <c r="A455" s="4" t="s">
        <v>1656</v>
      </c>
    </row>
    <row r="456">
      <c r="A456" s="4" t="s">
        <v>1655</v>
      </c>
    </row>
    <row r="457">
      <c r="A457" s="4" t="s">
        <v>1655</v>
      </c>
    </row>
    <row r="458">
      <c r="A458" s="4" t="s">
        <v>1657</v>
      </c>
    </row>
    <row r="459">
      <c r="A459" s="4" t="s">
        <v>1656</v>
      </c>
    </row>
    <row r="460">
      <c r="A460" s="4" t="s">
        <v>1655</v>
      </c>
    </row>
    <row r="461">
      <c r="A461" s="4" t="s">
        <v>1657</v>
      </c>
    </row>
    <row r="462">
      <c r="A462" s="4" t="s">
        <v>1655</v>
      </c>
    </row>
    <row r="463">
      <c r="A463" s="4" t="s">
        <v>1656</v>
      </c>
    </row>
    <row r="464">
      <c r="A464" s="4" t="s">
        <v>1655</v>
      </c>
    </row>
    <row r="465">
      <c r="A465" s="4" t="s">
        <v>1657</v>
      </c>
    </row>
    <row r="466">
      <c r="A466" s="4" t="s">
        <v>1656</v>
      </c>
    </row>
    <row r="467">
      <c r="A467" s="4" t="s">
        <v>1655</v>
      </c>
    </row>
    <row r="468">
      <c r="A468" s="4" t="s">
        <v>1655</v>
      </c>
    </row>
    <row r="469">
      <c r="A469" s="4" t="s">
        <v>1657</v>
      </c>
    </row>
    <row r="470">
      <c r="A470" s="4" t="s">
        <v>1657</v>
      </c>
    </row>
    <row r="471">
      <c r="A471" s="4" t="s">
        <v>1655</v>
      </c>
    </row>
    <row r="472">
      <c r="A472" s="4" t="s">
        <v>1657</v>
      </c>
    </row>
    <row r="473">
      <c r="A473" s="4" t="s">
        <v>1655</v>
      </c>
    </row>
    <row r="474">
      <c r="A474" s="4" t="s">
        <v>1656</v>
      </c>
    </row>
    <row r="475">
      <c r="A475" s="4" t="s">
        <v>1655</v>
      </c>
    </row>
    <row r="476">
      <c r="A476" s="4" t="s">
        <v>1655</v>
      </c>
    </row>
    <row r="477">
      <c r="A477" s="4" t="s">
        <v>1656</v>
      </c>
    </row>
    <row r="478">
      <c r="A478" s="4" t="s">
        <v>1655</v>
      </c>
    </row>
    <row r="479">
      <c r="A479" s="4" t="s">
        <v>1657</v>
      </c>
    </row>
    <row r="480">
      <c r="A480" s="4" t="s">
        <v>1656</v>
      </c>
    </row>
    <row r="481">
      <c r="A481" s="4" t="s">
        <v>1657</v>
      </c>
    </row>
    <row r="482">
      <c r="A482" s="4" t="s">
        <v>1655</v>
      </c>
    </row>
    <row r="483">
      <c r="A483" s="4" t="s">
        <v>1657</v>
      </c>
    </row>
    <row r="484">
      <c r="A484" s="4" t="s">
        <v>1657</v>
      </c>
    </row>
    <row r="485">
      <c r="A485" s="4" t="s">
        <v>1656</v>
      </c>
    </row>
    <row r="486">
      <c r="A486" s="4" t="s">
        <v>1655</v>
      </c>
    </row>
    <row r="487">
      <c r="A487" s="4" t="s">
        <v>1657</v>
      </c>
    </row>
    <row r="488">
      <c r="A488" s="4" t="s">
        <v>1656</v>
      </c>
    </row>
    <row r="489">
      <c r="A489" s="4" t="s">
        <v>1657</v>
      </c>
    </row>
    <row r="490">
      <c r="A490" s="4" t="s">
        <v>1656</v>
      </c>
    </row>
    <row r="491">
      <c r="A491" s="4" t="s">
        <v>1657</v>
      </c>
    </row>
    <row r="492">
      <c r="A492" s="4" t="s">
        <v>1655</v>
      </c>
    </row>
    <row r="493">
      <c r="A493" s="4" t="s">
        <v>1657</v>
      </c>
    </row>
    <row r="494">
      <c r="A494" s="4" t="s">
        <v>1657</v>
      </c>
    </row>
    <row r="495">
      <c r="A495" s="4" t="s">
        <v>1657</v>
      </c>
    </row>
    <row r="496">
      <c r="A496" s="4" t="s">
        <v>1655</v>
      </c>
    </row>
    <row r="497">
      <c r="A497" s="4" t="s">
        <v>1656</v>
      </c>
    </row>
    <row r="498">
      <c r="A498" s="4" t="s">
        <v>1655</v>
      </c>
    </row>
    <row r="499">
      <c r="A499" s="4" t="s">
        <v>1655</v>
      </c>
    </row>
    <row r="500">
      <c r="A500" s="4" t="s">
        <v>1657</v>
      </c>
    </row>
    <row r="501">
      <c r="A501" s="4" t="s">
        <v>1655</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37.0"/>
    <col customWidth="1" min="4" max="5" width="29.13"/>
    <col customWidth="1" min="6" max="7" width="21.38"/>
    <col customWidth="1" min="8" max="8" width="8.75"/>
    <col customWidth="1" min="16" max="16" width="20.63"/>
  </cols>
  <sheetData>
    <row r="1">
      <c r="A1" s="4"/>
      <c r="B1" s="4"/>
      <c r="C1" s="4" t="s">
        <v>2170</v>
      </c>
      <c r="D1" s="4" t="s">
        <v>546</v>
      </c>
      <c r="E1" s="4" t="s">
        <v>5</v>
      </c>
      <c r="F1" s="14" t="s">
        <v>171</v>
      </c>
      <c r="G1" s="5" t="s">
        <v>172</v>
      </c>
      <c r="H1" s="5" t="s">
        <v>7</v>
      </c>
      <c r="I1" s="5" t="s">
        <v>9</v>
      </c>
      <c r="J1" s="5" t="s">
        <v>9</v>
      </c>
      <c r="P1" s="6" t="s">
        <v>1655</v>
      </c>
      <c r="Q1" s="10">
        <v>27.0</v>
      </c>
    </row>
    <row r="2">
      <c r="A2" s="4"/>
      <c r="B2" s="4"/>
      <c r="C2" s="4" t="s">
        <v>1693</v>
      </c>
      <c r="D2" s="8" t="str">
        <f t="shared" ref="D2:D501" si="1">C2</f>
        <v>{"valorA":"microondas","valorB":1}</v>
      </c>
      <c r="E2" s="8" t="str">
        <f t="shared" ref="E2:E501" si="2">SUBSTITUTE(MID(C2,FIND(":",C2)+1,FIND(",",C2)-FIND(":",C2)-1),"""","")</f>
        <v>microondas</v>
      </c>
      <c r="F2" s="8" t="str">
        <f>IFERROR(__xludf.DUMMYFUNCTION("UNIQUE(E2:E501)"),"microondas")</f>
        <v>microondas</v>
      </c>
      <c r="G2" s="15" t="str">
        <f t="shared" ref="G2:G501" si="3">MID(C2,FIND("valorB",C2)+8,FIND("}",C2)-FIND("valorB",C2)-8)</f>
        <v>1</v>
      </c>
      <c r="H2" s="9">
        <f t="shared" ref="H2:H501" si="4">VALUE(SUBSTITUTE(G2,".",","))</f>
        <v>1</v>
      </c>
      <c r="I2" s="10">
        <f>IFERROR(__xludf.DUMMYFUNCTION("MAX(FILTER($H$2:$H501,$E$2:$E501=F2))"),160.0)</f>
        <v>160</v>
      </c>
      <c r="J2" s="5">
        <v>500.0</v>
      </c>
      <c r="P2" s="6" t="s">
        <v>1352</v>
      </c>
      <c r="Q2" s="10">
        <v>31.0</v>
      </c>
    </row>
    <row r="3">
      <c r="A3" s="4"/>
      <c r="B3" s="4"/>
      <c r="C3" s="4" t="s">
        <v>1694</v>
      </c>
      <c r="D3" s="8" t="str">
        <f t="shared" si="1"/>
        <v>{"valorA":"microondas","valorB":2}</v>
      </c>
      <c r="E3" s="8" t="str">
        <f t="shared" si="2"/>
        <v>microondas</v>
      </c>
      <c r="F3" s="8" t="str">
        <f>IFERROR(__xludf.DUMMYFUNCTION("""COMPUTED_VALUE"""),"freezer")</f>
        <v>freezer</v>
      </c>
      <c r="G3" s="15" t="str">
        <f t="shared" si="3"/>
        <v>2</v>
      </c>
      <c r="H3" s="9">
        <f t="shared" si="4"/>
        <v>2</v>
      </c>
      <c r="I3" s="10">
        <f>IFERROR(__xludf.DUMMYFUNCTION("MAX(FILTER($H$2:$H501,$E$2:$E501=F3))"),174.0)</f>
        <v>174</v>
      </c>
      <c r="P3" s="6" t="s">
        <v>2164</v>
      </c>
      <c r="Q3" s="10">
        <v>25.0</v>
      </c>
    </row>
    <row r="4">
      <c r="A4" s="4"/>
      <c r="B4" s="4"/>
      <c r="C4" s="4" t="s">
        <v>1659</v>
      </c>
      <c r="D4" s="8" t="str">
        <f t="shared" si="1"/>
        <v>{"valorA":"freezer","valorB":1}</v>
      </c>
      <c r="E4" s="8" t="str">
        <f t="shared" si="2"/>
        <v>freezer</v>
      </c>
      <c r="F4" s="8" t="str">
        <f>IFERROR(__xludf.DUMMYFUNCTION("""COMPUTED_VALUE"""),"ar condicionado")</f>
        <v>ar condicionado</v>
      </c>
      <c r="G4" s="15" t="str">
        <f t="shared" si="3"/>
        <v>1</v>
      </c>
      <c r="H4" s="9">
        <f t="shared" si="4"/>
        <v>1</v>
      </c>
      <c r="I4" s="10">
        <f>IFERROR(__xludf.DUMMYFUNCTION("MAX(FILTER($H$2:$H501,$E$2:$E501=F4))"),166.0)</f>
        <v>166</v>
      </c>
      <c r="P4" s="6" t="s">
        <v>2158</v>
      </c>
      <c r="Q4" s="10">
        <v>33.0</v>
      </c>
    </row>
    <row r="5">
      <c r="A5" s="4"/>
      <c r="B5" s="4"/>
      <c r="C5" s="4" t="s">
        <v>1658</v>
      </c>
      <c r="D5" s="8" t="str">
        <f t="shared" si="1"/>
        <v>{"valorA":"ar condicionado","valorB":1}</v>
      </c>
      <c r="E5" s="8" t="str">
        <f t="shared" si="2"/>
        <v>ar condicionado</v>
      </c>
      <c r="F5" s="8"/>
      <c r="G5" s="15" t="str">
        <f t="shared" si="3"/>
        <v>1</v>
      </c>
      <c r="H5" s="9">
        <f t="shared" si="4"/>
        <v>1</v>
      </c>
      <c r="I5" s="6" t="str">
        <f>IFERROR(__xludf.DUMMYFUNCTION("MAX(FILTER($H$2:$H501,$E$2:$E501=F5))"),"#N/A")</f>
        <v>#N/A</v>
      </c>
      <c r="P5" s="6" t="s">
        <v>2165</v>
      </c>
      <c r="Q5" s="10">
        <v>25.0</v>
      </c>
    </row>
    <row r="6">
      <c r="A6" s="4"/>
      <c r="B6" s="4"/>
      <c r="C6" s="4" t="s">
        <v>1660</v>
      </c>
      <c r="D6" s="8" t="str">
        <f t="shared" si="1"/>
        <v>{"valorA":"freezer","valorB":2}</v>
      </c>
      <c r="E6" s="8" t="str">
        <f t="shared" si="2"/>
        <v>freezer</v>
      </c>
      <c r="F6" s="8"/>
      <c r="G6" s="15" t="str">
        <f t="shared" si="3"/>
        <v>2</v>
      </c>
      <c r="H6" s="9">
        <f t="shared" si="4"/>
        <v>2</v>
      </c>
      <c r="I6" s="6" t="str">
        <f>IFERROR(__xludf.DUMMYFUNCTION("MAX(FILTER($H$2:$H501,$E$2:$E501=F6))"),"#N/A")</f>
        <v>#N/A</v>
      </c>
      <c r="K6" s="8"/>
      <c r="L6" s="9"/>
      <c r="P6" s="6" t="s">
        <v>2161</v>
      </c>
      <c r="Q6" s="10">
        <v>24.0</v>
      </c>
    </row>
    <row r="7">
      <c r="A7" s="4"/>
      <c r="B7" s="4"/>
      <c r="C7" s="4" t="s">
        <v>1661</v>
      </c>
      <c r="D7" s="8" t="str">
        <f t="shared" si="1"/>
        <v>{"valorA":"freezer","valorB":3}</v>
      </c>
      <c r="E7" s="8" t="str">
        <f t="shared" si="2"/>
        <v>freezer</v>
      </c>
      <c r="F7" s="8"/>
      <c r="G7" s="15" t="str">
        <f t="shared" si="3"/>
        <v>3</v>
      </c>
      <c r="H7" s="9">
        <f t="shared" si="4"/>
        <v>3</v>
      </c>
      <c r="I7" s="6" t="str">
        <f>IFERROR(__xludf.DUMMYFUNCTION("MAX(FILTER($H$2:$H501,$E$2:$E501=F7))"),"#N/A")</f>
        <v>#N/A</v>
      </c>
      <c r="P7" s="6" t="s">
        <v>2160</v>
      </c>
      <c r="Q7" s="10">
        <v>25.0</v>
      </c>
    </row>
    <row r="8">
      <c r="A8" s="4"/>
      <c r="B8" s="4"/>
      <c r="C8" s="4" t="s">
        <v>1696</v>
      </c>
      <c r="D8" s="8" t="str">
        <f t="shared" si="1"/>
        <v>{"valorA":"microondas","valorB":3}</v>
      </c>
      <c r="E8" s="8" t="str">
        <f t="shared" si="2"/>
        <v>microondas</v>
      </c>
      <c r="F8" s="8"/>
      <c r="G8" s="15" t="str">
        <f t="shared" si="3"/>
        <v>3</v>
      </c>
      <c r="H8" s="9">
        <f t="shared" si="4"/>
        <v>3</v>
      </c>
      <c r="I8" s="6" t="str">
        <f>IFERROR(__xludf.DUMMYFUNCTION("MAX(FILTER($H$2:$H501,$E$2:$E501=F8))"),"#N/A")</f>
        <v>#N/A</v>
      </c>
      <c r="P8" s="6" t="s">
        <v>1656</v>
      </c>
      <c r="Q8" s="10">
        <v>24.0</v>
      </c>
    </row>
    <row r="9">
      <c r="A9" s="4"/>
      <c r="B9" s="4"/>
      <c r="C9" s="4" t="s">
        <v>1662</v>
      </c>
      <c r="D9" s="8" t="str">
        <f t="shared" si="1"/>
        <v>{"valorA":"freezer","valorB":4}</v>
      </c>
      <c r="E9" s="8" t="str">
        <f t="shared" si="2"/>
        <v>freezer</v>
      </c>
      <c r="F9" s="8"/>
      <c r="G9" s="15" t="str">
        <f t="shared" si="3"/>
        <v>4</v>
      </c>
      <c r="H9" s="9">
        <f t="shared" si="4"/>
        <v>4</v>
      </c>
      <c r="I9" s="6" t="str">
        <f>IFERROR(__xludf.DUMMYFUNCTION("MAX(FILTER($H$2:$H501,$E$2:$E501=F9))"),"#N/A")</f>
        <v>#N/A</v>
      </c>
      <c r="P9" s="6" t="s">
        <v>2163</v>
      </c>
      <c r="Q9" s="10">
        <v>21.0</v>
      </c>
    </row>
    <row r="10">
      <c r="A10" s="4"/>
      <c r="B10" s="4"/>
      <c r="C10" s="4" t="s">
        <v>1663</v>
      </c>
      <c r="D10" s="8" t="str">
        <f t="shared" si="1"/>
        <v>{"valorA":"freezer","valorB":5}</v>
      </c>
      <c r="E10" s="8" t="str">
        <f t="shared" si="2"/>
        <v>freezer</v>
      </c>
      <c r="F10" s="8"/>
      <c r="G10" s="15" t="str">
        <f t="shared" si="3"/>
        <v>5</v>
      </c>
      <c r="H10" s="9">
        <f t="shared" si="4"/>
        <v>5</v>
      </c>
      <c r="I10" s="6" t="str">
        <f>IFERROR(__xludf.DUMMYFUNCTION("MAX(FILTER($H$2:$H501,$E$2:$E501=F10))"),"#N/A")</f>
        <v>#N/A</v>
      </c>
      <c r="P10" s="6" t="s">
        <v>2167</v>
      </c>
      <c r="Q10" s="10">
        <v>28.0</v>
      </c>
    </row>
    <row r="11">
      <c r="A11" s="4"/>
      <c r="B11" s="4"/>
      <c r="C11" s="4" t="s">
        <v>1695</v>
      </c>
      <c r="D11" s="8" t="str">
        <f t="shared" si="1"/>
        <v>{"valorA":"ar condicionado","valorB":2}</v>
      </c>
      <c r="E11" s="8" t="str">
        <f t="shared" si="2"/>
        <v>ar condicionado</v>
      </c>
      <c r="F11" s="8"/>
      <c r="G11" s="15" t="str">
        <f t="shared" si="3"/>
        <v>2</v>
      </c>
      <c r="H11" s="9">
        <f t="shared" si="4"/>
        <v>2</v>
      </c>
      <c r="I11" s="6" t="str">
        <f>IFERROR(__xludf.DUMMYFUNCTION("MAX(FILTER($H$2:$H501,$E$2:$E501=F11))"),"#N/A")</f>
        <v>#N/A</v>
      </c>
      <c r="P11" s="6" t="s">
        <v>2159</v>
      </c>
      <c r="Q11" s="10">
        <v>28.0</v>
      </c>
    </row>
    <row r="12">
      <c r="A12" s="4"/>
      <c r="B12" s="4"/>
      <c r="C12" s="4" t="s">
        <v>1699</v>
      </c>
      <c r="D12" s="8" t="str">
        <f t="shared" si="1"/>
        <v>{"valorA":"microondas","valorB":4}</v>
      </c>
      <c r="E12" s="8" t="str">
        <f t="shared" si="2"/>
        <v>microondas</v>
      </c>
      <c r="F12" s="8"/>
      <c r="G12" s="15" t="str">
        <f t="shared" si="3"/>
        <v>4</v>
      </c>
      <c r="H12" s="9">
        <f t="shared" si="4"/>
        <v>4</v>
      </c>
      <c r="I12" s="6" t="str">
        <f>IFERROR(__xludf.DUMMYFUNCTION("MAX(FILTER($H$2:$H501,$E$2:$E501=F12))"),"#N/A")</f>
        <v>#N/A</v>
      </c>
    </row>
    <row r="13">
      <c r="A13" s="4"/>
      <c r="B13" s="4"/>
      <c r="C13" s="4" t="s">
        <v>1697</v>
      </c>
      <c r="D13" s="8" t="str">
        <f t="shared" si="1"/>
        <v>{"valorA":"ar condicionado","valorB":3}</v>
      </c>
      <c r="E13" s="8" t="str">
        <f t="shared" si="2"/>
        <v>ar condicionado</v>
      </c>
      <c r="F13" s="8"/>
      <c r="G13" s="15" t="str">
        <f t="shared" si="3"/>
        <v>3</v>
      </c>
      <c r="H13" s="9">
        <f t="shared" si="4"/>
        <v>3</v>
      </c>
      <c r="I13" s="6" t="str">
        <f>IFERROR(__xludf.DUMMYFUNCTION("MAX(FILTER($H$2:$H501,$E$2:$E501=F13))"),"#N/A")</f>
        <v>#N/A</v>
      </c>
    </row>
    <row r="14">
      <c r="A14" s="4"/>
      <c r="B14" s="4"/>
      <c r="C14" s="4" t="s">
        <v>1698</v>
      </c>
      <c r="D14" s="8" t="str">
        <f t="shared" si="1"/>
        <v>{"valorA":"ar condicionado","valorB":4}</v>
      </c>
      <c r="E14" s="8" t="str">
        <f t="shared" si="2"/>
        <v>ar condicionado</v>
      </c>
      <c r="F14" s="8"/>
      <c r="G14" s="15" t="str">
        <f t="shared" si="3"/>
        <v>4</v>
      </c>
      <c r="H14" s="9">
        <f t="shared" si="4"/>
        <v>4</v>
      </c>
      <c r="I14" s="6" t="str">
        <f>IFERROR(__xludf.DUMMYFUNCTION("MAX(FILTER($H$2:$H501,$E$2:$E501=F14))"),"#N/A")</f>
        <v>#N/A</v>
      </c>
    </row>
    <row r="15">
      <c r="A15" s="4"/>
      <c r="B15" s="4"/>
      <c r="C15" s="4" t="s">
        <v>1664</v>
      </c>
      <c r="D15" s="8" t="str">
        <f t="shared" si="1"/>
        <v>{"valorA":"freezer","valorB":6}</v>
      </c>
      <c r="E15" s="8" t="str">
        <f t="shared" si="2"/>
        <v>freezer</v>
      </c>
      <c r="F15" s="8"/>
      <c r="G15" s="15" t="str">
        <f t="shared" si="3"/>
        <v>6</v>
      </c>
      <c r="H15" s="9">
        <f t="shared" si="4"/>
        <v>6</v>
      </c>
      <c r="I15" s="6" t="str">
        <f>IFERROR(__xludf.DUMMYFUNCTION("MAX(FILTER($H$2:$H501,$E$2:$E501=F15))"),"#N/A")</f>
        <v>#N/A</v>
      </c>
    </row>
    <row r="16">
      <c r="A16" s="4"/>
      <c r="B16" s="4"/>
      <c r="C16" s="4" t="s">
        <v>1701</v>
      </c>
      <c r="D16" s="8" t="str">
        <f t="shared" si="1"/>
        <v>{"valorA":"microondas","valorB":5}</v>
      </c>
      <c r="E16" s="8" t="str">
        <f t="shared" si="2"/>
        <v>microondas</v>
      </c>
      <c r="F16" s="8"/>
      <c r="G16" s="15" t="str">
        <f t="shared" si="3"/>
        <v>5</v>
      </c>
      <c r="H16" s="9">
        <f t="shared" si="4"/>
        <v>5</v>
      </c>
      <c r="I16" s="6" t="str">
        <f>IFERROR(__xludf.DUMMYFUNCTION("MAX(FILTER($H$2:$H501,$E$2:$E501=F16))"),"#N/A")</f>
        <v>#N/A</v>
      </c>
    </row>
    <row r="17">
      <c r="A17" s="4"/>
      <c r="B17" s="4"/>
      <c r="C17" s="4" t="s">
        <v>1665</v>
      </c>
      <c r="D17" s="8" t="str">
        <f t="shared" si="1"/>
        <v>{"valorA":"freezer","valorB":7}</v>
      </c>
      <c r="E17" s="8" t="str">
        <f t="shared" si="2"/>
        <v>freezer</v>
      </c>
      <c r="F17" s="8"/>
      <c r="G17" s="15" t="str">
        <f t="shared" si="3"/>
        <v>7</v>
      </c>
      <c r="H17" s="9">
        <f t="shared" si="4"/>
        <v>7</v>
      </c>
      <c r="I17" s="6" t="str">
        <f>IFERROR(__xludf.DUMMYFUNCTION("MAX(FILTER($H$2:$H501,$E$2:$E501=F17))"),"#N/A")</f>
        <v>#N/A</v>
      </c>
    </row>
    <row r="18">
      <c r="A18" s="4"/>
      <c r="B18" s="4"/>
      <c r="C18" s="4" t="s">
        <v>1700</v>
      </c>
      <c r="D18" s="8" t="str">
        <f t="shared" si="1"/>
        <v>{"valorA":"ar condicionado","valorB":5}</v>
      </c>
      <c r="E18" s="8" t="str">
        <f t="shared" si="2"/>
        <v>ar condicionado</v>
      </c>
      <c r="F18" s="8"/>
      <c r="G18" s="15" t="str">
        <f t="shared" si="3"/>
        <v>5</v>
      </c>
      <c r="H18" s="9">
        <f t="shared" si="4"/>
        <v>5</v>
      </c>
      <c r="I18" s="6" t="str">
        <f>IFERROR(__xludf.DUMMYFUNCTION("MAX(FILTER($H$2:$H501,$E$2:$E501=F18))"),"#N/A")</f>
        <v>#N/A</v>
      </c>
    </row>
    <row r="19">
      <c r="A19" s="4"/>
      <c r="B19" s="4"/>
      <c r="C19" s="4" t="s">
        <v>1703</v>
      </c>
      <c r="D19" s="8" t="str">
        <f t="shared" si="1"/>
        <v>{"valorA":"microondas","valorB":6}</v>
      </c>
      <c r="E19" s="8" t="str">
        <f t="shared" si="2"/>
        <v>microondas</v>
      </c>
      <c r="F19" s="8"/>
      <c r="G19" s="15" t="str">
        <f t="shared" si="3"/>
        <v>6</v>
      </c>
      <c r="H19" s="9">
        <f t="shared" si="4"/>
        <v>6</v>
      </c>
      <c r="I19" s="6" t="str">
        <f>IFERROR(__xludf.DUMMYFUNCTION("MAX(FILTER($H$2:$H501,$E$2:$E501=F19))"),"#N/A")</f>
        <v>#N/A</v>
      </c>
    </row>
    <row r="20">
      <c r="A20" s="4"/>
      <c r="B20" s="4"/>
      <c r="C20" s="4" t="s">
        <v>1702</v>
      </c>
      <c r="D20" s="8" t="str">
        <f t="shared" si="1"/>
        <v>{"valorA":"ar condicionado","valorB":6}</v>
      </c>
      <c r="E20" s="8" t="str">
        <f t="shared" si="2"/>
        <v>ar condicionado</v>
      </c>
      <c r="F20" s="8"/>
      <c r="G20" s="15" t="str">
        <f t="shared" si="3"/>
        <v>6</v>
      </c>
      <c r="H20" s="9">
        <f t="shared" si="4"/>
        <v>6</v>
      </c>
      <c r="I20" s="6" t="str">
        <f>IFERROR(__xludf.DUMMYFUNCTION("MAX(FILTER($H$2:$H501,$E$2:$E501=F20))"),"#N/A")</f>
        <v>#N/A</v>
      </c>
    </row>
    <row r="21">
      <c r="A21" s="4"/>
      <c r="B21" s="4"/>
      <c r="C21" s="4" t="s">
        <v>1666</v>
      </c>
      <c r="D21" s="8" t="str">
        <f t="shared" si="1"/>
        <v>{"valorA":"freezer","valorB":8}</v>
      </c>
      <c r="E21" s="8" t="str">
        <f t="shared" si="2"/>
        <v>freezer</v>
      </c>
      <c r="F21" s="8"/>
      <c r="G21" s="15" t="str">
        <f t="shared" si="3"/>
        <v>8</v>
      </c>
      <c r="H21" s="9">
        <f t="shared" si="4"/>
        <v>8</v>
      </c>
      <c r="I21" s="6" t="str">
        <f>IFERROR(__xludf.DUMMYFUNCTION("MAX(FILTER($H$2:$H501,$E$2:$E501=F21))"),"#N/A")</f>
        <v>#N/A</v>
      </c>
    </row>
    <row r="22">
      <c r="A22" s="4"/>
      <c r="B22" s="4"/>
      <c r="C22" s="4" t="s">
        <v>1667</v>
      </c>
      <c r="D22" s="8" t="str">
        <f t="shared" si="1"/>
        <v>{"valorA":"freezer","valorB":9}</v>
      </c>
      <c r="E22" s="8" t="str">
        <f t="shared" si="2"/>
        <v>freezer</v>
      </c>
      <c r="F22" s="8"/>
      <c r="G22" s="15" t="str">
        <f t="shared" si="3"/>
        <v>9</v>
      </c>
      <c r="H22" s="9">
        <f t="shared" si="4"/>
        <v>9</v>
      </c>
      <c r="I22" s="6" t="str">
        <f>IFERROR(__xludf.DUMMYFUNCTION("MAX(FILTER($H$2:$H501,$E$2:$E501=F22))"),"#N/A")</f>
        <v>#N/A</v>
      </c>
    </row>
    <row r="23">
      <c r="A23" s="4"/>
      <c r="B23" s="4"/>
      <c r="C23" s="4" t="s">
        <v>1704</v>
      </c>
      <c r="D23" s="8" t="str">
        <f t="shared" si="1"/>
        <v>{"valorA":"microondas","valorB":7}</v>
      </c>
      <c r="E23" s="8" t="str">
        <f t="shared" si="2"/>
        <v>microondas</v>
      </c>
      <c r="F23" s="8"/>
      <c r="G23" s="15" t="str">
        <f t="shared" si="3"/>
        <v>7</v>
      </c>
      <c r="H23" s="9">
        <f t="shared" si="4"/>
        <v>7</v>
      </c>
      <c r="I23" s="6" t="str">
        <f>IFERROR(__xludf.DUMMYFUNCTION("MAX(FILTER($H$2:$H501,$E$2:$E501=F23))"),"#N/A")</f>
        <v>#N/A</v>
      </c>
    </row>
    <row r="24">
      <c r="A24" s="4"/>
      <c r="B24" s="4"/>
      <c r="C24" s="4" t="s">
        <v>1708</v>
      </c>
      <c r="D24" s="8" t="str">
        <f t="shared" si="1"/>
        <v>{"valorA":"microondas","valorB":8}</v>
      </c>
      <c r="E24" s="8" t="str">
        <f t="shared" si="2"/>
        <v>microondas</v>
      </c>
      <c r="F24" s="8"/>
      <c r="G24" s="15" t="str">
        <f t="shared" si="3"/>
        <v>8</v>
      </c>
      <c r="H24" s="9">
        <f t="shared" si="4"/>
        <v>8</v>
      </c>
      <c r="I24" s="6" t="str">
        <f>IFERROR(__xludf.DUMMYFUNCTION("MAX(FILTER($H$2:$H501,$E$2:$E501=F24))"),"#N/A")</f>
        <v>#N/A</v>
      </c>
    </row>
    <row r="25">
      <c r="A25" s="4"/>
      <c r="B25" s="4"/>
      <c r="C25" s="4" t="s">
        <v>1705</v>
      </c>
      <c r="D25" s="8" t="str">
        <f t="shared" si="1"/>
        <v>{"valorA":"ar condicionado","valorB":7}</v>
      </c>
      <c r="E25" s="8" t="str">
        <f t="shared" si="2"/>
        <v>ar condicionado</v>
      </c>
      <c r="F25" s="8"/>
      <c r="G25" s="15" t="str">
        <f t="shared" si="3"/>
        <v>7</v>
      </c>
      <c r="H25" s="9">
        <f t="shared" si="4"/>
        <v>7</v>
      </c>
      <c r="I25" s="6" t="str">
        <f>IFERROR(__xludf.DUMMYFUNCTION("MAX(FILTER($H$2:$H501,$E$2:$E501=F25))"),"#N/A")</f>
        <v>#N/A</v>
      </c>
    </row>
    <row r="26">
      <c r="A26" s="4"/>
      <c r="B26" s="4"/>
      <c r="C26" s="4" t="s">
        <v>1712</v>
      </c>
      <c r="D26" s="8" t="str">
        <f t="shared" si="1"/>
        <v>{"valorA":"microondas","valorB":9}</v>
      </c>
      <c r="E26" s="8" t="str">
        <f t="shared" si="2"/>
        <v>microondas</v>
      </c>
      <c r="F26" s="8"/>
      <c r="G26" s="15" t="str">
        <f t="shared" si="3"/>
        <v>9</v>
      </c>
      <c r="H26" s="9">
        <f t="shared" si="4"/>
        <v>9</v>
      </c>
      <c r="I26" s="6" t="str">
        <f>IFERROR(__xludf.DUMMYFUNCTION("MAX(FILTER($H$2:$H501,$E$2:$E501=F26))"),"#N/A")</f>
        <v>#N/A</v>
      </c>
    </row>
    <row r="27">
      <c r="A27" s="4"/>
      <c r="B27" s="4"/>
      <c r="C27" s="4" t="s">
        <v>1713</v>
      </c>
      <c r="D27" s="8" t="str">
        <f t="shared" si="1"/>
        <v>{"valorA":"microondas","valorB":10}</v>
      </c>
      <c r="E27" s="8" t="str">
        <f t="shared" si="2"/>
        <v>microondas</v>
      </c>
      <c r="F27" s="8"/>
      <c r="G27" s="15" t="str">
        <f t="shared" si="3"/>
        <v>10</v>
      </c>
      <c r="H27" s="9">
        <f t="shared" si="4"/>
        <v>10</v>
      </c>
      <c r="I27" s="6" t="str">
        <f>IFERROR(__xludf.DUMMYFUNCTION("MAX(FILTER($H$2:$H501,$E$2:$E501=F27))"),"#N/A")</f>
        <v>#N/A</v>
      </c>
    </row>
    <row r="28">
      <c r="A28" s="4"/>
      <c r="B28" s="4"/>
      <c r="C28" s="4" t="s">
        <v>1668</v>
      </c>
      <c r="D28" s="8" t="str">
        <f t="shared" si="1"/>
        <v>{"valorA":"freezer","valorB":10}</v>
      </c>
      <c r="E28" s="8" t="str">
        <f t="shared" si="2"/>
        <v>freezer</v>
      </c>
      <c r="F28" s="8"/>
      <c r="G28" s="15" t="str">
        <f t="shared" si="3"/>
        <v>10</v>
      </c>
      <c r="H28" s="9">
        <f t="shared" si="4"/>
        <v>10</v>
      </c>
      <c r="I28" s="6" t="str">
        <f>IFERROR(__xludf.DUMMYFUNCTION("MAX(FILTER($H$2:$H501,$E$2:$E501=F28))"),"#N/A")</f>
        <v>#N/A</v>
      </c>
    </row>
    <row r="29">
      <c r="A29" s="4"/>
      <c r="B29" s="4"/>
      <c r="C29" s="4" t="s">
        <v>1706</v>
      </c>
      <c r="D29" s="8" t="str">
        <f t="shared" si="1"/>
        <v>{"valorA":"ar condicionado","valorB":8}</v>
      </c>
      <c r="E29" s="8" t="str">
        <f t="shared" si="2"/>
        <v>ar condicionado</v>
      </c>
      <c r="F29" s="8"/>
      <c r="G29" s="15" t="str">
        <f t="shared" si="3"/>
        <v>8</v>
      </c>
      <c r="H29" s="9">
        <f t="shared" si="4"/>
        <v>8</v>
      </c>
      <c r="I29" s="6" t="str">
        <f>IFERROR(__xludf.DUMMYFUNCTION("MAX(FILTER($H$2:$H501,$E$2:$E501=F29))"),"#N/A")</f>
        <v>#N/A</v>
      </c>
    </row>
    <row r="30">
      <c r="A30" s="4"/>
      <c r="B30" s="4"/>
      <c r="C30" s="4" t="s">
        <v>1714</v>
      </c>
      <c r="D30" s="8" t="str">
        <f t="shared" si="1"/>
        <v>{"valorA":"microondas","valorB":11}</v>
      </c>
      <c r="E30" s="8" t="str">
        <f t="shared" si="2"/>
        <v>microondas</v>
      </c>
      <c r="F30" s="8"/>
      <c r="G30" s="15" t="str">
        <f t="shared" si="3"/>
        <v>11</v>
      </c>
      <c r="H30" s="9">
        <f t="shared" si="4"/>
        <v>11</v>
      </c>
      <c r="I30" s="6" t="str">
        <f>IFERROR(__xludf.DUMMYFUNCTION("MAX(FILTER($H$2:$H501,$E$2:$E501=F30))"),"#N/A")</f>
        <v>#N/A</v>
      </c>
    </row>
    <row r="31">
      <c r="A31" s="4"/>
      <c r="B31" s="4"/>
      <c r="C31" s="4" t="s">
        <v>1669</v>
      </c>
      <c r="D31" s="8" t="str">
        <f t="shared" si="1"/>
        <v>{"valorA":"freezer","valorB":11}</v>
      </c>
      <c r="E31" s="8" t="str">
        <f t="shared" si="2"/>
        <v>freezer</v>
      </c>
      <c r="F31" s="8"/>
      <c r="G31" s="15" t="str">
        <f t="shared" si="3"/>
        <v>11</v>
      </c>
      <c r="H31" s="9">
        <f t="shared" si="4"/>
        <v>11</v>
      </c>
      <c r="I31" s="6" t="str">
        <f>IFERROR(__xludf.DUMMYFUNCTION("MAX(FILTER($H$2:$H501,$E$2:$E501=F31))"),"#N/A")</f>
        <v>#N/A</v>
      </c>
    </row>
    <row r="32">
      <c r="A32" s="4"/>
      <c r="B32" s="4"/>
      <c r="C32" s="4" t="s">
        <v>1670</v>
      </c>
      <c r="D32" s="8" t="str">
        <f t="shared" si="1"/>
        <v>{"valorA":"freezer","valorB":12}</v>
      </c>
      <c r="E32" s="8" t="str">
        <f t="shared" si="2"/>
        <v>freezer</v>
      </c>
      <c r="F32" s="8"/>
      <c r="G32" s="15" t="str">
        <f t="shared" si="3"/>
        <v>12</v>
      </c>
      <c r="H32" s="9">
        <f t="shared" si="4"/>
        <v>12</v>
      </c>
      <c r="I32" s="6" t="str">
        <f>IFERROR(__xludf.DUMMYFUNCTION("MAX(FILTER($H$2:$H501,$E$2:$E501=F32))"),"#N/A")</f>
        <v>#N/A</v>
      </c>
    </row>
    <row r="33">
      <c r="A33" s="4"/>
      <c r="B33" s="4"/>
      <c r="C33" s="4" t="s">
        <v>1671</v>
      </c>
      <c r="D33" s="8" t="str">
        <f t="shared" si="1"/>
        <v>{"valorA":"freezer","valorB":13}</v>
      </c>
      <c r="E33" s="8" t="str">
        <f t="shared" si="2"/>
        <v>freezer</v>
      </c>
      <c r="F33" s="8"/>
      <c r="G33" s="15" t="str">
        <f t="shared" si="3"/>
        <v>13</v>
      </c>
      <c r="H33" s="9">
        <f t="shared" si="4"/>
        <v>13</v>
      </c>
      <c r="I33" s="6" t="str">
        <f>IFERROR(__xludf.DUMMYFUNCTION("MAX(FILTER($H$2:$H501,$E$2:$E501=F33))"),"#N/A")</f>
        <v>#N/A</v>
      </c>
    </row>
    <row r="34">
      <c r="A34" s="4"/>
      <c r="B34" s="4"/>
      <c r="C34" s="4" t="s">
        <v>1716</v>
      </c>
      <c r="D34" s="8" t="str">
        <f t="shared" si="1"/>
        <v>{"valorA":"microondas","valorB":12}</v>
      </c>
      <c r="E34" s="8" t="str">
        <f t="shared" si="2"/>
        <v>microondas</v>
      </c>
      <c r="F34" s="8"/>
      <c r="G34" s="15" t="str">
        <f t="shared" si="3"/>
        <v>12</v>
      </c>
      <c r="H34" s="9">
        <f t="shared" si="4"/>
        <v>12</v>
      </c>
      <c r="I34" s="6" t="str">
        <f>IFERROR(__xludf.DUMMYFUNCTION("MAX(FILTER($H$2:$H501,$E$2:$E501=F34))"),"#N/A")</f>
        <v>#N/A</v>
      </c>
    </row>
    <row r="35">
      <c r="A35" s="4"/>
      <c r="B35" s="4"/>
      <c r="C35" s="4" t="s">
        <v>1720</v>
      </c>
      <c r="D35" s="8" t="str">
        <f t="shared" si="1"/>
        <v>{"valorA":"microondas","valorB":13}</v>
      </c>
      <c r="E35" s="8" t="str">
        <f t="shared" si="2"/>
        <v>microondas</v>
      </c>
      <c r="F35" s="8"/>
      <c r="G35" s="15" t="str">
        <f t="shared" si="3"/>
        <v>13</v>
      </c>
      <c r="H35" s="9">
        <f t="shared" si="4"/>
        <v>13</v>
      </c>
      <c r="I35" s="6" t="str">
        <f>IFERROR(__xludf.DUMMYFUNCTION("MAX(FILTER($H$2:$H501,$E$2:$E501=F35))"),"#N/A")</f>
        <v>#N/A</v>
      </c>
    </row>
    <row r="36">
      <c r="A36" s="4"/>
      <c r="B36" s="4"/>
      <c r="C36" s="4" t="s">
        <v>1707</v>
      </c>
      <c r="D36" s="8" t="str">
        <f t="shared" si="1"/>
        <v>{"valorA":"ar condicionado","valorB":9}</v>
      </c>
      <c r="E36" s="8" t="str">
        <f t="shared" si="2"/>
        <v>ar condicionado</v>
      </c>
      <c r="F36" s="8"/>
      <c r="G36" s="15" t="str">
        <f t="shared" si="3"/>
        <v>9</v>
      </c>
      <c r="H36" s="9">
        <f t="shared" si="4"/>
        <v>9</v>
      </c>
      <c r="I36" s="6" t="str">
        <f>IFERROR(__xludf.DUMMYFUNCTION("MAX(FILTER($H$2:$H501,$E$2:$E501=F36))"),"#N/A")</f>
        <v>#N/A</v>
      </c>
    </row>
    <row r="37">
      <c r="A37" s="4"/>
      <c r="B37" s="4"/>
      <c r="C37" s="4" t="s">
        <v>1709</v>
      </c>
      <c r="D37" s="8" t="str">
        <f t="shared" si="1"/>
        <v>{"valorA":"ar condicionado","valorB":10}</v>
      </c>
      <c r="E37" s="8" t="str">
        <f t="shared" si="2"/>
        <v>ar condicionado</v>
      </c>
      <c r="F37" s="8"/>
      <c r="G37" s="15" t="str">
        <f t="shared" si="3"/>
        <v>10</v>
      </c>
      <c r="H37" s="9">
        <f t="shared" si="4"/>
        <v>10</v>
      </c>
      <c r="I37" s="6" t="str">
        <f>IFERROR(__xludf.DUMMYFUNCTION("MAX(FILTER($H$2:$H501,$E$2:$E501=F37))"),"#N/A")</f>
        <v>#N/A</v>
      </c>
    </row>
    <row r="38">
      <c r="A38" s="4"/>
      <c r="B38" s="4"/>
      <c r="C38" s="4" t="s">
        <v>1710</v>
      </c>
      <c r="D38" s="8" t="str">
        <f t="shared" si="1"/>
        <v>{"valorA":"ar condicionado","valorB":11}</v>
      </c>
      <c r="E38" s="8" t="str">
        <f t="shared" si="2"/>
        <v>ar condicionado</v>
      </c>
      <c r="F38" s="8"/>
      <c r="G38" s="15" t="str">
        <f t="shared" si="3"/>
        <v>11</v>
      </c>
      <c r="H38" s="9">
        <f t="shared" si="4"/>
        <v>11</v>
      </c>
      <c r="I38" s="6" t="str">
        <f>IFERROR(__xludf.DUMMYFUNCTION("MAX(FILTER($H$2:$H501,$E$2:$E501=F38))"),"#N/A")</f>
        <v>#N/A</v>
      </c>
    </row>
    <row r="39">
      <c r="A39" s="4"/>
      <c r="B39" s="4"/>
      <c r="C39" s="4" t="s">
        <v>1711</v>
      </c>
      <c r="D39" s="8" t="str">
        <f t="shared" si="1"/>
        <v>{"valorA":"ar condicionado","valorB":12}</v>
      </c>
      <c r="E39" s="8" t="str">
        <f t="shared" si="2"/>
        <v>ar condicionado</v>
      </c>
      <c r="F39" s="8"/>
      <c r="G39" s="15" t="str">
        <f t="shared" si="3"/>
        <v>12</v>
      </c>
      <c r="H39" s="9">
        <f t="shared" si="4"/>
        <v>12</v>
      </c>
      <c r="I39" s="6" t="str">
        <f>IFERROR(__xludf.DUMMYFUNCTION("MAX(FILTER($H$2:$H501,$E$2:$E501=F39))"),"#N/A")</f>
        <v>#N/A</v>
      </c>
    </row>
    <row r="40">
      <c r="A40" s="4"/>
      <c r="B40" s="4"/>
      <c r="C40" s="4" t="s">
        <v>1721</v>
      </c>
      <c r="D40" s="8" t="str">
        <f t="shared" si="1"/>
        <v>{"valorA":"microondas","valorB":14}</v>
      </c>
      <c r="E40" s="8" t="str">
        <f t="shared" si="2"/>
        <v>microondas</v>
      </c>
      <c r="F40" s="8"/>
      <c r="G40" s="15" t="str">
        <f t="shared" si="3"/>
        <v>14</v>
      </c>
      <c r="H40" s="9">
        <f t="shared" si="4"/>
        <v>14</v>
      </c>
      <c r="I40" s="6" t="str">
        <f>IFERROR(__xludf.DUMMYFUNCTION("MAX(FILTER($H$2:$H501,$E$2:$E501=F40))"),"#N/A")</f>
        <v>#N/A</v>
      </c>
    </row>
    <row r="41">
      <c r="A41" s="4"/>
      <c r="B41" s="4"/>
      <c r="C41" s="4" t="s">
        <v>1722</v>
      </c>
      <c r="D41" s="8" t="str">
        <f t="shared" si="1"/>
        <v>{"valorA":"microondas","valorB":15}</v>
      </c>
      <c r="E41" s="8" t="str">
        <f t="shared" si="2"/>
        <v>microondas</v>
      </c>
      <c r="F41" s="8"/>
      <c r="G41" s="15" t="str">
        <f t="shared" si="3"/>
        <v>15</v>
      </c>
      <c r="H41" s="9">
        <f t="shared" si="4"/>
        <v>15</v>
      </c>
      <c r="I41" s="6" t="str">
        <f>IFERROR(__xludf.DUMMYFUNCTION("MAX(FILTER($H$2:$H501,$E$2:$E501=F41))"),"#N/A")</f>
        <v>#N/A</v>
      </c>
    </row>
    <row r="42">
      <c r="A42" s="4"/>
      <c r="B42" s="4"/>
      <c r="C42" s="4" t="s">
        <v>1672</v>
      </c>
      <c r="D42" s="8" t="str">
        <f t="shared" si="1"/>
        <v>{"valorA":"freezer","valorB":14}</v>
      </c>
      <c r="E42" s="8" t="str">
        <f t="shared" si="2"/>
        <v>freezer</v>
      </c>
      <c r="F42" s="8"/>
      <c r="G42" s="15" t="str">
        <f t="shared" si="3"/>
        <v>14</v>
      </c>
      <c r="H42" s="9">
        <f t="shared" si="4"/>
        <v>14</v>
      </c>
      <c r="I42" s="6" t="str">
        <f>IFERROR(__xludf.DUMMYFUNCTION("MAX(FILTER($H$2:$H501,$E$2:$E501=F42))"),"#N/A")</f>
        <v>#N/A</v>
      </c>
    </row>
    <row r="43">
      <c r="A43" s="4"/>
      <c r="B43" s="4"/>
      <c r="C43" s="4" t="s">
        <v>1673</v>
      </c>
      <c r="D43" s="8" t="str">
        <f t="shared" si="1"/>
        <v>{"valorA":"freezer","valorB":15}</v>
      </c>
      <c r="E43" s="8" t="str">
        <f t="shared" si="2"/>
        <v>freezer</v>
      </c>
      <c r="F43" s="8"/>
      <c r="G43" s="15" t="str">
        <f t="shared" si="3"/>
        <v>15</v>
      </c>
      <c r="H43" s="9">
        <f t="shared" si="4"/>
        <v>15</v>
      </c>
      <c r="I43" s="6" t="str">
        <f>IFERROR(__xludf.DUMMYFUNCTION("MAX(FILTER($H$2:$H501,$E$2:$E501=F43))"),"#N/A")</f>
        <v>#N/A</v>
      </c>
    </row>
    <row r="44">
      <c r="A44" s="4"/>
      <c r="B44" s="4"/>
      <c r="C44" s="4" t="s">
        <v>1674</v>
      </c>
      <c r="D44" s="8" t="str">
        <f t="shared" si="1"/>
        <v>{"valorA":"freezer","valorB":16}</v>
      </c>
      <c r="E44" s="8" t="str">
        <f t="shared" si="2"/>
        <v>freezer</v>
      </c>
      <c r="F44" s="8"/>
      <c r="G44" s="15" t="str">
        <f t="shared" si="3"/>
        <v>16</v>
      </c>
      <c r="H44" s="9">
        <f t="shared" si="4"/>
        <v>16</v>
      </c>
      <c r="I44" s="6" t="str">
        <f>IFERROR(__xludf.DUMMYFUNCTION("MAX(FILTER($H$2:$H501,$E$2:$E501=F44))"),"#N/A")</f>
        <v>#N/A</v>
      </c>
    </row>
    <row r="45">
      <c r="A45" s="4"/>
      <c r="B45" s="4"/>
      <c r="C45" s="4" t="s">
        <v>1725</v>
      </c>
      <c r="D45" s="8" t="str">
        <f t="shared" si="1"/>
        <v>{"valorA":"microondas","valorB":16}</v>
      </c>
      <c r="E45" s="8" t="str">
        <f t="shared" si="2"/>
        <v>microondas</v>
      </c>
      <c r="F45" s="8"/>
      <c r="G45" s="15" t="str">
        <f t="shared" si="3"/>
        <v>16</v>
      </c>
      <c r="H45" s="9">
        <f t="shared" si="4"/>
        <v>16</v>
      </c>
      <c r="I45" s="6" t="str">
        <f>IFERROR(__xludf.DUMMYFUNCTION("MAX(FILTER($H$2:$H501,$E$2:$E501=F45))"),"#N/A")</f>
        <v>#N/A</v>
      </c>
    </row>
    <row r="46">
      <c r="A46" s="4"/>
      <c r="B46" s="4"/>
      <c r="C46" s="4" t="s">
        <v>1727</v>
      </c>
      <c r="D46" s="8" t="str">
        <f t="shared" si="1"/>
        <v>{"valorA":"microondas","valorB":17}</v>
      </c>
      <c r="E46" s="8" t="str">
        <f t="shared" si="2"/>
        <v>microondas</v>
      </c>
      <c r="F46" s="8"/>
      <c r="G46" s="15" t="str">
        <f t="shared" si="3"/>
        <v>17</v>
      </c>
      <c r="H46" s="9">
        <f t="shared" si="4"/>
        <v>17</v>
      </c>
      <c r="I46" s="6" t="str">
        <f>IFERROR(__xludf.DUMMYFUNCTION("MAX(FILTER($H$2:$H501,$E$2:$E501=F46))"),"#N/A")</f>
        <v>#N/A</v>
      </c>
    </row>
    <row r="47">
      <c r="A47" s="4"/>
      <c r="B47" s="4"/>
      <c r="C47" s="4" t="s">
        <v>1728</v>
      </c>
      <c r="D47" s="8" t="str">
        <f t="shared" si="1"/>
        <v>{"valorA":"microondas","valorB":18}</v>
      </c>
      <c r="E47" s="8" t="str">
        <f t="shared" si="2"/>
        <v>microondas</v>
      </c>
      <c r="F47" s="8"/>
      <c r="G47" s="15" t="str">
        <f t="shared" si="3"/>
        <v>18</v>
      </c>
      <c r="H47" s="9">
        <f t="shared" si="4"/>
        <v>18</v>
      </c>
      <c r="I47" s="6" t="str">
        <f>IFERROR(__xludf.DUMMYFUNCTION("MAX(FILTER($H$2:$H501,$E$2:$E501=F47))"),"#N/A")</f>
        <v>#N/A</v>
      </c>
    </row>
    <row r="48">
      <c r="A48" s="4"/>
      <c r="B48" s="4"/>
      <c r="C48" s="4" t="s">
        <v>1730</v>
      </c>
      <c r="D48" s="8" t="str">
        <f t="shared" si="1"/>
        <v>{"valorA":"microondas","valorB":19}</v>
      </c>
      <c r="E48" s="8" t="str">
        <f t="shared" si="2"/>
        <v>microondas</v>
      </c>
      <c r="F48" s="8"/>
      <c r="G48" s="15" t="str">
        <f t="shared" si="3"/>
        <v>19</v>
      </c>
      <c r="H48" s="9">
        <f t="shared" si="4"/>
        <v>19</v>
      </c>
      <c r="I48" s="6" t="str">
        <f>IFERROR(__xludf.DUMMYFUNCTION("MAX(FILTER($H$2:$H501,$E$2:$E501=F48))"),"#N/A")</f>
        <v>#N/A</v>
      </c>
    </row>
    <row r="49">
      <c r="A49" s="4"/>
      <c r="B49" s="4"/>
      <c r="C49" s="4" t="s">
        <v>1675</v>
      </c>
      <c r="D49" s="8" t="str">
        <f t="shared" si="1"/>
        <v>{"valorA":"freezer","valorB":17}</v>
      </c>
      <c r="E49" s="8" t="str">
        <f t="shared" si="2"/>
        <v>freezer</v>
      </c>
      <c r="F49" s="8"/>
      <c r="G49" s="15" t="str">
        <f t="shared" si="3"/>
        <v>17</v>
      </c>
      <c r="H49" s="9">
        <f t="shared" si="4"/>
        <v>17</v>
      </c>
      <c r="I49" s="6" t="str">
        <f>IFERROR(__xludf.DUMMYFUNCTION("MAX(FILTER($H$2:$H501,$E$2:$E501=F49))"),"#N/A")</f>
        <v>#N/A</v>
      </c>
    </row>
    <row r="50">
      <c r="A50" s="4"/>
      <c r="B50" s="4"/>
      <c r="C50" s="4" t="s">
        <v>1676</v>
      </c>
      <c r="D50" s="8" t="str">
        <f t="shared" si="1"/>
        <v>{"valorA":"freezer","valorB":18}</v>
      </c>
      <c r="E50" s="8" t="str">
        <f t="shared" si="2"/>
        <v>freezer</v>
      </c>
      <c r="F50" s="8"/>
      <c r="G50" s="15" t="str">
        <f t="shared" si="3"/>
        <v>18</v>
      </c>
      <c r="H50" s="9">
        <f t="shared" si="4"/>
        <v>18</v>
      </c>
      <c r="I50" s="6" t="str">
        <f>IFERROR(__xludf.DUMMYFUNCTION("MAX(FILTER($H$2:$H501,$E$2:$E501=F50))"),"#N/A")</f>
        <v>#N/A</v>
      </c>
    </row>
    <row r="51">
      <c r="A51" s="4"/>
      <c r="B51" s="4"/>
      <c r="C51" s="4" t="s">
        <v>1734</v>
      </c>
      <c r="D51" s="8" t="str">
        <f t="shared" si="1"/>
        <v>{"valorA":"microondas","valorB":20}</v>
      </c>
      <c r="E51" s="8" t="str">
        <f t="shared" si="2"/>
        <v>microondas</v>
      </c>
      <c r="F51" s="8"/>
      <c r="G51" s="15" t="str">
        <f t="shared" si="3"/>
        <v>20</v>
      </c>
      <c r="H51" s="9">
        <f t="shared" si="4"/>
        <v>20</v>
      </c>
      <c r="I51" s="6" t="str">
        <f>IFERROR(__xludf.DUMMYFUNCTION("MAX(FILTER($H$2:$H501,$E$2:$E501=F51))"),"#N/A")</f>
        <v>#N/A</v>
      </c>
    </row>
    <row r="52">
      <c r="A52" s="4"/>
      <c r="B52" s="4"/>
      <c r="C52" s="4" t="s">
        <v>1715</v>
      </c>
      <c r="D52" s="8" t="str">
        <f t="shared" si="1"/>
        <v>{"valorA":"ar condicionado","valorB":13}</v>
      </c>
      <c r="E52" s="8" t="str">
        <f t="shared" si="2"/>
        <v>ar condicionado</v>
      </c>
      <c r="F52" s="8"/>
      <c r="G52" s="15" t="str">
        <f t="shared" si="3"/>
        <v>13</v>
      </c>
      <c r="H52" s="9">
        <f t="shared" si="4"/>
        <v>13</v>
      </c>
      <c r="I52" s="6" t="str">
        <f>IFERROR(__xludf.DUMMYFUNCTION("MAX(FILTER($H$2:$H501,$E$2:$E501=F52))"),"#N/A")</f>
        <v>#N/A</v>
      </c>
    </row>
    <row r="53">
      <c r="A53" s="4"/>
      <c r="B53" s="4"/>
      <c r="C53" s="4" t="s">
        <v>1717</v>
      </c>
      <c r="D53" s="8" t="str">
        <f t="shared" si="1"/>
        <v>{"valorA":"ar condicionado","valorB":14}</v>
      </c>
      <c r="E53" s="8" t="str">
        <f t="shared" si="2"/>
        <v>ar condicionado</v>
      </c>
      <c r="F53" s="8"/>
      <c r="G53" s="15" t="str">
        <f t="shared" si="3"/>
        <v>14</v>
      </c>
      <c r="H53" s="9">
        <f t="shared" si="4"/>
        <v>14</v>
      </c>
      <c r="I53" s="6" t="str">
        <f>IFERROR(__xludf.DUMMYFUNCTION("MAX(FILTER($H$2:$H501,$E$2:$E501=F53))"),"#N/A")</f>
        <v>#N/A</v>
      </c>
    </row>
    <row r="54">
      <c r="A54" s="4"/>
      <c r="B54" s="4"/>
      <c r="C54" s="4" t="s">
        <v>1677</v>
      </c>
      <c r="D54" s="8" t="str">
        <f t="shared" si="1"/>
        <v>{"valorA":"freezer","valorB":19}</v>
      </c>
      <c r="E54" s="8" t="str">
        <f t="shared" si="2"/>
        <v>freezer</v>
      </c>
      <c r="F54" s="8"/>
      <c r="G54" s="15" t="str">
        <f t="shared" si="3"/>
        <v>19</v>
      </c>
      <c r="H54" s="9">
        <f t="shared" si="4"/>
        <v>19</v>
      </c>
      <c r="I54" s="6" t="str">
        <f>IFERROR(__xludf.DUMMYFUNCTION("MAX(FILTER($H$2:$H501,$E$2:$E501=F54))"),"#N/A")</f>
        <v>#N/A</v>
      </c>
    </row>
    <row r="55">
      <c r="A55" s="4"/>
      <c r="B55" s="4"/>
      <c r="C55" s="4" t="s">
        <v>1678</v>
      </c>
      <c r="D55" s="8" t="str">
        <f t="shared" si="1"/>
        <v>{"valorA":"freezer","valorB":20}</v>
      </c>
      <c r="E55" s="8" t="str">
        <f t="shared" si="2"/>
        <v>freezer</v>
      </c>
      <c r="F55" s="8"/>
      <c r="G55" s="15" t="str">
        <f t="shared" si="3"/>
        <v>20</v>
      </c>
      <c r="H55" s="9">
        <f t="shared" si="4"/>
        <v>20</v>
      </c>
      <c r="I55" s="6" t="str">
        <f>IFERROR(__xludf.DUMMYFUNCTION("MAX(FILTER($H$2:$H501,$E$2:$E501=F55))"),"#N/A")</f>
        <v>#N/A</v>
      </c>
    </row>
    <row r="56">
      <c r="A56" s="4"/>
      <c r="B56" s="4"/>
      <c r="C56" s="4" t="s">
        <v>1679</v>
      </c>
      <c r="D56" s="8" t="str">
        <f t="shared" si="1"/>
        <v>{"valorA":"freezer","valorB":21}</v>
      </c>
      <c r="E56" s="8" t="str">
        <f t="shared" si="2"/>
        <v>freezer</v>
      </c>
      <c r="F56" s="8"/>
      <c r="G56" s="15" t="str">
        <f t="shared" si="3"/>
        <v>21</v>
      </c>
      <c r="H56" s="9">
        <f t="shared" si="4"/>
        <v>21</v>
      </c>
      <c r="I56" s="6" t="str">
        <f>IFERROR(__xludf.DUMMYFUNCTION("MAX(FILTER($H$2:$H501,$E$2:$E501=F56))"),"#N/A")</f>
        <v>#N/A</v>
      </c>
    </row>
    <row r="57">
      <c r="A57" s="4"/>
      <c r="B57" s="4"/>
      <c r="C57" s="4" t="s">
        <v>1718</v>
      </c>
      <c r="D57" s="8" t="str">
        <f t="shared" si="1"/>
        <v>{"valorA":"ar condicionado","valorB":15}</v>
      </c>
      <c r="E57" s="8" t="str">
        <f t="shared" si="2"/>
        <v>ar condicionado</v>
      </c>
      <c r="F57" s="8"/>
      <c r="G57" s="15" t="str">
        <f t="shared" si="3"/>
        <v>15</v>
      </c>
      <c r="H57" s="9">
        <f t="shared" si="4"/>
        <v>15</v>
      </c>
      <c r="I57" s="6" t="str">
        <f>IFERROR(__xludf.DUMMYFUNCTION("MAX(FILTER($H$2:$H501,$E$2:$E501=F57))"),"#N/A")</f>
        <v>#N/A</v>
      </c>
    </row>
    <row r="58">
      <c r="A58" s="4"/>
      <c r="B58" s="4"/>
      <c r="C58" s="4" t="s">
        <v>1719</v>
      </c>
      <c r="D58" s="8" t="str">
        <f t="shared" si="1"/>
        <v>{"valorA":"ar condicionado","valorB":16}</v>
      </c>
      <c r="E58" s="8" t="str">
        <f t="shared" si="2"/>
        <v>ar condicionado</v>
      </c>
      <c r="F58" s="8"/>
      <c r="G58" s="15" t="str">
        <f t="shared" si="3"/>
        <v>16</v>
      </c>
      <c r="H58" s="9">
        <f t="shared" si="4"/>
        <v>16</v>
      </c>
      <c r="I58" s="6" t="str">
        <f>IFERROR(__xludf.DUMMYFUNCTION("MAX(FILTER($H$2:$H501,$E$2:$E501=F58))"),"#N/A")</f>
        <v>#N/A</v>
      </c>
    </row>
    <row r="59">
      <c r="A59" s="4"/>
      <c r="B59" s="4"/>
      <c r="C59" s="4" t="s">
        <v>1723</v>
      </c>
      <c r="D59" s="8" t="str">
        <f t="shared" si="1"/>
        <v>{"valorA":"ar condicionado","valorB":17}</v>
      </c>
      <c r="E59" s="8" t="str">
        <f t="shared" si="2"/>
        <v>ar condicionado</v>
      </c>
      <c r="F59" s="8"/>
      <c r="G59" s="15" t="str">
        <f t="shared" si="3"/>
        <v>17</v>
      </c>
      <c r="H59" s="9">
        <f t="shared" si="4"/>
        <v>17</v>
      </c>
      <c r="I59" s="6" t="str">
        <f>IFERROR(__xludf.DUMMYFUNCTION("MAX(FILTER($H$2:$H501,$E$2:$E501=F59))"),"#N/A")</f>
        <v>#N/A</v>
      </c>
    </row>
    <row r="60">
      <c r="A60" s="4"/>
      <c r="B60" s="4"/>
      <c r="C60" s="4" t="s">
        <v>1735</v>
      </c>
      <c r="D60" s="8" t="str">
        <f t="shared" si="1"/>
        <v>{"valorA":"microondas","valorB":21}</v>
      </c>
      <c r="E60" s="8" t="str">
        <f t="shared" si="2"/>
        <v>microondas</v>
      </c>
      <c r="F60" s="8"/>
      <c r="G60" s="15" t="str">
        <f t="shared" si="3"/>
        <v>21</v>
      </c>
      <c r="H60" s="9">
        <f t="shared" si="4"/>
        <v>21</v>
      </c>
      <c r="I60" s="6" t="str">
        <f>IFERROR(__xludf.DUMMYFUNCTION("MAX(FILTER($H$2:$H501,$E$2:$E501=F60))"),"#N/A")</f>
        <v>#N/A</v>
      </c>
    </row>
    <row r="61">
      <c r="A61" s="4"/>
      <c r="B61" s="4"/>
      <c r="C61" s="4" t="s">
        <v>1737</v>
      </c>
      <c r="D61" s="8" t="str">
        <f t="shared" si="1"/>
        <v>{"valorA":"microondas","valorB":22}</v>
      </c>
      <c r="E61" s="8" t="str">
        <f t="shared" si="2"/>
        <v>microondas</v>
      </c>
      <c r="F61" s="8"/>
      <c r="G61" s="15" t="str">
        <f t="shared" si="3"/>
        <v>22</v>
      </c>
      <c r="H61" s="9">
        <f t="shared" si="4"/>
        <v>22</v>
      </c>
      <c r="I61" s="6" t="str">
        <f>IFERROR(__xludf.DUMMYFUNCTION("MAX(FILTER($H$2:$H501,$E$2:$E501=F61))"),"#N/A")</f>
        <v>#N/A</v>
      </c>
    </row>
    <row r="62">
      <c r="A62" s="4"/>
      <c r="B62" s="4"/>
      <c r="C62" s="4" t="s">
        <v>1738</v>
      </c>
      <c r="D62" s="8" t="str">
        <f t="shared" si="1"/>
        <v>{"valorA":"microondas","valorB":23}</v>
      </c>
      <c r="E62" s="8" t="str">
        <f t="shared" si="2"/>
        <v>microondas</v>
      </c>
      <c r="F62" s="8"/>
      <c r="G62" s="15" t="str">
        <f t="shared" si="3"/>
        <v>23</v>
      </c>
      <c r="H62" s="9">
        <f t="shared" si="4"/>
        <v>23</v>
      </c>
      <c r="I62" s="6" t="str">
        <f>IFERROR(__xludf.DUMMYFUNCTION("MAX(FILTER($H$2:$H501,$E$2:$E501=F62))"),"#N/A")</f>
        <v>#N/A</v>
      </c>
    </row>
    <row r="63">
      <c r="A63" s="4"/>
      <c r="B63" s="4"/>
      <c r="C63" s="4" t="s">
        <v>1724</v>
      </c>
      <c r="D63" s="8" t="str">
        <f t="shared" si="1"/>
        <v>{"valorA":"ar condicionado","valorB":18}</v>
      </c>
      <c r="E63" s="8" t="str">
        <f t="shared" si="2"/>
        <v>ar condicionado</v>
      </c>
      <c r="F63" s="8"/>
      <c r="G63" s="15" t="str">
        <f t="shared" si="3"/>
        <v>18</v>
      </c>
      <c r="H63" s="9">
        <f t="shared" si="4"/>
        <v>18</v>
      </c>
      <c r="I63" s="6" t="str">
        <f>IFERROR(__xludf.DUMMYFUNCTION("MAX(FILTER($H$2:$H501,$E$2:$E501=F63))"),"#N/A")</f>
        <v>#N/A</v>
      </c>
    </row>
    <row r="64">
      <c r="A64" s="4"/>
      <c r="B64" s="4"/>
      <c r="C64" s="4" t="s">
        <v>1740</v>
      </c>
      <c r="D64" s="8" t="str">
        <f t="shared" si="1"/>
        <v>{"valorA":"microondas","valorB":24}</v>
      </c>
      <c r="E64" s="8" t="str">
        <f t="shared" si="2"/>
        <v>microondas</v>
      </c>
      <c r="F64" s="8"/>
      <c r="G64" s="15" t="str">
        <f t="shared" si="3"/>
        <v>24</v>
      </c>
      <c r="H64" s="9">
        <f t="shared" si="4"/>
        <v>24</v>
      </c>
      <c r="I64" s="6" t="str">
        <f>IFERROR(__xludf.DUMMYFUNCTION("MAX(FILTER($H$2:$H501,$E$2:$E501=F64))"),"#N/A")</f>
        <v>#N/A</v>
      </c>
    </row>
    <row r="65">
      <c r="A65" s="4"/>
      <c r="B65" s="4"/>
      <c r="C65" s="4" t="s">
        <v>1680</v>
      </c>
      <c r="D65" s="8" t="str">
        <f t="shared" si="1"/>
        <v>{"valorA":"freezer","valorB":22}</v>
      </c>
      <c r="E65" s="8" t="str">
        <f t="shared" si="2"/>
        <v>freezer</v>
      </c>
      <c r="F65" s="8"/>
      <c r="G65" s="15" t="str">
        <f t="shared" si="3"/>
        <v>22</v>
      </c>
      <c r="H65" s="9">
        <f t="shared" si="4"/>
        <v>22</v>
      </c>
      <c r="I65" s="6" t="str">
        <f>IFERROR(__xludf.DUMMYFUNCTION("MAX(FILTER($H$2:$H501,$E$2:$E501=F65))"),"#N/A")</f>
        <v>#N/A</v>
      </c>
    </row>
    <row r="66">
      <c r="A66" s="4"/>
      <c r="B66" s="4"/>
      <c r="C66" s="4" t="s">
        <v>1743</v>
      </c>
      <c r="D66" s="8" t="str">
        <f t="shared" si="1"/>
        <v>{"valorA":"microondas","valorB":25}</v>
      </c>
      <c r="E66" s="8" t="str">
        <f t="shared" si="2"/>
        <v>microondas</v>
      </c>
      <c r="F66" s="8"/>
      <c r="G66" s="15" t="str">
        <f t="shared" si="3"/>
        <v>25</v>
      </c>
      <c r="H66" s="9">
        <f t="shared" si="4"/>
        <v>25</v>
      </c>
      <c r="I66" s="6" t="str">
        <f>IFERROR(__xludf.DUMMYFUNCTION("MAX(FILTER($H$2:$H501,$E$2:$E501=F66))"),"#N/A")</f>
        <v>#N/A</v>
      </c>
    </row>
    <row r="67">
      <c r="A67" s="4"/>
      <c r="B67" s="4"/>
      <c r="C67" s="4" t="s">
        <v>1726</v>
      </c>
      <c r="D67" s="8" t="str">
        <f t="shared" si="1"/>
        <v>{"valorA":"ar condicionado","valorB":19}</v>
      </c>
      <c r="E67" s="8" t="str">
        <f t="shared" si="2"/>
        <v>ar condicionado</v>
      </c>
      <c r="F67" s="8"/>
      <c r="G67" s="15" t="str">
        <f t="shared" si="3"/>
        <v>19</v>
      </c>
      <c r="H67" s="9">
        <f t="shared" si="4"/>
        <v>19</v>
      </c>
      <c r="I67" s="6" t="str">
        <f>IFERROR(__xludf.DUMMYFUNCTION("MAX(FILTER($H$2:$H501,$E$2:$E501=F67))"),"#N/A")</f>
        <v>#N/A</v>
      </c>
    </row>
    <row r="68">
      <c r="A68" s="4"/>
      <c r="B68" s="4"/>
      <c r="C68" s="4" t="s">
        <v>1681</v>
      </c>
      <c r="D68" s="8" t="str">
        <f t="shared" si="1"/>
        <v>{"valorA":"freezer","valorB":23}</v>
      </c>
      <c r="E68" s="8" t="str">
        <f t="shared" si="2"/>
        <v>freezer</v>
      </c>
      <c r="F68" s="8"/>
      <c r="G68" s="15" t="str">
        <f t="shared" si="3"/>
        <v>23</v>
      </c>
      <c r="H68" s="9">
        <f t="shared" si="4"/>
        <v>23</v>
      </c>
      <c r="I68" s="6" t="str">
        <f>IFERROR(__xludf.DUMMYFUNCTION("MAX(FILTER($H$2:$H501,$E$2:$E501=F68))"),"#N/A")</f>
        <v>#N/A</v>
      </c>
    </row>
    <row r="69">
      <c r="A69" s="4"/>
      <c r="B69" s="4"/>
      <c r="C69" s="4" t="s">
        <v>1682</v>
      </c>
      <c r="D69" s="8" t="str">
        <f t="shared" si="1"/>
        <v>{"valorA":"freezer","valorB":24}</v>
      </c>
      <c r="E69" s="8" t="str">
        <f t="shared" si="2"/>
        <v>freezer</v>
      </c>
      <c r="F69" s="8"/>
      <c r="G69" s="15" t="str">
        <f t="shared" si="3"/>
        <v>24</v>
      </c>
      <c r="H69" s="9">
        <f t="shared" si="4"/>
        <v>24</v>
      </c>
      <c r="I69" s="6" t="str">
        <f>IFERROR(__xludf.DUMMYFUNCTION("MAX(FILTER($H$2:$H501,$E$2:$E501=F69))"),"#N/A")</f>
        <v>#N/A</v>
      </c>
    </row>
    <row r="70">
      <c r="A70" s="4"/>
      <c r="B70" s="4"/>
      <c r="C70" s="4" t="s">
        <v>1729</v>
      </c>
      <c r="D70" s="8" t="str">
        <f t="shared" si="1"/>
        <v>{"valorA":"ar condicionado","valorB":20}</v>
      </c>
      <c r="E70" s="8" t="str">
        <f t="shared" si="2"/>
        <v>ar condicionado</v>
      </c>
      <c r="F70" s="8"/>
      <c r="G70" s="15" t="str">
        <f t="shared" si="3"/>
        <v>20</v>
      </c>
      <c r="H70" s="9">
        <f t="shared" si="4"/>
        <v>20</v>
      </c>
      <c r="I70" s="6" t="str">
        <f>IFERROR(__xludf.DUMMYFUNCTION("MAX(FILTER($H$2:$H501,$E$2:$E501=F70))"),"#N/A")</f>
        <v>#N/A</v>
      </c>
    </row>
    <row r="71">
      <c r="A71" s="4"/>
      <c r="B71" s="4"/>
      <c r="C71" s="4" t="s">
        <v>1731</v>
      </c>
      <c r="D71" s="8" t="str">
        <f t="shared" si="1"/>
        <v>{"valorA":"ar condicionado","valorB":21}</v>
      </c>
      <c r="E71" s="8" t="str">
        <f t="shared" si="2"/>
        <v>ar condicionado</v>
      </c>
      <c r="F71" s="8"/>
      <c r="G71" s="15" t="str">
        <f t="shared" si="3"/>
        <v>21</v>
      </c>
      <c r="H71" s="9">
        <f t="shared" si="4"/>
        <v>21</v>
      </c>
      <c r="I71" s="6" t="str">
        <f>IFERROR(__xludf.DUMMYFUNCTION("MAX(FILTER($H$2:$H501,$E$2:$E501=F71))"),"#N/A")</f>
        <v>#N/A</v>
      </c>
    </row>
    <row r="72">
      <c r="A72" s="4"/>
      <c r="B72" s="4"/>
      <c r="C72" s="4" t="s">
        <v>1746</v>
      </c>
      <c r="D72" s="8" t="str">
        <f t="shared" si="1"/>
        <v>{"valorA":"microondas","valorB":26}</v>
      </c>
      <c r="E72" s="8" t="str">
        <f t="shared" si="2"/>
        <v>microondas</v>
      </c>
      <c r="F72" s="8"/>
      <c r="G72" s="15" t="str">
        <f t="shared" si="3"/>
        <v>26</v>
      </c>
      <c r="H72" s="9">
        <f t="shared" si="4"/>
        <v>26</v>
      </c>
      <c r="I72" s="6" t="str">
        <f>IFERROR(__xludf.DUMMYFUNCTION("MAX(FILTER($H$2:$H501,$E$2:$E501=F72))"),"#N/A")</f>
        <v>#N/A</v>
      </c>
    </row>
    <row r="73">
      <c r="A73" s="4"/>
      <c r="B73" s="4"/>
      <c r="C73" s="4" t="s">
        <v>1748</v>
      </c>
      <c r="D73" s="8" t="str">
        <f t="shared" si="1"/>
        <v>{"valorA":"microondas","valorB":27}</v>
      </c>
      <c r="E73" s="8" t="str">
        <f t="shared" si="2"/>
        <v>microondas</v>
      </c>
      <c r="F73" s="8"/>
      <c r="G73" s="15" t="str">
        <f t="shared" si="3"/>
        <v>27</v>
      </c>
      <c r="H73" s="9">
        <f t="shared" si="4"/>
        <v>27</v>
      </c>
      <c r="I73" s="6" t="str">
        <f>IFERROR(__xludf.DUMMYFUNCTION("MAX(FILTER($H$2:$H501,$E$2:$E501=F73))"),"#N/A")</f>
        <v>#N/A</v>
      </c>
    </row>
    <row r="74">
      <c r="A74" s="4"/>
      <c r="B74" s="4"/>
      <c r="C74" s="4" t="s">
        <v>1750</v>
      </c>
      <c r="D74" s="8" t="str">
        <f t="shared" si="1"/>
        <v>{"valorA":"microondas","valorB":28}</v>
      </c>
      <c r="E74" s="8" t="str">
        <f t="shared" si="2"/>
        <v>microondas</v>
      </c>
      <c r="F74" s="8"/>
      <c r="G74" s="15" t="str">
        <f t="shared" si="3"/>
        <v>28</v>
      </c>
      <c r="H74" s="9">
        <f t="shared" si="4"/>
        <v>28</v>
      </c>
      <c r="I74" s="6" t="str">
        <f>IFERROR(__xludf.DUMMYFUNCTION("MAX(FILTER($H$2:$H501,$E$2:$E501=F74))"),"#N/A")</f>
        <v>#N/A</v>
      </c>
    </row>
    <row r="75">
      <c r="A75" s="4"/>
      <c r="B75" s="4"/>
      <c r="C75" s="4" t="s">
        <v>1751</v>
      </c>
      <c r="D75" s="8" t="str">
        <f t="shared" si="1"/>
        <v>{"valorA":"microondas","valorB":29}</v>
      </c>
      <c r="E75" s="8" t="str">
        <f t="shared" si="2"/>
        <v>microondas</v>
      </c>
      <c r="F75" s="8"/>
      <c r="G75" s="15" t="str">
        <f t="shared" si="3"/>
        <v>29</v>
      </c>
      <c r="H75" s="9">
        <f t="shared" si="4"/>
        <v>29</v>
      </c>
      <c r="I75" s="6" t="str">
        <f>IFERROR(__xludf.DUMMYFUNCTION("MAX(FILTER($H$2:$H501,$E$2:$E501=F75))"),"#N/A")</f>
        <v>#N/A</v>
      </c>
    </row>
    <row r="76">
      <c r="A76" s="4"/>
      <c r="B76" s="4"/>
      <c r="C76" s="4" t="s">
        <v>1752</v>
      </c>
      <c r="D76" s="8" t="str">
        <f t="shared" si="1"/>
        <v>{"valorA":"microondas","valorB":30}</v>
      </c>
      <c r="E76" s="8" t="str">
        <f t="shared" si="2"/>
        <v>microondas</v>
      </c>
      <c r="F76" s="8"/>
      <c r="G76" s="15" t="str">
        <f t="shared" si="3"/>
        <v>30</v>
      </c>
      <c r="H76" s="9">
        <f t="shared" si="4"/>
        <v>30</v>
      </c>
      <c r="I76" s="6" t="str">
        <f>IFERROR(__xludf.DUMMYFUNCTION("MAX(FILTER($H$2:$H501,$E$2:$E501=F76))"),"#N/A")</f>
        <v>#N/A</v>
      </c>
    </row>
    <row r="77">
      <c r="A77" s="4"/>
      <c r="B77" s="4"/>
      <c r="C77" s="4" t="s">
        <v>1683</v>
      </c>
      <c r="D77" s="8" t="str">
        <f t="shared" si="1"/>
        <v>{"valorA":"freezer","valorB":25}</v>
      </c>
      <c r="E77" s="8" t="str">
        <f t="shared" si="2"/>
        <v>freezer</v>
      </c>
      <c r="F77" s="8"/>
      <c r="G77" s="15" t="str">
        <f t="shared" si="3"/>
        <v>25</v>
      </c>
      <c r="H77" s="9">
        <f t="shared" si="4"/>
        <v>25</v>
      </c>
      <c r="I77" s="6" t="str">
        <f>IFERROR(__xludf.DUMMYFUNCTION("MAX(FILTER($H$2:$H501,$E$2:$E501=F77))"),"#N/A")</f>
        <v>#N/A</v>
      </c>
    </row>
    <row r="78">
      <c r="A78" s="4"/>
      <c r="B78" s="4"/>
      <c r="C78" s="4" t="s">
        <v>1684</v>
      </c>
      <c r="D78" s="8" t="str">
        <f t="shared" si="1"/>
        <v>{"valorA":"freezer","valorB":26}</v>
      </c>
      <c r="E78" s="8" t="str">
        <f t="shared" si="2"/>
        <v>freezer</v>
      </c>
      <c r="F78" s="8"/>
      <c r="G78" s="15" t="str">
        <f t="shared" si="3"/>
        <v>26</v>
      </c>
      <c r="H78" s="9">
        <f t="shared" si="4"/>
        <v>26</v>
      </c>
      <c r="I78" s="6" t="str">
        <f>IFERROR(__xludf.DUMMYFUNCTION("MAX(FILTER($H$2:$H501,$E$2:$E501=F78))"),"#N/A")</f>
        <v>#N/A</v>
      </c>
    </row>
    <row r="79">
      <c r="A79" s="4"/>
      <c r="B79" s="4"/>
      <c r="C79" s="4" t="s">
        <v>1732</v>
      </c>
      <c r="D79" s="8" t="str">
        <f t="shared" si="1"/>
        <v>{"valorA":"ar condicionado","valorB":22}</v>
      </c>
      <c r="E79" s="8" t="str">
        <f t="shared" si="2"/>
        <v>ar condicionado</v>
      </c>
      <c r="F79" s="8"/>
      <c r="G79" s="15" t="str">
        <f t="shared" si="3"/>
        <v>22</v>
      </c>
      <c r="H79" s="9">
        <f t="shared" si="4"/>
        <v>22</v>
      </c>
      <c r="I79" s="6" t="str">
        <f>IFERROR(__xludf.DUMMYFUNCTION("MAX(FILTER($H$2:$H501,$E$2:$E501=F79))"),"#N/A")</f>
        <v>#N/A</v>
      </c>
    </row>
    <row r="80">
      <c r="A80" s="4"/>
      <c r="B80" s="4"/>
      <c r="C80" s="4" t="s">
        <v>1685</v>
      </c>
      <c r="D80" s="8" t="str">
        <f t="shared" si="1"/>
        <v>{"valorA":"freezer","valorB":27}</v>
      </c>
      <c r="E80" s="8" t="str">
        <f t="shared" si="2"/>
        <v>freezer</v>
      </c>
      <c r="F80" s="8"/>
      <c r="G80" s="15" t="str">
        <f t="shared" si="3"/>
        <v>27</v>
      </c>
      <c r="H80" s="9">
        <f t="shared" si="4"/>
        <v>27</v>
      </c>
      <c r="I80" s="6" t="str">
        <f>IFERROR(__xludf.DUMMYFUNCTION("MAX(FILTER($H$2:$H501,$E$2:$E501=F80))"),"#N/A")</f>
        <v>#N/A</v>
      </c>
    </row>
    <row r="81">
      <c r="A81" s="4"/>
      <c r="B81" s="4"/>
      <c r="C81" s="4" t="s">
        <v>1733</v>
      </c>
      <c r="D81" s="8" t="str">
        <f t="shared" si="1"/>
        <v>{"valorA":"ar condicionado","valorB":23}</v>
      </c>
      <c r="E81" s="8" t="str">
        <f t="shared" si="2"/>
        <v>ar condicionado</v>
      </c>
      <c r="F81" s="8"/>
      <c r="G81" s="15" t="str">
        <f t="shared" si="3"/>
        <v>23</v>
      </c>
      <c r="H81" s="9">
        <f t="shared" si="4"/>
        <v>23</v>
      </c>
      <c r="I81" s="6" t="str">
        <f>IFERROR(__xludf.DUMMYFUNCTION("MAX(FILTER($H$2:$H501,$E$2:$E501=F81))"),"#N/A")</f>
        <v>#N/A</v>
      </c>
    </row>
    <row r="82">
      <c r="A82" s="4"/>
      <c r="B82" s="4"/>
      <c r="C82" s="4" t="s">
        <v>1686</v>
      </c>
      <c r="D82" s="8" t="str">
        <f t="shared" si="1"/>
        <v>{"valorA":"freezer","valorB":28}</v>
      </c>
      <c r="E82" s="8" t="str">
        <f t="shared" si="2"/>
        <v>freezer</v>
      </c>
      <c r="F82" s="8"/>
      <c r="G82" s="15" t="str">
        <f t="shared" si="3"/>
        <v>28</v>
      </c>
      <c r="H82" s="9">
        <f t="shared" si="4"/>
        <v>28</v>
      </c>
      <c r="I82" s="6" t="str">
        <f>IFERROR(__xludf.DUMMYFUNCTION("MAX(FILTER($H$2:$H501,$E$2:$E501=F82))"),"#N/A")</f>
        <v>#N/A</v>
      </c>
    </row>
    <row r="83">
      <c r="A83" s="4"/>
      <c r="B83" s="4"/>
      <c r="C83" s="4" t="s">
        <v>1736</v>
      </c>
      <c r="D83" s="8" t="str">
        <f t="shared" si="1"/>
        <v>{"valorA":"ar condicionado","valorB":24}</v>
      </c>
      <c r="E83" s="8" t="str">
        <f t="shared" si="2"/>
        <v>ar condicionado</v>
      </c>
      <c r="F83" s="8"/>
      <c r="G83" s="15" t="str">
        <f t="shared" si="3"/>
        <v>24</v>
      </c>
      <c r="H83" s="9">
        <f t="shared" si="4"/>
        <v>24</v>
      </c>
      <c r="I83" s="6" t="str">
        <f>IFERROR(__xludf.DUMMYFUNCTION("MAX(FILTER($H$2:$H501,$E$2:$E501=F83))"),"#N/A")</f>
        <v>#N/A</v>
      </c>
    </row>
    <row r="84">
      <c r="A84" s="4"/>
      <c r="B84" s="4"/>
      <c r="C84" s="4" t="s">
        <v>1687</v>
      </c>
      <c r="D84" s="8" t="str">
        <f t="shared" si="1"/>
        <v>{"valorA":"freezer","valorB":29}</v>
      </c>
      <c r="E84" s="8" t="str">
        <f t="shared" si="2"/>
        <v>freezer</v>
      </c>
      <c r="F84" s="8"/>
      <c r="G84" s="15" t="str">
        <f t="shared" si="3"/>
        <v>29</v>
      </c>
      <c r="H84" s="9">
        <f t="shared" si="4"/>
        <v>29</v>
      </c>
      <c r="I84" s="6" t="str">
        <f>IFERROR(__xludf.DUMMYFUNCTION("MAX(FILTER($H$2:$H501,$E$2:$E501=F84))"),"#N/A")</f>
        <v>#N/A</v>
      </c>
    </row>
    <row r="85">
      <c r="A85" s="4"/>
      <c r="B85" s="4"/>
      <c r="C85" s="4" t="s">
        <v>1753</v>
      </c>
      <c r="D85" s="8" t="str">
        <f t="shared" si="1"/>
        <v>{"valorA":"microondas","valorB":31}</v>
      </c>
      <c r="E85" s="8" t="str">
        <f t="shared" si="2"/>
        <v>microondas</v>
      </c>
      <c r="F85" s="8"/>
      <c r="G85" s="15" t="str">
        <f t="shared" si="3"/>
        <v>31</v>
      </c>
      <c r="H85" s="9">
        <f t="shared" si="4"/>
        <v>31</v>
      </c>
      <c r="I85" s="6" t="str">
        <f>IFERROR(__xludf.DUMMYFUNCTION("MAX(FILTER($H$2:$H501,$E$2:$E501=F85))"),"#N/A")</f>
        <v>#N/A</v>
      </c>
    </row>
    <row r="86">
      <c r="A86" s="4"/>
      <c r="B86" s="4"/>
      <c r="C86" s="4" t="s">
        <v>1756</v>
      </c>
      <c r="D86" s="8" t="str">
        <f t="shared" si="1"/>
        <v>{"valorA":"microondas","valorB":32}</v>
      </c>
      <c r="E86" s="8" t="str">
        <f t="shared" si="2"/>
        <v>microondas</v>
      </c>
      <c r="F86" s="8"/>
      <c r="G86" s="15" t="str">
        <f t="shared" si="3"/>
        <v>32</v>
      </c>
      <c r="H86" s="9">
        <f t="shared" si="4"/>
        <v>32</v>
      </c>
      <c r="I86" s="6" t="str">
        <f>IFERROR(__xludf.DUMMYFUNCTION("MAX(FILTER($H$2:$H501,$E$2:$E501=F86))"),"#N/A")</f>
        <v>#N/A</v>
      </c>
    </row>
    <row r="87">
      <c r="A87" s="4"/>
      <c r="B87" s="4"/>
      <c r="C87" s="4" t="s">
        <v>1758</v>
      </c>
      <c r="D87" s="8" t="str">
        <f t="shared" si="1"/>
        <v>{"valorA":"microondas","valorB":33}</v>
      </c>
      <c r="E87" s="8" t="str">
        <f t="shared" si="2"/>
        <v>microondas</v>
      </c>
      <c r="F87" s="8"/>
      <c r="G87" s="15" t="str">
        <f t="shared" si="3"/>
        <v>33</v>
      </c>
      <c r="H87" s="9">
        <f t="shared" si="4"/>
        <v>33</v>
      </c>
      <c r="I87" s="6" t="str">
        <f>IFERROR(__xludf.DUMMYFUNCTION("MAX(FILTER($H$2:$H501,$E$2:$E501=F87))"),"#N/A")</f>
        <v>#N/A</v>
      </c>
    </row>
    <row r="88">
      <c r="A88" s="4"/>
      <c r="B88" s="4"/>
      <c r="C88" s="4" t="s">
        <v>1688</v>
      </c>
      <c r="D88" s="8" t="str">
        <f t="shared" si="1"/>
        <v>{"valorA":"freezer","valorB":30}</v>
      </c>
      <c r="E88" s="8" t="str">
        <f t="shared" si="2"/>
        <v>freezer</v>
      </c>
      <c r="F88" s="8"/>
      <c r="G88" s="15" t="str">
        <f t="shared" si="3"/>
        <v>30</v>
      </c>
      <c r="H88" s="9">
        <f t="shared" si="4"/>
        <v>30</v>
      </c>
      <c r="I88" s="6" t="str">
        <f>IFERROR(__xludf.DUMMYFUNCTION("MAX(FILTER($H$2:$H501,$E$2:$E501=F88))"),"#N/A")</f>
        <v>#N/A</v>
      </c>
    </row>
    <row r="89">
      <c r="A89" s="4"/>
      <c r="B89" s="4"/>
      <c r="C89" s="4" t="s">
        <v>1759</v>
      </c>
      <c r="D89" s="8" t="str">
        <f t="shared" si="1"/>
        <v>{"valorA":"microondas","valorB":34}</v>
      </c>
      <c r="E89" s="8" t="str">
        <f t="shared" si="2"/>
        <v>microondas</v>
      </c>
      <c r="F89" s="8"/>
      <c r="G89" s="15" t="str">
        <f t="shared" si="3"/>
        <v>34</v>
      </c>
      <c r="H89" s="9">
        <f t="shared" si="4"/>
        <v>34</v>
      </c>
      <c r="I89" s="6" t="str">
        <f>IFERROR(__xludf.DUMMYFUNCTION("MAX(FILTER($H$2:$H501,$E$2:$E501=F89))"),"#N/A")</f>
        <v>#N/A</v>
      </c>
    </row>
    <row r="90">
      <c r="A90" s="4"/>
      <c r="B90" s="4"/>
      <c r="C90" s="4" t="s">
        <v>1739</v>
      </c>
      <c r="D90" s="8" t="str">
        <f t="shared" si="1"/>
        <v>{"valorA":"ar condicionado","valorB":25}</v>
      </c>
      <c r="E90" s="8" t="str">
        <f t="shared" si="2"/>
        <v>ar condicionado</v>
      </c>
      <c r="F90" s="8"/>
      <c r="G90" s="15" t="str">
        <f t="shared" si="3"/>
        <v>25</v>
      </c>
      <c r="H90" s="9">
        <f t="shared" si="4"/>
        <v>25</v>
      </c>
      <c r="I90" s="6" t="str">
        <f>IFERROR(__xludf.DUMMYFUNCTION("MAX(FILTER($H$2:$H501,$E$2:$E501=F90))"),"#N/A")</f>
        <v>#N/A</v>
      </c>
    </row>
    <row r="91">
      <c r="A91" s="4"/>
      <c r="B91" s="4"/>
      <c r="C91" s="4" t="s">
        <v>1689</v>
      </c>
      <c r="D91" s="8" t="str">
        <f t="shared" si="1"/>
        <v>{"valorA":"freezer","valorB":31}</v>
      </c>
      <c r="E91" s="8" t="str">
        <f t="shared" si="2"/>
        <v>freezer</v>
      </c>
      <c r="F91" s="8"/>
      <c r="G91" s="15" t="str">
        <f t="shared" si="3"/>
        <v>31</v>
      </c>
      <c r="H91" s="9">
        <f t="shared" si="4"/>
        <v>31</v>
      </c>
      <c r="I91" s="6" t="str">
        <f>IFERROR(__xludf.DUMMYFUNCTION("MAX(FILTER($H$2:$H501,$E$2:$E501=F91))"),"#N/A")</f>
        <v>#N/A</v>
      </c>
    </row>
    <row r="92">
      <c r="A92" s="4"/>
      <c r="B92" s="4"/>
      <c r="C92" s="4" t="s">
        <v>1741</v>
      </c>
      <c r="D92" s="8" t="str">
        <f t="shared" si="1"/>
        <v>{"valorA":"ar condicionado","valorB":26}</v>
      </c>
      <c r="E92" s="8" t="str">
        <f t="shared" si="2"/>
        <v>ar condicionado</v>
      </c>
      <c r="F92" s="8"/>
      <c r="G92" s="15" t="str">
        <f t="shared" si="3"/>
        <v>26</v>
      </c>
      <c r="H92" s="9">
        <f t="shared" si="4"/>
        <v>26</v>
      </c>
      <c r="I92" s="6" t="str">
        <f>IFERROR(__xludf.DUMMYFUNCTION("MAX(FILTER($H$2:$H501,$E$2:$E501=F92))"),"#N/A")</f>
        <v>#N/A</v>
      </c>
    </row>
    <row r="93">
      <c r="A93" s="4"/>
      <c r="B93" s="4"/>
      <c r="C93" s="4" t="s">
        <v>1762</v>
      </c>
      <c r="D93" s="8" t="str">
        <f t="shared" si="1"/>
        <v>{"valorA":"microondas","valorB":35}</v>
      </c>
      <c r="E93" s="8" t="str">
        <f t="shared" si="2"/>
        <v>microondas</v>
      </c>
      <c r="F93" s="8"/>
      <c r="G93" s="15" t="str">
        <f t="shared" si="3"/>
        <v>35</v>
      </c>
      <c r="H93" s="9">
        <f t="shared" si="4"/>
        <v>35</v>
      </c>
      <c r="I93" s="6" t="str">
        <f>IFERROR(__xludf.DUMMYFUNCTION("MAX(FILTER($H$2:$H501,$E$2:$E501=F93))"),"#N/A")</f>
        <v>#N/A</v>
      </c>
    </row>
    <row r="94">
      <c r="A94" s="4"/>
      <c r="B94" s="4"/>
      <c r="C94" s="4" t="s">
        <v>1742</v>
      </c>
      <c r="D94" s="8" t="str">
        <f t="shared" si="1"/>
        <v>{"valorA":"ar condicionado","valorB":27}</v>
      </c>
      <c r="E94" s="8" t="str">
        <f t="shared" si="2"/>
        <v>ar condicionado</v>
      </c>
      <c r="F94" s="8"/>
      <c r="G94" s="15" t="str">
        <f t="shared" si="3"/>
        <v>27</v>
      </c>
      <c r="H94" s="9">
        <f t="shared" si="4"/>
        <v>27</v>
      </c>
      <c r="I94" s="6" t="str">
        <f>IFERROR(__xludf.DUMMYFUNCTION("MAX(FILTER($H$2:$H501,$E$2:$E501=F94))"),"#N/A")</f>
        <v>#N/A</v>
      </c>
    </row>
    <row r="95">
      <c r="A95" s="4"/>
      <c r="B95" s="4"/>
      <c r="C95" s="4" t="s">
        <v>1766</v>
      </c>
      <c r="D95" s="8" t="str">
        <f t="shared" si="1"/>
        <v>{"valorA":"microondas","valorB":36}</v>
      </c>
      <c r="E95" s="8" t="str">
        <f t="shared" si="2"/>
        <v>microondas</v>
      </c>
      <c r="F95" s="8"/>
      <c r="G95" s="15" t="str">
        <f t="shared" si="3"/>
        <v>36</v>
      </c>
      <c r="H95" s="9">
        <f t="shared" si="4"/>
        <v>36</v>
      </c>
      <c r="I95" s="6" t="str">
        <f>IFERROR(__xludf.DUMMYFUNCTION("MAX(FILTER($H$2:$H501,$E$2:$E501=F95))"),"#N/A")</f>
        <v>#N/A</v>
      </c>
    </row>
    <row r="96">
      <c r="A96" s="4"/>
      <c r="B96" s="4"/>
      <c r="C96" s="4" t="s">
        <v>1744</v>
      </c>
      <c r="D96" s="8" t="str">
        <f t="shared" si="1"/>
        <v>{"valorA":"ar condicionado","valorB":28}</v>
      </c>
      <c r="E96" s="8" t="str">
        <f t="shared" si="2"/>
        <v>ar condicionado</v>
      </c>
      <c r="F96" s="8"/>
      <c r="G96" s="15" t="str">
        <f t="shared" si="3"/>
        <v>28</v>
      </c>
      <c r="H96" s="9">
        <f t="shared" si="4"/>
        <v>28</v>
      </c>
      <c r="I96" s="6" t="str">
        <f>IFERROR(__xludf.DUMMYFUNCTION("MAX(FILTER($H$2:$H501,$E$2:$E501=F96))"),"#N/A")</f>
        <v>#N/A</v>
      </c>
    </row>
    <row r="97">
      <c r="A97" s="4"/>
      <c r="B97" s="4"/>
      <c r="C97" s="4" t="s">
        <v>1745</v>
      </c>
      <c r="D97" s="8" t="str">
        <f t="shared" si="1"/>
        <v>{"valorA":"ar condicionado","valorB":29}</v>
      </c>
      <c r="E97" s="8" t="str">
        <f t="shared" si="2"/>
        <v>ar condicionado</v>
      </c>
      <c r="F97" s="8"/>
      <c r="G97" s="15" t="str">
        <f t="shared" si="3"/>
        <v>29</v>
      </c>
      <c r="H97" s="9">
        <f t="shared" si="4"/>
        <v>29</v>
      </c>
      <c r="I97" s="6" t="str">
        <f>IFERROR(__xludf.DUMMYFUNCTION("MAX(FILTER($H$2:$H501,$E$2:$E501=F97))"),"#N/A")</f>
        <v>#N/A</v>
      </c>
    </row>
    <row r="98">
      <c r="A98" s="4"/>
      <c r="B98" s="4"/>
      <c r="C98" s="4" t="s">
        <v>1747</v>
      </c>
      <c r="D98" s="8" t="str">
        <f t="shared" si="1"/>
        <v>{"valorA":"ar condicionado","valorB":30}</v>
      </c>
      <c r="E98" s="8" t="str">
        <f t="shared" si="2"/>
        <v>ar condicionado</v>
      </c>
      <c r="F98" s="8"/>
      <c r="G98" s="15" t="str">
        <f t="shared" si="3"/>
        <v>30</v>
      </c>
      <c r="H98" s="9">
        <f t="shared" si="4"/>
        <v>30</v>
      </c>
      <c r="I98" s="6" t="str">
        <f>IFERROR(__xludf.DUMMYFUNCTION("MAX(FILTER($H$2:$H501,$E$2:$E501=F98))"),"#N/A")</f>
        <v>#N/A</v>
      </c>
    </row>
    <row r="99">
      <c r="A99" s="4"/>
      <c r="B99" s="4"/>
      <c r="C99" s="4" t="s">
        <v>1768</v>
      </c>
      <c r="D99" s="8" t="str">
        <f t="shared" si="1"/>
        <v>{"valorA":"microondas","valorB":37}</v>
      </c>
      <c r="E99" s="8" t="str">
        <f t="shared" si="2"/>
        <v>microondas</v>
      </c>
      <c r="F99" s="8"/>
      <c r="G99" s="15" t="str">
        <f t="shared" si="3"/>
        <v>37</v>
      </c>
      <c r="H99" s="9">
        <f t="shared" si="4"/>
        <v>37</v>
      </c>
      <c r="I99" s="6" t="str">
        <f>IFERROR(__xludf.DUMMYFUNCTION("MAX(FILTER($H$2:$H501,$E$2:$E501=F99))"),"#N/A")</f>
        <v>#N/A</v>
      </c>
    </row>
    <row r="100">
      <c r="A100" s="4"/>
      <c r="B100" s="4"/>
      <c r="C100" s="4" t="s">
        <v>1749</v>
      </c>
      <c r="D100" s="8" t="str">
        <f t="shared" si="1"/>
        <v>{"valorA":"ar condicionado","valorB":31}</v>
      </c>
      <c r="E100" s="8" t="str">
        <f t="shared" si="2"/>
        <v>ar condicionado</v>
      </c>
      <c r="F100" s="8"/>
      <c r="G100" s="15" t="str">
        <f t="shared" si="3"/>
        <v>31</v>
      </c>
      <c r="H100" s="9">
        <f t="shared" si="4"/>
        <v>31</v>
      </c>
      <c r="I100" s="6" t="str">
        <f>IFERROR(__xludf.DUMMYFUNCTION("MAX(FILTER($H$2:$H501,$E$2:$E501=F100))"),"#N/A")</f>
        <v>#N/A</v>
      </c>
    </row>
    <row r="101">
      <c r="A101" s="4"/>
      <c r="B101" s="4"/>
      <c r="C101" s="4" t="s">
        <v>1770</v>
      </c>
      <c r="D101" s="8" t="str">
        <f t="shared" si="1"/>
        <v>{"valorA":"microondas","valorB":38}</v>
      </c>
      <c r="E101" s="8" t="str">
        <f t="shared" si="2"/>
        <v>microondas</v>
      </c>
      <c r="F101" s="8"/>
      <c r="G101" s="15" t="str">
        <f t="shared" si="3"/>
        <v>38</v>
      </c>
      <c r="H101" s="9">
        <f t="shared" si="4"/>
        <v>38</v>
      </c>
      <c r="I101" s="6" t="str">
        <f>IFERROR(__xludf.DUMMYFUNCTION("MAX(FILTER($H$2:$H501,$E$2:$E501=F101))"),"#N/A")</f>
        <v>#N/A</v>
      </c>
    </row>
    <row r="102">
      <c r="A102" s="4"/>
      <c r="B102" s="4"/>
      <c r="C102" s="4" t="s">
        <v>1690</v>
      </c>
      <c r="D102" s="8" t="str">
        <f t="shared" si="1"/>
        <v>{"valorA":"freezer","valorB":32}</v>
      </c>
      <c r="E102" s="8" t="str">
        <f t="shared" si="2"/>
        <v>freezer</v>
      </c>
      <c r="F102" s="8"/>
      <c r="G102" s="15" t="str">
        <f t="shared" si="3"/>
        <v>32</v>
      </c>
      <c r="H102" s="9">
        <f t="shared" si="4"/>
        <v>32</v>
      </c>
      <c r="I102" s="6" t="str">
        <f>IFERROR(__xludf.DUMMYFUNCTION("MAX(FILTER($H$2:$H501,$E$2:$E501=F102))"),"#N/A")</f>
        <v>#N/A</v>
      </c>
    </row>
    <row r="103">
      <c r="A103" s="4"/>
      <c r="B103" s="4"/>
      <c r="C103" s="4" t="s">
        <v>1773</v>
      </c>
      <c r="D103" s="8" t="str">
        <f t="shared" si="1"/>
        <v>{"valorA":"microondas","valorB":39}</v>
      </c>
      <c r="E103" s="8" t="str">
        <f t="shared" si="2"/>
        <v>microondas</v>
      </c>
      <c r="F103" s="8"/>
      <c r="G103" s="15" t="str">
        <f t="shared" si="3"/>
        <v>39</v>
      </c>
      <c r="H103" s="9">
        <f t="shared" si="4"/>
        <v>39</v>
      </c>
      <c r="I103" s="6" t="str">
        <f>IFERROR(__xludf.DUMMYFUNCTION("MAX(FILTER($H$2:$H501,$E$2:$E501=F103))"),"#N/A")</f>
        <v>#N/A</v>
      </c>
    </row>
    <row r="104">
      <c r="A104" s="4"/>
      <c r="B104" s="4"/>
      <c r="C104" s="4" t="s">
        <v>1754</v>
      </c>
      <c r="D104" s="8" t="str">
        <f t="shared" si="1"/>
        <v>{"valorA":"ar condicionado","valorB":32}</v>
      </c>
      <c r="E104" s="8" t="str">
        <f t="shared" si="2"/>
        <v>ar condicionado</v>
      </c>
      <c r="F104" s="8"/>
      <c r="G104" s="15" t="str">
        <f t="shared" si="3"/>
        <v>32</v>
      </c>
      <c r="H104" s="9">
        <f t="shared" si="4"/>
        <v>32</v>
      </c>
      <c r="I104" s="6" t="str">
        <f>IFERROR(__xludf.DUMMYFUNCTION("MAX(FILTER($H$2:$H501,$E$2:$E501=F104))"),"#N/A")</f>
        <v>#N/A</v>
      </c>
    </row>
    <row r="105">
      <c r="A105" s="4"/>
      <c r="B105" s="4"/>
      <c r="C105" s="4" t="s">
        <v>1775</v>
      </c>
      <c r="D105" s="8" t="str">
        <f t="shared" si="1"/>
        <v>{"valorA":"microondas","valorB":40}</v>
      </c>
      <c r="E105" s="8" t="str">
        <f t="shared" si="2"/>
        <v>microondas</v>
      </c>
      <c r="F105" s="8"/>
      <c r="G105" s="15" t="str">
        <f t="shared" si="3"/>
        <v>40</v>
      </c>
      <c r="H105" s="9">
        <f t="shared" si="4"/>
        <v>40</v>
      </c>
      <c r="I105" s="6" t="str">
        <f>IFERROR(__xludf.DUMMYFUNCTION("MAX(FILTER($H$2:$H501,$E$2:$E501=F105))"),"#N/A")</f>
        <v>#N/A</v>
      </c>
    </row>
    <row r="106">
      <c r="A106" s="4"/>
      <c r="B106" s="4"/>
      <c r="C106" s="4" t="s">
        <v>1691</v>
      </c>
      <c r="D106" s="8" t="str">
        <f t="shared" si="1"/>
        <v>{"valorA":"freezer","valorB":33}</v>
      </c>
      <c r="E106" s="8" t="str">
        <f t="shared" si="2"/>
        <v>freezer</v>
      </c>
      <c r="F106" s="8"/>
      <c r="G106" s="15" t="str">
        <f t="shared" si="3"/>
        <v>33</v>
      </c>
      <c r="H106" s="9">
        <f t="shared" si="4"/>
        <v>33</v>
      </c>
      <c r="I106" s="6" t="str">
        <f>IFERROR(__xludf.DUMMYFUNCTION("MAX(FILTER($H$2:$H501,$E$2:$E501=F106))"),"#N/A")</f>
        <v>#N/A</v>
      </c>
    </row>
    <row r="107">
      <c r="A107" s="4"/>
      <c r="B107" s="4"/>
      <c r="C107" s="4" t="s">
        <v>1692</v>
      </c>
      <c r="D107" s="8" t="str">
        <f t="shared" si="1"/>
        <v>{"valorA":"freezer","valorB":34}</v>
      </c>
      <c r="E107" s="8" t="str">
        <f t="shared" si="2"/>
        <v>freezer</v>
      </c>
      <c r="F107" s="8"/>
      <c r="G107" s="15" t="str">
        <f t="shared" si="3"/>
        <v>34</v>
      </c>
      <c r="H107" s="9">
        <f t="shared" si="4"/>
        <v>34</v>
      </c>
      <c r="I107" s="6" t="str">
        <f>IFERROR(__xludf.DUMMYFUNCTION("MAX(FILTER($H$2:$H501,$E$2:$E501=F107))"),"#N/A")</f>
        <v>#N/A</v>
      </c>
    </row>
    <row r="108">
      <c r="A108" s="4"/>
      <c r="B108" s="4"/>
      <c r="C108" s="4" t="s">
        <v>1777</v>
      </c>
      <c r="D108" s="8" t="str">
        <f t="shared" si="1"/>
        <v>{"valorA":"microondas","valorB":41}</v>
      </c>
      <c r="E108" s="8" t="str">
        <f t="shared" si="2"/>
        <v>microondas</v>
      </c>
      <c r="F108" s="8"/>
      <c r="G108" s="15" t="str">
        <f t="shared" si="3"/>
        <v>41</v>
      </c>
      <c r="H108" s="9">
        <f t="shared" si="4"/>
        <v>41</v>
      </c>
      <c r="I108" s="6" t="str">
        <f>IFERROR(__xludf.DUMMYFUNCTION("MAX(FILTER($H$2:$H501,$E$2:$E501=F108))"),"#N/A")</f>
        <v>#N/A</v>
      </c>
    </row>
    <row r="109">
      <c r="A109" s="4"/>
      <c r="B109" s="4"/>
      <c r="C109" s="4" t="s">
        <v>1755</v>
      </c>
      <c r="D109" s="8" t="str">
        <f t="shared" si="1"/>
        <v>{"valorA":"ar condicionado","valorB":33}</v>
      </c>
      <c r="E109" s="8" t="str">
        <f t="shared" si="2"/>
        <v>ar condicionado</v>
      </c>
      <c r="F109" s="8"/>
      <c r="G109" s="15" t="str">
        <f t="shared" si="3"/>
        <v>33</v>
      </c>
      <c r="H109" s="9">
        <f t="shared" si="4"/>
        <v>33</v>
      </c>
      <c r="I109" s="6" t="str">
        <f>IFERROR(__xludf.DUMMYFUNCTION("MAX(FILTER($H$2:$H501,$E$2:$E501=F109))"),"#N/A")</f>
        <v>#N/A</v>
      </c>
    </row>
    <row r="110">
      <c r="A110" s="4"/>
      <c r="B110" s="4"/>
      <c r="C110" s="4" t="s">
        <v>1757</v>
      </c>
      <c r="D110" s="8" t="str">
        <f t="shared" si="1"/>
        <v>{"valorA":"ar condicionado","valorB":34}</v>
      </c>
      <c r="E110" s="8" t="str">
        <f t="shared" si="2"/>
        <v>ar condicionado</v>
      </c>
      <c r="F110" s="8"/>
      <c r="G110" s="15" t="str">
        <f t="shared" si="3"/>
        <v>34</v>
      </c>
      <c r="H110" s="9">
        <f t="shared" si="4"/>
        <v>34</v>
      </c>
      <c r="I110" s="6" t="str">
        <f>IFERROR(__xludf.DUMMYFUNCTION("MAX(FILTER($H$2:$H501,$E$2:$E501=F110))"),"#N/A")</f>
        <v>#N/A</v>
      </c>
    </row>
    <row r="111">
      <c r="A111" s="4"/>
      <c r="B111" s="4"/>
      <c r="C111" s="4" t="s">
        <v>1785</v>
      </c>
      <c r="D111" s="8" t="str">
        <f t="shared" si="1"/>
        <v>{"valorA":"microondas","valorB":42}</v>
      </c>
      <c r="E111" s="8" t="str">
        <f t="shared" si="2"/>
        <v>microondas</v>
      </c>
      <c r="F111" s="8"/>
      <c r="G111" s="15" t="str">
        <f t="shared" si="3"/>
        <v>42</v>
      </c>
      <c r="H111" s="9">
        <f t="shared" si="4"/>
        <v>42</v>
      </c>
      <c r="I111" s="6" t="str">
        <f>IFERROR(__xludf.DUMMYFUNCTION("MAX(FILTER($H$2:$H501,$E$2:$E501=F111))"),"#N/A")</f>
        <v>#N/A</v>
      </c>
    </row>
    <row r="112">
      <c r="A112" s="4"/>
      <c r="B112" s="4"/>
      <c r="C112" s="4" t="s">
        <v>1771</v>
      </c>
      <c r="D112" s="8" t="str">
        <f t="shared" si="1"/>
        <v>{"valorA":"freezer","valorB":35}</v>
      </c>
      <c r="E112" s="8" t="str">
        <f t="shared" si="2"/>
        <v>freezer</v>
      </c>
      <c r="F112" s="8"/>
      <c r="G112" s="15" t="str">
        <f t="shared" si="3"/>
        <v>35</v>
      </c>
      <c r="H112" s="9">
        <f t="shared" si="4"/>
        <v>35</v>
      </c>
      <c r="I112" s="6" t="str">
        <f>IFERROR(__xludf.DUMMYFUNCTION("MAX(FILTER($H$2:$H501,$E$2:$E501=F112))"),"#N/A")</f>
        <v>#N/A</v>
      </c>
    </row>
    <row r="113">
      <c r="A113" s="4"/>
      <c r="B113" s="4"/>
      <c r="C113" s="4" t="s">
        <v>1772</v>
      </c>
      <c r="D113" s="8" t="str">
        <f t="shared" si="1"/>
        <v>{"valorA":"freezer","valorB":36}</v>
      </c>
      <c r="E113" s="8" t="str">
        <f t="shared" si="2"/>
        <v>freezer</v>
      </c>
      <c r="F113" s="8"/>
      <c r="G113" s="15" t="str">
        <f t="shared" si="3"/>
        <v>36</v>
      </c>
      <c r="H113" s="9">
        <f t="shared" si="4"/>
        <v>36</v>
      </c>
      <c r="I113" s="6" t="str">
        <f>IFERROR(__xludf.DUMMYFUNCTION("MAX(FILTER($H$2:$H501,$E$2:$E501=F113))"),"#N/A")</f>
        <v>#N/A</v>
      </c>
    </row>
    <row r="114">
      <c r="A114" s="4"/>
      <c r="B114" s="4"/>
      <c r="C114" s="4" t="s">
        <v>1760</v>
      </c>
      <c r="D114" s="8" t="str">
        <f t="shared" si="1"/>
        <v>{"valorA":"ar condicionado","valorB":35}</v>
      </c>
      <c r="E114" s="8" t="str">
        <f t="shared" si="2"/>
        <v>ar condicionado</v>
      </c>
      <c r="F114" s="8"/>
      <c r="G114" s="15" t="str">
        <f t="shared" si="3"/>
        <v>35</v>
      </c>
      <c r="H114" s="9">
        <f t="shared" si="4"/>
        <v>35</v>
      </c>
      <c r="I114" s="6" t="str">
        <f>IFERROR(__xludf.DUMMYFUNCTION("MAX(FILTER($H$2:$H501,$E$2:$E501=F114))"),"#N/A")</f>
        <v>#N/A</v>
      </c>
    </row>
    <row r="115">
      <c r="A115" s="4"/>
      <c r="B115" s="4"/>
      <c r="C115" s="4" t="s">
        <v>1761</v>
      </c>
      <c r="D115" s="8" t="str">
        <f t="shared" si="1"/>
        <v>{"valorA":"ar condicionado","valorB":36}</v>
      </c>
      <c r="E115" s="8" t="str">
        <f t="shared" si="2"/>
        <v>ar condicionado</v>
      </c>
      <c r="F115" s="8"/>
      <c r="G115" s="15" t="str">
        <f t="shared" si="3"/>
        <v>36</v>
      </c>
      <c r="H115" s="9">
        <f t="shared" si="4"/>
        <v>36</v>
      </c>
      <c r="I115" s="6" t="str">
        <f>IFERROR(__xludf.DUMMYFUNCTION("MAX(FILTER($H$2:$H501,$E$2:$E501=F115))"),"#N/A")</f>
        <v>#N/A</v>
      </c>
    </row>
    <row r="116">
      <c r="A116" s="4"/>
      <c r="B116" s="4"/>
      <c r="C116" s="4" t="s">
        <v>1779</v>
      </c>
      <c r="D116" s="8" t="str">
        <f t="shared" si="1"/>
        <v>{"valorA":"freezer","valorB":37}</v>
      </c>
      <c r="E116" s="8" t="str">
        <f t="shared" si="2"/>
        <v>freezer</v>
      </c>
      <c r="F116" s="8"/>
      <c r="G116" s="15" t="str">
        <f t="shared" si="3"/>
        <v>37</v>
      </c>
      <c r="H116" s="9">
        <f t="shared" si="4"/>
        <v>37</v>
      </c>
      <c r="I116" s="6" t="str">
        <f>IFERROR(__xludf.DUMMYFUNCTION("MAX(FILTER($H$2:$H501,$E$2:$E501=F116))"),"#N/A")</f>
        <v>#N/A</v>
      </c>
    </row>
    <row r="117">
      <c r="A117" s="4"/>
      <c r="B117" s="4"/>
      <c r="C117" s="4" t="s">
        <v>1786</v>
      </c>
      <c r="D117" s="8" t="str">
        <f t="shared" si="1"/>
        <v>{"valorA":"microondas","valorB":43}</v>
      </c>
      <c r="E117" s="8" t="str">
        <f t="shared" si="2"/>
        <v>microondas</v>
      </c>
      <c r="F117" s="8"/>
      <c r="G117" s="15" t="str">
        <f t="shared" si="3"/>
        <v>43</v>
      </c>
      <c r="H117" s="9">
        <f t="shared" si="4"/>
        <v>43</v>
      </c>
      <c r="I117" s="6" t="str">
        <f>IFERROR(__xludf.DUMMYFUNCTION("MAX(FILTER($H$2:$H501,$E$2:$E501=F117))"),"#N/A")</f>
        <v>#N/A</v>
      </c>
    </row>
    <row r="118">
      <c r="A118" s="4"/>
      <c r="B118" s="4"/>
      <c r="C118" s="4" t="s">
        <v>1781</v>
      </c>
      <c r="D118" s="8" t="str">
        <f t="shared" si="1"/>
        <v>{"valorA":"freezer","valorB":38}</v>
      </c>
      <c r="E118" s="8" t="str">
        <f t="shared" si="2"/>
        <v>freezer</v>
      </c>
      <c r="F118" s="8"/>
      <c r="G118" s="15" t="str">
        <f t="shared" si="3"/>
        <v>38</v>
      </c>
      <c r="H118" s="9">
        <f t="shared" si="4"/>
        <v>38</v>
      </c>
      <c r="I118" s="6" t="str">
        <f>IFERROR(__xludf.DUMMYFUNCTION("MAX(FILTER($H$2:$H501,$E$2:$E501=F118))"),"#N/A")</f>
        <v>#N/A</v>
      </c>
    </row>
    <row r="119">
      <c r="A119" s="4"/>
      <c r="B119" s="4"/>
      <c r="C119" s="4" t="s">
        <v>1787</v>
      </c>
      <c r="D119" s="8" t="str">
        <f t="shared" si="1"/>
        <v>{"valorA":"microondas","valorB":44}</v>
      </c>
      <c r="E119" s="8" t="str">
        <f t="shared" si="2"/>
        <v>microondas</v>
      </c>
      <c r="F119" s="8"/>
      <c r="G119" s="15" t="str">
        <f t="shared" si="3"/>
        <v>44</v>
      </c>
      <c r="H119" s="9">
        <f t="shared" si="4"/>
        <v>44</v>
      </c>
      <c r="I119" s="6" t="str">
        <f>IFERROR(__xludf.DUMMYFUNCTION("MAX(FILTER($H$2:$H501,$E$2:$E501=F119))"),"#N/A")</f>
        <v>#N/A</v>
      </c>
    </row>
    <row r="120">
      <c r="A120" s="4"/>
      <c r="B120" s="4"/>
      <c r="C120" s="4" t="s">
        <v>1763</v>
      </c>
      <c r="D120" s="8" t="str">
        <f t="shared" si="1"/>
        <v>{"valorA":"ar condicionado","valorB":37}</v>
      </c>
      <c r="E120" s="8" t="str">
        <f t="shared" si="2"/>
        <v>ar condicionado</v>
      </c>
      <c r="F120" s="8"/>
      <c r="G120" s="15" t="str">
        <f t="shared" si="3"/>
        <v>37</v>
      </c>
      <c r="H120" s="9">
        <f t="shared" si="4"/>
        <v>37</v>
      </c>
      <c r="I120" s="6" t="str">
        <f>IFERROR(__xludf.DUMMYFUNCTION("MAX(FILTER($H$2:$H501,$E$2:$E501=F120))"),"#N/A")</f>
        <v>#N/A</v>
      </c>
    </row>
    <row r="121">
      <c r="A121" s="4"/>
      <c r="B121" s="4"/>
      <c r="C121" s="4" t="s">
        <v>1782</v>
      </c>
      <c r="D121" s="8" t="str">
        <f t="shared" si="1"/>
        <v>{"valorA":"freezer","valorB":39}</v>
      </c>
      <c r="E121" s="8" t="str">
        <f t="shared" si="2"/>
        <v>freezer</v>
      </c>
      <c r="F121" s="8"/>
      <c r="G121" s="15" t="str">
        <f t="shared" si="3"/>
        <v>39</v>
      </c>
      <c r="H121" s="9">
        <f t="shared" si="4"/>
        <v>39</v>
      </c>
      <c r="I121" s="6" t="str">
        <f>IFERROR(__xludf.DUMMYFUNCTION("MAX(FILTER($H$2:$H501,$E$2:$E501=F121))"),"#N/A")</f>
        <v>#N/A</v>
      </c>
    </row>
    <row r="122">
      <c r="A122" s="4"/>
      <c r="B122" s="4"/>
      <c r="C122" s="4" t="s">
        <v>1788</v>
      </c>
      <c r="D122" s="8" t="str">
        <f t="shared" si="1"/>
        <v>{"valorA":"microondas","valorB":45}</v>
      </c>
      <c r="E122" s="8" t="str">
        <f t="shared" si="2"/>
        <v>microondas</v>
      </c>
      <c r="F122" s="8"/>
      <c r="G122" s="15" t="str">
        <f t="shared" si="3"/>
        <v>45</v>
      </c>
      <c r="H122" s="9">
        <f t="shared" si="4"/>
        <v>45</v>
      </c>
      <c r="I122" s="6" t="str">
        <f>IFERROR(__xludf.DUMMYFUNCTION("MAX(FILTER($H$2:$H501,$E$2:$E501=F122))"),"#N/A")</f>
        <v>#N/A</v>
      </c>
    </row>
    <row r="123">
      <c r="A123" s="4"/>
      <c r="B123" s="4"/>
      <c r="C123" s="4" t="s">
        <v>1764</v>
      </c>
      <c r="D123" s="8" t="str">
        <f t="shared" si="1"/>
        <v>{"valorA":"ar condicionado","valorB":38}</v>
      </c>
      <c r="E123" s="8" t="str">
        <f t="shared" si="2"/>
        <v>ar condicionado</v>
      </c>
      <c r="F123" s="8"/>
      <c r="G123" s="15" t="str">
        <f t="shared" si="3"/>
        <v>38</v>
      </c>
      <c r="H123" s="9">
        <f t="shared" si="4"/>
        <v>38</v>
      </c>
      <c r="I123" s="6" t="str">
        <f>IFERROR(__xludf.DUMMYFUNCTION("MAX(FILTER($H$2:$H501,$E$2:$E501=F123))"),"#N/A")</f>
        <v>#N/A</v>
      </c>
    </row>
    <row r="124">
      <c r="A124" s="4"/>
      <c r="B124" s="4"/>
      <c r="C124" s="4" t="s">
        <v>1797</v>
      </c>
      <c r="D124" s="8" t="str">
        <f t="shared" si="1"/>
        <v>{"valorA":"microondas","valorB":46}</v>
      </c>
      <c r="E124" s="8" t="str">
        <f t="shared" si="2"/>
        <v>microondas</v>
      </c>
      <c r="F124" s="8"/>
      <c r="G124" s="15" t="str">
        <f t="shared" si="3"/>
        <v>46</v>
      </c>
      <c r="H124" s="9">
        <f t="shared" si="4"/>
        <v>46</v>
      </c>
      <c r="I124" s="6" t="str">
        <f>IFERROR(__xludf.DUMMYFUNCTION("MAX(FILTER($H$2:$H501,$E$2:$E501=F124))"),"#N/A")</f>
        <v>#N/A</v>
      </c>
    </row>
    <row r="125">
      <c r="A125" s="4"/>
      <c r="B125" s="4"/>
      <c r="C125" s="4" t="s">
        <v>1765</v>
      </c>
      <c r="D125" s="8" t="str">
        <f t="shared" si="1"/>
        <v>{"valorA":"ar condicionado","valorB":39}</v>
      </c>
      <c r="E125" s="8" t="str">
        <f t="shared" si="2"/>
        <v>ar condicionado</v>
      </c>
      <c r="F125" s="8"/>
      <c r="G125" s="15" t="str">
        <f t="shared" si="3"/>
        <v>39</v>
      </c>
      <c r="H125" s="9">
        <f t="shared" si="4"/>
        <v>39</v>
      </c>
      <c r="I125" s="6" t="str">
        <f>IFERROR(__xludf.DUMMYFUNCTION("MAX(FILTER($H$2:$H501,$E$2:$E501=F125))"),"#N/A")</f>
        <v>#N/A</v>
      </c>
    </row>
    <row r="126">
      <c r="A126" s="4"/>
      <c r="B126" s="4"/>
      <c r="C126" s="4" t="s">
        <v>1767</v>
      </c>
      <c r="D126" s="8" t="str">
        <f t="shared" si="1"/>
        <v>{"valorA":"ar condicionado","valorB":40}</v>
      </c>
      <c r="E126" s="8" t="str">
        <f t="shared" si="2"/>
        <v>ar condicionado</v>
      </c>
      <c r="F126" s="8"/>
      <c r="G126" s="15" t="str">
        <f t="shared" si="3"/>
        <v>40</v>
      </c>
      <c r="H126" s="9">
        <f t="shared" si="4"/>
        <v>40</v>
      </c>
      <c r="I126" s="6" t="str">
        <f>IFERROR(__xludf.DUMMYFUNCTION("MAX(FILTER($H$2:$H501,$E$2:$E501=F126))"),"#N/A")</f>
        <v>#N/A</v>
      </c>
    </row>
    <row r="127">
      <c r="A127" s="4"/>
      <c r="B127" s="4"/>
      <c r="C127" s="4" t="s">
        <v>1783</v>
      </c>
      <c r="D127" s="8" t="str">
        <f t="shared" si="1"/>
        <v>{"valorA":"freezer","valorB":40}</v>
      </c>
      <c r="E127" s="8" t="str">
        <f t="shared" si="2"/>
        <v>freezer</v>
      </c>
      <c r="F127" s="8"/>
      <c r="G127" s="15" t="str">
        <f t="shared" si="3"/>
        <v>40</v>
      </c>
      <c r="H127" s="9">
        <f t="shared" si="4"/>
        <v>40</v>
      </c>
      <c r="I127" s="6" t="str">
        <f>IFERROR(__xludf.DUMMYFUNCTION("MAX(FILTER($H$2:$H501,$E$2:$E501=F127))"),"#N/A")</f>
        <v>#N/A</v>
      </c>
    </row>
    <row r="128">
      <c r="A128" s="4"/>
      <c r="B128" s="4"/>
      <c r="C128" s="4" t="s">
        <v>1769</v>
      </c>
      <c r="D128" s="8" t="str">
        <f t="shared" si="1"/>
        <v>{"valorA":"ar condicionado","valorB":41}</v>
      </c>
      <c r="E128" s="8" t="str">
        <f t="shared" si="2"/>
        <v>ar condicionado</v>
      </c>
      <c r="F128" s="8"/>
      <c r="G128" s="15" t="str">
        <f t="shared" si="3"/>
        <v>41</v>
      </c>
      <c r="H128" s="9">
        <f t="shared" si="4"/>
        <v>41</v>
      </c>
      <c r="I128" s="6" t="str">
        <f>IFERROR(__xludf.DUMMYFUNCTION("MAX(FILTER($H$2:$H501,$E$2:$E501=F128))"),"#N/A")</f>
        <v>#N/A</v>
      </c>
    </row>
    <row r="129">
      <c r="A129" s="4"/>
      <c r="B129" s="4"/>
      <c r="C129" s="4" t="s">
        <v>1784</v>
      </c>
      <c r="D129" s="8" t="str">
        <f t="shared" si="1"/>
        <v>{"valorA":"freezer","valorB":41}</v>
      </c>
      <c r="E129" s="8" t="str">
        <f t="shared" si="2"/>
        <v>freezer</v>
      </c>
      <c r="F129" s="8"/>
      <c r="G129" s="15" t="str">
        <f t="shared" si="3"/>
        <v>41</v>
      </c>
      <c r="H129" s="9">
        <f t="shared" si="4"/>
        <v>41</v>
      </c>
      <c r="I129" s="6" t="str">
        <f>IFERROR(__xludf.DUMMYFUNCTION("MAX(FILTER($H$2:$H501,$E$2:$E501=F129))"),"#N/A")</f>
        <v>#N/A</v>
      </c>
    </row>
    <row r="130">
      <c r="A130" s="4"/>
      <c r="B130" s="4"/>
      <c r="C130" s="4" t="s">
        <v>1799</v>
      </c>
      <c r="D130" s="8" t="str">
        <f t="shared" si="1"/>
        <v>{"valorA":"microondas","valorB":47}</v>
      </c>
      <c r="E130" s="8" t="str">
        <f t="shared" si="2"/>
        <v>microondas</v>
      </c>
      <c r="F130" s="8"/>
      <c r="G130" s="15" t="str">
        <f t="shared" si="3"/>
        <v>47</v>
      </c>
      <c r="H130" s="9">
        <f t="shared" si="4"/>
        <v>47</v>
      </c>
      <c r="I130" s="6" t="str">
        <f>IFERROR(__xludf.DUMMYFUNCTION("MAX(FILTER($H$2:$H501,$E$2:$E501=F130))"),"#N/A")</f>
        <v>#N/A</v>
      </c>
    </row>
    <row r="131">
      <c r="A131" s="4"/>
      <c r="B131" s="4"/>
      <c r="C131" s="4" t="s">
        <v>1806</v>
      </c>
      <c r="D131" s="8" t="str">
        <f t="shared" si="1"/>
        <v>{"valorA":"microondas","valorB":48}</v>
      </c>
      <c r="E131" s="8" t="str">
        <f t="shared" si="2"/>
        <v>microondas</v>
      </c>
      <c r="F131" s="8"/>
      <c r="G131" s="15" t="str">
        <f t="shared" si="3"/>
        <v>48</v>
      </c>
      <c r="H131" s="9">
        <f t="shared" si="4"/>
        <v>48</v>
      </c>
      <c r="I131" s="6" t="str">
        <f>IFERROR(__xludf.DUMMYFUNCTION("MAX(FILTER($H$2:$H501,$E$2:$E501=F131))"),"#N/A")</f>
        <v>#N/A</v>
      </c>
    </row>
    <row r="132">
      <c r="A132" s="4"/>
      <c r="B132" s="4"/>
      <c r="C132" s="4" t="s">
        <v>1774</v>
      </c>
      <c r="D132" s="8" t="str">
        <f t="shared" si="1"/>
        <v>{"valorA":"ar condicionado","valorB":42}</v>
      </c>
      <c r="E132" s="8" t="str">
        <f t="shared" si="2"/>
        <v>ar condicionado</v>
      </c>
      <c r="F132" s="8"/>
      <c r="G132" s="15" t="str">
        <f t="shared" si="3"/>
        <v>42</v>
      </c>
      <c r="H132" s="9">
        <f t="shared" si="4"/>
        <v>42</v>
      </c>
      <c r="I132" s="6" t="str">
        <f>IFERROR(__xludf.DUMMYFUNCTION("MAX(FILTER($H$2:$H501,$E$2:$E501=F132))"),"#N/A")</f>
        <v>#N/A</v>
      </c>
    </row>
    <row r="133">
      <c r="A133" s="4"/>
      <c r="B133" s="4"/>
      <c r="C133" s="4" t="s">
        <v>1807</v>
      </c>
      <c r="D133" s="8" t="str">
        <f t="shared" si="1"/>
        <v>{"valorA":"microondas","valorB":49}</v>
      </c>
      <c r="E133" s="8" t="str">
        <f t="shared" si="2"/>
        <v>microondas</v>
      </c>
      <c r="F133" s="8"/>
      <c r="G133" s="15" t="str">
        <f t="shared" si="3"/>
        <v>49</v>
      </c>
      <c r="H133" s="9">
        <f t="shared" si="4"/>
        <v>49</v>
      </c>
      <c r="I133" s="6" t="str">
        <f>IFERROR(__xludf.DUMMYFUNCTION("MAX(FILTER($H$2:$H501,$E$2:$E501=F133))"),"#N/A")</f>
        <v>#N/A</v>
      </c>
    </row>
    <row r="134">
      <c r="A134" s="4"/>
      <c r="B134" s="4"/>
      <c r="C134" s="4" t="s">
        <v>1808</v>
      </c>
      <c r="D134" s="8" t="str">
        <f t="shared" si="1"/>
        <v>{"valorA":"microondas","valorB":50}</v>
      </c>
      <c r="E134" s="8" t="str">
        <f t="shared" si="2"/>
        <v>microondas</v>
      </c>
      <c r="F134" s="8"/>
      <c r="G134" s="15" t="str">
        <f t="shared" si="3"/>
        <v>50</v>
      </c>
      <c r="H134" s="9">
        <f t="shared" si="4"/>
        <v>50</v>
      </c>
      <c r="I134" s="6" t="str">
        <f>IFERROR(__xludf.DUMMYFUNCTION("MAX(FILTER($H$2:$H501,$E$2:$E501=F134))"),"#N/A")</f>
        <v>#N/A</v>
      </c>
    </row>
    <row r="135">
      <c r="A135" s="4"/>
      <c r="B135" s="4"/>
      <c r="C135" s="4" t="s">
        <v>1776</v>
      </c>
      <c r="D135" s="8" t="str">
        <f t="shared" si="1"/>
        <v>{"valorA":"ar condicionado","valorB":43}</v>
      </c>
      <c r="E135" s="8" t="str">
        <f t="shared" si="2"/>
        <v>ar condicionado</v>
      </c>
      <c r="F135" s="8"/>
      <c r="G135" s="15" t="str">
        <f t="shared" si="3"/>
        <v>43</v>
      </c>
      <c r="H135" s="9">
        <f t="shared" si="4"/>
        <v>43</v>
      </c>
      <c r="I135" s="6" t="str">
        <f>IFERROR(__xludf.DUMMYFUNCTION("MAX(FILTER($H$2:$H501,$E$2:$E501=F135))"),"#N/A")</f>
        <v>#N/A</v>
      </c>
    </row>
    <row r="136">
      <c r="A136" s="4"/>
      <c r="B136" s="4"/>
      <c r="C136" s="4" t="s">
        <v>1778</v>
      </c>
      <c r="D136" s="8" t="str">
        <f t="shared" si="1"/>
        <v>{"valorA":"ar condicionado","valorB":44}</v>
      </c>
      <c r="E136" s="8" t="str">
        <f t="shared" si="2"/>
        <v>ar condicionado</v>
      </c>
      <c r="F136" s="8"/>
      <c r="G136" s="15" t="str">
        <f t="shared" si="3"/>
        <v>44</v>
      </c>
      <c r="H136" s="9">
        <f t="shared" si="4"/>
        <v>44</v>
      </c>
      <c r="I136" s="6" t="str">
        <f>IFERROR(__xludf.DUMMYFUNCTION("MAX(FILTER($H$2:$H501,$E$2:$E501=F136))"),"#N/A")</f>
        <v>#N/A</v>
      </c>
    </row>
    <row r="137">
      <c r="A137" s="4"/>
      <c r="B137" s="4"/>
      <c r="C137" s="4" t="s">
        <v>1790</v>
      </c>
      <c r="D137" s="8" t="str">
        <f t="shared" si="1"/>
        <v>{"valorA":"freezer","valorB":42}</v>
      </c>
      <c r="E137" s="8" t="str">
        <f t="shared" si="2"/>
        <v>freezer</v>
      </c>
      <c r="F137" s="8"/>
      <c r="G137" s="15" t="str">
        <f t="shared" si="3"/>
        <v>42</v>
      </c>
      <c r="H137" s="9">
        <f t="shared" si="4"/>
        <v>42</v>
      </c>
      <c r="I137" s="6" t="str">
        <f>IFERROR(__xludf.DUMMYFUNCTION("MAX(FILTER($H$2:$H501,$E$2:$E501=F137))"),"#N/A")</f>
        <v>#N/A</v>
      </c>
    </row>
    <row r="138">
      <c r="A138" s="4"/>
      <c r="B138" s="4"/>
      <c r="C138" s="4" t="s">
        <v>1792</v>
      </c>
      <c r="D138" s="8" t="str">
        <f t="shared" si="1"/>
        <v>{"valorA":"freezer","valorB":43}</v>
      </c>
      <c r="E138" s="8" t="str">
        <f t="shared" si="2"/>
        <v>freezer</v>
      </c>
      <c r="F138" s="8"/>
      <c r="G138" s="15" t="str">
        <f t="shared" si="3"/>
        <v>43</v>
      </c>
      <c r="H138" s="9">
        <f t="shared" si="4"/>
        <v>43</v>
      </c>
      <c r="I138" s="6" t="str">
        <f>IFERROR(__xludf.DUMMYFUNCTION("MAX(FILTER($H$2:$H501,$E$2:$E501=F138))"),"#N/A")</f>
        <v>#N/A</v>
      </c>
    </row>
    <row r="139">
      <c r="A139" s="4"/>
      <c r="B139" s="4"/>
      <c r="C139" s="4" t="s">
        <v>1780</v>
      </c>
      <c r="D139" s="8" t="str">
        <f t="shared" si="1"/>
        <v>{"valorA":"ar condicionado","valorB":45}</v>
      </c>
      <c r="E139" s="8" t="str">
        <f t="shared" si="2"/>
        <v>ar condicionado</v>
      </c>
      <c r="F139" s="8"/>
      <c r="G139" s="15" t="str">
        <f t="shared" si="3"/>
        <v>45</v>
      </c>
      <c r="H139" s="9">
        <f t="shared" si="4"/>
        <v>45</v>
      </c>
      <c r="I139" s="6" t="str">
        <f>IFERROR(__xludf.DUMMYFUNCTION("MAX(FILTER($H$2:$H501,$E$2:$E501=F139))"),"#N/A")</f>
        <v>#N/A</v>
      </c>
    </row>
    <row r="140">
      <c r="A140" s="4"/>
      <c r="B140" s="4"/>
      <c r="C140" s="4" t="s">
        <v>1811</v>
      </c>
      <c r="D140" s="8" t="str">
        <f t="shared" si="1"/>
        <v>{"valorA":"microondas","valorB":51}</v>
      </c>
      <c r="E140" s="8" t="str">
        <f t="shared" si="2"/>
        <v>microondas</v>
      </c>
      <c r="F140" s="8"/>
      <c r="G140" s="15" t="str">
        <f t="shared" si="3"/>
        <v>51</v>
      </c>
      <c r="H140" s="9">
        <f t="shared" si="4"/>
        <v>51</v>
      </c>
      <c r="I140" s="6" t="str">
        <f>IFERROR(__xludf.DUMMYFUNCTION("MAX(FILTER($H$2:$H501,$E$2:$E501=F140))"),"#N/A")</f>
        <v>#N/A</v>
      </c>
    </row>
    <row r="141">
      <c r="A141" s="4"/>
      <c r="B141" s="4"/>
      <c r="C141" s="4" t="s">
        <v>1789</v>
      </c>
      <c r="D141" s="8" t="str">
        <f t="shared" si="1"/>
        <v>{"valorA":"ar condicionado","valorB":46}</v>
      </c>
      <c r="E141" s="8" t="str">
        <f t="shared" si="2"/>
        <v>ar condicionado</v>
      </c>
      <c r="F141" s="8"/>
      <c r="G141" s="15" t="str">
        <f t="shared" si="3"/>
        <v>46</v>
      </c>
      <c r="H141" s="9">
        <f t="shared" si="4"/>
        <v>46</v>
      </c>
      <c r="I141" s="6" t="str">
        <f>IFERROR(__xludf.DUMMYFUNCTION("MAX(FILTER($H$2:$H501,$E$2:$E501=F141))"),"#N/A")</f>
        <v>#N/A</v>
      </c>
    </row>
    <row r="142">
      <c r="A142" s="4"/>
      <c r="B142" s="4"/>
      <c r="C142" s="4" t="s">
        <v>1815</v>
      </c>
      <c r="D142" s="8" t="str">
        <f t="shared" si="1"/>
        <v>{"valorA":"microondas","valorB":52}</v>
      </c>
      <c r="E142" s="8" t="str">
        <f t="shared" si="2"/>
        <v>microondas</v>
      </c>
      <c r="F142" s="8"/>
      <c r="G142" s="15" t="str">
        <f t="shared" si="3"/>
        <v>52</v>
      </c>
      <c r="H142" s="9">
        <f t="shared" si="4"/>
        <v>52</v>
      </c>
      <c r="I142" s="6" t="str">
        <f>IFERROR(__xludf.DUMMYFUNCTION("MAX(FILTER($H$2:$H501,$E$2:$E501=F142))"),"#N/A")</f>
        <v>#N/A</v>
      </c>
    </row>
    <row r="143">
      <c r="A143" s="4"/>
      <c r="B143" s="4"/>
      <c r="C143" s="4" t="s">
        <v>1819</v>
      </c>
      <c r="D143" s="8" t="str">
        <f t="shared" si="1"/>
        <v>{"valorA":"microondas","valorB":53}</v>
      </c>
      <c r="E143" s="8" t="str">
        <f t="shared" si="2"/>
        <v>microondas</v>
      </c>
      <c r="F143" s="8"/>
      <c r="G143" s="15" t="str">
        <f t="shared" si="3"/>
        <v>53</v>
      </c>
      <c r="H143" s="9">
        <f t="shared" si="4"/>
        <v>53</v>
      </c>
      <c r="I143" s="6" t="str">
        <f>IFERROR(__xludf.DUMMYFUNCTION("MAX(FILTER($H$2:$H501,$E$2:$E501=F143))"),"#N/A")</f>
        <v>#N/A</v>
      </c>
    </row>
    <row r="144">
      <c r="A144" s="4"/>
      <c r="B144" s="4"/>
      <c r="C144" s="4" t="s">
        <v>1793</v>
      </c>
      <c r="D144" s="8" t="str">
        <f t="shared" si="1"/>
        <v>{"valorA":"freezer","valorB":44}</v>
      </c>
      <c r="E144" s="8" t="str">
        <f t="shared" si="2"/>
        <v>freezer</v>
      </c>
      <c r="F144" s="8"/>
      <c r="G144" s="15" t="str">
        <f t="shared" si="3"/>
        <v>44</v>
      </c>
      <c r="H144" s="9">
        <f t="shared" si="4"/>
        <v>44</v>
      </c>
      <c r="I144" s="6" t="str">
        <f>IFERROR(__xludf.DUMMYFUNCTION("MAX(FILTER($H$2:$H501,$E$2:$E501=F144))"),"#N/A")</f>
        <v>#N/A</v>
      </c>
    </row>
    <row r="145">
      <c r="A145" s="4"/>
      <c r="B145" s="4"/>
      <c r="C145" s="4" t="s">
        <v>1820</v>
      </c>
      <c r="D145" s="8" t="str">
        <f t="shared" si="1"/>
        <v>{"valorA":"microondas","valorB":54}</v>
      </c>
      <c r="E145" s="8" t="str">
        <f t="shared" si="2"/>
        <v>microondas</v>
      </c>
      <c r="F145" s="8"/>
      <c r="G145" s="15" t="str">
        <f t="shared" si="3"/>
        <v>54</v>
      </c>
      <c r="H145" s="9">
        <f t="shared" si="4"/>
        <v>54</v>
      </c>
      <c r="I145" s="6" t="str">
        <f>IFERROR(__xludf.DUMMYFUNCTION("MAX(FILTER($H$2:$H501,$E$2:$E501=F145))"),"#N/A")</f>
        <v>#N/A</v>
      </c>
    </row>
    <row r="146">
      <c r="A146" s="4"/>
      <c r="B146" s="4"/>
      <c r="C146" s="4" t="s">
        <v>1791</v>
      </c>
      <c r="D146" s="8" t="str">
        <f t="shared" si="1"/>
        <v>{"valorA":"ar condicionado","valorB":47}</v>
      </c>
      <c r="E146" s="8" t="str">
        <f t="shared" si="2"/>
        <v>ar condicionado</v>
      </c>
      <c r="F146" s="8"/>
      <c r="G146" s="15" t="str">
        <f t="shared" si="3"/>
        <v>47</v>
      </c>
      <c r="H146" s="9">
        <f t="shared" si="4"/>
        <v>47</v>
      </c>
      <c r="I146" s="6" t="str">
        <f>IFERROR(__xludf.DUMMYFUNCTION("MAX(FILTER($H$2:$H501,$E$2:$E501=F146))"),"#N/A")</f>
        <v>#N/A</v>
      </c>
    </row>
    <row r="147">
      <c r="A147" s="4"/>
      <c r="B147" s="4"/>
      <c r="C147" s="4" t="s">
        <v>1826</v>
      </c>
      <c r="D147" s="8" t="str">
        <f t="shared" si="1"/>
        <v>{"valorA":"microondas","valorB":55}</v>
      </c>
      <c r="E147" s="8" t="str">
        <f t="shared" si="2"/>
        <v>microondas</v>
      </c>
      <c r="F147" s="8"/>
      <c r="G147" s="15" t="str">
        <f t="shared" si="3"/>
        <v>55</v>
      </c>
      <c r="H147" s="9">
        <f t="shared" si="4"/>
        <v>55</v>
      </c>
      <c r="I147" s="6" t="str">
        <f>IFERROR(__xludf.DUMMYFUNCTION("MAX(FILTER($H$2:$H501,$E$2:$E501=F147))"),"#N/A")</f>
        <v>#N/A</v>
      </c>
    </row>
    <row r="148">
      <c r="A148" s="4"/>
      <c r="B148" s="4"/>
      <c r="C148" s="4" t="s">
        <v>1795</v>
      </c>
      <c r="D148" s="8" t="str">
        <f t="shared" si="1"/>
        <v>{"valorA":"freezer","valorB":45}</v>
      </c>
      <c r="E148" s="8" t="str">
        <f t="shared" si="2"/>
        <v>freezer</v>
      </c>
      <c r="F148" s="8"/>
      <c r="G148" s="15" t="str">
        <f t="shared" si="3"/>
        <v>45</v>
      </c>
      <c r="H148" s="9">
        <f t="shared" si="4"/>
        <v>45</v>
      </c>
      <c r="I148" s="6" t="str">
        <f>IFERROR(__xludf.DUMMYFUNCTION("MAX(FILTER($H$2:$H501,$E$2:$E501=F148))"),"#N/A")</f>
        <v>#N/A</v>
      </c>
    </row>
    <row r="149">
      <c r="A149" s="4"/>
      <c r="B149" s="4"/>
      <c r="C149" s="4" t="s">
        <v>1794</v>
      </c>
      <c r="D149" s="8" t="str">
        <f t="shared" si="1"/>
        <v>{"valorA":"ar condicionado","valorB":48}</v>
      </c>
      <c r="E149" s="8" t="str">
        <f t="shared" si="2"/>
        <v>ar condicionado</v>
      </c>
      <c r="F149" s="8"/>
      <c r="G149" s="15" t="str">
        <f t="shared" si="3"/>
        <v>48</v>
      </c>
      <c r="H149" s="9">
        <f t="shared" si="4"/>
        <v>48</v>
      </c>
      <c r="I149" s="6" t="str">
        <f>IFERROR(__xludf.DUMMYFUNCTION("MAX(FILTER($H$2:$H501,$E$2:$E501=F149))"),"#N/A")</f>
        <v>#N/A</v>
      </c>
    </row>
    <row r="150">
      <c r="A150" s="4"/>
      <c r="B150" s="4"/>
      <c r="C150" s="4" t="s">
        <v>1798</v>
      </c>
      <c r="D150" s="8" t="str">
        <f t="shared" si="1"/>
        <v>{"valorA":"ar condicionado","valorB":49}</v>
      </c>
      <c r="E150" s="8" t="str">
        <f t="shared" si="2"/>
        <v>ar condicionado</v>
      </c>
      <c r="F150" s="8"/>
      <c r="G150" s="15" t="str">
        <f t="shared" si="3"/>
        <v>49</v>
      </c>
      <c r="H150" s="9">
        <f t="shared" si="4"/>
        <v>49</v>
      </c>
      <c r="I150" s="6" t="str">
        <f>IFERROR(__xludf.DUMMYFUNCTION("MAX(FILTER($H$2:$H501,$E$2:$E501=F150))"),"#N/A")</f>
        <v>#N/A</v>
      </c>
    </row>
    <row r="151">
      <c r="A151" s="4"/>
      <c r="B151" s="4"/>
      <c r="C151" s="4" t="s">
        <v>1796</v>
      </c>
      <c r="D151" s="8" t="str">
        <f t="shared" si="1"/>
        <v>{"valorA":"freezer","valorB":46}</v>
      </c>
      <c r="E151" s="8" t="str">
        <f t="shared" si="2"/>
        <v>freezer</v>
      </c>
      <c r="F151" s="8"/>
      <c r="G151" s="15" t="str">
        <f t="shared" si="3"/>
        <v>46</v>
      </c>
      <c r="H151" s="9">
        <f t="shared" si="4"/>
        <v>46</v>
      </c>
      <c r="I151" s="6" t="str">
        <f>IFERROR(__xludf.DUMMYFUNCTION("MAX(FILTER($H$2:$H501,$E$2:$E501=F151))"),"#N/A")</f>
        <v>#N/A</v>
      </c>
    </row>
    <row r="152">
      <c r="A152" s="4"/>
      <c r="B152" s="4"/>
      <c r="C152" s="4" t="s">
        <v>1800</v>
      </c>
      <c r="D152" s="8" t="str">
        <f t="shared" si="1"/>
        <v>{"valorA":"ar condicionado","valorB":50}</v>
      </c>
      <c r="E152" s="8" t="str">
        <f t="shared" si="2"/>
        <v>ar condicionado</v>
      </c>
      <c r="F152" s="8"/>
      <c r="G152" s="15" t="str">
        <f t="shared" si="3"/>
        <v>50</v>
      </c>
      <c r="H152" s="9">
        <f t="shared" si="4"/>
        <v>50</v>
      </c>
      <c r="I152" s="6" t="str">
        <f>IFERROR(__xludf.DUMMYFUNCTION("MAX(FILTER($H$2:$H501,$E$2:$E501=F152))"),"#N/A")</f>
        <v>#N/A</v>
      </c>
    </row>
    <row r="153">
      <c r="A153" s="4"/>
      <c r="B153" s="4"/>
      <c r="C153" s="4" t="s">
        <v>1802</v>
      </c>
      <c r="D153" s="8" t="str">
        <f t="shared" si="1"/>
        <v>{"valorA":"ar condicionado","valorB":51}</v>
      </c>
      <c r="E153" s="8" t="str">
        <f t="shared" si="2"/>
        <v>ar condicionado</v>
      </c>
      <c r="F153" s="8"/>
      <c r="G153" s="15" t="str">
        <f t="shared" si="3"/>
        <v>51</v>
      </c>
      <c r="H153" s="9">
        <f t="shared" si="4"/>
        <v>51</v>
      </c>
      <c r="I153" s="6" t="str">
        <f>IFERROR(__xludf.DUMMYFUNCTION("MAX(FILTER($H$2:$H501,$E$2:$E501=F153))"),"#N/A")</f>
        <v>#N/A</v>
      </c>
    </row>
    <row r="154">
      <c r="A154" s="4"/>
      <c r="B154" s="4"/>
      <c r="C154" s="4" t="s">
        <v>1803</v>
      </c>
      <c r="D154" s="8" t="str">
        <f t="shared" si="1"/>
        <v>{"valorA":"ar condicionado","valorB":52}</v>
      </c>
      <c r="E154" s="8" t="str">
        <f t="shared" si="2"/>
        <v>ar condicionado</v>
      </c>
      <c r="F154" s="8"/>
      <c r="G154" s="15" t="str">
        <f t="shared" si="3"/>
        <v>52</v>
      </c>
      <c r="H154" s="9">
        <f t="shared" si="4"/>
        <v>52</v>
      </c>
      <c r="I154" s="6" t="str">
        <f>IFERROR(__xludf.DUMMYFUNCTION("MAX(FILTER($H$2:$H501,$E$2:$E501=F154))"),"#N/A")</f>
        <v>#N/A</v>
      </c>
    </row>
    <row r="155">
      <c r="A155" s="4"/>
      <c r="B155" s="4"/>
      <c r="C155" s="4" t="s">
        <v>1827</v>
      </c>
      <c r="D155" s="8" t="str">
        <f t="shared" si="1"/>
        <v>{"valorA":"microondas","valorB":56}</v>
      </c>
      <c r="E155" s="8" t="str">
        <f t="shared" si="2"/>
        <v>microondas</v>
      </c>
      <c r="F155" s="8"/>
      <c r="G155" s="15" t="str">
        <f t="shared" si="3"/>
        <v>56</v>
      </c>
      <c r="H155" s="9">
        <f t="shared" si="4"/>
        <v>56</v>
      </c>
      <c r="I155" s="6" t="str">
        <f>IFERROR(__xludf.DUMMYFUNCTION("MAX(FILTER($H$2:$H501,$E$2:$E501=F155))"),"#N/A")</f>
        <v>#N/A</v>
      </c>
    </row>
    <row r="156">
      <c r="A156" s="4"/>
      <c r="B156" s="4"/>
      <c r="C156" s="4" t="s">
        <v>1809</v>
      </c>
      <c r="D156" s="8" t="str">
        <f t="shared" si="1"/>
        <v>{"valorA":"ar condicionado","valorB":53}</v>
      </c>
      <c r="E156" s="8" t="str">
        <f t="shared" si="2"/>
        <v>ar condicionado</v>
      </c>
      <c r="F156" s="8"/>
      <c r="G156" s="15" t="str">
        <f t="shared" si="3"/>
        <v>53</v>
      </c>
      <c r="H156" s="9">
        <f t="shared" si="4"/>
        <v>53</v>
      </c>
      <c r="I156" s="6" t="str">
        <f>IFERROR(__xludf.DUMMYFUNCTION("MAX(FILTER($H$2:$H501,$E$2:$E501=F156))"),"#N/A")</f>
        <v>#N/A</v>
      </c>
    </row>
    <row r="157">
      <c r="A157" s="4"/>
      <c r="B157" s="4"/>
      <c r="C157" s="4" t="s">
        <v>1813</v>
      </c>
      <c r="D157" s="8" t="str">
        <f t="shared" si="1"/>
        <v>{"valorA":"ar condicionado","valorB":54}</v>
      </c>
      <c r="E157" s="8" t="str">
        <f t="shared" si="2"/>
        <v>ar condicionado</v>
      </c>
      <c r="F157" s="8"/>
      <c r="G157" s="15" t="str">
        <f t="shared" si="3"/>
        <v>54</v>
      </c>
      <c r="H157" s="9">
        <f t="shared" si="4"/>
        <v>54</v>
      </c>
      <c r="I157" s="6" t="str">
        <f>IFERROR(__xludf.DUMMYFUNCTION("MAX(FILTER($H$2:$H501,$E$2:$E501=F157))"),"#N/A")</f>
        <v>#N/A</v>
      </c>
    </row>
    <row r="158">
      <c r="A158" s="4"/>
      <c r="B158" s="4"/>
      <c r="C158" s="4" t="s">
        <v>1828</v>
      </c>
      <c r="D158" s="8" t="str">
        <f t="shared" si="1"/>
        <v>{"valorA":"microondas","valorB":57}</v>
      </c>
      <c r="E158" s="8" t="str">
        <f t="shared" si="2"/>
        <v>microondas</v>
      </c>
      <c r="F158" s="8"/>
      <c r="G158" s="15" t="str">
        <f t="shared" si="3"/>
        <v>57</v>
      </c>
      <c r="H158" s="9">
        <f t="shared" si="4"/>
        <v>57</v>
      </c>
      <c r="I158" s="6" t="str">
        <f>IFERROR(__xludf.DUMMYFUNCTION("MAX(FILTER($H$2:$H501,$E$2:$E501=F158))"),"#N/A")</f>
        <v>#N/A</v>
      </c>
    </row>
    <row r="159">
      <c r="A159" s="4"/>
      <c r="B159" s="4"/>
      <c r="C159" s="4" t="s">
        <v>1814</v>
      </c>
      <c r="D159" s="8" t="str">
        <f t="shared" si="1"/>
        <v>{"valorA":"ar condicionado","valorB":55}</v>
      </c>
      <c r="E159" s="8" t="str">
        <f t="shared" si="2"/>
        <v>ar condicionado</v>
      </c>
      <c r="F159" s="8"/>
      <c r="G159" s="15" t="str">
        <f t="shared" si="3"/>
        <v>55</v>
      </c>
      <c r="H159" s="9">
        <f t="shared" si="4"/>
        <v>55</v>
      </c>
      <c r="I159" s="6" t="str">
        <f>IFERROR(__xludf.DUMMYFUNCTION("MAX(FILTER($H$2:$H501,$E$2:$E501=F159))"),"#N/A")</f>
        <v>#N/A</v>
      </c>
    </row>
    <row r="160">
      <c r="A160" s="4"/>
      <c r="B160" s="4"/>
      <c r="C160" s="4" t="s">
        <v>1818</v>
      </c>
      <c r="D160" s="8" t="str">
        <f t="shared" si="1"/>
        <v>{"valorA":"ar condicionado","valorB":56}</v>
      </c>
      <c r="E160" s="8" t="str">
        <f t="shared" si="2"/>
        <v>ar condicionado</v>
      </c>
      <c r="F160" s="8"/>
      <c r="G160" s="15" t="str">
        <f t="shared" si="3"/>
        <v>56</v>
      </c>
      <c r="H160" s="9">
        <f t="shared" si="4"/>
        <v>56</v>
      </c>
      <c r="I160" s="6" t="str">
        <f>IFERROR(__xludf.DUMMYFUNCTION("MAX(FILTER($H$2:$H501,$E$2:$E501=F160))"),"#N/A")</f>
        <v>#N/A</v>
      </c>
    </row>
    <row r="161">
      <c r="A161" s="4"/>
      <c r="B161" s="4"/>
      <c r="C161" s="4" t="s">
        <v>1801</v>
      </c>
      <c r="D161" s="8" t="str">
        <f t="shared" si="1"/>
        <v>{"valorA":"freezer","valorB":47}</v>
      </c>
      <c r="E161" s="8" t="str">
        <f t="shared" si="2"/>
        <v>freezer</v>
      </c>
      <c r="F161" s="8"/>
      <c r="G161" s="15" t="str">
        <f t="shared" si="3"/>
        <v>47</v>
      </c>
      <c r="H161" s="9">
        <f t="shared" si="4"/>
        <v>47</v>
      </c>
      <c r="I161" s="6" t="str">
        <f>IFERROR(__xludf.DUMMYFUNCTION("MAX(FILTER($H$2:$H501,$E$2:$E501=F161))"),"#N/A")</f>
        <v>#N/A</v>
      </c>
    </row>
    <row r="162">
      <c r="A162" s="4"/>
      <c r="B162" s="4"/>
      <c r="C162" s="4" t="s">
        <v>1830</v>
      </c>
      <c r="D162" s="8" t="str">
        <f t="shared" si="1"/>
        <v>{"valorA":"microondas","valorB":58}</v>
      </c>
      <c r="E162" s="8" t="str">
        <f t="shared" si="2"/>
        <v>microondas</v>
      </c>
      <c r="F162" s="8"/>
      <c r="G162" s="15" t="str">
        <f t="shared" si="3"/>
        <v>58</v>
      </c>
      <c r="H162" s="9">
        <f t="shared" si="4"/>
        <v>58</v>
      </c>
      <c r="I162" s="6" t="str">
        <f>IFERROR(__xludf.DUMMYFUNCTION("MAX(FILTER($H$2:$H501,$E$2:$E501=F162))"),"#N/A")</f>
        <v>#N/A</v>
      </c>
    </row>
    <row r="163">
      <c r="A163" s="4"/>
      <c r="B163" s="4"/>
      <c r="C163" s="4" t="s">
        <v>1804</v>
      </c>
      <c r="D163" s="8" t="str">
        <f t="shared" si="1"/>
        <v>{"valorA":"freezer","valorB":48}</v>
      </c>
      <c r="E163" s="8" t="str">
        <f t="shared" si="2"/>
        <v>freezer</v>
      </c>
      <c r="F163" s="8"/>
      <c r="G163" s="15" t="str">
        <f t="shared" si="3"/>
        <v>48</v>
      </c>
      <c r="H163" s="9">
        <f t="shared" si="4"/>
        <v>48</v>
      </c>
      <c r="I163" s="6" t="str">
        <f>IFERROR(__xludf.DUMMYFUNCTION("MAX(FILTER($H$2:$H501,$E$2:$E501=F163))"),"#N/A")</f>
        <v>#N/A</v>
      </c>
    </row>
    <row r="164">
      <c r="A164" s="4"/>
      <c r="B164" s="4"/>
      <c r="C164" s="4" t="s">
        <v>1825</v>
      </c>
      <c r="D164" s="8" t="str">
        <f t="shared" si="1"/>
        <v>{"valorA":"ar condicionado","valorB":57}</v>
      </c>
      <c r="E164" s="8" t="str">
        <f t="shared" si="2"/>
        <v>ar condicionado</v>
      </c>
      <c r="F164" s="8"/>
      <c r="G164" s="15" t="str">
        <f t="shared" si="3"/>
        <v>57</v>
      </c>
      <c r="H164" s="9">
        <f t="shared" si="4"/>
        <v>57</v>
      </c>
      <c r="I164" s="6" t="str">
        <f>IFERROR(__xludf.DUMMYFUNCTION("MAX(FILTER($H$2:$H501,$E$2:$E501=F164))"),"#N/A")</f>
        <v>#N/A</v>
      </c>
    </row>
    <row r="165">
      <c r="A165" s="4"/>
      <c r="B165" s="4"/>
      <c r="C165" s="4" t="s">
        <v>1831</v>
      </c>
      <c r="D165" s="8" t="str">
        <f t="shared" si="1"/>
        <v>{"valorA":"microondas","valorB":59}</v>
      </c>
      <c r="E165" s="8" t="str">
        <f t="shared" si="2"/>
        <v>microondas</v>
      </c>
      <c r="F165" s="8"/>
      <c r="G165" s="15" t="str">
        <f t="shared" si="3"/>
        <v>59</v>
      </c>
      <c r="H165" s="9">
        <f t="shared" si="4"/>
        <v>59</v>
      </c>
      <c r="I165" s="6" t="str">
        <f>IFERROR(__xludf.DUMMYFUNCTION("MAX(FILTER($H$2:$H501,$E$2:$E501=F165))"),"#N/A")</f>
        <v>#N/A</v>
      </c>
    </row>
    <row r="166">
      <c r="A166" s="4"/>
      <c r="B166" s="4"/>
      <c r="C166" s="4" t="s">
        <v>1832</v>
      </c>
      <c r="D166" s="8" t="str">
        <f t="shared" si="1"/>
        <v>{"valorA":"microondas","valorB":60}</v>
      </c>
      <c r="E166" s="8" t="str">
        <f t="shared" si="2"/>
        <v>microondas</v>
      </c>
      <c r="F166" s="8"/>
      <c r="G166" s="15" t="str">
        <f t="shared" si="3"/>
        <v>60</v>
      </c>
      <c r="H166" s="9">
        <f t="shared" si="4"/>
        <v>60</v>
      </c>
      <c r="I166" s="6" t="str">
        <f>IFERROR(__xludf.DUMMYFUNCTION("MAX(FILTER($H$2:$H501,$E$2:$E501=F166))"),"#N/A")</f>
        <v>#N/A</v>
      </c>
    </row>
    <row r="167">
      <c r="A167" s="4"/>
      <c r="B167" s="4"/>
      <c r="C167" s="4" t="s">
        <v>1834</v>
      </c>
      <c r="D167" s="8" t="str">
        <f t="shared" si="1"/>
        <v>{"valorA":"microondas","valorB":61}</v>
      </c>
      <c r="E167" s="8" t="str">
        <f t="shared" si="2"/>
        <v>microondas</v>
      </c>
      <c r="F167" s="8"/>
      <c r="G167" s="15" t="str">
        <f t="shared" si="3"/>
        <v>61</v>
      </c>
      <c r="H167" s="9">
        <f t="shared" si="4"/>
        <v>61</v>
      </c>
      <c r="I167" s="6" t="str">
        <f>IFERROR(__xludf.DUMMYFUNCTION("MAX(FILTER($H$2:$H501,$E$2:$E501=F167))"),"#N/A")</f>
        <v>#N/A</v>
      </c>
    </row>
    <row r="168">
      <c r="A168" s="4"/>
      <c r="B168" s="4"/>
      <c r="C168" s="4" t="s">
        <v>1833</v>
      </c>
      <c r="D168" s="8" t="str">
        <f t="shared" si="1"/>
        <v>{"valorA":"ar condicionado","valorB":58}</v>
      </c>
      <c r="E168" s="8" t="str">
        <f t="shared" si="2"/>
        <v>ar condicionado</v>
      </c>
      <c r="F168" s="8"/>
      <c r="G168" s="15" t="str">
        <f t="shared" si="3"/>
        <v>58</v>
      </c>
      <c r="H168" s="9">
        <f t="shared" si="4"/>
        <v>58</v>
      </c>
      <c r="I168" s="6" t="str">
        <f>IFERROR(__xludf.DUMMYFUNCTION("MAX(FILTER($H$2:$H501,$E$2:$E501=F168))"),"#N/A")</f>
        <v>#N/A</v>
      </c>
    </row>
    <row r="169">
      <c r="A169" s="4"/>
      <c r="B169" s="4"/>
      <c r="C169" s="4" t="s">
        <v>1835</v>
      </c>
      <c r="D169" s="8" t="str">
        <f t="shared" si="1"/>
        <v>{"valorA":"microondas","valorB":62}</v>
      </c>
      <c r="E169" s="8" t="str">
        <f t="shared" si="2"/>
        <v>microondas</v>
      </c>
      <c r="F169" s="8"/>
      <c r="G169" s="15" t="str">
        <f t="shared" si="3"/>
        <v>62</v>
      </c>
      <c r="H169" s="9">
        <f t="shared" si="4"/>
        <v>62</v>
      </c>
      <c r="I169" s="6" t="str">
        <f>IFERROR(__xludf.DUMMYFUNCTION("MAX(FILTER($H$2:$H501,$E$2:$E501=F169))"),"#N/A")</f>
        <v>#N/A</v>
      </c>
    </row>
    <row r="170">
      <c r="A170" s="4"/>
      <c r="B170" s="4"/>
      <c r="C170" s="4" t="s">
        <v>1837</v>
      </c>
      <c r="D170" s="8" t="str">
        <f t="shared" si="1"/>
        <v>{"valorA":"microondas","valorB":63}</v>
      </c>
      <c r="E170" s="8" t="str">
        <f t="shared" si="2"/>
        <v>microondas</v>
      </c>
      <c r="F170" s="8"/>
      <c r="G170" s="15" t="str">
        <f t="shared" si="3"/>
        <v>63</v>
      </c>
      <c r="H170" s="9">
        <f t="shared" si="4"/>
        <v>63</v>
      </c>
      <c r="I170" s="6" t="str">
        <f>IFERROR(__xludf.DUMMYFUNCTION("MAX(FILTER($H$2:$H501,$E$2:$E501=F170))"),"#N/A")</f>
        <v>#N/A</v>
      </c>
    </row>
    <row r="171">
      <c r="A171" s="4"/>
      <c r="B171" s="4"/>
      <c r="C171" s="4" t="s">
        <v>1805</v>
      </c>
      <c r="D171" s="8" t="str">
        <f t="shared" si="1"/>
        <v>{"valorA":"freezer","valorB":49}</v>
      </c>
      <c r="E171" s="8" t="str">
        <f t="shared" si="2"/>
        <v>freezer</v>
      </c>
      <c r="F171" s="8"/>
      <c r="G171" s="15" t="str">
        <f t="shared" si="3"/>
        <v>49</v>
      </c>
      <c r="H171" s="9">
        <f t="shared" si="4"/>
        <v>49</v>
      </c>
      <c r="I171" s="6" t="str">
        <f>IFERROR(__xludf.DUMMYFUNCTION("MAX(FILTER($H$2:$H501,$E$2:$E501=F171))"),"#N/A")</f>
        <v>#N/A</v>
      </c>
    </row>
    <row r="172">
      <c r="A172" s="4"/>
      <c r="B172" s="4"/>
      <c r="C172" s="4" t="s">
        <v>1810</v>
      </c>
      <c r="D172" s="8" t="str">
        <f t="shared" si="1"/>
        <v>{"valorA":"freezer","valorB":50}</v>
      </c>
      <c r="E172" s="8" t="str">
        <f t="shared" si="2"/>
        <v>freezer</v>
      </c>
      <c r="F172" s="8"/>
      <c r="G172" s="15" t="str">
        <f t="shared" si="3"/>
        <v>50</v>
      </c>
      <c r="H172" s="9">
        <f t="shared" si="4"/>
        <v>50</v>
      </c>
      <c r="I172" s="6" t="str">
        <f>IFERROR(__xludf.DUMMYFUNCTION("MAX(FILTER($H$2:$H501,$E$2:$E501=F172))"),"#N/A")</f>
        <v>#N/A</v>
      </c>
    </row>
    <row r="173">
      <c r="A173" s="4"/>
      <c r="B173" s="4"/>
      <c r="C173" s="4" t="s">
        <v>1812</v>
      </c>
      <c r="D173" s="8" t="str">
        <f t="shared" si="1"/>
        <v>{"valorA":"freezer","valorB":51}</v>
      </c>
      <c r="E173" s="8" t="str">
        <f t="shared" si="2"/>
        <v>freezer</v>
      </c>
      <c r="F173" s="8"/>
      <c r="G173" s="15" t="str">
        <f t="shared" si="3"/>
        <v>51</v>
      </c>
      <c r="H173" s="9">
        <f t="shared" si="4"/>
        <v>51</v>
      </c>
      <c r="I173" s="6" t="str">
        <f>IFERROR(__xludf.DUMMYFUNCTION("MAX(FILTER($H$2:$H501,$E$2:$E501=F173))"),"#N/A")</f>
        <v>#N/A</v>
      </c>
    </row>
    <row r="174">
      <c r="A174" s="4"/>
      <c r="B174" s="4"/>
      <c r="C174" s="4" t="s">
        <v>1816</v>
      </c>
      <c r="D174" s="8" t="str">
        <f t="shared" si="1"/>
        <v>{"valorA":"freezer","valorB":52}</v>
      </c>
      <c r="E174" s="8" t="str">
        <f t="shared" si="2"/>
        <v>freezer</v>
      </c>
      <c r="F174" s="8"/>
      <c r="G174" s="15" t="str">
        <f t="shared" si="3"/>
        <v>52</v>
      </c>
      <c r="H174" s="9">
        <f t="shared" si="4"/>
        <v>52</v>
      </c>
      <c r="I174" s="6" t="str">
        <f>IFERROR(__xludf.DUMMYFUNCTION("MAX(FILTER($H$2:$H501,$E$2:$E501=F174))"),"#N/A")</f>
        <v>#N/A</v>
      </c>
    </row>
    <row r="175">
      <c r="A175" s="4"/>
      <c r="B175" s="4"/>
      <c r="C175" s="4" t="s">
        <v>1817</v>
      </c>
      <c r="D175" s="8" t="str">
        <f t="shared" si="1"/>
        <v>{"valorA":"freezer","valorB":53}</v>
      </c>
      <c r="E175" s="8" t="str">
        <f t="shared" si="2"/>
        <v>freezer</v>
      </c>
      <c r="F175" s="8"/>
      <c r="G175" s="15" t="str">
        <f t="shared" si="3"/>
        <v>53</v>
      </c>
      <c r="H175" s="9">
        <f t="shared" si="4"/>
        <v>53</v>
      </c>
      <c r="I175" s="6" t="str">
        <f>IFERROR(__xludf.DUMMYFUNCTION("MAX(FILTER($H$2:$H501,$E$2:$E501=F175))"),"#N/A")</f>
        <v>#N/A</v>
      </c>
    </row>
    <row r="176">
      <c r="A176" s="4"/>
      <c r="B176" s="4"/>
      <c r="C176" s="4" t="s">
        <v>1839</v>
      </c>
      <c r="D176" s="8" t="str">
        <f t="shared" si="1"/>
        <v>{"valorA":"microondas","valorB":64}</v>
      </c>
      <c r="E176" s="8" t="str">
        <f t="shared" si="2"/>
        <v>microondas</v>
      </c>
      <c r="F176" s="8"/>
      <c r="G176" s="15" t="str">
        <f t="shared" si="3"/>
        <v>64</v>
      </c>
      <c r="H176" s="9">
        <f t="shared" si="4"/>
        <v>64</v>
      </c>
      <c r="I176" s="6" t="str">
        <f>IFERROR(__xludf.DUMMYFUNCTION("MAX(FILTER($H$2:$H501,$E$2:$E501=F176))"),"#N/A")</f>
        <v>#N/A</v>
      </c>
    </row>
    <row r="177">
      <c r="A177" s="4"/>
      <c r="B177" s="4"/>
      <c r="C177" s="4" t="s">
        <v>1836</v>
      </c>
      <c r="D177" s="8" t="str">
        <f t="shared" si="1"/>
        <v>{"valorA":"ar condicionado","valorB":59}</v>
      </c>
      <c r="E177" s="8" t="str">
        <f t="shared" si="2"/>
        <v>ar condicionado</v>
      </c>
      <c r="F177" s="8"/>
      <c r="G177" s="15" t="str">
        <f t="shared" si="3"/>
        <v>59</v>
      </c>
      <c r="H177" s="9">
        <f t="shared" si="4"/>
        <v>59</v>
      </c>
      <c r="I177" s="6" t="str">
        <f>IFERROR(__xludf.DUMMYFUNCTION("MAX(FILTER($H$2:$H501,$E$2:$E501=F177))"),"#N/A")</f>
        <v>#N/A</v>
      </c>
    </row>
    <row r="178">
      <c r="A178" s="4"/>
      <c r="B178" s="4"/>
      <c r="C178" s="4" t="s">
        <v>1821</v>
      </c>
      <c r="D178" s="8" t="str">
        <f t="shared" si="1"/>
        <v>{"valorA":"freezer","valorB":54}</v>
      </c>
      <c r="E178" s="8" t="str">
        <f t="shared" si="2"/>
        <v>freezer</v>
      </c>
      <c r="F178" s="8"/>
      <c r="G178" s="15" t="str">
        <f t="shared" si="3"/>
        <v>54</v>
      </c>
      <c r="H178" s="9">
        <f t="shared" si="4"/>
        <v>54</v>
      </c>
      <c r="I178" s="6" t="str">
        <f>IFERROR(__xludf.DUMMYFUNCTION("MAX(FILTER($H$2:$H501,$E$2:$E501=F178))"),"#N/A")</f>
        <v>#N/A</v>
      </c>
    </row>
    <row r="179">
      <c r="A179" s="4"/>
      <c r="B179" s="4"/>
      <c r="C179" s="4" t="s">
        <v>1845</v>
      </c>
      <c r="D179" s="8" t="str">
        <f t="shared" si="1"/>
        <v>{"valorA":"microondas","valorB":65}</v>
      </c>
      <c r="E179" s="8" t="str">
        <f t="shared" si="2"/>
        <v>microondas</v>
      </c>
      <c r="F179" s="8"/>
      <c r="G179" s="15" t="str">
        <f t="shared" si="3"/>
        <v>65</v>
      </c>
      <c r="H179" s="9">
        <f t="shared" si="4"/>
        <v>65</v>
      </c>
      <c r="I179" s="6" t="str">
        <f>IFERROR(__xludf.DUMMYFUNCTION("MAX(FILTER($H$2:$H501,$E$2:$E501=F179))"),"#N/A")</f>
        <v>#N/A</v>
      </c>
    </row>
    <row r="180">
      <c r="A180" s="4"/>
      <c r="B180" s="4"/>
      <c r="C180" s="4" t="s">
        <v>1848</v>
      </c>
      <c r="D180" s="8" t="str">
        <f t="shared" si="1"/>
        <v>{"valorA":"microondas","valorB":66}</v>
      </c>
      <c r="E180" s="8" t="str">
        <f t="shared" si="2"/>
        <v>microondas</v>
      </c>
      <c r="F180" s="8"/>
      <c r="G180" s="15" t="str">
        <f t="shared" si="3"/>
        <v>66</v>
      </c>
      <c r="H180" s="9">
        <f t="shared" si="4"/>
        <v>66</v>
      </c>
      <c r="I180" s="6" t="str">
        <f>IFERROR(__xludf.DUMMYFUNCTION("MAX(FILTER($H$2:$H501,$E$2:$E501=F180))"),"#N/A")</f>
        <v>#N/A</v>
      </c>
    </row>
    <row r="181">
      <c r="A181" s="4"/>
      <c r="B181" s="4"/>
      <c r="C181" s="4" t="s">
        <v>1842</v>
      </c>
      <c r="D181" s="8" t="str">
        <f t="shared" si="1"/>
        <v>{"valorA":"ar condicionado","valorB":60}</v>
      </c>
      <c r="E181" s="8" t="str">
        <f t="shared" si="2"/>
        <v>ar condicionado</v>
      </c>
      <c r="F181" s="8"/>
      <c r="G181" s="15" t="str">
        <f t="shared" si="3"/>
        <v>60</v>
      </c>
      <c r="H181" s="9">
        <f t="shared" si="4"/>
        <v>60</v>
      </c>
      <c r="I181" s="6" t="str">
        <f>IFERROR(__xludf.DUMMYFUNCTION("MAX(FILTER($H$2:$H501,$E$2:$E501=F181))"),"#N/A")</f>
        <v>#N/A</v>
      </c>
    </row>
    <row r="182">
      <c r="A182" s="4"/>
      <c r="B182" s="4"/>
      <c r="C182" s="4" t="s">
        <v>1851</v>
      </c>
      <c r="D182" s="8" t="str">
        <f t="shared" si="1"/>
        <v>{"valorA":"microondas","valorB":67}</v>
      </c>
      <c r="E182" s="8" t="str">
        <f t="shared" si="2"/>
        <v>microondas</v>
      </c>
      <c r="F182" s="8"/>
      <c r="G182" s="15" t="str">
        <f t="shared" si="3"/>
        <v>67</v>
      </c>
      <c r="H182" s="9">
        <f t="shared" si="4"/>
        <v>67</v>
      </c>
      <c r="I182" s="6" t="str">
        <f>IFERROR(__xludf.DUMMYFUNCTION("MAX(FILTER($H$2:$H501,$E$2:$E501=F182))"),"#N/A")</f>
        <v>#N/A</v>
      </c>
    </row>
    <row r="183">
      <c r="A183" s="4"/>
      <c r="B183" s="4"/>
      <c r="C183" s="4" t="s">
        <v>1852</v>
      </c>
      <c r="D183" s="8" t="str">
        <f t="shared" si="1"/>
        <v>{"valorA":"microondas","valorB":68}</v>
      </c>
      <c r="E183" s="8" t="str">
        <f t="shared" si="2"/>
        <v>microondas</v>
      </c>
      <c r="F183" s="8"/>
      <c r="G183" s="15" t="str">
        <f t="shared" si="3"/>
        <v>68</v>
      </c>
      <c r="H183" s="9">
        <f t="shared" si="4"/>
        <v>68</v>
      </c>
      <c r="I183" s="6" t="str">
        <f>IFERROR(__xludf.DUMMYFUNCTION("MAX(FILTER($H$2:$H501,$E$2:$E501=F183))"),"#N/A")</f>
        <v>#N/A</v>
      </c>
    </row>
    <row r="184">
      <c r="A184" s="4"/>
      <c r="B184" s="4"/>
      <c r="C184" s="4" t="s">
        <v>1822</v>
      </c>
      <c r="D184" s="8" t="str">
        <f t="shared" si="1"/>
        <v>{"valorA":"freezer","valorB":55}</v>
      </c>
      <c r="E184" s="8" t="str">
        <f t="shared" si="2"/>
        <v>freezer</v>
      </c>
      <c r="F184" s="8"/>
      <c r="G184" s="15" t="str">
        <f t="shared" si="3"/>
        <v>55</v>
      </c>
      <c r="H184" s="9">
        <f t="shared" si="4"/>
        <v>55</v>
      </c>
      <c r="I184" s="6" t="str">
        <f>IFERROR(__xludf.DUMMYFUNCTION("MAX(FILTER($H$2:$H501,$E$2:$E501=F184))"),"#N/A")</f>
        <v>#N/A</v>
      </c>
    </row>
    <row r="185">
      <c r="A185" s="4"/>
      <c r="B185" s="4"/>
      <c r="C185" s="4" t="s">
        <v>1823</v>
      </c>
      <c r="D185" s="8" t="str">
        <f t="shared" si="1"/>
        <v>{"valorA":"freezer","valorB":56}</v>
      </c>
      <c r="E185" s="8" t="str">
        <f t="shared" si="2"/>
        <v>freezer</v>
      </c>
      <c r="F185" s="8"/>
      <c r="G185" s="15" t="str">
        <f t="shared" si="3"/>
        <v>56</v>
      </c>
      <c r="H185" s="9">
        <f t="shared" si="4"/>
        <v>56</v>
      </c>
      <c r="I185" s="6" t="str">
        <f>IFERROR(__xludf.DUMMYFUNCTION("MAX(FILTER($H$2:$H501,$E$2:$E501=F185))"),"#N/A")</f>
        <v>#N/A</v>
      </c>
    </row>
    <row r="186">
      <c r="A186" s="4"/>
      <c r="B186" s="4"/>
      <c r="C186" s="4" t="s">
        <v>1824</v>
      </c>
      <c r="D186" s="8" t="str">
        <f t="shared" si="1"/>
        <v>{"valorA":"freezer","valorB":57}</v>
      </c>
      <c r="E186" s="8" t="str">
        <f t="shared" si="2"/>
        <v>freezer</v>
      </c>
      <c r="F186" s="8"/>
      <c r="G186" s="15" t="str">
        <f t="shared" si="3"/>
        <v>57</v>
      </c>
      <c r="H186" s="9">
        <f t="shared" si="4"/>
        <v>57</v>
      </c>
      <c r="I186" s="6" t="str">
        <f>IFERROR(__xludf.DUMMYFUNCTION("MAX(FILTER($H$2:$H501,$E$2:$E501=F186))"),"#N/A")</f>
        <v>#N/A</v>
      </c>
    </row>
    <row r="187">
      <c r="A187" s="4"/>
      <c r="B187" s="4"/>
      <c r="C187" s="4" t="s">
        <v>1853</v>
      </c>
      <c r="D187" s="8" t="str">
        <f t="shared" si="1"/>
        <v>{"valorA":"microondas","valorB":69}</v>
      </c>
      <c r="E187" s="8" t="str">
        <f t="shared" si="2"/>
        <v>microondas</v>
      </c>
      <c r="F187" s="8"/>
      <c r="G187" s="15" t="str">
        <f t="shared" si="3"/>
        <v>69</v>
      </c>
      <c r="H187" s="9">
        <f t="shared" si="4"/>
        <v>69</v>
      </c>
      <c r="I187" s="6" t="str">
        <f>IFERROR(__xludf.DUMMYFUNCTION("MAX(FILTER($H$2:$H501,$E$2:$E501=F187))"),"#N/A")</f>
        <v>#N/A</v>
      </c>
    </row>
    <row r="188">
      <c r="A188" s="4"/>
      <c r="B188" s="4"/>
      <c r="C188" s="4" t="s">
        <v>1829</v>
      </c>
      <c r="D188" s="8" t="str">
        <f t="shared" si="1"/>
        <v>{"valorA":"freezer","valorB":58}</v>
      </c>
      <c r="E188" s="8" t="str">
        <f t="shared" si="2"/>
        <v>freezer</v>
      </c>
      <c r="F188" s="8"/>
      <c r="G188" s="15" t="str">
        <f t="shared" si="3"/>
        <v>58</v>
      </c>
      <c r="H188" s="9">
        <f t="shared" si="4"/>
        <v>58</v>
      </c>
      <c r="I188" s="6" t="str">
        <f>IFERROR(__xludf.DUMMYFUNCTION("MAX(FILTER($H$2:$H501,$E$2:$E501=F188))"),"#N/A")</f>
        <v>#N/A</v>
      </c>
    </row>
    <row r="189">
      <c r="A189" s="4"/>
      <c r="B189" s="4"/>
      <c r="C189" s="4" t="s">
        <v>1838</v>
      </c>
      <c r="D189" s="8" t="str">
        <f t="shared" si="1"/>
        <v>{"valorA":"freezer","valorB":59}</v>
      </c>
      <c r="E189" s="8" t="str">
        <f t="shared" si="2"/>
        <v>freezer</v>
      </c>
      <c r="F189" s="8"/>
      <c r="G189" s="15" t="str">
        <f t="shared" si="3"/>
        <v>59</v>
      </c>
      <c r="H189" s="9">
        <f t="shared" si="4"/>
        <v>59</v>
      </c>
      <c r="I189" s="6" t="str">
        <f>IFERROR(__xludf.DUMMYFUNCTION("MAX(FILTER($H$2:$H501,$E$2:$E501=F189))"),"#N/A")</f>
        <v>#N/A</v>
      </c>
    </row>
    <row r="190">
      <c r="A190" s="4"/>
      <c r="B190" s="4"/>
      <c r="C190" s="4" t="s">
        <v>1854</v>
      </c>
      <c r="D190" s="8" t="str">
        <f t="shared" si="1"/>
        <v>{"valorA":"microondas","valorB":70}</v>
      </c>
      <c r="E190" s="8" t="str">
        <f t="shared" si="2"/>
        <v>microondas</v>
      </c>
      <c r="F190" s="8"/>
      <c r="G190" s="15" t="str">
        <f t="shared" si="3"/>
        <v>70</v>
      </c>
      <c r="H190" s="9">
        <f t="shared" si="4"/>
        <v>70</v>
      </c>
      <c r="I190" s="6" t="str">
        <f>IFERROR(__xludf.DUMMYFUNCTION("MAX(FILTER($H$2:$H501,$E$2:$E501=F190))"),"#N/A")</f>
        <v>#N/A</v>
      </c>
    </row>
    <row r="191">
      <c r="A191" s="4"/>
      <c r="B191" s="4"/>
      <c r="C191" s="4" t="s">
        <v>1843</v>
      </c>
      <c r="D191" s="8" t="str">
        <f t="shared" si="1"/>
        <v>{"valorA":"ar condicionado","valorB":61}</v>
      </c>
      <c r="E191" s="8" t="str">
        <f t="shared" si="2"/>
        <v>ar condicionado</v>
      </c>
      <c r="F191" s="8"/>
      <c r="G191" s="15" t="str">
        <f t="shared" si="3"/>
        <v>61</v>
      </c>
      <c r="H191" s="9">
        <f t="shared" si="4"/>
        <v>61</v>
      </c>
      <c r="I191" s="6" t="str">
        <f>IFERROR(__xludf.DUMMYFUNCTION("MAX(FILTER($H$2:$H501,$E$2:$E501=F191))"),"#N/A")</f>
        <v>#N/A</v>
      </c>
    </row>
    <row r="192">
      <c r="A192" s="4"/>
      <c r="B192" s="4"/>
      <c r="C192" s="4" t="s">
        <v>1860</v>
      </c>
      <c r="D192" s="8" t="str">
        <f t="shared" si="1"/>
        <v>{"valorA":"microondas","valorB":71}</v>
      </c>
      <c r="E192" s="8" t="str">
        <f t="shared" si="2"/>
        <v>microondas</v>
      </c>
      <c r="F192" s="8"/>
      <c r="G192" s="15" t="str">
        <f t="shared" si="3"/>
        <v>71</v>
      </c>
      <c r="H192" s="9">
        <f t="shared" si="4"/>
        <v>71</v>
      </c>
      <c r="I192" s="6" t="str">
        <f>IFERROR(__xludf.DUMMYFUNCTION("MAX(FILTER($H$2:$H501,$E$2:$E501=F192))"),"#N/A")</f>
        <v>#N/A</v>
      </c>
    </row>
    <row r="193">
      <c r="A193" s="4"/>
      <c r="B193" s="4"/>
      <c r="C193" s="4" t="s">
        <v>1844</v>
      </c>
      <c r="D193" s="8" t="str">
        <f t="shared" si="1"/>
        <v>{"valorA":"ar condicionado","valorB":62}</v>
      </c>
      <c r="E193" s="8" t="str">
        <f t="shared" si="2"/>
        <v>ar condicionado</v>
      </c>
      <c r="F193" s="8"/>
      <c r="G193" s="15" t="str">
        <f t="shared" si="3"/>
        <v>62</v>
      </c>
      <c r="H193" s="9">
        <f t="shared" si="4"/>
        <v>62</v>
      </c>
      <c r="I193" s="6" t="str">
        <f>IFERROR(__xludf.DUMMYFUNCTION("MAX(FILTER($H$2:$H501,$E$2:$E501=F193))"),"#N/A")</f>
        <v>#N/A</v>
      </c>
    </row>
    <row r="194">
      <c r="A194" s="4"/>
      <c r="B194" s="4"/>
      <c r="C194" s="4" t="s">
        <v>1840</v>
      </c>
      <c r="D194" s="8" t="str">
        <f t="shared" si="1"/>
        <v>{"valorA":"freezer","valorB":60}</v>
      </c>
      <c r="E194" s="8" t="str">
        <f t="shared" si="2"/>
        <v>freezer</v>
      </c>
      <c r="F194" s="8"/>
      <c r="G194" s="15" t="str">
        <f t="shared" si="3"/>
        <v>60</v>
      </c>
      <c r="H194" s="9">
        <f t="shared" si="4"/>
        <v>60</v>
      </c>
      <c r="I194" s="6" t="str">
        <f>IFERROR(__xludf.DUMMYFUNCTION("MAX(FILTER($H$2:$H501,$E$2:$E501=F194))"),"#N/A")</f>
        <v>#N/A</v>
      </c>
    </row>
    <row r="195">
      <c r="A195" s="4"/>
      <c r="B195" s="4"/>
      <c r="C195" s="4" t="s">
        <v>1841</v>
      </c>
      <c r="D195" s="8" t="str">
        <f t="shared" si="1"/>
        <v>{"valorA":"freezer","valorB":61}</v>
      </c>
      <c r="E195" s="8" t="str">
        <f t="shared" si="2"/>
        <v>freezer</v>
      </c>
      <c r="F195" s="8"/>
      <c r="G195" s="15" t="str">
        <f t="shared" si="3"/>
        <v>61</v>
      </c>
      <c r="H195" s="9">
        <f t="shared" si="4"/>
        <v>61</v>
      </c>
      <c r="I195" s="6" t="str">
        <f>IFERROR(__xludf.DUMMYFUNCTION("MAX(FILTER($H$2:$H501,$E$2:$E501=F195))"),"#N/A")</f>
        <v>#N/A</v>
      </c>
    </row>
    <row r="196">
      <c r="A196" s="4"/>
      <c r="B196" s="4"/>
      <c r="C196" s="4" t="s">
        <v>1863</v>
      </c>
      <c r="D196" s="8" t="str">
        <f t="shared" si="1"/>
        <v>{"valorA":"microondas","valorB":72}</v>
      </c>
      <c r="E196" s="8" t="str">
        <f t="shared" si="2"/>
        <v>microondas</v>
      </c>
      <c r="F196" s="8"/>
      <c r="G196" s="15" t="str">
        <f t="shared" si="3"/>
        <v>72</v>
      </c>
      <c r="H196" s="9">
        <f t="shared" si="4"/>
        <v>72</v>
      </c>
      <c r="I196" s="6" t="str">
        <f>IFERROR(__xludf.DUMMYFUNCTION("MAX(FILTER($H$2:$H501,$E$2:$E501=F196))"),"#N/A")</f>
        <v>#N/A</v>
      </c>
    </row>
    <row r="197">
      <c r="A197" s="4"/>
      <c r="B197" s="4"/>
      <c r="C197" s="4" t="s">
        <v>1846</v>
      </c>
      <c r="D197" s="8" t="str">
        <f t="shared" si="1"/>
        <v>{"valorA":"ar condicionado","valorB":63}</v>
      </c>
      <c r="E197" s="8" t="str">
        <f t="shared" si="2"/>
        <v>ar condicionado</v>
      </c>
      <c r="F197" s="8"/>
      <c r="G197" s="15" t="str">
        <f t="shared" si="3"/>
        <v>63</v>
      </c>
      <c r="H197" s="9">
        <f t="shared" si="4"/>
        <v>63</v>
      </c>
      <c r="I197" s="6" t="str">
        <f>IFERROR(__xludf.DUMMYFUNCTION("MAX(FILTER($H$2:$H501,$E$2:$E501=F197))"),"#N/A")</f>
        <v>#N/A</v>
      </c>
    </row>
    <row r="198">
      <c r="A198" s="4"/>
      <c r="B198" s="4"/>
      <c r="C198" s="4" t="s">
        <v>1850</v>
      </c>
      <c r="D198" s="8" t="str">
        <f t="shared" si="1"/>
        <v>{"valorA":"freezer","valorB":62}</v>
      </c>
      <c r="E198" s="8" t="str">
        <f t="shared" si="2"/>
        <v>freezer</v>
      </c>
      <c r="F198" s="8"/>
      <c r="G198" s="15" t="str">
        <f t="shared" si="3"/>
        <v>62</v>
      </c>
      <c r="H198" s="9">
        <f t="shared" si="4"/>
        <v>62</v>
      </c>
      <c r="I198" s="6" t="str">
        <f>IFERROR(__xludf.DUMMYFUNCTION("MAX(FILTER($H$2:$H501,$E$2:$E501=F198))"),"#N/A")</f>
        <v>#N/A</v>
      </c>
    </row>
    <row r="199">
      <c r="A199" s="4"/>
      <c r="B199" s="4"/>
      <c r="C199" s="4" t="s">
        <v>1847</v>
      </c>
      <c r="D199" s="8" t="str">
        <f t="shared" si="1"/>
        <v>{"valorA":"ar condicionado","valorB":64}</v>
      </c>
      <c r="E199" s="8" t="str">
        <f t="shared" si="2"/>
        <v>ar condicionado</v>
      </c>
      <c r="F199" s="8"/>
      <c r="G199" s="15" t="str">
        <f t="shared" si="3"/>
        <v>64</v>
      </c>
      <c r="H199" s="9">
        <f t="shared" si="4"/>
        <v>64</v>
      </c>
      <c r="I199" s="6" t="str">
        <f>IFERROR(__xludf.DUMMYFUNCTION("MAX(FILTER($H$2:$H501,$E$2:$E501=F199))"),"#N/A")</f>
        <v>#N/A</v>
      </c>
    </row>
    <row r="200">
      <c r="A200" s="4"/>
      <c r="B200" s="4"/>
      <c r="C200" s="4" t="s">
        <v>1856</v>
      </c>
      <c r="D200" s="8" t="str">
        <f t="shared" si="1"/>
        <v>{"valorA":"freezer","valorB":63}</v>
      </c>
      <c r="E200" s="8" t="str">
        <f t="shared" si="2"/>
        <v>freezer</v>
      </c>
      <c r="F200" s="8"/>
      <c r="G200" s="15" t="str">
        <f t="shared" si="3"/>
        <v>63</v>
      </c>
      <c r="H200" s="9">
        <f t="shared" si="4"/>
        <v>63</v>
      </c>
      <c r="I200" s="6" t="str">
        <f>IFERROR(__xludf.DUMMYFUNCTION("MAX(FILTER($H$2:$H501,$E$2:$E501=F200))"),"#N/A")</f>
        <v>#N/A</v>
      </c>
    </row>
    <row r="201">
      <c r="A201" s="4"/>
      <c r="B201" s="4"/>
      <c r="C201" s="4" t="s">
        <v>1865</v>
      </c>
      <c r="D201" s="8" t="str">
        <f t="shared" si="1"/>
        <v>{"valorA":"microondas","valorB":73}</v>
      </c>
      <c r="E201" s="8" t="str">
        <f t="shared" si="2"/>
        <v>microondas</v>
      </c>
      <c r="F201" s="8"/>
      <c r="G201" s="15" t="str">
        <f t="shared" si="3"/>
        <v>73</v>
      </c>
      <c r="H201" s="9">
        <f t="shared" si="4"/>
        <v>73</v>
      </c>
      <c r="I201" s="6" t="str">
        <f>IFERROR(__xludf.DUMMYFUNCTION("MAX(FILTER($H$2:$H501,$E$2:$E501=F201))"),"#N/A")</f>
        <v>#N/A</v>
      </c>
    </row>
    <row r="202">
      <c r="A202" s="4"/>
      <c r="B202" s="4"/>
      <c r="C202" s="4" t="s">
        <v>1849</v>
      </c>
      <c r="D202" s="8" t="str">
        <f t="shared" si="1"/>
        <v>{"valorA":"ar condicionado","valorB":65}</v>
      </c>
      <c r="E202" s="8" t="str">
        <f t="shared" si="2"/>
        <v>ar condicionado</v>
      </c>
      <c r="F202" s="8"/>
      <c r="G202" s="15" t="str">
        <f t="shared" si="3"/>
        <v>65</v>
      </c>
      <c r="H202" s="9">
        <f t="shared" si="4"/>
        <v>65</v>
      </c>
      <c r="I202" s="6" t="str">
        <f>IFERROR(__xludf.DUMMYFUNCTION("MAX(FILTER($H$2:$H501,$E$2:$E501=F202))"),"#N/A")</f>
        <v>#N/A</v>
      </c>
    </row>
    <row r="203">
      <c r="A203" s="4"/>
      <c r="B203" s="4"/>
      <c r="C203" s="4" t="s">
        <v>1857</v>
      </c>
      <c r="D203" s="8" t="str">
        <f t="shared" si="1"/>
        <v>{"valorA":"freezer","valorB":64}</v>
      </c>
      <c r="E203" s="8" t="str">
        <f t="shared" si="2"/>
        <v>freezer</v>
      </c>
      <c r="F203" s="8"/>
      <c r="G203" s="15" t="str">
        <f t="shared" si="3"/>
        <v>64</v>
      </c>
      <c r="H203" s="9">
        <f t="shared" si="4"/>
        <v>64</v>
      </c>
      <c r="I203" s="6" t="str">
        <f>IFERROR(__xludf.DUMMYFUNCTION("MAX(FILTER($H$2:$H501,$E$2:$E501=F203))"),"#N/A")</f>
        <v>#N/A</v>
      </c>
    </row>
    <row r="204">
      <c r="A204" s="4"/>
      <c r="B204" s="4"/>
      <c r="C204" s="4" t="s">
        <v>1855</v>
      </c>
      <c r="D204" s="8" t="str">
        <f t="shared" si="1"/>
        <v>{"valorA":"ar condicionado","valorB":66}</v>
      </c>
      <c r="E204" s="8" t="str">
        <f t="shared" si="2"/>
        <v>ar condicionado</v>
      </c>
      <c r="F204" s="8"/>
      <c r="G204" s="15" t="str">
        <f t="shared" si="3"/>
        <v>66</v>
      </c>
      <c r="H204" s="9">
        <f t="shared" si="4"/>
        <v>66</v>
      </c>
      <c r="I204" s="6" t="str">
        <f>IFERROR(__xludf.DUMMYFUNCTION("MAX(FILTER($H$2:$H501,$E$2:$E501=F204))"),"#N/A")</f>
        <v>#N/A</v>
      </c>
    </row>
    <row r="205">
      <c r="A205" s="4"/>
      <c r="B205" s="4"/>
      <c r="C205" s="4" t="s">
        <v>1858</v>
      </c>
      <c r="D205" s="8" t="str">
        <f t="shared" si="1"/>
        <v>{"valorA":"freezer","valorB":65}</v>
      </c>
      <c r="E205" s="8" t="str">
        <f t="shared" si="2"/>
        <v>freezer</v>
      </c>
      <c r="F205" s="8"/>
      <c r="G205" s="15" t="str">
        <f t="shared" si="3"/>
        <v>65</v>
      </c>
      <c r="H205" s="9">
        <f t="shared" si="4"/>
        <v>65</v>
      </c>
      <c r="I205" s="6" t="str">
        <f>IFERROR(__xludf.DUMMYFUNCTION("MAX(FILTER($H$2:$H501,$E$2:$E501=F205))"),"#N/A")</f>
        <v>#N/A</v>
      </c>
    </row>
    <row r="206">
      <c r="A206" s="4"/>
      <c r="B206" s="4"/>
      <c r="C206" s="4" t="s">
        <v>1866</v>
      </c>
      <c r="D206" s="8" t="str">
        <f t="shared" si="1"/>
        <v>{"valorA":"ar condicionado","valorB":67}</v>
      </c>
      <c r="E206" s="8" t="str">
        <f t="shared" si="2"/>
        <v>ar condicionado</v>
      </c>
      <c r="F206" s="8"/>
      <c r="G206" s="15" t="str">
        <f t="shared" si="3"/>
        <v>67</v>
      </c>
      <c r="H206" s="9">
        <f t="shared" si="4"/>
        <v>67</v>
      </c>
      <c r="I206" s="6" t="str">
        <f>IFERROR(__xludf.DUMMYFUNCTION("MAX(FILTER($H$2:$H501,$E$2:$E501=F206))"),"#N/A")</f>
        <v>#N/A</v>
      </c>
    </row>
    <row r="207">
      <c r="A207" s="4"/>
      <c r="B207" s="4"/>
      <c r="C207" s="4" t="s">
        <v>1859</v>
      </c>
      <c r="D207" s="8" t="str">
        <f t="shared" si="1"/>
        <v>{"valorA":"freezer","valorB":66}</v>
      </c>
      <c r="E207" s="8" t="str">
        <f t="shared" si="2"/>
        <v>freezer</v>
      </c>
      <c r="F207" s="8"/>
      <c r="G207" s="15" t="str">
        <f t="shared" si="3"/>
        <v>66</v>
      </c>
      <c r="H207" s="9">
        <f t="shared" si="4"/>
        <v>66</v>
      </c>
      <c r="I207" s="6" t="str">
        <f>IFERROR(__xludf.DUMMYFUNCTION("MAX(FILTER($H$2:$H501,$E$2:$E501=F207))"),"#N/A")</f>
        <v>#N/A</v>
      </c>
    </row>
    <row r="208">
      <c r="A208" s="4"/>
      <c r="B208" s="4"/>
      <c r="C208" s="4" t="s">
        <v>1861</v>
      </c>
      <c r="D208" s="8" t="str">
        <f t="shared" si="1"/>
        <v>{"valorA":"freezer","valorB":67}</v>
      </c>
      <c r="E208" s="8" t="str">
        <f t="shared" si="2"/>
        <v>freezer</v>
      </c>
      <c r="F208" s="8"/>
      <c r="G208" s="15" t="str">
        <f t="shared" si="3"/>
        <v>67</v>
      </c>
      <c r="H208" s="9">
        <f t="shared" si="4"/>
        <v>67</v>
      </c>
      <c r="I208" s="6" t="str">
        <f>IFERROR(__xludf.DUMMYFUNCTION("MAX(FILTER($H$2:$H501,$E$2:$E501=F208))"),"#N/A")</f>
        <v>#N/A</v>
      </c>
    </row>
    <row r="209">
      <c r="A209" s="4"/>
      <c r="B209" s="4"/>
      <c r="C209" s="4" t="s">
        <v>1862</v>
      </c>
      <c r="D209" s="8" t="str">
        <f t="shared" si="1"/>
        <v>{"valorA":"freezer","valorB":68}</v>
      </c>
      <c r="E209" s="8" t="str">
        <f t="shared" si="2"/>
        <v>freezer</v>
      </c>
      <c r="F209" s="8"/>
      <c r="G209" s="15" t="str">
        <f t="shared" si="3"/>
        <v>68</v>
      </c>
      <c r="H209" s="9">
        <f t="shared" si="4"/>
        <v>68</v>
      </c>
      <c r="I209" s="6" t="str">
        <f>IFERROR(__xludf.DUMMYFUNCTION("MAX(FILTER($H$2:$H501,$E$2:$E501=F209))"),"#N/A")</f>
        <v>#N/A</v>
      </c>
    </row>
    <row r="210">
      <c r="A210" s="4"/>
      <c r="B210" s="4"/>
      <c r="C210" s="4" t="s">
        <v>1867</v>
      </c>
      <c r="D210" s="8" t="str">
        <f t="shared" si="1"/>
        <v>{"valorA":"ar condicionado","valorB":68}</v>
      </c>
      <c r="E210" s="8" t="str">
        <f t="shared" si="2"/>
        <v>ar condicionado</v>
      </c>
      <c r="F210" s="8"/>
      <c r="G210" s="15" t="str">
        <f t="shared" si="3"/>
        <v>68</v>
      </c>
      <c r="H210" s="9">
        <f t="shared" si="4"/>
        <v>68</v>
      </c>
      <c r="I210" s="6" t="str">
        <f>IFERROR(__xludf.DUMMYFUNCTION("MAX(FILTER($H$2:$H501,$E$2:$E501=F210))"),"#N/A")</f>
        <v>#N/A</v>
      </c>
    </row>
    <row r="211">
      <c r="A211" s="4"/>
      <c r="B211" s="4"/>
      <c r="C211" s="4" t="s">
        <v>1873</v>
      </c>
      <c r="D211" s="8" t="str">
        <f t="shared" si="1"/>
        <v>{"valorA":"microondas","valorB":74}</v>
      </c>
      <c r="E211" s="8" t="str">
        <f t="shared" si="2"/>
        <v>microondas</v>
      </c>
      <c r="F211" s="8"/>
      <c r="G211" s="15" t="str">
        <f t="shared" si="3"/>
        <v>74</v>
      </c>
      <c r="H211" s="9">
        <f t="shared" si="4"/>
        <v>74</v>
      </c>
      <c r="I211" s="6" t="str">
        <f>IFERROR(__xludf.DUMMYFUNCTION("MAX(FILTER($H$2:$H501,$E$2:$E501=F211))"),"#N/A")</f>
        <v>#N/A</v>
      </c>
    </row>
    <row r="212">
      <c r="A212" s="4"/>
      <c r="B212" s="4"/>
      <c r="C212" s="4" t="s">
        <v>1881</v>
      </c>
      <c r="D212" s="8" t="str">
        <f t="shared" si="1"/>
        <v>{"valorA":"microondas","valorB":75}</v>
      </c>
      <c r="E212" s="8" t="str">
        <f t="shared" si="2"/>
        <v>microondas</v>
      </c>
      <c r="F212" s="8"/>
      <c r="G212" s="15" t="str">
        <f t="shared" si="3"/>
        <v>75</v>
      </c>
      <c r="H212" s="9">
        <f t="shared" si="4"/>
        <v>75</v>
      </c>
      <c r="I212" s="6" t="str">
        <f>IFERROR(__xludf.DUMMYFUNCTION("MAX(FILTER($H$2:$H501,$E$2:$E501=F212))"),"#N/A")</f>
        <v>#N/A</v>
      </c>
    </row>
    <row r="213">
      <c r="A213" s="4"/>
      <c r="B213" s="4"/>
      <c r="C213" s="4" t="s">
        <v>1864</v>
      </c>
      <c r="D213" s="8" t="str">
        <f t="shared" si="1"/>
        <v>{"valorA":"freezer","valorB":69}</v>
      </c>
      <c r="E213" s="8" t="str">
        <f t="shared" si="2"/>
        <v>freezer</v>
      </c>
      <c r="F213" s="8"/>
      <c r="G213" s="15" t="str">
        <f t="shared" si="3"/>
        <v>69</v>
      </c>
      <c r="H213" s="9">
        <f t="shared" si="4"/>
        <v>69</v>
      </c>
      <c r="I213" s="6" t="str">
        <f>IFERROR(__xludf.DUMMYFUNCTION("MAX(FILTER($H$2:$H501,$E$2:$E501=F213))"),"#N/A")</f>
        <v>#N/A</v>
      </c>
    </row>
    <row r="214">
      <c r="A214" s="4"/>
      <c r="B214" s="4"/>
      <c r="C214" s="4" t="s">
        <v>1869</v>
      </c>
      <c r="D214" s="8" t="str">
        <f t="shared" si="1"/>
        <v>{"valorA":"freezer","valorB":70}</v>
      </c>
      <c r="E214" s="8" t="str">
        <f t="shared" si="2"/>
        <v>freezer</v>
      </c>
      <c r="F214" s="8"/>
      <c r="G214" s="15" t="str">
        <f t="shared" si="3"/>
        <v>70</v>
      </c>
      <c r="H214" s="9">
        <f t="shared" si="4"/>
        <v>70</v>
      </c>
      <c r="I214" s="6" t="str">
        <f>IFERROR(__xludf.DUMMYFUNCTION("MAX(FILTER($H$2:$H501,$E$2:$E501=F214))"),"#N/A")</f>
        <v>#N/A</v>
      </c>
    </row>
    <row r="215">
      <c r="A215" s="4"/>
      <c r="B215" s="4"/>
      <c r="C215" s="4" t="s">
        <v>1868</v>
      </c>
      <c r="D215" s="8" t="str">
        <f t="shared" si="1"/>
        <v>{"valorA":"ar condicionado","valorB":69}</v>
      </c>
      <c r="E215" s="8" t="str">
        <f t="shared" si="2"/>
        <v>ar condicionado</v>
      </c>
      <c r="F215" s="8"/>
      <c r="G215" s="15" t="str">
        <f t="shared" si="3"/>
        <v>69</v>
      </c>
      <c r="H215" s="9">
        <f t="shared" si="4"/>
        <v>69</v>
      </c>
      <c r="I215" s="6" t="str">
        <f>IFERROR(__xludf.DUMMYFUNCTION("MAX(FILTER($H$2:$H501,$E$2:$E501=F215))"),"#N/A")</f>
        <v>#N/A</v>
      </c>
    </row>
    <row r="216">
      <c r="A216" s="4"/>
      <c r="B216" s="4"/>
      <c r="C216" s="4" t="s">
        <v>1870</v>
      </c>
      <c r="D216" s="8" t="str">
        <f t="shared" si="1"/>
        <v>{"valorA":"freezer","valorB":71}</v>
      </c>
      <c r="E216" s="8" t="str">
        <f t="shared" si="2"/>
        <v>freezer</v>
      </c>
      <c r="F216" s="8"/>
      <c r="G216" s="15" t="str">
        <f t="shared" si="3"/>
        <v>71</v>
      </c>
      <c r="H216" s="9">
        <f t="shared" si="4"/>
        <v>71</v>
      </c>
      <c r="I216" s="6" t="str">
        <f>IFERROR(__xludf.DUMMYFUNCTION("MAX(FILTER($H$2:$H501,$E$2:$E501=F216))"),"#N/A")</f>
        <v>#N/A</v>
      </c>
    </row>
    <row r="217">
      <c r="A217" s="4"/>
      <c r="B217" s="4"/>
      <c r="C217" s="4" t="s">
        <v>1882</v>
      </c>
      <c r="D217" s="8" t="str">
        <f t="shared" si="1"/>
        <v>{"valorA":"microondas","valorB":76}</v>
      </c>
      <c r="E217" s="8" t="str">
        <f t="shared" si="2"/>
        <v>microondas</v>
      </c>
      <c r="F217" s="8"/>
      <c r="G217" s="15" t="str">
        <f t="shared" si="3"/>
        <v>76</v>
      </c>
      <c r="H217" s="9">
        <f t="shared" si="4"/>
        <v>76</v>
      </c>
      <c r="I217" s="6" t="str">
        <f>IFERROR(__xludf.DUMMYFUNCTION("MAX(FILTER($H$2:$H501,$E$2:$E501=F217))"),"#N/A")</f>
        <v>#N/A</v>
      </c>
    </row>
    <row r="218">
      <c r="A218" s="4"/>
      <c r="B218" s="4"/>
      <c r="C218" s="4" t="s">
        <v>1875</v>
      </c>
      <c r="D218" s="8" t="str">
        <f t="shared" si="1"/>
        <v>{"valorA":"freezer","valorB":72}</v>
      </c>
      <c r="E218" s="8" t="str">
        <f t="shared" si="2"/>
        <v>freezer</v>
      </c>
      <c r="F218" s="8"/>
      <c r="G218" s="15" t="str">
        <f t="shared" si="3"/>
        <v>72</v>
      </c>
      <c r="H218" s="9">
        <f t="shared" si="4"/>
        <v>72</v>
      </c>
      <c r="I218" s="6" t="str">
        <f>IFERROR(__xludf.DUMMYFUNCTION("MAX(FILTER($H$2:$H501,$E$2:$E501=F218))"),"#N/A")</f>
        <v>#N/A</v>
      </c>
    </row>
    <row r="219">
      <c r="A219" s="4"/>
      <c r="B219" s="4"/>
      <c r="C219" s="4" t="s">
        <v>1887</v>
      </c>
      <c r="D219" s="8" t="str">
        <f t="shared" si="1"/>
        <v>{"valorA":"microondas","valorB":77}</v>
      </c>
      <c r="E219" s="8" t="str">
        <f t="shared" si="2"/>
        <v>microondas</v>
      </c>
      <c r="F219" s="8"/>
      <c r="G219" s="15" t="str">
        <f t="shared" si="3"/>
        <v>77</v>
      </c>
      <c r="H219" s="9">
        <f t="shared" si="4"/>
        <v>77</v>
      </c>
      <c r="I219" s="6" t="str">
        <f>IFERROR(__xludf.DUMMYFUNCTION("MAX(FILTER($H$2:$H501,$E$2:$E501=F219))"),"#N/A")</f>
        <v>#N/A</v>
      </c>
    </row>
    <row r="220">
      <c r="A220" s="4"/>
      <c r="B220" s="4"/>
      <c r="C220" s="4" t="s">
        <v>1871</v>
      </c>
      <c r="D220" s="8" t="str">
        <f t="shared" si="1"/>
        <v>{"valorA":"ar condicionado","valorB":70}</v>
      </c>
      <c r="E220" s="8" t="str">
        <f t="shared" si="2"/>
        <v>ar condicionado</v>
      </c>
      <c r="F220" s="8"/>
      <c r="G220" s="15" t="str">
        <f t="shared" si="3"/>
        <v>70</v>
      </c>
      <c r="H220" s="9">
        <f t="shared" si="4"/>
        <v>70</v>
      </c>
      <c r="I220" s="6" t="str">
        <f>IFERROR(__xludf.DUMMYFUNCTION("MAX(FILTER($H$2:$H501,$E$2:$E501=F220))"),"#N/A")</f>
        <v>#N/A</v>
      </c>
    </row>
    <row r="221">
      <c r="A221" s="4"/>
      <c r="B221" s="4"/>
      <c r="C221" s="4" t="s">
        <v>1876</v>
      </c>
      <c r="D221" s="8" t="str">
        <f t="shared" si="1"/>
        <v>{"valorA":"freezer","valorB":73}</v>
      </c>
      <c r="E221" s="8" t="str">
        <f t="shared" si="2"/>
        <v>freezer</v>
      </c>
      <c r="F221" s="8"/>
      <c r="G221" s="15" t="str">
        <f t="shared" si="3"/>
        <v>73</v>
      </c>
      <c r="H221" s="9">
        <f t="shared" si="4"/>
        <v>73</v>
      </c>
      <c r="I221" s="6" t="str">
        <f>IFERROR(__xludf.DUMMYFUNCTION("MAX(FILTER($H$2:$H501,$E$2:$E501=F221))"),"#N/A")</f>
        <v>#N/A</v>
      </c>
    </row>
    <row r="222">
      <c r="A222" s="4"/>
      <c r="B222" s="4"/>
      <c r="C222" s="4" t="s">
        <v>1872</v>
      </c>
      <c r="D222" s="8" t="str">
        <f t="shared" si="1"/>
        <v>{"valorA":"ar condicionado","valorB":71}</v>
      </c>
      <c r="E222" s="8" t="str">
        <f t="shared" si="2"/>
        <v>ar condicionado</v>
      </c>
      <c r="F222" s="8"/>
      <c r="G222" s="15" t="str">
        <f t="shared" si="3"/>
        <v>71</v>
      </c>
      <c r="H222" s="9">
        <f t="shared" si="4"/>
        <v>71</v>
      </c>
      <c r="I222" s="6" t="str">
        <f>IFERROR(__xludf.DUMMYFUNCTION("MAX(FILTER($H$2:$H501,$E$2:$E501=F222))"),"#N/A")</f>
        <v>#N/A</v>
      </c>
    </row>
    <row r="223">
      <c r="A223" s="4"/>
      <c r="B223" s="4"/>
      <c r="C223" s="4" t="s">
        <v>1874</v>
      </c>
      <c r="D223" s="8" t="str">
        <f t="shared" si="1"/>
        <v>{"valorA":"ar condicionado","valorB":72}</v>
      </c>
      <c r="E223" s="8" t="str">
        <f t="shared" si="2"/>
        <v>ar condicionado</v>
      </c>
      <c r="F223" s="8"/>
      <c r="G223" s="15" t="str">
        <f t="shared" si="3"/>
        <v>72</v>
      </c>
      <c r="H223" s="9">
        <f t="shared" si="4"/>
        <v>72</v>
      </c>
      <c r="I223" s="6" t="str">
        <f>IFERROR(__xludf.DUMMYFUNCTION("MAX(FILTER($H$2:$H501,$E$2:$E501=F223))"),"#N/A")</f>
        <v>#N/A</v>
      </c>
    </row>
    <row r="224">
      <c r="A224" s="4"/>
      <c r="B224" s="4"/>
      <c r="C224" s="4" t="s">
        <v>1878</v>
      </c>
      <c r="D224" s="8" t="str">
        <f t="shared" si="1"/>
        <v>{"valorA":"ar condicionado","valorB":73}</v>
      </c>
      <c r="E224" s="8" t="str">
        <f t="shared" si="2"/>
        <v>ar condicionado</v>
      </c>
      <c r="F224" s="8"/>
      <c r="G224" s="15" t="str">
        <f t="shared" si="3"/>
        <v>73</v>
      </c>
      <c r="H224" s="9">
        <f t="shared" si="4"/>
        <v>73</v>
      </c>
      <c r="I224" s="6" t="str">
        <f>IFERROR(__xludf.DUMMYFUNCTION("MAX(FILTER($H$2:$H501,$E$2:$E501=F224))"),"#N/A")</f>
        <v>#N/A</v>
      </c>
    </row>
    <row r="225">
      <c r="A225" s="4"/>
      <c r="B225" s="4"/>
      <c r="C225" s="4" t="s">
        <v>1879</v>
      </c>
      <c r="D225" s="8" t="str">
        <f t="shared" si="1"/>
        <v>{"valorA":"ar condicionado","valorB":74}</v>
      </c>
      <c r="E225" s="8" t="str">
        <f t="shared" si="2"/>
        <v>ar condicionado</v>
      </c>
      <c r="F225" s="8"/>
      <c r="G225" s="15" t="str">
        <f t="shared" si="3"/>
        <v>74</v>
      </c>
      <c r="H225" s="9">
        <f t="shared" si="4"/>
        <v>74</v>
      </c>
      <c r="I225" s="6" t="str">
        <f>IFERROR(__xludf.DUMMYFUNCTION("MAX(FILTER($H$2:$H501,$E$2:$E501=F225))"),"#N/A")</f>
        <v>#N/A</v>
      </c>
    </row>
    <row r="226">
      <c r="A226" s="4"/>
      <c r="B226" s="4"/>
      <c r="C226" s="4" t="s">
        <v>1877</v>
      </c>
      <c r="D226" s="8" t="str">
        <f t="shared" si="1"/>
        <v>{"valorA":"freezer","valorB":74}</v>
      </c>
      <c r="E226" s="8" t="str">
        <f t="shared" si="2"/>
        <v>freezer</v>
      </c>
      <c r="F226" s="8"/>
      <c r="G226" s="15" t="str">
        <f t="shared" si="3"/>
        <v>74</v>
      </c>
      <c r="H226" s="9">
        <f t="shared" si="4"/>
        <v>74</v>
      </c>
      <c r="I226" s="6" t="str">
        <f>IFERROR(__xludf.DUMMYFUNCTION("MAX(FILTER($H$2:$H501,$E$2:$E501=F226))"),"#N/A")</f>
        <v>#N/A</v>
      </c>
    </row>
    <row r="227">
      <c r="A227" s="4"/>
      <c r="B227" s="4"/>
      <c r="C227" s="4" t="s">
        <v>1880</v>
      </c>
      <c r="D227" s="8" t="str">
        <f t="shared" si="1"/>
        <v>{"valorA":"ar condicionado","valorB":75}</v>
      </c>
      <c r="E227" s="8" t="str">
        <f t="shared" si="2"/>
        <v>ar condicionado</v>
      </c>
      <c r="F227" s="8"/>
      <c r="G227" s="15" t="str">
        <f t="shared" si="3"/>
        <v>75</v>
      </c>
      <c r="H227" s="9">
        <f t="shared" si="4"/>
        <v>75</v>
      </c>
      <c r="I227" s="6" t="str">
        <f>IFERROR(__xludf.DUMMYFUNCTION("MAX(FILTER($H$2:$H501,$E$2:$E501=F227))"),"#N/A")</f>
        <v>#N/A</v>
      </c>
    </row>
    <row r="228">
      <c r="A228" s="4"/>
      <c r="B228" s="4"/>
      <c r="C228" s="4" t="s">
        <v>1883</v>
      </c>
      <c r="D228" s="8" t="str">
        <f t="shared" si="1"/>
        <v>{"valorA":"ar condicionado","valorB":76}</v>
      </c>
      <c r="E228" s="8" t="str">
        <f t="shared" si="2"/>
        <v>ar condicionado</v>
      </c>
      <c r="F228" s="8"/>
      <c r="G228" s="15" t="str">
        <f t="shared" si="3"/>
        <v>76</v>
      </c>
      <c r="H228" s="9">
        <f t="shared" si="4"/>
        <v>76</v>
      </c>
      <c r="I228" s="6" t="str">
        <f>IFERROR(__xludf.DUMMYFUNCTION("MAX(FILTER($H$2:$H501,$E$2:$E501=F228))"),"#N/A")</f>
        <v>#N/A</v>
      </c>
    </row>
    <row r="229">
      <c r="A229" s="4"/>
      <c r="B229" s="4"/>
      <c r="C229" s="4" t="s">
        <v>1885</v>
      </c>
      <c r="D229" s="8" t="str">
        <f t="shared" si="1"/>
        <v>{"valorA":"freezer","valorB":75}</v>
      </c>
      <c r="E229" s="8" t="str">
        <f t="shared" si="2"/>
        <v>freezer</v>
      </c>
      <c r="F229" s="8"/>
      <c r="G229" s="15" t="str">
        <f t="shared" si="3"/>
        <v>75</v>
      </c>
      <c r="H229" s="9">
        <f t="shared" si="4"/>
        <v>75</v>
      </c>
      <c r="I229" s="6" t="str">
        <f>IFERROR(__xludf.DUMMYFUNCTION("MAX(FILTER($H$2:$H501,$E$2:$E501=F229))"),"#N/A")</f>
        <v>#N/A</v>
      </c>
    </row>
    <row r="230">
      <c r="A230" s="4"/>
      <c r="B230" s="4"/>
      <c r="C230" s="4" t="s">
        <v>1886</v>
      </c>
      <c r="D230" s="8" t="str">
        <f t="shared" si="1"/>
        <v>{"valorA":"freezer","valorB":76}</v>
      </c>
      <c r="E230" s="8" t="str">
        <f t="shared" si="2"/>
        <v>freezer</v>
      </c>
      <c r="F230" s="8"/>
      <c r="G230" s="15" t="str">
        <f t="shared" si="3"/>
        <v>76</v>
      </c>
      <c r="H230" s="9">
        <f t="shared" si="4"/>
        <v>76</v>
      </c>
      <c r="I230" s="6" t="str">
        <f>IFERROR(__xludf.DUMMYFUNCTION("MAX(FILTER($H$2:$H501,$E$2:$E501=F230))"),"#N/A")</f>
        <v>#N/A</v>
      </c>
    </row>
    <row r="231">
      <c r="A231" s="4"/>
      <c r="B231" s="4"/>
      <c r="C231" s="4" t="s">
        <v>1884</v>
      </c>
      <c r="D231" s="8" t="str">
        <f t="shared" si="1"/>
        <v>{"valorA":"ar condicionado","valorB":77}</v>
      </c>
      <c r="E231" s="8" t="str">
        <f t="shared" si="2"/>
        <v>ar condicionado</v>
      </c>
      <c r="F231" s="8"/>
      <c r="G231" s="15" t="str">
        <f t="shared" si="3"/>
        <v>77</v>
      </c>
      <c r="H231" s="9">
        <f t="shared" si="4"/>
        <v>77</v>
      </c>
      <c r="I231" s="6" t="str">
        <f>IFERROR(__xludf.DUMMYFUNCTION("MAX(FILTER($H$2:$H501,$E$2:$E501=F231))"),"#N/A")</f>
        <v>#N/A</v>
      </c>
    </row>
    <row r="232">
      <c r="A232" s="4"/>
      <c r="B232" s="4"/>
      <c r="C232" s="4" t="s">
        <v>1888</v>
      </c>
      <c r="D232" s="8" t="str">
        <f t="shared" si="1"/>
        <v>{"valorA":"microondas","valorB":78}</v>
      </c>
      <c r="E232" s="8" t="str">
        <f t="shared" si="2"/>
        <v>microondas</v>
      </c>
      <c r="F232" s="8"/>
      <c r="G232" s="15" t="str">
        <f t="shared" si="3"/>
        <v>78</v>
      </c>
      <c r="H232" s="9">
        <f t="shared" si="4"/>
        <v>78</v>
      </c>
      <c r="I232" s="6" t="str">
        <f>IFERROR(__xludf.DUMMYFUNCTION("MAX(FILTER($H$2:$H501,$E$2:$E501=F232))"),"#N/A")</f>
        <v>#N/A</v>
      </c>
    </row>
    <row r="233">
      <c r="A233" s="4"/>
      <c r="B233" s="4"/>
      <c r="C233" s="4" t="s">
        <v>1890</v>
      </c>
      <c r="D233" s="8" t="str">
        <f t="shared" si="1"/>
        <v>{"valorA":"freezer","valorB":77}</v>
      </c>
      <c r="E233" s="8" t="str">
        <f t="shared" si="2"/>
        <v>freezer</v>
      </c>
      <c r="F233" s="8"/>
      <c r="G233" s="15" t="str">
        <f t="shared" si="3"/>
        <v>77</v>
      </c>
      <c r="H233" s="9">
        <f t="shared" si="4"/>
        <v>77</v>
      </c>
      <c r="I233" s="6" t="str">
        <f>IFERROR(__xludf.DUMMYFUNCTION("MAX(FILTER($H$2:$H501,$E$2:$E501=F233))"),"#N/A")</f>
        <v>#N/A</v>
      </c>
    </row>
    <row r="234">
      <c r="A234" s="4"/>
      <c r="B234" s="4"/>
      <c r="C234" s="4" t="s">
        <v>1892</v>
      </c>
      <c r="D234" s="8" t="str">
        <f t="shared" si="1"/>
        <v>{"valorA":"microondas","valorB":79}</v>
      </c>
      <c r="E234" s="8" t="str">
        <f t="shared" si="2"/>
        <v>microondas</v>
      </c>
      <c r="F234" s="8"/>
      <c r="G234" s="15" t="str">
        <f t="shared" si="3"/>
        <v>79</v>
      </c>
      <c r="H234" s="9">
        <f t="shared" si="4"/>
        <v>79</v>
      </c>
      <c r="I234" s="6" t="str">
        <f>IFERROR(__xludf.DUMMYFUNCTION("MAX(FILTER($H$2:$H501,$E$2:$E501=F234))"),"#N/A")</f>
        <v>#N/A</v>
      </c>
    </row>
    <row r="235">
      <c r="A235" s="4"/>
      <c r="B235" s="4"/>
      <c r="C235" s="4" t="s">
        <v>1891</v>
      </c>
      <c r="D235" s="8" t="str">
        <f t="shared" si="1"/>
        <v>{"valorA":"freezer","valorB":78}</v>
      </c>
      <c r="E235" s="8" t="str">
        <f t="shared" si="2"/>
        <v>freezer</v>
      </c>
      <c r="F235" s="8"/>
      <c r="G235" s="15" t="str">
        <f t="shared" si="3"/>
        <v>78</v>
      </c>
      <c r="H235" s="9">
        <f t="shared" si="4"/>
        <v>78</v>
      </c>
      <c r="I235" s="6" t="str">
        <f>IFERROR(__xludf.DUMMYFUNCTION("MAX(FILTER($H$2:$H501,$E$2:$E501=F235))"),"#N/A")</f>
        <v>#N/A</v>
      </c>
    </row>
    <row r="236">
      <c r="A236" s="4"/>
      <c r="B236" s="4"/>
      <c r="C236" s="4" t="s">
        <v>1894</v>
      </c>
      <c r="D236" s="8" t="str">
        <f t="shared" si="1"/>
        <v>{"valorA":"freezer","valorB":79}</v>
      </c>
      <c r="E236" s="8" t="str">
        <f t="shared" si="2"/>
        <v>freezer</v>
      </c>
      <c r="F236" s="8"/>
      <c r="G236" s="15" t="str">
        <f t="shared" si="3"/>
        <v>79</v>
      </c>
      <c r="H236" s="9">
        <f t="shared" si="4"/>
        <v>79</v>
      </c>
      <c r="I236" s="6" t="str">
        <f>IFERROR(__xludf.DUMMYFUNCTION("MAX(FILTER($H$2:$H501,$E$2:$E501=F236))"),"#N/A")</f>
        <v>#N/A</v>
      </c>
    </row>
    <row r="237">
      <c r="A237" s="4"/>
      <c r="B237" s="4"/>
      <c r="C237" s="4" t="s">
        <v>1897</v>
      </c>
      <c r="D237" s="8" t="str">
        <f t="shared" si="1"/>
        <v>{"valorA":"microondas","valorB":80}</v>
      </c>
      <c r="E237" s="8" t="str">
        <f t="shared" si="2"/>
        <v>microondas</v>
      </c>
      <c r="F237" s="8"/>
      <c r="G237" s="15" t="str">
        <f t="shared" si="3"/>
        <v>80</v>
      </c>
      <c r="H237" s="9">
        <f t="shared" si="4"/>
        <v>80</v>
      </c>
      <c r="I237" s="6" t="str">
        <f>IFERROR(__xludf.DUMMYFUNCTION("MAX(FILTER($H$2:$H501,$E$2:$E501=F237))"),"#N/A")</f>
        <v>#N/A</v>
      </c>
    </row>
    <row r="238">
      <c r="A238" s="4"/>
      <c r="B238" s="4"/>
      <c r="C238" s="4" t="s">
        <v>1889</v>
      </c>
      <c r="D238" s="8" t="str">
        <f t="shared" si="1"/>
        <v>{"valorA":"ar condicionado","valorB":78}</v>
      </c>
      <c r="E238" s="8" t="str">
        <f t="shared" si="2"/>
        <v>ar condicionado</v>
      </c>
      <c r="F238" s="8"/>
      <c r="G238" s="15" t="str">
        <f t="shared" si="3"/>
        <v>78</v>
      </c>
      <c r="H238" s="9">
        <f t="shared" si="4"/>
        <v>78</v>
      </c>
      <c r="I238" s="6" t="str">
        <f>IFERROR(__xludf.DUMMYFUNCTION("MAX(FILTER($H$2:$H501,$E$2:$E501=F238))"),"#N/A")</f>
        <v>#N/A</v>
      </c>
    </row>
    <row r="239">
      <c r="A239" s="4"/>
      <c r="B239" s="4"/>
      <c r="C239" s="4" t="s">
        <v>1893</v>
      </c>
      <c r="D239" s="8" t="str">
        <f t="shared" si="1"/>
        <v>{"valorA":"ar condicionado","valorB":79}</v>
      </c>
      <c r="E239" s="8" t="str">
        <f t="shared" si="2"/>
        <v>ar condicionado</v>
      </c>
      <c r="F239" s="8"/>
      <c r="G239" s="15" t="str">
        <f t="shared" si="3"/>
        <v>79</v>
      </c>
      <c r="H239" s="9">
        <f t="shared" si="4"/>
        <v>79</v>
      </c>
      <c r="I239" s="6" t="str">
        <f>IFERROR(__xludf.DUMMYFUNCTION("MAX(FILTER($H$2:$H501,$E$2:$E501=F239))"),"#N/A")</f>
        <v>#N/A</v>
      </c>
    </row>
    <row r="240">
      <c r="A240" s="4"/>
      <c r="B240" s="4"/>
      <c r="C240" s="4" t="s">
        <v>1896</v>
      </c>
      <c r="D240" s="8" t="str">
        <f t="shared" si="1"/>
        <v>{"valorA":"ar condicionado","valorB":80}</v>
      </c>
      <c r="E240" s="8" t="str">
        <f t="shared" si="2"/>
        <v>ar condicionado</v>
      </c>
      <c r="F240" s="8"/>
      <c r="G240" s="15" t="str">
        <f t="shared" si="3"/>
        <v>80</v>
      </c>
      <c r="H240" s="9">
        <f t="shared" si="4"/>
        <v>80</v>
      </c>
      <c r="I240" s="6" t="str">
        <f>IFERROR(__xludf.DUMMYFUNCTION("MAX(FILTER($H$2:$H501,$E$2:$E501=F240))"),"#N/A")</f>
        <v>#N/A</v>
      </c>
    </row>
    <row r="241">
      <c r="A241" s="4"/>
      <c r="B241" s="4"/>
      <c r="C241" s="4" t="s">
        <v>1899</v>
      </c>
      <c r="D241" s="8" t="str">
        <f t="shared" si="1"/>
        <v>{"valorA":"microondas","valorB":81}</v>
      </c>
      <c r="E241" s="8" t="str">
        <f t="shared" si="2"/>
        <v>microondas</v>
      </c>
      <c r="F241" s="8"/>
      <c r="G241" s="15" t="str">
        <f t="shared" si="3"/>
        <v>81</v>
      </c>
      <c r="H241" s="9">
        <f t="shared" si="4"/>
        <v>81</v>
      </c>
      <c r="I241" s="6" t="str">
        <f>IFERROR(__xludf.DUMMYFUNCTION("MAX(FILTER($H$2:$H501,$E$2:$E501=F241))"),"#N/A")</f>
        <v>#N/A</v>
      </c>
    </row>
    <row r="242">
      <c r="A242" s="4"/>
      <c r="B242" s="4"/>
      <c r="C242" s="4" t="s">
        <v>1903</v>
      </c>
      <c r="D242" s="8" t="str">
        <f t="shared" si="1"/>
        <v>{"valorA":"microondas","valorB":82}</v>
      </c>
      <c r="E242" s="8" t="str">
        <f t="shared" si="2"/>
        <v>microondas</v>
      </c>
      <c r="F242" s="8"/>
      <c r="G242" s="15" t="str">
        <f t="shared" si="3"/>
        <v>82</v>
      </c>
      <c r="H242" s="9">
        <f t="shared" si="4"/>
        <v>82</v>
      </c>
      <c r="I242" s="6" t="str">
        <f>IFERROR(__xludf.DUMMYFUNCTION("MAX(FILTER($H$2:$H501,$E$2:$E501=F242))"),"#N/A")</f>
        <v>#N/A</v>
      </c>
    </row>
    <row r="243">
      <c r="A243" s="4"/>
      <c r="B243" s="4"/>
      <c r="C243" s="4" t="s">
        <v>1895</v>
      </c>
      <c r="D243" s="8" t="str">
        <f t="shared" si="1"/>
        <v>{"valorA":"freezer","valorB":80}</v>
      </c>
      <c r="E243" s="8" t="str">
        <f t="shared" si="2"/>
        <v>freezer</v>
      </c>
      <c r="F243" s="8"/>
      <c r="G243" s="15" t="str">
        <f t="shared" si="3"/>
        <v>80</v>
      </c>
      <c r="H243" s="9">
        <f t="shared" si="4"/>
        <v>80</v>
      </c>
      <c r="I243" s="6" t="str">
        <f>IFERROR(__xludf.DUMMYFUNCTION("MAX(FILTER($H$2:$H501,$E$2:$E501=F243))"),"#N/A")</f>
        <v>#N/A</v>
      </c>
    </row>
    <row r="244">
      <c r="A244" s="4"/>
      <c r="B244" s="4"/>
      <c r="C244" s="4" t="s">
        <v>1898</v>
      </c>
      <c r="D244" s="8" t="str">
        <f t="shared" si="1"/>
        <v>{"valorA":"freezer","valorB":81}</v>
      </c>
      <c r="E244" s="8" t="str">
        <f t="shared" si="2"/>
        <v>freezer</v>
      </c>
      <c r="F244" s="8"/>
      <c r="G244" s="15" t="str">
        <f t="shared" si="3"/>
        <v>81</v>
      </c>
      <c r="H244" s="9">
        <f t="shared" si="4"/>
        <v>81</v>
      </c>
      <c r="I244" s="6" t="str">
        <f>IFERROR(__xludf.DUMMYFUNCTION("MAX(FILTER($H$2:$H501,$E$2:$E501=F244))"),"#N/A")</f>
        <v>#N/A</v>
      </c>
    </row>
    <row r="245">
      <c r="A245" s="4"/>
      <c r="B245" s="4"/>
      <c r="C245" s="4" t="s">
        <v>1905</v>
      </c>
      <c r="D245" s="8" t="str">
        <f t="shared" si="1"/>
        <v>{"valorA":"freezer","valorB":82}</v>
      </c>
      <c r="E245" s="8" t="str">
        <f t="shared" si="2"/>
        <v>freezer</v>
      </c>
      <c r="F245" s="8"/>
      <c r="G245" s="15" t="str">
        <f t="shared" si="3"/>
        <v>82</v>
      </c>
      <c r="H245" s="9">
        <f t="shared" si="4"/>
        <v>82</v>
      </c>
      <c r="I245" s="6" t="str">
        <f>IFERROR(__xludf.DUMMYFUNCTION("MAX(FILTER($H$2:$H501,$E$2:$E501=F245))"),"#N/A")</f>
        <v>#N/A</v>
      </c>
    </row>
    <row r="246">
      <c r="A246" s="4"/>
      <c r="B246" s="4"/>
      <c r="C246" s="4" t="s">
        <v>1907</v>
      </c>
      <c r="D246" s="8" t="str">
        <f t="shared" si="1"/>
        <v>{"valorA":"freezer","valorB":83}</v>
      </c>
      <c r="E246" s="8" t="str">
        <f t="shared" si="2"/>
        <v>freezer</v>
      </c>
      <c r="F246" s="8"/>
      <c r="G246" s="15" t="str">
        <f t="shared" si="3"/>
        <v>83</v>
      </c>
      <c r="H246" s="9">
        <f t="shared" si="4"/>
        <v>83</v>
      </c>
      <c r="I246" s="6" t="str">
        <f>IFERROR(__xludf.DUMMYFUNCTION("MAX(FILTER($H$2:$H501,$E$2:$E501=F246))"),"#N/A")</f>
        <v>#N/A</v>
      </c>
    </row>
    <row r="247">
      <c r="A247" s="4"/>
      <c r="B247" s="4"/>
      <c r="C247" s="4" t="s">
        <v>1910</v>
      </c>
      <c r="D247" s="8" t="str">
        <f t="shared" si="1"/>
        <v>{"valorA":"microondas","valorB":83}</v>
      </c>
      <c r="E247" s="8" t="str">
        <f t="shared" si="2"/>
        <v>microondas</v>
      </c>
      <c r="F247" s="8"/>
      <c r="G247" s="15" t="str">
        <f t="shared" si="3"/>
        <v>83</v>
      </c>
      <c r="H247" s="9">
        <f t="shared" si="4"/>
        <v>83</v>
      </c>
      <c r="I247" s="6" t="str">
        <f>IFERROR(__xludf.DUMMYFUNCTION("MAX(FILTER($H$2:$H501,$E$2:$E501=F247))"),"#N/A")</f>
        <v>#N/A</v>
      </c>
    </row>
    <row r="248">
      <c r="A248" s="4"/>
      <c r="B248" s="4"/>
      <c r="C248" s="4" t="s">
        <v>1919</v>
      </c>
      <c r="D248" s="8" t="str">
        <f t="shared" si="1"/>
        <v>{"valorA":"microondas","valorB":84}</v>
      </c>
      <c r="E248" s="8" t="str">
        <f t="shared" si="2"/>
        <v>microondas</v>
      </c>
      <c r="F248" s="8"/>
      <c r="G248" s="15" t="str">
        <f t="shared" si="3"/>
        <v>84</v>
      </c>
      <c r="H248" s="9">
        <f t="shared" si="4"/>
        <v>84</v>
      </c>
      <c r="I248" s="6" t="str">
        <f>IFERROR(__xludf.DUMMYFUNCTION("MAX(FILTER($H$2:$H501,$E$2:$E501=F248))"),"#N/A")</f>
        <v>#N/A</v>
      </c>
    </row>
    <row r="249">
      <c r="A249" s="4"/>
      <c r="B249" s="4"/>
      <c r="C249" s="4" t="s">
        <v>1911</v>
      </c>
      <c r="D249" s="8" t="str">
        <f t="shared" si="1"/>
        <v>{"valorA":"freezer","valorB":84}</v>
      </c>
      <c r="E249" s="8" t="str">
        <f t="shared" si="2"/>
        <v>freezer</v>
      </c>
      <c r="F249" s="8"/>
      <c r="G249" s="15" t="str">
        <f t="shared" si="3"/>
        <v>84</v>
      </c>
      <c r="H249" s="9">
        <f t="shared" si="4"/>
        <v>84</v>
      </c>
      <c r="I249" s="6" t="str">
        <f>IFERROR(__xludf.DUMMYFUNCTION("MAX(FILTER($H$2:$H501,$E$2:$E501=F249))"),"#N/A")</f>
        <v>#N/A</v>
      </c>
    </row>
    <row r="250">
      <c r="A250" s="4"/>
      <c r="B250" s="4"/>
      <c r="C250" s="4" t="s">
        <v>1900</v>
      </c>
      <c r="D250" s="8" t="str">
        <f t="shared" si="1"/>
        <v>{"valorA":"ar condicionado","valorB":81}</v>
      </c>
      <c r="E250" s="8" t="str">
        <f t="shared" si="2"/>
        <v>ar condicionado</v>
      </c>
      <c r="F250" s="8"/>
      <c r="G250" s="15" t="str">
        <f t="shared" si="3"/>
        <v>81</v>
      </c>
      <c r="H250" s="9">
        <f t="shared" si="4"/>
        <v>81</v>
      </c>
      <c r="I250" s="6" t="str">
        <f>IFERROR(__xludf.DUMMYFUNCTION("MAX(FILTER($H$2:$H501,$E$2:$E501=F250))"),"#N/A")</f>
        <v>#N/A</v>
      </c>
    </row>
    <row r="251">
      <c r="A251" s="4"/>
      <c r="B251" s="4"/>
      <c r="C251" s="4" t="s">
        <v>1925</v>
      </c>
      <c r="D251" s="8" t="str">
        <f t="shared" si="1"/>
        <v>{"valorA":"microondas","valorB":85}</v>
      </c>
      <c r="E251" s="8" t="str">
        <f t="shared" si="2"/>
        <v>microondas</v>
      </c>
      <c r="F251" s="8"/>
      <c r="G251" s="15" t="str">
        <f t="shared" si="3"/>
        <v>85</v>
      </c>
      <c r="H251" s="9">
        <f t="shared" si="4"/>
        <v>85</v>
      </c>
      <c r="I251" s="6" t="str">
        <f>IFERROR(__xludf.DUMMYFUNCTION("MAX(FILTER($H$2:$H501,$E$2:$E501=F251))"),"#N/A")</f>
        <v>#N/A</v>
      </c>
    </row>
    <row r="252">
      <c r="A252" s="4"/>
      <c r="B252" s="4"/>
      <c r="C252" s="4" t="s">
        <v>1912</v>
      </c>
      <c r="D252" s="8" t="str">
        <f t="shared" si="1"/>
        <v>{"valorA":"freezer","valorB":85}</v>
      </c>
      <c r="E252" s="8" t="str">
        <f t="shared" si="2"/>
        <v>freezer</v>
      </c>
      <c r="F252" s="8"/>
      <c r="G252" s="15" t="str">
        <f t="shared" si="3"/>
        <v>85</v>
      </c>
      <c r="H252" s="9">
        <f t="shared" si="4"/>
        <v>85</v>
      </c>
      <c r="I252" s="6" t="str">
        <f>IFERROR(__xludf.DUMMYFUNCTION("MAX(FILTER($H$2:$H501,$E$2:$E501=F252))"),"#N/A")</f>
        <v>#N/A</v>
      </c>
    </row>
    <row r="253">
      <c r="A253" s="4"/>
      <c r="B253" s="4"/>
      <c r="C253" s="4" t="s">
        <v>1901</v>
      </c>
      <c r="D253" s="8" t="str">
        <f t="shared" si="1"/>
        <v>{"valorA":"ar condicionado","valorB":82}</v>
      </c>
      <c r="E253" s="8" t="str">
        <f t="shared" si="2"/>
        <v>ar condicionado</v>
      </c>
      <c r="F253" s="8"/>
      <c r="G253" s="15" t="str">
        <f t="shared" si="3"/>
        <v>82</v>
      </c>
      <c r="H253" s="9">
        <f t="shared" si="4"/>
        <v>82</v>
      </c>
      <c r="I253" s="6" t="str">
        <f>IFERROR(__xludf.DUMMYFUNCTION("MAX(FILTER($H$2:$H501,$E$2:$E501=F253))"),"#N/A")</f>
        <v>#N/A</v>
      </c>
    </row>
    <row r="254">
      <c r="A254" s="4"/>
      <c r="B254" s="4"/>
      <c r="C254" s="4" t="s">
        <v>1902</v>
      </c>
      <c r="D254" s="8" t="str">
        <f t="shared" si="1"/>
        <v>{"valorA":"ar condicionado","valorB":83}</v>
      </c>
      <c r="E254" s="8" t="str">
        <f t="shared" si="2"/>
        <v>ar condicionado</v>
      </c>
      <c r="F254" s="8"/>
      <c r="G254" s="15" t="str">
        <f t="shared" si="3"/>
        <v>83</v>
      </c>
      <c r="H254" s="9">
        <f t="shared" si="4"/>
        <v>83</v>
      </c>
      <c r="I254" s="6" t="str">
        <f>IFERROR(__xludf.DUMMYFUNCTION("MAX(FILTER($H$2:$H501,$E$2:$E501=F254))"),"#N/A")</f>
        <v>#N/A</v>
      </c>
    </row>
    <row r="255">
      <c r="A255" s="4"/>
      <c r="B255" s="4"/>
      <c r="C255" s="4" t="s">
        <v>1904</v>
      </c>
      <c r="D255" s="8" t="str">
        <f t="shared" si="1"/>
        <v>{"valorA":"ar condicionado","valorB":84}</v>
      </c>
      <c r="E255" s="8" t="str">
        <f t="shared" si="2"/>
        <v>ar condicionado</v>
      </c>
      <c r="F255" s="8"/>
      <c r="G255" s="15" t="str">
        <f t="shared" si="3"/>
        <v>84</v>
      </c>
      <c r="H255" s="9">
        <f t="shared" si="4"/>
        <v>84</v>
      </c>
      <c r="I255" s="6" t="str">
        <f>IFERROR(__xludf.DUMMYFUNCTION("MAX(FILTER($H$2:$H501,$E$2:$E501=F255))"),"#N/A")</f>
        <v>#N/A</v>
      </c>
    </row>
    <row r="256">
      <c r="A256" s="4"/>
      <c r="B256" s="4"/>
      <c r="C256" s="4" t="s">
        <v>1906</v>
      </c>
      <c r="D256" s="8" t="str">
        <f t="shared" si="1"/>
        <v>{"valorA":"ar condicionado","valorB":85}</v>
      </c>
      <c r="E256" s="8" t="str">
        <f t="shared" si="2"/>
        <v>ar condicionado</v>
      </c>
      <c r="F256" s="8"/>
      <c r="G256" s="15" t="str">
        <f t="shared" si="3"/>
        <v>85</v>
      </c>
      <c r="H256" s="9">
        <f t="shared" si="4"/>
        <v>85</v>
      </c>
      <c r="I256" s="6" t="str">
        <f>IFERROR(__xludf.DUMMYFUNCTION("MAX(FILTER($H$2:$H501,$E$2:$E501=F256))"),"#N/A")</f>
        <v>#N/A</v>
      </c>
    </row>
    <row r="257">
      <c r="A257" s="4"/>
      <c r="B257" s="4"/>
      <c r="C257" s="4" t="s">
        <v>1928</v>
      </c>
      <c r="D257" s="8" t="str">
        <f t="shared" si="1"/>
        <v>{"valorA":"microondas","valorB":86}</v>
      </c>
      <c r="E257" s="8" t="str">
        <f t="shared" si="2"/>
        <v>microondas</v>
      </c>
      <c r="F257" s="8"/>
      <c r="G257" s="15" t="str">
        <f t="shared" si="3"/>
        <v>86</v>
      </c>
      <c r="H257" s="9">
        <f t="shared" si="4"/>
        <v>86</v>
      </c>
      <c r="I257" s="6" t="str">
        <f>IFERROR(__xludf.DUMMYFUNCTION("MAX(FILTER($H$2:$H501,$E$2:$E501=F257))"),"#N/A")</f>
        <v>#N/A</v>
      </c>
    </row>
    <row r="258">
      <c r="A258" s="4"/>
      <c r="B258" s="4"/>
      <c r="C258" s="4" t="s">
        <v>1908</v>
      </c>
      <c r="D258" s="8" t="str">
        <f t="shared" si="1"/>
        <v>{"valorA":"ar condicionado","valorB":86}</v>
      </c>
      <c r="E258" s="8" t="str">
        <f t="shared" si="2"/>
        <v>ar condicionado</v>
      </c>
      <c r="F258" s="8"/>
      <c r="G258" s="15" t="str">
        <f t="shared" si="3"/>
        <v>86</v>
      </c>
      <c r="H258" s="9">
        <f t="shared" si="4"/>
        <v>86</v>
      </c>
      <c r="I258" s="6" t="str">
        <f>IFERROR(__xludf.DUMMYFUNCTION("MAX(FILTER($H$2:$H501,$E$2:$E501=F258))"),"#N/A")</f>
        <v>#N/A</v>
      </c>
    </row>
    <row r="259">
      <c r="A259" s="4"/>
      <c r="B259" s="4"/>
      <c r="C259" s="4" t="s">
        <v>1913</v>
      </c>
      <c r="D259" s="8" t="str">
        <f t="shared" si="1"/>
        <v>{"valorA":"freezer","valorB":86}</v>
      </c>
      <c r="E259" s="8" t="str">
        <f t="shared" si="2"/>
        <v>freezer</v>
      </c>
      <c r="F259" s="8"/>
      <c r="G259" s="15" t="str">
        <f t="shared" si="3"/>
        <v>86</v>
      </c>
      <c r="H259" s="9">
        <f t="shared" si="4"/>
        <v>86</v>
      </c>
      <c r="I259" s="6" t="str">
        <f>IFERROR(__xludf.DUMMYFUNCTION("MAX(FILTER($H$2:$H501,$E$2:$E501=F259))"),"#N/A")</f>
        <v>#N/A</v>
      </c>
    </row>
    <row r="260">
      <c r="A260" s="4"/>
      <c r="B260" s="4"/>
      <c r="C260" s="4" t="s">
        <v>1914</v>
      </c>
      <c r="D260" s="8" t="str">
        <f t="shared" si="1"/>
        <v>{"valorA":"freezer","valorB":87}</v>
      </c>
      <c r="E260" s="8" t="str">
        <f t="shared" si="2"/>
        <v>freezer</v>
      </c>
      <c r="F260" s="8"/>
      <c r="G260" s="15" t="str">
        <f t="shared" si="3"/>
        <v>87</v>
      </c>
      <c r="H260" s="9">
        <f t="shared" si="4"/>
        <v>87</v>
      </c>
      <c r="I260" s="6" t="str">
        <f>IFERROR(__xludf.DUMMYFUNCTION("MAX(FILTER($H$2:$H501,$E$2:$E501=F260))"),"#N/A")</f>
        <v>#N/A</v>
      </c>
    </row>
    <row r="261">
      <c r="A261" s="4"/>
      <c r="B261" s="4"/>
      <c r="C261" s="4" t="s">
        <v>1930</v>
      </c>
      <c r="D261" s="8" t="str">
        <f t="shared" si="1"/>
        <v>{"valorA":"microondas","valorB":87}</v>
      </c>
      <c r="E261" s="8" t="str">
        <f t="shared" si="2"/>
        <v>microondas</v>
      </c>
      <c r="F261" s="8"/>
      <c r="G261" s="15" t="str">
        <f t="shared" si="3"/>
        <v>87</v>
      </c>
      <c r="H261" s="9">
        <f t="shared" si="4"/>
        <v>87</v>
      </c>
      <c r="I261" s="6" t="str">
        <f>IFERROR(__xludf.DUMMYFUNCTION("MAX(FILTER($H$2:$H501,$E$2:$E501=F261))"),"#N/A")</f>
        <v>#N/A</v>
      </c>
    </row>
    <row r="262">
      <c r="A262" s="4"/>
      <c r="B262" s="4"/>
      <c r="C262" s="4" t="s">
        <v>1909</v>
      </c>
      <c r="D262" s="8" t="str">
        <f t="shared" si="1"/>
        <v>{"valorA":"ar condicionado","valorB":87}</v>
      </c>
      <c r="E262" s="8" t="str">
        <f t="shared" si="2"/>
        <v>ar condicionado</v>
      </c>
      <c r="F262" s="8"/>
      <c r="G262" s="15" t="str">
        <f t="shared" si="3"/>
        <v>87</v>
      </c>
      <c r="H262" s="9">
        <f t="shared" si="4"/>
        <v>87</v>
      </c>
      <c r="I262" s="6" t="str">
        <f>IFERROR(__xludf.DUMMYFUNCTION("MAX(FILTER($H$2:$H501,$E$2:$E501=F262))"),"#N/A")</f>
        <v>#N/A</v>
      </c>
    </row>
    <row r="263">
      <c r="A263" s="4"/>
      <c r="B263" s="4"/>
      <c r="C263" s="4" t="s">
        <v>1915</v>
      </c>
      <c r="D263" s="8" t="str">
        <f t="shared" si="1"/>
        <v>{"valorA":"ar condicionado","valorB":88}</v>
      </c>
      <c r="E263" s="8" t="str">
        <f t="shared" si="2"/>
        <v>ar condicionado</v>
      </c>
      <c r="F263" s="8"/>
      <c r="G263" s="15" t="str">
        <f t="shared" si="3"/>
        <v>88</v>
      </c>
      <c r="H263" s="9">
        <f t="shared" si="4"/>
        <v>88</v>
      </c>
      <c r="I263" s="6" t="str">
        <f>IFERROR(__xludf.DUMMYFUNCTION("MAX(FILTER($H$2:$H501,$E$2:$E501=F263))"),"#N/A")</f>
        <v>#N/A</v>
      </c>
    </row>
    <row r="264">
      <c r="A264" s="4"/>
      <c r="B264" s="4"/>
      <c r="C264" s="4" t="s">
        <v>1916</v>
      </c>
      <c r="D264" s="8" t="str">
        <f t="shared" si="1"/>
        <v>{"valorA":"freezer","valorB":88}</v>
      </c>
      <c r="E264" s="8" t="str">
        <f t="shared" si="2"/>
        <v>freezer</v>
      </c>
      <c r="F264" s="8"/>
      <c r="G264" s="15" t="str">
        <f t="shared" si="3"/>
        <v>88</v>
      </c>
      <c r="H264" s="9">
        <f t="shared" si="4"/>
        <v>88</v>
      </c>
      <c r="I264" s="6" t="str">
        <f>IFERROR(__xludf.DUMMYFUNCTION("MAX(FILTER($H$2:$H501,$E$2:$E501=F264))"),"#N/A")</f>
        <v>#N/A</v>
      </c>
    </row>
    <row r="265">
      <c r="A265" s="4"/>
      <c r="B265" s="4"/>
      <c r="C265" s="4" t="s">
        <v>1932</v>
      </c>
      <c r="D265" s="8" t="str">
        <f t="shared" si="1"/>
        <v>{"valorA":"microondas","valorB":88}</v>
      </c>
      <c r="E265" s="8" t="str">
        <f t="shared" si="2"/>
        <v>microondas</v>
      </c>
      <c r="F265" s="8"/>
      <c r="G265" s="15" t="str">
        <f t="shared" si="3"/>
        <v>88</v>
      </c>
      <c r="H265" s="9">
        <f t="shared" si="4"/>
        <v>88</v>
      </c>
      <c r="I265" s="6" t="str">
        <f>IFERROR(__xludf.DUMMYFUNCTION("MAX(FILTER($H$2:$H501,$E$2:$E501=F265))"),"#N/A")</f>
        <v>#N/A</v>
      </c>
    </row>
    <row r="266">
      <c r="A266" s="4"/>
      <c r="B266" s="4"/>
      <c r="C266" s="4" t="s">
        <v>1917</v>
      </c>
      <c r="D266" s="8" t="str">
        <f t="shared" si="1"/>
        <v>{"valorA":"freezer","valorB":89}</v>
      </c>
      <c r="E266" s="8" t="str">
        <f t="shared" si="2"/>
        <v>freezer</v>
      </c>
      <c r="F266" s="8"/>
      <c r="G266" s="15" t="str">
        <f t="shared" si="3"/>
        <v>89</v>
      </c>
      <c r="H266" s="9">
        <f t="shared" si="4"/>
        <v>89</v>
      </c>
      <c r="I266" s="6" t="str">
        <f>IFERROR(__xludf.DUMMYFUNCTION("MAX(FILTER($H$2:$H501,$E$2:$E501=F266))"),"#N/A")</f>
        <v>#N/A</v>
      </c>
    </row>
    <row r="267">
      <c r="A267" s="4"/>
      <c r="B267" s="4"/>
      <c r="C267" s="4" t="s">
        <v>1922</v>
      </c>
      <c r="D267" s="8" t="str">
        <f t="shared" si="1"/>
        <v>{"valorA":"ar condicionado","valorB":89}</v>
      </c>
      <c r="E267" s="8" t="str">
        <f t="shared" si="2"/>
        <v>ar condicionado</v>
      </c>
      <c r="F267" s="8"/>
      <c r="G267" s="15" t="str">
        <f t="shared" si="3"/>
        <v>89</v>
      </c>
      <c r="H267" s="9">
        <f t="shared" si="4"/>
        <v>89</v>
      </c>
      <c r="I267" s="6" t="str">
        <f>IFERROR(__xludf.DUMMYFUNCTION("MAX(FILTER($H$2:$H501,$E$2:$E501=F267))"),"#N/A")</f>
        <v>#N/A</v>
      </c>
    </row>
    <row r="268">
      <c r="A268" s="4"/>
      <c r="B268" s="4"/>
      <c r="C268" s="4" t="s">
        <v>1923</v>
      </c>
      <c r="D268" s="8" t="str">
        <f t="shared" si="1"/>
        <v>{"valorA":"ar condicionado","valorB":90}</v>
      </c>
      <c r="E268" s="8" t="str">
        <f t="shared" si="2"/>
        <v>ar condicionado</v>
      </c>
      <c r="F268" s="8"/>
      <c r="G268" s="15" t="str">
        <f t="shared" si="3"/>
        <v>90</v>
      </c>
      <c r="H268" s="9">
        <f t="shared" si="4"/>
        <v>90</v>
      </c>
      <c r="I268" s="6" t="str">
        <f>IFERROR(__xludf.DUMMYFUNCTION("MAX(FILTER($H$2:$H501,$E$2:$E501=F268))"),"#N/A")</f>
        <v>#N/A</v>
      </c>
    </row>
    <row r="269">
      <c r="A269" s="4"/>
      <c r="B269" s="4"/>
      <c r="C269" s="4" t="s">
        <v>1918</v>
      </c>
      <c r="D269" s="8" t="str">
        <f t="shared" si="1"/>
        <v>{"valorA":"freezer","valorB":90}</v>
      </c>
      <c r="E269" s="8" t="str">
        <f t="shared" si="2"/>
        <v>freezer</v>
      </c>
      <c r="F269" s="8"/>
      <c r="G269" s="15" t="str">
        <f t="shared" si="3"/>
        <v>90</v>
      </c>
      <c r="H269" s="9">
        <f t="shared" si="4"/>
        <v>90</v>
      </c>
      <c r="I269" s="6" t="str">
        <f>IFERROR(__xludf.DUMMYFUNCTION("MAX(FILTER($H$2:$H501,$E$2:$E501=F269))"),"#N/A")</f>
        <v>#N/A</v>
      </c>
    </row>
    <row r="270">
      <c r="A270" s="4"/>
      <c r="B270" s="4"/>
      <c r="C270" s="4" t="s">
        <v>1924</v>
      </c>
      <c r="D270" s="8" t="str">
        <f t="shared" si="1"/>
        <v>{"valorA":"ar condicionado","valorB":91}</v>
      </c>
      <c r="E270" s="8" t="str">
        <f t="shared" si="2"/>
        <v>ar condicionado</v>
      </c>
      <c r="F270" s="8"/>
      <c r="G270" s="15" t="str">
        <f t="shared" si="3"/>
        <v>91</v>
      </c>
      <c r="H270" s="9">
        <f t="shared" si="4"/>
        <v>91</v>
      </c>
      <c r="I270" s="6" t="str">
        <f>IFERROR(__xludf.DUMMYFUNCTION("MAX(FILTER($H$2:$H501,$E$2:$E501=F270))"),"#N/A")</f>
        <v>#N/A</v>
      </c>
    </row>
    <row r="271">
      <c r="A271" s="4"/>
      <c r="B271" s="4"/>
      <c r="C271" s="4" t="s">
        <v>1936</v>
      </c>
      <c r="D271" s="8" t="str">
        <f t="shared" si="1"/>
        <v>{"valorA":"microondas","valorB":89}</v>
      </c>
      <c r="E271" s="8" t="str">
        <f t="shared" si="2"/>
        <v>microondas</v>
      </c>
      <c r="F271" s="8"/>
      <c r="G271" s="15" t="str">
        <f t="shared" si="3"/>
        <v>89</v>
      </c>
      <c r="H271" s="9">
        <f t="shared" si="4"/>
        <v>89</v>
      </c>
      <c r="I271" s="6" t="str">
        <f>IFERROR(__xludf.DUMMYFUNCTION("MAX(FILTER($H$2:$H501,$E$2:$E501=F271))"),"#N/A")</f>
        <v>#N/A</v>
      </c>
    </row>
    <row r="272">
      <c r="A272" s="4"/>
      <c r="B272" s="4"/>
      <c r="C272" s="4" t="s">
        <v>1920</v>
      </c>
      <c r="D272" s="8" t="str">
        <f t="shared" si="1"/>
        <v>{"valorA":"freezer","valorB":91}</v>
      </c>
      <c r="E272" s="8" t="str">
        <f t="shared" si="2"/>
        <v>freezer</v>
      </c>
      <c r="F272" s="8"/>
      <c r="G272" s="15" t="str">
        <f t="shared" si="3"/>
        <v>91</v>
      </c>
      <c r="H272" s="9">
        <f t="shared" si="4"/>
        <v>91</v>
      </c>
      <c r="I272" s="6" t="str">
        <f>IFERROR(__xludf.DUMMYFUNCTION("MAX(FILTER($H$2:$H501,$E$2:$E501=F272))"),"#N/A")</f>
        <v>#N/A</v>
      </c>
    </row>
    <row r="273">
      <c r="A273" s="4"/>
      <c r="B273" s="4"/>
      <c r="C273" s="4" t="s">
        <v>1938</v>
      </c>
      <c r="D273" s="8" t="str">
        <f t="shared" si="1"/>
        <v>{"valorA":"microondas","valorB":90}</v>
      </c>
      <c r="E273" s="8" t="str">
        <f t="shared" si="2"/>
        <v>microondas</v>
      </c>
      <c r="F273" s="8"/>
      <c r="G273" s="15" t="str">
        <f t="shared" si="3"/>
        <v>90</v>
      </c>
      <c r="H273" s="9">
        <f t="shared" si="4"/>
        <v>90</v>
      </c>
      <c r="I273" s="6" t="str">
        <f>IFERROR(__xludf.DUMMYFUNCTION("MAX(FILTER($H$2:$H501,$E$2:$E501=F273))"),"#N/A")</f>
        <v>#N/A</v>
      </c>
    </row>
    <row r="274">
      <c r="A274" s="4"/>
      <c r="B274" s="4"/>
      <c r="C274" s="4" t="s">
        <v>1933</v>
      </c>
      <c r="D274" s="8" t="str">
        <f t="shared" si="1"/>
        <v>{"valorA":"ar condicionado","valorB":92}</v>
      </c>
      <c r="E274" s="8" t="str">
        <f t="shared" si="2"/>
        <v>ar condicionado</v>
      </c>
      <c r="F274" s="8"/>
      <c r="G274" s="15" t="str">
        <f t="shared" si="3"/>
        <v>92</v>
      </c>
      <c r="H274" s="9">
        <f t="shared" si="4"/>
        <v>92</v>
      </c>
      <c r="I274" s="6" t="str">
        <f>IFERROR(__xludf.DUMMYFUNCTION("MAX(FILTER($H$2:$H501,$E$2:$E501=F274))"),"#N/A")</f>
        <v>#N/A</v>
      </c>
    </row>
    <row r="275">
      <c r="A275" s="4"/>
      <c r="B275" s="4"/>
      <c r="C275" s="4" t="s">
        <v>1921</v>
      </c>
      <c r="D275" s="8" t="str">
        <f t="shared" si="1"/>
        <v>{"valorA":"freezer","valorB":92}</v>
      </c>
      <c r="E275" s="8" t="str">
        <f t="shared" si="2"/>
        <v>freezer</v>
      </c>
      <c r="F275" s="8"/>
      <c r="G275" s="15" t="str">
        <f t="shared" si="3"/>
        <v>92</v>
      </c>
      <c r="H275" s="9">
        <f t="shared" si="4"/>
        <v>92</v>
      </c>
      <c r="I275" s="6" t="str">
        <f>IFERROR(__xludf.DUMMYFUNCTION("MAX(FILTER($H$2:$H501,$E$2:$E501=F275))"),"#N/A")</f>
        <v>#N/A</v>
      </c>
    </row>
    <row r="276">
      <c r="A276" s="4"/>
      <c r="B276" s="4"/>
      <c r="C276" s="4" t="s">
        <v>1939</v>
      </c>
      <c r="D276" s="8" t="str">
        <f t="shared" si="1"/>
        <v>{"valorA":"microondas","valorB":91}</v>
      </c>
      <c r="E276" s="8" t="str">
        <f t="shared" si="2"/>
        <v>microondas</v>
      </c>
      <c r="F276" s="8"/>
      <c r="G276" s="15" t="str">
        <f t="shared" si="3"/>
        <v>91</v>
      </c>
      <c r="H276" s="9">
        <f t="shared" si="4"/>
        <v>91</v>
      </c>
      <c r="I276" s="6" t="str">
        <f>IFERROR(__xludf.DUMMYFUNCTION("MAX(FILTER($H$2:$H501,$E$2:$E501=F276))"),"#N/A")</f>
        <v>#N/A</v>
      </c>
    </row>
    <row r="277">
      <c r="A277" s="4"/>
      <c r="B277" s="4"/>
      <c r="C277" s="4" t="s">
        <v>1926</v>
      </c>
      <c r="D277" s="8" t="str">
        <f t="shared" si="1"/>
        <v>{"valorA":"freezer","valorB":93}</v>
      </c>
      <c r="E277" s="8" t="str">
        <f t="shared" si="2"/>
        <v>freezer</v>
      </c>
      <c r="F277" s="8"/>
      <c r="G277" s="15" t="str">
        <f t="shared" si="3"/>
        <v>93</v>
      </c>
      <c r="H277" s="9">
        <f t="shared" si="4"/>
        <v>93</v>
      </c>
      <c r="I277" s="6" t="str">
        <f>IFERROR(__xludf.DUMMYFUNCTION("MAX(FILTER($H$2:$H501,$E$2:$E501=F277))"),"#N/A")</f>
        <v>#N/A</v>
      </c>
    </row>
    <row r="278">
      <c r="A278" s="4"/>
      <c r="B278" s="4"/>
      <c r="C278" s="4" t="s">
        <v>1934</v>
      </c>
      <c r="D278" s="8" t="str">
        <f t="shared" si="1"/>
        <v>{"valorA":"ar condicionado","valorB":93}</v>
      </c>
      <c r="E278" s="8" t="str">
        <f t="shared" si="2"/>
        <v>ar condicionado</v>
      </c>
      <c r="F278" s="8"/>
      <c r="G278" s="15" t="str">
        <f t="shared" si="3"/>
        <v>93</v>
      </c>
      <c r="H278" s="9">
        <f t="shared" si="4"/>
        <v>93</v>
      </c>
      <c r="I278" s="6" t="str">
        <f>IFERROR(__xludf.DUMMYFUNCTION("MAX(FILTER($H$2:$H501,$E$2:$E501=F278))"),"#N/A")</f>
        <v>#N/A</v>
      </c>
    </row>
    <row r="279">
      <c r="A279" s="4"/>
      <c r="B279" s="4"/>
      <c r="C279" s="4" t="s">
        <v>1942</v>
      </c>
      <c r="D279" s="8" t="str">
        <f t="shared" si="1"/>
        <v>{"valorA":"microondas","valorB":92}</v>
      </c>
      <c r="E279" s="8" t="str">
        <f t="shared" si="2"/>
        <v>microondas</v>
      </c>
      <c r="F279" s="8"/>
      <c r="G279" s="15" t="str">
        <f t="shared" si="3"/>
        <v>92</v>
      </c>
      <c r="H279" s="9">
        <f t="shared" si="4"/>
        <v>92</v>
      </c>
      <c r="I279" s="6" t="str">
        <f>IFERROR(__xludf.DUMMYFUNCTION("MAX(FILTER($H$2:$H501,$E$2:$E501=F279))"),"#N/A")</f>
        <v>#N/A</v>
      </c>
    </row>
    <row r="280">
      <c r="A280" s="4"/>
      <c r="B280" s="4"/>
      <c r="C280" s="4" t="s">
        <v>1927</v>
      </c>
      <c r="D280" s="8" t="str">
        <f t="shared" si="1"/>
        <v>{"valorA":"freezer","valorB":94}</v>
      </c>
      <c r="E280" s="8" t="str">
        <f t="shared" si="2"/>
        <v>freezer</v>
      </c>
      <c r="F280" s="8"/>
      <c r="G280" s="15" t="str">
        <f t="shared" si="3"/>
        <v>94</v>
      </c>
      <c r="H280" s="9">
        <f t="shared" si="4"/>
        <v>94</v>
      </c>
      <c r="I280" s="6" t="str">
        <f>IFERROR(__xludf.DUMMYFUNCTION("MAX(FILTER($H$2:$H501,$E$2:$E501=F280))"),"#N/A")</f>
        <v>#N/A</v>
      </c>
    </row>
    <row r="281">
      <c r="A281" s="4"/>
      <c r="B281" s="4"/>
      <c r="C281" s="4" t="s">
        <v>1943</v>
      </c>
      <c r="D281" s="8" t="str">
        <f t="shared" si="1"/>
        <v>{"valorA":"microondas","valorB":93}</v>
      </c>
      <c r="E281" s="8" t="str">
        <f t="shared" si="2"/>
        <v>microondas</v>
      </c>
      <c r="F281" s="8"/>
      <c r="G281" s="15" t="str">
        <f t="shared" si="3"/>
        <v>93</v>
      </c>
      <c r="H281" s="9">
        <f t="shared" si="4"/>
        <v>93</v>
      </c>
      <c r="I281" s="6" t="str">
        <f>IFERROR(__xludf.DUMMYFUNCTION("MAX(FILTER($H$2:$H501,$E$2:$E501=F281))"),"#N/A")</f>
        <v>#N/A</v>
      </c>
    </row>
    <row r="282">
      <c r="A282" s="4"/>
      <c r="B282" s="4"/>
      <c r="C282" s="4" t="s">
        <v>1929</v>
      </c>
      <c r="D282" s="8" t="str">
        <f t="shared" si="1"/>
        <v>{"valorA":"freezer","valorB":95}</v>
      </c>
      <c r="E282" s="8" t="str">
        <f t="shared" si="2"/>
        <v>freezer</v>
      </c>
      <c r="F282" s="8"/>
      <c r="G282" s="15" t="str">
        <f t="shared" si="3"/>
        <v>95</v>
      </c>
      <c r="H282" s="9">
        <f t="shared" si="4"/>
        <v>95</v>
      </c>
      <c r="I282" s="6" t="str">
        <f>IFERROR(__xludf.DUMMYFUNCTION("MAX(FILTER($H$2:$H501,$E$2:$E501=F282))"),"#N/A")</f>
        <v>#N/A</v>
      </c>
    </row>
    <row r="283">
      <c r="A283" s="4"/>
      <c r="B283" s="4"/>
      <c r="C283" s="4" t="s">
        <v>1937</v>
      </c>
      <c r="D283" s="8" t="str">
        <f t="shared" si="1"/>
        <v>{"valorA":"ar condicionado","valorB":94}</v>
      </c>
      <c r="E283" s="8" t="str">
        <f t="shared" si="2"/>
        <v>ar condicionado</v>
      </c>
      <c r="F283" s="8"/>
      <c r="G283" s="15" t="str">
        <f t="shared" si="3"/>
        <v>94</v>
      </c>
      <c r="H283" s="9">
        <f t="shared" si="4"/>
        <v>94</v>
      </c>
      <c r="I283" s="6" t="str">
        <f>IFERROR(__xludf.DUMMYFUNCTION("MAX(FILTER($H$2:$H501,$E$2:$E501=F283))"),"#N/A")</f>
        <v>#N/A</v>
      </c>
    </row>
    <row r="284">
      <c r="A284" s="4"/>
      <c r="B284" s="4"/>
      <c r="C284" s="4" t="s">
        <v>1940</v>
      </c>
      <c r="D284" s="8" t="str">
        <f t="shared" si="1"/>
        <v>{"valorA":"ar condicionado","valorB":95}</v>
      </c>
      <c r="E284" s="8" t="str">
        <f t="shared" si="2"/>
        <v>ar condicionado</v>
      </c>
      <c r="F284" s="8"/>
      <c r="G284" s="15" t="str">
        <f t="shared" si="3"/>
        <v>95</v>
      </c>
      <c r="H284" s="9">
        <f t="shared" si="4"/>
        <v>95</v>
      </c>
      <c r="I284" s="6" t="str">
        <f>IFERROR(__xludf.DUMMYFUNCTION("MAX(FILTER($H$2:$H501,$E$2:$E501=F284))"),"#N/A")</f>
        <v>#N/A</v>
      </c>
    </row>
    <row r="285">
      <c r="A285" s="4"/>
      <c r="B285" s="4"/>
      <c r="C285" s="4" t="s">
        <v>1941</v>
      </c>
      <c r="D285" s="8" t="str">
        <f t="shared" si="1"/>
        <v>{"valorA":"ar condicionado","valorB":96}</v>
      </c>
      <c r="E285" s="8" t="str">
        <f t="shared" si="2"/>
        <v>ar condicionado</v>
      </c>
      <c r="F285" s="8"/>
      <c r="G285" s="15" t="str">
        <f t="shared" si="3"/>
        <v>96</v>
      </c>
      <c r="H285" s="9">
        <f t="shared" si="4"/>
        <v>96</v>
      </c>
      <c r="I285" s="6" t="str">
        <f>IFERROR(__xludf.DUMMYFUNCTION("MAX(FILTER($H$2:$H501,$E$2:$E501=F285))"),"#N/A")</f>
        <v>#N/A</v>
      </c>
    </row>
    <row r="286">
      <c r="A286" s="4"/>
      <c r="B286" s="4"/>
      <c r="C286" s="4" t="s">
        <v>1944</v>
      </c>
      <c r="D286" s="8" t="str">
        <f t="shared" si="1"/>
        <v>{"valorA":"ar condicionado","valorB":97}</v>
      </c>
      <c r="E286" s="8" t="str">
        <f t="shared" si="2"/>
        <v>ar condicionado</v>
      </c>
      <c r="F286" s="8"/>
      <c r="G286" s="15" t="str">
        <f t="shared" si="3"/>
        <v>97</v>
      </c>
      <c r="H286" s="9">
        <f t="shared" si="4"/>
        <v>97</v>
      </c>
      <c r="I286" s="6" t="str">
        <f>IFERROR(__xludf.DUMMYFUNCTION("MAX(FILTER($H$2:$H501,$E$2:$E501=F286))"),"#N/A")</f>
        <v>#N/A</v>
      </c>
    </row>
    <row r="287">
      <c r="A287" s="4"/>
      <c r="B287" s="4"/>
      <c r="C287" s="4" t="s">
        <v>1952</v>
      </c>
      <c r="D287" s="8" t="str">
        <f t="shared" si="1"/>
        <v>{"valorA":"microondas","valorB":94}</v>
      </c>
      <c r="E287" s="8" t="str">
        <f t="shared" si="2"/>
        <v>microondas</v>
      </c>
      <c r="F287" s="8"/>
      <c r="G287" s="15" t="str">
        <f t="shared" si="3"/>
        <v>94</v>
      </c>
      <c r="H287" s="9">
        <f t="shared" si="4"/>
        <v>94</v>
      </c>
      <c r="I287" s="6" t="str">
        <f>IFERROR(__xludf.DUMMYFUNCTION("MAX(FILTER($H$2:$H501,$E$2:$E501=F287))"),"#N/A")</f>
        <v>#N/A</v>
      </c>
    </row>
    <row r="288">
      <c r="A288" s="4"/>
      <c r="B288" s="4"/>
      <c r="C288" s="4" t="s">
        <v>1953</v>
      </c>
      <c r="D288" s="8" t="str">
        <f t="shared" si="1"/>
        <v>{"valorA":"microondas","valorB":95}</v>
      </c>
      <c r="E288" s="8" t="str">
        <f t="shared" si="2"/>
        <v>microondas</v>
      </c>
      <c r="F288" s="8"/>
      <c r="G288" s="15" t="str">
        <f t="shared" si="3"/>
        <v>95</v>
      </c>
      <c r="H288" s="9">
        <f t="shared" si="4"/>
        <v>95</v>
      </c>
      <c r="I288" s="6" t="str">
        <f>IFERROR(__xludf.DUMMYFUNCTION("MAX(FILTER($H$2:$H501,$E$2:$E501=F288))"),"#N/A")</f>
        <v>#N/A</v>
      </c>
    </row>
    <row r="289">
      <c r="A289" s="4"/>
      <c r="B289" s="4"/>
      <c r="C289" s="4" t="s">
        <v>1956</v>
      </c>
      <c r="D289" s="8" t="str">
        <f t="shared" si="1"/>
        <v>{"valorA":"microondas","valorB":96}</v>
      </c>
      <c r="E289" s="8" t="str">
        <f t="shared" si="2"/>
        <v>microondas</v>
      </c>
      <c r="F289" s="8"/>
      <c r="G289" s="15" t="str">
        <f t="shared" si="3"/>
        <v>96</v>
      </c>
      <c r="H289" s="9">
        <f t="shared" si="4"/>
        <v>96</v>
      </c>
      <c r="I289" s="6" t="str">
        <f>IFERROR(__xludf.DUMMYFUNCTION("MAX(FILTER($H$2:$H501,$E$2:$E501=F289))"),"#N/A")</f>
        <v>#N/A</v>
      </c>
    </row>
    <row r="290">
      <c r="A290" s="4"/>
      <c r="B290" s="4"/>
      <c r="C290" s="4" t="s">
        <v>1931</v>
      </c>
      <c r="D290" s="8" t="str">
        <f t="shared" si="1"/>
        <v>{"valorA":"freezer","valorB":96}</v>
      </c>
      <c r="E290" s="8" t="str">
        <f t="shared" si="2"/>
        <v>freezer</v>
      </c>
      <c r="F290" s="8"/>
      <c r="G290" s="15" t="str">
        <f t="shared" si="3"/>
        <v>96</v>
      </c>
      <c r="H290" s="9">
        <f t="shared" si="4"/>
        <v>96</v>
      </c>
      <c r="I290" s="6" t="str">
        <f>IFERROR(__xludf.DUMMYFUNCTION("MAX(FILTER($H$2:$H501,$E$2:$E501=F290))"),"#N/A")</f>
        <v>#N/A</v>
      </c>
    </row>
    <row r="291">
      <c r="A291" s="4"/>
      <c r="B291" s="4"/>
      <c r="C291" s="4" t="s">
        <v>1960</v>
      </c>
      <c r="D291" s="8" t="str">
        <f t="shared" si="1"/>
        <v>{"valorA":"microondas","valorB":97}</v>
      </c>
      <c r="E291" s="8" t="str">
        <f t="shared" si="2"/>
        <v>microondas</v>
      </c>
      <c r="F291" s="8"/>
      <c r="G291" s="15" t="str">
        <f t="shared" si="3"/>
        <v>97</v>
      </c>
      <c r="H291" s="9">
        <f t="shared" si="4"/>
        <v>97</v>
      </c>
      <c r="I291" s="6" t="str">
        <f>IFERROR(__xludf.DUMMYFUNCTION("MAX(FILTER($H$2:$H501,$E$2:$E501=F291))"),"#N/A")</f>
        <v>#N/A</v>
      </c>
    </row>
    <row r="292">
      <c r="A292" s="4"/>
      <c r="B292" s="4"/>
      <c r="C292" s="4" t="s">
        <v>1961</v>
      </c>
      <c r="D292" s="8" t="str">
        <f t="shared" si="1"/>
        <v>{"valorA":"microondas","valorB":98}</v>
      </c>
      <c r="E292" s="8" t="str">
        <f t="shared" si="2"/>
        <v>microondas</v>
      </c>
      <c r="F292" s="8"/>
      <c r="G292" s="15" t="str">
        <f t="shared" si="3"/>
        <v>98</v>
      </c>
      <c r="H292" s="9">
        <f t="shared" si="4"/>
        <v>98</v>
      </c>
      <c r="I292" s="6" t="str">
        <f>IFERROR(__xludf.DUMMYFUNCTION("MAX(FILTER($H$2:$H501,$E$2:$E501=F292))"),"#N/A")</f>
        <v>#N/A</v>
      </c>
    </row>
    <row r="293">
      <c r="A293" s="4"/>
      <c r="B293" s="4"/>
      <c r="C293" s="4" t="s">
        <v>1948</v>
      </c>
      <c r="D293" s="8" t="str">
        <f t="shared" si="1"/>
        <v>{"valorA":"ar condicionado","valorB":98}</v>
      </c>
      <c r="E293" s="8" t="str">
        <f t="shared" si="2"/>
        <v>ar condicionado</v>
      </c>
      <c r="F293" s="8"/>
      <c r="G293" s="15" t="str">
        <f t="shared" si="3"/>
        <v>98</v>
      </c>
      <c r="H293" s="9">
        <f t="shared" si="4"/>
        <v>98</v>
      </c>
      <c r="I293" s="6" t="str">
        <f>IFERROR(__xludf.DUMMYFUNCTION("MAX(FILTER($H$2:$H501,$E$2:$E501=F293))"),"#N/A")</f>
        <v>#N/A</v>
      </c>
    </row>
    <row r="294">
      <c r="A294" s="4"/>
      <c r="B294" s="4"/>
      <c r="C294" s="4" t="s">
        <v>1935</v>
      </c>
      <c r="D294" s="8" t="str">
        <f t="shared" si="1"/>
        <v>{"valorA":"freezer","valorB":97}</v>
      </c>
      <c r="E294" s="8" t="str">
        <f t="shared" si="2"/>
        <v>freezer</v>
      </c>
      <c r="F294" s="8"/>
      <c r="G294" s="15" t="str">
        <f t="shared" si="3"/>
        <v>97</v>
      </c>
      <c r="H294" s="9">
        <f t="shared" si="4"/>
        <v>97</v>
      </c>
      <c r="I294" s="6" t="str">
        <f>IFERROR(__xludf.DUMMYFUNCTION("MAX(FILTER($H$2:$H501,$E$2:$E501=F294))"),"#N/A")</f>
        <v>#N/A</v>
      </c>
    </row>
    <row r="295">
      <c r="A295" s="4"/>
      <c r="B295" s="4"/>
      <c r="C295" s="4" t="s">
        <v>1949</v>
      </c>
      <c r="D295" s="8" t="str">
        <f t="shared" si="1"/>
        <v>{"valorA":"ar condicionado","valorB":99}</v>
      </c>
      <c r="E295" s="8" t="str">
        <f t="shared" si="2"/>
        <v>ar condicionado</v>
      </c>
      <c r="F295" s="8"/>
      <c r="G295" s="15" t="str">
        <f t="shared" si="3"/>
        <v>99</v>
      </c>
      <c r="H295" s="9">
        <f t="shared" si="4"/>
        <v>99</v>
      </c>
      <c r="I295" s="6" t="str">
        <f>IFERROR(__xludf.DUMMYFUNCTION("MAX(FILTER($H$2:$H501,$E$2:$E501=F295))"),"#N/A")</f>
        <v>#N/A</v>
      </c>
    </row>
    <row r="296">
      <c r="A296" s="4"/>
      <c r="B296" s="4"/>
      <c r="C296" s="4" t="s">
        <v>1945</v>
      </c>
      <c r="D296" s="8" t="str">
        <f t="shared" si="1"/>
        <v>{"valorA":"freezer","valorB":98}</v>
      </c>
      <c r="E296" s="8" t="str">
        <f t="shared" si="2"/>
        <v>freezer</v>
      </c>
      <c r="F296" s="8"/>
      <c r="G296" s="15" t="str">
        <f t="shared" si="3"/>
        <v>98</v>
      </c>
      <c r="H296" s="9">
        <f t="shared" si="4"/>
        <v>98</v>
      </c>
      <c r="I296" s="6" t="str">
        <f>IFERROR(__xludf.DUMMYFUNCTION("MAX(FILTER($H$2:$H501,$E$2:$E501=F296))"),"#N/A")</f>
        <v>#N/A</v>
      </c>
    </row>
    <row r="297">
      <c r="A297" s="4"/>
      <c r="B297" s="4"/>
      <c r="C297" s="4" t="s">
        <v>1950</v>
      </c>
      <c r="D297" s="8" t="str">
        <f t="shared" si="1"/>
        <v>{"valorA":"ar condicionado","valorB":100}</v>
      </c>
      <c r="E297" s="8" t="str">
        <f t="shared" si="2"/>
        <v>ar condicionado</v>
      </c>
      <c r="F297" s="8"/>
      <c r="G297" s="15" t="str">
        <f t="shared" si="3"/>
        <v>100</v>
      </c>
      <c r="H297" s="9">
        <f t="shared" si="4"/>
        <v>100</v>
      </c>
      <c r="I297" s="6" t="str">
        <f>IFERROR(__xludf.DUMMYFUNCTION("MAX(FILTER($H$2:$H501,$E$2:$E501=F297))"),"#N/A")</f>
        <v>#N/A</v>
      </c>
    </row>
    <row r="298">
      <c r="A298" s="4"/>
      <c r="B298" s="4"/>
      <c r="C298" s="4" t="s">
        <v>1951</v>
      </c>
      <c r="D298" s="8" t="str">
        <f t="shared" si="1"/>
        <v>{"valorA":"ar condicionado","valorB":101}</v>
      </c>
      <c r="E298" s="8" t="str">
        <f t="shared" si="2"/>
        <v>ar condicionado</v>
      </c>
      <c r="F298" s="8"/>
      <c r="G298" s="15" t="str">
        <f t="shared" si="3"/>
        <v>101</v>
      </c>
      <c r="H298" s="9">
        <f t="shared" si="4"/>
        <v>101</v>
      </c>
      <c r="I298" s="6" t="str">
        <f>IFERROR(__xludf.DUMMYFUNCTION("MAX(FILTER($H$2:$H501,$E$2:$E501=F298))"),"#N/A")</f>
        <v>#N/A</v>
      </c>
    </row>
    <row r="299">
      <c r="A299" s="4"/>
      <c r="B299" s="4"/>
      <c r="C299" s="4" t="s">
        <v>1965</v>
      </c>
      <c r="D299" s="8" t="str">
        <f t="shared" si="1"/>
        <v>{"valorA":"microondas","valorB":99}</v>
      </c>
      <c r="E299" s="8" t="str">
        <f t="shared" si="2"/>
        <v>microondas</v>
      </c>
      <c r="F299" s="8"/>
      <c r="G299" s="15" t="str">
        <f t="shared" si="3"/>
        <v>99</v>
      </c>
      <c r="H299" s="9">
        <f t="shared" si="4"/>
        <v>99</v>
      </c>
      <c r="I299" s="6" t="str">
        <f>IFERROR(__xludf.DUMMYFUNCTION("MAX(FILTER($H$2:$H501,$E$2:$E501=F299))"),"#N/A")</f>
        <v>#N/A</v>
      </c>
    </row>
    <row r="300">
      <c r="A300" s="4"/>
      <c r="B300" s="4"/>
      <c r="C300" s="4" t="s">
        <v>1967</v>
      </c>
      <c r="D300" s="8" t="str">
        <f t="shared" si="1"/>
        <v>{"valorA":"microondas","valorB":100}</v>
      </c>
      <c r="E300" s="8" t="str">
        <f t="shared" si="2"/>
        <v>microondas</v>
      </c>
      <c r="F300" s="8"/>
      <c r="G300" s="15" t="str">
        <f t="shared" si="3"/>
        <v>100</v>
      </c>
      <c r="H300" s="9">
        <f t="shared" si="4"/>
        <v>100</v>
      </c>
      <c r="I300" s="6" t="str">
        <f>IFERROR(__xludf.DUMMYFUNCTION("MAX(FILTER($H$2:$H501,$E$2:$E501=F300))"),"#N/A")</f>
        <v>#N/A</v>
      </c>
    </row>
    <row r="301">
      <c r="A301" s="4"/>
      <c r="B301" s="4"/>
      <c r="C301" s="4" t="s">
        <v>1946</v>
      </c>
      <c r="D301" s="8" t="str">
        <f t="shared" si="1"/>
        <v>{"valorA":"freezer","valorB":99}</v>
      </c>
      <c r="E301" s="8" t="str">
        <f t="shared" si="2"/>
        <v>freezer</v>
      </c>
      <c r="F301" s="8"/>
      <c r="G301" s="15" t="str">
        <f t="shared" si="3"/>
        <v>99</v>
      </c>
      <c r="H301" s="9">
        <f t="shared" si="4"/>
        <v>99</v>
      </c>
      <c r="I301" s="6" t="str">
        <f>IFERROR(__xludf.DUMMYFUNCTION("MAX(FILTER($H$2:$H501,$E$2:$E501=F301))"),"#N/A")</f>
        <v>#N/A</v>
      </c>
    </row>
    <row r="302">
      <c r="A302" s="4"/>
      <c r="B302" s="4"/>
      <c r="C302" s="4" t="s">
        <v>1957</v>
      </c>
      <c r="D302" s="8" t="str">
        <f t="shared" si="1"/>
        <v>{"valorA":"ar condicionado","valorB":102}</v>
      </c>
      <c r="E302" s="8" t="str">
        <f t="shared" si="2"/>
        <v>ar condicionado</v>
      </c>
      <c r="F302" s="8"/>
      <c r="G302" s="15" t="str">
        <f t="shared" si="3"/>
        <v>102</v>
      </c>
      <c r="H302" s="9">
        <f t="shared" si="4"/>
        <v>102</v>
      </c>
      <c r="I302" s="6" t="str">
        <f>IFERROR(__xludf.DUMMYFUNCTION("MAX(FILTER($H$2:$H501,$E$2:$E501=F302))"),"#N/A")</f>
        <v>#N/A</v>
      </c>
    </row>
    <row r="303">
      <c r="A303" s="4"/>
      <c r="B303" s="4"/>
      <c r="C303" s="4" t="s">
        <v>1969</v>
      </c>
      <c r="D303" s="8" t="str">
        <f t="shared" si="1"/>
        <v>{"valorA":"microondas","valorB":101}</v>
      </c>
      <c r="E303" s="8" t="str">
        <f t="shared" si="2"/>
        <v>microondas</v>
      </c>
      <c r="F303" s="8"/>
      <c r="G303" s="15" t="str">
        <f t="shared" si="3"/>
        <v>101</v>
      </c>
      <c r="H303" s="9">
        <f t="shared" si="4"/>
        <v>101</v>
      </c>
      <c r="I303" s="6" t="str">
        <f>IFERROR(__xludf.DUMMYFUNCTION("MAX(FILTER($H$2:$H501,$E$2:$E501=F303))"),"#N/A")</f>
        <v>#N/A</v>
      </c>
    </row>
    <row r="304">
      <c r="A304" s="4"/>
      <c r="B304" s="4"/>
      <c r="C304" s="4" t="s">
        <v>1947</v>
      </c>
      <c r="D304" s="8" t="str">
        <f t="shared" si="1"/>
        <v>{"valorA":"freezer","valorB":100}</v>
      </c>
      <c r="E304" s="8" t="str">
        <f t="shared" si="2"/>
        <v>freezer</v>
      </c>
      <c r="F304" s="8"/>
      <c r="G304" s="15" t="str">
        <f t="shared" si="3"/>
        <v>100</v>
      </c>
      <c r="H304" s="9">
        <f t="shared" si="4"/>
        <v>100</v>
      </c>
      <c r="I304" s="6" t="str">
        <f>IFERROR(__xludf.DUMMYFUNCTION("MAX(FILTER($H$2:$H501,$E$2:$E501=F304))"),"#N/A")</f>
        <v>#N/A</v>
      </c>
    </row>
    <row r="305">
      <c r="A305" s="4"/>
      <c r="B305" s="4"/>
      <c r="C305" s="4" t="s">
        <v>1958</v>
      </c>
      <c r="D305" s="8" t="str">
        <f t="shared" si="1"/>
        <v>{"valorA":"ar condicionado","valorB":103}</v>
      </c>
      <c r="E305" s="8" t="str">
        <f t="shared" si="2"/>
        <v>ar condicionado</v>
      </c>
      <c r="F305" s="8"/>
      <c r="G305" s="15" t="str">
        <f t="shared" si="3"/>
        <v>103</v>
      </c>
      <c r="H305" s="9">
        <f t="shared" si="4"/>
        <v>103</v>
      </c>
      <c r="I305" s="6" t="str">
        <f>IFERROR(__xludf.DUMMYFUNCTION("MAX(FILTER($H$2:$H501,$E$2:$E501=F305))"),"#N/A")</f>
        <v>#N/A</v>
      </c>
    </row>
    <row r="306">
      <c r="A306" s="4"/>
      <c r="B306" s="4"/>
      <c r="C306" s="4" t="s">
        <v>1954</v>
      </c>
      <c r="D306" s="8" t="str">
        <f t="shared" si="1"/>
        <v>{"valorA":"freezer","valorB":101}</v>
      </c>
      <c r="E306" s="8" t="str">
        <f t="shared" si="2"/>
        <v>freezer</v>
      </c>
      <c r="F306" s="8"/>
      <c r="G306" s="15" t="str">
        <f t="shared" si="3"/>
        <v>101</v>
      </c>
      <c r="H306" s="9">
        <f t="shared" si="4"/>
        <v>101</v>
      </c>
      <c r="I306" s="6" t="str">
        <f>IFERROR(__xludf.DUMMYFUNCTION("MAX(FILTER($H$2:$H501,$E$2:$E501=F306))"),"#N/A")</f>
        <v>#N/A</v>
      </c>
    </row>
    <row r="307">
      <c r="A307" s="4"/>
      <c r="B307" s="4"/>
      <c r="C307" s="4" t="s">
        <v>1955</v>
      </c>
      <c r="D307" s="8" t="str">
        <f t="shared" si="1"/>
        <v>{"valorA":"freezer","valorB":102}</v>
      </c>
      <c r="E307" s="8" t="str">
        <f t="shared" si="2"/>
        <v>freezer</v>
      </c>
      <c r="F307" s="8"/>
      <c r="G307" s="15" t="str">
        <f t="shared" si="3"/>
        <v>102</v>
      </c>
      <c r="H307" s="9">
        <f t="shared" si="4"/>
        <v>102</v>
      </c>
      <c r="I307" s="6" t="str">
        <f>IFERROR(__xludf.DUMMYFUNCTION("MAX(FILTER($H$2:$H501,$E$2:$E501=F307))"),"#N/A")</f>
        <v>#N/A</v>
      </c>
    </row>
    <row r="308">
      <c r="A308" s="4"/>
      <c r="B308" s="4"/>
      <c r="C308" s="4" t="s">
        <v>1959</v>
      </c>
      <c r="D308" s="8" t="str">
        <f t="shared" si="1"/>
        <v>{"valorA":"freezer","valorB":103}</v>
      </c>
      <c r="E308" s="8" t="str">
        <f t="shared" si="2"/>
        <v>freezer</v>
      </c>
      <c r="F308" s="8"/>
      <c r="G308" s="15" t="str">
        <f t="shared" si="3"/>
        <v>103</v>
      </c>
      <c r="H308" s="9">
        <f t="shared" si="4"/>
        <v>103</v>
      </c>
      <c r="I308" s="6" t="str">
        <f>IFERROR(__xludf.DUMMYFUNCTION("MAX(FILTER($H$2:$H501,$E$2:$E501=F308))"),"#N/A")</f>
        <v>#N/A</v>
      </c>
    </row>
    <row r="309">
      <c r="A309" s="4"/>
      <c r="B309" s="4"/>
      <c r="C309" s="4" t="s">
        <v>1970</v>
      </c>
      <c r="D309" s="8" t="str">
        <f t="shared" si="1"/>
        <v>{"valorA":"microondas","valorB":102}</v>
      </c>
      <c r="E309" s="8" t="str">
        <f t="shared" si="2"/>
        <v>microondas</v>
      </c>
      <c r="F309" s="8"/>
      <c r="G309" s="15" t="str">
        <f t="shared" si="3"/>
        <v>102</v>
      </c>
      <c r="H309" s="9">
        <f t="shared" si="4"/>
        <v>102</v>
      </c>
      <c r="I309" s="6" t="str">
        <f>IFERROR(__xludf.DUMMYFUNCTION("MAX(FILTER($H$2:$H501,$E$2:$E501=F309))"),"#N/A")</f>
        <v>#N/A</v>
      </c>
    </row>
    <row r="310">
      <c r="A310" s="4"/>
      <c r="B310" s="4"/>
      <c r="C310" s="4" t="s">
        <v>1962</v>
      </c>
      <c r="D310" s="8" t="str">
        <f t="shared" si="1"/>
        <v>{"valorA":"ar condicionado","valorB":104}</v>
      </c>
      <c r="E310" s="8" t="str">
        <f t="shared" si="2"/>
        <v>ar condicionado</v>
      </c>
      <c r="F310" s="8"/>
      <c r="G310" s="15" t="str">
        <f t="shared" si="3"/>
        <v>104</v>
      </c>
      <c r="H310" s="9">
        <f t="shared" si="4"/>
        <v>104</v>
      </c>
      <c r="I310" s="6" t="str">
        <f>IFERROR(__xludf.DUMMYFUNCTION("MAX(FILTER($H$2:$H501,$E$2:$E501=F310))"),"#N/A")</f>
        <v>#N/A</v>
      </c>
    </row>
    <row r="311">
      <c r="A311" s="4"/>
      <c r="B311" s="4"/>
      <c r="C311" s="4" t="s">
        <v>1963</v>
      </c>
      <c r="D311" s="8" t="str">
        <f t="shared" si="1"/>
        <v>{"valorA":"freezer","valorB":104}</v>
      </c>
      <c r="E311" s="8" t="str">
        <f t="shared" si="2"/>
        <v>freezer</v>
      </c>
      <c r="F311" s="8"/>
      <c r="G311" s="15" t="str">
        <f t="shared" si="3"/>
        <v>104</v>
      </c>
      <c r="H311" s="9">
        <f t="shared" si="4"/>
        <v>104</v>
      </c>
      <c r="I311" s="6" t="str">
        <f>IFERROR(__xludf.DUMMYFUNCTION("MAX(FILTER($H$2:$H501,$E$2:$E501=F311))"),"#N/A")</f>
        <v>#N/A</v>
      </c>
    </row>
    <row r="312">
      <c r="A312" s="4"/>
      <c r="B312" s="4"/>
      <c r="C312" s="4" t="s">
        <v>1972</v>
      </c>
      <c r="D312" s="8" t="str">
        <f t="shared" si="1"/>
        <v>{"valorA":"microondas","valorB":103}</v>
      </c>
      <c r="E312" s="8" t="str">
        <f t="shared" si="2"/>
        <v>microondas</v>
      </c>
      <c r="F312" s="8"/>
      <c r="G312" s="15" t="str">
        <f t="shared" si="3"/>
        <v>103</v>
      </c>
      <c r="H312" s="9">
        <f t="shared" si="4"/>
        <v>103</v>
      </c>
      <c r="I312" s="6" t="str">
        <f>IFERROR(__xludf.DUMMYFUNCTION("MAX(FILTER($H$2:$H501,$E$2:$E501=F312))"),"#N/A")</f>
        <v>#N/A</v>
      </c>
    </row>
    <row r="313">
      <c r="A313" s="4"/>
      <c r="B313" s="4"/>
      <c r="C313" s="4" t="s">
        <v>1964</v>
      </c>
      <c r="D313" s="8" t="str">
        <f t="shared" si="1"/>
        <v>{"valorA":"freezer","valorB":105}</v>
      </c>
      <c r="E313" s="8" t="str">
        <f t="shared" si="2"/>
        <v>freezer</v>
      </c>
      <c r="F313" s="8"/>
      <c r="G313" s="15" t="str">
        <f t="shared" si="3"/>
        <v>105</v>
      </c>
      <c r="H313" s="9">
        <f t="shared" si="4"/>
        <v>105</v>
      </c>
      <c r="I313" s="6" t="str">
        <f>IFERROR(__xludf.DUMMYFUNCTION("MAX(FILTER($H$2:$H501,$E$2:$E501=F313))"),"#N/A")</f>
        <v>#N/A</v>
      </c>
    </row>
    <row r="314">
      <c r="A314" s="4"/>
      <c r="B314" s="4"/>
      <c r="C314" s="4" t="s">
        <v>1973</v>
      </c>
      <c r="D314" s="8" t="str">
        <f t="shared" si="1"/>
        <v>{"valorA":"microondas","valorB":104}</v>
      </c>
      <c r="E314" s="8" t="str">
        <f t="shared" si="2"/>
        <v>microondas</v>
      </c>
      <c r="F314" s="8"/>
      <c r="G314" s="15" t="str">
        <f t="shared" si="3"/>
        <v>104</v>
      </c>
      <c r="H314" s="9">
        <f t="shared" si="4"/>
        <v>104</v>
      </c>
      <c r="I314" s="6" t="str">
        <f>IFERROR(__xludf.DUMMYFUNCTION("MAX(FILTER($H$2:$H501,$E$2:$E501=F314))"),"#N/A")</f>
        <v>#N/A</v>
      </c>
    </row>
    <row r="315">
      <c r="A315" s="4"/>
      <c r="B315" s="4"/>
      <c r="C315" s="4" t="s">
        <v>1966</v>
      </c>
      <c r="D315" s="8" t="str">
        <f t="shared" si="1"/>
        <v>{"valorA":"ar condicionado","valorB":105}</v>
      </c>
      <c r="E315" s="8" t="str">
        <f t="shared" si="2"/>
        <v>ar condicionado</v>
      </c>
      <c r="F315" s="8"/>
      <c r="G315" s="15" t="str">
        <f t="shared" si="3"/>
        <v>105</v>
      </c>
      <c r="H315" s="9">
        <f t="shared" si="4"/>
        <v>105</v>
      </c>
      <c r="I315" s="6" t="str">
        <f>IFERROR(__xludf.DUMMYFUNCTION("MAX(FILTER($H$2:$H501,$E$2:$E501=F315))"),"#N/A")</f>
        <v>#N/A</v>
      </c>
    </row>
    <row r="316">
      <c r="A316" s="4"/>
      <c r="B316" s="4"/>
      <c r="C316" s="4" t="s">
        <v>1968</v>
      </c>
      <c r="D316" s="8" t="str">
        <f t="shared" si="1"/>
        <v>{"valorA":"freezer","valorB":106}</v>
      </c>
      <c r="E316" s="8" t="str">
        <f t="shared" si="2"/>
        <v>freezer</v>
      </c>
      <c r="F316" s="8"/>
      <c r="G316" s="15" t="str">
        <f t="shared" si="3"/>
        <v>106</v>
      </c>
      <c r="H316" s="9">
        <f t="shared" si="4"/>
        <v>106</v>
      </c>
      <c r="I316" s="6" t="str">
        <f>IFERROR(__xludf.DUMMYFUNCTION("MAX(FILTER($H$2:$H501,$E$2:$E501=F316))"),"#N/A")</f>
        <v>#N/A</v>
      </c>
    </row>
    <row r="317">
      <c r="A317" s="4"/>
      <c r="B317" s="4"/>
      <c r="C317" s="4" t="s">
        <v>1974</v>
      </c>
      <c r="D317" s="8" t="str">
        <f t="shared" si="1"/>
        <v>{"valorA":"microondas","valorB":105}</v>
      </c>
      <c r="E317" s="8" t="str">
        <f t="shared" si="2"/>
        <v>microondas</v>
      </c>
      <c r="F317" s="8"/>
      <c r="G317" s="15" t="str">
        <f t="shared" si="3"/>
        <v>105</v>
      </c>
      <c r="H317" s="9">
        <f t="shared" si="4"/>
        <v>105</v>
      </c>
      <c r="I317" s="6" t="str">
        <f>IFERROR(__xludf.DUMMYFUNCTION("MAX(FILTER($H$2:$H501,$E$2:$E501=F317))"),"#N/A")</f>
        <v>#N/A</v>
      </c>
    </row>
    <row r="318">
      <c r="A318" s="4"/>
      <c r="B318" s="4"/>
      <c r="C318" s="4" t="s">
        <v>1975</v>
      </c>
      <c r="D318" s="8" t="str">
        <f t="shared" si="1"/>
        <v>{"valorA":"ar condicionado","valorB":106}</v>
      </c>
      <c r="E318" s="8" t="str">
        <f t="shared" si="2"/>
        <v>ar condicionado</v>
      </c>
      <c r="F318" s="8"/>
      <c r="G318" s="15" t="str">
        <f t="shared" si="3"/>
        <v>106</v>
      </c>
      <c r="H318" s="9">
        <f t="shared" si="4"/>
        <v>106</v>
      </c>
      <c r="I318" s="6" t="str">
        <f>IFERROR(__xludf.DUMMYFUNCTION("MAX(FILTER($H$2:$H501,$E$2:$E501=F318))"),"#N/A")</f>
        <v>#N/A</v>
      </c>
    </row>
    <row r="319">
      <c r="A319" s="4"/>
      <c r="B319" s="4"/>
      <c r="C319" s="4" t="s">
        <v>1979</v>
      </c>
      <c r="D319" s="8" t="str">
        <f t="shared" si="1"/>
        <v>{"valorA":"microondas","valorB":106}</v>
      </c>
      <c r="E319" s="8" t="str">
        <f t="shared" si="2"/>
        <v>microondas</v>
      </c>
      <c r="F319" s="8"/>
      <c r="G319" s="15" t="str">
        <f t="shared" si="3"/>
        <v>106</v>
      </c>
      <c r="H319" s="9">
        <f t="shared" si="4"/>
        <v>106</v>
      </c>
      <c r="I319" s="6" t="str">
        <f>IFERROR(__xludf.DUMMYFUNCTION("MAX(FILTER($H$2:$H501,$E$2:$E501=F319))"),"#N/A")</f>
        <v>#N/A</v>
      </c>
    </row>
    <row r="320">
      <c r="A320" s="4"/>
      <c r="B320" s="4"/>
      <c r="C320" s="4" t="s">
        <v>1977</v>
      </c>
      <c r="D320" s="8" t="str">
        <f t="shared" si="1"/>
        <v>{"valorA":"ar condicionado","valorB":107}</v>
      </c>
      <c r="E320" s="8" t="str">
        <f t="shared" si="2"/>
        <v>ar condicionado</v>
      </c>
      <c r="F320" s="8"/>
      <c r="G320" s="15" t="str">
        <f t="shared" si="3"/>
        <v>107</v>
      </c>
      <c r="H320" s="9">
        <f t="shared" si="4"/>
        <v>107</v>
      </c>
      <c r="I320" s="6" t="str">
        <f>IFERROR(__xludf.DUMMYFUNCTION("MAX(FILTER($H$2:$H501,$E$2:$E501=F320))"),"#N/A")</f>
        <v>#N/A</v>
      </c>
    </row>
    <row r="321">
      <c r="A321" s="4"/>
      <c r="B321" s="4"/>
      <c r="C321" s="4" t="s">
        <v>1983</v>
      </c>
      <c r="D321" s="8" t="str">
        <f t="shared" si="1"/>
        <v>{"valorA":"ar condicionado","valorB":108}</v>
      </c>
      <c r="E321" s="8" t="str">
        <f t="shared" si="2"/>
        <v>ar condicionado</v>
      </c>
      <c r="F321" s="8"/>
      <c r="G321" s="15" t="str">
        <f t="shared" si="3"/>
        <v>108</v>
      </c>
      <c r="H321" s="9">
        <f t="shared" si="4"/>
        <v>108</v>
      </c>
      <c r="I321" s="6" t="str">
        <f>IFERROR(__xludf.DUMMYFUNCTION("MAX(FILTER($H$2:$H501,$E$2:$E501=F321))"),"#N/A")</f>
        <v>#N/A</v>
      </c>
    </row>
    <row r="322">
      <c r="A322" s="4"/>
      <c r="B322" s="4"/>
      <c r="C322" s="4" t="s">
        <v>1971</v>
      </c>
      <c r="D322" s="8" t="str">
        <f t="shared" si="1"/>
        <v>{"valorA":"freezer","valorB":107}</v>
      </c>
      <c r="E322" s="8" t="str">
        <f t="shared" si="2"/>
        <v>freezer</v>
      </c>
      <c r="F322" s="8"/>
      <c r="G322" s="15" t="str">
        <f t="shared" si="3"/>
        <v>107</v>
      </c>
      <c r="H322" s="9">
        <f t="shared" si="4"/>
        <v>107</v>
      </c>
      <c r="I322" s="6" t="str">
        <f>IFERROR(__xludf.DUMMYFUNCTION("MAX(FILTER($H$2:$H501,$E$2:$E501=F322))"),"#N/A")</f>
        <v>#N/A</v>
      </c>
    </row>
    <row r="323">
      <c r="A323" s="4"/>
      <c r="B323" s="4"/>
      <c r="C323" s="4" t="s">
        <v>1976</v>
      </c>
      <c r="D323" s="8" t="str">
        <f t="shared" si="1"/>
        <v>{"valorA":"freezer","valorB":108}</v>
      </c>
      <c r="E323" s="8" t="str">
        <f t="shared" si="2"/>
        <v>freezer</v>
      </c>
      <c r="F323" s="8"/>
      <c r="G323" s="15" t="str">
        <f t="shared" si="3"/>
        <v>108</v>
      </c>
      <c r="H323" s="9">
        <f t="shared" si="4"/>
        <v>108</v>
      </c>
      <c r="I323" s="6" t="str">
        <f>IFERROR(__xludf.DUMMYFUNCTION("MAX(FILTER($H$2:$H501,$E$2:$E501=F323))"),"#N/A")</f>
        <v>#N/A</v>
      </c>
    </row>
    <row r="324">
      <c r="A324" s="4"/>
      <c r="B324" s="4"/>
      <c r="C324" s="4" t="s">
        <v>1981</v>
      </c>
      <c r="D324" s="8" t="str">
        <f t="shared" si="1"/>
        <v>{"valorA":"microondas","valorB":107}</v>
      </c>
      <c r="E324" s="8" t="str">
        <f t="shared" si="2"/>
        <v>microondas</v>
      </c>
      <c r="F324" s="8"/>
      <c r="G324" s="15" t="str">
        <f t="shared" si="3"/>
        <v>107</v>
      </c>
      <c r="H324" s="9">
        <f t="shared" si="4"/>
        <v>107</v>
      </c>
      <c r="I324" s="6" t="str">
        <f>IFERROR(__xludf.DUMMYFUNCTION("MAX(FILTER($H$2:$H501,$E$2:$E501=F324))"),"#N/A")</f>
        <v>#N/A</v>
      </c>
    </row>
    <row r="325">
      <c r="A325" s="4"/>
      <c r="B325" s="4"/>
      <c r="C325" s="4" t="s">
        <v>1984</v>
      </c>
      <c r="D325" s="8" t="str">
        <f t="shared" si="1"/>
        <v>{"valorA":"microondas","valorB":108}</v>
      </c>
      <c r="E325" s="8" t="str">
        <f t="shared" si="2"/>
        <v>microondas</v>
      </c>
      <c r="F325" s="8"/>
      <c r="G325" s="15" t="str">
        <f t="shared" si="3"/>
        <v>108</v>
      </c>
      <c r="H325" s="9">
        <f t="shared" si="4"/>
        <v>108</v>
      </c>
      <c r="I325" s="6" t="str">
        <f>IFERROR(__xludf.DUMMYFUNCTION("MAX(FILTER($H$2:$H501,$E$2:$E501=F325))"),"#N/A")</f>
        <v>#N/A</v>
      </c>
    </row>
    <row r="326">
      <c r="A326" s="4"/>
      <c r="B326" s="4"/>
      <c r="C326" s="4" t="s">
        <v>1978</v>
      </c>
      <c r="D326" s="8" t="str">
        <f t="shared" si="1"/>
        <v>{"valorA":"freezer","valorB":109}</v>
      </c>
      <c r="E326" s="8" t="str">
        <f t="shared" si="2"/>
        <v>freezer</v>
      </c>
      <c r="F326" s="8"/>
      <c r="G326" s="15" t="str">
        <f t="shared" si="3"/>
        <v>109</v>
      </c>
      <c r="H326" s="9">
        <f t="shared" si="4"/>
        <v>109</v>
      </c>
      <c r="I326" s="6" t="str">
        <f>IFERROR(__xludf.DUMMYFUNCTION("MAX(FILTER($H$2:$H501,$E$2:$E501=F326))"),"#N/A")</f>
        <v>#N/A</v>
      </c>
    </row>
    <row r="327">
      <c r="A327" s="4"/>
      <c r="B327" s="4"/>
      <c r="C327" s="4" t="s">
        <v>1988</v>
      </c>
      <c r="D327" s="8" t="str">
        <f t="shared" si="1"/>
        <v>{"valorA":"ar condicionado","valorB":109}</v>
      </c>
      <c r="E327" s="8" t="str">
        <f t="shared" si="2"/>
        <v>ar condicionado</v>
      </c>
      <c r="F327" s="8"/>
      <c r="G327" s="15" t="str">
        <f t="shared" si="3"/>
        <v>109</v>
      </c>
      <c r="H327" s="9">
        <f t="shared" si="4"/>
        <v>109</v>
      </c>
      <c r="I327" s="6" t="str">
        <f>IFERROR(__xludf.DUMMYFUNCTION("MAX(FILTER($H$2:$H501,$E$2:$E501=F327))"),"#N/A")</f>
        <v>#N/A</v>
      </c>
    </row>
    <row r="328">
      <c r="A328" s="4"/>
      <c r="B328" s="4"/>
      <c r="C328" s="4" t="s">
        <v>1995</v>
      </c>
      <c r="D328" s="8" t="str">
        <f t="shared" si="1"/>
        <v>{"valorA":"ar condicionado","valorB":110}</v>
      </c>
      <c r="E328" s="8" t="str">
        <f t="shared" si="2"/>
        <v>ar condicionado</v>
      </c>
      <c r="F328" s="8"/>
      <c r="G328" s="15" t="str">
        <f t="shared" si="3"/>
        <v>110</v>
      </c>
      <c r="H328" s="9">
        <f t="shared" si="4"/>
        <v>110</v>
      </c>
      <c r="I328" s="6" t="str">
        <f>IFERROR(__xludf.DUMMYFUNCTION("MAX(FILTER($H$2:$H501,$E$2:$E501=F328))"),"#N/A")</f>
        <v>#N/A</v>
      </c>
    </row>
    <row r="329">
      <c r="A329" s="4"/>
      <c r="B329" s="4"/>
      <c r="C329" s="4" t="s">
        <v>1980</v>
      </c>
      <c r="D329" s="8" t="str">
        <f t="shared" si="1"/>
        <v>{"valorA":"freezer","valorB":110}</v>
      </c>
      <c r="E329" s="8" t="str">
        <f t="shared" si="2"/>
        <v>freezer</v>
      </c>
      <c r="F329" s="8"/>
      <c r="G329" s="15" t="str">
        <f t="shared" si="3"/>
        <v>110</v>
      </c>
      <c r="H329" s="9">
        <f t="shared" si="4"/>
        <v>110</v>
      </c>
      <c r="I329" s="6" t="str">
        <f>IFERROR(__xludf.DUMMYFUNCTION("MAX(FILTER($H$2:$H501,$E$2:$E501=F329))"),"#N/A")</f>
        <v>#N/A</v>
      </c>
    </row>
    <row r="330">
      <c r="A330" s="4"/>
      <c r="B330" s="4"/>
      <c r="C330" s="4" t="s">
        <v>1985</v>
      </c>
      <c r="D330" s="8" t="str">
        <f t="shared" si="1"/>
        <v>{"valorA":"microondas","valorB":109}</v>
      </c>
      <c r="E330" s="8" t="str">
        <f t="shared" si="2"/>
        <v>microondas</v>
      </c>
      <c r="F330" s="8"/>
      <c r="G330" s="15" t="str">
        <f t="shared" si="3"/>
        <v>109</v>
      </c>
      <c r="H330" s="9">
        <f t="shared" si="4"/>
        <v>109</v>
      </c>
      <c r="I330" s="6" t="str">
        <f>IFERROR(__xludf.DUMMYFUNCTION("MAX(FILTER($H$2:$H501,$E$2:$E501=F330))"),"#N/A")</f>
        <v>#N/A</v>
      </c>
    </row>
    <row r="331">
      <c r="A331" s="4"/>
      <c r="B331" s="4"/>
      <c r="C331" s="4" t="s">
        <v>1997</v>
      </c>
      <c r="D331" s="8" t="str">
        <f t="shared" si="1"/>
        <v>{"valorA":"ar condicionado","valorB":111}</v>
      </c>
      <c r="E331" s="8" t="str">
        <f t="shared" si="2"/>
        <v>ar condicionado</v>
      </c>
      <c r="F331" s="8"/>
      <c r="G331" s="15" t="str">
        <f t="shared" si="3"/>
        <v>111</v>
      </c>
      <c r="H331" s="9">
        <f t="shared" si="4"/>
        <v>111</v>
      </c>
      <c r="I331" s="6" t="str">
        <f>IFERROR(__xludf.DUMMYFUNCTION("MAX(FILTER($H$2:$H501,$E$2:$E501=F331))"),"#N/A")</f>
        <v>#N/A</v>
      </c>
    </row>
    <row r="332">
      <c r="A332" s="4"/>
      <c r="B332" s="4"/>
      <c r="C332" s="4" t="s">
        <v>1999</v>
      </c>
      <c r="D332" s="8" t="str">
        <f t="shared" si="1"/>
        <v>{"valorA":"ar condicionado","valorB":112}</v>
      </c>
      <c r="E332" s="8" t="str">
        <f t="shared" si="2"/>
        <v>ar condicionado</v>
      </c>
      <c r="F332" s="8"/>
      <c r="G332" s="15" t="str">
        <f t="shared" si="3"/>
        <v>112</v>
      </c>
      <c r="H332" s="9">
        <f t="shared" si="4"/>
        <v>112</v>
      </c>
      <c r="I332" s="6" t="str">
        <f>IFERROR(__xludf.DUMMYFUNCTION("MAX(FILTER($H$2:$H501,$E$2:$E501=F332))"),"#N/A")</f>
        <v>#N/A</v>
      </c>
    </row>
    <row r="333">
      <c r="A333" s="4"/>
      <c r="B333" s="4"/>
      <c r="C333" s="4" t="s">
        <v>1982</v>
      </c>
      <c r="D333" s="8" t="str">
        <f t="shared" si="1"/>
        <v>{"valorA":"freezer","valorB":111}</v>
      </c>
      <c r="E333" s="8" t="str">
        <f t="shared" si="2"/>
        <v>freezer</v>
      </c>
      <c r="F333" s="8"/>
      <c r="G333" s="15" t="str">
        <f t="shared" si="3"/>
        <v>111</v>
      </c>
      <c r="H333" s="9">
        <f t="shared" si="4"/>
        <v>111</v>
      </c>
      <c r="I333" s="6" t="str">
        <f>IFERROR(__xludf.DUMMYFUNCTION("MAX(FILTER($H$2:$H501,$E$2:$E501=F333))"),"#N/A")</f>
        <v>#N/A</v>
      </c>
    </row>
    <row r="334">
      <c r="A334" s="4"/>
      <c r="B334" s="4"/>
      <c r="C334" s="4" t="s">
        <v>2003</v>
      </c>
      <c r="D334" s="8" t="str">
        <f t="shared" si="1"/>
        <v>{"valorA":"ar condicionado","valorB":113}</v>
      </c>
      <c r="E334" s="8" t="str">
        <f t="shared" si="2"/>
        <v>ar condicionado</v>
      </c>
      <c r="F334" s="8"/>
      <c r="G334" s="15" t="str">
        <f t="shared" si="3"/>
        <v>113</v>
      </c>
      <c r="H334" s="9">
        <f t="shared" si="4"/>
        <v>113</v>
      </c>
      <c r="I334" s="6" t="str">
        <f>IFERROR(__xludf.DUMMYFUNCTION("MAX(FILTER($H$2:$H501,$E$2:$E501=F334))"),"#N/A")</f>
        <v>#N/A</v>
      </c>
    </row>
    <row r="335">
      <c r="A335" s="4"/>
      <c r="B335" s="4"/>
      <c r="C335" s="4" t="s">
        <v>1987</v>
      </c>
      <c r="D335" s="8" t="str">
        <f t="shared" si="1"/>
        <v>{"valorA":"microondas","valorB":110}</v>
      </c>
      <c r="E335" s="8" t="str">
        <f t="shared" si="2"/>
        <v>microondas</v>
      </c>
      <c r="F335" s="8"/>
      <c r="G335" s="15" t="str">
        <f t="shared" si="3"/>
        <v>110</v>
      </c>
      <c r="H335" s="9">
        <f t="shared" si="4"/>
        <v>110</v>
      </c>
      <c r="I335" s="6" t="str">
        <f>IFERROR(__xludf.DUMMYFUNCTION("MAX(FILTER($H$2:$H501,$E$2:$E501=F335))"),"#N/A")</f>
        <v>#N/A</v>
      </c>
    </row>
    <row r="336">
      <c r="A336" s="4"/>
      <c r="B336" s="4"/>
      <c r="C336" s="4" t="s">
        <v>1986</v>
      </c>
      <c r="D336" s="8" t="str">
        <f t="shared" si="1"/>
        <v>{"valorA":"freezer","valorB":112}</v>
      </c>
      <c r="E336" s="8" t="str">
        <f t="shared" si="2"/>
        <v>freezer</v>
      </c>
      <c r="F336" s="8"/>
      <c r="G336" s="15" t="str">
        <f t="shared" si="3"/>
        <v>112</v>
      </c>
      <c r="H336" s="9">
        <f t="shared" si="4"/>
        <v>112</v>
      </c>
      <c r="I336" s="6" t="str">
        <f>IFERROR(__xludf.DUMMYFUNCTION("MAX(FILTER($H$2:$H501,$E$2:$E501=F336))"),"#N/A")</f>
        <v>#N/A</v>
      </c>
    </row>
    <row r="337">
      <c r="A337" s="4"/>
      <c r="B337" s="4"/>
      <c r="C337" s="4" t="s">
        <v>1989</v>
      </c>
      <c r="D337" s="8" t="str">
        <f t="shared" si="1"/>
        <v>{"valorA":"freezer","valorB":113}</v>
      </c>
      <c r="E337" s="8" t="str">
        <f t="shared" si="2"/>
        <v>freezer</v>
      </c>
      <c r="F337" s="8"/>
      <c r="G337" s="15" t="str">
        <f t="shared" si="3"/>
        <v>113</v>
      </c>
      <c r="H337" s="9">
        <f t="shared" si="4"/>
        <v>113</v>
      </c>
      <c r="I337" s="6" t="str">
        <f>IFERROR(__xludf.DUMMYFUNCTION("MAX(FILTER($H$2:$H501,$E$2:$E501=F337))"),"#N/A")</f>
        <v>#N/A</v>
      </c>
    </row>
    <row r="338">
      <c r="A338" s="4"/>
      <c r="B338" s="4"/>
      <c r="C338" s="4" t="s">
        <v>1990</v>
      </c>
      <c r="D338" s="8" t="str">
        <f t="shared" si="1"/>
        <v>{"valorA":"microondas","valorB":111}</v>
      </c>
      <c r="E338" s="8" t="str">
        <f t="shared" si="2"/>
        <v>microondas</v>
      </c>
      <c r="F338" s="8"/>
      <c r="G338" s="15" t="str">
        <f t="shared" si="3"/>
        <v>111</v>
      </c>
      <c r="H338" s="9">
        <f t="shared" si="4"/>
        <v>111</v>
      </c>
      <c r="I338" s="6" t="str">
        <f>IFERROR(__xludf.DUMMYFUNCTION("MAX(FILTER($H$2:$H501,$E$2:$E501=F338))"),"#N/A")</f>
        <v>#N/A</v>
      </c>
    </row>
    <row r="339">
      <c r="A339" s="4"/>
      <c r="B339" s="4"/>
      <c r="C339" s="4" t="s">
        <v>1992</v>
      </c>
      <c r="D339" s="8" t="str">
        <f t="shared" si="1"/>
        <v>{"valorA":"microondas","valorB":112}</v>
      </c>
      <c r="E339" s="8" t="str">
        <f t="shared" si="2"/>
        <v>microondas</v>
      </c>
      <c r="F339" s="8"/>
      <c r="G339" s="15" t="str">
        <f t="shared" si="3"/>
        <v>112</v>
      </c>
      <c r="H339" s="9">
        <f t="shared" si="4"/>
        <v>112</v>
      </c>
      <c r="I339" s="6" t="str">
        <f>IFERROR(__xludf.DUMMYFUNCTION("MAX(FILTER($H$2:$H501,$E$2:$E501=F339))"),"#N/A")</f>
        <v>#N/A</v>
      </c>
    </row>
    <row r="340">
      <c r="A340" s="4"/>
      <c r="B340" s="4"/>
      <c r="C340" s="4" t="s">
        <v>2000</v>
      </c>
      <c r="D340" s="8" t="str">
        <f t="shared" si="1"/>
        <v>{"valorA":"microondas","valorB":113}</v>
      </c>
      <c r="E340" s="8" t="str">
        <f t="shared" si="2"/>
        <v>microondas</v>
      </c>
      <c r="F340" s="8"/>
      <c r="G340" s="15" t="str">
        <f t="shared" si="3"/>
        <v>113</v>
      </c>
      <c r="H340" s="9">
        <f t="shared" si="4"/>
        <v>113</v>
      </c>
      <c r="I340" s="6" t="str">
        <f>IFERROR(__xludf.DUMMYFUNCTION("MAX(FILTER($H$2:$H501,$E$2:$E501=F340))"),"#N/A")</f>
        <v>#N/A</v>
      </c>
    </row>
    <row r="341">
      <c r="A341" s="4"/>
      <c r="B341" s="4"/>
      <c r="C341" s="4" t="s">
        <v>2004</v>
      </c>
      <c r="D341" s="8" t="str">
        <f t="shared" si="1"/>
        <v>{"valorA":"ar condicionado","valorB":114}</v>
      </c>
      <c r="E341" s="8" t="str">
        <f t="shared" si="2"/>
        <v>ar condicionado</v>
      </c>
      <c r="F341" s="8"/>
      <c r="G341" s="15" t="str">
        <f t="shared" si="3"/>
        <v>114</v>
      </c>
      <c r="H341" s="9">
        <f t="shared" si="4"/>
        <v>114</v>
      </c>
      <c r="I341" s="6" t="str">
        <f>IFERROR(__xludf.DUMMYFUNCTION("MAX(FILTER($H$2:$H501,$E$2:$E501=F341))"),"#N/A")</f>
        <v>#N/A</v>
      </c>
    </row>
    <row r="342">
      <c r="A342" s="4"/>
      <c r="B342" s="4"/>
      <c r="C342" s="4" t="s">
        <v>2002</v>
      </c>
      <c r="D342" s="8" t="str">
        <f t="shared" si="1"/>
        <v>{"valorA":"microondas","valorB":114}</v>
      </c>
      <c r="E342" s="8" t="str">
        <f t="shared" si="2"/>
        <v>microondas</v>
      </c>
      <c r="F342" s="8"/>
      <c r="G342" s="15" t="str">
        <f t="shared" si="3"/>
        <v>114</v>
      </c>
      <c r="H342" s="9">
        <f t="shared" si="4"/>
        <v>114</v>
      </c>
      <c r="I342" s="6" t="str">
        <f>IFERROR(__xludf.DUMMYFUNCTION("MAX(FILTER($H$2:$H501,$E$2:$E501=F342))"),"#N/A")</f>
        <v>#N/A</v>
      </c>
    </row>
    <row r="343">
      <c r="A343" s="4"/>
      <c r="B343" s="4"/>
      <c r="C343" s="4" t="s">
        <v>2007</v>
      </c>
      <c r="D343" s="8" t="str">
        <f t="shared" si="1"/>
        <v>{"valorA":"microondas","valorB":115}</v>
      </c>
      <c r="E343" s="8" t="str">
        <f t="shared" si="2"/>
        <v>microondas</v>
      </c>
      <c r="F343" s="8"/>
      <c r="G343" s="15" t="str">
        <f t="shared" si="3"/>
        <v>115</v>
      </c>
      <c r="H343" s="9">
        <f t="shared" si="4"/>
        <v>115</v>
      </c>
      <c r="I343" s="6" t="str">
        <f>IFERROR(__xludf.DUMMYFUNCTION("MAX(FILTER($H$2:$H501,$E$2:$E501=F343))"),"#N/A")</f>
        <v>#N/A</v>
      </c>
    </row>
    <row r="344">
      <c r="A344" s="4"/>
      <c r="B344" s="4"/>
      <c r="C344" s="4" t="s">
        <v>2014</v>
      </c>
      <c r="D344" s="8" t="str">
        <f t="shared" si="1"/>
        <v>{"valorA":"microondas","valorB":116}</v>
      </c>
      <c r="E344" s="8" t="str">
        <f t="shared" si="2"/>
        <v>microondas</v>
      </c>
      <c r="F344" s="8"/>
      <c r="G344" s="15" t="str">
        <f t="shared" si="3"/>
        <v>116</v>
      </c>
      <c r="H344" s="9">
        <f t="shared" si="4"/>
        <v>116</v>
      </c>
      <c r="I344" s="6" t="str">
        <f>IFERROR(__xludf.DUMMYFUNCTION("MAX(FILTER($H$2:$H501,$E$2:$E501=F344))"),"#N/A")</f>
        <v>#N/A</v>
      </c>
    </row>
    <row r="345">
      <c r="A345" s="4"/>
      <c r="B345" s="4"/>
      <c r="C345" s="4" t="s">
        <v>2005</v>
      </c>
      <c r="D345" s="8" t="str">
        <f t="shared" si="1"/>
        <v>{"valorA":"ar condicionado","valorB":115}</v>
      </c>
      <c r="E345" s="8" t="str">
        <f t="shared" si="2"/>
        <v>ar condicionado</v>
      </c>
      <c r="F345" s="8"/>
      <c r="G345" s="15" t="str">
        <f t="shared" si="3"/>
        <v>115</v>
      </c>
      <c r="H345" s="9">
        <f t="shared" si="4"/>
        <v>115</v>
      </c>
      <c r="I345" s="6" t="str">
        <f>IFERROR(__xludf.DUMMYFUNCTION("MAX(FILTER($H$2:$H501,$E$2:$E501=F345))"),"#N/A")</f>
        <v>#N/A</v>
      </c>
    </row>
    <row r="346">
      <c r="A346" s="4"/>
      <c r="B346" s="4"/>
      <c r="C346" s="4" t="s">
        <v>1991</v>
      </c>
      <c r="D346" s="8" t="str">
        <f t="shared" si="1"/>
        <v>{"valorA":"freezer","valorB":114}</v>
      </c>
      <c r="E346" s="8" t="str">
        <f t="shared" si="2"/>
        <v>freezer</v>
      </c>
      <c r="F346" s="8"/>
      <c r="G346" s="15" t="str">
        <f t="shared" si="3"/>
        <v>114</v>
      </c>
      <c r="H346" s="9">
        <f t="shared" si="4"/>
        <v>114</v>
      </c>
      <c r="I346" s="6" t="str">
        <f>IFERROR(__xludf.DUMMYFUNCTION("MAX(FILTER($H$2:$H501,$E$2:$E501=F346))"),"#N/A")</f>
        <v>#N/A</v>
      </c>
    </row>
    <row r="347">
      <c r="A347" s="4"/>
      <c r="B347" s="4"/>
      <c r="C347" s="4" t="s">
        <v>1993</v>
      </c>
      <c r="D347" s="8" t="str">
        <f t="shared" si="1"/>
        <v>{"valorA":"freezer","valorB":115}</v>
      </c>
      <c r="E347" s="8" t="str">
        <f t="shared" si="2"/>
        <v>freezer</v>
      </c>
      <c r="F347" s="8"/>
      <c r="G347" s="15" t="str">
        <f t="shared" si="3"/>
        <v>115</v>
      </c>
      <c r="H347" s="9">
        <f t="shared" si="4"/>
        <v>115</v>
      </c>
      <c r="I347" s="6" t="str">
        <f>IFERROR(__xludf.DUMMYFUNCTION("MAX(FILTER($H$2:$H501,$E$2:$E501=F347))"),"#N/A")</f>
        <v>#N/A</v>
      </c>
    </row>
    <row r="348">
      <c r="A348" s="4"/>
      <c r="B348" s="4"/>
      <c r="C348" s="4" t="s">
        <v>2015</v>
      </c>
      <c r="D348" s="8" t="str">
        <f t="shared" si="1"/>
        <v>{"valorA":"microondas","valorB":117}</v>
      </c>
      <c r="E348" s="8" t="str">
        <f t="shared" si="2"/>
        <v>microondas</v>
      </c>
      <c r="F348" s="8"/>
      <c r="G348" s="15" t="str">
        <f t="shared" si="3"/>
        <v>117</v>
      </c>
      <c r="H348" s="9">
        <f t="shared" si="4"/>
        <v>117</v>
      </c>
      <c r="I348" s="6" t="str">
        <f>IFERROR(__xludf.DUMMYFUNCTION("MAX(FILTER($H$2:$H501,$E$2:$E501=F348))"),"#N/A")</f>
        <v>#N/A</v>
      </c>
    </row>
    <row r="349">
      <c r="A349" s="4"/>
      <c r="B349" s="4"/>
      <c r="C349" s="4" t="s">
        <v>1994</v>
      </c>
      <c r="D349" s="8" t="str">
        <f t="shared" si="1"/>
        <v>{"valorA":"freezer","valorB":116}</v>
      </c>
      <c r="E349" s="8" t="str">
        <f t="shared" si="2"/>
        <v>freezer</v>
      </c>
      <c r="F349" s="8"/>
      <c r="G349" s="15" t="str">
        <f t="shared" si="3"/>
        <v>116</v>
      </c>
      <c r="H349" s="9">
        <f t="shared" si="4"/>
        <v>116</v>
      </c>
      <c r="I349" s="6" t="str">
        <f>IFERROR(__xludf.DUMMYFUNCTION("MAX(FILTER($H$2:$H501,$E$2:$E501=F349))"),"#N/A")</f>
        <v>#N/A</v>
      </c>
    </row>
    <row r="350">
      <c r="A350" s="4"/>
      <c r="B350" s="4"/>
      <c r="C350" s="4" t="s">
        <v>1996</v>
      </c>
      <c r="D350" s="8" t="str">
        <f t="shared" si="1"/>
        <v>{"valorA":"freezer","valorB":117}</v>
      </c>
      <c r="E350" s="8" t="str">
        <f t="shared" si="2"/>
        <v>freezer</v>
      </c>
      <c r="F350" s="8"/>
      <c r="G350" s="15" t="str">
        <f t="shared" si="3"/>
        <v>117</v>
      </c>
      <c r="H350" s="9">
        <f t="shared" si="4"/>
        <v>117</v>
      </c>
      <c r="I350" s="6" t="str">
        <f>IFERROR(__xludf.DUMMYFUNCTION("MAX(FILTER($H$2:$H501,$E$2:$E501=F350))"),"#N/A")</f>
        <v>#N/A</v>
      </c>
    </row>
    <row r="351">
      <c r="A351" s="4"/>
      <c r="B351" s="4"/>
      <c r="C351" s="4" t="s">
        <v>2006</v>
      </c>
      <c r="D351" s="8" t="str">
        <f t="shared" si="1"/>
        <v>{"valorA":"ar condicionado","valorB":116}</v>
      </c>
      <c r="E351" s="8" t="str">
        <f t="shared" si="2"/>
        <v>ar condicionado</v>
      </c>
      <c r="F351" s="8"/>
      <c r="G351" s="15" t="str">
        <f t="shared" si="3"/>
        <v>116</v>
      </c>
      <c r="H351" s="9">
        <f t="shared" si="4"/>
        <v>116</v>
      </c>
      <c r="I351" s="6" t="str">
        <f>IFERROR(__xludf.DUMMYFUNCTION("MAX(FILTER($H$2:$H501,$E$2:$E501=F351))"),"#N/A")</f>
        <v>#N/A</v>
      </c>
    </row>
    <row r="352">
      <c r="A352" s="4"/>
      <c r="B352" s="4"/>
      <c r="C352" s="4" t="s">
        <v>2019</v>
      </c>
      <c r="D352" s="8" t="str">
        <f t="shared" si="1"/>
        <v>{"valorA":"microondas","valorB":118}</v>
      </c>
      <c r="E352" s="8" t="str">
        <f t="shared" si="2"/>
        <v>microondas</v>
      </c>
      <c r="F352" s="8"/>
      <c r="G352" s="15" t="str">
        <f t="shared" si="3"/>
        <v>118</v>
      </c>
      <c r="H352" s="9">
        <f t="shared" si="4"/>
        <v>118</v>
      </c>
      <c r="I352" s="6" t="str">
        <f>IFERROR(__xludf.DUMMYFUNCTION("MAX(FILTER($H$2:$H501,$E$2:$E501=F352))"),"#N/A")</f>
        <v>#N/A</v>
      </c>
    </row>
    <row r="353">
      <c r="A353" s="4"/>
      <c r="B353" s="4"/>
      <c r="C353" s="4" t="s">
        <v>1998</v>
      </c>
      <c r="D353" s="8" t="str">
        <f t="shared" si="1"/>
        <v>{"valorA":"freezer","valorB":118}</v>
      </c>
      <c r="E353" s="8" t="str">
        <f t="shared" si="2"/>
        <v>freezer</v>
      </c>
      <c r="F353" s="8"/>
      <c r="G353" s="15" t="str">
        <f t="shared" si="3"/>
        <v>118</v>
      </c>
      <c r="H353" s="9">
        <f t="shared" si="4"/>
        <v>118</v>
      </c>
      <c r="I353" s="6" t="str">
        <f>IFERROR(__xludf.DUMMYFUNCTION("MAX(FILTER($H$2:$H501,$E$2:$E501=F353))"),"#N/A")</f>
        <v>#N/A</v>
      </c>
    </row>
    <row r="354">
      <c r="A354" s="4"/>
      <c r="B354" s="4"/>
      <c r="C354" s="4" t="s">
        <v>2001</v>
      </c>
      <c r="D354" s="8" t="str">
        <f t="shared" si="1"/>
        <v>{"valorA":"freezer","valorB":119}</v>
      </c>
      <c r="E354" s="8" t="str">
        <f t="shared" si="2"/>
        <v>freezer</v>
      </c>
      <c r="F354" s="8"/>
      <c r="G354" s="15" t="str">
        <f t="shared" si="3"/>
        <v>119</v>
      </c>
      <c r="H354" s="9">
        <f t="shared" si="4"/>
        <v>119</v>
      </c>
      <c r="I354" s="6" t="str">
        <f>IFERROR(__xludf.DUMMYFUNCTION("MAX(FILTER($H$2:$H501,$E$2:$E501=F354))"),"#N/A")</f>
        <v>#N/A</v>
      </c>
    </row>
    <row r="355">
      <c r="A355" s="4"/>
      <c r="B355" s="4"/>
      <c r="C355" s="4" t="s">
        <v>2011</v>
      </c>
      <c r="D355" s="8" t="str">
        <f t="shared" si="1"/>
        <v>{"valorA":"freezer","valorB":120}</v>
      </c>
      <c r="E355" s="8" t="str">
        <f t="shared" si="2"/>
        <v>freezer</v>
      </c>
      <c r="F355" s="8"/>
      <c r="G355" s="15" t="str">
        <f t="shared" si="3"/>
        <v>120</v>
      </c>
      <c r="H355" s="9">
        <f t="shared" si="4"/>
        <v>120</v>
      </c>
      <c r="I355" s="6" t="str">
        <f>IFERROR(__xludf.DUMMYFUNCTION("MAX(FILTER($H$2:$H501,$E$2:$E501=F355))"),"#N/A")</f>
        <v>#N/A</v>
      </c>
    </row>
    <row r="356">
      <c r="A356" s="4"/>
      <c r="B356" s="4"/>
      <c r="C356" s="4" t="s">
        <v>2012</v>
      </c>
      <c r="D356" s="8" t="str">
        <f t="shared" si="1"/>
        <v>{"valorA":"freezer","valorB":121}</v>
      </c>
      <c r="E356" s="8" t="str">
        <f t="shared" si="2"/>
        <v>freezer</v>
      </c>
      <c r="F356" s="8"/>
      <c r="G356" s="15" t="str">
        <f t="shared" si="3"/>
        <v>121</v>
      </c>
      <c r="H356" s="9">
        <f t="shared" si="4"/>
        <v>121</v>
      </c>
      <c r="I356" s="6" t="str">
        <f>IFERROR(__xludf.DUMMYFUNCTION("MAX(FILTER($H$2:$H501,$E$2:$E501=F356))"),"#N/A")</f>
        <v>#N/A</v>
      </c>
    </row>
    <row r="357">
      <c r="A357" s="4"/>
      <c r="B357" s="4"/>
      <c r="C357" s="4" t="s">
        <v>2008</v>
      </c>
      <c r="D357" s="8" t="str">
        <f t="shared" si="1"/>
        <v>{"valorA":"ar condicionado","valorB":117}</v>
      </c>
      <c r="E357" s="8" t="str">
        <f t="shared" si="2"/>
        <v>ar condicionado</v>
      </c>
      <c r="F357" s="8"/>
      <c r="G357" s="15" t="str">
        <f t="shared" si="3"/>
        <v>117</v>
      </c>
      <c r="H357" s="9">
        <f t="shared" si="4"/>
        <v>117</v>
      </c>
      <c r="I357" s="6" t="str">
        <f>IFERROR(__xludf.DUMMYFUNCTION("MAX(FILTER($H$2:$H501,$E$2:$E501=F357))"),"#N/A")</f>
        <v>#N/A</v>
      </c>
    </row>
    <row r="358">
      <c r="A358" s="4"/>
      <c r="B358" s="4"/>
      <c r="C358" s="4" t="s">
        <v>2026</v>
      </c>
      <c r="D358" s="8" t="str">
        <f t="shared" si="1"/>
        <v>{"valorA":"microondas","valorB":119}</v>
      </c>
      <c r="E358" s="8" t="str">
        <f t="shared" si="2"/>
        <v>microondas</v>
      </c>
      <c r="F358" s="8"/>
      <c r="G358" s="15" t="str">
        <f t="shared" si="3"/>
        <v>119</v>
      </c>
      <c r="H358" s="9">
        <f t="shared" si="4"/>
        <v>119</v>
      </c>
      <c r="I358" s="6" t="str">
        <f>IFERROR(__xludf.DUMMYFUNCTION("MAX(FILTER($H$2:$H501,$E$2:$E501=F358))"),"#N/A")</f>
        <v>#N/A</v>
      </c>
    </row>
    <row r="359">
      <c r="A359" s="4"/>
      <c r="B359" s="4"/>
      <c r="C359" s="4" t="s">
        <v>2009</v>
      </c>
      <c r="D359" s="8" t="str">
        <f t="shared" si="1"/>
        <v>{"valorA":"ar condicionado","valorB":118}</v>
      </c>
      <c r="E359" s="8" t="str">
        <f t="shared" si="2"/>
        <v>ar condicionado</v>
      </c>
      <c r="F359" s="8"/>
      <c r="G359" s="15" t="str">
        <f t="shared" si="3"/>
        <v>118</v>
      </c>
      <c r="H359" s="9">
        <f t="shared" si="4"/>
        <v>118</v>
      </c>
      <c r="I359" s="6" t="str">
        <f>IFERROR(__xludf.DUMMYFUNCTION("MAX(FILTER($H$2:$H501,$E$2:$E501=F359))"),"#N/A")</f>
        <v>#N/A</v>
      </c>
    </row>
    <row r="360">
      <c r="A360" s="4"/>
      <c r="B360" s="4"/>
      <c r="C360" s="4" t="s">
        <v>2013</v>
      </c>
      <c r="D360" s="8" t="str">
        <f t="shared" si="1"/>
        <v>{"valorA":"freezer","valorB":122}</v>
      </c>
      <c r="E360" s="8" t="str">
        <f t="shared" si="2"/>
        <v>freezer</v>
      </c>
      <c r="F360" s="8"/>
      <c r="G360" s="15" t="str">
        <f t="shared" si="3"/>
        <v>122</v>
      </c>
      <c r="H360" s="9">
        <f t="shared" si="4"/>
        <v>122</v>
      </c>
      <c r="I360" s="6" t="str">
        <f>IFERROR(__xludf.DUMMYFUNCTION("MAX(FILTER($H$2:$H501,$E$2:$E501=F360))"),"#N/A")</f>
        <v>#N/A</v>
      </c>
    </row>
    <row r="361">
      <c r="A361" s="4"/>
      <c r="B361" s="4"/>
      <c r="C361" s="4" t="s">
        <v>2017</v>
      </c>
      <c r="D361" s="8" t="str">
        <f t="shared" si="1"/>
        <v>{"valorA":"freezer","valorB":123}</v>
      </c>
      <c r="E361" s="8" t="str">
        <f t="shared" si="2"/>
        <v>freezer</v>
      </c>
      <c r="F361" s="8"/>
      <c r="G361" s="15" t="str">
        <f t="shared" si="3"/>
        <v>123</v>
      </c>
      <c r="H361" s="9">
        <f t="shared" si="4"/>
        <v>123</v>
      </c>
      <c r="I361" s="6" t="str">
        <f>IFERROR(__xludf.DUMMYFUNCTION("MAX(FILTER($H$2:$H501,$E$2:$E501=F361))"),"#N/A")</f>
        <v>#N/A</v>
      </c>
    </row>
    <row r="362">
      <c r="A362" s="4"/>
      <c r="B362" s="4"/>
      <c r="C362" s="4" t="s">
        <v>2018</v>
      </c>
      <c r="D362" s="8" t="str">
        <f t="shared" si="1"/>
        <v>{"valorA":"freezer","valorB":124}</v>
      </c>
      <c r="E362" s="8" t="str">
        <f t="shared" si="2"/>
        <v>freezer</v>
      </c>
      <c r="F362" s="8"/>
      <c r="G362" s="15" t="str">
        <f t="shared" si="3"/>
        <v>124</v>
      </c>
      <c r="H362" s="9">
        <f t="shared" si="4"/>
        <v>124</v>
      </c>
      <c r="I362" s="6" t="str">
        <f>IFERROR(__xludf.DUMMYFUNCTION("MAX(FILTER($H$2:$H501,$E$2:$E501=F362))"),"#N/A")</f>
        <v>#N/A</v>
      </c>
    </row>
    <row r="363">
      <c r="A363" s="4"/>
      <c r="B363" s="4"/>
      <c r="C363" s="4" t="s">
        <v>2020</v>
      </c>
      <c r="D363" s="8" t="str">
        <f t="shared" si="1"/>
        <v>{"valorA":"freezer","valorB":125}</v>
      </c>
      <c r="E363" s="8" t="str">
        <f t="shared" si="2"/>
        <v>freezer</v>
      </c>
      <c r="F363" s="8"/>
      <c r="G363" s="15" t="str">
        <f t="shared" si="3"/>
        <v>125</v>
      </c>
      <c r="H363" s="9">
        <f t="shared" si="4"/>
        <v>125</v>
      </c>
      <c r="I363" s="6" t="str">
        <f>IFERROR(__xludf.DUMMYFUNCTION("MAX(FILTER($H$2:$H501,$E$2:$E501=F363))"),"#N/A")</f>
        <v>#N/A</v>
      </c>
    </row>
    <row r="364">
      <c r="A364" s="4"/>
      <c r="B364" s="4"/>
      <c r="C364" s="4" t="s">
        <v>2021</v>
      </c>
      <c r="D364" s="8" t="str">
        <f t="shared" si="1"/>
        <v>{"valorA":"freezer","valorB":126}</v>
      </c>
      <c r="E364" s="8" t="str">
        <f t="shared" si="2"/>
        <v>freezer</v>
      </c>
      <c r="F364" s="8"/>
      <c r="G364" s="15" t="str">
        <f t="shared" si="3"/>
        <v>126</v>
      </c>
      <c r="H364" s="9">
        <f t="shared" si="4"/>
        <v>126</v>
      </c>
      <c r="I364" s="6" t="str">
        <f>IFERROR(__xludf.DUMMYFUNCTION("MAX(FILTER($H$2:$H501,$E$2:$E501=F364))"),"#N/A")</f>
        <v>#N/A</v>
      </c>
    </row>
    <row r="365">
      <c r="A365" s="4"/>
      <c r="B365" s="4"/>
      <c r="C365" s="4" t="s">
        <v>2022</v>
      </c>
      <c r="D365" s="8" t="str">
        <f t="shared" si="1"/>
        <v>{"valorA":"freezer","valorB":127}</v>
      </c>
      <c r="E365" s="8" t="str">
        <f t="shared" si="2"/>
        <v>freezer</v>
      </c>
      <c r="F365" s="8"/>
      <c r="G365" s="15" t="str">
        <f t="shared" si="3"/>
        <v>127</v>
      </c>
      <c r="H365" s="9">
        <f t="shared" si="4"/>
        <v>127</v>
      </c>
      <c r="I365" s="6" t="str">
        <f>IFERROR(__xludf.DUMMYFUNCTION("MAX(FILTER($H$2:$H501,$E$2:$E501=F365))"),"#N/A")</f>
        <v>#N/A</v>
      </c>
    </row>
    <row r="366">
      <c r="A366" s="4"/>
      <c r="B366" s="4"/>
      <c r="C366" s="4" t="s">
        <v>2023</v>
      </c>
      <c r="D366" s="8" t="str">
        <f t="shared" si="1"/>
        <v>{"valorA":"freezer","valorB":128}</v>
      </c>
      <c r="E366" s="8" t="str">
        <f t="shared" si="2"/>
        <v>freezer</v>
      </c>
      <c r="F366" s="8"/>
      <c r="G366" s="15" t="str">
        <f t="shared" si="3"/>
        <v>128</v>
      </c>
      <c r="H366" s="9">
        <f t="shared" si="4"/>
        <v>128</v>
      </c>
      <c r="I366" s="6" t="str">
        <f>IFERROR(__xludf.DUMMYFUNCTION("MAX(FILTER($H$2:$H501,$E$2:$E501=F366))"),"#N/A")</f>
        <v>#N/A</v>
      </c>
    </row>
    <row r="367">
      <c r="A367" s="4"/>
      <c r="B367" s="4"/>
      <c r="C367" s="4" t="s">
        <v>2010</v>
      </c>
      <c r="D367" s="8" t="str">
        <f t="shared" si="1"/>
        <v>{"valorA":"ar condicionado","valorB":119}</v>
      </c>
      <c r="E367" s="8" t="str">
        <f t="shared" si="2"/>
        <v>ar condicionado</v>
      </c>
      <c r="F367" s="8"/>
      <c r="G367" s="15" t="str">
        <f t="shared" si="3"/>
        <v>119</v>
      </c>
      <c r="H367" s="9">
        <f t="shared" si="4"/>
        <v>119</v>
      </c>
      <c r="I367" s="6" t="str">
        <f>IFERROR(__xludf.DUMMYFUNCTION("MAX(FILTER($H$2:$H501,$E$2:$E501=F367))"),"#N/A")</f>
        <v>#N/A</v>
      </c>
    </row>
    <row r="368">
      <c r="A368" s="4"/>
      <c r="B368" s="4"/>
      <c r="C368" s="4" t="s">
        <v>2029</v>
      </c>
      <c r="D368" s="8" t="str">
        <f t="shared" si="1"/>
        <v>{"valorA":"freezer","valorB":129}</v>
      </c>
      <c r="E368" s="8" t="str">
        <f t="shared" si="2"/>
        <v>freezer</v>
      </c>
      <c r="F368" s="8"/>
      <c r="G368" s="15" t="str">
        <f t="shared" si="3"/>
        <v>129</v>
      </c>
      <c r="H368" s="9">
        <f t="shared" si="4"/>
        <v>129</v>
      </c>
      <c r="I368" s="6" t="str">
        <f>IFERROR(__xludf.DUMMYFUNCTION("MAX(FILTER($H$2:$H501,$E$2:$E501=F368))"),"#N/A")</f>
        <v>#N/A</v>
      </c>
    </row>
    <row r="369">
      <c r="A369" s="4"/>
      <c r="B369" s="4"/>
      <c r="C369" s="4" t="s">
        <v>2016</v>
      </c>
      <c r="D369" s="8" t="str">
        <f t="shared" si="1"/>
        <v>{"valorA":"ar condicionado","valorB":120}</v>
      </c>
      <c r="E369" s="8" t="str">
        <f t="shared" si="2"/>
        <v>ar condicionado</v>
      </c>
      <c r="F369" s="8"/>
      <c r="G369" s="15" t="str">
        <f t="shared" si="3"/>
        <v>120</v>
      </c>
      <c r="H369" s="9">
        <f t="shared" si="4"/>
        <v>120</v>
      </c>
      <c r="I369" s="6" t="str">
        <f>IFERROR(__xludf.DUMMYFUNCTION("MAX(FILTER($H$2:$H501,$E$2:$E501=F369))"),"#N/A")</f>
        <v>#N/A</v>
      </c>
    </row>
    <row r="370">
      <c r="A370" s="4"/>
      <c r="B370" s="4"/>
      <c r="C370" s="4" t="s">
        <v>2032</v>
      </c>
      <c r="D370" s="8" t="str">
        <f t="shared" si="1"/>
        <v>{"valorA":"microondas","valorB":120}</v>
      </c>
      <c r="E370" s="8" t="str">
        <f t="shared" si="2"/>
        <v>microondas</v>
      </c>
      <c r="F370" s="8"/>
      <c r="G370" s="15" t="str">
        <f t="shared" si="3"/>
        <v>120</v>
      </c>
      <c r="H370" s="9">
        <f t="shared" si="4"/>
        <v>120</v>
      </c>
      <c r="I370" s="6" t="str">
        <f>IFERROR(__xludf.DUMMYFUNCTION("MAX(FILTER($H$2:$H501,$E$2:$E501=F370))"),"#N/A")</f>
        <v>#N/A</v>
      </c>
    </row>
    <row r="371">
      <c r="A371" s="4"/>
      <c r="B371" s="4"/>
      <c r="C371" s="4" t="s">
        <v>2031</v>
      </c>
      <c r="D371" s="8" t="str">
        <f t="shared" si="1"/>
        <v>{"valorA":"freezer","valorB":130}</v>
      </c>
      <c r="E371" s="8" t="str">
        <f t="shared" si="2"/>
        <v>freezer</v>
      </c>
      <c r="F371" s="8"/>
      <c r="G371" s="15" t="str">
        <f t="shared" si="3"/>
        <v>130</v>
      </c>
      <c r="H371" s="9">
        <f t="shared" si="4"/>
        <v>130</v>
      </c>
      <c r="I371" s="6" t="str">
        <f>IFERROR(__xludf.DUMMYFUNCTION("MAX(FILTER($H$2:$H501,$E$2:$E501=F371))"),"#N/A")</f>
        <v>#N/A</v>
      </c>
    </row>
    <row r="372">
      <c r="A372" s="4"/>
      <c r="B372" s="4"/>
      <c r="C372" s="4" t="s">
        <v>2035</v>
      </c>
      <c r="D372" s="8" t="str">
        <f t="shared" si="1"/>
        <v>{"valorA":"freezer","valorB":131}</v>
      </c>
      <c r="E372" s="8" t="str">
        <f t="shared" si="2"/>
        <v>freezer</v>
      </c>
      <c r="F372" s="8"/>
      <c r="G372" s="15" t="str">
        <f t="shared" si="3"/>
        <v>131</v>
      </c>
      <c r="H372" s="9">
        <f t="shared" si="4"/>
        <v>131</v>
      </c>
      <c r="I372" s="6" t="str">
        <f>IFERROR(__xludf.DUMMYFUNCTION("MAX(FILTER($H$2:$H501,$E$2:$E501=F372))"),"#N/A")</f>
        <v>#N/A</v>
      </c>
    </row>
    <row r="373">
      <c r="A373" s="4"/>
      <c r="B373" s="4"/>
      <c r="C373" s="4" t="s">
        <v>2024</v>
      </c>
      <c r="D373" s="8" t="str">
        <f t="shared" si="1"/>
        <v>{"valorA":"ar condicionado","valorB":121}</v>
      </c>
      <c r="E373" s="8" t="str">
        <f t="shared" si="2"/>
        <v>ar condicionado</v>
      </c>
      <c r="F373" s="8"/>
      <c r="G373" s="15" t="str">
        <f t="shared" si="3"/>
        <v>121</v>
      </c>
      <c r="H373" s="9">
        <f t="shared" si="4"/>
        <v>121</v>
      </c>
      <c r="I373" s="6" t="str">
        <f>IFERROR(__xludf.DUMMYFUNCTION("MAX(FILTER($H$2:$H501,$E$2:$E501=F373))"),"#N/A")</f>
        <v>#N/A</v>
      </c>
    </row>
    <row r="374">
      <c r="A374" s="4"/>
      <c r="B374" s="4"/>
      <c r="C374" s="4" t="s">
        <v>2033</v>
      </c>
      <c r="D374" s="8" t="str">
        <f t="shared" si="1"/>
        <v>{"valorA":"microondas","valorB":121}</v>
      </c>
      <c r="E374" s="8" t="str">
        <f t="shared" si="2"/>
        <v>microondas</v>
      </c>
      <c r="F374" s="8"/>
      <c r="G374" s="15" t="str">
        <f t="shared" si="3"/>
        <v>121</v>
      </c>
      <c r="H374" s="9">
        <f t="shared" si="4"/>
        <v>121</v>
      </c>
      <c r="I374" s="6" t="str">
        <f>IFERROR(__xludf.DUMMYFUNCTION("MAX(FILTER($H$2:$H501,$E$2:$E501=F374))"),"#N/A")</f>
        <v>#N/A</v>
      </c>
    </row>
    <row r="375">
      <c r="A375" s="4"/>
      <c r="B375" s="4"/>
      <c r="C375" s="4" t="s">
        <v>2041</v>
      </c>
      <c r="D375" s="8" t="str">
        <f t="shared" si="1"/>
        <v>{"valorA":"freezer","valorB":132}</v>
      </c>
      <c r="E375" s="8" t="str">
        <f t="shared" si="2"/>
        <v>freezer</v>
      </c>
      <c r="F375" s="8"/>
      <c r="G375" s="15" t="str">
        <f t="shared" si="3"/>
        <v>132</v>
      </c>
      <c r="H375" s="9">
        <f t="shared" si="4"/>
        <v>132</v>
      </c>
      <c r="I375" s="6" t="str">
        <f>IFERROR(__xludf.DUMMYFUNCTION("MAX(FILTER($H$2:$H501,$E$2:$E501=F375))"),"#N/A")</f>
        <v>#N/A</v>
      </c>
    </row>
    <row r="376">
      <c r="A376" s="4"/>
      <c r="B376" s="4"/>
      <c r="C376" s="4" t="s">
        <v>2036</v>
      </c>
      <c r="D376" s="8" t="str">
        <f t="shared" si="1"/>
        <v>{"valorA":"microondas","valorB":122}</v>
      </c>
      <c r="E376" s="8" t="str">
        <f t="shared" si="2"/>
        <v>microondas</v>
      </c>
      <c r="F376" s="8"/>
      <c r="G376" s="15" t="str">
        <f t="shared" si="3"/>
        <v>122</v>
      </c>
      <c r="H376" s="9">
        <f t="shared" si="4"/>
        <v>122</v>
      </c>
      <c r="I376" s="6" t="str">
        <f>IFERROR(__xludf.DUMMYFUNCTION("MAX(FILTER($H$2:$H501,$E$2:$E501=F376))"),"#N/A")</f>
        <v>#N/A</v>
      </c>
    </row>
    <row r="377">
      <c r="A377" s="4"/>
      <c r="B377" s="4"/>
      <c r="C377" s="4" t="s">
        <v>2025</v>
      </c>
      <c r="D377" s="8" t="str">
        <f t="shared" si="1"/>
        <v>{"valorA":"ar condicionado","valorB":122}</v>
      </c>
      <c r="E377" s="8" t="str">
        <f t="shared" si="2"/>
        <v>ar condicionado</v>
      </c>
      <c r="F377" s="8"/>
      <c r="G377" s="15" t="str">
        <f t="shared" si="3"/>
        <v>122</v>
      </c>
      <c r="H377" s="9">
        <f t="shared" si="4"/>
        <v>122</v>
      </c>
      <c r="I377" s="6" t="str">
        <f>IFERROR(__xludf.DUMMYFUNCTION("MAX(FILTER($H$2:$H501,$E$2:$E501=F377))"),"#N/A")</f>
        <v>#N/A</v>
      </c>
    </row>
    <row r="378">
      <c r="A378" s="4"/>
      <c r="B378" s="4"/>
      <c r="C378" s="4" t="s">
        <v>2045</v>
      </c>
      <c r="D378" s="8" t="str">
        <f t="shared" si="1"/>
        <v>{"valorA":"freezer","valorB":133}</v>
      </c>
      <c r="E378" s="8" t="str">
        <f t="shared" si="2"/>
        <v>freezer</v>
      </c>
      <c r="F378" s="8"/>
      <c r="G378" s="15" t="str">
        <f t="shared" si="3"/>
        <v>133</v>
      </c>
      <c r="H378" s="9">
        <f t="shared" si="4"/>
        <v>133</v>
      </c>
      <c r="I378" s="6" t="str">
        <f>IFERROR(__xludf.DUMMYFUNCTION("MAX(FILTER($H$2:$H501,$E$2:$E501=F378))"),"#N/A")</f>
        <v>#N/A</v>
      </c>
    </row>
    <row r="379">
      <c r="A379" s="4"/>
      <c r="B379" s="4"/>
      <c r="C379" s="4" t="s">
        <v>2038</v>
      </c>
      <c r="D379" s="8" t="str">
        <f t="shared" si="1"/>
        <v>{"valorA":"microondas","valorB":123}</v>
      </c>
      <c r="E379" s="8" t="str">
        <f t="shared" si="2"/>
        <v>microondas</v>
      </c>
      <c r="F379" s="8"/>
      <c r="G379" s="15" t="str">
        <f t="shared" si="3"/>
        <v>123</v>
      </c>
      <c r="H379" s="9">
        <f t="shared" si="4"/>
        <v>123</v>
      </c>
      <c r="I379" s="6" t="str">
        <f>IFERROR(__xludf.DUMMYFUNCTION("MAX(FILTER($H$2:$H501,$E$2:$E501=F379))"),"#N/A")</f>
        <v>#N/A</v>
      </c>
    </row>
    <row r="380">
      <c r="A380" s="4"/>
      <c r="B380" s="4"/>
      <c r="C380" s="4" t="s">
        <v>2040</v>
      </c>
      <c r="D380" s="8" t="str">
        <f t="shared" si="1"/>
        <v>{"valorA":"microondas","valorB":124}</v>
      </c>
      <c r="E380" s="8" t="str">
        <f t="shared" si="2"/>
        <v>microondas</v>
      </c>
      <c r="F380" s="8"/>
      <c r="G380" s="15" t="str">
        <f t="shared" si="3"/>
        <v>124</v>
      </c>
      <c r="H380" s="9">
        <f t="shared" si="4"/>
        <v>124</v>
      </c>
      <c r="I380" s="6" t="str">
        <f>IFERROR(__xludf.DUMMYFUNCTION("MAX(FILTER($H$2:$H501,$E$2:$E501=F380))"),"#N/A")</f>
        <v>#N/A</v>
      </c>
    </row>
    <row r="381">
      <c r="A381" s="4"/>
      <c r="B381" s="4"/>
      <c r="C381" s="4" t="s">
        <v>2043</v>
      </c>
      <c r="D381" s="8" t="str">
        <f t="shared" si="1"/>
        <v>{"valorA":"microondas","valorB":125}</v>
      </c>
      <c r="E381" s="8" t="str">
        <f t="shared" si="2"/>
        <v>microondas</v>
      </c>
      <c r="F381" s="8"/>
      <c r="G381" s="15" t="str">
        <f t="shared" si="3"/>
        <v>125</v>
      </c>
      <c r="H381" s="9">
        <f t="shared" si="4"/>
        <v>125</v>
      </c>
      <c r="I381" s="6" t="str">
        <f>IFERROR(__xludf.DUMMYFUNCTION("MAX(FILTER($H$2:$H501,$E$2:$E501=F381))"),"#N/A")</f>
        <v>#N/A</v>
      </c>
    </row>
    <row r="382">
      <c r="A382" s="4"/>
      <c r="B382" s="4"/>
      <c r="C382" s="4" t="s">
        <v>2027</v>
      </c>
      <c r="D382" s="8" t="str">
        <f t="shared" si="1"/>
        <v>{"valorA":"ar condicionado","valorB":123}</v>
      </c>
      <c r="E382" s="8" t="str">
        <f t="shared" si="2"/>
        <v>ar condicionado</v>
      </c>
      <c r="F382" s="8"/>
      <c r="G382" s="15" t="str">
        <f t="shared" si="3"/>
        <v>123</v>
      </c>
      <c r="H382" s="9">
        <f t="shared" si="4"/>
        <v>123</v>
      </c>
      <c r="I382" s="6" t="str">
        <f>IFERROR(__xludf.DUMMYFUNCTION("MAX(FILTER($H$2:$H501,$E$2:$E501=F382))"),"#N/A")</f>
        <v>#N/A</v>
      </c>
    </row>
    <row r="383">
      <c r="A383" s="4"/>
      <c r="B383" s="4"/>
      <c r="C383" s="4" t="s">
        <v>2044</v>
      </c>
      <c r="D383" s="8" t="str">
        <f t="shared" si="1"/>
        <v>{"valorA":"microondas","valorB":126}</v>
      </c>
      <c r="E383" s="8" t="str">
        <f t="shared" si="2"/>
        <v>microondas</v>
      </c>
      <c r="F383" s="8"/>
      <c r="G383" s="15" t="str">
        <f t="shared" si="3"/>
        <v>126</v>
      </c>
      <c r="H383" s="9">
        <f t="shared" si="4"/>
        <v>126</v>
      </c>
      <c r="I383" s="6" t="str">
        <f>IFERROR(__xludf.DUMMYFUNCTION("MAX(FILTER($H$2:$H501,$E$2:$E501=F383))"),"#N/A")</f>
        <v>#N/A</v>
      </c>
    </row>
    <row r="384">
      <c r="A384" s="4"/>
      <c r="B384" s="4"/>
      <c r="C384" s="4" t="s">
        <v>2028</v>
      </c>
      <c r="D384" s="8" t="str">
        <f t="shared" si="1"/>
        <v>{"valorA":"ar condicionado","valorB":124}</v>
      </c>
      <c r="E384" s="8" t="str">
        <f t="shared" si="2"/>
        <v>ar condicionado</v>
      </c>
      <c r="F384" s="8"/>
      <c r="G384" s="15" t="str">
        <f t="shared" si="3"/>
        <v>124</v>
      </c>
      <c r="H384" s="9">
        <f t="shared" si="4"/>
        <v>124</v>
      </c>
      <c r="I384" s="6" t="str">
        <f>IFERROR(__xludf.DUMMYFUNCTION("MAX(FILTER($H$2:$H501,$E$2:$E501=F384))"),"#N/A")</f>
        <v>#N/A</v>
      </c>
    </row>
    <row r="385">
      <c r="A385" s="4"/>
      <c r="B385" s="4"/>
      <c r="C385" s="4" t="s">
        <v>2049</v>
      </c>
      <c r="D385" s="8" t="str">
        <f t="shared" si="1"/>
        <v>{"valorA":"freezer","valorB":134}</v>
      </c>
      <c r="E385" s="8" t="str">
        <f t="shared" si="2"/>
        <v>freezer</v>
      </c>
      <c r="F385" s="8"/>
      <c r="G385" s="15" t="str">
        <f t="shared" si="3"/>
        <v>134</v>
      </c>
      <c r="H385" s="9">
        <f t="shared" si="4"/>
        <v>134</v>
      </c>
      <c r="I385" s="6" t="str">
        <f>IFERROR(__xludf.DUMMYFUNCTION("MAX(FILTER($H$2:$H501,$E$2:$E501=F385))"),"#N/A")</f>
        <v>#N/A</v>
      </c>
    </row>
    <row r="386">
      <c r="A386" s="4"/>
      <c r="B386" s="4"/>
      <c r="C386" s="4" t="s">
        <v>2052</v>
      </c>
      <c r="D386" s="8" t="str">
        <f t="shared" si="1"/>
        <v>{"valorA":"freezer","valorB":135}</v>
      </c>
      <c r="E386" s="8" t="str">
        <f t="shared" si="2"/>
        <v>freezer</v>
      </c>
      <c r="F386" s="8"/>
      <c r="G386" s="15" t="str">
        <f t="shared" si="3"/>
        <v>135</v>
      </c>
      <c r="H386" s="9">
        <f t="shared" si="4"/>
        <v>135</v>
      </c>
      <c r="I386" s="6" t="str">
        <f>IFERROR(__xludf.DUMMYFUNCTION("MAX(FILTER($H$2:$H501,$E$2:$E501=F386))"),"#N/A")</f>
        <v>#N/A</v>
      </c>
    </row>
    <row r="387">
      <c r="A387" s="4"/>
      <c r="B387" s="4"/>
      <c r="C387" s="4" t="s">
        <v>2047</v>
      </c>
      <c r="D387" s="8" t="str">
        <f t="shared" si="1"/>
        <v>{"valorA":"microondas","valorB":127}</v>
      </c>
      <c r="E387" s="8" t="str">
        <f t="shared" si="2"/>
        <v>microondas</v>
      </c>
      <c r="F387" s="8"/>
      <c r="G387" s="15" t="str">
        <f t="shared" si="3"/>
        <v>127</v>
      </c>
      <c r="H387" s="9">
        <f t="shared" si="4"/>
        <v>127</v>
      </c>
      <c r="I387" s="6" t="str">
        <f>IFERROR(__xludf.DUMMYFUNCTION("MAX(FILTER($H$2:$H501,$E$2:$E501=F387))"),"#N/A")</f>
        <v>#N/A</v>
      </c>
    </row>
    <row r="388">
      <c r="A388" s="4"/>
      <c r="B388" s="4"/>
      <c r="C388" s="4" t="s">
        <v>2055</v>
      </c>
      <c r="D388" s="8" t="str">
        <f t="shared" si="1"/>
        <v>{"valorA":"freezer","valorB":136}</v>
      </c>
      <c r="E388" s="8" t="str">
        <f t="shared" si="2"/>
        <v>freezer</v>
      </c>
      <c r="F388" s="8"/>
      <c r="G388" s="15" t="str">
        <f t="shared" si="3"/>
        <v>136</v>
      </c>
      <c r="H388" s="9">
        <f t="shared" si="4"/>
        <v>136</v>
      </c>
      <c r="I388" s="6" t="str">
        <f>IFERROR(__xludf.DUMMYFUNCTION("MAX(FILTER($H$2:$H501,$E$2:$E501=F388))"),"#N/A")</f>
        <v>#N/A</v>
      </c>
    </row>
    <row r="389">
      <c r="A389" s="4"/>
      <c r="B389" s="4"/>
      <c r="C389" s="4" t="s">
        <v>2030</v>
      </c>
      <c r="D389" s="8" t="str">
        <f t="shared" si="1"/>
        <v>{"valorA":"ar condicionado","valorB":125}</v>
      </c>
      <c r="E389" s="8" t="str">
        <f t="shared" si="2"/>
        <v>ar condicionado</v>
      </c>
      <c r="F389" s="8"/>
      <c r="G389" s="15" t="str">
        <f t="shared" si="3"/>
        <v>125</v>
      </c>
      <c r="H389" s="9">
        <f t="shared" si="4"/>
        <v>125</v>
      </c>
      <c r="I389" s="6" t="str">
        <f>IFERROR(__xludf.DUMMYFUNCTION("MAX(FILTER($H$2:$H501,$E$2:$E501=F389))"),"#N/A")</f>
        <v>#N/A</v>
      </c>
    </row>
    <row r="390">
      <c r="A390" s="4"/>
      <c r="B390" s="4"/>
      <c r="C390" s="4" t="s">
        <v>2034</v>
      </c>
      <c r="D390" s="8" t="str">
        <f t="shared" si="1"/>
        <v>{"valorA":"ar condicionado","valorB":126}</v>
      </c>
      <c r="E390" s="8" t="str">
        <f t="shared" si="2"/>
        <v>ar condicionado</v>
      </c>
      <c r="F390" s="8"/>
      <c r="G390" s="15" t="str">
        <f t="shared" si="3"/>
        <v>126</v>
      </c>
      <c r="H390" s="9">
        <f t="shared" si="4"/>
        <v>126</v>
      </c>
      <c r="I390" s="6" t="str">
        <f>IFERROR(__xludf.DUMMYFUNCTION("MAX(FILTER($H$2:$H501,$E$2:$E501=F390))"),"#N/A")</f>
        <v>#N/A</v>
      </c>
    </row>
    <row r="391">
      <c r="A391" s="4"/>
      <c r="B391" s="4"/>
      <c r="C391" s="4" t="s">
        <v>2037</v>
      </c>
      <c r="D391" s="8" t="str">
        <f t="shared" si="1"/>
        <v>{"valorA":"ar condicionado","valorB":127}</v>
      </c>
      <c r="E391" s="8" t="str">
        <f t="shared" si="2"/>
        <v>ar condicionado</v>
      </c>
      <c r="F391" s="8"/>
      <c r="G391" s="15" t="str">
        <f t="shared" si="3"/>
        <v>127</v>
      </c>
      <c r="H391" s="9">
        <f t="shared" si="4"/>
        <v>127</v>
      </c>
      <c r="I391" s="6" t="str">
        <f>IFERROR(__xludf.DUMMYFUNCTION("MAX(FILTER($H$2:$H501,$E$2:$E501=F391))"),"#N/A")</f>
        <v>#N/A</v>
      </c>
    </row>
    <row r="392">
      <c r="A392" s="4"/>
      <c r="B392" s="4"/>
      <c r="C392" s="4" t="s">
        <v>2056</v>
      </c>
      <c r="D392" s="8" t="str">
        <f t="shared" si="1"/>
        <v>{"valorA":"freezer","valorB":137}</v>
      </c>
      <c r="E392" s="8" t="str">
        <f t="shared" si="2"/>
        <v>freezer</v>
      </c>
      <c r="F392" s="8"/>
      <c r="G392" s="15" t="str">
        <f t="shared" si="3"/>
        <v>137</v>
      </c>
      <c r="H392" s="9">
        <f t="shared" si="4"/>
        <v>137</v>
      </c>
      <c r="I392" s="6" t="str">
        <f>IFERROR(__xludf.DUMMYFUNCTION("MAX(FILTER($H$2:$H501,$E$2:$E501=F392))"),"#N/A")</f>
        <v>#N/A</v>
      </c>
    </row>
    <row r="393">
      <c r="A393" s="4"/>
      <c r="B393" s="4"/>
      <c r="C393" s="4" t="s">
        <v>2048</v>
      </c>
      <c r="D393" s="8" t="str">
        <f t="shared" si="1"/>
        <v>{"valorA":"microondas","valorB":128}</v>
      </c>
      <c r="E393" s="8" t="str">
        <f t="shared" si="2"/>
        <v>microondas</v>
      </c>
      <c r="F393" s="8"/>
      <c r="G393" s="15" t="str">
        <f t="shared" si="3"/>
        <v>128</v>
      </c>
      <c r="H393" s="9">
        <f t="shared" si="4"/>
        <v>128</v>
      </c>
      <c r="I393" s="6" t="str">
        <f>IFERROR(__xludf.DUMMYFUNCTION("MAX(FILTER($H$2:$H501,$E$2:$E501=F393))"),"#N/A")</f>
        <v>#N/A</v>
      </c>
    </row>
    <row r="394">
      <c r="A394" s="4"/>
      <c r="B394" s="4"/>
      <c r="C394" s="4" t="s">
        <v>2058</v>
      </c>
      <c r="D394" s="8" t="str">
        <f t="shared" si="1"/>
        <v>{"valorA":"freezer","valorB":138}</v>
      </c>
      <c r="E394" s="8" t="str">
        <f t="shared" si="2"/>
        <v>freezer</v>
      </c>
      <c r="F394" s="8"/>
      <c r="G394" s="15" t="str">
        <f t="shared" si="3"/>
        <v>138</v>
      </c>
      <c r="H394" s="9">
        <f t="shared" si="4"/>
        <v>138</v>
      </c>
      <c r="I394" s="6" t="str">
        <f>IFERROR(__xludf.DUMMYFUNCTION("MAX(FILTER($H$2:$H501,$E$2:$E501=F394))"),"#N/A")</f>
        <v>#N/A</v>
      </c>
    </row>
    <row r="395">
      <c r="A395" s="4"/>
      <c r="B395" s="4"/>
      <c r="C395" s="4" t="s">
        <v>2053</v>
      </c>
      <c r="D395" s="8" t="str">
        <f t="shared" si="1"/>
        <v>{"valorA":"microondas","valorB":129}</v>
      </c>
      <c r="E395" s="8" t="str">
        <f t="shared" si="2"/>
        <v>microondas</v>
      </c>
      <c r="F395" s="8"/>
      <c r="G395" s="15" t="str">
        <f t="shared" si="3"/>
        <v>129</v>
      </c>
      <c r="H395" s="9">
        <f t="shared" si="4"/>
        <v>129</v>
      </c>
      <c r="I395" s="6" t="str">
        <f>IFERROR(__xludf.DUMMYFUNCTION("MAX(FILTER($H$2:$H501,$E$2:$E501=F395))"),"#N/A")</f>
        <v>#N/A</v>
      </c>
    </row>
    <row r="396">
      <c r="A396" s="4"/>
      <c r="B396" s="4"/>
      <c r="C396" s="4" t="s">
        <v>2039</v>
      </c>
      <c r="D396" s="8" t="str">
        <f t="shared" si="1"/>
        <v>{"valorA":"ar condicionado","valorB":128}</v>
      </c>
      <c r="E396" s="8" t="str">
        <f t="shared" si="2"/>
        <v>ar condicionado</v>
      </c>
      <c r="F396" s="8"/>
      <c r="G396" s="15" t="str">
        <f t="shared" si="3"/>
        <v>128</v>
      </c>
      <c r="H396" s="9">
        <f t="shared" si="4"/>
        <v>128</v>
      </c>
      <c r="I396" s="6" t="str">
        <f>IFERROR(__xludf.DUMMYFUNCTION("MAX(FILTER($H$2:$H501,$E$2:$E501=F396))"),"#N/A")</f>
        <v>#N/A</v>
      </c>
    </row>
    <row r="397">
      <c r="A397" s="4"/>
      <c r="B397" s="4"/>
      <c r="C397" s="4" t="s">
        <v>2042</v>
      </c>
      <c r="D397" s="8" t="str">
        <f t="shared" si="1"/>
        <v>{"valorA":"ar condicionado","valorB":129}</v>
      </c>
      <c r="E397" s="8" t="str">
        <f t="shared" si="2"/>
        <v>ar condicionado</v>
      </c>
      <c r="F397" s="8"/>
      <c r="G397" s="15" t="str">
        <f t="shared" si="3"/>
        <v>129</v>
      </c>
      <c r="H397" s="9">
        <f t="shared" si="4"/>
        <v>129</v>
      </c>
      <c r="I397" s="6" t="str">
        <f>IFERROR(__xludf.DUMMYFUNCTION("MAX(FILTER($H$2:$H501,$E$2:$E501=F397))"),"#N/A")</f>
        <v>#N/A</v>
      </c>
    </row>
    <row r="398">
      <c r="A398" s="4"/>
      <c r="B398" s="4"/>
      <c r="C398" s="4" t="s">
        <v>2060</v>
      </c>
      <c r="D398" s="8" t="str">
        <f t="shared" si="1"/>
        <v>{"valorA":"freezer","valorB":139}</v>
      </c>
      <c r="E398" s="8" t="str">
        <f t="shared" si="2"/>
        <v>freezer</v>
      </c>
      <c r="F398" s="8"/>
      <c r="G398" s="15" t="str">
        <f t="shared" si="3"/>
        <v>139</v>
      </c>
      <c r="H398" s="9">
        <f t="shared" si="4"/>
        <v>139</v>
      </c>
      <c r="I398" s="6" t="str">
        <f>IFERROR(__xludf.DUMMYFUNCTION("MAX(FILTER($H$2:$H501,$E$2:$E501=F398))"),"#N/A")</f>
        <v>#N/A</v>
      </c>
    </row>
    <row r="399">
      <c r="A399" s="4"/>
      <c r="B399" s="4"/>
      <c r="C399" s="4" t="s">
        <v>2062</v>
      </c>
      <c r="D399" s="8" t="str">
        <f t="shared" si="1"/>
        <v>{"valorA":"freezer","valorB":140}</v>
      </c>
      <c r="E399" s="8" t="str">
        <f t="shared" si="2"/>
        <v>freezer</v>
      </c>
      <c r="F399" s="8"/>
      <c r="G399" s="15" t="str">
        <f t="shared" si="3"/>
        <v>140</v>
      </c>
      <c r="H399" s="9">
        <f t="shared" si="4"/>
        <v>140</v>
      </c>
      <c r="I399" s="6" t="str">
        <f>IFERROR(__xludf.DUMMYFUNCTION("MAX(FILTER($H$2:$H501,$E$2:$E501=F399))"),"#N/A")</f>
        <v>#N/A</v>
      </c>
    </row>
    <row r="400">
      <c r="A400" s="4"/>
      <c r="B400" s="4"/>
      <c r="C400" s="4" t="s">
        <v>2046</v>
      </c>
      <c r="D400" s="8" t="str">
        <f t="shared" si="1"/>
        <v>{"valorA":"ar condicionado","valorB":130}</v>
      </c>
      <c r="E400" s="8" t="str">
        <f t="shared" si="2"/>
        <v>ar condicionado</v>
      </c>
      <c r="F400" s="8"/>
      <c r="G400" s="15" t="str">
        <f t="shared" si="3"/>
        <v>130</v>
      </c>
      <c r="H400" s="9">
        <f t="shared" si="4"/>
        <v>130</v>
      </c>
      <c r="I400" s="6" t="str">
        <f>IFERROR(__xludf.DUMMYFUNCTION("MAX(FILTER($H$2:$H501,$E$2:$E501=F400))"),"#N/A")</f>
        <v>#N/A</v>
      </c>
    </row>
    <row r="401">
      <c r="A401" s="4"/>
      <c r="B401" s="4"/>
      <c r="C401" s="4" t="s">
        <v>2057</v>
      </c>
      <c r="D401" s="8" t="str">
        <f t="shared" si="1"/>
        <v>{"valorA":"microondas","valorB":130}</v>
      </c>
      <c r="E401" s="8" t="str">
        <f t="shared" si="2"/>
        <v>microondas</v>
      </c>
      <c r="F401" s="8"/>
      <c r="G401" s="15" t="str">
        <f t="shared" si="3"/>
        <v>130</v>
      </c>
      <c r="H401" s="9">
        <f t="shared" si="4"/>
        <v>130</v>
      </c>
      <c r="I401" s="6" t="str">
        <f>IFERROR(__xludf.DUMMYFUNCTION("MAX(FILTER($H$2:$H501,$E$2:$E501=F401))"),"#N/A")</f>
        <v>#N/A</v>
      </c>
    </row>
    <row r="402">
      <c r="A402" s="4"/>
      <c r="B402" s="4"/>
      <c r="C402" s="4" t="s">
        <v>2050</v>
      </c>
      <c r="D402" s="8" t="str">
        <f t="shared" si="1"/>
        <v>{"valorA":"ar condicionado","valorB":131}</v>
      </c>
      <c r="E402" s="8" t="str">
        <f t="shared" si="2"/>
        <v>ar condicionado</v>
      </c>
      <c r="F402" s="8"/>
      <c r="G402" s="15" t="str">
        <f t="shared" si="3"/>
        <v>131</v>
      </c>
      <c r="H402" s="9">
        <f t="shared" si="4"/>
        <v>131</v>
      </c>
      <c r="I402" s="6" t="str">
        <f>IFERROR(__xludf.DUMMYFUNCTION("MAX(FILTER($H$2:$H501,$E$2:$E501=F402))"),"#N/A")</f>
        <v>#N/A</v>
      </c>
    </row>
    <row r="403">
      <c r="A403" s="4"/>
      <c r="B403" s="4"/>
      <c r="C403" s="4" t="s">
        <v>2063</v>
      </c>
      <c r="D403" s="8" t="str">
        <f t="shared" si="1"/>
        <v>{"valorA":"microondas","valorB":131}</v>
      </c>
      <c r="E403" s="8" t="str">
        <f t="shared" si="2"/>
        <v>microondas</v>
      </c>
      <c r="F403" s="8"/>
      <c r="G403" s="15" t="str">
        <f t="shared" si="3"/>
        <v>131</v>
      </c>
      <c r="H403" s="9">
        <f t="shared" si="4"/>
        <v>131</v>
      </c>
      <c r="I403" s="6" t="str">
        <f>IFERROR(__xludf.DUMMYFUNCTION("MAX(FILTER($H$2:$H501,$E$2:$E501=F403))"),"#N/A")</f>
        <v>#N/A</v>
      </c>
    </row>
    <row r="404">
      <c r="A404" s="4"/>
      <c r="B404" s="4"/>
      <c r="C404" s="4" t="s">
        <v>2064</v>
      </c>
      <c r="D404" s="8" t="str">
        <f t="shared" si="1"/>
        <v>{"valorA":"freezer","valorB":141}</v>
      </c>
      <c r="E404" s="8" t="str">
        <f t="shared" si="2"/>
        <v>freezer</v>
      </c>
      <c r="F404" s="8"/>
      <c r="G404" s="15" t="str">
        <f t="shared" si="3"/>
        <v>141</v>
      </c>
      <c r="H404" s="9">
        <f t="shared" si="4"/>
        <v>141</v>
      </c>
      <c r="I404" s="6" t="str">
        <f>IFERROR(__xludf.DUMMYFUNCTION("MAX(FILTER($H$2:$H501,$E$2:$E501=F404))"),"#N/A")</f>
        <v>#N/A</v>
      </c>
    </row>
    <row r="405">
      <c r="A405" s="4"/>
      <c r="B405" s="4"/>
      <c r="C405" s="4" t="s">
        <v>2051</v>
      </c>
      <c r="D405" s="8" t="str">
        <f t="shared" si="1"/>
        <v>{"valorA":"ar condicionado","valorB":132}</v>
      </c>
      <c r="E405" s="8" t="str">
        <f t="shared" si="2"/>
        <v>ar condicionado</v>
      </c>
      <c r="F405" s="8"/>
      <c r="G405" s="15" t="str">
        <f t="shared" si="3"/>
        <v>132</v>
      </c>
      <c r="H405" s="9">
        <f t="shared" si="4"/>
        <v>132</v>
      </c>
      <c r="I405" s="6" t="str">
        <f>IFERROR(__xludf.DUMMYFUNCTION("MAX(FILTER($H$2:$H501,$E$2:$E501=F405))"),"#N/A")</f>
        <v>#N/A</v>
      </c>
    </row>
    <row r="406">
      <c r="A406" s="4"/>
      <c r="B406" s="4"/>
      <c r="C406" s="4" t="s">
        <v>2067</v>
      </c>
      <c r="D406" s="8" t="str">
        <f t="shared" si="1"/>
        <v>{"valorA":"freezer","valorB":142}</v>
      </c>
      <c r="E406" s="8" t="str">
        <f t="shared" si="2"/>
        <v>freezer</v>
      </c>
      <c r="F406" s="8"/>
      <c r="G406" s="15" t="str">
        <f t="shared" si="3"/>
        <v>142</v>
      </c>
      <c r="H406" s="9">
        <f t="shared" si="4"/>
        <v>142</v>
      </c>
      <c r="I406" s="6" t="str">
        <f>IFERROR(__xludf.DUMMYFUNCTION("MAX(FILTER($H$2:$H501,$E$2:$E501=F406))"),"#N/A")</f>
        <v>#N/A</v>
      </c>
    </row>
    <row r="407">
      <c r="A407" s="4"/>
      <c r="B407" s="4"/>
      <c r="C407" s="4" t="s">
        <v>2074</v>
      </c>
      <c r="D407" s="8" t="str">
        <f t="shared" si="1"/>
        <v>{"valorA":"freezer","valorB":143}</v>
      </c>
      <c r="E407" s="8" t="str">
        <f t="shared" si="2"/>
        <v>freezer</v>
      </c>
      <c r="F407" s="8"/>
      <c r="G407" s="15" t="str">
        <f t="shared" si="3"/>
        <v>143</v>
      </c>
      <c r="H407" s="9">
        <f t="shared" si="4"/>
        <v>143</v>
      </c>
      <c r="I407" s="6" t="str">
        <f>IFERROR(__xludf.DUMMYFUNCTION("MAX(FILTER($H$2:$H501,$E$2:$E501=F407))"),"#N/A")</f>
        <v>#N/A</v>
      </c>
    </row>
    <row r="408">
      <c r="A408" s="4"/>
      <c r="B408" s="4"/>
      <c r="C408" s="4" t="s">
        <v>2078</v>
      </c>
      <c r="D408" s="8" t="str">
        <f t="shared" si="1"/>
        <v>{"valorA":"freezer","valorB":144}</v>
      </c>
      <c r="E408" s="8" t="str">
        <f t="shared" si="2"/>
        <v>freezer</v>
      </c>
      <c r="F408" s="8"/>
      <c r="G408" s="15" t="str">
        <f t="shared" si="3"/>
        <v>144</v>
      </c>
      <c r="H408" s="9">
        <f t="shared" si="4"/>
        <v>144</v>
      </c>
      <c r="I408" s="6" t="str">
        <f>IFERROR(__xludf.DUMMYFUNCTION("MAX(FILTER($H$2:$H501,$E$2:$E501=F408))"),"#N/A")</f>
        <v>#N/A</v>
      </c>
    </row>
    <row r="409">
      <c r="A409" s="4"/>
      <c r="B409" s="4"/>
      <c r="C409" s="4" t="s">
        <v>2054</v>
      </c>
      <c r="D409" s="8" t="str">
        <f t="shared" si="1"/>
        <v>{"valorA":"ar condicionado","valorB":133}</v>
      </c>
      <c r="E409" s="8" t="str">
        <f t="shared" si="2"/>
        <v>ar condicionado</v>
      </c>
      <c r="F409" s="8"/>
      <c r="G409" s="15" t="str">
        <f t="shared" si="3"/>
        <v>133</v>
      </c>
      <c r="H409" s="9">
        <f t="shared" si="4"/>
        <v>133</v>
      </c>
      <c r="I409" s="6" t="str">
        <f>IFERROR(__xludf.DUMMYFUNCTION("MAX(FILTER($H$2:$H501,$E$2:$E501=F409))"),"#N/A")</f>
        <v>#N/A</v>
      </c>
    </row>
    <row r="410">
      <c r="A410" s="4"/>
      <c r="B410" s="4"/>
      <c r="C410" s="4" t="s">
        <v>2086</v>
      </c>
      <c r="D410" s="8" t="str">
        <f t="shared" si="1"/>
        <v>{"valorA":"freezer","valorB":145}</v>
      </c>
      <c r="E410" s="8" t="str">
        <f t="shared" si="2"/>
        <v>freezer</v>
      </c>
      <c r="F410" s="8"/>
      <c r="G410" s="15" t="str">
        <f t="shared" si="3"/>
        <v>145</v>
      </c>
      <c r="H410" s="9">
        <f t="shared" si="4"/>
        <v>145</v>
      </c>
      <c r="I410" s="6" t="str">
        <f>IFERROR(__xludf.DUMMYFUNCTION("MAX(FILTER($H$2:$H501,$E$2:$E501=F410))"),"#N/A")</f>
        <v>#N/A</v>
      </c>
    </row>
    <row r="411">
      <c r="A411" s="4"/>
      <c r="B411" s="4"/>
      <c r="C411" s="4" t="s">
        <v>2089</v>
      </c>
      <c r="D411" s="8" t="str">
        <f t="shared" si="1"/>
        <v>{"valorA":"freezer","valorB":146}</v>
      </c>
      <c r="E411" s="8" t="str">
        <f t="shared" si="2"/>
        <v>freezer</v>
      </c>
      <c r="F411" s="8"/>
      <c r="G411" s="15" t="str">
        <f t="shared" si="3"/>
        <v>146</v>
      </c>
      <c r="H411" s="9">
        <f t="shared" si="4"/>
        <v>146</v>
      </c>
      <c r="I411" s="6" t="str">
        <f>IFERROR(__xludf.DUMMYFUNCTION("MAX(FILTER($H$2:$H501,$E$2:$E501=F411))"),"#N/A")</f>
        <v>#N/A</v>
      </c>
    </row>
    <row r="412">
      <c r="A412" s="4"/>
      <c r="B412" s="4"/>
      <c r="C412" s="4" t="s">
        <v>2099</v>
      </c>
      <c r="D412" s="8" t="str">
        <f t="shared" si="1"/>
        <v>{"valorA":"freezer","valorB":147}</v>
      </c>
      <c r="E412" s="8" t="str">
        <f t="shared" si="2"/>
        <v>freezer</v>
      </c>
      <c r="F412" s="8"/>
      <c r="G412" s="15" t="str">
        <f t="shared" si="3"/>
        <v>147</v>
      </c>
      <c r="H412" s="9">
        <f t="shared" si="4"/>
        <v>147</v>
      </c>
      <c r="I412" s="6" t="str">
        <f>IFERROR(__xludf.DUMMYFUNCTION("MAX(FILTER($H$2:$H501,$E$2:$E501=F412))"),"#N/A")</f>
        <v>#N/A</v>
      </c>
    </row>
    <row r="413">
      <c r="A413" s="4"/>
      <c r="B413" s="4"/>
      <c r="C413" s="4" t="s">
        <v>2059</v>
      </c>
      <c r="D413" s="8" t="str">
        <f t="shared" si="1"/>
        <v>{"valorA":"ar condicionado","valorB":134}</v>
      </c>
      <c r="E413" s="8" t="str">
        <f t="shared" si="2"/>
        <v>ar condicionado</v>
      </c>
      <c r="F413" s="8"/>
      <c r="G413" s="15" t="str">
        <f t="shared" si="3"/>
        <v>134</v>
      </c>
      <c r="H413" s="9">
        <f t="shared" si="4"/>
        <v>134</v>
      </c>
      <c r="I413" s="6" t="str">
        <f>IFERROR(__xludf.DUMMYFUNCTION("MAX(FILTER($H$2:$H501,$E$2:$E501=F413))"),"#N/A")</f>
        <v>#N/A</v>
      </c>
    </row>
    <row r="414">
      <c r="A414" s="4"/>
      <c r="B414" s="4"/>
      <c r="C414" s="4" t="s">
        <v>2102</v>
      </c>
      <c r="D414" s="8" t="str">
        <f t="shared" si="1"/>
        <v>{"valorA":"freezer","valorB":148}</v>
      </c>
      <c r="E414" s="8" t="str">
        <f t="shared" si="2"/>
        <v>freezer</v>
      </c>
      <c r="F414" s="8"/>
      <c r="G414" s="15" t="str">
        <f t="shared" si="3"/>
        <v>148</v>
      </c>
      <c r="H414" s="9">
        <f t="shared" si="4"/>
        <v>148</v>
      </c>
      <c r="I414" s="6" t="str">
        <f>IFERROR(__xludf.DUMMYFUNCTION("MAX(FILTER($H$2:$H501,$E$2:$E501=F414))"),"#N/A")</f>
        <v>#N/A</v>
      </c>
    </row>
    <row r="415">
      <c r="A415" s="4"/>
      <c r="B415" s="4"/>
      <c r="C415" s="4" t="s">
        <v>2104</v>
      </c>
      <c r="D415" s="8" t="str">
        <f t="shared" si="1"/>
        <v>{"valorA":"freezer","valorB":149}</v>
      </c>
      <c r="E415" s="8" t="str">
        <f t="shared" si="2"/>
        <v>freezer</v>
      </c>
      <c r="F415" s="8"/>
      <c r="G415" s="15" t="str">
        <f t="shared" si="3"/>
        <v>149</v>
      </c>
      <c r="H415" s="9">
        <f t="shared" si="4"/>
        <v>149</v>
      </c>
      <c r="I415" s="6" t="str">
        <f>IFERROR(__xludf.DUMMYFUNCTION("MAX(FILTER($H$2:$H501,$E$2:$E501=F415))"),"#N/A")</f>
        <v>#N/A</v>
      </c>
    </row>
    <row r="416">
      <c r="A416" s="4"/>
      <c r="B416" s="4"/>
      <c r="C416" s="4" t="s">
        <v>2061</v>
      </c>
      <c r="D416" s="8" t="str">
        <f t="shared" si="1"/>
        <v>{"valorA":"ar condicionado","valorB":135}</v>
      </c>
      <c r="E416" s="8" t="str">
        <f t="shared" si="2"/>
        <v>ar condicionado</v>
      </c>
      <c r="F416" s="8"/>
      <c r="G416" s="15" t="str">
        <f t="shared" si="3"/>
        <v>135</v>
      </c>
      <c r="H416" s="9">
        <f t="shared" si="4"/>
        <v>135</v>
      </c>
      <c r="I416" s="6" t="str">
        <f>IFERROR(__xludf.DUMMYFUNCTION("MAX(FILTER($H$2:$H501,$E$2:$E501=F416))"),"#N/A")</f>
        <v>#N/A</v>
      </c>
    </row>
    <row r="417">
      <c r="A417" s="4"/>
      <c r="B417" s="4"/>
      <c r="C417" s="4" t="s">
        <v>2065</v>
      </c>
      <c r="D417" s="8" t="str">
        <f t="shared" si="1"/>
        <v>{"valorA":"ar condicionado","valorB":136}</v>
      </c>
      <c r="E417" s="8" t="str">
        <f t="shared" si="2"/>
        <v>ar condicionado</v>
      </c>
      <c r="F417" s="8"/>
      <c r="G417" s="15" t="str">
        <f t="shared" si="3"/>
        <v>136</v>
      </c>
      <c r="H417" s="9">
        <f t="shared" si="4"/>
        <v>136</v>
      </c>
      <c r="I417" s="6" t="str">
        <f>IFERROR(__xludf.DUMMYFUNCTION("MAX(FILTER($H$2:$H501,$E$2:$E501=F417))"),"#N/A")</f>
        <v>#N/A</v>
      </c>
    </row>
    <row r="418">
      <c r="A418" s="4"/>
      <c r="B418" s="4"/>
      <c r="C418" s="4" t="s">
        <v>2069</v>
      </c>
      <c r="D418" s="8" t="str">
        <f t="shared" si="1"/>
        <v>{"valorA":"ar condicionado","valorB":137}</v>
      </c>
      <c r="E418" s="8" t="str">
        <f t="shared" si="2"/>
        <v>ar condicionado</v>
      </c>
      <c r="F418" s="8"/>
      <c r="G418" s="15" t="str">
        <f t="shared" si="3"/>
        <v>137</v>
      </c>
      <c r="H418" s="9">
        <f t="shared" si="4"/>
        <v>137</v>
      </c>
      <c r="I418" s="6" t="str">
        <f>IFERROR(__xludf.DUMMYFUNCTION("MAX(FILTER($H$2:$H501,$E$2:$E501=F418))"),"#N/A")</f>
        <v>#N/A</v>
      </c>
    </row>
    <row r="419">
      <c r="A419" s="4"/>
      <c r="B419" s="4"/>
      <c r="C419" s="4" t="s">
        <v>2066</v>
      </c>
      <c r="D419" s="8" t="str">
        <f t="shared" si="1"/>
        <v>{"valorA":"microondas","valorB":132}</v>
      </c>
      <c r="E419" s="8" t="str">
        <f t="shared" si="2"/>
        <v>microondas</v>
      </c>
      <c r="F419" s="8"/>
      <c r="G419" s="15" t="str">
        <f t="shared" si="3"/>
        <v>132</v>
      </c>
      <c r="H419" s="9">
        <f t="shared" si="4"/>
        <v>132</v>
      </c>
      <c r="I419" s="6" t="str">
        <f>IFERROR(__xludf.DUMMYFUNCTION("MAX(FILTER($H$2:$H501,$E$2:$E501=F419))"),"#N/A")</f>
        <v>#N/A</v>
      </c>
    </row>
    <row r="420">
      <c r="A420" s="4"/>
      <c r="B420" s="4"/>
      <c r="C420" s="4" t="s">
        <v>2105</v>
      </c>
      <c r="D420" s="8" t="str">
        <f t="shared" si="1"/>
        <v>{"valorA":"freezer","valorB":150}</v>
      </c>
      <c r="E420" s="8" t="str">
        <f t="shared" si="2"/>
        <v>freezer</v>
      </c>
      <c r="F420" s="8"/>
      <c r="G420" s="15" t="str">
        <f t="shared" si="3"/>
        <v>150</v>
      </c>
      <c r="H420" s="9">
        <f t="shared" si="4"/>
        <v>150</v>
      </c>
      <c r="I420" s="6" t="str">
        <f>IFERROR(__xludf.DUMMYFUNCTION("MAX(FILTER($H$2:$H501,$E$2:$E501=F420))"),"#N/A")</f>
        <v>#N/A</v>
      </c>
    </row>
    <row r="421">
      <c r="A421" s="4"/>
      <c r="B421" s="4"/>
      <c r="C421" s="4" t="s">
        <v>2107</v>
      </c>
      <c r="D421" s="8" t="str">
        <f t="shared" si="1"/>
        <v>{"valorA":"freezer","valorB":151}</v>
      </c>
      <c r="E421" s="8" t="str">
        <f t="shared" si="2"/>
        <v>freezer</v>
      </c>
      <c r="F421" s="8"/>
      <c r="G421" s="15" t="str">
        <f t="shared" si="3"/>
        <v>151</v>
      </c>
      <c r="H421" s="9">
        <f t="shared" si="4"/>
        <v>151</v>
      </c>
      <c r="I421" s="6" t="str">
        <f>IFERROR(__xludf.DUMMYFUNCTION("MAX(FILTER($H$2:$H501,$E$2:$E501=F421))"),"#N/A")</f>
        <v>#N/A</v>
      </c>
    </row>
    <row r="422">
      <c r="A422" s="4"/>
      <c r="B422" s="4"/>
      <c r="C422" s="4" t="s">
        <v>2068</v>
      </c>
      <c r="D422" s="8" t="str">
        <f t="shared" si="1"/>
        <v>{"valorA":"microondas","valorB":133}</v>
      </c>
      <c r="E422" s="8" t="str">
        <f t="shared" si="2"/>
        <v>microondas</v>
      </c>
      <c r="F422" s="8"/>
      <c r="G422" s="15" t="str">
        <f t="shared" si="3"/>
        <v>133</v>
      </c>
      <c r="H422" s="9">
        <f t="shared" si="4"/>
        <v>133</v>
      </c>
      <c r="I422" s="6" t="str">
        <f>IFERROR(__xludf.DUMMYFUNCTION("MAX(FILTER($H$2:$H501,$E$2:$E501=F422))"),"#N/A")</f>
        <v>#N/A</v>
      </c>
    </row>
    <row r="423">
      <c r="A423" s="4"/>
      <c r="B423" s="4"/>
      <c r="C423" s="4" t="s">
        <v>2070</v>
      </c>
      <c r="D423" s="8" t="str">
        <f t="shared" si="1"/>
        <v>{"valorA":"ar condicionado","valorB":138}</v>
      </c>
      <c r="E423" s="8" t="str">
        <f t="shared" si="2"/>
        <v>ar condicionado</v>
      </c>
      <c r="F423" s="8"/>
      <c r="G423" s="15" t="str">
        <f t="shared" si="3"/>
        <v>138</v>
      </c>
      <c r="H423" s="9">
        <f t="shared" si="4"/>
        <v>138</v>
      </c>
      <c r="I423" s="6" t="str">
        <f>IFERROR(__xludf.DUMMYFUNCTION("MAX(FILTER($H$2:$H501,$E$2:$E501=F423))"),"#N/A")</f>
        <v>#N/A</v>
      </c>
    </row>
    <row r="424">
      <c r="A424" s="4"/>
      <c r="B424" s="4"/>
      <c r="C424" s="4" t="s">
        <v>2071</v>
      </c>
      <c r="D424" s="8" t="str">
        <f t="shared" si="1"/>
        <v>{"valorA":"ar condicionado","valorB":139}</v>
      </c>
      <c r="E424" s="8" t="str">
        <f t="shared" si="2"/>
        <v>ar condicionado</v>
      </c>
      <c r="F424" s="8"/>
      <c r="G424" s="15" t="str">
        <f t="shared" si="3"/>
        <v>139</v>
      </c>
      <c r="H424" s="9">
        <f t="shared" si="4"/>
        <v>139</v>
      </c>
      <c r="I424" s="6" t="str">
        <f>IFERROR(__xludf.DUMMYFUNCTION("MAX(FILTER($H$2:$H501,$E$2:$E501=F424))"),"#N/A")</f>
        <v>#N/A</v>
      </c>
    </row>
    <row r="425">
      <c r="A425" s="4"/>
      <c r="B425" s="4"/>
      <c r="C425" s="4" t="s">
        <v>2110</v>
      </c>
      <c r="D425" s="8" t="str">
        <f t="shared" si="1"/>
        <v>{"valorA":"freezer","valorB":152}</v>
      </c>
      <c r="E425" s="8" t="str">
        <f t="shared" si="2"/>
        <v>freezer</v>
      </c>
      <c r="F425" s="8"/>
      <c r="G425" s="15" t="str">
        <f t="shared" si="3"/>
        <v>152</v>
      </c>
      <c r="H425" s="9">
        <f t="shared" si="4"/>
        <v>152</v>
      </c>
      <c r="I425" s="6" t="str">
        <f>IFERROR(__xludf.DUMMYFUNCTION("MAX(FILTER($H$2:$H501,$E$2:$E501=F425))"),"#N/A")</f>
        <v>#N/A</v>
      </c>
    </row>
    <row r="426">
      <c r="A426" s="4"/>
      <c r="B426" s="4"/>
      <c r="C426" s="4" t="s">
        <v>2072</v>
      </c>
      <c r="D426" s="8" t="str">
        <f t="shared" si="1"/>
        <v>{"valorA":"ar condicionado","valorB":140}</v>
      </c>
      <c r="E426" s="8" t="str">
        <f t="shared" si="2"/>
        <v>ar condicionado</v>
      </c>
      <c r="F426" s="8"/>
      <c r="G426" s="15" t="str">
        <f t="shared" si="3"/>
        <v>140</v>
      </c>
      <c r="H426" s="9">
        <f t="shared" si="4"/>
        <v>140</v>
      </c>
      <c r="I426" s="6" t="str">
        <f>IFERROR(__xludf.DUMMYFUNCTION("MAX(FILTER($H$2:$H501,$E$2:$E501=F426))"),"#N/A")</f>
        <v>#N/A</v>
      </c>
    </row>
    <row r="427">
      <c r="A427" s="4"/>
      <c r="B427" s="4"/>
      <c r="C427" s="4" t="s">
        <v>2073</v>
      </c>
      <c r="D427" s="8" t="str">
        <f t="shared" si="1"/>
        <v>{"valorA":"microondas","valorB":134}</v>
      </c>
      <c r="E427" s="8" t="str">
        <f t="shared" si="2"/>
        <v>microondas</v>
      </c>
      <c r="F427" s="8"/>
      <c r="G427" s="15" t="str">
        <f t="shared" si="3"/>
        <v>134</v>
      </c>
      <c r="H427" s="9">
        <f t="shared" si="4"/>
        <v>134</v>
      </c>
      <c r="I427" s="6" t="str">
        <f>IFERROR(__xludf.DUMMYFUNCTION("MAX(FILTER($H$2:$H501,$E$2:$E501=F427))"),"#N/A")</f>
        <v>#N/A</v>
      </c>
    </row>
    <row r="428">
      <c r="A428" s="4"/>
      <c r="B428" s="4"/>
      <c r="C428" s="4" t="s">
        <v>2077</v>
      </c>
      <c r="D428" s="8" t="str">
        <f t="shared" si="1"/>
        <v>{"valorA":"microondas","valorB":135}</v>
      </c>
      <c r="E428" s="8" t="str">
        <f t="shared" si="2"/>
        <v>microondas</v>
      </c>
      <c r="F428" s="8"/>
      <c r="G428" s="15" t="str">
        <f t="shared" si="3"/>
        <v>135</v>
      </c>
      <c r="H428" s="9">
        <f t="shared" si="4"/>
        <v>135</v>
      </c>
      <c r="I428" s="6" t="str">
        <f>IFERROR(__xludf.DUMMYFUNCTION("MAX(FILTER($H$2:$H501,$E$2:$E501=F428))"),"#N/A")</f>
        <v>#N/A</v>
      </c>
    </row>
    <row r="429">
      <c r="A429" s="4"/>
      <c r="B429" s="4"/>
      <c r="C429" s="4" t="s">
        <v>2079</v>
      </c>
      <c r="D429" s="8" t="str">
        <f t="shared" si="1"/>
        <v>{"valorA":"microondas","valorB":136}</v>
      </c>
      <c r="E429" s="8" t="str">
        <f t="shared" si="2"/>
        <v>microondas</v>
      </c>
      <c r="F429" s="8"/>
      <c r="G429" s="15" t="str">
        <f t="shared" si="3"/>
        <v>136</v>
      </c>
      <c r="H429" s="9">
        <f t="shared" si="4"/>
        <v>136</v>
      </c>
      <c r="I429" s="6" t="str">
        <f>IFERROR(__xludf.DUMMYFUNCTION("MAX(FILTER($H$2:$H501,$E$2:$E501=F429))"),"#N/A")</f>
        <v>#N/A</v>
      </c>
    </row>
    <row r="430">
      <c r="A430" s="4"/>
      <c r="B430" s="4"/>
      <c r="C430" s="4" t="s">
        <v>2082</v>
      </c>
      <c r="D430" s="8" t="str">
        <f t="shared" si="1"/>
        <v>{"valorA":"microondas","valorB":137}</v>
      </c>
      <c r="E430" s="8" t="str">
        <f t="shared" si="2"/>
        <v>microondas</v>
      </c>
      <c r="F430" s="8"/>
      <c r="G430" s="15" t="str">
        <f t="shared" si="3"/>
        <v>137</v>
      </c>
      <c r="H430" s="9">
        <f t="shared" si="4"/>
        <v>137</v>
      </c>
      <c r="I430" s="6" t="str">
        <f>IFERROR(__xludf.DUMMYFUNCTION("MAX(FILTER($H$2:$H501,$E$2:$E501=F430))"),"#N/A")</f>
        <v>#N/A</v>
      </c>
    </row>
    <row r="431">
      <c r="A431" s="4"/>
      <c r="B431" s="4"/>
      <c r="C431" s="4" t="s">
        <v>2084</v>
      </c>
      <c r="D431" s="8" t="str">
        <f t="shared" si="1"/>
        <v>{"valorA":"microondas","valorB":138}</v>
      </c>
      <c r="E431" s="8" t="str">
        <f t="shared" si="2"/>
        <v>microondas</v>
      </c>
      <c r="F431" s="8"/>
      <c r="G431" s="15" t="str">
        <f t="shared" si="3"/>
        <v>138</v>
      </c>
      <c r="H431" s="9">
        <f t="shared" si="4"/>
        <v>138</v>
      </c>
      <c r="I431" s="6" t="str">
        <f>IFERROR(__xludf.DUMMYFUNCTION("MAX(FILTER($H$2:$H501,$E$2:$E501=F431))"),"#N/A")</f>
        <v>#N/A</v>
      </c>
    </row>
    <row r="432">
      <c r="A432" s="4"/>
      <c r="B432" s="4"/>
      <c r="C432" s="4" t="s">
        <v>2119</v>
      </c>
      <c r="D432" s="8" t="str">
        <f t="shared" si="1"/>
        <v>{"valorA":"freezer","valorB":153}</v>
      </c>
      <c r="E432" s="8" t="str">
        <f t="shared" si="2"/>
        <v>freezer</v>
      </c>
      <c r="F432" s="8"/>
      <c r="G432" s="15" t="str">
        <f t="shared" si="3"/>
        <v>153</v>
      </c>
      <c r="H432" s="9">
        <f t="shared" si="4"/>
        <v>153</v>
      </c>
      <c r="I432" s="6" t="str">
        <f>IFERROR(__xludf.DUMMYFUNCTION("MAX(FILTER($H$2:$H501,$E$2:$E501=F432))"),"#N/A")</f>
        <v>#N/A</v>
      </c>
    </row>
    <row r="433">
      <c r="A433" s="4"/>
      <c r="B433" s="4"/>
      <c r="C433" s="4" t="s">
        <v>2075</v>
      </c>
      <c r="D433" s="8" t="str">
        <f t="shared" si="1"/>
        <v>{"valorA":"ar condicionado","valorB":141}</v>
      </c>
      <c r="E433" s="8" t="str">
        <f t="shared" si="2"/>
        <v>ar condicionado</v>
      </c>
      <c r="F433" s="8"/>
      <c r="G433" s="15" t="str">
        <f t="shared" si="3"/>
        <v>141</v>
      </c>
      <c r="H433" s="9">
        <f t="shared" si="4"/>
        <v>141</v>
      </c>
      <c r="I433" s="6" t="str">
        <f>IFERROR(__xludf.DUMMYFUNCTION("MAX(FILTER($H$2:$H501,$E$2:$E501=F433))"),"#N/A")</f>
        <v>#N/A</v>
      </c>
    </row>
    <row r="434">
      <c r="A434" s="4"/>
      <c r="B434" s="4"/>
      <c r="C434" s="4" t="s">
        <v>2122</v>
      </c>
      <c r="D434" s="8" t="str">
        <f t="shared" si="1"/>
        <v>{"valorA":"freezer","valorB":154}</v>
      </c>
      <c r="E434" s="8" t="str">
        <f t="shared" si="2"/>
        <v>freezer</v>
      </c>
      <c r="F434" s="8"/>
      <c r="G434" s="15" t="str">
        <f t="shared" si="3"/>
        <v>154</v>
      </c>
      <c r="H434" s="9">
        <f t="shared" si="4"/>
        <v>154</v>
      </c>
      <c r="I434" s="6" t="str">
        <f>IFERROR(__xludf.DUMMYFUNCTION("MAX(FILTER($H$2:$H501,$E$2:$E501=F434))"),"#N/A")</f>
        <v>#N/A</v>
      </c>
    </row>
    <row r="435">
      <c r="A435" s="4"/>
      <c r="B435" s="4"/>
      <c r="C435" s="4" t="s">
        <v>2085</v>
      </c>
      <c r="D435" s="8" t="str">
        <f t="shared" si="1"/>
        <v>{"valorA":"microondas","valorB":139}</v>
      </c>
      <c r="E435" s="8" t="str">
        <f t="shared" si="2"/>
        <v>microondas</v>
      </c>
      <c r="F435" s="8"/>
      <c r="G435" s="15" t="str">
        <f t="shared" si="3"/>
        <v>139</v>
      </c>
      <c r="H435" s="9">
        <f t="shared" si="4"/>
        <v>139</v>
      </c>
      <c r="I435" s="6" t="str">
        <f>IFERROR(__xludf.DUMMYFUNCTION("MAX(FILTER($H$2:$H501,$E$2:$E501=F435))"),"#N/A")</f>
        <v>#N/A</v>
      </c>
    </row>
    <row r="436">
      <c r="A436" s="4"/>
      <c r="B436" s="4"/>
      <c r="C436" s="4" t="s">
        <v>2076</v>
      </c>
      <c r="D436" s="8" t="str">
        <f t="shared" si="1"/>
        <v>{"valorA":"ar condicionado","valorB":142}</v>
      </c>
      <c r="E436" s="8" t="str">
        <f t="shared" si="2"/>
        <v>ar condicionado</v>
      </c>
      <c r="F436" s="8"/>
      <c r="G436" s="15" t="str">
        <f t="shared" si="3"/>
        <v>142</v>
      </c>
      <c r="H436" s="9">
        <f t="shared" si="4"/>
        <v>142</v>
      </c>
      <c r="I436" s="6" t="str">
        <f>IFERROR(__xludf.DUMMYFUNCTION("MAX(FILTER($H$2:$H501,$E$2:$E501=F436))"),"#N/A")</f>
        <v>#N/A</v>
      </c>
    </row>
    <row r="437">
      <c r="A437" s="4"/>
      <c r="B437" s="4"/>
      <c r="C437" s="4" t="s">
        <v>2125</v>
      </c>
      <c r="D437" s="8" t="str">
        <f t="shared" si="1"/>
        <v>{"valorA":"freezer","valorB":155}</v>
      </c>
      <c r="E437" s="8" t="str">
        <f t="shared" si="2"/>
        <v>freezer</v>
      </c>
      <c r="F437" s="8"/>
      <c r="G437" s="15" t="str">
        <f t="shared" si="3"/>
        <v>155</v>
      </c>
      <c r="H437" s="9">
        <f t="shared" si="4"/>
        <v>155</v>
      </c>
      <c r="I437" s="6" t="str">
        <f>IFERROR(__xludf.DUMMYFUNCTION("MAX(FILTER($H$2:$H501,$E$2:$E501=F437))"),"#N/A")</f>
        <v>#N/A</v>
      </c>
    </row>
    <row r="438">
      <c r="A438" s="4"/>
      <c r="B438" s="4"/>
      <c r="C438" s="4" t="s">
        <v>2088</v>
      </c>
      <c r="D438" s="8" t="str">
        <f t="shared" si="1"/>
        <v>{"valorA":"microondas","valorB":140}</v>
      </c>
      <c r="E438" s="8" t="str">
        <f t="shared" si="2"/>
        <v>microondas</v>
      </c>
      <c r="F438" s="8"/>
      <c r="G438" s="15" t="str">
        <f t="shared" si="3"/>
        <v>140</v>
      </c>
      <c r="H438" s="9">
        <f t="shared" si="4"/>
        <v>140</v>
      </c>
      <c r="I438" s="6" t="str">
        <f>IFERROR(__xludf.DUMMYFUNCTION("MAX(FILTER($H$2:$H501,$E$2:$E501=F438))"),"#N/A")</f>
        <v>#N/A</v>
      </c>
    </row>
    <row r="439">
      <c r="A439" s="4"/>
      <c r="B439" s="4"/>
      <c r="C439" s="4" t="s">
        <v>2080</v>
      </c>
      <c r="D439" s="8" t="str">
        <f t="shared" si="1"/>
        <v>{"valorA":"ar condicionado","valorB":143}</v>
      </c>
      <c r="E439" s="8" t="str">
        <f t="shared" si="2"/>
        <v>ar condicionado</v>
      </c>
      <c r="F439" s="8"/>
      <c r="G439" s="15" t="str">
        <f t="shared" si="3"/>
        <v>143</v>
      </c>
      <c r="H439" s="9">
        <f t="shared" si="4"/>
        <v>143</v>
      </c>
      <c r="I439" s="6" t="str">
        <f>IFERROR(__xludf.DUMMYFUNCTION("MAX(FILTER($H$2:$H501,$E$2:$E501=F439))"),"#N/A")</f>
        <v>#N/A</v>
      </c>
    </row>
    <row r="440">
      <c r="A440" s="4"/>
      <c r="B440" s="4"/>
      <c r="C440" s="4" t="s">
        <v>2090</v>
      </c>
      <c r="D440" s="8" t="str">
        <f t="shared" si="1"/>
        <v>{"valorA":"microondas","valorB":141}</v>
      </c>
      <c r="E440" s="8" t="str">
        <f t="shared" si="2"/>
        <v>microondas</v>
      </c>
      <c r="F440" s="8"/>
      <c r="G440" s="15" t="str">
        <f t="shared" si="3"/>
        <v>141</v>
      </c>
      <c r="H440" s="9">
        <f t="shared" si="4"/>
        <v>141</v>
      </c>
      <c r="I440" s="6" t="str">
        <f>IFERROR(__xludf.DUMMYFUNCTION("MAX(FILTER($H$2:$H501,$E$2:$E501=F440))"),"#N/A")</f>
        <v>#N/A</v>
      </c>
    </row>
    <row r="441">
      <c r="A441" s="4"/>
      <c r="B441" s="4"/>
      <c r="C441" s="4" t="s">
        <v>2091</v>
      </c>
      <c r="D441" s="8" t="str">
        <f t="shared" si="1"/>
        <v>{"valorA":"microondas","valorB":142}</v>
      </c>
      <c r="E441" s="8" t="str">
        <f t="shared" si="2"/>
        <v>microondas</v>
      </c>
      <c r="F441" s="8"/>
      <c r="G441" s="15" t="str">
        <f t="shared" si="3"/>
        <v>142</v>
      </c>
      <c r="H441" s="9">
        <f t="shared" si="4"/>
        <v>142</v>
      </c>
      <c r="I441" s="6" t="str">
        <f>IFERROR(__xludf.DUMMYFUNCTION("MAX(FILTER($H$2:$H501,$E$2:$E501=F441))"),"#N/A")</f>
        <v>#N/A</v>
      </c>
    </row>
    <row r="442">
      <c r="A442" s="4"/>
      <c r="B442" s="4"/>
      <c r="C442" s="4" t="s">
        <v>2093</v>
      </c>
      <c r="D442" s="8" t="str">
        <f t="shared" si="1"/>
        <v>{"valorA":"microondas","valorB":143}</v>
      </c>
      <c r="E442" s="8" t="str">
        <f t="shared" si="2"/>
        <v>microondas</v>
      </c>
      <c r="F442" s="8"/>
      <c r="G442" s="15" t="str">
        <f t="shared" si="3"/>
        <v>143</v>
      </c>
      <c r="H442" s="9">
        <f t="shared" si="4"/>
        <v>143</v>
      </c>
      <c r="I442" s="6" t="str">
        <f>IFERROR(__xludf.DUMMYFUNCTION("MAX(FILTER($H$2:$H501,$E$2:$E501=F442))"),"#N/A")</f>
        <v>#N/A</v>
      </c>
    </row>
    <row r="443">
      <c r="A443" s="4"/>
      <c r="B443" s="4"/>
      <c r="C443" s="4" t="s">
        <v>2081</v>
      </c>
      <c r="D443" s="8" t="str">
        <f t="shared" si="1"/>
        <v>{"valorA":"ar condicionado","valorB":144}</v>
      </c>
      <c r="E443" s="8" t="str">
        <f t="shared" si="2"/>
        <v>ar condicionado</v>
      </c>
      <c r="F443" s="8"/>
      <c r="G443" s="15" t="str">
        <f t="shared" si="3"/>
        <v>144</v>
      </c>
      <c r="H443" s="9">
        <f t="shared" si="4"/>
        <v>144</v>
      </c>
      <c r="I443" s="6" t="str">
        <f>IFERROR(__xludf.DUMMYFUNCTION("MAX(FILTER($H$2:$H501,$E$2:$E501=F443))"),"#N/A")</f>
        <v>#N/A</v>
      </c>
    </row>
    <row r="444">
      <c r="A444" s="4"/>
      <c r="B444" s="4"/>
      <c r="C444" s="4" t="s">
        <v>2083</v>
      </c>
      <c r="D444" s="8" t="str">
        <f t="shared" si="1"/>
        <v>{"valorA":"ar condicionado","valorB":145}</v>
      </c>
      <c r="E444" s="8" t="str">
        <f t="shared" si="2"/>
        <v>ar condicionado</v>
      </c>
      <c r="F444" s="8"/>
      <c r="G444" s="15" t="str">
        <f t="shared" si="3"/>
        <v>145</v>
      </c>
      <c r="H444" s="9">
        <f t="shared" si="4"/>
        <v>145</v>
      </c>
      <c r="I444" s="6" t="str">
        <f>IFERROR(__xludf.DUMMYFUNCTION("MAX(FILTER($H$2:$H501,$E$2:$E501=F444))"),"#N/A")</f>
        <v>#N/A</v>
      </c>
    </row>
    <row r="445">
      <c r="A445" s="4"/>
      <c r="B445" s="4"/>
      <c r="C445" s="4" t="s">
        <v>2126</v>
      </c>
      <c r="D445" s="8" t="str">
        <f t="shared" si="1"/>
        <v>{"valorA":"freezer","valorB":156}</v>
      </c>
      <c r="E445" s="8" t="str">
        <f t="shared" si="2"/>
        <v>freezer</v>
      </c>
      <c r="F445" s="8"/>
      <c r="G445" s="15" t="str">
        <f t="shared" si="3"/>
        <v>156</v>
      </c>
      <c r="H445" s="9">
        <f t="shared" si="4"/>
        <v>156</v>
      </c>
      <c r="I445" s="6" t="str">
        <f>IFERROR(__xludf.DUMMYFUNCTION("MAX(FILTER($H$2:$H501,$E$2:$E501=F445))"),"#N/A")</f>
        <v>#N/A</v>
      </c>
    </row>
    <row r="446">
      <c r="A446" s="4"/>
      <c r="B446" s="4"/>
      <c r="C446" s="4" t="s">
        <v>2130</v>
      </c>
      <c r="D446" s="8" t="str">
        <f t="shared" si="1"/>
        <v>{"valorA":"freezer","valorB":157}</v>
      </c>
      <c r="E446" s="8" t="str">
        <f t="shared" si="2"/>
        <v>freezer</v>
      </c>
      <c r="F446" s="8"/>
      <c r="G446" s="15" t="str">
        <f t="shared" si="3"/>
        <v>157</v>
      </c>
      <c r="H446" s="9">
        <f t="shared" si="4"/>
        <v>157</v>
      </c>
      <c r="I446" s="6" t="str">
        <f>IFERROR(__xludf.DUMMYFUNCTION("MAX(FILTER($H$2:$H501,$E$2:$E501=F446))"),"#N/A")</f>
        <v>#N/A</v>
      </c>
    </row>
    <row r="447">
      <c r="A447" s="4"/>
      <c r="B447" s="4"/>
      <c r="C447" s="4" t="s">
        <v>2098</v>
      </c>
      <c r="D447" s="8" t="str">
        <f t="shared" si="1"/>
        <v>{"valorA":"microondas","valorB":144}</v>
      </c>
      <c r="E447" s="8" t="str">
        <f t="shared" si="2"/>
        <v>microondas</v>
      </c>
      <c r="F447" s="8"/>
      <c r="G447" s="15" t="str">
        <f t="shared" si="3"/>
        <v>144</v>
      </c>
      <c r="H447" s="9">
        <f t="shared" si="4"/>
        <v>144</v>
      </c>
      <c r="I447" s="6" t="str">
        <f>IFERROR(__xludf.DUMMYFUNCTION("MAX(FILTER($H$2:$H501,$E$2:$E501=F447))"),"#N/A")</f>
        <v>#N/A</v>
      </c>
    </row>
    <row r="448">
      <c r="A448" s="4"/>
      <c r="B448" s="4"/>
      <c r="C448" s="4" t="s">
        <v>2101</v>
      </c>
      <c r="D448" s="8" t="str">
        <f t="shared" si="1"/>
        <v>{"valorA":"microondas","valorB":145}</v>
      </c>
      <c r="E448" s="8" t="str">
        <f t="shared" si="2"/>
        <v>microondas</v>
      </c>
      <c r="F448" s="8"/>
      <c r="G448" s="15" t="str">
        <f t="shared" si="3"/>
        <v>145</v>
      </c>
      <c r="H448" s="9">
        <f t="shared" si="4"/>
        <v>145</v>
      </c>
      <c r="I448" s="6" t="str">
        <f>IFERROR(__xludf.DUMMYFUNCTION("MAX(FILTER($H$2:$H501,$E$2:$E501=F448))"),"#N/A")</f>
        <v>#N/A</v>
      </c>
    </row>
    <row r="449">
      <c r="A449" s="4"/>
      <c r="B449" s="4"/>
      <c r="C449" s="4" t="s">
        <v>2103</v>
      </c>
      <c r="D449" s="8" t="str">
        <f t="shared" si="1"/>
        <v>{"valorA":"microondas","valorB":146}</v>
      </c>
      <c r="E449" s="8" t="str">
        <f t="shared" si="2"/>
        <v>microondas</v>
      </c>
      <c r="F449" s="8"/>
      <c r="G449" s="15" t="str">
        <f t="shared" si="3"/>
        <v>146</v>
      </c>
      <c r="H449" s="9">
        <f t="shared" si="4"/>
        <v>146</v>
      </c>
      <c r="I449" s="6" t="str">
        <f>IFERROR(__xludf.DUMMYFUNCTION("MAX(FILTER($H$2:$H501,$E$2:$E501=F449))"),"#N/A")</f>
        <v>#N/A</v>
      </c>
    </row>
    <row r="450">
      <c r="A450" s="4"/>
      <c r="B450" s="4"/>
      <c r="C450" s="4" t="s">
        <v>2087</v>
      </c>
      <c r="D450" s="8" t="str">
        <f t="shared" si="1"/>
        <v>{"valorA":"ar condicionado","valorB":146}</v>
      </c>
      <c r="E450" s="8" t="str">
        <f t="shared" si="2"/>
        <v>ar condicionado</v>
      </c>
      <c r="F450" s="8"/>
      <c r="G450" s="15" t="str">
        <f t="shared" si="3"/>
        <v>146</v>
      </c>
      <c r="H450" s="9">
        <f t="shared" si="4"/>
        <v>146</v>
      </c>
      <c r="I450" s="6" t="str">
        <f>IFERROR(__xludf.DUMMYFUNCTION("MAX(FILTER($H$2:$H501,$E$2:$E501=F450))"),"#N/A")</f>
        <v>#N/A</v>
      </c>
    </row>
    <row r="451">
      <c r="A451" s="4"/>
      <c r="B451" s="4"/>
      <c r="C451" s="4" t="s">
        <v>2106</v>
      </c>
      <c r="D451" s="8" t="str">
        <f t="shared" si="1"/>
        <v>{"valorA":"microondas","valorB":147}</v>
      </c>
      <c r="E451" s="8" t="str">
        <f t="shared" si="2"/>
        <v>microondas</v>
      </c>
      <c r="F451" s="8"/>
      <c r="G451" s="15" t="str">
        <f t="shared" si="3"/>
        <v>147</v>
      </c>
      <c r="H451" s="9">
        <f t="shared" si="4"/>
        <v>147</v>
      </c>
      <c r="I451" s="6" t="str">
        <f>IFERROR(__xludf.DUMMYFUNCTION("MAX(FILTER($H$2:$H501,$E$2:$E501=F451))"),"#N/A")</f>
        <v>#N/A</v>
      </c>
    </row>
    <row r="452">
      <c r="A452" s="4"/>
      <c r="B452" s="4"/>
      <c r="C452" s="4" t="s">
        <v>2108</v>
      </c>
      <c r="D452" s="8" t="str">
        <f t="shared" si="1"/>
        <v>{"valorA":"microondas","valorB":148}</v>
      </c>
      <c r="E452" s="8" t="str">
        <f t="shared" si="2"/>
        <v>microondas</v>
      </c>
      <c r="F452" s="8"/>
      <c r="G452" s="15" t="str">
        <f t="shared" si="3"/>
        <v>148</v>
      </c>
      <c r="H452" s="9">
        <f t="shared" si="4"/>
        <v>148</v>
      </c>
      <c r="I452" s="6" t="str">
        <f>IFERROR(__xludf.DUMMYFUNCTION("MAX(FILTER($H$2:$H501,$E$2:$E501=F452))"),"#N/A")</f>
        <v>#N/A</v>
      </c>
    </row>
    <row r="453">
      <c r="A453" s="4"/>
      <c r="B453" s="4"/>
      <c r="C453" s="4" t="s">
        <v>2111</v>
      </c>
      <c r="D453" s="8" t="str">
        <f t="shared" si="1"/>
        <v>{"valorA":"microondas","valorB":149}</v>
      </c>
      <c r="E453" s="8" t="str">
        <f t="shared" si="2"/>
        <v>microondas</v>
      </c>
      <c r="F453" s="8"/>
      <c r="G453" s="15" t="str">
        <f t="shared" si="3"/>
        <v>149</v>
      </c>
      <c r="H453" s="9">
        <f t="shared" si="4"/>
        <v>149</v>
      </c>
      <c r="I453" s="6" t="str">
        <f>IFERROR(__xludf.DUMMYFUNCTION("MAX(FILTER($H$2:$H501,$E$2:$E501=F453))"),"#N/A")</f>
        <v>#N/A</v>
      </c>
    </row>
    <row r="454">
      <c r="A454" s="4"/>
      <c r="B454" s="4"/>
      <c r="C454" s="4" t="s">
        <v>2092</v>
      </c>
      <c r="D454" s="8" t="str">
        <f t="shared" si="1"/>
        <v>{"valorA":"ar condicionado","valorB":147}</v>
      </c>
      <c r="E454" s="8" t="str">
        <f t="shared" si="2"/>
        <v>ar condicionado</v>
      </c>
      <c r="F454" s="8"/>
      <c r="G454" s="15" t="str">
        <f t="shared" si="3"/>
        <v>147</v>
      </c>
      <c r="H454" s="9">
        <f t="shared" si="4"/>
        <v>147</v>
      </c>
      <c r="I454" s="6" t="str">
        <f>IFERROR(__xludf.DUMMYFUNCTION("MAX(FILTER($H$2:$H501,$E$2:$E501=F454))"),"#N/A")</f>
        <v>#N/A</v>
      </c>
    </row>
    <row r="455">
      <c r="A455" s="4"/>
      <c r="B455" s="4"/>
      <c r="C455" s="4" t="s">
        <v>2112</v>
      </c>
      <c r="D455" s="8" t="str">
        <f t="shared" si="1"/>
        <v>{"valorA":"microondas","valorB":150}</v>
      </c>
      <c r="E455" s="8" t="str">
        <f t="shared" si="2"/>
        <v>microondas</v>
      </c>
      <c r="F455" s="8"/>
      <c r="G455" s="15" t="str">
        <f t="shared" si="3"/>
        <v>150</v>
      </c>
      <c r="H455" s="9">
        <f t="shared" si="4"/>
        <v>150</v>
      </c>
      <c r="I455" s="6" t="str">
        <f>IFERROR(__xludf.DUMMYFUNCTION("MAX(FILTER($H$2:$H501,$E$2:$E501=F455))"),"#N/A")</f>
        <v>#N/A</v>
      </c>
    </row>
    <row r="456">
      <c r="A456" s="4"/>
      <c r="B456" s="4"/>
      <c r="C456" s="4" t="s">
        <v>2094</v>
      </c>
      <c r="D456" s="8" t="str">
        <f t="shared" si="1"/>
        <v>{"valorA":"ar condicionado","valorB":148}</v>
      </c>
      <c r="E456" s="8" t="str">
        <f t="shared" si="2"/>
        <v>ar condicionado</v>
      </c>
      <c r="F456" s="8"/>
      <c r="G456" s="15" t="str">
        <f t="shared" si="3"/>
        <v>148</v>
      </c>
      <c r="H456" s="9">
        <f t="shared" si="4"/>
        <v>148</v>
      </c>
      <c r="I456" s="6" t="str">
        <f>IFERROR(__xludf.DUMMYFUNCTION("MAX(FILTER($H$2:$H501,$E$2:$E501=F456))"),"#N/A")</f>
        <v>#N/A</v>
      </c>
    </row>
    <row r="457">
      <c r="A457" s="4"/>
      <c r="B457" s="4"/>
      <c r="C457" s="4" t="s">
        <v>2095</v>
      </c>
      <c r="D457" s="8" t="str">
        <f t="shared" si="1"/>
        <v>{"valorA":"ar condicionado","valorB":149}</v>
      </c>
      <c r="E457" s="8" t="str">
        <f t="shared" si="2"/>
        <v>ar condicionado</v>
      </c>
      <c r="F457" s="8"/>
      <c r="G457" s="15" t="str">
        <f t="shared" si="3"/>
        <v>149</v>
      </c>
      <c r="H457" s="9">
        <f t="shared" si="4"/>
        <v>149</v>
      </c>
      <c r="I457" s="6" t="str">
        <f>IFERROR(__xludf.DUMMYFUNCTION("MAX(FILTER($H$2:$H501,$E$2:$E501=F457))"),"#N/A")</f>
        <v>#N/A</v>
      </c>
    </row>
    <row r="458">
      <c r="A458" s="4"/>
      <c r="B458" s="4"/>
      <c r="C458" s="4" t="s">
        <v>2131</v>
      </c>
      <c r="D458" s="8" t="str">
        <f t="shared" si="1"/>
        <v>{"valorA":"freezer","valorB":158}</v>
      </c>
      <c r="E458" s="8" t="str">
        <f t="shared" si="2"/>
        <v>freezer</v>
      </c>
      <c r="F458" s="8"/>
      <c r="G458" s="15" t="str">
        <f t="shared" si="3"/>
        <v>158</v>
      </c>
      <c r="H458" s="9">
        <f t="shared" si="4"/>
        <v>158</v>
      </c>
      <c r="I458" s="6" t="str">
        <f>IFERROR(__xludf.DUMMYFUNCTION("MAX(FILTER($H$2:$H501,$E$2:$E501=F458))"),"#N/A")</f>
        <v>#N/A</v>
      </c>
    </row>
    <row r="459">
      <c r="A459" s="4"/>
      <c r="B459" s="4"/>
      <c r="C459" s="4" t="s">
        <v>2115</v>
      </c>
      <c r="D459" s="8" t="str">
        <f t="shared" si="1"/>
        <v>{"valorA":"microondas","valorB":151}</v>
      </c>
      <c r="E459" s="8" t="str">
        <f t="shared" si="2"/>
        <v>microondas</v>
      </c>
      <c r="F459" s="8"/>
      <c r="G459" s="15" t="str">
        <f t="shared" si="3"/>
        <v>151</v>
      </c>
      <c r="H459" s="9">
        <f t="shared" si="4"/>
        <v>151</v>
      </c>
      <c r="I459" s="6" t="str">
        <f>IFERROR(__xludf.DUMMYFUNCTION("MAX(FILTER($H$2:$H501,$E$2:$E501=F459))"),"#N/A")</f>
        <v>#N/A</v>
      </c>
    </row>
    <row r="460">
      <c r="A460" s="4"/>
      <c r="B460" s="4"/>
      <c r="C460" s="4" t="s">
        <v>2096</v>
      </c>
      <c r="D460" s="8" t="str">
        <f t="shared" si="1"/>
        <v>{"valorA":"ar condicionado","valorB":150}</v>
      </c>
      <c r="E460" s="8" t="str">
        <f t="shared" si="2"/>
        <v>ar condicionado</v>
      </c>
      <c r="F460" s="8"/>
      <c r="G460" s="15" t="str">
        <f t="shared" si="3"/>
        <v>150</v>
      </c>
      <c r="H460" s="9">
        <f t="shared" si="4"/>
        <v>150</v>
      </c>
      <c r="I460" s="6" t="str">
        <f>IFERROR(__xludf.DUMMYFUNCTION("MAX(FILTER($H$2:$H501,$E$2:$E501=F460))"),"#N/A")</f>
        <v>#N/A</v>
      </c>
    </row>
    <row r="461">
      <c r="A461" s="4"/>
      <c r="B461" s="4"/>
      <c r="C461" s="4" t="s">
        <v>2133</v>
      </c>
      <c r="D461" s="8" t="str">
        <f t="shared" si="1"/>
        <v>{"valorA":"freezer","valorB":159}</v>
      </c>
      <c r="E461" s="8" t="str">
        <f t="shared" si="2"/>
        <v>freezer</v>
      </c>
      <c r="F461" s="8"/>
      <c r="G461" s="15" t="str">
        <f t="shared" si="3"/>
        <v>159</v>
      </c>
      <c r="H461" s="9">
        <f t="shared" si="4"/>
        <v>159</v>
      </c>
      <c r="I461" s="6" t="str">
        <f>IFERROR(__xludf.DUMMYFUNCTION("MAX(FILTER($H$2:$H501,$E$2:$E501=F461))"),"#N/A")</f>
        <v>#N/A</v>
      </c>
    </row>
    <row r="462">
      <c r="A462" s="4"/>
      <c r="B462" s="4"/>
      <c r="C462" s="4" t="s">
        <v>2097</v>
      </c>
      <c r="D462" s="8" t="str">
        <f t="shared" si="1"/>
        <v>{"valorA":"ar condicionado","valorB":151}</v>
      </c>
      <c r="E462" s="8" t="str">
        <f t="shared" si="2"/>
        <v>ar condicionado</v>
      </c>
      <c r="F462" s="8"/>
      <c r="G462" s="15" t="str">
        <f t="shared" si="3"/>
        <v>151</v>
      </c>
      <c r="H462" s="9">
        <f t="shared" si="4"/>
        <v>151</v>
      </c>
      <c r="I462" s="6" t="str">
        <f>IFERROR(__xludf.DUMMYFUNCTION("MAX(FILTER($H$2:$H501,$E$2:$E501=F462))"),"#N/A")</f>
        <v>#N/A</v>
      </c>
    </row>
    <row r="463">
      <c r="A463" s="4"/>
      <c r="B463" s="4"/>
      <c r="C463" s="4" t="s">
        <v>2116</v>
      </c>
      <c r="D463" s="8" t="str">
        <f t="shared" si="1"/>
        <v>{"valorA":"microondas","valorB":152}</v>
      </c>
      <c r="E463" s="8" t="str">
        <f t="shared" si="2"/>
        <v>microondas</v>
      </c>
      <c r="F463" s="8"/>
      <c r="G463" s="15" t="str">
        <f t="shared" si="3"/>
        <v>152</v>
      </c>
      <c r="H463" s="9">
        <f t="shared" si="4"/>
        <v>152</v>
      </c>
      <c r="I463" s="6" t="str">
        <f>IFERROR(__xludf.DUMMYFUNCTION("MAX(FILTER($H$2:$H501,$E$2:$E501=F463))"),"#N/A")</f>
        <v>#N/A</v>
      </c>
    </row>
    <row r="464">
      <c r="A464" s="4"/>
      <c r="B464" s="4"/>
      <c r="C464" s="4" t="s">
        <v>2100</v>
      </c>
      <c r="D464" s="8" t="str">
        <f t="shared" si="1"/>
        <v>{"valorA":"ar condicionado","valorB":152}</v>
      </c>
      <c r="E464" s="8" t="str">
        <f t="shared" si="2"/>
        <v>ar condicionado</v>
      </c>
      <c r="F464" s="8"/>
      <c r="G464" s="15" t="str">
        <f t="shared" si="3"/>
        <v>152</v>
      </c>
      <c r="H464" s="9">
        <f t="shared" si="4"/>
        <v>152</v>
      </c>
      <c r="I464" s="6" t="str">
        <f>IFERROR(__xludf.DUMMYFUNCTION("MAX(FILTER($H$2:$H501,$E$2:$E501=F464))"),"#N/A")</f>
        <v>#N/A</v>
      </c>
    </row>
    <row r="465">
      <c r="A465" s="4"/>
      <c r="B465" s="4"/>
      <c r="C465" s="4" t="s">
        <v>2136</v>
      </c>
      <c r="D465" s="8" t="str">
        <f t="shared" si="1"/>
        <v>{"valorA":"freezer","valorB":160}</v>
      </c>
      <c r="E465" s="8" t="str">
        <f t="shared" si="2"/>
        <v>freezer</v>
      </c>
      <c r="F465" s="8"/>
      <c r="G465" s="15" t="str">
        <f t="shared" si="3"/>
        <v>160</v>
      </c>
      <c r="H465" s="9">
        <f t="shared" si="4"/>
        <v>160</v>
      </c>
      <c r="I465" s="6" t="str">
        <f>IFERROR(__xludf.DUMMYFUNCTION("MAX(FILTER($H$2:$H501,$E$2:$E501=F465))"),"#N/A")</f>
        <v>#N/A</v>
      </c>
    </row>
    <row r="466">
      <c r="A466" s="4"/>
      <c r="B466" s="4"/>
      <c r="C466" s="4" t="s">
        <v>2117</v>
      </c>
      <c r="D466" s="8" t="str">
        <f t="shared" si="1"/>
        <v>{"valorA":"microondas","valorB":153}</v>
      </c>
      <c r="E466" s="8" t="str">
        <f t="shared" si="2"/>
        <v>microondas</v>
      </c>
      <c r="F466" s="8"/>
      <c r="G466" s="15" t="str">
        <f t="shared" si="3"/>
        <v>153</v>
      </c>
      <c r="H466" s="9">
        <f t="shared" si="4"/>
        <v>153</v>
      </c>
      <c r="I466" s="6" t="str">
        <f>IFERROR(__xludf.DUMMYFUNCTION("MAX(FILTER($H$2:$H501,$E$2:$E501=F466))"),"#N/A")</f>
        <v>#N/A</v>
      </c>
    </row>
    <row r="467">
      <c r="A467" s="4"/>
      <c r="B467" s="4"/>
      <c r="C467" s="4" t="s">
        <v>2109</v>
      </c>
      <c r="D467" s="8" t="str">
        <f t="shared" si="1"/>
        <v>{"valorA":"ar condicionado","valorB":153}</v>
      </c>
      <c r="E467" s="8" t="str">
        <f t="shared" si="2"/>
        <v>ar condicionado</v>
      </c>
      <c r="F467" s="8"/>
      <c r="G467" s="15" t="str">
        <f t="shared" si="3"/>
        <v>153</v>
      </c>
      <c r="H467" s="9">
        <f t="shared" si="4"/>
        <v>153</v>
      </c>
      <c r="I467" s="6" t="str">
        <f>IFERROR(__xludf.DUMMYFUNCTION("MAX(FILTER($H$2:$H501,$E$2:$E501=F467))"),"#N/A")</f>
        <v>#N/A</v>
      </c>
    </row>
    <row r="468">
      <c r="A468" s="4"/>
      <c r="B468" s="4"/>
      <c r="C468" s="4" t="s">
        <v>2113</v>
      </c>
      <c r="D468" s="8" t="str">
        <f t="shared" si="1"/>
        <v>{"valorA":"ar condicionado","valorB":154}</v>
      </c>
      <c r="E468" s="8" t="str">
        <f t="shared" si="2"/>
        <v>ar condicionado</v>
      </c>
      <c r="F468" s="8"/>
      <c r="G468" s="15" t="str">
        <f t="shared" si="3"/>
        <v>154</v>
      </c>
      <c r="H468" s="9">
        <f t="shared" si="4"/>
        <v>154</v>
      </c>
      <c r="I468" s="6" t="str">
        <f>IFERROR(__xludf.DUMMYFUNCTION("MAX(FILTER($H$2:$H501,$E$2:$E501=F468))"),"#N/A")</f>
        <v>#N/A</v>
      </c>
    </row>
    <row r="469">
      <c r="A469" s="4"/>
      <c r="B469" s="4"/>
      <c r="C469" s="4" t="s">
        <v>2137</v>
      </c>
      <c r="D469" s="8" t="str">
        <f t="shared" si="1"/>
        <v>{"valorA":"freezer","valorB":161}</v>
      </c>
      <c r="E469" s="8" t="str">
        <f t="shared" si="2"/>
        <v>freezer</v>
      </c>
      <c r="F469" s="8"/>
      <c r="G469" s="15" t="str">
        <f t="shared" si="3"/>
        <v>161</v>
      </c>
      <c r="H469" s="9">
        <f t="shared" si="4"/>
        <v>161</v>
      </c>
      <c r="I469" s="6" t="str">
        <f>IFERROR(__xludf.DUMMYFUNCTION("MAX(FILTER($H$2:$H501,$E$2:$E501=F469))"),"#N/A")</f>
        <v>#N/A</v>
      </c>
    </row>
    <row r="470">
      <c r="A470" s="4"/>
      <c r="B470" s="4"/>
      <c r="C470" s="4" t="s">
        <v>2138</v>
      </c>
      <c r="D470" s="8" t="str">
        <f t="shared" si="1"/>
        <v>{"valorA":"freezer","valorB":162}</v>
      </c>
      <c r="E470" s="8" t="str">
        <f t="shared" si="2"/>
        <v>freezer</v>
      </c>
      <c r="F470" s="8"/>
      <c r="G470" s="15" t="str">
        <f t="shared" si="3"/>
        <v>162</v>
      </c>
      <c r="H470" s="9">
        <f t="shared" si="4"/>
        <v>162</v>
      </c>
      <c r="I470" s="6" t="str">
        <f>IFERROR(__xludf.DUMMYFUNCTION("MAX(FILTER($H$2:$H501,$E$2:$E501=F470))"),"#N/A")</f>
        <v>#N/A</v>
      </c>
    </row>
    <row r="471">
      <c r="A471" s="4"/>
      <c r="B471" s="4"/>
      <c r="C471" s="4" t="s">
        <v>2114</v>
      </c>
      <c r="D471" s="8" t="str">
        <f t="shared" si="1"/>
        <v>{"valorA":"ar condicionado","valorB":155}</v>
      </c>
      <c r="E471" s="8" t="str">
        <f t="shared" si="2"/>
        <v>ar condicionado</v>
      </c>
      <c r="F471" s="8"/>
      <c r="G471" s="15" t="str">
        <f t="shared" si="3"/>
        <v>155</v>
      </c>
      <c r="H471" s="9">
        <f t="shared" si="4"/>
        <v>155</v>
      </c>
      <c r="I471" s="6" t="str">
        <f>IFERROR(__xludf.DUMMYFUNCTION("MAX(FILTER($H$2:$H501,$E$2:$E501=F471))"),"#N/A")</f>
        <v>#N/A</v>
      </c>
    </row>
    <row r="472">
      <c r="A472" s="4"/>
      <c r="B472" s="4"/>
      <c r="C472" s="4" t="s">
        <v>2139</v>
      </c>
      <c r="D472" s="8" t="str">
        <f t="shared" si="1"/>
        <v>{"valorA":"freezer","valorB":163}</v>
      </c>
      <c r="E472" s="8" t="str">
        <f t="shared" si="2"/>
        <v>freezer</v>
      </c>
      <c r="F472" s="8"/>
      <c r="G472" s="15" t="str">
        <f t="shared" si="3"/>
        <v>163</v>
      </c>
      <c r="H472" s="9">
        <f t="shared" si="4"/>
        <v>163</v>
      </c>
      <c r="I472" s="6" t="str">
        <f>IFERROR(__xludf.DUMMYFUNCTION("MAX(FILTER($H$2:$H501,$E$2:$E501=F472))"),"#N/A")</f>
        <v>#N/A</v>
      </c>
    </row>
    <row r="473">
      <c r="A473" s="4"/>
      <c r="B473" s="4"/>
      <c r="C473" s="4" t="s">
        <v>2118</v>
      </c>
      <c r="D473" s="8" t="str">
        <f t="shared" si="1"/>
        <v>{"valorA":"ar condicionado","valorB":156}</v>
      </c>
      <c r="E473" s="8" t="str">
        <f t="shared" si="2"/>
        <v>ar condicionado</v>
      </c>
      <c r="F473" s="8"/>
      <c r="G473" s="15" t="str">
        <f t="shared" si="3"/>
        <v>156</v>
      </c>
      <c r="H473" s="9">
        <f t="shared" si="4"/>
        <v>156</v>
      </c>
      <c r="I473" s="6" t="str">
        <f>IFERROR(__xludf.DUMMYFUNCTION("MAX(FILTER($H$2:$H501,$E$2:$E501=F473))"),"#N/A")</f>
        <v>#N/A</v>
      </c>
    </row>
    <row r="474">
      <c r="A474" s="4"/>
      <c r="B474" s="4"/>
      <c r="C474" s="4" t="s">
        <v>2120</v>
      </c>
      <c r="D474" s="8" t="str">
        <f t="shared" si="1"/>
        <v>{"valorA":"microondas","valorB":154}</v>
      </c>
      <c r="E474" s="8" t="str">
        <f t="shared" si="2"/>
        <v>microondas</v>
      </c>
      <c r="F474" s="8"/>
      <c r="G474" s="15" t="str">
        <f t="shared" si="3"/>
        <v>154</v>
      </c>
      <c r="H474" s="9">
        <f t="shared" si="4"/>
        <v>154</v>
      </c>
      <c r="I474" s="6" t="str">
        <f>IFERROR(__xludf.DUMMYFUNCTION("MAX(FILTER($H$2:$H501,$E$2:$E501=F474))"),"#N/A")</f>
        <v>#N/A</v>
      </c>
    </row>
    <row r="475">
      <c r="A475" s="4"/>
      <c r="B475" s="4"/>
      <c r="C475" s="4" t="s">
        <v>2123</v>
      </c>
      <c r="D475" s="8" t="str">
        <f t="shared" si="1"/>
        <v>{"valorA":"ar condicionado","valorB":157}</v>
      </c>
      <c r="E475" s="8" t="str">
        <f t="shared" si="2"/>
        <v>ar condicionado</v>
      </c>
      <c r="F475" s="8"/>
      <c r="G475" s="15" t="str">
        <f t="shared" si="3"/>
        <v>157</v>
      </c>
      <c r="H475" s="9">
        <f t="shared" si="4"/>
        <v>157</v>
      </c>
      <c r="I475" s="6" t="str">
        <f>IFERROR(__xludf.DUMMYFUNCTION("MAX(FILTER($H$2:$H501,$E$2:$E501=F475))"),"#N/A")</f>
        <v>#N/A</v>
      </c>
    </row>
    <row r="476">
      <c r="A476" s="4"/>
      <c r="B476" s="4"/>
      <c r="C476" s="4" t="s">
        <v>2127</v>
      </c>
      <c r="D476" s="8" t="str">
        <f t="shared" si="1"/>
        <v>{"valorA":"ar condicionado","valorB":158}</v>
      </c>
      <c r="E476" s="8" t="str">
        <f t="shared" si="2"/>
        <v>ar condicionado</v>
      </c>
      <c r="F476" s="8"/>
      <c r="G476" s="15" t="str">
        <f t="shared" si="3"/>
        <v>158</v>
      </c>
      <c r="H476" s="9">
        <f t="shared" si="4"/>
        <v>158</v>
      </c>
      <c r="I476" s="6" t="str">
        <f>IFERROR(__xludf.DUMMYFUNCTION("MAX(FILTER($H$2:$H501,$E$2:$E501=F476))"),"#N/A")</f>
        <v>#N/A</v>
      </c>
    </row>
    <row r="477">
      <c r="A477" s="4"/>
      <c r="B477" s="4"/>
      <c r="C477" s="4" t="s">
        <v>2121</v>
      </c>
      <c r="D477" s="8" t="str">
        <f t="shared" si="1"/>
        <v>{"valorA":"microondas","valorB":155}</v>
      </c>
      <c r="E477" s="8" t="str">
        <f t="shared" si="2"/>
        <v>microondas</v>
      </c>
      <c r="F477" s="8"/>
      <c r="G477" s="15" t="str">
        <f t="shared" si="3"/>
        <v>155</v>
      </c>
      <c r="H477" s="9">
        <f t="shared" si="4"/>
        <v>155</v>
      </c>
      <c r="I477" s="6" t="str">
        <f>IFERROR(__xludf.DUMMYFUNCTION("MAX(FILTER($H$2:$H501,$E$2:$E501=F477))"),"#N/A")</f>
        <v>#N/A</v>
      </c>
    </row>
    <row r="478">
      <c r="A478" s="4"/>
      <c r="B478" s="4"/>
      <c r="C478" s="4" t="s">
        <v>2129</v>
      </c>
      <c r="D478" s="8" t="str">
        <f t="shared" si="1"/>
        <v>{"valorA":"ar condicionado","valorB":159}</v>
      </c>
      <c r="E478" s="8" t="str">
        <f t="shared" si="2"/>
        <v>ar condicionado</v>
      </c>
      <c r="F478" s="8"/>
      <c r="G478" s="15" t="str">
        <f t="shared" si="3"/>
        <v>159</v>
      </c>
      <c r="H478" s="9">
        <f t="shared" si="4"/>
        <v>159</v>
      </c>
      <c r="I478" s="6" t="str">
        <f>IFERROR(__xludf.DUMMYFUNCTION("MAX(FILTER($H$2:$H501,$E$2:$E501=F478))"),"#N/A")</f>
        <v>#N/A</v>
      </c>
    </row>
    <row r="479">
      <c r="A479" s="4"/>
      <c r="B479" s="4"/>
      <c r="C479" s="4" t="s">
        <v>2144</v>
      </c>
      <c r="D479" s="8" t="str">
        <f t="shared" si="1"/>
        <v>{"valorA":"freezer","valorB":164}</v>
      </c>
      <c r="E479" s="8" t="str">
        <f t="shared" si="2"/>
        <v>freezer</v>
      </c>
      <c r="F479" s="8"/>
      <c r="G479" s="15" t="str">
        <f t="shared" si="3"/>
        <v>164</v>
      </c>
      <c r="H479" s="9">
        <f t="shared" si="4"/>
        <v>164</v>
      </c>
      <c r="I479" s="6" t="str">
        <f>IFERROR(__xludf.DUMMYFUNCTION("MAX(FILTER($H$2:$H501,$E$2:$E501=F479))"),"#N/A")</f>
        <v>#N/A</v>
      </c>
    </row>
    <row r="480">
      <c r="A480" s="4"/>
      <c r="B480" s="4"/>
      <c r="C480" s="4" t="s">
        <v>2124</v>
      </c>
      <c r="D480" s="8" t="str">
        <f t="shared" si="1"/>
        <v>{"valorA":"microondas","valorB":156}</v>
      </c>
      <c r="E480" s="8" t="str">
        <f t="shared" si="2"/>
        <v>microondas</v>
      </c>
      <c r="F480" s="8"/>
      <c r="G480" s="15" t="str">
        <f t="shared" si="3"/>
        <v>156</v>
      </c>
      <c r="H480" s="9">
        <f t="shared" si="4"/>
        <v>156</v>
      </c>
      <c r="I480" s="6" t="str">
        <f>IFERROR(__xludf.DUMMYFUNCTION("MAX(FILTER($H$2:$H501,$E$2:$E501=F480))"),"#N/A")</f>
        <v>#N/A</v>
      </c>
    </row>
    <row r="481">
      <c r="A481" s="4"/>
      <c r="B481" s="4"/>
      <c r="C481" s="4" t="s">
        <v>2145</v>
      </c>
      <c r="D481" s="8" t="str">
        <f t="shared" si="1"/>
        <v>{"valorA":"freezer","valorB":165}</v>
      </c>
      <c r="E481" s="8" t="str">
        <f t="shared" si="2"/>
        <v>freezer</v>
      </c>
      <c r="F481" s="8"/>
      <c r="G481" s="15" t="str">
        <f t="shared" si="3"/>
        <v>165</v>
      </c>
      <c r="H481" s="9">
        <f t="shared" si="4"/>
        <v>165</v>
      </c>
      <c r="I481" s="6" t="str">
        <f>IFERROR(__xludf.DUMMYFUNCTION("MAX(FILTER($H$2:$H501,$E$2:$E501=F481))"),"#N/A")</f>
        <v>#N/A</v>
      </c>
    </row>
    <row r="482">
      <c r="A482" s="4"/>
      <c r="B482" s="4"/>
      <c r="C482" s="4" t="s">
        <v>2132</v>
      </c>
      <c r="D482" s="8" t="str">
        <f t="shared" si="1"/>
        <v>{"valorA":"ar condicionado","valorB":160}</v>
      </c>
      <c r="E482" s="8" t="str">
        <f t="shared" si="2"/>
        <v>ar condicionado</v>
      </c>
      <c r="F482" s="8"/>
      <c r="G482" s="15" t="str">
        <f t="shared" si="3"/>
        <v>160</v>
      </c>
      <c r="H482" s="9">
        <f t="shared" si="4"/>
        <v>160</v>
      </c>
      <c r="I482" s="6" t="str">
        <f>IFERROR(__xludf.DUMMYFUNCTION("MAX(FILTER($H$2:$H501,$E$2:$E501=F482))"),"#N/A")</f>
        <v>#N/A</v>
      </c>
    </row>
    <row r="483">
      <c r="A483" s="4"/>
      <c r="B483" s="4"/>
      <c r="C483" s="4" t="s">
        <v>2155</v>
      </c>
      <c r="D483" s="8" t="str">
        <f t="shared" si="1"/>
        <v>{"valorA":"freezer","valorB":166}</v>
      </c>
      <c r="E483" s="8" t="str">
        <f t="shared" si="2"/>
        <v>freezer</v>
      </c>
      <c r="F483" s="8"/>
      <c r="G483" s="15" t="str">
        <f t="shared" si="3"/>
        <v>166</v>
      </c>
      <c r="H483" s="9">
        <f t="shared" si="4"/>
        <v>166</v>
      </c>
      <c r="I483" s="6" t="str">
        <f>IFERROR(__xludf.DUMMYFUNCTION("MAX(FILTER($H$2:$H501,$E$2:$E501=F483))"),"#N/A")</f>
        <v>#N/A</v>
      </c>
    </row>
    <row r="484">
      <c r="A484" s="4"/>
      <c r="B484" s="4"/>
      <c r="C484" s="4" t="s">
        <v>3508</v>
      </c>
      <c r="D484" s="8" t="str">
        <f t="shared" si="1"/>
        <v>{"valorA":"freezer","valorB":167}</v>
      </c>
      <c r="E484" s="8" t="str">
        <f t="shared" si="2"/>
        <v>freezer</v>
      </c>
      <c r="F484" s="8"/>
      <c r="G484" s="15" t="str">
        <f t="shared" si="3"/>
        <v>167</v>
      </c>
      <c r="H484" s="9">
        <f t="shared" si="4"/>
        <v>167</v>
      </c>
      <c r="I484" s="6" t="str">
        <f>IFERROR(__xludf.DUMMYFUNCTION("MAX(FILTER($H$2:$H501,$E$2:$E501=F484))"),"#N/A")</f>
        <v>#N/A</v>
      </c>
    </row>
    <row r="485">
      <c r="A485" s="4"/>
      <c r="B485" s="4"/>
      <c r="C485" s="4" t="s">
        <v>2128</v>
      </c>
      <c r="D485" s="8" t="str">
        <f t="shared" si="1"/>
        <v>{"valorA":"microondas","valorB":157}</v>
      </c>
      <c r="E485" s="8" t="str">
        <f t="shared" si="2"/>
        <v>microondas</v>
      </c>
      <c r="F485" s="8"/>
      <c r="G485" s="15" t="str">
        <f t="shared" si="3"/>
        <v>157</v>
      </c>
      <c r="H485" s="9">
        <f t="shared" si="4"/>
        <v>157</v>
      </c>
      <c r="I485" s="6" t="str">
        <f>IFERROR(__xludf.DUMMYFUNCTION("MAX(FILTER($H$2:$H501,$E$2:$E501=F485))"),"#N/A")</f>
        <v>#N/A</v>
      </c>
    </row>
    <row r="486">
      <c r="A486" s="4"/>
      <c r="B486" s="4"/>
      <c r="C486" s="4" t="s">
        <v>2134</v>
      </c>
      <c r="D486" s="8" t="str">
        <f t="shared" si="1"/>
        <v>{"valorA":"ar condicionado","valorB":161}</v>
      </c>
      <c r="E486" s="8" t="str">
        <f t="shared" si="2"/>
        <v>ar condicionado</v>
      </c>
      <c r="F486" s="8"/>
      <c r="G486" s="15" t="str">
        <f t="shared" si="3"/>
        <v>161</v>
      </c>
      <c r="H486" s="9">
        <f t="shared" si="4"/>
        <v>161</v>
      </c>
      <c r="I486" s="6" t="str">
        <f>IFERROR(__xludf.DUMMYFUNCTION("MAX(FILTER($H$2:$H501,$E$2:$E501=F486))"),"#N/A")</f>
        <v>#N/A</v>
      </c>
    </row>
    <row r="487">
      <c r="A487" s="4"/>
      <c r="B487" s="4"/>
      <c r="C487" s="4" t="s">
        <v>3509</v>
      </c>
      <c r="D487" s="8" t="str">
        <f t="shared" si="1"/>
        <v>{"valorA":"freezer","valorB":168}</v>
      </c>
      <c r="E487" s="8" t="str">
        <f t="shared" si="2"/>
        <v>freezer</v>
      </c>
      <c r="F487" s="8"/>
      <c r="G487" s="15" t="str">
        <f t="shared" si="3"/>
        <v>168</v>
      </c>
      <c r="H487" s="9">
        <f t="shared" si="4"/>
        <v>168</v>
      </c>
      <c r="I487" s="6" t="str">
        <f>IFERROR(__xludf.DUMMYFUNCTION("MAX(FILTER($H$2:$H501,$E$2:$E501=F487))"),"#N/A")</f>
        <v>#N/A</v>
      </c>
    </row>
    <row r="488">
      <c r="A488" s="4"/>
      <c r="B488" s="4"/>
      <c r="C488" s="4" t="s">
        <v>2135</v>
      </c>
      <c r="D488" s="8" t="str">
        <f t="shared" si="1"/>
        <v>{"valorA":"microondas","valorB":158}</v>
      </c>
      <c r="E488" s="8" t="str">
        <f t="shared" si="2"/>
        <v>microondas</v>
      </c>
      <c r="F488" s="8"/>
      <c r="G488" s="15" t="str">
        <f t="shared" si="3"/>
        <v>158</v>
      </c>
      <c r="H488" s="9">
        <f t="shared" si="4"/>
        <v>158</v>
      </c>
      <c r="I488" s="6" t="str">
        <f>IFERROR(__xludf.DUMMYFUNCTION("MAX(FILTER($H$2:$H501,$E$2:$E501=F488))"),"#N/A")</f>
        <v>#N/A</v>
      </c>
    </row>
    <row r="489">
      <c r="A489" s="4"/>
      <c r="B489" s="4"/>
      <c r="C489" s="4" t="s">
        <v>3510</v>
      </c>
      <c r="D489" s="8" t="str">
        <f t="shared" si="1"/>
        <v>{"valorA":"freezer","valorB":169}</v>
      </c>
      <c r="E489" s="8" t="str">
        <f t="shared" si="2"/>
        <v>freezer</v>
      </c>
      <c r="F489" s="8"/>
      <c r="G489" s="15" t="str">
        <f t="shared" si="3"/>
        <v>169</v>
      </c>
      <c r="H489" s="9">
        <f t="shared" si="4"/>
        <v>169</v>
      </c>
      <c r="I489" s="6" t="str">
        <f>IFERROR(__xludf.DUMMYFUNCTION("MAX(FILTER($H$2:$H501,$E$2:$E501=F489))"),"#N/A")</f>
        <v>#N/A</v>
      </c>
    </row>
    <row r="490">
      <c r="A490" s="4"/>
      <c r="B490" s="4"/>
      <c r="C490" s="4" t="s">
        <v>2140</v>
      </c>
      <c r="D490" s="8" t="str">
        <f t="shared" si="1"/>
        <v>{"valorA":"microondas","valorB":159}</v>
      </c>
      <c r="E490" s="8" t="str">
        <f t="shared" si="2"/>
        <v>microondas</v>
      </c>
      <c r="F490" s="8"/>
      <c r="G490" s="15" t="str">
        <f t="shared" si="3"/>
        <v>159</v>
      </c>
      <c r="H490" s="9">
        <f t="shared" si="4"/>
        <v>159</v>
      </c>
      <c r="I490" s="6" t="str">
        <f>IFERROR(__xludf.DUMMYFUNCTION("MAX(FILTER($H$2:$H501,$E$2:$E501=F490))"),"#N/A")</f>
        <v>#N/A</v>
      </c>
    </row>
    <row r="491">
      <c r="A491" s="4"/>
      <c r="B491" s="4"/>
      <c r="C491" s="4" t="s">
        <v>3511</v>
      </c>
      <c r="D491" s="8" t="str">
        <f t="shared" si="1"/>
        <v>{"valorA":"freezer","valorB":170}</v>
      </c>
      <c r="E491" s="8" t="str">
        <f t="shared" si="2"/>
        <v>freezer</v>
      </c>
      <c r="F491" s="8"/>
      <c r="G491" s="15" t="str">
        <f t="shared" si="3"/>
        <v>170</v>
      </c>
      <c r="H491" s="9">
        <f t="shared" si="4"/>
        <v>170</v>
      </c>
      <c r="I491" s="6" t="str">
        <f>IFERROR(__xludf.DUMMYFUNCTION("MAX(FILTER($H$2:$H501,$E$2:$E501=F491))"),"#N/A")</f>
        <v>#N/A</v>
      </c>
    </row>
    <row r="492">
      <c r="A492" s="4"/>
      <c r="B492" s="4"/>
      <c r="C492" s="4" t="s">
        <v>2141</v>
      </c>
      <c r="D492" s="8" t="str">
        <f t="shared" si="1"/>
        <v>{"valorA":"ar condicionado","valorB":162}</v>
      </c>
      <c r="E492" s="8" t="str">
        <f t="shared" si="2"/>
        <v>ar condicionado</v>
      </c>
      <c r="F492" s="8"/>
      <c r="G492" s="15" t="str">
        <f t="shared" si="3"/>
        <v>162</v>
      </c>
      <c r="H492" s="9">
        <f t="shared" si="4"/>
        <v>162</v>
      </c>
      <c r="I492" s="6" t="str">
        <f>IFERROR(__xludf.DUMMYFUNCTION("MAX(FILTER($H$2:$H501,$E$2:$E501=F492))"),"#N/A")</f>
        <v>#N/A</v>
      </c>
    </row>
    <row r="493">
      <c r="A493" s="4"/>
      <c r="B493" s="4"/>
      <c r="C493" s="4" t="s">
        <v>3512</v>
      </c>
      <c r="D493" s="8" t="str">
        <f t="shared" si="1"/>
        <v>{"valorA":"freezer","valorB":171}</v>
      </c>
      <c r="E493" s="8" t="str">
        <f t="shared" si="2"/>
        <v>freezer</v>
      </c>
      <c r="F493" s="8"/>
      <c r="G493" s="15" t="str">
        <f t="shared" si="3"/>
        <v>171</v>
      </c>
      <c r="H493" s="9">
        <f t="shared" si="4"/>
        <v>171</v>
      </c>
      <c r="I493" s="6" t="str">
        <f>IFERROR(__xludf.DUMMYFUNCTION("MAX(FILTER($H$2:$H501,$E$2:$E501=F493))"),"#N/A")</f>
        <v>#N/A</v>
      </c>
    </row>
    <row r="494">
      <c r="A494" s="4"/>
      <c r="B494" s="4"/>
      <c r="C494" s="4" t="s">
        <v>3513</v>
      </c>
      <c r="D494" s="8" t="str">
        <f t="shared" si="1"/>
        <v>{"valorA":"freezer","valorB":172}</v>
      </c>
      <c r="E494" s="8" t="str">
        <f t="shared" si="2"/>
        <v>freezer</v>
      </c>
      <c r="F494" s="8"/>
      <c r="G494" s="15" t="str">
        <f t="shared" si="3"/>
        <v>172</v>
      </c>
      <c r="H494" s="9">
        <f t="shared" si="4"/>
        <v>172</v>
      </c>
      <c r="I494" s="6" t="str">
        <f>IFERROR(__xludf.DUMMYFUNCTION("MAX(FILTER($H$2:$H501,$E$2:$E501=F494))"),"#N/A")</f>
        <v>#N/A</v>
      </c>
    </row>
    <row r="495">
      <c r="A495" s="4"/>
      <c r="B495" s="4"/>
      <c r="C495" s="4" t="s">
        <v>3514</v>
      </c>
      <c r="D495" s="8" t="str">
        <f t="shared" si="1"/>
        <v>{"valorA":"freezer","valorB":173}</v>
      </c>
      <c r="E495" s="8" t="str">
        <f t="shared" si="2"/>
        <v>freezer</v>
      </c>
      <c r="F495" s="8"/>
      <c r="G495" s="15" t="str">
        <f t="shared" si="3"/>
        <v>173</v>
      </c>
      <c r="H495" s="9">
        <f t="shared" si="4"/>
        <v>173</v>
      </c>
      <c r="I495" s="6" t="str">
        <f>IFERROR(__xludf.DUMMYFUNCTION("MAX(FILTER($H$2:$H501,$E$2:$E501=F495))"),"#N/A")</f>
        <v>#N/A</v>
      </c>
    </row>
    <row r="496">
      <c r="A496" s="4"/>
      <c r="B496" s="4"/>
      <c r="C496" s="4" t="s">
        <v>2146</v>
      </c>
      <c r="D496" s="8" t="str">
        <f t="shared" si="1"/>
        <v>{"valorA":"ar condicionado","valorB":163}</v>
      </c>
      <c r="E496" s="8" t="str">
        <f t="shared" si="2"/>
        <v>ar condicionado</v>
      </c>
      <c r="F496" s="8"/>
      <c r="G496" s="15" t="str">
        <f t="shared" si="3"/>
        <v>163</v>
      </c>
      <c r="H496" s="9">
        <f t="shared" si="4"/>
        <v>163</v>
      </c>
      <c r="I496" s="6" t="str">
        <f>IFERROR(__xludf.DUMMYFUNCTION("MAX(FILTER($H$2:$H501,$E$2:$E501=F496))"),"#N/A")</f>
        <v>#N/A</v>
      </c>
    </row>
    <row r="497">
      <c r="A497" s="4"/>
      <c r="B497" s="4"/>
      <c r="C497" s="4" t="s">
        <v>2142</v>
      </c>
      <c r="D497" s="8" t="str">
        <f t="shared" si="1"/>
        <v>{"valorA":"microondas","valorB":160}</v>
      </c>
      <c r="E497" s="8" t="str">
        <f t="shared" si="2"/>
        <v>microondas</v>
      </c>
      <c r="F497" s="8"/>
      <c r="G497" s="15" t="str">
        <f t="shared" si="3"/>
        <v>160</v>
      </c>
      <c r="H497" s="9">
        <f t="shared" si="4"/>
        <v>160</v>
      </c>
      <c r="I497" s="6" t="str">
        <f>IFERROR(__xludf.DUMMYFUNCTION("MAX(FILTER($H$2:$H501,$E$2:$E501=F497))"),"#N/A")</f>
        <v>#N/A</v>
      </c>
    </row>
    <row r="498">
      <c r="A498" s="4"/>
      <c r="B498" s="4"/>
      <c r="C498" s="4" t="s">
        <v>2147</v>
      </c>
      <c r="D498" s="8" t="str">
        <f t="shared" si="1"/>
        <v>{"valorA":"ar condicionado","valorB":164}</v>
      </c>
      <c r="E498" s="8" t="str">
        <f t="shared" si="2"/>
        <v>ar condicionado</v>
      </c>
      <c r="F498" s="8"/>
      <c r="G498" s="15" t="str">
        <f t="shared" si="3"/>
        <v>164</v>
      </c>
      <c r="H498" s="9">
        <f t="shared" si="4"/>
        <v>164</v>
      </c>
      <c r="I498" s="6" t="str">
        <f>IFERROR(__xludf.DUMMYFUNCTION("MAX(FILTER($H$2:$H501,$E$2:$E501=F498))"),"#N/A")</f>
        <v>#N/A</v>
      </c>
    </row>
    <row r="499">
      <c r="A499" s="4"/>
      <c r="B499" s="4"/>
      <c r="C499" s="4" t="s">
        <v>2148</v>
      </c>
      <c r="D499" s="8" t="str">
        <f t="shared" si="1"/>
        <v>{"valorA":"ar condicionado","valorB":165}</v>
      </c>
      <c r="E499" s="8" t="str">
        <f t="shared" si="2"/>
        <v>ar condicionado</v>
      </c>
      <c r="F499" s="8"/>
      <c r="G499" s="15" t="str">
        <f t="shared" si="3"/>
        <v>165</v>
      </c>
      <c r="H499" s="9">
        <f t="shared" si="4"/>
        <v>165</v>
      </c>
      <c r="I499" s="6" t="str">
        <f>IFERROR(__xludf.DUMMYFUNCTION("MAX(FILTER($H$2:$H501,$E$2:$E501=F499))"),"#N/A")</f>
        <v>#N/A</v>
      </c>
    </row>
    <row r="500">
      <c r="A500" s="4"/>
      <c r="B500" s="4"/>
      <c r="C500" s="4" t="s">
        <v>3515</v>
      </c>
      <c r="D500" s="8" t="str">
        <f t="shared" si="1"/>
        <v>{"valorA":"freezer","valorB":174}</v>
      </c>
      <c r="E500" s="8" t="str">
        <f t="shared" si="2"/>
        <v>freezer</v>
      </c>
      <c r="F500" s="8"/>
      <c r="G500" s="15" t="str">
        <f t="shared" si="3"/>
        <v>174</v>
      </c>
      <c r="H500" s="9">
        <f t="shared" si="4"/>
        <v>174</v>
      </c>
      <c r="I500" s="6" t="str">
        <f>IFERROR(__xludf.DUMMYFUNCTION("MAX(FILTER($H$2:$H501,$E$2:$E501=F500))"),"#N/A")</f>
        <v>#N/A</v>
      </c>
    </row>
    <row r="501">
      <c r="A501" s="4"/>
      <c r="B501" s="4"/>
      <c r="C501" s="4" t="s">
        <v>2150</v>
      </c>
      <c r="D501" s="8" t="str">
        <f t="shared" si="1"/>
        <v>{"valorA":"ar condicionado","valorB":166}</v>
      </c>
      <c r="E501" s="8" t="str">
        <f t="shared" si="2"/>
        <v>ar condicionado</v>
      </c>
      <c r="F501" s="8"/>
      <c r="G501" s="15" t="str">
        <f t="shared" si="3"/>
        <v>166</v>
      </c>
      <c r="H501" s="9">
        <f t="shared" si="4"/>
        <v>166</v>
      </c>
      <c r="I501" s="6" t="str">
        <f>IFERROR(__xludf.DUMMYFUNCTION("MAX(FILTER($H$2:$H501,$E$2:$E501=F501))"),"#N/A")</f>
        <v>#N/A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ht="15.0" customHeight="1">
      <c r="A2" s="4" t="s">
        <v>2164</v>
      </c>
    </row>
    <row r="3">
      <c r="A3" s="4" t="s">
        <v>939</v>
      </c>
    </row>
    <row r="4">
      <c r="A4" s="4" t="s">
        <v>1352</v>
      </c>
    </row>
    <row r="5">
      <c r="A5" s="4" t="s">
        <v>1657</v>
      </c>
    </row>
    <row r="6">
      <c r="A6" s="4" t="s">
        <v>2168</v>
      </c>
    </row>
    <row r="7">
      <c r="A7" s="4" t="s">
        <v>2160</v>
      </c>
    </row>
    <row r="8">
      <c r="A8" s="4" t="s">
        <v>2167</v>
      </c>
    </row>
    <row r="9">
      <c r="A9" s="4" t="s">
        <v>1655</v>
      </c>
    </row>
    <row r="10">
      <c r="A10" s="4" t="s">
        <v>2166</v>
      </c>
    </row>
    <row r="11">
      <c r="A11" s="4" t="s">
        <v>2161</v>
      </c>
    </row>
    <row r="12">
      <c r="A12" s="4" t="s">
        <v>2163</v>
      </c>
    </row>
    <row r="13">
      <c r="A13" s="4" t="s">
        <v>2162</v>
      </c>
    </row>
    <row r="14">
      <c r="A14" s="4" t="s">
        <v>2159</v>
      </c>
    </row>
    <row r="15">
      <c r="A15" s="4" t="s">
        <v>1655</v>
      </c>
    </row>
    <row r="16">
      <c r="A16" s="4" t="s">
        <v>952</v>
      </c>
    </row>
    <row r="17">
      <c r="A17" s="4" t="s">
        <v>1352</v>
      </c>
    </row>
    <row r="18">
      <c r="A18" s="4" t="s">
        <v>1657</v>
      </c>
    </row>
    <row r="19">
      <c r="A19" s="4" t="s">
        <v>2158</v>
      </c>
    </row>
    <row r="20">
      <c r="A20" s="4" t="s">
        <v>2161</v>
      </c>
    </row>
    <row r="21">
      <c r="A21" s="4" t="s">
        <v>2163</v>
      </c>
    </row>
    <row r="22">
      <c r="A22" s="4" t="s">
        <v>2160</v>
      </c>
    </row>
    <row r="23">
      <c r="A23" s="4" t="s">
        <v>1657</v>
      </c>
    </row>
    <row r="24">
      <c r="A24" s="4" t="s">
        <v>2166</v>
      </c>
    </row>
    <row r="25">
      <c r="A25" s="4" t="s">
        <v>1655</v>
      </c>
    </row>
    <row r="26">
      <c r="A26" s="4" t="s">
        <v>2167</v>
      </c>
    </row>
    <row r="27">
      <c r="A27" s="4" t="s">
        <v>2169</v>
      </c>
    </row>
    <row r="28">
      <c r="A28" s="4" t="s">
        <v>2160</v>
      </c>
    </row>
    <row r="29">
      <c r="A29" s="4" t="s">
        <v>1657</v>
      </c>
    </row>
    <row r="30">
      <c r="A30" s="4" t="s">
        <v>2163</v>
      </c>
    </row>
    <row r="31">
      <c r="A31" s="4" t="s">
        <v>2165</v>
      </c>
    </row>
    <row r="32">
      <c r="A32" s="4" t="s">
        <v>1352</v>
      </c>
    </row>
    <row r="33">
      <c r="A33" s="4" t="s">
        <v>2163</v>
      </c>
    </row>
    <row r="34">
      <c r="A34" s="4" t="s">
        <v>2166</v>
      </c>
    </row>
    <row r="35">
      <c r="A35" s="4" t="s">
        <v>105</v>
      </c>
    </row>
    <row r="36">
      <c r="A36" s="4" t="s">
        <v>2162</v>
      </c>
    </row>
    <row r="37">
      <c r="A37" s="4" t="s">
        <v>869</v>
      </c>
    </row>
    <row r="38">
      <c r="A38" s="4" t="s">
        <v>2168</v>
      </c>
    </row>
    <row r="39">
      <c r="A39" s="4" t="s">
        <v>2158</v>
      </c>
    </row>
    <row r="40">
      <c r="A40" s="4" t="s">
        <v>869</v>
      </c>
    </row>
    <row r="41">
      <c r="A41" s="4" t="s">
        <v>1655</v>
      </c>
    </row>
    <row r="42">
      <c r="A42" s="4" t="s">
        <v>2167</v>
      </c>
    </row>
    <row r="43">
      <c r="A43" s="4" t="s">
        <v>1657</v>
      </c>
    </row>
    <row r="44">
      <c r="A44" s="4" t="s">
        <v>1656</v>
      </c>
    </row>
    <row r="45">
      <c r="A45" s="4" t="s">
        <v>105</v>
      </c>
    </row>
    <row r="46">
      <c r="A46" s="4" t="s">
        <v>2165</v>
      </c>
    </row>
    <row r="47">
      <c r="A47" s="4" t="s">
        <v>869</v>
      </c>
    </row>
    <row r="48">
      <c r="A48" s="4" t="s">
        <v>869</v>
      </c>
    </row>
    <row r="49">
      <c r="A49" s="4" t="s">
        <v>939</v>
      </c>
    </row>
    <row r="50">
      <c r="A50" s="4" t="s">
        <v>105</v>
      </c>
    </row>
    <row r="51">
      <c r="A51" s="4" t="s">
        <v>2167</v>
      </c>
    </row>
    <row r="52">
      <c r="A52" s="4" t="s">
        <v>2165</v>
      </c>
    </row>
    <row r="53">
      <c r="A53" s="4" t="s">
        <v>2158</v>
      </c>
    </row>
    <row r="54">
      <c r="A54" s="4" t="s">
        <v>2161</v>
      </c>
    </row>
    <row r="55">
      <c r="A55" s="4" t="s">
        <v>869</v>
      </c>
    </row>
    <row r="56">
      <c r="A56" s="4" t="s">
        <v>2160</v>
      </c>
    </row>
    <row r="57">
      <c r="A57" s="4" t="s">
        <v>1352</v>
      </c>
    </row>
    <row r="58">
      <c r="A58" s="4" t="s">
        <v>939</v>
      </c>
    </row>
    <row r="59">
      <c r="A59" s="4" t="s">
        <v>869</v>
      </c>
    </row>
    <row r="60">
      <c r="A60" s="4" t="s">
        <v>1657</v>
      </c>
    </row>
    <row r="61">
      <c r="A61" s="4" t="s">
        <v>939</v>
      </c>
    </row>
    <row r="62">
      <c r="A62" s="4" t="s">
        <v>1352</v>
      </c>
    </row>
    <row r="63">
      <c r="A63" s="4" t="s">
        <v>952</v>
      </c>
    </row>
    <row r="64">
      <c r="A64" s="4" t="s">
        <v>1657</v>
      </c>
    </row>
    <row r="65">
      <c r="A65" s="4" t="s">
        <v>2159</v>
      </c>
    </row>
    <row r="66">
      <c r="A66" s="4" t="s">
        <v>2162</v>
      </c>
    </row>
    <row r="67">
      <c r="A67" s="4" t="s">
        <v>869</v>
      </c>
    </row>
    <row r="68">
      <c r="A68" s="4" t="s">
        <v>105</v>
      </c>
    </row>
    <row r="69">
      <c r="A69" s="4" t="s">
        <v>2162</v>
      </c>
    </row>
    <row r="70">
      <c r="A70" s="4" t="s">
        <v>2163</v>
      </c>
    </row>
    <row r="71">
      <c r="A71" s="4" t="s">
        <v>105</v>
      </c>
    </row>
    <row r="72">
      <c r="A72" s="4" t="s">
        <v>952</v>
      </c>
    </row>
    <row r="73">
      <c r="A73" s="4" t="s">
        <v>869</v>
      </c>
    </row>
    <row r="74">
      <c r="A74" s="4" t="s">
        <v>2165</v>
      </c>
    </row>
    <row r="75">
      <c r="A75" s="4" t="s">
        <v>2165</v>
      </c>
    </row>
    <row r="76">
      <c r="A76" s="4" t="s">
        <v>2160</v>
      </c>
    </row>
    <row r="77">
      <c r="A77" s="4" t="s">
        <v>2167</v>
      </c>
    </row>
    <row r="78">
      <c r="A78" s="4" t="s">
        <v>2158</v>
      </c>
    </row>
    <row r="79">
      <c r="A79" s="4" t="s">
        <v>2163</v>
      </c>
    </row>
    <row r="80">
      <c r="A80" s="4" t="s">
        <v>2158</v>
      </c>
    </row>
    <row r="81">
      <c r="A81" s="4" t="s">
        <v>2160</v>
      </c>
    </row>
    <row r="82">
      <c r="A82" s="4" t="s">
        <v>2165</v>
      </c>
    </row>
    <row r="83">
      <c r="A83" s="4" t="s">
        <v>105</v>
      </c>
    </row>
    <row r="84">
      <c r="A84" s="4" t="s">
        <v>2169</v>
      </c>
    </row>
    <row r="85">
      <c r="A85" s="4" t="s">
        <v>2160</v>
      </c>
    </row>
    <row r="86">
      <c r="A86" s="4" t="s">
        <v>2164</v>
      </c>
    </row>
    <row r="87">
      <c r="A87" s="4" t="s">
        <v>2169</v>
      </c>
    </row>
    <row r="88">
      <c r="A88" s="4" t="s">
        <v>1657</v>
      </c>
    </row>
    <row r="89">
      <c r="A89" s="4" t="s">
        <v>1655</v>
      </c>
    </row>
    <row r="90">
      <c r="A90" s="4" t="s">
        <v>2160</v>
      </c>
    </row>
    <row r="91">
      <c r="A91" s="4" t="s">
        <v>1655</v>
      </c>
    </row>
    <row r="92">
      <c r="A92" s="4" t="s">
        <v>2165</v>
      </c>
    </row>
    <row r="93">
      <c r="A93" s="4" t="s">
        <v>2167</v>
      </c>
    </row>
    <row r="94">
      <c r="A94" s="4" t="s">
        <v>1352</v>
      </c>
    </row>
    <row r="95">
      <c r="A95" s="4" t="s">
        <v>1657</v>
      </c>
    </row>
    <row r="96">
      <c r="A96" s="4" t="s">
        <v>2169</v>
      </c>
    </row>
    <row r="97">
      <c r="A97" s="4" t="s">
        <v>1656</v>
      </c>
    </row>
    <row r="98">
      <c r="A98" s="4" t="s">
        <v>1657</v>
      </c>
    </row>
    <row r="99">
      <c r="A99" s="4" t="s">
        <v>1657</v>
      </c>
    </row>
    <row r="100">
      <c r="A100" s="4" t="s">
        <v>2162</v>
      </c>
    </row>
    <row r="101">
      <c r="A101" s="4" t="s">
        <v>2160</v>
      </c>
    </row>
    <row r="102">
      <c r="A102" s="4" t="s">
        <v>1352</v>
      </c>
    </row>
    <row r="103">
      <c r="A103" s="4" t="s">
        <v>2159</v>
      </c>
    </row>
    <row r="104">
      <c r="A104" s="4" t="s">
        <v>1352</v>
      </c>
    </row>
    <row r="105">
      <c r="A105" s="4" t="s">
        <v>2159</v>
      </c>
    </row>
    <row r="106">
      <c r="A106" s="4" t="s">
        <v>2169</v>
      </c>
    </row>
    <row r="107">
      <c r="A107" s="4" t="s">
        <v>2159</v>
      </c>
    </row>
    <row r="108">
      <c r="A108" s="4" t="s">
        <v>2158</v>
      </c>
    </row>
    <row r="109">
      <c r="A109" s="4" t="s">
        <v>1656</v>
      </c>
    </row>
    <row r="110">
      <c r="A110" s="4" t="s">
        <v>1656</v>
      </c>
    </row>
    <row r="111">
      <c r="A111" s="4" t="s">
        <v>2166</v>
      </c>
    </row>
    <row r="112">
      <c r="A112" s="4" t="s">
        <v>1352</v>
      </c>
    </row>
    <row r="113">
      <c r="A113" s="4" t="s">
        <v>869</v>
      </c>
    </row>
    <row r="114">
      <c r="A114" s="4" t="s">
        <v>1655</v>
      </c>
    </row>
    <row r="115">
      <c r="A115" s="4" t="s">
        <v>2162</v>
      </c>
    </row>
    <row r="116">
      <c r="A116" s="4" t="s">
        <v>1352</v>
      </c>
    </row>
    <row r="117">
      <c r="A117" s="4" t="s">
        <v>2164</v>
      </c>
    </row>
    <row r="118">
      <c r="A118" s="4" t="s">
        <v>2168</v>
      </c>
    </row>
    <row r="119">
      <c r="A119" s="4" t="s">
        <v>105</v>
      </c>
    </row>
    <row r="120">
      <c r="A120" s="4" t="s">
        <v>1352</v>
      </c>
    </row>
    <row r="121">
      <c r="A121" s="4" t="s">
        <v>1655</v>
      </c>
    </row>
    <row r="122">
      <c r="A122" s="4" t="s">
        <v>2166</v>
      </c>
    </row>
    <row r="123">
      <c r="A123" s="4" t="s">
        <v>1655</v>
      </c>
    </row>
    <row r="124">
      <c r="A124" s="4" t="s">
        <v>1352</v>
      </c>
    </row>
    <row r="125">
      <c r="A125" s="4" t="s">
        <v>1655</v>
      </c>
    </row>
    <row r="126">
      <c r="A126" s="4" t="s">
        <v>2164</v>
      </c>
    </row>
    <row r="127">
      <c r="A127" s="4" t="s">
        <v>2162</v>
      </c>
    </row>
    <row r="128">
      <c r="A128" s="4" t="s">
        <v>952</v>
      </c>
    </row>
    <row r="129">
      <c r="A129" s="4" t="s">
        <v>2167</v>
      </c>
    </row>
    <row r="130">
      <c r="A130" s="4" t="s">
        <v>1656</v>
      </c>
    </row>
    <row r="131">
      <c r="A131" s="4" t="s">
        <v>2162</v>
      </c>
    </row>
    <row r="132">
      <c r="A132" s="4" t="s">
        <v>2161</v>
      </c>
    </row>
    <row r="133">
      <c r="A133" s="4" t="s">
        <v>2159</v>
      </c>
    </row>
    <row r="134">
      <c r="A134" s="4" t="s">
        <v>105</v>
      </c>
    </row>
    <row r="135">
      <c r="A135" s="4" t="s">
        <v>2165</v>
      </c>
    </row>
    <row r="136">
      <c r="A136" s="4" t="s">
        <v>2164</v>
      </c>
    </row>
    <row r="137">
      <c r="A137" s="4" t="s">
        <v>2158</v>
      </c>
    </row>
    <row r="138">
      <c r="A138" s="4" t="s">
        <v>1656</v>
      </c>
    </row>
    <row r="139">
      <c r="A139" s="4" t="s">
        <v>2166</v>
      </c>
    </row>
    <row r="140">
      <c r="A140" s="4" t="s">
        <v>2165</v>
      </c>
    </row>
    <row r="141">
      <c r="A141" s="4" t="s">
        <v>2168</v>
      </c>
    </row>
    <row r="142">
      <c r="A142" s="4" t="s">
        <v>2165</v>
      </c>
    </row>
    <row r="143">
      <c r="A143" s="4" t="s">
        <v>2164</v>
      </c>
    </row>
    <row r="144">
      <c r="A144" s="4" t="s">
        <v>2168</v>
      </c>
    </row>
    <row r="145">
      <c r="A145" s="4" t="s">
        <v>939</v>
      </c>
    </row>
    <row r="146">
      <c r="A146" s="4" t="s">
        <v>2158</v>
      </c>
    </row>
    <row r="147">
      <c r="A147" s="4" t="s">
        <v>2160</v>
      </c>
    </row>
    <row r="148">
      <c r="A148" s="4" t="s">
        <v>2159</v>
      </c>
    </row>
    <row r="149">
      <c r="A149" s="4" t="s">
        <v>1657</v>
      </c>
    </row>
    <row r="150">
      <c r="A150" s="4" t="s">
        <v>869</v>
      </c>
    </row>
    <row r="151">
      <c r="A151" s="4" t="s">
        <v>2158</v>
      </c>
    </row>
    <row r="152">
      <c r="A152" s="4" t="s">
        <v>2165</v>
      </c>
    </row>
    <row r="153">
      <c r="A153" s="4" t="s">
        <v>2166</v>
      </c>
    </row>
    <row r="154">
      <c r="A154" s="4" t="s">
        <v>2167</v>
      </c>
    </row>
    <row r="155">
      <c r="A155" s="4" t="s">
        <v>2162</v>
      </c>
    </row>
    <row r="156">
      <c r="A156" s="4" t="s">
        <v>1657</v>
      </c>
    </row>
    <row r="157">
      <c r="A157" s="4" t="s">
        <v>2162</v>
      </c>
    </row>
    <row r="158">
      <c r="A158" s="4" t="s">
        <v>2159</v>
      </c>
    </row>
    <row r="159">
      <c r="A159" s="4" t="s">
        <v>869</v>
      </c>
    </row>
    <row r="160">
      <c r="A160" s="4" t="s">
        <v>2168</v>
      </c>
    </row>
    <row r="161">
      <c r="A161" s="4" t="s">
        <v>939</v>
      </c>
    </row>
    <row r="162">
      <c r="A162" s="4" t="s">
        <v>869</v>
      </c>
    </row>
    <row r="163">
      <c r="A163" s="4" t="s">
        <v>105</v>
      </c>
    </row>
    <row r="164">
      <c r="A164" s="4" t="s">
        <v>1655</v>
      </c>
    </row>
    <row r="165">
      <c r="A165" s="4" t="s">
        <v>2160</v>
      </c>
    </row>
    <row r="166">
      <c r="A166" s="4" t="s">
        <v>2164</v>
      </c>
    </row>
    <row r="167">
      <c r="A167" s="4" t="s">
        <v>2165</v>
      </c>
    </row>
    <row r="168">
      <c r="A168" s="4" t="s">
        <v>2169</v>
      </c>
    </row>
    <row r="169">
      <c r="A169" s="4" t="s">
        <v>1655</v>
      </c>
    </row>
    <row r="170">
      <c r="A170" s="4" t="s">
        <v>2169</v>
      </c>
    </row>
    <row r="171">
      <c r="A171" s="4" t="s">
        <v>2166</v>
      </c>
    </row>
    <row r="172">
      <c r="A172" s="4" t="s">
        <v>2161</v>
      </c>
    </row>
    <row r="173">
      <c r="A173" s="4" t="s">
        <v>2162</v>
      </c>
    </row>
    <row r="174">
      <c r="A174" s="4" t="s">
        <v>2168</v>
      </c>
    </row>
    <row r="175">
      <c r="A175" s="4" t="s">
        <v>2163</v>
      </c>
    </row>
    <row r="176">
      <c r="A176" s="4" t="s">
        <v>869</v>
      </c>
    </row>
    <row r="177">
      <c r="A177" s="4" t="s">
        <v>2162</v>
      </c>
    </row>
    <row r="178">
      <c r="A178" s="4" t="s">
        <v>2162</v>
      </c>
    </row>
    <row r="179">
      <c r="A179" s="4" t="s">
        <v>2159</v>
      </c>
    </row>
    <row r="180">
      <c r="A180" s="4" t="s">
        <v>1655</v>
      </c>
    </row>
    <row r="181">
      <c r="A181" s="4" t="s">
        <v>2169</v>
      </c>
    </row>
    <row r="182">
      <c r="A182" s="4" t="s">
        <v>2167</v>
      </c>
    </row>
    <row r="183">
      <c r="A183" s="4" t="s">
        <v>2169</v>
      </c>
    </row>
    <row r="184">
      <c r="A184" s="4" t="s">
        <v>2168</v>
      </c>
    </row>
    <row r="185">
      <c r="A185" s="4" t="s">
        <v>2166</v>
      </c>
    </row>
    <row r="186">
      <c r="A186" s="4" t="s">
        <v>2166</v>
      </c>
    </row>
    <row r="187">
      <c r="A187" s="4" t="s">
        <v>2162</v>
      </c>
    </row>
    <row r="188">
      <c r="A188" s="4" t="s">
        <v>2162</v>
      </c>
    </row>
    <row r="189">
      <c r="A189" s="4" t="s">
        <v>2167</v>
      </c>
    </row>
    <row r="190">
      <c r="A190" s="4" t="s">
        <v>2169</v>
      </c>
    </row>
    <row r="191">
      <c r="A191" s="4" t="s">
        <v>2164</v>
      </c>
    </row>
    <row r="192">
      <c r="A192" s="4" t="s">
        <v>2163</v>
      </c>
    </row>
    <row r="193">
      <c r="A193" s="4" t="s">
        <v>2159</v>
      </c>
    </row>
    <row r="194">
      <c r="A194" s="4" t="s">
        <v>2162</v>
      </c>
    </row>
    <row r="195">
      <c r="A195" s="4" t="s">
        <v>1655</v>
      </c>
    </row>
    <row r="196">
      <c r="A196" s="4" t="s">
        <v>105</v>
      </c>
    </row>
    <row r="197">
      <c r="A197" s="4" t="s">
        <v>2167</v>
      </c>
    </row>
    <row r="198">
      <c r="A198" s="4" t="s">
        <v>1656</v>
      </c>
    </row>
    <row r="199">
      <c r="A199" s="4" t="s">
        <v>2164</v>
      </c>
    </row>
    <row r="200">
      <c r="A200" s="4" t="s">
        <v>2163</v>
      </c>
    </row>
    <row r="201">
      <c r="A201" s="4" t="s">
        <v>2162</v>
      </c>
    </row>
    <row r="202">
      <c r="A202" s="4" t="s">
        <v>105</v>
      </c>
    </row>
    <row r="203">
      <c r="A203" s="4" t="s">
        <v>869</v>
      </c>
    </row>
    <row r="204">
      <c r="A204" s="4" t="s">
        <v>2163</v>
      </c>
    </row>
    <row r="205">
      <c r="A205" s="4" t="s">
        <v>939</v>
      </c>
    </row>
    <row r="206">
      <c r="A206" s="4" t="s">
        <v>2166</v>
      </c>
    </row>
    <row r="207">
      <c r="A207" s="4" t="s">
        <v>952</v>
      </c>
    </row>
    <row r="208">
      <c r="A208" s="4" t="s">
        <v>2161</v>
      </c>
    </row>
    <row r="209">
      <c r="A209" s="4" t="s">
        <v>2168</v>
      </c>
    </row>
    <row r="210">
      <c r="A210" s="4" t="s">
        <v>1657</v>
      </c>
    </row>
    <row r="211">
      <c r="A211" s="4" t="s">
        <v>2163</v>
      </c>
    </row>
    <row r="212">
      <c r="A212" s="4" t="s">
        <v>952</v>
      </c>
    </row>
    <row r="213">
      <c r="A213" s="4" t="s">
        <v>1352</v>
      </c>
    </row>
    <row r="214">
      <c r="A214" s="4" t="s">
        <v>1655</v>
      </c>
    </row>
    <row r="215">
      <c r="A215" s="4" t="s">
        <v>952</v>
      </c>
    </row>
    <row r="216">
      <c r="A216" s="4" t="s">
        <v>1657</v>
      </c>
    </row>
    <row r="217">
      <c r="A217" s="4" t="s">
        <v>1352</v>
      </c>
    </row>
    <row r="218">
      <c r="A218" s="4" t="s">
        <v>2163</v>
      </c>
    </row>
    <row r="219">
      <c r="A219" s="4" t="s">
        <v>2163</v>
      </c>
    </row>
    <row r="220">
      <c r="A220" s="4" t="s">
        <v>2158</v>
      </c>
    </row>
    <row r="221">
      <c r="A221" s="4" t="s">
        <v>1655</v>
      </c>
    </row>
    <row r="222">
      <c r="A222" s="4" t="s">
        <v>2166</v>
      </c>
    </row>
    <row r="223">
      <c r="A223" s="4" t="s">
        <v>1657</v>
      </c>
    </row>
    <row r="224">
      <c r="A224" s="4" t="s">
        <v>952</v>
      </c>
    </row>
    <row r="225">
      <c r="A225" s="4" t="s">
        <v>2161</v>
      </c>
    </row>
    <row r="226">
      <c r="A226" s="4" t="s">
        <v>1352</v>
      </c>
    </row>
    <row r="227">
      <c r="A227" s="4" t="s">
        <v>2158</v>
      </c>
    </row>
    <row r="228">
      <c r="A228" s="4" t="s">
        <v>1657</v>
      </c>
    </row>
    <row r="229">
      <c r="A229" s="4" t="s">
        <v>1657</v>
      </c>
    </row>
    <row r="230">
      <c r="A230" s="4" t="s">
        <v>2163</v>
      </c>
    </row>
    <row r="231">
      <c r="A231" s="4" t="s">
        <v>2161</v>
      </c>
    </row>
    <row r="232">
      <c r="A232" s="4" t="s">
        <v>2162</v>
      </c>
    </row>
    <row r="233">
      <c r="A233" s="4" t="s">
        <v>1655</v>
      </c>
    </row>
    <row r="234">
      <c r="A234" s="4" t="s">
        <v>2160</v>
      </c>
    </row>
    <row r="235">
      <c r="A235" s="4" t="s">
        <v>2168</v>
      </c>
    </row>
    <row r="236">
      <c r="A236" s="4" t="s">
        <v>105</v>
      </c>
    </row>
    <row r="237">
      <c r="A237" s="4" t="s">
        <v>2165</v>
      </c>
    </row>
    <row r="238">
      <c r="A238" s="4" t="s">
        <v>2166</v>
      </c>
    </row>
    <row r="239">
      <c r="A239" s="4" t="s">
        <v>2164</v>
      </c>
    </row>
    <row r="240">
      <c r="A240" s="4" t="s">
        <v>939</v>
      </c>
    </row>
    <row r="241">
      <c r="A241" s="4" t="s">
        <v>2159</v>
      </c>
    </row>
    <row r="242">
      <c r="A242" s="4" t="s">
        <v>1655</v>
      </c>
    </row>
    <row r="243">
      <c r="A243" s="4" t="s">
        <v>2160</v>
      </c>
    </row>
    <row r="244">
      <c r="A244" s="4" t="s">
        <v>2167</v>
      </c>
    </row>
    <row r="245">
      <c r="A245" s="4" t="s">
        <v>2159</v>
      </c>
    </row>
    <row r="246">
      <c r="A246" s="4" t="s">
        <v>2159</v>
      </c>
    </row>
    <row r="247">
      <c r="A247" s="4" t="s">
        <v>2167</v>
      </c>
    </row>
    <row r="248">
      <c r="A248" s="4" t="s">
        <v>2164</v>
      </c>
    </row>
    <row r="249">
      <c r="A249" s="4" t="s">
        <v>1655</v>
      </c>
    </row>
    <row r="250">
      <c r="A250" s="4" t="s">
        <v>2158</v>
      </c>
    </row>
    <row r="251">
      <c r="A251" s="4" t="s">
        <v>869</v>
      </c>
    </row>
    <row r="252">
      <c r="A252" s="4" t="s">
        <v>2163</v>
      </c>
    </row>
    <row r="253">
      <c r="A253" s="4" t="s">
        <v>2169</v>
      </c>
    </row>
    <row r="254">
      <c r="A254" s="4" t="s">
        <v>2169</v>
      </c>
    </row>
    <row r="255">
      <c r="A255" s="4" t="s">
        <v>1656</v>
      </c>
    </row>
    <row r="256">
      <c r="A256" s="4" t="s">
        <v>2168</v>
      </c>
    </row>
    <row r="257">
      <c r="A257" s="4" t="s">
        <v>869</v>
      </c>
    </row>
    <row r="258">
      <c r="A258" s="4" t="s">
        <v>2163</v>
      </c>
    </row>
    <row r="259">
      <c r="A259" s="4" t="s">
        <v>2162</v>
      </c>
    </row>
    <row r="260">
      <c r="A260" s="4" t="s">
        <v>2162</v>
      </c>
    </row>
    <row r="261">
      <c r="A261" s="4" t="s">
        <v>2169</v>
      </c>
    </row>
    <row r="262">
      <c r="A262" s="4" t="s">
        <v>2166</v>
      </c>
    </row>
    <row r="263">
      <c r="A263" s="4" t="s">
        <v>2169</v>
      </c>
    </row>
    <row r="264">
      <c r="A264" s="4" t="s">
        <v>2158</v>
      </c>
    </row>
    <row r="265">
      <c r="A265" s="4" t="s">
        <v>2164</v>
      </c>
    </row>
    <row r="266">
      <c r="A266" s="4" t="s">
        <v>2161</v>
      </c>
    </row>
    <row r="267">
      <c r="A267" s="4" t="s">
        <v>2163</v>
      </c>
    </row>
    <row r="268">
      <c r="A268" s="4" t="s">
        <v>2165</v>
      </c>
    </row>
    <row r="269">
      <c r="A269" s="4" t="s">
        <v>2161</v>
      </c>
    </row>
    <row r="270">
      <c r="A270" s="4" t="s">
        <v>2165</v>
      </c>
    </row>
    <row r="271">
      <c r="A271" s="4" t="s">
        <v>2159</v>
      </c>
    </row>
    <row r="272">
      <c r="A272" s="4" t="s">
        <v>2161</v>
      </c>
    </row>
    <row r="273">
      <c r="A273" s="4" t="s">
        <v>2163</v>
      </c>
    </row>
    <row r="274">
      <c r="A274" s="4" t="s">
        <v>2160</v>
      </c>
    </row>
    <row r="275">
      <c r="A275" s="4" t="s">
        <v>2168</v>
      </c>
    </row>
    <row r="276">
      <c r="A276" s="4" t="s">
        <v>105</v>
      </c>
    </row>
    <row r="277">
      <c r="A277" s="4" t="s">
        <v>869</v>
      </c>
    </row>
    <row r="278">
      <c r="A278" s="4" t="s">
        <v>2168</v>
      </c>
    </row>
    <row r="279">
      <c r="A279" s="4" t="s">
        <v>105</v>
      </c>
    </row>
    <row r="280">
      <c r="A280" s="4" t="s">
        <v>1656</v>
      </c>
    </row>
    <row r="281">
      <c r="A281" s="4" t="s">
        <v>2164</v>
      </c>
    </row>
    <row r="282">
      <c r="A282" s="4" t="s">
        <v>2161</v>
      </c>
    </row>
    <row r="283">
      <c r="A283" s="4" t="s">
        <v>869</v>
      </c>
    </row>
    <row r="284">
      <c r="A284" s="4" t="s">
        <v>2159</v>
      </c>
    </row>
    <row r="285">
      <c r="A285" s="4" t="s">
        <v>2166</v>
      </c>
    </row>
    <row r="286">
      <c r="A286" s="4" t="s">
        <v>105</v>
      </c>
    </row>
    <row r="287">
      <c r="A287" s="4" t="s">
        <v>2159</v>
      </c>
    </row>
    <row r="288">
      <c r="A288" s="4" t="s">
        <v>2169</v>
      </c>
    </row>
    <row r="289">
      <c r="A289" s="4" t="s">
        <v>2166</v>
      </c>
    </row>
    <row r="290">
      <c r="A290" s="4" t="s">
        <v>2169</v>
      </c>
    </row>
    <row r="291">
      <c r="A291" s="4" t="s">
        <v>2168</v>
      </c>
    </row>
    <row r="292">
      <c r="A292" s="4" t="s">
        <v>1657</v>
      </c>
    </row>
    <row r="293">
      <c r="A293" s="4" t="s">
        <v>1656</v>
      </c>
    </row>
    <row r="294">
      <c r="A294" s="4" t="s">
        <v>2161</v>
      </c>
    </row>
    <row r="295">
      <c r="A295" s="4" t="s">
        <v>2164</v>
      </c>
    </row>
    <row r="296">
      <c r="A296" s="4" t="s">
        <v>1657</v>
      </c>
    </row>
    <row r="297">
      <c r="A297" s="4" t="s">
        <v>2162</v>
      </c>
    </row>
    <row r="298">
      <c r="A298" s="4" t="s">
        <v>2163</v>
      </c>
    </row>
    <row r="299">
      <c r="A299" s="4" t="s">
        <v>869</v>
      </c>
    </row>
    <row r="300">
      <c r="A300" s="4" t="s">
        <v>2158</v>
      </c>
    </row>
    <row r="301">
      <c r="A301" s="4" t="s">
        <v>1352</v>
      </c>
    </row>
    <row r="302">
      <c r="A302" s="4" t="s">
        <v>2163</v>
      </c>
    </row>
    <row r="303">
      <c r="A303" s="4" t="s">
        <v>2158</v>
      </c>
    </row>
    <row r="304">
      <c r="A304" s="4" t="s">
        <v>2160</v>
      </c>
    </row>
    <row r="305">
      <c r="A305" s="4" t="s">
        <v>2169</v>
      </c>
    </row>
    <row r="306">
      <c r="A306" s="4" t="s">
        <v>2166</v>
      </c>
    </row>
    <row r="307">
      <c r="A307" s="4" t="s">
        <v>1352</v>
      </c>
    </row>
    <row r="308">
      <c r="A308" s="4" t="s">
        <v>1655</v>
      </c>
    </row>
    <row r="309">
      <c r="A309" s="4" t="s">
        <v>1352</v>
      </c>
    </row>
    <row r="310">
      <c r="A310" s="4" t="s">
        <v>2168</v>
      </c>
    </row>
    <row r="311">
      <c r="A311" s="4" t="s">
        <v>2165</v>
      </c>
    </row>
    <row r="312">
      <c r="A312" s="4" t="s">
        <v>939</v>
      </c>
    </row>
    <row r="313">
      <c r="A313" s="4" t="s">
        <v>2168</v>
      </c>
    </row>
    <row r="314">
      <c r="A314" s="4" t="s">
        <v>1352</v>
      </c>
    </row>
    <row r="315">
      <c r="A315" s="4" t="s">
        <v>1352</v>
      </c>
    </row>
    <row r="316">
      <c r="A316" s="4" t="s">
        <v>2159</v>
      </c>
    </row>
    <row r="317">
      <c r="A317" s="4" t="s">
        <v>2168</v>
      </c>
    </row>
    <row r="318">
      <c r="A318" s="4" t="s">
        <v>1656</v>
      </c>
    </row>
    <row r="319">
      <c r="A319" s="4" t="s">
        <v>1352</v>
      </c>
    </row>
    <row r="320">
      <c r="A320" s="4" t="s">
        <v>105</v>
      </c>
    </row>
    <row r="321">
      <c r="A321" s="4" t="s">
        <v>2160</v>
      </c>
    </row>
    <row r="322">
      <c r="A322" s="4" t="s">
        <v>2159</v>
      </c>
    </row>
    <row r="323">
      <c r="A323" s="4" t="s">
        <v>1655</v>
      </c>
    </row>
    <row r="324">
      <c r="A324" s="4" t="s">
        <v>1352</v>
      </c>
    </row>
    <row r="325">
      <c r="A325" s="4" t="s">
        <v>2163</v>
      </c>
    </row>
    <row r="326">
      <c r="A326" s="4" t="s">
        <v>2164</v>
      </c>
    </row>
    <row r="327">
      <c r="A327" s="4" t="s">
        <v>2165</v>
      </c>
    </row>
    <row r="328">
      <c r="A328" s="4" t="s">
        <v>1656</v>
      </c>
    </row>
    <row r="329">
      <c r="A329" s="4" t="s">
        <v>2165</v>
      </c>
    </row>
    <row r="330">
      <c r="A330" s="4" t="s">
        <v>2165</v>
      </c>
    </row>
    <row r="331">
      <c r="A331" s="4" t="s">
        <v>1655</v>
      </c>
    </row>
    <row r="332">
      <c r="A332" s="4" t="s">
        <v>869</v>
      </c>
    </row>
    <row r="333">
      <c r="A333" s="4" t="s">
        <v>105</v>
      </c>
    </row>
    <row r="334">
      <c r="A334" s="4" t="s">
        <v>2169</v>
      </c>
    </row>
    <row r="335">
      <c r="A335" s="4" t="s">
        <v>952</v>
      </c>
    </row>
    <row r="336">
      <c r="A336" s="4" t="s">
        <v>2159</v>
      </c>
    </row>
    <row r="337">
      <c r="A337" s="4" t="s">
        <v>2167</v>
      </c>
    </row>
    <row r="338">
      <c r="A338" s="4" t="s">
        <v>939</v>
      </c>
    </row>
    <row r="339">
      <c r="A339" s="4" t="s">
        <v>1656</v>
      </c>
    </row>
    <row r="340">
      <c r="A340" s="4" t="s">
        <v>2161</v>
      </c>
    </row>
    <row r="341">
      <c r="A341" s="4" t="s">
        <v>869</v>
      </c>
    </row>
    <row r="342">
      <c r="A342" s="4" t="s">
        <v>2167</v>
      </c>
    </row>
    <row r="343">
      <c r="A343" s="4" t="s">
        <v>1657</v>
      </c>
    </row>
    <row r="344">
      <c r="A344" s="4" t="s">
        <v>2169</v>
      </c>
    </row>
    <row r="345">
      <c r="A345" s="4" t="s">
        <v>1657</v>
      </c>
    </row>
    <row r="346">
      <c r="A346" s="4" t="s">
        <v>2158</v>
      </c>
    </row>
    <row r="347">
      <c r="A347" s="4" t="s">
        <v>2165</v>
      </c>
    </row>
    <row r="348">
      <c r="A348" s="4" t="s">
        <v>2162</v>
      </c>
    </row>
    <row r="349">
      <c r="A349" s="4" t="s">
        <v>2159</v>
      </c>
    </row>
    <row r="350">
      <c r="A350" s="4" t="s">
        <v>2162</v>
      </c>
    </row>
    <row r="351">
      <c r="A351" s="4" t="s">
        <v>2161</v>
      </c>
    </row>
    <row r="352">
      <c r="A352" s="4" t="s">
        <v>2165</v>
      </c>
    </row>
    <row r="353">
      <c r="A353" s="4" t="s">
        <v>2165</v>
      </c>
    </row>
    <row r="354">
      <c r="A354" s="4" t="s">
        <v>2166</v>
      </c>
    </row>
    <row r="355">
      <c r="A355" s="4" t="s">
        <v>2158</v>
      </c>
    </row>
    <row r="356">
      <c r="A356" s="4" t="s">
        <v>869</v>
      </c>
    </row>
    <row r="357">
      <c r="A357" s="4" t="s">
        <v>2169</v>
      </c>
    </row>
    <row r="358">
      <c r="A358" s="4" t="s">
        <v>1656</v>
      </c>
    </row>
    <row r="359">
      <c r="A359" s="4" t="s">
        <v>2160</v>
      </c>
    </row>
    <row r="360">
      <c r="A360" s="4" t="s">
        <v>2163</v>
      </c>
    </row>
    <row r="361">
      <c r="A361" s="4" t="s">
        <v>939</v>
      </c>
    </row>
    <row r="362">
      <c r="A362" s="4" t="s">
        <v>2167</v>
      </c>
    </row>
    <row r="363">
      <c r="A363" s="4" t="s">
        <v>939</v>
      </c>
    </row>
    <row r="364">
      <c r="A364" s="4" t="s">
        <v>2160</v>
      </c>
    </row>
    <row r="365">
      <c r="A365" s="4" t="s">
        <v>1657</v>
      </c>
    </row>
    <row r="366">
      <c r="A366" s="4" t="s">
        <v>2160</v>
      </c>
    </row>
    <row r="367">
      <c r="A367" s="4" t="s">
        <v>2162</v>
      </c>
    </row>
    <row r="368">
      <c r="A368" s="4" t="s">
        <v>2163</v>
      </c>
    </row>
    <row r="369">
      <c r="A369" s="4" t="s">
        <v>2167</v>
      </c>
    </row>
    <row r="370">
      <c r="A370" s="4" t="s">
        <v>939</v>
      </c>
    </row>
    <row r="371">
      <c r="A371" s="4" t="s">
        <v>105</v>
      </c>
    </row>
    <row r="372">
      <c r="A372" s="4" t="s">
        <v>2161</v>
      </c>
    </row>
    <row r="373">
      <c r="A373" s="4" t="s">
        <v>2167</v>
      </c>
    </row>
    <row r="374">
      <c r="A374" s="4" t="s">
        <v>2158</v>
      </c>
    </row>
    <row r="375">
      <c r="A375" s="4" t="s">
        <v>2168</v>
      </c>
    </row>
    <row r="376">
      <c r="A376" s="4" t="s">
        <v>869</v>
      </c>
    </row>
    <row r="377">
      <c r="A377" s="4" t="s">
        <v>2160</v>
      </c>
    </row>
    <row r="378">
      <c r="A378" s="4" t="s">
        <v>2166</v>
      </c>
    </row>
    <row r="379">
      <c r="A379" s="4" t="s">
        <v>2167</v>
      </c>
    </row>
    <row r="380">
      <c r="A380" s="4" t="s">
        <v>2162</v>
      </c>
    </row>
    <row r="381">
      <c r="A381" s="4" t="s">
        <v>1657</v>
      </c>
    </row>
    <row r="382">
      <c r="A382" s="4" t="s">
        <v>869</v>
      </c>
    </row>
    <row r="383">
      <c r="A383" s="4" t="s">
        <v>1657</v>
      </c>
    </row>
    <row r="384">
      <c r="A384" s="4" t="s">
        <v>2168</v>
      </c>
    </row>
    <row r="385">
      <c r="A385" s="4" t="s">
        <v>2168</v>
      </c>
    </row>
    <row r="386">
      <c r="A386" s="4" t="s">
        <v>869</v>
      </c>
    </row>
    <row r="387">
      <c r="A387" s="4" t="s">
        <v>2167</v>
      </c>
    </row>
    <row r="388">
      <c r="A388" s="4" t="s">
        <v>939</v>
      </c>
    </row>
    <row r="389">
      <c r="A389" s="4" t="s">
        <v>1657</v>
      </c>
    </row>
    <row r="390">
      <c r="A390" s="4" t="s">
        <v>2168</v>
      </c>
    </row>
    <row r="391">
      <c r="A391" s="4" t="s">
        <v>105</v>
      </c>
    </row>
    <row r="392">
      <c r="A392" s="4" t="s">
        <v>2167</v>
      </c>
    </row>
    <row r="393">
      <c r="A393" s="4" t="s">
        <v>2160</v>
      </c>
    </row>
    <row r="394">
      <c r="A394" s="4" t="s">
        <v>2168</v>
      </c>
    </row>
    <row r="395">
      <c r="A395" s="4" t="s">
        <v>105</v>
      </c>
    </row>
    <row r="396">
      <c r="A396" s="4" t="s">
        <v>1352</v>
      </c>
    </row>
    <row r="397">
      <c r="A397" s="4" t="s">
        <v>2165</v>
      </c>
    </row>
    <row r="398">
      <c r="A398" s="4" t="s">
        <v>1352</v>
      </c>
    </row>
    <row r="399">
      <c r="A399" s="4" t="s">
        <v>2164</v>
      </c>
    </row>
    <row r="400">
      <c r="A400" s="4" t="s">
        <v>2166</v>
      </c>
    </row>
    <row r="401">
      <c r="A401" s="4" t="s">
        <v>1656</v>
      </c>
    </row>
    <row r="402">
      <c r="A402" s="4" t="s">
        <v>2163</v>
      </c>
    </row>
    <row r="403">
      <c r="A403" s="4" t="s">
        <v>2162</v>
      </c>
    </row>
    <row r="404">
      <c r="A404" s="4" t="s">
        <v>869</v>
      </c>
    </row>
    <row r="405">
      <c r="A405" s="4" t="s">
        <v>939</v>
      </c>
    </row>
    <row r="406">
      <c r="A406" s="4" t="s">
        <v>1656</v>
      </c>
    </row>
    <row r="407">
      <c r="A407" s="4" t="s">
        <v>939</v>
      </c>
    </row>
    <row r="408">
      <c r="A408" s="4" t="s">
        <v>2167</v>
      </c>
    </row>
    <row r="409">
      <c r="A409" s="4" t="s">
        <v>2163</v>
      </c>
    </row>
    <row r="410">
      <c r="A410" s="4" t="s">
        <v>2159</v>
      </c>
    </row>
    <row r="411">
      <c r="A411" s="4" t="s">
        <v>869</v>
      </c>
    </row>
    <row r="412">
      <c r="A412" s="4" t="s">
        <v>2160</v>
      </c>
    </row>
    <row r="413">
      <c r="A413" s="4" t="s">
        <v>1657</v>
      </c>
    </row>
    <row r="414">
      <c r="A414" s="4" t="s">
        <v>2159</v>
      </c>
    </row>
    <row r="415">
      <c r="A415" s="4" t="s">
        <v>952</v>
      </c>
    </row>
    <row r="416">
      <c r="A416" s="4" t="s">
        <v>2168</v>
      </c>
    </row>
    <row r="417">
      <c r="A417" s="4" t="s">
        <v>2165</v>
      </c>
    </row>
    <row r="418">
      <c r="A418" s="4" t="s">
        <v>2162</v>
      </c>
    </row>
    <row r="419">
      <c r="A419" s="4" t="s">
        <v>2167</v>
      </c>
    </row>
    <row r="420">
      <c r="A420" s="4" t="s">
        <v>1656</v>
      </c>
    </row>
    <row r="421">
      <c r="A421" s="4" t="s">
        <v>2166</v>
      </c>
    </row>
    <row r="422">
      <c r="A422" s="4" t="s">
        <v>952</v>
      </c>
    </row>
    <row r="423">
      <c r="A423" s="4" t="s">
        <v>2167</v>
      </c>
    </row>
    <row r="424">
      <c r="A424" s="4" t="s">
        <v>2163</v>
      </c>
    </row>
    <row r="425">
      <c r="A425" s="4" t="s">
        <v>2159</v>
      </c>
    </row>
    <row r="426">
      <c r="A426" s="4" t="s">
        <v>2168</v>
      </c>
    </row>
    <row r="427">
      <c r="A427" s="4" t="s">
        <v>2169</v>
      </c>
    </row>
    <row r="428">
      <c r="A428" s="4" t="s">
        <v>2169</v>
      </c>
    </row>
    <row r="429">
      <c r="A429" s="4" t="s">
        <v>1656</v>
      </c>
    </row>
    <row r="430">
      <c r="A430" s="4" t="s">
        <v>2161</v>
      </c>
    </row>
    <row r="431">
      <c r="A431" s="4" t="s">
        <v>2166</v>
      </c>
    </row>
    <row r="432">
      <c r="A432" s="4" t="s">
        <v>939</v>
      </c>
    </row>
    <row r="433">
      <c r="A433" s="4" t="s">
        <v>939</v>
      </c>
    </row>
    <row r="434">
      <c r="A434" s="4" t="s">
        <v>105</v>
      </c>
    </row>
    <row r="435">
      <c r="A435" s="4" t="s">
        <v>869</v>
      </c>
    </row>
    <row r="436">
      <c r="A436" s="4" t="s">
        <v>2158</v>
      </c>
    </row>
    <row r="437">
      <c r="A437" s="4" t="s">
        <v>105</v>
      </c>
    </row>
    <row r="438">
      <c r="A438" s="4" t="s">
        <v>2164</v>
      </c>
    </row>
    <row r="439">
      <c r="A439" s="4" t="s">
        <v>105</v>
      </c>
    </row>
    <row r="440">
      <c r="A440" s="4" t="s">
        <v>2162</v>
      </c>
    </row>
    <row r="441">
      <c r="A441" s="4" t="s">
        <v>2164</v>
      </c>
    </row>
    <row r="442">
      <c r="A442" s="4" t="s">
        <v>1655</v>
      </c>
    </row>
    <row r="443">
      <c r="A443" s="4" t="s">
        <v>1352</v>
      </c>
    </row>
    <row r="444">
      <c r="A444" s="4" t="s">
        <v>2162</v>
      </c>
    </row>
    <row r="445">
      <c r="A445" s="4" t="s">
        <v>2164</v>
      </c>
    </row>
    <row r="446">
      <c r="A446" s="4" t="s">
        <v>2164</v>
      </c>
    </row>
    <row r="447">
      <c r="A447" s="4" t="s">
        <v>2161</v>
      </c>
    </row>
    <row r="448">
      <c r="A448" s="4" t="s">
        <v>2160</v>
      </c>
    </row>
    <row r="449">
      <c r="A449" s="4" t="s">
        <v>2160</v>
      </c>
    </row>
    <row r="450">
      <c r="A450" s="4" t="s">
        <v>1352</v>
      </c>
    </row>
    <row r="451">
      <c r="A451" s="4" t="s">
        <v>2166</v>
      </c>
    </row>
    <row r="452">
      <c r="A452" s="4" t="s">
        <v>2161</v>
      </c>
    </row>
    <row r="453">
      <c r="A453" s="4" t="s">
        <v>2168</v>
      </c>
    </row>
    <row r="454">
      <c r="A454" s="4" t="s">
        <v>2160</v>
      </c>
    </row>
    <row r="455">
      <c r="A455" s="4" t="s">
        <v>2168</v>
      </c>
    </row>
    <row r="456">
      <c r="A456" s="4" t="s">
        <v>952</v>
      </c>
    </row>
    <row r="457">
      <c r="A457" s="4" t="s">
        <v>952</v>
      </c>
    </row>
    <row r="458">
      <c r="A458" s="4" t="s">
        <v>105</v>
      </c>
    </row>
    <row r="459">
      <c r="A459" s="4" t="s">
        <v>2162</v>
      </c>
    </row>
    <row r="460">
      <c r="A460" s="4" t="s">
        <v>952</v>
      </c>
    </row>
    <row r="461">
      <c r="A461" s="4" t="s">
        <v>939</v>
      </c>
    </row>
    <row r="462">
      <c r="A462" s="4" t="s">
        <v>2160</v>
      </c>
    </row>
    <row r="463">
      <c r="A463" s="4" t="s">
        <v>2168</v>
      </c>
    </row>
    <row r="464">
      <c r="A464" s="4" t="s">
        <v>2166</v>
      </c>
    </row>
    <row r="465">
      <c r="A465" s="4" t="s">
        <v>2159</v>
      </c>
    </row>
    <row r="466">
      <c r="A466" s="4" t="s">
        <v>2166</v>
      </c>
    </row>
    <row r="467">
      <c r="A467" s="4" t="s">
        <v>105</v>
      </c>
    </row>
    <row r="468">
      <c r="A468" s="4" t="s">
        <v>2166</v>
      </c>
    </row>
    <row r="469">
      <c r="A469" s="4" t="s">
        <v>2160</v>
      </c>
    </row>
    <row r="470">
      <c r="A470" s="4" t="s">
        <v>2162</v>
      </c>
    </row>
    <row r="471">
      <c r="A471" s="4" t="s">
        <v>105</v>
      </c>
    </row>
    <row r="472">
      <c r="A472" s="4" t="s">
        <v>1657</v>
      </c>
    </row>
    <row r="473">
      <c r="A473" s="4" t="s">
        <v>939</v>
      </c>
    </row>
    <row r="474">
      <c r="A474" s="4" t="s">
        <v>1656</v>
      </c>
    </row>
    <row r="475">
      <c r="A475" s="4" t="s">
        <v>1656</v>
      </c>
    </row>
    <row r="476">
      <c r="A476" s="4" t="s">
        <v>2166</v>
      </c>
    </row>
    <row r="477">
      <c r="A477" s="4" t="s">
        <v>1657</v>
      </c>
    </row>
    <row r="478">
      <c r="A478" s="4" t="s">
        <v>2161</v>
      </c>
    </row>
    <row r="479">
      <c r="A479" s="4" t="s">
        <v>105</v>
      </c>
    </row>
    <row r="480">
      <c r="A480" s="4" t="s">
        <v>2167</v>
      </c>
    </row>
    <row r="481">
      <c r="A481" s="4" t="s">
        <v>2168</v>
      </c>
    </row>
    <row r="482">
      <c r="A482" s="4" t="s">
        <v>952</v>
      </c>
    </row>
    <row r="483">
      <c r="A483" s="4" t="s">
        <v>869</v>
      </c>
    </row>
    <row r="484">
      <c r="A484" s="4" t="s">
        <v>869</v>
      </c>
    </row>
    <row r="485">
      <c r="A485" s="4" t="s">
        <v>2158</v>
      </c>
    </row>
    <row r="486">
      <c r="A486" s="4" t="s">
        <v>105</v>
      </c>
    </row>
    <row r="487">
      <c r="A487" s="4" t="s">
        <v>1657</v>
      </c>
    </row>
    <row r="488">
      <c r="A488" s="4" t="s">
        <v>1352</v>
      </c>
    </row>
    <row r="489">
      <c r="A489" s="4" t="s">
        <v>2168</v>
      </c>
    </row>
    <row r="490">
      <c r="A490" s="4" t="s">
        <v>2161</v>
      </c>
    </row>
    <row r="491">
      <c r="A491" s="4" t="s">
        <v>2164</v>
      </c>
    </row>
    <row r="492">
      <c r="A492" s="4" t="s">
        <v>2166</v>
      </c>
    </row>
    <row r="493">
      <c r="A493" s="4" t="s">
        <v>1352</v>
      </c>
    </row>
    <row r="494">
      <c r="A494" s="4" t="s">
        <v>2158</v>
      </c>
    </row>
    <row r="495">
      <c r="A495" s="4" t="s">
        <v>1657</v>
      </c>
    </row>
    <row r="496">
      <c r="A496" s="4" t="s">
        <v>939</v>
      </c>
    </row>
    <row r="497">
      <c r="A497" s="4" t="s">
        <v>2168</v>
      </c>
    </row>
    <row r="498">
      <c r="A498" s="4" t="s">
        <v>2166</v>
      </c>
    </row>
    <row r="499">
      <c r="A499" s="4" t="s">
        <v>2164</v>
      </c>
    </row>
    <row r="500">
      <c r="A500" s="4" t="s">
        <v>2162</v>
      </c>
    </row>
    <row r="501">
      <c r="A501" s="4" t="s">
        <v>2166</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29.13"/>
    <col customWidth="1" min="6" max="7" width="21.38"/>
    <col customWidth="1" min="8" max="8" width="8.75"/>
    <col customWidth="1" min="16" max="16" width="20.63"/>
  </cols>
  <sheetData>
    <row r="1">
      <c r="A1" s="4"/>
      <c r="B1" s="4"/>
      <c r="C1" s="4" t="s">
        <v>2170</v>
      </c>
      <c r="D1" s="4" t="s">
        <v>546</v>
      </c>
      <c r="E1" s="4" t="s">
        <v>5</v>
      </c>
      <c r="F1" s="14" t="s">
        <v>171</v>
      </c>
      <c r="G1" s="5" t="s">
        <v>172</v>
      </c>
      <c r="H1" s="5" t="s">
        <v>7</v>
      </c>
      <c r="I1" s="5" t="s">
        <v>9</v>
      </c>
      <c r="L1" s="5" t="s">
        <v>92</v>
      </c>
      <c r="M1" s="5" t="s">
        <v>3516</v>
      </c>
      <c r="P1" s="6" t="s">
        <v>1655</v>
      </c>
      <c r="Q1" s="10">
        <v>27.0</v>
      </c>
    </row>
    <row r="2">
      <c r="A2" s="4"/>
      <c r="B2" s="4"/>
      <c r="C2" s="4" t="s">
        <v>1659</v>
      </c>
      <c r="D2" s="8" t="str">
        <f t="shared" ref="D2:D501" si="1">C2</f>
        <v>{"valorA":"freezer","valorB":1}</v>
      </c>
      <c r="E2" s="8" t="str">
        <f t="shared" ref="E2:E501" si="2">SUBSTITUTE(MID(C2,FIND(":",C2)+1,FIND(",",C2)-FIND(":",C2)-1),"""","")</f>
        <v>freezer</v>
      </c>
      <c r="F2" s="8" t="str">
        <f>IFERROR(__xludf.DUMMYFUNCTION("UNIQUE(E2:E501)"),"freezer")</f>
        <v>freezer</v>
      </c>
      <c r="G2" s="15" t="str">
        <f t="shared" ref="G2:G501" si="3">MID(C2,FIND("valorB",C2)+8,FIND("}",C2)-FIND("valorB",C2)-8)</f>
        <v>1</v>
      </c>
      <c r="H2" s="9">
        <f t="shared" ref="H2:H501" si="4">VALUE(SUBSTITUTE(G2,".",","))</f>
        <v>1</v>
      </c>
      <c r="I2" s="10">
        <f>IFERROR(__xludf.DUMMYFUNCTION("MAX(FILTER($H$2:$H501,$E$2:$E501=F2))"),31.0)</f>
        <v>31</v>
      </c>
      <c r="L2" s="6" t="s">
        <v>1655</v>
      </c>
      <c r="M2" s="10">
        <v>23.0</v>
      </c>
      <c r="P2" s="6" t="s">
        <v>1352</v>
      </c>
      <c r="Q2" s="10">
        <v>31.0</v>
      </c>
    </row>
    <row r="3">
      <c r="A3" s="4"/>
      <c r="B3" s="4"/>
      <c r="C3" s="4" t="s">
        <v>2191</v>
      </c>
      <c r="D3" s="8" t="str">
        <f t="shared" si="1"/>
        <v>{"valorA":"carregador de computador","valorB":1}</v>
      </c>
      <c r="E3" s="8" t="str">
        <f t="shared" si="2"/>
        <v>carregador de computador</v>
      </c>
      <c r="F3" s="8" t="str">
        <f>IFERROR(__xludf.DUMMYFUNCTION("""COMPUTED_VALUE"""),"carregador de computador")</f>
        <v>carregador de computador</v>
      </c>
      <c r="G3" s="15" t="str">
        <f t="shared" si="3"/>
        <v>1</v>
      </c>
      <c r="H3" s="9">
        <f t="shared" si="4"/>
        <v>1</v>
      </c>
      <c r="I3" s="10">
        <f>IFERROR(__xludf.DUMMYFUNCTION("MAX(FILTER($H$2:$H501,$E$2:$E501=F3))"),22.0)</f>
        <v>22</v>
      </c>
      <c r="L3" s="6" t="s">
        <v>1352</v>
      </c>
      <c r="M3" s="10">
        <v>28.0</v>
      </c>
      <c r="P3" s="6" t="s">
        <v>2164</v>
      </c>
      <c r="Q3" s="10">
        <v>25.0</v>
      </c>
    </row>
    <row r="4">
      <c r="A4" s="4"/>
      <c r="B4" s="4"/>
      <c r="C4" s="4" t="s">
        <v>2180</v>
      </c>
      <c r="D4" s="8" t="str">
        <f t="shared" si="1"/>
        <v>{"valorA":"computador","valorB":1}</v>
      </c>
      <c r="E4" s="8" t="str">
        <f t="shared" si="2"/>
        <v>computador</v>
      </c>
      <c r="F4" s="8" t="str">
        <f>IFERROR(__xludf.DUMMYFUNCTION("""COMPUTED_VALUE"""),"computador")</f>
        <v>computador</v>
      </c>
      <c r="G4" s="15" t="str">
        <f t="shared" si="3"/>
        <v>1</v>
      </c>
      <c r="H4" s="9">
        <f t="shared" si="4"/>
        <v>1</v>
      </c>
      <c r="I4" s="10">
        <f>IFERROR(__xludf.DUMMYFUNCTION("MAX(FILTER($H$2:$H501,$E$2:$E501=F4))"),21.0)</f>
        <v>21</v>
      </c>
      <c r="L4" s="6" t="s">
        <v>2162</v>
      </c>
      <c r="M4" s="10">
        <v>32.0</v>
      </c>
      <c r="P4" s="6" t="s">
        <v>2158</v>
      </c>
      <c r="Q4" s="10">
        <v>33.0</v>
      </c>
    </row>
    <row r="5">
      <c r="A5" s="4"/>
      <c r="B5" s="4"/>
      <c r="C5" s="4" t="s">
        <v>2217</v>
      </c>
      <c r="D5" s="8" t="str">
        <f t="shared" si="1"/>
        <v>{"valorA":"aspirador","valorB":1}</v>
      </c>
      <c r="E5" s="8" t="str">
        <f t="shared" si="2"/>
        <v>aspirador</v>
      </c>
      <c r="F5" s="8" t="str">
        <f>IFERROR(__xludf.DUMMYFUNCTION("""COMPUTED_VALUE"""),"aspirador")</f>
        <v>aspirador</v>
      </c>
      <c r="G5" s="15" t="str">
        <f t="shared" si="3"/>
        <v>1</v>
      </c>
      <c r="H5" s="9">
        <f t="shared" si="4"/>
        <v>1</v>
      </c>
      <c r="I5" s="10">
        <f>IFERROR(__xludf.DUMMYFUNCTION("MAX(FILTER($H$2:$H501,$E$2:$E501=F5))"),28.0)</f>
        <v>28</v>
      </c>
      <c r="L5" s="6" t="s">
        <v>2164</v>
      </c>
      <c r="M5" s="10">
        <v>22.0</v>
      </c>
      <c r="P5" s="6" t="s">
        <v>2165</v>
      </c>
      <c r="Q5" s="10">
        <v>25.0</v>
      </c>
    </row>
    <row r="6">
      <c r="A6" s="4"/>
      <c r="B6" s="4"/>
      <c r="C6" s="4" t="s">
        <v>2203</v>
      </c>
      <c r="D6" s="8" t="str">
        <f t="shared" si="1"/>
        <v>{"valorA":"lustre","valorB":1}</v>
      </c>
      <c r="E6" s="8" t="str">
        <f t="shared" si="2"/>
        <v>lustre</v>
      </c>
      <c r="F6" s="8" t="str">
        <f>IFERROR(__xludf.DUMMYFUNCTION("""COMPUTED_VALUE"""),"lustre")</f>
        <v>lustre</v>
      </c>
      <c r="G6" s="15" t="str">
        <f t="shared" si="3"/>
        <v>1</v>
      </c>
      <c r="H6" s="9">
        <f t="shared" si="4"/>
        <v>1</v>
      </c>
      <c r="I6" s="10">
        <f>IFERROR(__xludf.DUMMYFUNCTION("MAX(FILTER($H$2:$H501,$E$2:$E501=F6))"),30.0)</f>
        <v>30</v>
      </c>
      <c r="K6" s="8"/>
      <c r="L6" s="6" t="s">
        <v>869</v>
      </c>
      <c r="M6" s="10">
        <v>30.0</v>
      </c>
      <c r="P6" s="6" t="s">
        <v>2161</v>
      </c>
      <c r="Q6" s="10">
        <v>24.0</v>
      </c>
    </row>
    <row r="7">
      <c r="A7" s="4"/>
      <c r="B7" s="4"/>
      <c r="C7" s="4" t="s">
        <v>2178</v>
      </c>
      <c r="D7" s="8" t="str">
        <f t="shared" si="1"/>
        <v>{"valorA":"liquidificador","valorB":1}</v>
      </c>
      <c r="E7" s="8" t="str">
        <f t="shared" si="2"/>
        <v>liquidificador</v>
      </c>
      <c r="F7" s="8" t="str">
        <f>IFERROR(__xludf.DUMMYFUNCTION("""COMPUTED_VALUE"""),"liquidificador")</f>
        <v>liquidificador</v>
      </c>
      <c r="G7" s="15" t="str">
        <f t="shared" si="3"/>
        <v>1</v>
      </c>
      <c r="H7" s="9">
        <f t="shared" si="4"/>
        <v>1</v>
      </c>
      <c r="I7" s="10">
        <f>IFERROR(__xludf.DUMMYFUNCTION("MAX(FILTER($H$2:$H501,$E$2:$E501=F7))"),27.0)</f>
        <v>27</v>
      </c>
      <c r="L7" s="6" t="s">
        <v>2158</v>
      </c>
      <c r="M7" s="10">
        <v>21.0</v>
      </c>
      <c r="P7" s="6" t="s">
        <v>2160</v>
      </c>
      <c r="Q7" s="10">
        <v>25.0</v>
      </c>
    </row>
    <row r="8">
      <c r="A8" s="4"/>
      <c r="B8" s="4"/>
      <c r="C8" s="4" t="s">
        <v>2200</v>
      </c>
      <c r="D8" s="8" t="str">
        <f t="shared" si="1"/>
        <v>{"valorA":"roteador","valorB":1}</v>
      </c>
      <c r="E8" s="8" t="str">
        <f t="shared" si="2"/>
        <v>roteador</v>
      </c>
      <c r="F8" s="8" t="str">
        <f>IFERROR(__xludf.DUMMYFUNCTION("""COMPUTED_VALUE"""),"roteador")</f>
        <v>roteador</v>
      </c>
      <c r="G8" s="15" t="str">
        <f t="shared" si="3"/>
        <v>1</v>
      </c>
      <c r="H8" s="9">
        <f t="shared" si="4"/>
        <v>1</v>
      </c>
      <c r="I8" s="10">
        <f>IFERROR(__xludf.DUMMYFUNCTION("MAX(FILTER($H$2:$H501,$E$2:$E501=F8))"),25.0)</f>
        <v>25</v>
      </c>
      <c r="L8" s="6" t="s">
        <v>939</v>
      </c>
      <c r="M8" s="10">
        <v>21.0</v>
      </c>
      <c r="P8" s="6" t="s">
        <v>1656</v>
      </c>
      <c r="Q8" s="10">
        <v>24.0</v>
      </c>
    </row>
    <row r="9">
      <c r="A9" s="4"/>
      <c r="B9" s="4"/>
      <c r="C9" s="4" t="s">
        <v>1658</v>
      </c>
      <c r="D9" s="8" t="str">
        <f t="shared" si="1"/>
        <v>{"valorA":"ar condicionado","valorB":1}</v>
      </c>
      <c r="E9" s="8" t="str">
        <f t="shared" si="2"/>
        <v>ar condicionado</v>
      </c>
      <c r="F9" s="8" t="str">
        <f>IFERROR(__xludf.DUMMYFUNCTION("""COMPUTED_VALUE"""),"ar condicionado")</f>
        <v>ar condicionado</v>
      </c>
      <c r="G9" s="15" t="str">
        <f t="shared" si="3"/>
        <v>1</v>
      </c>
      <c r="H9" s="9">
        <f t="shared" si="4"/>
        <v>1</v>
      </c>
      <c r="I9" s="10">
        <f>IFERROR(__xludf.DUMMYFUNCTION("MAX(FILTER($H$2:$H501,$E$2:$E501=F9))"),23.0)</f>
        <v>23</v>
      </c>
      <c r="L9" s="6" t="s">
        <v>2165</v>
      </c>
      <c r="M9" s="10">
        <v>24.0</v>
      </c>
      <c r="P9" s="6" t="s">
        <v>2163</v>
      </c>
      <c r="Q9" s="10">
        <v>21.0</v>
      </c>
    </row>
    <row r="10">
      <c r="A10" s="4"/>
      <c r="B10" s="4"/>
      <c r="C10" s="4" t="s">
        <v>2195</v>
      </c>
      <c r="D10" s="8" t="str">
        <f t="shared" si="1"/>
        <v>{"valorA":"teclado de computador","valorB":1}</v>
      </c>
      <c r="E10" s="8" t="str">
        <f t="shared" si="2"/>
        <v>teclado de computador</v>
      </c>
      <c r="F10" s="8" t="str">
        <f>IFERROR(__xludf.DUMMYFUNCTION("""COMPUTED_VALUE"""),"teclado de computador")</f>
        <v>teclado de computador</v>
      </c>
      <c r="G10" s="15" t="str">
        <f t="shared" si="3"/>
        <v>1</v>
      </c>
      <c r="H10" s="9">
        <f t="shared" si="4"/>
        <v>1</v>
      </c>
      <c r="I10" s="10">
        <f>IFERROR(__xludf.DUMMYFUNCTION("MAX(FILTER($H$2:$H501,$E$2:$E501=F10))"),30.0)</f>
        <v>30</v>
      </c>
      <c r="L10" s="6" t="s">
        <v>952</v>
      </c>
      <c r="M10" s="10">
        <v>15.0</v>
      </c>
      <c r="P10" s="6" t="s">
        <v>2167</v>
      </c>
      <c r="Q10" s="10">
        <v>28.0</v>
      </c>
    </row>
    <row r="11">
      <c r="A11" s="4"/>
      <c r="B11" s="4"/>
      <c r="C11" s="4" t="s">
        <v>2176</v>
      </c>
      <c r="D11" s="8" t="str">
        <f t="shared" si="1"/>
        <v>{"valorA":"fone de ouvido","valorB":1}</v>
      </c>
      <c r="E11" s="8" t="str">
        <f t="shared" si="2"/>
        <v>fone de ouvido</v>
      </c>
      <c r="F11" s="8" t="str">
        <f>IFERROR(__xludf.DUMMYFUNCTION("""COMPUTED_VALUE"""),"fone de ouvido")</f>
        <v>fone de ouvido</v>
      </c>
      <c r="G11" s="15" t="str">
        <f t="shared" si="3"/>
        <v>1</v>
      </c>
      <c r="H11" s="9">
        <f t="shared" si="4"/>
        <v>1</v>
      </c>
      <c r="I11" s="10">
        <f>IFERROR(__xludf.DUMMYFUNCTION("MAX(FILTER($H$2:$H501,$E$2:$E501=F11))"),21.0)</f>
        <v>21</v>
      </c>
      <c r="L11" s="6" t="s">
        <v>2161</v>
      </c>
      <c r="M11" s="10">
        <v>21.0</v>
      </c>
      <c r="P11" s="6" t="s">
        <v>2159</v>
      </c>
      <c r="Q11" s="10">
        <v>28.0</v>
      </c>
    </row>
    <row r="12">
      <c r="A12" s="4"/>
      <c r="B12" s="4"/>
      <c r="C12" s="4" t="s">
        <v>2189</v>
      </c>
      <c r="D12" s="8" t="str">
        <f t="shared" si="1"/>
        <v>{"valorA":"purificador de água","valorB":1}</v>
      </c>
      <c r="E12" s="8" t="str">
        <f t="shared" si="2"/>
        <v>purificador de água</v>
      </c>
      <c r="F12" s="8" t="str">
        <f>IFERROR(__xludf.DUMMYFUNCTION("""COMPUTED_VALUE"""),"purificador de água")</f>
        <v>purificador de água</v>
      </c>
      <c r="G12" s="15" t="str">
        <f t="shared" si="3"/>
        <v>1</v>
      </c>
      <c r="H12" s="9">
        <f t="shared" si="4"/>
        <v>1</v>
      </c>
      <c r="I12" s="10">
        <f>IFERROR(__xludf.DUMMYFUNCTION("MAX(FILTER($H$2:$H501,$E$2:$E501=F12))"),26.0)</f>
        <v>26</v>
      </c>
      <c r="L12" s="6" t="s">
        <v>1657</v>
      </c>
      <c r="M12" s="10">
        <v>31.0</v>
      </c>
    </row>
    <row r="13">
      <c r="A13" s="4"/>
      <c r="B13" s="4"/>
      <c r="C13" s="4" t="s">
        <v>2185</v>
      </c>
      <c r="D13" s="8" t="str">
        <f t="shared" si="1"/>
        <v>{"valorA":"carregador de celular","valorB":1}</v>
      </c>
      <c r="E13" s="8" t="str">
        <f t="shared" si="2"/>
        <v>carregador de celular</v>
      </c>
      <c r="F13" s="8" t="str">
        <f>IFERROR(__xludf.DUMMYFUNCTION("""COMPUTED_VALUE"""),"carregador de celular")</f>
        <v>carregador de celular</v>
      </c>
      <c r="G13" s="15" t="str">
        <f t="shared" si="3"/>
        <v>1</v>
      </c>
      <c r="H13" s="9">
        <f t="shared" si="4"/>
        <v>1</v>
      </c>
      <c r="I13" s="10">
        <f>IFERROR(__xludf.DUMMYFUNCTION("MAX(FILTER($H$2:$H501,$E$2:$E501=F13))"),32.0)</f>
        <v>32</v>
      </c>
      <c r="L13" s="6" t="s">
        <v>2160</v>
      </c>
      <c r="M13" s="10">
        <v>27.0</v>
      </c>
    </row>
    <row r="14">
      <c r="A14" s="4"/>
      <c r="B14" s="4"/>
      <c r="C14" s="4" t="s">
        <v>2172</v>
      </c>
      <c r="D14" s="8" t="str">
        <f t="shared" si="1"/>
        <v>{"valorA":"ventilador","valorB":1}</v>
      </c>
      <c r="E14" s="8" t="str">
        <f t="shared" si="2"/>
        <v>ventilador</v>
      </c>
      <c r="F14" s="8" t="str">
        <f>IFERROR(__xludf.DUMMYFUNCTION("""COMPUTED_VALUE"""),"ventilador")</f>
        <v>ventilador</v>
      </c>
      <c r="G14" s="15" t="str">
        <f t="shared" si="3"/>
        <v>1</v>
      </c>
      <c r="H14" s="9">
        <f t="shared" si="4"/>
        <v>1</v>
      </c>
      <c r="I14" s="10">
        <f>IFERROR(__xludf.DUMMYFUNCTION("MAX(FILTER($H$2:$H501,$E$2:$E501=F14))"),24.0)</f>
        <v>24</v>
      </c>
      <c r="L14" s="9" t="s">
        <v>2168</v>
      </c>
      <c r="M14" s="10">
        <v>30.0</v>
      </c>
    </row>
    <row r="15">
      <c r="A15" s="4"/>
      <c r="B15" s="4"/>
      <c r="C15" s="4" t="s">
        <v>1695</v>
      </c>
      <c r="D15" s="8" t="str">
        <f t="shared" si="1"/>
        <v>{"valorA":"ar condicionado","valorB":2}</v>
      </c>
      <c r="E15" s="8" t="str">
        <f t="shared" si="2"/>
        <v>ar condicionado</v>
      </c>
      <c r="F15" s="8" t="str">
        <f>IFERROR(__xludf.DUMMYFUNCTION("""COMPUTED_VALUE"""),"fogão")</f>
        <v>fogão</v>
      </c>
      <c r="G15" s="15" t="str">
        <f t="shared" si="3"/>
        <v>2</v>
      </c>
      <c r="H15" s="9">
        <f t="shared" si="4"/>
        <v>2</v>
      </c>
      <c r="I15" s="10">
        <f>IFERROR(__xludf.DUMMYFUNCTION("MAX(FILTER($H$2:$H501,$E$2:$E501=F15))"),15.0)</f>
        <v>15</v>
      </c>
      <c r="L15" s="6" t="s">
        <v>1656</v>
      </c>
      <c r="M15" s="10">
        <v>20.0</v>
      </c>
    </row>
    <row r="16">
      <c r="A16" s="4"/>
      <c r="B16" s="4"/>
      <c r="C16" s="4" t="s">
        <v>2175</v>
      </c>
      <c r="D16" s="8" t="str">
        <f t="shared" si="1"/>
        <v>{"valorA":"fogão","valorB":1}</v>
      </c>
      <c r="E16" s="8" t="str">
        <f t="shared" si="2"/>
        <v>fogão</v>
      </c>
      <c r="F16" s="8" t="str">
        <f>IFERROR(__xludf.DUMMYFUNCTION("""COMPUTED_VALUE"""),"chuveiro elétrico")</f>
        <v>chuveiro elétrico</v>
      </c>
      <c r="G16" s="15" t="str">
        <f t="shared" si="3"/>
        <v>1</v>
      </c>
      <c r="H16" s="9">
        <f t="shared" si="4"/>
        <v>1</v>
      </c>
      <c r="I16" s="10">
        <f>IFERROR(__xludf.DUMMYFUNCTION("MAX(FILTER($H$2:$H501,$E$2:$E501=F16))"),21.0)</f>
        <v>21</v>
      </c>
      <c r="L16" s="6" t="s">
        <v>2169</v>
      </c>
      <c r="M16" s="10">
        <v>22.0</v>
      </c>
    </row>
    <row r="17">
      <c r="A17" s="4"/>
      <c r="B17" s="4"/>
      <c r="C17" s="4" t="s">
        <v>2218</v>
      </c>
      <c r="D17" s="8" t="str">
        <f t="shared" si="1"/>
        <v>{"valorA":"aspirador","valorB":2}</v>
      </c>
      <c r="E17" s="8" t="str">
        <f t="shared" si="2"/>
        <v>aspirador</v>
      </c>
      <c r="F17" s="8" t="str">
        <f>IFERROR(__xludf.DUMMYFUNCTION("""COMPUTED_VALUE"""),"mouse de computador")</f>
        <v>mouse de computador</v>
      </c>
      <c r="G17" s="15" t="str">
        <f t="shared" si="3"/>
        <v>2</v>
      </c>
      <c r="H17" s="9">
        <f t="shared" si="4"/>
        <v>2</v>
      </c>
      <c r="I17" s="10">
        <f>IFERROR(__xludf.DUMMYFUNCTION("MAX(FILTER($H$2:$H501,$E$2:$E501=F17))"),22.0)</f>
        <v>22</v>
      </c>
      <c r="L17" s="6" t="s">
        <v>2163</v>
      </c>
      <c r="M17" s="10">
        <v>26.0</v>
      </c>
    </row>
    <row r="18">
      <c r="A18" s="4"/>
      <c r="B18" s="4"/>
      <c r="C18" s="4" t="s">
        <v>1660</v>
      </c>
      <c r="D18" s="8" t="str">
        <f t="shared" si="1"/>
        <v>{"valorA":"freezer","valorB":2}</v>
      </c>
      <c r="E18" s="8" t="str">
        <f t="shared" si="2"/>
        <v>freezer</v>
      </c>
      <c r="F18" s="8" t="str">
        <f>IFERROR(__xludf.DUMMYFUNCTION("""COMPUTED_VALUE"""),"filtro de linha")</f>
        <v>filtro de linha</v>
      </c>
      <c r="G18" s="15" t="str">
        <f t="shared" si="3"/>
        <v>2</v>
      </c>
      <c r="H18" s="9">
        <f t="shared" si="4"/>
        <v>2</v>
      </c>
      <c r="I18" s="10">
        <f>IFERROR(__xludf.DUMMYFUNCTION("MAX(FILTER($H$2:$H501,$E$2:$E501=F18))"),24.0)</f>
        <v>24</v>
      </c>
      <c r="L18" s="6" t="s">
        <v>105</v>
      </c>
      <c r="M18" s="10">
        <v>28.0</v>
      </c>
    </row>
    <row r="19">
      <c r="A19" s="4"/>
      <c r="B19" s="4"/>
      <c r="C19" s="4" t="s">
        <v>2174</v>
      </c>
      <c r="D19" s="8" t="str">
        <f t="shared" si="1"/>
        <v>{"valorA":"chuveiro elétrico","valorB":1}</v>
      </c>
      <c r="E19" s="8" t="str">
        <f t="shared" si="2"/>
        <v>chuveiro elétrico</v>
      </c>
      <c r="F19" s="8" t="str">
        <f>IFERROR(__xludf.DUMMYFUNCTION("""COMPUTED_VALUE"""),"relógio")</f>
        <v>relógio</v>
      </c>
      <c r="G19" s="15" t="str">
        <f t="shared" si="3"/>
        <v>1</v>
      </c>
      <c r="H19" s="9">
        <f t="shared" si="4"/>
        <v>1</v>
      </c>
      <c r="I19" s="10">
        <f>IFERROR(__xludf.DUMMYFUNCTION("MAX(FILTER($H$2:$H501,$E$2:$E501=F19))"),28.0)</f>
        <v>28</v>
      </c>
      <c r="L19" s="6" t="s">
        <v>2167</v>
      </c>
      <c r="M19" s="10">
        <v>25.0</v>
      </c>
    </row>
    <row r="20">
      <c r="A20" s="4"/>
      <c r="B20" s="4"/>
      <c r="C20" s="4" t="s">
        <v>2186</v>
      </c>
      <c r="D20" s="8" t="str">
        <f t="shared" si="1"/>
        <v>{"valorA":"fone de ouvido","valorB":2}</v>
      </c>
      <c r="E20" s="8" t="str">
        <f t="shared" si="2"/>
        <v>fone de ouvido</v>
      </c>
      <c r="F20" s="8" t="str">
        <f>IFERROR(__xludf.DUMMYFUNCTION("""COMPUTED_VALUE"""),"celular")</f>
        <v>celular</v>
      </c>
      <c r="G20" s="15" t="str">
        <f t="shared" si="3"/>
        <v>2</v>
      </c>
      <c r="H20" s="9">
        <f t="shared" si="4"/>
        <v>2</v>
      </c>
      <c r="I20" s="10">
        <f>IFERROR(__xludf.DUMMYFUNCTION("MAX(FILTER($H$2:$H501,$E$2:$E501=F20))"),30.0)</f>
        <v>30</v>
      </c>
      <c r="L20" s="6" t="s">
        <v>2166</v>
      </c>
      <c r="M20" s="10">
        <v>30.0</v>
      </c>
    </row>
    <row r="21">
      <c r="A21" s="4"/>
      <c r="B21" s="4"/>
      <c r="C21" s="4" t="s">
        <v>2192</v>
      </c>
      <c r="D21" s="8" t="str">
        <f t="shared" si="1"/>
        <v>{"valorA":"purificador de água","valorB":2}</v>
      </c>
      <c r="E21" s="8" t="str">
        <f t="shared" si="2"/>
        <v>purificador de água</v>
      </c>
      <c r="F21" s="8" t="str">
        <f>IFERROR(__xludf.DUMMYFUNCTION("""COMPUTED_VALUE"""),"microondas")</f>
        <v>microondas</v>
      </c>
      <c r="G21" s="15" t="str">
        <f t="shared" si="3"/>
        <v>2</v>
      </c>
      <c r="H21" s="9">
        <f t="shared" si="4"/>
        <v>2</v>
      </c>
      <c r="I21" s="10">
        <f>IFERROR(__xludf.DUMMYFUNCTION("MAX(FILTER($H$2:$H501,$E$2:$E501=F21))"),20.0)</f>
        <v>20</v>
      </c>
      <c r="L21" s="6" t="s">
        <v>2159</v>
      </c>
      <c r="M21" s="10">
        <v>24.0</v>
      </c>
    </row>
    <row r="22">
      <c r="A22" s="4"/>
      <c r="B22" s="4"/>
      <c r="C22" s="4" t="s">
        <v>2181</v>
      </c>
      <c r="D22" s="8" t="str">
        <f t="shared" si="1"/>
        <v>{"valorA":"liquidificador","valorB":2}</v>
      </c>
      <c r="E22" s="8" t="str">
        <f t="shared" si="2"/>
        <v>liquidificador</v>
      </c>
      <c r="F22" s="8"/>
      <c r="G22" s="15" t="str">
        <f t="shared" si="3"/>
        <v>2</v>
      </c>
      <c r="H22" s="9">
        <f t="shared" si="4"/>
        <v>2</v>
      </c>
      <c r="I22" s="6" t="str">
        <f>IFERROR(__xludf.DUMMYFUNCTION("MAX(FILTER($H$2:$H501,$E$2:$E501=F22))"),"#N/A")</f>
        <v>#N/A</v>
      </c>
    </row>
    <row r="23">
      <c r="A23" s="4"/>
      <c r="B23" s="4"/>
      <c r="C23" s="4" t="s">
        <v>1661</v>
      </c>
      <c r="D23" s="8" t="str">
        <f t="shared" si="1"/>
        <v>{"valorA":"freezer","valorB":3}</v>
      </c>
      <c r="E23" s="8" t="str">
        <f t="shared" si="2"/>
        <v>freezer</v>
      </c>
      <c r="F23" s="8"/>
      <c r="G23" s="15" t="str">
        <f t="shared" si="3"/>
        <v>3</v>
      </c>
      <c r="H23" s="9">
        <f t="shared" si="4"/>
        <v>3</v>
      </c>
      <c r="I23" s="6" t="str">
        <f>IFERROR(__xludf.DUMMYFUNCTION("MAX(FILTER($H$2:$H501,$E$2:$E501=F23))"),"#N/A")</f>
        <v>#N/A</v>
      </c>
    </row>
    <row r="24">
      <c r="A24" s="4"/>
      <c r="B24" s="4"/>
      <c r="C24" s="4" t="s">
        <v>2209</v>
      </c>
      <c r="D24" s="8" t="str">
        <f t="shared" si="1"/>
        <v>{"valorA":"teclado de computador","valorB":2}</v>
      </c>
      <c r="E24" s="8" t="str">
        <f t="shared" si="2"/>
        <v>teclado de computador</v>
      </c>
      <c r="F24" s="8"/>
      <c r="G24" s="15" t="str">
        <f t="shared" si="3"/>
        <v>2</v>
      </c>
      <c r="H24" s="9">
        <f t="shared" si="4"/>
        <v>2</v>
      </c>
      <c r="I24" s="6" t="str">
        <f>IFERROR(__xludf.DUMMYFUNCTION("MAX(FILTER($H$2:$H501,$E$2:$E501=F24))"),"#N/A")</f>
        <v>#N/A</v>
      </c>
    </row>
    <row r="25">
      <c r="A25" s="4"/>
      <c r="B25" s="4"/>
      <c r="C25" s="4" t="s">
        <v>1697</v>
      </c>
      <c r="D25" s="8" t="str">
        <f t="shared" si="1"/>
        <v>{"valorA":"ar condicionado","valorB":3}</v>
      </c>
      <c r="E25" s="8" t="str">
        <f t="shared" si="2"/>
        <v>ar condicionado</v>
      </c>
      <c r="F25" s="8"/>
      <c r="G25" s="15" t="str">
        <f t="shared" si="3"/>
        <v>3</v>
      </c>
      <c r="H25" s="9">
        <f t="shared" si="4"/>
        <v>3</v>
      </c>
      <c r="I25" s="6" t="str">
        <f>IFERROR(__xludf.DUMMYFUNCTION("MAX(FILTER($H$2:$H501,$E$2:$E501=F25))"),"#N/A")</f>
        <v>#N/A</v>
      </c>
    </row>
    <row r="26">
      <c r="A26" s="4"/>
      <c r="B26" s="4"/>
      <c r="C26" s="4" t="s">
        <v>2223</v>
      </c>
      <c r="D26" s="8" t="str">
        <f t="shared" si="1"/>
        <v>{"valorA":"roteador","valorB":2}</v>
      </c>
      <c r="E26" s="8" t="str">
        <f t="shared" si="2"/>
        <v>roteador</v>
      </c>
      <c r="F26" s="8"/>
      <c r="G26" s="15" t="str">
        <f t="shared" si="3"/>
        <v>2</v>
      </c>
      <c r="H26" s="9">
        <f t="shared" si="4"/>
        <v>2</v>
      </c>
      <c r="I26" s="6" t="str">
        <f>IFERROR(__xludf.DUMMYFUNCTION("MAX(FILTER($H$2:$H501,$E$2:$E501=F26))"),"#N/A")</f>
        <v>#N/A</v>
      </c>
    </row>
    <row r="27">
      <c r="A27" s="4"/>
      <c r="B27" s="4"/>
      <c r="C27" s="4" t="s">
        <v>2222</v>
      </c>
      <c r="D27" s="8" t="str">
        <f t="shared" si="1"/>
        <v>{"valorA":"mouse de computador","valorB":1}</v>
      </c>
      <c r="E27" s="8" t="str">
        <f t="shared" si="2"/>
        <v>mouse de computador</v>
      </c>
      <c r="F27" s="8"/>
      <c r="G27" s="15" t="str">
        <f t="shared" si="3"/>
        <v>1</v>
      </c>
      <c r="H27" s="9">
        <f t="shared" si="4"/>
        <v>1</v>
      </c>
      <c r="I27" s="6" t="str">
        <f>IFERROR(__xludf.DUMMYFUNCTION("MAX(FILTER($H$2:$H501,$E$2:$E501=F27))"),"#N/A")</f>
        <v>#N/A</v>
      </c>
    </row>
    <row r="28">
      <c r="A28" s="4"/>
      <c r="B28" s="4"/>
      <c r="C28" s="4" t="s">
        <v>2202</v>
      </c>
      <c r="D28" s="8" t="str">
        <f t="shared" si="1"/>
        <v>{"valorA":"liquidificador","valorB":3}</v>
      </c>
      <c r="E28" s="8" t="str">
        <f t="shared" si="2"/>
        <v>liquidificador</v>
      </c>
      <c r="F28" s="8"/>
      <c r="G28" s="15" t="str">
        <f t="shared" si="3"/>
        <v>3</v>
      </c>
      <c r="H28" s="9">
        <f t="shared" si="4"/>
        <v>3</v>
      </c>
      <c r="I28" s="6" t="str">
        <f>IFERROR(__xludf.DUMMYFUNCTION("MAX(FILTER($H$2:$H501,$E$2:$E501=F28))"),"#N/A")</f>
        <v>#N/A</v>
      </c>
    </row>
    <row r="29">
      <c r="A29" s="4"/>
      <c r="B29" s="4"/>
      <c r="C29" s="4" t="s">
        <v>1662</v>
      </c>
      <c r="D29" s="8" t="str">
        <f t="shared" si="1"/>
        <v>{"valorA":"freezer","valorB":4}</v>
      </c>
      <c r="E29" s="8" t="str">
        <f t="shared" si="2"/>
        <v>freezer</v>
      </c>
      <c r="F29" s="8"/>
      <c r="G29" s="15" t="str">
        <f t="shared" si="3"/>
        <v>4</v>
      </c>
      <c r="H29" s="9">
        <f t="shared" si="4"/>
        <v>4</v>
      </c>
      <c r="I29" s="6" t="str">
        <f>IFERROR(__xludf.DUMMYFUNCTION("MAX(FILTER($H$2:$H501,$E$2:$E501=F29))"),"#N/A")</f>
        <v>#N/A</v>
      </c>
    </row>
    <row r="30">
      <c r="A30" s="4"/>
      <c r="B30" s="4"/>
      <c r="C30" s="4" t="s">
        <v>2201</v>
      </c>
      <c r="D30" s="8" t="str">
        <f t="shared" si="1"/>
        <v>{"valorA":"purificador de água","valorB":3}</v>
      </c>
      <c r="E30" s="8" t="str">
        <f t="shared" si="2"/>
        <v>purificador de água</v>
      </c>
      <c r="F30" s="8"/>
      <c r="G30" s="15" t="str">
        <f t="shared" si="3"/>
        <v>3</v>
      </c>
      <c r="H30" s="9">
        <f t="shared" si="4"/>
        <v>3</v>
      </c>
      <c r="I30" s="6" t="str">
        <f>IFERROR(__xludf.DUMMYFUNCTION("MAX(FILTER($H$2:$H501,$E$2:$E501=F30))"),"#N/A")</f>
        <v>#N/A</v>
      </c>
    </row>
    <row r="31">
      <c r="A31" s="4"/>
      <c r="B31" s="4"/>
      <c r="C31" s="4" t="s">
        <v>2193</v>
      </c>
      <c r="D31" s="8" t="str">
        <f t="shared" si="1"/>
        <v>{"valorA":"filtro de linha","valorB":1}</v>
      </c>
      <c r="E31" s="8" t="str">
        <f t="shared" si="2"/>
        <v>filtro de linha</v>
      </c>
      <c r="F31" s="8"/>
      <c r="G31" s="15" t="str">
        <f t="shared" si="3"/>
        <v>1</v>
      </c>
      <c r="H31" s="9">
        <f t="shared" si="4"/>
        <v>1</v>
      </c>
      <c r="I31" s="6" t="str">
        <f>IFERROR(__xludf.DUMMYFUNCTION("MAX(FILTER($H$2:$H501,$E$2:$E501=F31))"),"#N/A")</f>
        <v>#N/A</v>
      </c>
    </row>
    <row r="32">
      <c r="A32" s="4"/>
      <c r="B32" s="4"/>
      <c r="C32" s="4" t="s">
        <v>2221</v>
      </c>
      <c r="D32" s="8" t="str">
        <f t="shared" si="1"/>
        <v>{"valorA":"aspirador","valorB":3}</v>
      </c>
      <c r="E32" s="8" t="str">
        <f t="shared" si="2"/>
        <v>aspirador</v>
      </c>
      <c r="F32" s="8"/>
      <c r="G32" s="15" t="str">
        <f t="shared" si="3"/>
        <v>3</v>
      </c>
      <c r="H32" s="9">
        <f t="shared" si="4"/>
        <v>3</v>
      </c>
      <c r="I32" s="6" t="str">
        <f>IFERROR(__xludf.DUMMYFUNCTION("MAX(FILTER($H$2:$H501,$E$2:$E501=F32))"),"#N/A")</f>
        <v>#N/A</v>
      </c>
    </row>
    <row r="33">
      <c r="A33" s="4"/>
      <c r="B33" s="4"/>
      <c r="C33" s="4" t="s">
        <v>2216</v>
      </c>
      <c r="D33" s="8" t="str">
        <f t="shared" si="1"/>
        <v>{"valorA":"purificador de água","valorB":4}</v>
      </c>
      <c r="E33" s="8" t="str">
        <f t="shared" si="2"/>
        <v>purificador de água</v>
      </c>
      <c r="F33" s="8"/>
      <c r="G33" s="15" t="str">
        <f t="shared" si="3"/>
        <v>4</v>
      </c>
      <c r="H33" s="9">
        <f t="shared" si="4"/>
        <v>4</v>
      </c>
      <c r="I33" s="6" t="str">
        <f>IFERROR(__xludf.DUMMYFUNCTION("MAX(FILTER($H$2:$H501,$E$2:$E501=F33))"),"#N/A")</f>
        <v>#N/A</v>
      </c>
    </row>
    <row r="34">
      <c r="A34" s="4"/>
      <c r="B34" s="4"/>
      <c r="C34" s="4" t="s">
        <v>2214</v>
      </c>
      <c r="D34" s="8" t="str">
        <f t="shared" si="1"/>
        <v>{"valorA":"teclado de computador","valorB":3}</v>
      </c>
      <c r="E34" s="8" t="str">
        <f t="shared" si="2"/>
        <v>teclado de computador</v>
      </c>
      <c r="F34" s="8"/>
      <c r="G34" s="15" t="str">
        <f t="shared" si="3"/>
        <v>3</v>
      </c>
      <c r="H34" s="9">
        <f t="shared" si="4"/>
        <v>3</v>
      </c>
      <c r="I34" s="6" t="str">
        <f>IFERROR(__xludf.DUMMYFUNCTION("MAX(FILTER($H$2:$H501,$E$2:$E501=F34))"),"#N/A")</f>
        <v>#N/A</v>
      </c>
    </row>
    <row r="35">
      <c r="A35" s="4"/>
      <c r="B35" s="4"/>
      <c r="C35" s="4" t="s">
        <v>2177</v>
      </c>
      <c r="D35" s="8" t="str">
        <f t="shared" si="1"/>
        <v>{"valorA":"relógio","valorB":1}</v>
      </c>
      <c r="E35" s="8" t="str">
        <f t="shared" si="2"/>
        <v>relógio</v>
      </c>
      <c r="F35" s="8"/>
      <c r="G35" s="15" t="str">
        <f t="shared" si="3"/>
        <v>1</v>
      </c>
      <c r="H35" s="9">
        <f t="shared" si="4"/>
        <v>1</v>
      </c>
      <c r="I35" s="6" t="str">
        <f>IFERROR(__xludf.DUMMYFUNCTION("MAX(FILTER($H$2:$H501,$E$2:$E501=F35))"),"#N/A")</f>
        <v>#N/A</v>
      </c>
    </row>
    <row r="36">
      <c r="A36" s="4"/>
      <c r="B36" s="4"/>
      <c r="C36" s="4" t="s">
        <v>2227</v>
      </c>
      <c r="D36" s="8" t="str">
        <f t="shared" si="1"/>
        <v>{"valorA":"carregador de celular","valorB":2}</v>
      </c>
      <c r="E36" s="8" t="str">
        <f t="shared" si="2"/>
        <v>carregador de celular</v>
      </c>
      <c r="F36" s="8"/>
      <c r="G36" s="15" t="str">
        <f t="shared" si="3"/>
        <v>2</v>
      </c>
      <c r="H36" s="9">
        <f t="shared" si="4"/>
        <v>2</v>
      </c>
      <c r="I36" s="6" t="str">
        <f>IFERROR(__xludf.DUMMYFUNCTION("MAX(FILTER($H$2:$H501,$E$2:$E501=F36))"),"#N/A")</f>
        <v>#N/A</v>
      </c>
    </row>
    <row r="37">
      <c r="A37" s="4"/>
      <c r="B37" s="4"/>
      <c r="C37" s="4" t="s">
        <v>2171</v>
      </c>
      <c r="D37" s="8" t="str">
        <f t="shared" si="1"/>
        <v>{"valorA":"celular","valorB":1}</v>
      </c>
      <c r="E37" s="8" t="str">
        <f t="shared" si="2"/>
        <v>celular</v>
      </c>
      <c r="F37" s="8"/>
      <c r="G37" s="15" t="str">
        <f t="shared" si="3"/>
        <v>1</v>
      </c>
      <c r="H37" s="9">
        <f t="shared" si="4"/>
        <v>1</v>
      </c>
      <c r="I37" s="6" t="str">
        <f>IFERROR(__xludf.DUMMYFUNCTION("MAX(FILTER($H$2:$H501,$E$2:$E501=F37))"),"#N/A")</f>
        <v>#N/A</v>
      </c>
    </row>
    <row r="38">
      <c r="A38" s="4"/>
      <c r="B38" s="4"/>
      <c r="C38" s="4" t="s">
        <v>2210</v>
      </c>
      <c r="D38" s="8" t="str">
        <f t="shared" si="1"/>
        <v>{"valorA":"lustre","valorB":2}</v>
      </c>
      <c r="E38" s="8" t="str">
        <f t="shared" si="2"/>
        <v>lustre</v>
      </c>
      <c r="F38" s="8"/>
      <c r="G38" s="15" t="str">
        <f t="shared" si="3"/>
        <v>2</v>
      </c>
      <c r="H38" s="9">
        <f t="shared" si="4"/>
        <v>2</v>
      </c>
      <c r="I38" s="6" t="str">
        <f>IFERROR(__xludf.DUMMYFUNCTION("MAX(FILTER($H$2:$H501,$E$2:$E501=F38))"),"#N/A")</f>
        <v>#N/A</v>
      </c>
    </row>
    <row r="39">
      <c r="A39" s="4"/>
      <c r="B39" s="4"/>
      <c r="C39" s="4" t="s">
        <v>2179</v>
      </c>
      <c r="D39" s="8" t="str">
        <f t="shared" si="1"/>
        <v>{"valorA":"chuveiro elétrico","valorB":2}</v>
      </c>
      <c r="E39" s="8" t="str">
        <f t="shared" si="2"/>
        <v>chuveiro elétrico</v>
      </c>
      <c r="F39" s="8"/>
      <c r="G39" s="15" t="str">
        <f t="shared" si="3"/>
        <v>2</v>
      </c>
      <c r="H39" s="9">
        <f t="shared" si="4"/>
        <v>2</v>
      </c>
      <c r="I39" s="6" t="str">
        <f>IFERROR(__xludf.DUMMYFUNCTION("MAX(FILTER($H$2:$H501,$E$2:$E501=F39))"),"#N/A")</f>
        <v>#N/A</v>
      </c>
    </row>
    <row r="40">
      <c r="A40" s="4"/>
      <c r="B40" s="4"/>
      <c r="C40" s="4" t="s">
        <v>2233</v>
      </c>
      <c r="D40" s="8" t="str">
        <f t="shared" si="1"/>
        <v>{"valorA":"celular","valorB":2}</v>
      </c>
      <c r="E40" s="8" t="str">
        <f t="shared" si="2"/>
        <v>celular</v>
      </c>
      <c r="F40" s="8"/>
      <c r="G40" s="15" t="str">
        <f t="shared" si="3"/>
        <v>2</v>
      </c>
      <c r="H40" s="9">
        <f t="shared" si="4"/>
        <v>2</v>
      </c>
      <c r="I40" s="6" t="str">
        <f>IFERROR(__xludf.DUMMYFUNCTION("MAX(FILTER($H$2:$H501,$E$2:$E501=F40))"),"#N/A")</f>
        <v>#N/A</v>
      </c>
    </row>
    <row r="41">
      <c r="A41" s="4"/>
      <c r="B41" s="4"/>
      <c r="C41" s="4" t="s">
        <v>1698</v>
      </c>
      <c r="D41" s="8" t="str">
        <f t="shared" si="1"/>
        <v>{"valorA":"ar condicionado","valorB":4}</v>
      </c>
      <c r="E41" s="8" t="str">
        <f t="shared" si="2"/>
        <v>ar condicionado</v>
      </c>
      <c r="F41" s="8"/>
      <c r="G41" s="15" t="str">
        <f t="shared" si="3"/>
        <v>4</v>
      </c>
      <c r="H41" s="9">
        <f t="shared" si="4"/>
        <v>4</v>
      </c>
      <c r="I41" s="6" t="str">
        <f>IFERROR(__xludf.DUMMYFUNCTION("MAX(FILTER($H$2:$H501,$E$2:$E501=F41))"),"#N/A")</f>
        <v>#N/A</v>
      </c>
    </row>
    <row r="42">
      <c r="A42" s="4"/>
      <c r="B42" s="4"/>
      <c r="C42" s="4" t="s">
        <v>2243</v>
      </c>
      <c r="D42" s="8" t="str">
        <f t="shared" si="1"/>
        <v>{"valorA":"roteador","valorB":3}</v>
      </c>
      <c r="E42" s="8" t="str">
        <f t="shared" si="2"/>
        <v>roteador</v>
      </c>
      <c r="F42" s="8"/>
      <c r="G42" s="15" t="str">
        <f t="shared" si="3"/>
        <v>3</v>
      </c>
      <c r="H42" s="9">
        <f t="shared" si="4"/>
        <v>3</v>
      </c>
      <c r="I42" s="6" t="str">
        <f>IFERROR(__xludf.DUMMYFUNCTION("MAX(FILTER($H$2:$H501,$E$2:$E501=F42))"),"#N/A")</f>
        <v>#N/A</v>
      </c>
    </row>
    <row r="43">
      <c r="A43" s="4"/>
      <c r="B43" s="4"/>
      <c r="C43" s="4" t="s">
        <v>1663</v>
      </c>
      <c r="D43" s="8" t="str">
        <f t="shared" si="1"/>
        <v>{"valorA":"freezer","valorB":5}</v>
      </c>
      <c r="E43" s="8" t="str">
        <f t="shared" si="2"/>
        <v>freezer</v>
      </c>
      <c r="F43" s="8"/>
      <c r="G43" s="15" t="str">
        <f t="shared" si="3"/>
        <v>5</v>
      </c>
      <c r="H43" s="9">
        <f t="shared" si="4"/>
        <v>5</v>
      </c>
      <c r="I43" s="6" t="str">
        <f>IFERROR(__xludf.DUMMYFUNCTION("MAX(FILTER($H$2:$H501,$E$2:$E501=F43))"),"#N/A")</f>
        <v>#N/A</v>
      </c>
    </row>
    <row r="44">
      <c r="A44" s="4"/>
      <c r="B44" s="4"/>
      <c r="C44" s="4" t="s">
        <v>1693</v>
      </c>
      <c r="D44" s="8" t="str">
        <f t="shared" si="1"/>
        <v>{"valorA":"microondas","valorB":1}</v>
      </c>
      <c r="E44" s="8" t="str">
        <f t="shared" si="2"/>
        <v>microondas</v>
      </c>
      <c r="F44" s="8"/>
      <c r="G44" s="15" t="str">
        <f t="shared" si="3"/>
        <v>1</v>
      </c>
      <c r="H44" s="9">
        <f t="shared" si="4"/>
        <v>1</v>
      </c>
      <c r="I44" s="6" t="str">
        <f>IFERROR(__xludf.DUMMYFUNCTION("MAX(FILTER($H$2:$H501,$E$2:$E501=F44))"),"#N/A")</f>
        <v>#N/A</v>
      </c>
    </row>
    <row r="45">
      <c r="A45" s="4"/>
      <c r="B45" s="4"/>
      <c r="C45" s="4" t="s">
        <v>2182</v>
      </c>
      <c r="D45" s="8" t="str">
        <f t="shared" si="1"/>
        <v>{"valorA":"relógio","valorB":2}</v>
      </c>
      <c r="E45" s="8" t="str">
        <f t="shared" si="2"/>
        <v>relógio</v>
      </c>
      <c r="F45" s="8"/>
      <c r="G45" s="15" t="str">
        <f t="shared" si="3"/>
        <v>2</v>
      </c>
      <c r="H45" s="9">
        <f t="shared" si="4"/>
        <v>2</v>
      </c>
      <c r="I45" s="6" t="str">
        <f>IFERROR(__xludf.DUMMYFUNCTION("MAX(FILTER($H$2:$H501,$E$2:$E501=F45))"),"#N/A")</f>
        <v>#N/A</v>
      </c>
    </row>
    <row r="46">
      <c r="A46" s="4"/>
      <c r="B46" s="4"/>
      <c r="C46" s="4" t="s">
        <v>2236</v>
      </c>
      <c r="D46" s="8" t="str">
        <f t="shared" si="1"/>
        <v>{"valorA":"filtro de linha","valorB":2}</v>
      </c>
      <c r="E46" s="8" t="str">
        <f t="shared" si="2"/>
        <v>filtro de linha</v>
      </c>
      <c r="F46" s="8"/>
      <c r="G46" s="15" t="str">
        <f t="shared" si="3"/>
        <v>2</v>
      </c>
      <c r="H46" s="9">
        <f t="shared" si="4"/>
        <v>2</v>
      </c>
      <c r="I46" s="6" t="str">
        <f>IFERROR(__xludf.DUMMYFUNCTION("MAX(FILTER($H$2:$H501,$E$2:$E501=F46))"),"#N/A")</f>
        <v>#N/A</v>
      </c>
    </row>
    <row r="47">
      <c r="A47" s="4"/>
      <c r="B47" s="4"/>
      <c r="C47" s="4" t="s">
        <v>2257</v>
      </c>
      <c r="D47" s="8" t="str">
        <f t="shared" si="1"/>
        <v>{"valorA":"celular","valorB":3}</v>
      </c>
      <c r="E47" s="8" t="str">
        <f t="shared" si="2"/>
        <v>celular</v>
      </c>
      <c r="F47" s="8"/>
      <c r="G47" s="15" t="str">
        <f t="shared" si="3"/>
        <v>3</v>
      </c>
      <c r="H47" s="9">
        <f t="shared" si="4"/>
        <v>3</v>
      </c>
      <c r="I47" s="6" t="str">
        <f>IFERROR(__xludf.DUMMYFUNCTION("MAX(FILTER($H$2:$H501,$E$2:$E501=F47))"),"#N/A")</f>
        <v>#N/A</v>
      </c>
    </row>
    <row r="48">
      <c r="A48" s="4"/>
      <c r="B48" s="4"/>
      <c r="C48" s="4" t="s">
        <v>2271</v>
      </c>
      <c r="D48" s="8" t="str">
        <f t="shared" si="1"/>
        <v>{"valorA":"celular","valorB":4}</v>
      </c>
      <c r="E48" s="8" t="str">
        <f t="shared" si="2"/>
        <v>celular</v>
      </c>
      <c r="F48" s="8"/>
      <c r="G48" s="15" t="str">
        <f t="shared" si="3"/>
        <v>4</v>
      </c>
      <c r="H48" s="9">
        <f t="shared" si="4"/>
        <v>4</v>
      </c>
      <c r="I48" s="6" t="str">
        <f>IFERROR(__xludf.DUMMYFUNCTION("MAX(FILTER($H$2:$H501,$E$2:$E501=F48))"),"#N/A")</f>
        <v>#N/A</v>
      </c>
    </row>
    <row r="49">
      <c r="A49" s="4"/>
      <c r="B49" s="4"/>
      <c r="C49" s="4" t="s">
        <v>2198</v>
      </c>
      <c r="D49" s="8" t="str">
        <f t="shared" si="1"/>
        <v>{"valorA":"computador","valorB":2}</v>
      </c>
      <c r="E49" s="8" t="str">
        <f t="shared" si="2"/>
        <v>computador</v>
      </c>
      <c r="F49" s="8"/>
      <c r="G49" s="15" t="str">
        <f t="shared" si="3"/>
        <v>2</v>
      </c>
      <c r="H49" s="9">
        <f t="shared" si="4"/>
        <v>2</v>
      </c>
      <c r="I49" s="6" t="str">
        <f>IFERROR(__xludf.DUMMYFUNCTION("MAX(FILTER($H$2:$H501,$E$2:$E501=F49))"),"#N/A")</f>
        <v>#N/A</v>
      </c>
    </row>
    <row r="50">
      <c r="A50" s="4"/>
      <c r="B50" s="4"/>
      <c r="C50" s="4" t="s">
        <v>2187</v>
      </c>
      <c r="D50" s="8" t="str">
        <f t="shared" si="1"/>
        <v>{"valorA":"relógio","valorB":3}</v>
      </c>
      <c r="E50" s="8" t="str">
        <f t="shared" si="2"/>
        <v>relógio</v>
      </c>
      <c r="F50" s="8"/>
      <c r="G50" s="15" t="str">
        <f t="shared" si="3"/>
        <v>3</v>
      </c>
      <c r="H50" s="9">
        <f t="shared" si="4"/>
        <v>3</v>
      </c>
      <c r="I50" s="6" t="str">
        <f>IFERROR(__xludf.DUMMYFUNCTION("MAX(FILTER($H$2:$H501,$E$2:$E501=F50))"),"#N/A")</f>
        <v>#N/A</v>
      </c>
    </row>
    <row r="51">
      <c r="A51" s="4"/>
      <c r="B51" s="4"/>
      <c r="C51" s="4" t="s">
        <v>2248</v>
      </c>
      <c r="D51" s="8" t="str">
        <f t="shared" si="1"/>
        <v>{"valorA":"roteador","valorB":4}</v>
      </c>
      <c r="E51" s="8" t="str">
        <f t="shared" si="2"/>
        <v>roteador</v>
      </c>
      <c r="F51" s="8"/>
      <c r="G51" s="15" t="str">
        <f t="shared" si="3"/>
        <v>4</v>
      </c>
      <c r="H51" s="9">
        <f t="shared" si="4"/>
        <v>4</v>
      </c>
      <c r="I51" s="6" t="str">
        <f>IFERROR(__xludf.DUMMYFUNCTION("MAX(FILTER($H$2:$H501,$E$2:$E501=F51))"),"#N/A")</f>
        <v>#N/A</v>
      </c>
    </row>
    <row r="52">
      <c r="A52" s="4"/>
      <c r="B52" s="4"/>
      <c r="C52" s="4" t="s">
        <v>2265</v>
      </c>
      <c r="D52" s="8" t="str">
        <f t="shared" si="1"/>
        <v>{"valorA":"filtro de linha","valorB":3}</v>
      </c>
      <c r="E52" s="8" t="str">
        <f t="shared" si="2"/>
        <v>filtro de linha</v>
      </c>
      <c r="F52" s="8"/>
      <c r="G52" s="15" t="str">
        <f t="shared" si="3"/>
        <v>3</v>
      </c>
      <c r="H52" s="9">
        <f t="shared" si="4"/>
        <v>3</v>
      </c>
      <c r="I52" s="6" t="str">
        <f>IFERROR(__xludf.DUMMYFUNCTION("MAX(FILTER($H$2:$H501,$E$2:$E501=F52))"),"#N/A")</f>
        <v>#N/A</v>
      </c>
    </row>
    <row r="53">
      <c r="A53" s="4"/>
      <c r="B53" s="4"/>
      <c r="C53" s="4" t="s">
        <v>2183</v>
      </c>
      <c r="D53" s="8" t="str">
        <f t="shared" si="1"/>
        <v>{"valorA":"chuveiro elétrico","valorB":3}</v>
      </c>
      <c r="E53" s="8" t="str">
        <f t="shared" si="2"/>
        <v>chuveiro elétrico</v>
      </c>
      <c r="F53" s="8"/>
      <c r="G53" s="15" t="str">
        <f t="shared" si="3"/>
        <v>3</v>
      </c>
      <c r="H53" s="9">
        <f t="shared" si="4"/>
        <v>3</v>
      </c>
      <c r="I53" s="6" t="str">
        <f>IFERROR(__xludf.DUMMYFUNCTION("MAX(FILTER($H$2:$H501,$E$2:$E501=F53))"),"#N/A")</f>
        <v>#N/A</v>
      </c>
    </row>
    <row r="54">
      <c r="A54" s="4"/>
      <c r="B54" s="4"/>
      <c r="C54" s="4" t="s">
        <v>2205</v>
      </c>
      <c r="D54" s="8" t="str">
        <f t="shared" si="1"/>
        <v>{"valorA":"fone de ouvido","valorB":3}</v>
      </c>
      <c r="E54" s="8" t="str">
        <f t="shared" si="2"/>
        <v>fone de ouvido</v>
      </c>
      <c r="F54" s="8"/>
      <c r="G54" s="15" t="str">
        <f t="shared" si="3"/>
        <v>3</v>
      </c>
      <c r="H54" s="9">
        <f t="shared" si="4"/>
        <v>3</v>
      </c>
      <c r="I54" s="6" t="str">
        <f>IFERROR(__xludf.DUMMYFUNCTION("MAX(FILTER($H$2:$H501,$E$2:$E501=F54))"),"#N/A")</f>
        <v>#N/A</v>
      </c>
    </row>
    <row r="55">
      <c r="A55" s="4"/>
      <c r="B55" s="4"/>
      <c r="C55" s="4" t="s">
        <v>2293</v>
      </c>
      <c r="D55" s="8" t="str">
        <f t="shared" si="1"/>
        <v>{"valorA":"celular","valorB":5}</v>
      </c>
      <c r="E55" s="8" t="str">
        <f t="shared" si="2"/>
        <v>celular</v>
      </c>
      <c r="F55" s="8"/>
      <c r="G55" s="15" t="str">
        <f t="shared" si="3"/>
        <v>5</v>
      </c>
      <c r="H55" s="9">
        <f t="shared" si="4"/>
        <v>5</v>
      </c>
      <c r="I55" s="6" t="str">
        <f>IFERROR(__xludf.DUMMYFUNCTION("MAX(FILTER($H$2:$H501,$E$2:$E501=F55))"),"#N/A")</f>
        <v>#N/A</v>
      </c>
    </row>
    <row r="56">
      <c r="A56" s="4"/>
      <c r="B56" s="4"/>
      <c r="C56" s="4" t="s">
        <v>2211</v>
      </c>
      <c r="D56" s="8" t="str">
        <f t="shared" si="1"/>
        <v>{"valorA":"liquidificador","valorB":4}</v>
      </c>
      <c r="E56" s="8" t="str">
        <f t="shared" si="2"/>
        <v>liquidificador</v>
      </c>
      <c r="F56" s="8"/>
      <c r="G56" s="15" t="str">
        <f t="shared" si="3"/>
        <v>4</v>
      </c>
      <c r="H56" s="9">
        <f t="shared" si="4"/>
        <v>4</v>
      </c>
      <c r="I56" s="6" t="str">
        <f>IFERROR(__xludf.DUMMYFUNCTION("MAX(FILTER($H$2:$H501,$E$2:$E501=F56))"),"#N/A")</f>
        <v>#N/A</v>
      </c>
    </row>
    <row r="57">
      <c r="A57" s="4"/>
      <c r="B57" s="4"/>
      <c r="C57" s="4" t="s">
        <v>2228</v>
      </c>
      <c r="D57" s="8" t="str">
        <f t="shared" si="1"/>
        <v>{"valorA":"aspirador","valorB":4}</v>
      </c>
      <c r="E57" s="8" t="str">
        <f t="shared" si="2"/>
        <v>aspirador</v>
      </c>
      <c r="F57" s="8"/>
      <c r="G57" s="15" t="str">
        <f t="shared" si="3"/>
        <v>4</v>
      </c>
      <c r="H57" s="9">
        <f t="shared" si="4"/>
        <v>4</v>
      </c>
      <c r="I57" s="6" t="str">
        <f>IFERROR(__xludf.DUMMYFUNCTION("MAX(FILTER($H$2:$H501,$E$2:$E501=F57))"),"#N/A")</f>
        <v>#N/A</v>
      </c>
    </row>
    <row r="58">
      <c r="A58" s="4"/>
      <c r="B58" s="4"/>
      <c r="C58" s="4" t="s">
        <v>2206</v>
      </c>
      <c r="D58" s="8" t="str">
        <f t="shared" si="1"/>
        <v>{"valorA":"computador","valorB":3}</v>
      </c>
      <c r="E58" s="8" t="str">
        <f t="shared" si="2"/>
        <v>computador</v>
      </c>
      <c r="F58" s="8"/>
      <c r="G58" s="15" t="str">
        <f t="shared" si="3"/>
        <v>3</v>
      </c>
      <c r="H58" s="9">
        <f t="shared" si="4"/>
        <v>3</v>
      </c>
      <c r="I58" s="6" t="str">
        <f>IFERROR(__xludf.DUMMYFUNCTION("MAX(FILTER($H$2:$H501,$E$2:$E501=F58))"),"#N/A")</f>
        <v>#N/A</v>
      </c>
    </row>
    <row r="59">
      <c r="A59" s="4"/>
      <c r="B59" s="4"/>
      <c r="C59" s="4" t="s">
        <v>2315</v>
      </c>
      <c r="D59" s="8" t="str">
        <f t="shared" si="1"/>
        <v>{"valorA":"celular","valorB":6}</v>
      </c>
      <c r="E59" s="8" t="str">
        <f t="shared" si="2"/>
        <v>celular</v>
      </c>
      <c r="F59" s="8"/>
      <c r="G59" s="15" t="str">
        <f t="shared" si="3"/>
        <v>6</v>
      </c>
      <c r="H59" s="9">
        <f t="shared" si="4"/>
        <v>6</v>
      </c>
      <c r="I59" s="6" t="str">
        <f>IFERROR(__xludf.DUMMYFUNCTION("MAX(FILTER($H$2:$H501,$E$2:$E501=F59))"),"#N/A")</f>
        <v>#N/A</v>
      </c>
    </row>
    <row r="60">
      <c r="A60" s="4"/>
      <c r="B60" s="4"/>
      <c r="C60" s="4" t="s">
        <v>1664</v>
      </c>
      <c r="D60" s="8" t="str">
        <f t="shared" si="1"/>
        <v>{"valorA":"freezer","valorB":6}</v>
      </c>
      <c r="E60" s="8" t="str">
        <f t="shared" si="2"/>
        <v>freezer</v>
      </c>
      <c r="F60" s="8"/>
      <c r="G60" s="15" t="str">
        <f t="shared" si="3"/>
        <v>6</v>
      </c>
      <c r="H60" s="9">
        <f t="shared" si="4"/>
        <v>6</v>
      </c>
      <c r="I60" s="6" t="str">
        <f>IFERROR(__xludf.DUMMYFUNCTION("MAX(FILTER($H$2:$H501,$E$2:$E501=F60))"),"#N/A")</f>
        <v>#N/A</v>
      </c>
    </row>
    <row r="61">
      <c r="A61" s="4"/>
      <c r="B61" s="4"/>
      <c r="C61" s="4" t="s">
        <v>2220</v>
      </c>
      <c r="D61" s="8" t="str">
        <f t="shared" si="1"/>
        <v>{"valorA":"computador","valorB":4}</v>
      </c>
      <c r="E61" s="8" t="str">
        <f t="shared" si="2"/>
        <v>computador</v>
      </c>
      <c r="F61" s="8"/>
      <c r="G61" s="15" t="str">
        <f t="shared" si="3"/>
        <v>4</v>
      </c>
      <c r="H61" s="9">
        <f t="shared" si="4"/>
        <v>4</v>
      </c>
      <c r="I61" s="6" t="str">
        <f>IFERROR(__xludf.DUMMYFUNCTION("MAX(FILTER($H$2:$H501,$E$2:$E501=F61))"),"#N/A")</f>
        <v>#N/A</v>
      </c>
    </row>
    <row r="62">
      <c r="A62" s="4"/>
      <c r="B62" s="4"/>
      <c r="C62" s="4" t="s">
        <v>2249</v>
      </c>
      <c r="D62" s="8" t="str">
        <f t="shared" si="1"/>
        <v>{"valorA":"aspirador","valorB":5}</v>
      </c>
      <c r="E62" s="8" t="str">
        <f t="shared" si="2"/>
        <v>aspirador</v>
      </c>
      <c r="F62" s="8"/>
      <c r="G62" s="15" t="str">
        <f t="shared" si="3"/>
        <v>5</v>
      </c>
      <c r="H62" s="9">
        <f t="shared" si="4"/>
        <v>5</v>
      </c>
      <c r="I62" s="6" t="str">
        <f>IFERROR(__xludf.DUMMYFUNCTION("MAX(FILTER($H$2:$H501,$E$2:$E501=F62))"),"#N/A")</f>
        <v>#N/A</v>
      </c>
    </row>
    <row r="63">
      <c r="A63" s="4"/>
      <c r="B63" s="4"/>
      <c r="C63" s="4" t="s">
        <v>2208</v>
      </c>
      <c r="D63" s="8" t="str">
        <f t="shared" si="1"/>
        <v>{"valorA":"fogão","valorB":2}</v>
      </c>
      <c r="E63" s="8" t="str">
        <f t="shared" si="2"/>
        <v>fogão</v>
      </c>
      <c r="F63" s="8"/>
      <c r="G63" s="15" t="str">
        <f t="shared" si="3"/>
        <v>2</v>
      </c>
      <c r="H63" s="9">
        <f t="shared" si="4"/>
        <v>2</v>
      </c>
      <c r="I63" s="6" t="str">
        <f>IFERROR(__xludf.DUMMYFUNCTION("MAX(FILTER($H$2:$H501,$E$2:$E501=F63))"),"#N/A")</f>
        <v>#N/A</v>
      </c>
    </row>
    <row r="64">
      <c r="A64" s="4"/>
      <c r="B64" s="4"/>
      <c r="C64" s="4" t="s">
        <v>1665</v>
      </c>
      <c r="D64" s="8" t="str">
        <f t="shared" si="1"/>
        <v>{"valorA":"freezer","valorB":7}</v>
      </c>
      <c r="E64" s="8" t="str">
        <f t="shared" si="2"/>
        <v>freezer</v>
      </c>
      <c r="F64" s="8"/>
      <c r="G64" s="15" t="str">
        <f t="shared" si="3"/>
        <v>7</v>
      </c>
      <c r="H64" s="9">
        <f t="shared" si="4"/>
        <v>7</v>
      </c>
      <c r="I64" s="6" t="str">
        <f>IFERROR(__xludf.DUMMYFUNCTION("MAX(FILTER($H$2:$H501,$E$2:$E501=F64))"),"#N/A")</f>
        <v>#N/A</v>
      </c>
    </row>
    <row r="65">
      <c r="A65" s="4"/>
      <c r="B65" s="4"/>
      <c r="C65" s="4" t="s">
        <v>2173</v>
      </c>
      <c r="D65" s="8" t="str">
        <f t="shared" si="1"/>
        <v>{"valorA":"ventilador","valorB":2}</v>
      </c>
      <c r="E65" s="8" t="str">
        <f t="shared" si="2"/>
        <v>ventilador</v>
      </c>
      <c r="F65" s="8"/>
      <c r="G65" s="15" t="str">
        <f t="shared" si="3"/>
        <v>2</v>
      </c>
      <c r="H65" s="9">
        <f t="shared" si="4"/>
        <v>2</v>
      </c>
      <c r="I65" s="6" t="str">
        <f>IFERROR(__xludf.DUMMYFUNCTION("MAX(FILTER($H$2:$H501,$E$2:$E501=F65))"),"#N/A")</f>
        <v>#N/A</v>
      </c>
    </row>
    <row r="66">
      <c r="A66" s="4"/>
      <c r="B66" s="4"/>
      <c r="C66" s="4" t="s">
        <v>2266</v>
      </c>
      <c r="D66" s="8" t="str">
        <f t="shared" si="1"/>
        <v>{"valorA":"carregador de celular","valorB":3}</v>
      </c>
      <c r="E66" s="8" t="str">
        <f t="shared" si="2"/>
        <v>carregador de celular</v>
      </c>
      <c r="F66" s="8"/>
      <c r="G66" s="15" t="str">
        <f t="shared" si="3"/>
        <v>3</v>
      </c>
      <c r="H66" s="9">
        <f t="shared" si="4"/>
        <v>3</v>
      </c>
      <c r="I66" s="6" t="str">
        <f>IFERROR(__xludf.DUMMYFUNCTION("MAX(FILTER($H$2:$H501,$E$2:$E501=F66))"),"#N/A")</f>
        <v>#N/A</v>
      </c>
    </row>
    <row r="67">
      <c r="A67" s="4"/>
      <c r="B67" s="4"/>
      <c r="C67" s="4" t="s">
        <v>2322</v>
      </c>
      <c r="D67" s="8" t="str">
        <f t="shared" si="1"/>
        <v>{"valorA":"celular","valorB":7}</v>
      </c>
      <c r="E67" s="8" t="str">
        <f t="shared" si="2"/>
        <v>celular</v>
      </c>
      <c r="F67" s="8"/>
      <c r="G67" s="15" t="str">
        <f t="shared" si="3"/>
        <v>7</v>
      </c>
      <c r="H67" s="9">
        <f t="shared" si="4"/>
        <v>7</v>
      </c>
      <c r="I67" s="6" t="str">
        <f>IFERROR(__xludf.DUMMYFUNCTION("MAX(FILTER($H$2:$H501,$E$2:$E501=F67))"),"#N/A")</f>
        <v>#N/A</v>
      </c>
    </row>
    <row r="68">
      <c r="A68" s="4"/>
      <c r="B68" s="4"/>
      <c r="C68" s="4" t="s">
        <v>2188</v>
      </c>
      <c r="D68" s="8" t="str">
        <f t="shared" si="1"/>
        <v>{"valorA":"relógio","valorB":4}</v>
      </c>
      <c r="E68" s="8" t="str">
        <f t="shared" si="2"/>
        <v>relógio</v>
      </c>
      <c r="F68" s="8"/>
      <c r="G68" s="15" t="str">
        <f t="shared" si="3"/>
        <v>4</v>
      </c>
      <c r="H68" s="9">
        <f t="shared" si="4"/>
        <v>4</v>
      </c>
      <c r="I68" s="6" t="str">
        <f>IFERROR(__xludf.DUMMYFUNCTION("MAX(FILTER($H$2:$H501,$E$2:$E501=F68))"),"#N/A")</f>
        <v>#N/A</v>
      </c>
    </row>
    <row r="69">
      <c r="A69" s="4"/>
      <c r="B69" s="4"/>
      <c r="C69" s="4" t="s">
        <v>2270</v>
      </c>
      <c r="D69" s="8" t="str">
        <f t="shared" si="1"/>
        <v>{"valorA":"carregador de celular","valorB":4}</v>
      </c>
      <c r="E69" s="8" t="str">
        <f t="shared" si="2"/>
        <v>carregador de celular</v>
      </c>
      <c r="F69" s="8"/>
      <c r="G69" s="15" t="str">
        <f t="shared" si="3"/>
        <v>4</v>
      </c>
      <c r="H69" s="9">
        <f t="shared" si="4"/>
        <v>4</v>
      </c>
      <c r="I69" s="6" t="str">
        <f>IFERROR(__xludf.DUMMYFUNCTION("MAX(FILTER($H$2:$H501,$E$2:$E501=F69))"),"#N/A")</f>
        <v>#N/A</v>
      </c>
    </row>
    <row r="70">
      <c r="A70" s="4"/>
      <c r="B70" s="4"/>
      <c r="C70" s="4" t="s">
        <v>2239</v>
      </c>
      <c r="D70" s="8" t="str">
        <f t="shared" si="1"/>
        <v>{"valorA":"purificador de água","valorB":5}</v>
      </c>
      <c r="E70" s="8" t="str">
        <f t="shared" si="2"/>
        <v>purificador de água</v>
      </c>
      <c r="F70" s="8"/>
      <c r="G70" s="15" t="str">
        <f t="shared" si="3"/>
        <v>5</v>
      </c>
      <c r="H70" s="9">
        <f t="shared" si="4"/>
        <v>5</v>
      </c>
      <c r="I70" s="6" t="str">
        <f>IFERROR(__xludf.DUMMYFUNCTION("MAX(FILTER($H$2:$H501,$E$2:$E501=F70))"),"#N/A")</f>
        <v>#N/A</v>
      </c>
    </row>
    <row r="71">
      <c r="A71" s="4"/>
      <c r="B71" s="4"/>
      <c r="C71" s="4" t="s">
        <v>2190</v>
      </c>
      <c r="D71" s="8" t="str">
        <f t="shared" si="1"/>
        <v>{"valorA":"relógio","valorB":5}</v>
      </c>
      <c r="E71" s="8" t="str">
        <f t="shared" si="2"/>
        <v>relógio</v>
      </c>
      <c r="F71" s="8"/>
      <c r="G71" s="15" t="str">
        <f t="shared" si="3"/>
        <v>5</v>
      </c>
      <c r="H71" s="9">
        <f t="shared" si="4"/>
        <v>5</v>
      </c>
      <c r="I71" s="6" t="str">
        <f>IFERROR(__xludf.DUMMYFUNCTION("MAX(FILTER($H$2:$H501,$E$2:$E501=F71))"),"#N/A")</f>
        <v>#N/A</v>
      </c>
    </row>
    <row r="72">
      <c r="A72" s="4"/>
      <c r="B72" s="4"/>
      <c r="C72" s="4" t="s">
        <v>2212</v>
      </c>
      <c r="D72" s="8" t="str">
        <f t="shared" si="1"/>
        <v>{"valorA":"fogão","valorB":3}</v>
      </c>
      <c r="E72" s="8" t="str">
        <f t="shared" si="2"/>
        <v>fogão</v>
      </c>
      <c r="F72" s="8"/>
      <c r="G72" s="15" t="str">
        <f t="shared" si="3"/>
        <v>3</v>
      </c>
      <c r="H72" s="9">
        <f t="shared" si="4"/>
        <v>3</v>
      </c>
      <c r="I72" s="6" t="str">
        <f>IFERROR(__xludf.DUMMYFUNCTION("MAX(FILTER($H$2:$H501,$E$2:$E501=F72))"),"#N/A")</f>
        <v>#N/A</v>
      </c>
    </row>
    <row r="73">
      <c r="A73" s="4"/>
      <c r="B73" s="4"/>
      <c r="C73" s="4" t="s">
        <v>2346</v>
      </c>
      <c r="D73" s="8" t="str">
        <f t="shared" si="1"/>
        <v>{"valorA":"celular","valorB":8}</v>
      </c>
      <c r="E73" s="8" t="str">
        <f t="shared" si="2"/>
        <v>celular</v>
      </c>
      <c r="F73" s="8"/>
      <c r="G73" s="15" t="str">
        <f t="shared" si="3"/>
        <v>8</v>
      </c>
      <c r="H73" s="9">
        <f t="shared" si="4"/>
        <v>8</v>
      </c>
      <c r="I73" s="6" t="str">
        <f>IFERROR(__xludf.DUMMYFUNCTION("MAX(FILTER($H$2:$H501,$E$2:$E501=F73))"),"#N/A")</f>
        <v>#N/A</v>
      </c>
    </row>
    <row r="74">
      <c r="A74" s="4"/>
      <c r="B74" s="4"/>
      <c r="C74" s="4" t="s">
        <v>2267</v>
      </c>
      <c r="D74" s="8" t="str">
        <f t="shared" si="1"/>
        <v>{"valorA":"filtro de linha","valorB":4}</v>
      </c>
      <c r="E74" s="8" t="str">
        <f t="shared" si="2"/>
        <v>filtro de linha</v>
      </c>
      <c r="F74" s="8"/>
      <c r="G74" s="15" t="str">
        <f t="shared" si="3"/>
        <v>4</v>
      </c>
      <c r="H74" s="9">
        <f t="shared" si="4"/>
        <v>4</v>
      </c>
      <c r="I74" s="6" t="str">
        <f>IFERROR(__xludf.DUMMYFUNCTION("MAX(FILTER($H$2:$H501,$E$2:$E501=F74))"),"#N/A")</f>
        <v>#N/A</v>
      </c>
    </row>
    <row r="75">
      <c r="A75" s="4"/>
      <c r="B75" s="4"/>
      <c r="C75" s="4" t="s">
        <v>2273</v>
      </c>
      <c r="D75" s="8" t="str">
        <f t="shared" si="1"/>
        <v>{"valorA":"filtro de linha","valorB":5}</v>
      </c>
      <c r="E75" s="8" t="str">
        <f t="shared" si="2"/>
        <v>filtro de linha</v>
      </c>
      <c r="F75" s="8"/>
      <c r="G75" s="15" t="str">
        <f t="shared" si="3"/>
        <v>5</v>
      </c>
      <c r="H75" s="9">
        <f t="shared" si="4"/>
        <v>5</v>
      </c>
      <c r="I75" s="6" t="str">
        <f>IFERROR(__xludf.DUMMYFUNCTION("MAX(FILTER($H$2:$H501,$E$2:$E501=F75))"),"#N/A")</f>
        <v>#N/A</v>
      </c>
    </row>
    <row r="76">
      <c r="A76" s="4"/>
      <c r="B76" s="4"/>
      <c r="C76" s="4" t="s">
        <v>2224</v>
      </c>
      <c r="D76" s="8" t="str">
        <f t="shared" si="1"/>
        <v>{"valorA":"liquidificador","valorB":5}</v>
      </c>
      <c r="E76" s="8" t="str">
        <f t="shared" si="2"/>
        <v>liquidificador</v>
      </c>
      <c r="F76" s="8"/>
      <c r="G76" s="15" t="str">
        <f t="shared" si="3"/>
        <v>5</v>
      </c>
      <c r="H76" s="9">
        <f t="shared" si="4"/>
        <v>5</v>
      </c>
      <c r="I76" s="6" t="str">
        <f>IFERROR(__xludf.DUMMYFUNCTION("MAX(FILTER($H$2:$H501,$E$2:$E501=F76))"),"#N/A")</f>
        <v>#N/A</v>
      </c>
    </row>
    <row r="77">
      <c r="A77" s="4"/>
      <c r="B77" s="4"/>
      <c r="C77" s="4" t="s">
        <v>2301</v>
      </c>
      <c r="D77" s="8" t="str">
        <f t="shared" si="1"/>
        <v>{"valorA":"roteador","valorB":5}</v>
      </c>
      <c r="E77" s="8" t="str">
        <f t="shared" si="2"/>
        <v>roteador</v>
      </c>
      <c r="F77" s="8"/>
      <c r="G77" s="15" t="str">
        <f t="shared" si="3"/>
        <v>5</v>
      </c>
      <c r="H77" s="9">
        <f t="shared" si="4"/>
        <v>5</v>
      </c>
      <c r="I77" s="6" t="str">
        <f>IFERROR(__xludf.DUMMYFUNCTION("MAX(FILTER($H$2:$H501,$E$2:$E501=F77))"),"#N/A")</f>
        <v>#N/A</v>
      </c>
    </row>
    <row r="78">
      <c r="A78" s="4"/>
      <c r="B78" s="4"/>
      <c r="C78" s="4" t="s">
        <v>2184</v>
      </c>
      <c r="D78" s="8" t="str">
        <f t="shared" si="1"/>
        <v>{"valorA":"chuveiro elétrico","valorB":4}</v>
      </c>
      <c r="E78" s="8" t="str">
        <f t="shared" si="2"/>
        <v>chuveiro elétrico</v>
      </c>
      <c r="F78" s="8"/>
      <c r="G78" s="15" t="str">
        <f t="shared" si="3"/>
        <v>4</v>
      </c>
      <c r="H78" s="9">
        <f t="shared" si="4"/>
        <v>4</v>
      </c>
      <c r="I78" s="6" t="str">
        <f>IFERROR(__xludf.DUMMYFUNCTION("MAX(FILTER($H$2:$H501,$E$2:$E501=F78))"),"#N/A")</f>
        <v>#N/A</v>
      </c>
    </row>
    <row r="79">
      <c r="A79" s="4"/>
      <c r="B79" s="4"/>
      <c r="C79" s="4" t="s">
        <v>2253</v>
      </c>
      <c r="D79" s="8" t="str">
        <f t="shared" si="1"/>
        <v>{"valorA":"purificador de água","valorB":6}</v>
      </c>
      <c r="E79" s="8" t="str">
        <f t="shared" si="2"/>
        <v>purificador de água</v>
      </c>
      <c r="F79" s="8"/>
      <c r="G79" s="15" t="str">
        <f t="shared" si="3"/>
        <v>6</v>
      </c>
      <c r="H79" s="9">
        <f t="shared" si="4"/>
        <v>6</v>
      </c>
      <c r="I79" s="6" t="str">
        <f>IFERROR(__xludf.DUMMYFUNCTION("MAX(FILTER($H$2:$H501,$E$2:$E501=F79))"),"#N/A")</f>
        <v>#N/A</v>
      </c>
    </row>
    <row r="80">
      <c r="A80" s="4"/>
      <c r="B80" s="4"/>
      <c r="C80" s="4" t="s">
        <v>2197</v>
      </c>
      <c r="D80" s="8" t="str">
        <f t="shared" si="1"/>
        <v>{"valorA":"chuveiro elétrico","valorB":5}</v>
      </c>
      <c r="E80" s="8" t="str">
        <f t="shared" si="2"/>
        <v>chuveiro elétrico</v>
      </c>
      <c r="F80" s="8"/>
      <c r="G80" s="15" t="str">
        <f t="shared" si="3"/>
        <v>5</v>
      </c>
      <c r="H80" s="9">
        <f t="shared" si="4"/>
        <v>5</v>
      </c>
      <c r="I80" s="6" t="str">
        <f>IFERROR(__xludf.DUMMYFUNCTION("MAX(FILTER($H$2:$H501,$E$2:$E501=F80))"),"#N/A")</f>
        <v>#N/A</v>
      </c>
    </row>
    <row r="81">
      <c r="A81" s="4"/>
      <c r="B81" s="4"/>
      <c r="C81" s="4" t="s">
        <v>2229</v>
      </c>
      <c r="D81" s="8" t="str">
        <f t="shared" si="1"/>
        <v>{"valorA":"liquidificador","valorB":6}</v>
      </c>
      <c r="E81" s="8" t="str">
        <f t="shared" si="2"/>
        <v>liquidificador</v>
      </c>
      <c r="F81" s="8"/>
      <c r="G81" s="15" t="str">
        <f t="shared" si="3"/>
        <v>6</v>
      </c>
      <c r="H81" s="9">
        <f t="shared" si="4"/>
        <v>6</v>
      </c>
      <c r="I81" s="6" t="str">
        <f>IFERROR(__xludf.DUMMYFUNCTION("MAX(FILTER($H$2:$H501,$E$2:$E501=F81))"),"#N/A")</f>
        <v>#N/A</v>
      </c>
    </row>
    <row r="82">
      <c r="A82" s="4"/>
      <c r="B82" s="4"/>
      <c r="C82" s="4" t="s">
        <v>2296</v>
      </c>
      <c r="D82" s="8" t="str">
        <f t="shared" si="1"/>
        <v>{"valorA":"filtro de linha","valorB":6}</v>
      </c>
      <c r="E82" s="8" t="str">
        <f t="shared" si="2"/>
        <v>filtro de linha</v>
      </c>
      <c r="F82" s="8"/>
      <c r="G82" s="15" t="str">
        <f t="shared" si="3"/>
        <v>6</v>
      </c>
      <c r="H82" s="9">
        <f t="shared" si="4"/>
        <v>6</v>
      </c>
      <c r="I82" s="6" t="str">
        <f>IFERROR(__xludf.DUMMYFUNCTION("MAX(FILTER($H$2:$H501,$E$2:$E501=F82))"),"#N/A")</f>
        <v>#N/A</v>
      </c>
    </row>
    <row r="83">
      <c r="A83" s="4"/>
      <c r="B83" s="4"/>
      <c r="C83" s="4" t="s">
        <v>2194</v>
      </c>
      <c r="D83" s="8" t="str">
        <f t="shared" si="1"/>
        <v>{"valorA":"relógio","valorB":6}</v>
      </c>
      <c r="E83" s="8" t="str">
        <f t="shared" si="2"/>
        <v>relógio</v>
      </c>
      <c r="F83" s="8"/>
      <c r="G83" s="15" t="str">
        <f t="shared" si="3"/>
        <v>6</v>
      </c>
      <c r="H83" s="9">
        <f t="shared" si="4"/>
        <v>6</v>
      </c>
      <c r="I83" s="6" t="str">
        <f>IFERROR(__xludf.DUMMYFUNCTION("MAX(FILTER($H$2:$H501,$E$2:$E501=F83))"),"#N/A")</f>
        <v>#N/A</v>
      </c>
    </row>
    <row r="84">
      <c r="A84" s="4"/>
      <c r="B84" s="4"/>
      <c r="C84" s="4" t="s">
        <v>2226</v>
      </c>
      <c r="D84" s="8" t="str">
        <f t="shared" si="1"/>
        <v>{"valorA":"mouse de computador","valorB":2}</v>
      </c>
      <c r="E84" s="8" t="str">
        <f t="shared" si="2"/>
        <v>mouse de computador</v>
      </c>
      <c r="F84" s="8"/>
      <c r="G84" s="15" t="str">
        <f t="shared" si="3"/>
        <v>2</v>
      </c>
      <c r="H84" s="9">
        <f t="shared" si="4"/>
        <v>2</v>
      </c>
      <c r="I84" s="6" t="str">
        <f>IFERROR(__xludf.DUMMYFUNCTION("MAX(FILTER($H$2:$H501,$E$2:$E501=F84))"),"#N/A")</f>
        <v>#N/A</v>
      </c>
    </row>
    <row r="85">
      <c r="A85" s="4"/>
      <c r="B85" s="4"/>
      <c r="C85" s="4" t="s">
        <v>2231</v>
      </c>
      <c r="D85" s="8" t="str">
        <f t="shared" si="1"/>
        <v>{"valorA":"liquidificador","valorB":7}</v>
      </c>
      <c r="E85" s="8" t="str">
        <f t="shared" si="2"/>
        <v>liquidificador</v>
      </c>
      <c r="F85" s="8"/>
      <c r="G85" s="15" t="str">
        <f t="shared" si="3"/>
        <v>7</v>
      </c>
      <c r="H85" s="9">
        <f t="shared" si="4"/>
        <v>7</v>
      </c>
      <c r="I85" s="6" t="str">
        <f>IFERROR(__xludf.DUMMYFUNCTION("MAX(FILTER($H$2:$H501,$E$2:$E501=F85))"),"#N/A")</f>
        <v>#N/A</v>
      </c>
    </row>
    <row r="86">
      <c r="A86" s="4"/>
      <c r="B86" s="4"/>
      <c r="C86" s="4" t="s">
        <v>2196</v>
      </c>
      <c r="D86" s="8" t="str">
        <f t="shared" si="1"/>
        <v>{"valorA":"carregador de computador","valorB":2}</v>
      </c>
      <c r="E86" s="8" t="str">
        <f t="shared" si="2"/>
        <v>carregador de computador</v>
      </c>
      <c r="F86" s="8"/>
      <c r="G86" s="15" t="str">
        <f t="shared" si="3"/>
        <v>2</v>
      </c>
      <c r="H86" s="9">
        <f t="shared" si="4"/>
        <v>2</v>
      </c>
      <c r="I86" s="6" t="str">
        <f>IFERROR(__xludf.DUMMYFUNCTION("MAX(FILTER($H$2:$H501,$E$2:$E501=F86))"),"#N/A")</f>
        <v>#N/A</v>
      </c>
    </row>
    <row r="87">
      <c r="A87" s="4"/>
      <c r="B87" s="4"/>
      <c r="C87" s="4" t="s">
        <v>2235</v>
      </c>
      <c r="D87" s="8" t="str">
        <f t="shared" si="1"/>
        <v>{"valorA":"mouse de computador","valorB":3}</v>
      </c>
      <c r="E87" s="8" t="str">
        <f t="shared" si="2"/>
        <v>mouse de computador</v>
      </c>
      <c r="F87" s="8"/>
      <c r="G87" s="15" t="str">
        <f t="shared" si="3"/>
        <v>3</v>
      </c>
      <c r="H87" s="9">
        <f t="shared" si="4"/>
        <v>3</v>
      </c>
      <c r="I87" s="6" t="str">
        <f>IFERROR(__xludf.DUMMYFUNCTION("MAX(FILTER($H$2:$H501,$E$2:$E501=F87))"),"#N/A")</f>
        <v>#N/A</v>
      </c>
    </row>
    <row r="88">
      <c r="A88" s="4"/>
      <c r="B88" s="4"/>
      <c r="C88" s="4" t="s">
        <v>1666</v>
      </c>
      <c r="D88" s="8" t="str">
        <f t="shared" si="1"/>
        <v>{"valorA":"freezer","valorB":8}</v>
      </c>
      <c r="E88" s="8" t="str">
        <f t="shared" si="2"/>
        <v>freezer</v>
      </c>
      <c r="F88" s="8"/>
      <c r="G88" s="15" t="str">
        <f t="shared" si="3"/>
        <v>8</v>
      </c>
      <c r="H88" s="9">
        <f t="shared" si="4"/>
        <v>8</v>
      </c>
      <c r="I88" s="6" t="str">
        <f>IFERROR(__xludf.DUMMYFUNCTION("MAX(FILTER($H$2:$H501,$E$2:$E501=F88))"),"#N/A")</f>
        <v>#N/A</v>
      </c>
    </row>
    <row r="89">
      <c r="A89" s="4"/>
      <c r="B89" s="4"/>
      <c r="C89" s="4" t="s">
        <v>1700</v>
      </c>
      <c r="D89" s="8" t="str">
        <f t="shared" si="1"/>
        <v>{"valorA":"ar condicionado","valorB":5}</v>
      </c>
      <c r="E89" s="8" t="str">
        <f t="shared" si="2"/>
        <v>ar condicionado</v>
      </c>
      <c r="F89" s="8"/>
      <c r="G89" s="15" t="str">
        <f t="shared" si="3"/>
        <v>5</v>
      </c>
      <c r="H89" s="9">
        <f t="shared" si="4"/>
        <v>5</v>
      </c>
      <c r="I89" s="6" t="str">
        <f>IFERROR(__xludf.DUMMYFUNCTION("MAX(FILTER($H$2:$H501,$E$2:$E501=F89))"),"#N/A")</f>
        <v>#N/A</v>
      </c>
    </row>
    <row r="90">
      <c r="A90" s="4"/>
      <c r="B90" s="4"/>
      <c r="C90" s="4" t="s">
        <v>2237</v>
      </c>
      <c r="D90" s="8" t="str">
        <f t="shared" si="1"/>
        <v>{"valorA":"liquidificador","valorB":8}</v>
      </c>
      <c r="E90" s="8" t="str">
        <f t="shared" si="2"/>
        <v>liquidificador</v>
      </c>
      <c r="F90" s="8"/>
      <c r="G90" s="15" t="str">
        <f t="shared" si="3"/>
        <v>8</v>
      </c>
      <c r="H90" s="9">
        <f t="shared" si="4"/>
        <v>8</v>
      </c>
      <c r="I90" s="6" t="str">
        <f>IFERROR(__xludf.DUMMYFUNCTION("MAX(FILTER($H$2:$H501,$E$2:$E501=F90))"),"#N/A")</f>
        <v>#N/A</v>
      </c>
    </row>
    <row r="91">
      <c r="A91" s="4"/>
      <c r="B91" s="4"/>
      <c r="C91" s="4" t="s">
        <v>1702</v>
      </c>
      <c r="D91" s="8" t="str">
        <f t="shared" si="1"/>
        <v>{"valorA":"ar condicionado","valorB":6}</v>
      </c>
      <c r="E91" s="8" t="str">
        <f t="shared" si="2"/>
        <v>ar condicionado</v>
      </c>
      <c r="F91" s="8"/>
      <c r="G91" s="15" t="str">
        <f t="shared" si="3"/>
        <v>6</v>
      </c>
      <c r="H91" s="9">
        <f t="shared" si="4"/>
        <v>6</v>
      </c>
      <c r="I91" s="6" t="str">
        <f>IFERROR(__xludf.DUMMYFUNCTION("MAX(FILTER($H$2:$H501,$E$2:$E501=F91))"),"#N/A")</f>
        <v>#N/A</v>
      </c>
    </row>
    <row r="92">
      <c r="A92" s="4"/>
      <c r="B92" s="4"/>
      <c r="C92" s="4" t="s">
        <v>2298</v>
      </c>
      <c r="D92" s="8" t="str">
        <f t="shared" si="1"/>
        <v>{"valorA":"filtro de linha","valorB":7}</v>
      </c>
      <c r="E92" s="8" t="str">
        <f t="shared" si="2"/>
        <v>filtro de linha</v>
      </c>
      <c r="F92" s="8"/>
      <c r="G92" s="15" t="str">
        <f t="shared" si="3"/>
        <v>7</v>
      </c>
      <c r="H92" s="9">
        <f t="shared" si="4"/>
        <v>7</v>
      </c>
      <c r="I92" s="6" t="str">
        <f>IFERROR(__xludf.DUMMYFUNCTION("MAX(FILTER($H$2:$H501,$E$2:$E501=F92))"),"#N/A")</f>
        <v>#N/A</v>
      </c>
    </row>
    <row r="93">
      <c r="A93" s="4"/>
      <c r="B93" s="4"/>
      <c r="C93" s="4" t="s">
        <v>2304</v>
      </c>
      <c r="D93" s="8" t="str">
        <f t="shared" si="1"/>
        <v>{"valorA":"roteador","valorB":6}</v>
      </c>
      <c r="E93" s="8" t="str">
        <f t="shared" si="2"/>
        <v>roteador</v>
      </c>
      <c r="F93" s="8"/>
      <c r="G93" s="15" t="str">
        <f t="shared" si="3"/>
        <v>6</v>
      </c>
      <c r="H93" s="9">
        <f t="shared" si="4"/>
        <v>6</v>
      </c>
      <c r="I93" s="6" t="str">
        <f>IFERROR(__xludf.DUMMYFUNCTION("MAX(FILTER($H$2:$H501,$E$2:$E501=F93))"),"#N/A")</f>
        <v>#N/A</v>
      </c>
    </row>
    <row r="94">
      <c r="A94" s="4"/>
      <c r="B94" s="4"/>
      <c r="C94" s="4" t="s">
        <v>2268</v>
      </c>
      <c r="D94" s="8" t="str">
        <f t="shared" si="1"/>
        <v>{"valorA":"aspirador","valorB":6}</v>
      </c>
      <c r="E94" s="8" t="str">
        <f t="shared" si="2"/>
        <v>aspirador</v>
      </c>
      <c r="F94" s="8"/>
      <c r="G94" s="15" t="str">
        <f t="shared" si="3"/>
        <v>6</v>
      </c>
      <c r="H94" s="9">
        <f t="shared" si="4"/>
        <v>6</v>
      </c>
      <c r="I94" s="6" t="str">
        <f>IFERROR(__xludf.DUMMYFUNCTION("MAX(FILTER($H$2:$H501,$E$2:$E501=F94))"),"#N/A")</f>
        <v>#N/A</v>
      </c>
    </row>
    <row r="95">
      <c r="A95" s="4"/>
      <c r="B95" s="4"/>
      <c r="C95" s="4" t="s">
        <v>1667</v>
      </c>
      <c r="D95" s="8" t="str">
        <f t="shared" si="1"/>
        <v>{"valorA":"freezer","valorB":9}</v>
      </c>
      <c r="E95" s="8" t="str">
        <f t="shared" si="2"/>
        <v>freezer</v>
      </c>
      <c r="F95" s="8"/>
      <c r="G95" s="15" t="str">
        <f t="shared" si="3"/>
        <v>9</v>
      </c>
      <c r="H95" s="9">
        <f t="shared" si="4"/>
        <v>9</v>
      </c>
      <c r="I95" s="6" t="str">
        <f>IFERROR(__xludf.DUMMYFUNCTION("MAX(FILTER($H$2:$H501,$E$2:$E501=F95))"),"#N/A")</f>
        <v>#N/A</v>
      </c>
    </row>
    <row r="96">
      <c r="A96" s="4"/>
      <c r="B96" s="4"/>
      <c r="C96" s="4" t="s">
        <v>2277</v>
      </c>
      <c r="D96" s="8" t="str">
        <f t="shared" si="1"/>
        <v>{"valorA":"mouse de computador","valorB":4}</v>
      </c>
      <c r="E96" s="8" t="str">
        <f t="shared" si="2"/>
        <v>mouse de computador</v>
      </c>
      <c r="F96" s="8"/>
      <c r="G96" s="15" t="str">
        <f t="shared" si="3"/>
        <v>4</v>
      </c>
      <c r="H96" s="9">
        <f t="shared" si="4"/>
        <v>4</v>
      </c>
      <c r="I96" s="6" t="str">
        <f>IFERROR(__xludf.DUMMYFUNCTION("MAX(FILTER($H$2:$H501,$E$2:$E501=F96))"),"#N/A")</f>
        <v>#N/A</v>
      </c>
    </row>
    <row r="97">
      <c r="A97" s="4"/>
      <c r="B97" s="4"/>
      <c r="C97" s="4" t="s">
        <v>1694</v>
      </c>
      <c r="D97" s="8" t="str">
        <f t="shared" si="1"/>
        <v>{"valorA":"microondas","valorB":2}</v>
      </c>
      <c r="E97" s="8" t="str">
        <f t="shared" si="2"/>
        <v>microondas</v>
      </c>
      <c r="F97" s="8"/>
      <c r="G97" s="15" t="str">
        <f t="shared" si="3"/>
        <v>2</v>
      </c>
      <c r="H97" s="9">
        <f t="shared" si="4"/>
        <v>2</v>
      </c>
      <c r="I97" s="6" t="str">
        <f>IFERROR(__xludf.DUMMYFUNCTION("MAX(FILTER($H$2:$H501,$E$2:$E501=F97))"),"#N/A")</f>
        <v>#N/A</v>
      </c>
    </row>
    <row r="98">
      <c r="A98" s="4"/>
      <c r="B98" s="4"/>
      <c r="C98" s="4" t="s">
        <v>1668</v>
      </c>
      <c r="D98" s="8" t="str">
        <f t="shared" si="1"/>
        <v>{"valorA":"freezer","valorB":10}</v>
      </c>
      <c r="E98" s="8" t="str">
        <f t="shared" si="2"/>
        <v>freezer</v>
      </c>
      <c r="F98" s="8"/>
      <c r="G98" s="15" t="str">
        <f t="shared" si="3"/>
        <v>10</v>
      </c>
      <c r="H98" s="9">
        <f t="shared" si="4"/>
        <v>10</v>
      </c>
      <c r="I98" s="6" t="str">
        <f>IFERROR(__xludf.DUMMYFUNCTION("MAX(FILTER($H$2:$H501,$E$2:$E501=F98))"),"#N/A")</f>
        <v>#N/A</v>
      </c>
    </row>
    <row r="99">
      <c r="A99" s="4"/>
      <c r="B99" s="4"/>
      <c r="C99" s="4" t="s">
        <v>1669</v>
      </c>
      <c r="D99" s="8" t="str">
        <f t="shared" si="1"/>
        <v>{"valorA":"freezer","valorB":11}</v>
      </c>
      <c r="E99" s="8" t="str">
        <f t="shared" si="2"/>
        <v>freezer</v>
      </c>
      <c r="F99" s="8"/>
      <c r="G99" s="15" t="str">
        <f t="shared" si="3"/>
        <v>11</v>
      </c>
      <c r="H99" s="9">
        <f t="shared" si="4"/>
        <v>11</v>
      </c>
      <c r="I99" s="6" t="str">
        <f>IFERROR(__xludf.DUMMYFUNCTION("MAX(FILTER($H$2:$H501,$E$2:$E501=F99))"),"#N/A")</f>
        <v>#N/A</v>
      </c>
    </row>
    <row r="100">
      <c r="A100" s="4"/>
      <c r="B100" s="4"/>
      <c r="C100" s="4" t="s">
        <v>2274</v>
      </c>
      <c r="D100" s="8" t="str">
        <f t="shared" si="1"/>
        <v>{"valorA":"carregador de celular","valorB":5}</v>
      </c>
      <c r="E100" s="8" t="str">
        <f t="shared" si="2"/>
        <v>carregador de celular</v>
      </c>
      <c r="F100" s="8"/>
      <c r="G100" s="15" t="str">
        <f t="shared" si="3"/>
        <v>5</v>
      </c>
      <c r="H100" s="9">
        <f t="shared" si="4"/>
        <v>5</v>
      </c>
      <c r="I100" s="6" t="str">
        <f>IFERROR(__xludf.DUMMYFUNCTION("MAX(FILTER($H$2:$H501,$E$2:$E501=F100))"),"#N/A")</f>
        <v>#N/A</v>
      </c>
    </row>
    <row r="101">
      <c r="A101" s="4"/>
      <c r="B101" s="4"/>
      <c r="C101" s="4" t="s">
        <v>2250</v>
      </c>
      <c r="D101" s="8" t="str">
        <f t="shared" si="1"/>
        <v>{"valorA":"liquidificador","valorB":9}</v>
      </c>
      <c r="E101" s="8" t="str">
        <f t="shared" si="2"/>
        <v>liquidificador</v>
      </c>
      <c r="F101" s="8"/>
      <c r="G101" s="15" t="str">
        <f t="shared" si="3"/>
        <v>9</v>
      </c>
      <c r="H101" s="9">
        <f t="shared" si="4"/>
        <v>9</v>
      </c>
      <c r="I101" s="6" t="str">
        <f>IFERROR(__xludf.DUMMYFUNCTION("MAX(FILTER($H$2:$H501,$E$2:$E501=F101))"),"#N/A")</f>
        <v>#N/A</v>
      </c>
    </row>
    <row r="102">
      <c r="A102" s="4"/>
      <c r="B102" s="4"/>
      <c r="C102" s="4" t="s">
        <v>2199</v>
      </c>
      <c r="D102" s="8" t="str">
        <f t="shared" si="1"/>
        <v>{"valorA":"ventilador","valorB":3}</v>
      </c>
      <c r="E102" s="8" t="str">
        <f t="shared" si="2"/>
        <v>ventilador</v>
      </c>
      <c r="F102" s="8"/>
      <c r="G102" s="15" t="str">
        <f t="shared" si="3"/>
        <v>3</v>
      </c>
      <c r="H102" s="9">
        <f t="shared" si="4"/>
        <v>3</v>
      </c>
      <c r="I102" s="6" t="str">
        <f>IFERROR(__xludf.DUMMYFUNCTION("MAX(FILTER($H$2:$H501,$E$2:$E501=F102))"),"#N/A")</f>
        <v>#N/A</v>
      </c>
    </row>
    <row r="103">
      <c r="A103" s="4"/>
      <c r="B103" s="4"/>
      <c r="C103" s="4" t="s">
        <v>2280</v>
      </c>
      <c r="D103" s="8" t="str">
        <f t="shared" si="1"/>
        <v>{"valorA":"aspirador","valorB":7}</v>
      </c>
      <c r="E103" s="8" t="str">
        <f t="shared" si="2"/>
        <v>aspirador</v>
      </c>
      <c r="F103" s="8"/>
      <c r="G103" s="15" t="str">
        <f t="shared" si="3"/>
        <v>7</v>
      </c>
      <c r="H103" s="9">
        <f t="shared" si="4"/>
        <v>7</v>
      </c>
      <c r="I103" s="6" t="str">
        <f>IFERROR(__xludf.DUMMYFUNCTION("MAX(FILTER($H$2:$H501,$E$2:$E501=F103))"),"#N/A")</f>
        <v>#N/A</v>
      </c>
    </row>
    <row r="104">
      <c r="A104" s="4"/>
      <c r="B104" s="4"/>
      <c r="C104" s="4" t="s">
        <v>2288</v>
      </c>
      <c r="D104" s="8" t="str">
        <f t="shared" si="1"/>
        <v>{"valorA":"aspirador","valorB":8}</v>
      </c>
      <c r="E104" s="8" t="str">
        <f t="shared" si="2"/>
        <v>aspirador</v>
      </c>
      <c r="F104" s="8"/>
      <c r="G104" s="15" t="str">
        <f t="shared" si="3"/>
        <v>8</v>
      </c>
      <c r="H104" s="9">
        <f t="shared" si="4"/>
        <v>8</v>
      </c>
      <c r="I104" s="6" t="str">
        <f>IFERROR(__xludf.DUMMYFUNCTION("MAX(FILTER($H$2:$H501,$E$2:$E501=F104))"),"#N/A")</f>
        <v>#N/A</v>
      </c>
    </row>
    <row r="105">
      <c r="A105" s="4"/>
      <c r="B105" s="4"/>
      <c r="C105" s="4" t="s">
        <v>2207</v>
      </c>
      <c r="D105" s="8" t="str">
        <f t="shared" si="1"/>
        <v>{"valorA":"ventilador","valorB":4}</v>
      </c>
      <c r="E105" s="8" t="str">
        <f t="shared" si="2"/>
        <v>ventilador</v>
      </c>
      <c r="F105" s="8"/>
      <c r="G105" s="15" t="str">
        <f t="shared" si="3"/>
        <v>4</v>
      </c>
      <c r="H105" s="9">
        <f t="shared" si="4"/>
        <v>4</v>
      </c>
      <c r="I105" s="6" t="str">
        <f>IFERROR(__xludf.DUMMYFUNCTION("MAX(FILTER($H$2:$H501,$E$2:$E501=F105))"),"#N/A")</f>
        <v>#N/A</v>
      </c>
    </row>
    <row r="106">
      <c r="A106" s="4"/>
      <c r="B106" s="4"/>
      <c r="C106" s="4" t="s">
        <v>2281</v>
      </c>
      <c r="D106" s="8" t="str">
        <f t="shared" si="1"/>
        <v>{"valorA":"mouse de computador","valorB":5}</v>
      </c>
      <c r="E106" s="8" t="str">
        <f t="shared" si="2"/>
        <v>mouse de computador</v>
      </c>
      <c r="F106" s="8"/>
      <c r="G106" s="15" t="str">
        <f t="shared" si="3"/>
        <v>5</v>
      </c>
      <c r="H106" s="9">
        <f t="shared" si="4"/>
        <v>5</v>
      </c>
      <c r="I106" s="6" t="str">
        <f>IFERROR(__xludf.DUMMYFUNCTION("MAX(FILTER($H$2:$H501,$E$2:$E501=F106))"),"#N/A")</f>
        <v>#N/A</v>
      </c>
    </row>
    <row r="107">
      <c r="A107" s="4"/>
      <c r="B107" s="4"/>
      <c r="C107" s="4" t="s">
        <v>2225</v>
      </c>
      <c r="D107" s="8" t="str">
        <f t="shared" si="1"/>
        <v>{"valorA":"ventilador","valorB":5}</v>
      </c>
      <c r="E107" s="8" t="str">
        <f t="shared" si="2"/>
        <v>ventilador</v>
      </c>
      <c r="F107" s="8"/>
      <c r="G107" s="15" t="str">
        <f t="shared" si="3"/>
        <v>5</v>
      </c>
      <c r="H107" s="9">
        <f t="shared" si="4"/>
        <v>5</v>
      </c>
      <c r="I107" s="6" t="str">
        <f>IFERROR(__xludf.DUMMYFUNCTION("MAX(FILTER($H$2:$H501,$E$2:$E501=F107))"),"#N/A")</f>
        <v>#N/A</v>
      </c>
    </row>
    <row r="108">
      <c r="A108" s="4"/>
      <c r="B108" s="4"/>
      <c r="C108" s="4" t="s">
        <v>2204</v>
      </c>
      <c r="D108" s="8" t="str">
        <f t="shared" si="1"/>
        <v>{"valorA":"chuveiro elétrico","valorB":6}</v>
      </c>
      <c r="E108" s="8" t="str">
        <f t="shared" si="2"/>
        <v>chuveiro elétrico</v>
      </c>
      <c r="F108" s="8"/>
      <c r="G108" s="15" t="str">
        <f t="shared" si="3"/>
        <v>6</v>
      </c>
      <c r="H108" s="9">
        <f t="shared" si="4"/>
        <v>6</v>
      </c>
      <c r="I108" s="6" t="str">
        <f>IFERROR(__xludf.DUMMYFUNCTION("MAX(FILTER($H$2:$H501,$E$2:$E501=F108))"),"#N/A")</f>
        <v>#N/A</v>
      </c>
    </row>
    <row r="109">
      <c r="A109" s="4"/>
      <c r="B109" s="4"/>
      <c r="C109" s="4" t="s">
        <v>1696</v>
      </c>
      <c r="D109" s="8" t="str">
        <f t="shared" si="1"/>
        <v>{"valorA":"microondas","valorB":3}</v>
      </c>
      <c r="E109" s="8" t="str">
        <f t="shared" si="2"/>
        <v>microondas</v>
      </c>
      <c r="F109" s="8"/>
      <c r="G109" s="15" t="str">
        <f t="shared" si="3"/>
        <v>3</v>
      </c>
      <c r="H109" s="9">
        <f t="shared" si="4"/>
        <v>3</v>
      </c>
      <c r="I109" s="6" t="str">
        <f>IFERROR(__xludf.DUMMYFUNCTION("MAX(FILTER($H$2:$H501,$E$2:$E501=F109))"),"#N/A")</f>
        <v>#N/A</v>
      </c>
    </row>
    <row r="110">
      <c r="A110" s="4"/>
      <c r="B110" s="4"/>
      <c r="C110" s="4" t="s">
        <v>1699</v>
      </c>
      <c r="D110" s="8" t="str">
        <f t="shared" si="1"/>
        <v>{"valorA":"microondas","valorB":4}</v>
      </c>
      <c r="E110" s="8" t="str">
        <f t="shared" si="2"/>
        <v>microondas</v>
      </c>
      <c r="F110" s="8"/>
      <c r="G110" s="15" t="str">
        <f t="shared" si="3"/>
        <v>4</v>
      </c>
      <c r="H110" s="9">
        <f t="shared" si="4"/>
        <v>4</v>
      </c>
      <c r="I110" s="6" t="str">
        <f>IFERROR(__xludf.DUMMYFUNCTION("MAX(FILTER($H$2:$H501,$E$2:$E501=F110))"),"#N/A")</f>
        <v>#N/A</v>
      </c>
    </row>
    <row r="111">
      <c r="A111" s="4"/>
      <c r="B111" s="4"/>
      <c r="C111" s="4" t="s">
        <v>2251</v>
      </c>
      <c r="D111" s="8" t="str">
        <f t="shared" si="1"/>
        <v>{"valorA":"teclado de computador","valorB":4}</v>
      </c>
      <c r="E111" s="8" t="str">
        <f t="shared" si="2"/>
        <v>teclado de computador</v>
      </c>
      <c r="F111" s="8"/>
      <c r="G111" s="15" t="str">
        <f t="shared" si="3"/>
        <v>4</v>
      </c>
      <c r="H111" s="9">
        <f t="shared" si="4"/>
        <v>4</v>
      </c>
      <c r="I111" s="6" t="str">
        <f>IFERROR(__xludf.DUMMYFUNCTION("MAX(FILTER($H$2:$H501,$E$2:$E501=F111))"),"#N/A")</f>
        <v>#N/A</v>
      </c>
    </row>
    <row r="112">
      <c r="A112" s="4"/>
      <c r="B112" s="4"/>
      <c r="C112" s="4" t="s">
        <v>2289</v>
      </c>
      <c r="D112" s="8" t="str">
        <f t="shared" si="1"/>
        <v>{"valorA":"aspirador","valorB":9}</v>
      </c>
      <c r="E112" s="8" t="str">
        <f t="shared" si="2"/>
        <v>aspirador</v>
      </c>
      <c r="F112" s="8"/>
      <c r="G112" s="15" t="str">
        <f t="shared" si="3"/>
        <v>9</v>
      </c>
      <c r="H112" s="9">
        <f t="shared" si="4"/>
        <v>9</v>
      </c>
      <c r="I112" s="6" t="str">
        <f>IFERROR(__xludf.DUMMYFUNCTION("MAX(FILTER($H$2:$H501,$E$2:$E501=F112))"),"#N/A")</f>
        <v>#N/A</v>
      </c>
    </row>
    <row r="113">
      <c r="A113" s="4"/>
      <c r="B113" s="4"/>
      <c r="C113" s="4" t="s">
        <v>2347</v>
      </c>
      <c r="D113" s="8" t="str">
        <f t="shared" si="1"/>
        <v>{"valorA":"celular","valorB":9}</v>
      </c>
      <c r="E113" s="8" t="str">
        <f t="shared" si="2"/>
        <v>celular</v>
      </c>
      <c r="F113" s="8"/>
      <c r="G113" s="15" t="str">
        <f t="shared" si="3"/>
        <v>9</v>
      </c>
      <c r="H113" s="9">
        <f t="shared" si="4"/>
        <v>9</v>
      </c>
      <c r="I113" s="6" t="str">
        <f>IFERROR(__xludf.DUMMYFUNCTION("MAX(FILTER($H$2:$H501,$E$2:$E501=F113))"),"#N/A")</f>
        <v>#N/A</v>
      </c>
    </row>
    <row r="114">
      <c r="A114" s="4"/>
      <c r="B114" s="4"/>
      <c r="C114" s="4" t="s">
        <v>1705</v>
      </c>
      <c r="D114" s="8" t="str">
        <f t="shared" si="1"/>
        <v>{"valorA":"ar condicionado","valorB":7}</v>
      </c>
      <c r="E114" s="8" t="str">
        <f t="shared" si="2"/>
        <v>ar condicionado</v>
      </c>
      <c r="F114" s="8"/>
      <c r="G114" s="15" t="str">
        <f t="shared" si="3"/>
        <v>7</v>
      </c>
      <c r="H114" s="9">
        <f t="shared" si="4"/>
        <v>7</v>
      </c>
      <c r="I114" s="6" t="str">
        <f>IFERROR(__xludf.DUMMYFUNCTION("MAX(FILTER($H$2:$H501,$E$2:$E501=F114))"),"#N/A")</f>
        <v>#N/A</v>
      </c>
    </row>
    <row r="115">
      <c r="A115" s="4"/>
      <c r="B115" s="4"/>
      <c r="C115" s="4" t="s">
        <v>2276</v>
      </c>
      <c r="D115" s="8" t="str">
        <f t="shared" si="1"/>
        <v>{"valorA":"carregador de celular","valorB":6}</v>
      </c>
      <c r="E115" s="8" t="str">
        <f t="shared" si="2"/>
        <v>carregador de celular</v>
      </c>
      <c r="F115" s="8"/>
      <c r="G115" s="15" t="str">
        <f t="shared" si="3"/>
        <v>6</v>
      </c>
      <c r="H115" s="9">
        <f t="shared" si="4"/>
        <v>6</v>
      </c>
      <c r="I115" s="6" t="str">
        <f>IFERROR(__xludf.DUMMYFUNCTION("MAX(FILTER($H$2:$H501,$E$2:$E501=F115))"),"#N/A")</f>
        <v>#N/A</v>
      </c>
    </row>
    <row r="116">
      <c r="A116" s="4"/>
      <c r="B116" s="4"/>
      <c r="C116" s="4" t="s">
        <v>2290</v>
      </c>
      <c r="D116" s="8" t="str">
        <f t="shared" si="1"/>
        <v>{"valorA":"aspirador","valorB":10}</v>
      </c>
      <c r="E116" s="8" t="str">
        <f t="shared" si="2"/>
        <v>aspirador</v>
      </c>
      <c r="F116" s="8"/>
      <c r="G116" s="15" t="str">
        <f t="shared" si="3"/>
        <v>10</v>
      </c>
      <c r="H116" s="9">
        <f t="shared" si="4"/>
        <v>10</v>
      </c>
      <c r="I116" s="6" t="str">
        <f>IFERROR(__xludf.DUMMYFUNCTION("MAX(FILTER($H$2:$H501,$E$2:$E501=F116))"),"#N/A")</f>
        <v>#N/A</v>
      </c>
    </row>
    <row r="117">
      <c r="A117" s="4"/>
      <c r="B117" s="4"/>
      <c r="C117" s="4" t="s">
        <v>2241</v>
      </c>
      <c r="D117" s="8" t="str">
        <f t="shared" si="1"/>
        <v>{"valorA":"carregador de computador","valorB":3}</v>
      </c>
      <c r="E117" s="8" t="str">
        <f t="shared" si="2"/>
        <v>carregador de computador</v>
      </c>
      <c r="F117" s="8"/>
      <c r="G117" s="15" t="str">
        <f t="shared" si="3"/>
        <v>3</v>
      </c>
      <c r="H117" s="9">
        <f t="shared" si="4"/>
        <v>3</v>
      </c>
      <c r="I117" s="6" t="str">
        <f>IFERROR(__xludf.DUMMYFUNCTION("MAX(FILTER($H$2:$H501,$E$2:$E501=F117))"),"#N/A")</f>
        <v>#N/A</v>
      </c>
    </row>
    <row r="118">
      <c r="A118" s="4"/>
      <c r="B118" s="4"/>
      <c r="C118" s="4" t="s">
        <v>2215</v>
      </c>
      <c r="D118" s="8" t="str">
        <f t="shared" si="1"/>
        <v>{"valorA":"lustre","valorB":3}</v>
      </c>
      <c r="E118" s="8" t="str">
        <f t="shared" si="2"/>
        <v>lustre</v>
      </c>
      <c r="F118" s="8"/>
      <c r="G118" s="15" t="str">
        <f t="shared" si="3"/>
        <v>3</v>
      </c>
      <c r="H118" s="9">
        <f t="shared" si="4"/>
        <v>3</v>
      </c>
      <c r="I118" s="6" t="str">
        <f>IFERROR(__xludf.DUMMYFUNCTION("MAX(FILTER($H$2:$H501,$E$2:$E501=F118))"),"#N/A")</f>
        <v>#N/A</v>
      </c>
    </row>
    <row r="119">
      <c r="A119" s="4"/>
      <c r="B119" s="4"/>
      <c r="C119" s="4" t="s">
        <v>2244</v>
      </c>
      <c r="D119" s="8" t="str">
        <f t="shared" si="1"/>
        <v>{"valorA":"relógio","valorB":7}</v>
      </c>
      <c r="E119" s="8" t="str">
        <f t="shared" si="2"/>
        <v>relógio</v>
      </c>
      <c r="F119" s="8"/>
      <c r="G119" s="15" t="str">
        <f t="shared" si="3"/>
        <v>7</v>
      </c>
      <c r="H119" s="9">
        <f t="shared" si="4"/>
        <v>7</v>
      </c>
      <c r="I119" s="6" t="str">
        <f>IFERROR(__xludf.DUMMYFUNCTION("MAX(FILTER($H$2:$H501,$E$2:$E501=F119))"),"#N/A")</f>
        <v>#N/A</v>
      </c>
    </row>
    <row r="120">
      <c r="A120" s="4"/>
      <c r="B120" s="4"/>
      <c r="C120" s="4" t="s">
        <v>2297</v>
      </c>
      <c r="D120" s="8" t="str">
        <f t="shared" si="1"/>
        <v>{"valorA":"aspirador","valorB":11}</v>
      </c>
      <c r="E120" s="8" t="str">
        <f t="shared" si="2"/>
        <v>aspirador</v>
      </c>
      <c r="F120" s="8"/>
      <c r="G120" s="15" t="str">
        <f t="shared" si="3"/>
        <v>11</v>
      </c>
      <c r="H120" s="9">
        <f t="shared" si="4"/>
        <v>11</v>
      </c>
      <c r="I120" s="6" t="str">
        <f>IFERROR(__xludf.DUMMYFUNCTION("MAX(FILTER($H$2:$H501,$E$2:$E501=F120))"),"#N/A")</f>
        <v>#N/A</v>
      </c>
    </row>
    <row r="121">
      <c r="A121" s="4"/>
      <c r="B121" s="4"/>
      <c r="C121" s="4" t="s">
        <v>1706</v>
      </c>
      <c r="D121" s="8" t="str">
        <f t="shared" si="1"/>
        <v>{"valorA":"ar condicionado","valorB":8}</v>
      </c>
      <c r="E121" s="8" t="str">
        <f t="shared" si="2"/>
        <v>ar condicionado</v>
      </c>
      <c r="F121" s="8"/>
      <c r="G121" s="15" t="str">
        <f t="shared" si="3"/>
        <v>8</v>
      </c>
      <c r="H121" s="9">
        <f t="shared" si="4"/>
        <v>8</v>
      </c>
      <c r="I121" s="6" t="str">
        <f>IFERROR(__xludf.DUMMYFUNCTION("MAX(FILTER($H$2:$H501,$E$2:$E501=F121))"),"#N/A")</f>
        <v>#N/A</v>
      </c>
    </row>
    <row r="122">
      <c r="A122" s="4"/>
      <c r="B122" s="4"/>
      <c r="C122" s="4" t="s">
        <v>2275</v>
      </c>
      <c r="D122" s="8" t="str">
        <f t="shared" si="1"/>
        <v>{"valorA":"teclado de computador","valorB":5}</v>
      </c>
      <c r="E122" s="8" t="str">
        <f t="shared" si="2"/>
        <v>teclado de computador</v>
      </c>
      <c r="F122" s="8"/>
      <c r="G122" s="15" t="str">
        <f t="shared" si="3"/>
        <v>5</v>
      </c>
      <c r="H122" s="9">
        <f t="shared" si="4"/>
        <v>5</v>
      </c>
      <c r="I122" s="6" t="str">
        <f>IFERROR(__xludf.DUMMYFUNCTION("MAX(FILTER($H$2:$H501,$E$2:$E501=F122))"),"#N/A")</f>
        <v>#N/A</v>
      </c>
    </row>
    <row r="123">
      <c r="A123" s="4"/>
      <c r="B123" s="4"/>
      <c r="C123" s="4" t="s">
        <v>1707</v>
      </c>
      <c r="D123" s="8" t="str">
        <f t="shared" si="1"/>
        <v>{"valorA":"ar condicionado","valorB":9}</v>
      </c>
      <c r="E123" s="8" t="str">
        <f t="shared" si="2"/>
        <v>ar condicionado</v>
      </c>
      <c r="F123" s="8"/>
      <c r="G123" s="15" t="str">
        <f t="shared" si="3"/>
        <v>9</v>
      </c>
      <c r="H123" s="9">
        <f t="shared" si="4"/>
        <v>9</v>
      </c>
      <c r="I123" s="6" t="str">
        <f>IFERROR(__xludf.DUMMYFUNCTION("MAX(FILTER($H$2:$H501,$E$2:$E501=F123))"),"#N/A")</f>
        <v>#N/A</v>
      </c>
    </row>
    <row r="124">
      <c r="A124" s="4"/>
      <c r="B124" s="4"/>
      <c r="C124" s="4" t="s">
        <v>2305</v>
      </c>
      <c r="D124" s="8" t="str">
        <f t="shared" si="1"/>
        <v>{"valorA":"aspirador","valorB":12}</v>
      </c>
      <c r="E124" s="8" t="str">
        <f t="shared" si="2"/>
        <v>aspirador</v>
      </c>
      <c r="F124" s="8"/>
      <c r="G124" s="15" t="str">
        <f t="shared" si="3"/>
        <v>12</v>
      </c>
      <c r="H124" s="9">
        <f t="shared" si="4"/>
        <v>12</v>
      </c>
      <c r="I124" s="6" t="str">
        <f>IFERROR(__xludf.DUMMYFUNCTION("MAX(FILTER($H$2:$H501,$E$2:$E501=F124))"),"#N/A")</f>
        <v>#N/A</v>
      </c>
    </row>
    <row r="125">
      <c r="A125" s="4"/>
      <c r="B125" s="4"/>
      <c r="C125" s="4" t="s">
        <v>1709</v>
      </c>
      <c r="D125" s="8" t="str">
        <f t="shared" si="1"/>
        <v>{"valorA":"ar condicionado","valorB":10}</v>
      </c>
      <c r="E125" s="8" t="str">
        <f t="shared" si="2"/>
        <v>ar condicionado</v>
      </c>
      <c r="F125" s="8"/>
      <c r="G125" s="15" t="str">
        <f t="shared" si="3"/>
        <v>10</v>
      </c>
      <c r="H125" s="9">
        <f t="shared" si="4"/>
        <v>10</v>
      </c>
      <c r="I125" s="6" t="str">
        <f>IFERROR(__xludf.DUMMYFUNCTION("MAX(FILTER($H$2:$H501,$E$2:$E501=F125))"),"#N/A")</f>
        <v>#N/A</v>
      </c>
    </row>
    <row r="126">
      <c r="A126" s="4"/>
      <c r="B126" s="4"/>
      <c r="C126" s="4" t="s">
        <v>2256</v>
      </c>
      <c r="D126" s="8" t="str">
        <f t="shared" si="1"/>
        <v>{"valorA":"carregador de computador","valorB":4}</v>
      </c>
      <c r="E126" s="8" t="str">
        <f t="shared" si="2"/>
        <v>carregador de computador</v>
      </c>
      <c r="F126" s="8"/>
      <c r="G126" s="15" t="str">
        <f t="shared" si="3"/>
        <v>4</v>
      </c>
      <c r="H126" s="9">
        <f t="shared" si="4"/>
        <v>4</v>
      </c>
      <c r="I126" s="6" t="str">
        <f>IFERROR(__xludf.DUMMYFUNCTION("MAX(FILTER($H$2:$H501,$E$2:$E501=F126))"),"#N/A")</f>
        <v>#N/A</v>
      </c>
    </row>
    <row r="127">
      <c r="A127" s="4"/>
      <c r="B127" s="4"/>
      <c r="C127" s="4" t="s">
        <v>2300</v>
      </c>
      <c r="D127" s="8" t="str">
        <f t="shared" si="1"/>
        <v>{"valorA":"carregador de celular","valorB":7}</v>
      </c>
      <c r="E127" s="8" t="str">
        <f t="shared" si="2"/>
        <v>carregador de celular</v>
      </c>
      <c r="F127" s="8"/>
      <c r="G127" s="15" t="str">
        <f t="shared" si="3"/>
        <v>7</v>
      </c>
      <c r="H127" s="9">
        <f t="shared" si="4"/>
        <v>7</v>
      </c>
      <c r="I127" s="6" t="str">
        <f>IFERROR(__xludf.DUMMYFUNCTION("MAX(FILTER($H$2:$H501,$E$2:$E501=F127))"),"#N/A")</f>
        <v>#N/A</v>
      </c>
    </row>
    <row r="128">
      <c r="A128" s="4"/>
      <c r="B128" s="4"/>
      <c r="C128" s="4" t="s">
        <v>2234</v>
      </c>
      <c r="D128" s="8" t="str">
        <f t="shared" si="1"/>
        <v>{"valorA":"fogão","valorB":4}</v>
      </c>
      <c r="E128" s="8" t="str">
        <f t="shared" si="2"/>
        <v>fogão</v>
      </c>
      <c r="F128" s="8"/>
      <c r="G128" s="15" t="str">
        <f t="shared" si="3"/>
        <v>4</v>
      </c>
      <c r="H128" s="9">
        <f t="shared" si="4"/>
        <v>4</v>
      </c>
      <c r="I128" s="6" t="str">
        <f>IFERROR(__xludf.DUMMYFUNCTION("MAX(FILTER($H$2:$H501,$E$2:$E501=F128))"),"#N/A")</f>
        <v>#N/A</v>
      </c>
    </row>
    <row r="129">
      <c r="A129" s="4"/>
      <c r="B129" s="4"/>
      <c r="C129" s="4" t="s">
        <v>2318</v>
      </c>
      <c r="D129" s="8" t="str">
        <f t="shared" si="1"/>
        <v>{"valorA":"roteador","valorB":7}</v>
      </c>
      <c r="E129" s="8" t="str">
        <f t="shared" si="2"/>
        <v>roteador</v>
      </c>
      <c r="F129" s="8"/>
      <c r="G129" s="15" t="str">
        <f t="shared" si="3"/>
        <v>7</v>
      </c>
      <c r="H129" s="9">
        <f t="shared" si="4"/>
        <v>7</v>
      </c>
      <c r="I129" s="6" t="str">
        <f>IFERROR(__xludf.DUMMYFUNCTION("MAX(FILTER($H$2:$H501,$E$2:$E501=F129))"),"#N/A")</f>
        <v>#N/A</v>
      </c>
    </row>
    <row r="130">
      <c r="A130" s="4"/>
      <c r="B130" s="4"/>
      <c r="C130" s="4" t="s">
        <v>1701</v>
      </c>
      <c r="D130" s="8" t="str">
        <f t="shared" si="1"/>
        <v>{"valorA":"microondas","valorB":5}</v>
      </c>
      <c r="E130" s="8" t="str">
        <f t="shared" si="2"/>
        <v>microondas</v>
      </c>
      <c r="F130" s="8"/>
      <c r="G130" s="15" t="str">
        <f t="shared" si="3"/>
        <v>5</v>
      </c>
      <c r="H130" s="9">
        <f t="shared" si="4"/>
        <v>5</v>
      </c>
      <c r="I130" s="6" t="str">
        <f>IFERROR(__xludf.DUMMYFUNCTION("MAX(FILTER($H$2:$H501,$E$2:$E501=F130))"),"#N/A")</f>
        <v>#N/A</v>
      </c>
    </row>
    <row r="131">
      <c r="A131" s="4"/>
      <c r="B131" s="4"/>
      <c r="C131" s="4" t="s">
        <v>2342</v>
      </c>
      <c r="D131" s="8" t="str">
        <f t="shared" si="1"/>
        <v>{"valorA":"carregador de celular","valorB":8}</v>
      </c>
      <c r="E131" s="8" t="str">
        <f t="shared" si="2"/>
        <v>carregador de celular</v>
      </c>
      <c r="F131" s="8"/>
      <c r="G131" s="15" t="str">
        <f t="shared" si="3"/>
        <v>8</v>
      </c>
      <c r="H131" s="9">
        <f t="shared" si="4"/>
        <v>8</v>
      </c>
      <c r="I131" s="6" t="str">
        <f>IFERROR(__xludf.DUMMYFUNCTION("MAX(FILTER($H$2:$H501,$E$2:$E501=F131))"),"#N/A")</f>
        <v>#N/A</v>
      </c>
    </row>
    <row r="132">
      <c r="A132" s="4"/>
      <c r="B132" s="4"/>
      <c r="C132" s="4" t="s">
        <v>2213</v>
      </c>
      <c r="D132" s="8" t="str">
        <f t="shared" si="1"/>
        <v>{"valorA":"fone de ouvido","valorB":4}</v>
      </c>
      <c r="E132" s="8" t="str">
        <f t="shared" si="2"/>
        <v>fone de ouvido</v>
      </c>
      <c r="F132" s="8"/>
      <c r="G132" s="15" t="str">
        <f t="shared" si="3"/>
        <v>4</v>
      </c>
      <c r="H132" s="9">
        <f t="shared" si="4"/>
        <v>4</v>
      </c>
      <c r="I132" s="6" t="str">
        <f>IFERROR(__xludf.DUMMYFUNCTION("MAX(FILTER($H$2:$H501,$E$2:$E501=F132))"),"#N/A")</f>
        <v>#N/A</v>
      </c>
    </row>
    <row r="133">
      <c r="A133" s="4"/>
      <c r="B133" s="4"/>
      <c r="C133" s="4" t="s">
        <v>2240</v>
      </c>
      <c r="D133" s="8" t="str">
        <f t="shared" si="1"/>
        <v>{"valorA":"ventilador","valorB":6}</v>
      </c>
      <c r="E133" s="8" t="str">
        <f t="shared" si="2"/>
        <v>ventilador</v>
      </c>
      <c r="F133" s="8"/>
      <c r="G133" s="15" t="str">
        <f t="shared" si="3"/>
        <v>6</v>
      </c>
      <c r="H133" s="9">
        <f t="shared" si="4"/>
        <v>6</v>
      </c>
      <c r="I133" s="6" t="str">
        <f>IFERROR(__xludf.DUMMYFUNCTION("MAX(FILTER($H$2:$H501,$E$2:$E501=F133))"),"#N/A")</f>
        <v>#N/A</v>
      </c>
    </row>
    <row r="134">
      <c r="A134" s="4"/>
      <c r="B134" s="4"/>
      <c r="C134" s="4" t="s">
        <v>2245</v>
      </c>
      <c r="D134" s="8" t="str">
        <f t="shared" si="1"/>
        <v>{"valorA":"relógio","valorB":8}</v>
      </c>
      <c r="E134" s="8" t="str">
        <f t="shared" si="2"/>
        <v>relógio</v>
      </c>
      <c r="F134" s="8"/>
      <c r="G134" s="15" t="str">
        <f t="shared" si="3"/>
        <v>8</v>
      </c>
      <c r="H134" s="9">
        <f t="shared" si="4"/>
        <v>8</v>
      </c>
      <c r="I134" s="6" t="str">
        <f>IFERROR(__xludf.DUMMYFUNCTION("MAX(FILTER($H$2:$H501,$E$2:$E501=F134))"),"#N/A")</f>
        <v>#N/A</v>
      </c>
    </row>
    <row r="135">
      <c r="A135" s="4"/>
      <c r="B135" s="4"/>
      <c r="C135" s="4" t="s">
        <v>2306</v>
      </c>
      <c r="D135" s="8" t="str">
        <f t="shared" si="1"/>
        <v>{"valorA":"filtro de linha","valorB":8}</v>
      </c>
      <c r="E135" s="8" t="str">
        <f t="shared" si="2"/>
        <v>filtro de linha</v>
      </c>
      <c r="F135" s="8"/>
      <c r="G135" s="15" t="str">
        <f t="shared" si="3"/>
        <v>8</v>
      </c>
      <c r="H135" s="9">
        <f t="shared" si="4"/>
        <v>8</v>
      </c>
      <c r="I135" s="6" t="str">
        <f>IFERROR(__xludf.DUMMYFUNCTION("MAX(FILTER($H$2:$H501,$E$2:$E501=F135))"),"#N/A")</f>
        <v>#N/A</v>
      </c>
    </row>
    <row r="136">
      <c r="A136" s="4"/>
      <c r="B136" s="4"/>
      <c r="C136" s="4" t="s">
        <v>2260</v>
      </c>
      <c r="D136" s="8" t="str">
        <f t="shared" si="1"/>
        <v>{"valorA":"carregador de computador","valorB":5}</v>
      </c>
      <c r="E136" s="8" t="str">
        <f t="shared" si="2"/>
        <v>carregador de computador</v>
      </c>
      <c r="F136" s="8"/>
      <c r="G136" s="15" t="str">
        <f t="shared" si="3"/>
        <v>5</v>
      </c>
      <c r="H136" s="9">
        <f t="shared" si="4"/>
        <v>5</v>
      </c>
      <c r="I136" s="6" t="str">
        <f>IFERROR(__xludf.DUMMYFUNCTION("MAX(FILTER($H$2:$H501,$E$2:$E501=F136))"),"#N/A")</f>
        <v>#N/A</v>
      </c>
    </row>
    <row r="137">
      <c r="A137" s="4"/>
      <c r="B137" s="4"/>
      <c r="C137" s="4" t="s">
        <v>2219</v>
      </c>
      <c r="D137" s="8" t="str">
        <f t="shared" si="1"/>
        <v>{"valorA":"chuveiro elétrico","valorB":7}</v>
      </c>
      <c r="E137" s="8" t="str">
        <f t="shared" si="2"/>
        <v>chuveiro elétrico</v>
      </c>
      <c r="F137" s="8"/>
      <c r="G137" s="15" t="str">
        <f t="shared" si="3"/>
        <v>7</v>
      </c>
      <c r="H137" s="9">
        <f t="shared" si="4"/>
        <v>7</v>
      </c>
      <c r="I137" s="6" t="str">
        <f>IFERROR(__xludf.DUMMYFUNCTION("MAX(FILTER($H$2:$H501,$E$2:$E501=F137))"),"#N/A")</f>
        <v>#N/A</v>
      </c>
    </row>
    <row r="138">
      <c r="A138" s="4"/>
      <c r="B138" s="4"/>
      <c r="C138" s="4" t="s">
        <v>1703</v>
      </c>
      <c r="D138" s="8" t="str">
        <f t="shared" si="1"/>
        <v>{"valorA":"microondas","valorB":6}</v>
      </c>
      <c r="E138" s="8" t="str">
        <f t="shared" si="2"/>
        <v>microondas</v>
      </c>
      <c r="F138" s="8"/>
      <c r="G138" s="15" t="str">
        <f t="shared" si="3"/>
        <v>6</v>
      </c>
      <c r="H138" s="9">
        <f t="shared" si="4"/>
        <v>6</v>
      </c>
      <c r="I138" s="6" t="str">
        <f>IFERROR(__xludf.DUMMYFUNCTION("MAX(FILTER($H$2:$H501,$E$2:$E501=F138))"),"#N/A")</f>
        <v>#N/A</v>
      </c>
    </row>
    <row r="139">
      <c r="A139" s="4"/>
      <c r="B139" s="4"/>
      <c r="C139" s="4" t="s">
        <v>2295</v>
      </c>
      <c r="D139" s="8" t="str">
        <f t="shared" si="1"/>
        <v>{"valorA":"teclado de computador","valorB":6}</v>
      </c>
      <c r="E139" s="8" t="str">
        <f t="shared" si="2"/>
        <v>teclado de computador</v>
      </c>
      <c r="F139" s="8"/>
      <c r="G139" s="15" t="str">
        <f t="shared" si="3"/>
        <v>6</v>
      </c>
      <c r="H139" s="9">
        <f t="shared" si="4"/>
        <v>6</v>
      </c>
      <c r="I139" s="6" t="str">
        <f>IFERROR(__xludf.DUMMYFUNCTION("MAX(FILTER($H$2:$H501,$E$2:$E501=F139))"),"#N/A")</f>
        <v>#N/A</v>
      </c>
    </row>
    <row r="140">
      <c r="A140" s="4"/>
      <c r="B140" s="4"/>
      <c r="C140" s="4" t="s">
        <v>2313</v>
      </c>
      <c r="D140" s="8" t="str">
        <f t="shared" si="1"/>
        <v>{"valorA":"filtro de linha","valorB":9}</v>
      </c>
      <c r="E140" s="8" t="str">
        <f t="shared" si="2"/>
        <v>filtro de linha</v>
      </c>
      <c r="F140" s="8"/>
      <c r="G140" s="15" t="str">
        <f t="shared" si="3"/>
        <v>9</v>
      </c>
      <c r="H140" s="9">
        <f t="shared" si="4"/>
        <v>9</v>
      </c>
      <c r="I140" s="6" t="str">
        <f>IFERROR(__xludf.DUMMYFUNCTION("MAX(FILTER($H$2:$H501,$E$2:$E501=F140))"),"#N/A")</f>
        <v>#N/A</v>
      </c>
    </row>
    <row r="141">
      <c r="A141" s="4"/>
      <c r="B141" s="4"/>
      <c r="C141" s="4" t="s">
        <v>2238</v>
      </c>
      <c r="D141" s="8" t="str">
        <f t="shared" si="1"/>
        <v>{"valorA":"lustre","valorB":4}</v>
      </c>
      <c r="E141" s="8" t="str">
        <f t="shared" si="2"/>
        <v>lustre</v>
      </c>
      <c r="F141" s="8"/>
      <c r="G141" s="15" t="str">
        <f t="shared" si="3"/>
        <v>4</v>
      </c>
      <c r="H141" s="9">
        <f t="shared" si="4"/>
        <v>4</v>
      </c>
      <c r="I141" s="6" t="str">
        <f>IFERROR(__xludf.DUMMYFUNCTION("MAX(FILTER($H$2:$H501,$E$2:$E501=F141))"),"#N/A")</f>
        <v>#N/A</v>
      </c>
    </row>
    <row r="142">
      <c r="A142" s="4"/>
      <c r="B142" s="4"/>
      <c r="C142" s="4" t="s">
        <v>2338</v>
      </c>
      <c r="D142" s="8" t="str">
        <f t="shared" si="1"/>
        <v>{"valorA":"filtro de linha","valorB":10}</v>
      </c>
      <c r="E142" s="8" t="str">
        <f t="shared" si="2"/>
        <v>filtro de linha</v>
      </c>
      <c r="F142" s="8"/>
      <c r="G142" s="15" t="str">
        <f t="shared" si="3"/>
        <v>10</v>
      </c>
      <c r="H142" s="9">
        <f t="shared" si="4"/>
        <v>10</v>
      </c>
      <c r="I142" s="6" t="str">
        <f>IFERROR(__xludf.DUMMYFUNCTION("MAX(FILTER($H$2:$H501,$E$2:$E501=F142))"),"#N/A")</f>
        <v>#N/A</v>
      </c>
    </row>
    <row r="143">
      <c r="A143" s="4"/>
      <c r="B143" s="4"/>
      <c r="C143" s="4" t="s">
        <v>2285</v>
      </c>
      <c r="D143" s="8" t="str">
        <f t="shared" si="1"/>
        <v>{"valorA":"carregador de computador","valorB":6}</v>
      </c>
      <c r="E143" s="8" t="str">
        <f t="shared" si="2"/>
        <v>carregador de computador</v>
      </c>
      <c r="F143" s="8"/>
      <c r="G143" s="15" t="str">
        <f t="shared" si="3"/>
        <v>6</v>
      </c>
      <c r="H143" s="9">
        <f t="shared" si="4"/>
        <v>6</v>
      </c>
      <c r="I143" s="6" t="str">
        <f>IFERROR(__xludf.DUMMYFUNCTION("MAX(FILTER($H$2:$H501,$E$2:$E501=F143))"),"#N/A")</f>
        <v>#N/A</v>
      </c>
    </row>
    <row r="144">
      <c r="A144" s="4"/>
      <c r="B144" s="4"/>
      <c r="C144" s="4" t="s">
        <v>2264</v>
      </c>
      <c r="D144" s="8" t="str">
        <f t="shared" si="1"/>
        <v>{"valorA":"lustre","valorB":5}</v>
      </c>
      <c r="E144" s="8" t="str">
        <f t="shared" si="2"/>
        <v>lustre</v>
      </c>
      <c r="F144" s="8"/>
      <c r="G144" s="15" t="str">
        <f t="shared" si="3"/>
        <v>5</v>
      </c>
      <c r="H144" s="9">
        <f t="shared" si="4"/>
        <v>5</v>
      </c>
      <c r="I144" s="6" t="str">
        <f>IFERROR(__xludf.DUMMYFUNCTION("MAX(FILTER($H$2:$H501,$E$2:$E501=F144))"),"#N/A")</f>
        <v>#N/A</v>
      </c>
    </row>
    <row r="145">
      <c r="A145" s="4"/>
      <c r="B145" s="4"/>
      <c r="C145" s="4" t="s">
        <v>2242</v>
      </c>
      <c r="D145" s="8" t="str">
        <f t="shared" si="1"/>
        <v>{"valorA":"computador","valorB":5}</v>
      </c>
      <c r="E145" s="8" t="str">
        <f t="shared" si="2"/>
        <v>computador</v>
      </c>
      <c r="F145" s="8"/>
      <c r="G145" s="15" t="str">
        <f t="shared" si="3"/>
        <v>5</v>
      </c>
      <c r="H145" s="9">
        <f t="shared" si="4"/>
        <v>5</v>
      </c>
      <c r="I145" s="6" t="str">
        <f>IFERROR(__xludf.DUMMYFUNCTION("MAX(FILTER($H$2:$H501,$E$2:$E501=F145))"),"#N/A")</f>
        <v>#N/A</v>
      </c>
    </row>
    <row r="146">
      <c r="A146" s="4"/>
      <c r="B146" s="4"/>
      <c r="C146" s="4" t="s">
        <v>2232</v>
      </c>
      <c r="D146" s="8" t="str">
        <f t="shared" si="1"/>
        <v>{"valorA":"chuveiro elétrico","valorB":8}</v>
      </c>
      <c r="E146" s="8" t="str">
        <f t="shared" si="2"/>
        <v>chuveiro elétrico</v>
      </c>
      <c r="F146" s="8"/>
      <c r="G146" s="15" t="str">
        <f t="shared" si="3"/>
        <v>8</v>
      </c>
      <c r="H146" s="9">
        <f t="shared" si="4"/>
        <v>8</v>
      </c>
      <c r="I146" s="6" t="str">
        <f>IFERROR(__xludf.DUMMYFUNCTION("MAX(FILTER($H$2:$H501,$E$2:$E501=F146))"),"#N/A")</f>
        <v>#N/A</v>
      </c>
    </row>
    <row r="147">
      <c r="A147" s="4"/>
      <c r="B147" s="4"/>
      <c r="C147" s="4" t="s">
        <v>2259</v>
      </c>
      <c r="D147" s="8" t="str">
        <f t="shared" si="1"/>
        <v>{"valorA":"liquidificador","valorB":10}</v>
      </c>
      <c r="E147" s="8" t="str">
        <f t="shared" si="2"/>
        <v>liquidificador</v>
      </c>
      <c r="F147" s="8"/>
      <c r="G147" s="15" t="str">
        <f t="shared" si="3"/>
        <v>10</v>
      </c>
      <c r="H147" s="9">
        <f t="shared" si="4"/>
        <v>10</v>
      </c>
      <c r="I147" s="6" t="str">
        <f>IFERROR(__xludf.DUMMYFUNCTION("MAX(FILTER($H$2:$H501,$E$2:$E501=F147))"),"#N/A")</f>
        <v>#N/A</v>
      </c>
    </row>
    <row r="148">
      <c r="A148" s="4"/>
      <c r="B148" s="4"/>
      <c r="C148" s="4" t="s">
        <v>2246</v>
      </c>
      <c r="D148" s="8" t="str">
        <f t="shared" si="1"/>
        <v>{"valorA":"ventilador","valorB":7}</v>
      </c>
      <c r="E148" s="8" t="str">
        <f t="shared" si="2"/>
        <v>ventilador</v>
      </c>
      <c r="F148" s="8"/>
      <c r="G148" s="15" t="str">
        <f t="shared" si="3"/>
        <v>7</v>
      </c>
      <c r="H148" s="9">
        <f t="shared" si="4"/>
        <v>7</v>
      </c>
      <c r="I148" s="6" t="str">
        <f>IFERROR(__xludf.DUMMYFUNCTION("MAX(FILTER($H$2:$H501,$E$2:$E501=F148))"),"#N/A")</f>
        <v>#N/A</v>
      </c>
    </row>
    <row r="149">
      <c r="A149" s="4"/>
      <c r="B149" s="4"/>
      <c r="C149" s="4" t="s">
        <v>1670</v>
      </c>
      <c r="D149" s="8" t="str">
        <f t="shared" si="1"/>
        <v>{"valorA":"freezer","valorB":12}</v>
      </c>
      <c r="E149" s="8" t="str">
        <f t="shared" si="2"/>
        <v>freezer</v>
      </c>
      <c r="F149" s="8"/>
      <c r="G149" s="15" t="str">
        <f t="shared" si="3"/>
        <v>12</v>
      </c>
      <c r="H149" s="9">
        <f t="shared" si="4"/>
        <v>12</v>
      </c>
      <c r="I149" s="6" t="str">
        <f>IFERROR(__xludf.DUMMYFUNCTION("MAX(FILTER($H$2:$H501,$E$2:$E501=F149))"),"#N/A")</f>
        <v>#N/A</v>
      </c>
    </row>
    <row r="150">
      <c r="A150" s="4"/>
      <c r="B150" s="4"/>
      <c r="C150" s="4" t="s">
        <v>2370</v>
      </c>
      <c r="D150" s="8" t="str">
        <f t="shared" si="1"/>
        <v>{"valorA":"celular","valorB":10}</v>
      </c>
      <c r="E150" s="8" t="str">
        <f t="shared" si="2"/>
        <v>celular</v>
      </c>
      <c r="F150" s="8"/>
      <c r="G150" s="15" t="str">
        <f t="shared" si="3"/>
        <v>10</v>
      </c>
      <c r="H150" s="9">
        <f t="shared" si="4"/>
        <v>10</v>
      </c>
      <c r="I150" s="6" t="str">
        <f>IFERROR(__xludf.DUMMYFUNCTION("MAX(FILTER($H$2:$H501,$E$2:$E501=F150))"),"#N/A")</f>
        <v>#N/A</v>
      </c>
    </row>
    <row r="151">
      <c r="A151" s="4"/>
      <c r="B151" s="4"/>
      <c r="C151" s="4" t="s">
        <v>2255</v>
      </c>
      <c r="D151" s="8" t="str">
        <f t="shared" si="1"/>
        <v>{"valorA":"chuveiro elétrico","valorB":9}</v>
      </c>
      <c r="E151" s="8" t="str">
        <f t="shared" si="2"/>
        <v>chuveiro elétrico</v>
      </c>
      <c r="F151" s="8"/>
      <c r="G151" s="15" t="str">
        <f t="shared" si="3"/>
        <v>9</v>
      </c>
      <c r="H151" s="9">
        <f t="shared" si="4"/>
        <v>9</v>
      </c>
      <c r="I151" s="6" t="str">
        <f>IFERROR(__xludf.DUMMYFUNCTION("MAX(FILTER($H$2:$H501,$E$2:$E501=F151))"),"#N/A")</f>
        <v>#N/A</v>
      </c>
    </row>
    <row r="152">
      <c r="A152" s="4"/>
      <c r="B152" s="4"/>
      <c r="C152" s="4" t="s">
        <v>2348</v>
      </c>
      <c r="D152" s="8" t="str">
        <f t="shared" si="1"/>
        <v>{"valorA":"filtro de linha","valorB":11}</v>
      </c>
      <c r="E152" s="8" t="str">
        <f t="shared" si="2"/>
        <v>filtro de linha</v>
      </c>
      <c r="F152" s="8"/>
      <c r="G152" s="15" t="str">
        <f t="shared" si="3"/>
        <v>11</v>
      </c>
      <c r="H152" s="9">
        <f t="shared" si="4"/>
        <v>11</v>
      </c>
      <c r="I152" s="6" t="str">
        <f>IFERROR(__xludf.DUMMYFUNCTION("MAX(FILTER($H$2:$H501,$E$2:$E501=F152))"),"#N/A")</f>
        <v>#N/A</v>
      </c>
    </row>
    <row r="153">
      <c r="A153" s="4"/>
      <c r="B153" s="4"/>
      <c r="C153" s="4" t="s">
        <v>2299</v>
      </c>
      <c r="D153" s="8" t="str">
        <f t="shared" si="1"/>
        <v>{"valorA":"teclado de computador","valorB":7}</v>
      </c>
      <c r="E153" s="8" t="str">
        <f t="shared" si="2"/>
        <v>teclado de computador</v>
      </c>
      <c r="F153" s="8"/>
      <c r="G153" s="15" t="str">
        <f t="shared" si="3"/>
        <v>7</v>
      </c>
      <c r="H153" s="9">
        <f t="shared" si="4"/>
        <v>7</v>
      </c>
      <c r="I153" s="6" t="str">
        <f>IFERROR(__xludf.DUMMYFUNCTION("MAX(FILTER($H$2:$H501,$E$2:$E501=F153))"),"#N/A")</f>
        <v>#N/A</v>
      </c>
    </row>
    <row r="154">
      <c r="A154" s="4"/>
      <c r="B154" s="4"/>
      <c r="C154" s="4" t="s">
        <v>2329</v>
      </c>
      <c r="D154" s="8" t="str">
        <f t="shared" si="1"/>
        <v>{"valorA":"roteador","valorB":8}</v>
      </c>
      <c r="E154" s="8" t="str">
        <f t="shared" si="2"/>
        <v>roteador</v>
      </c>
      <c r="F154" s="8"/>
      <c r="G154" s="15" t="str">
        <f t="shared" si="3"/>
        <v>8</v>
      </c>
      <c r="H154" s="9">
        <f t="shared" si="4"/>
        <v>8</v>
      </c>
      <c r="I154" s="6" t="str">
        <f>IFERROR(__xludf.DUMMYFUNCTION("MAX(FILTER($H$2:$H501,$E$2:$E501=F154))"),"#N/A")</f>
        <v>#N/A</v>
      </c>
    </row>
    <row r="155">
      <c r="A155" s="4"/>
      <c r="B155" s="4"/>
      <c r="C155" s="4" t="s">
        <v>2364</v>
      </c>
      <c r="D155" s="8" t="str">
        <f t="shared" si="1"/>
        <v>{"valorA":"carregador de celular","valorB":9}</v>
      </c>
      <c r="E155" s="8" t="str">
        <f t="shared" si="2"/>
        <v>carregador de celular</v>
      </c>
      <c r="F155" s="8"/>
      <c r="G155" s="15" t="str">
        <f t="shared" si="3"/>
        <v>9</v>
      </c>
      <c r="H155" s="9">
        <f t="shared" si="4"/>
        <v>9</v>
      </c>
      <c r="I155" s="6" t="str">
        <f>IFERROR(__xludf.DUMMYFUNCTION("MAX(FILTER($H$2:$H501,$E$2:$E501=F155))"),"#N/A")</f>
        <v>#N/A</v>
      </c>
    </row>
    <row r="156">
      <c r="A156" s="4"/>
      <c r="B156" s="4"/>
      <c r="C156" s="4" t="s">
        <v>1671</v>
      </c>
      <c r="D156" s="8" t="str">
        <f t="shared" si="1"/>
        <v>{"valorA":"freezer","valorB":13}</v>
      </c>
      <c r="E156" s="8" t="str">
        <f t="shared" si="2"/>
        <v>freezer</v>
      </c>
      <c r="F156" s="8"/>
      <c r="G156" s="15" t="str">
        <f t="shared" si="3"/>
        <v>13</v>
      </c>
      <c r="H156" s="9">
        <f t="shared" si="4"/>
        <v>13</v>
      </c>
      <c r="I156" s="6" t="str">
        <f>IFERROR(__xludf.DUMMYFUNCTION("MAX(FILTER($H$2:$H501,$E$2:$E501=F156))"),"#N/A")</f>
        <v>#N/A</v>
      </c>
    </row>
    <row r="157">
      <c r="A157" s="4"/>
      <c r="B157" s="4"/>
      <c r="C157" s="4" t="s">
        <v>2390</v>
      </c>
      <c r="D157" s="8" t="str">
        <f t="shared" si="1"/>
        <v>{"valorA":"carregador de celular","valorB":10}</v>
      </c>
      <c r="E157" s="8" t="str">
        <f t="shared" si="2"/>
        <v>carregador de celular</v>
      </c>
      <c r="F157" s="8"/>
      <c r="G157" s="15" t="str">
        <f t="shared" si="3"/>
        <v>10</v>
      </c>
      <c r="H157" s="9">
        <f t="shared" si="4"/>
        <v>10</v>
      </c>
      <c r="I157" s="6" t="str">
        <f>IFERROR(__xludf.DUMMYFUNCTION("MAX(FILTER($H$2:$H501,$E$2:$E501=F157))"),"#N/A")</f>
        <v>#N/A</v>
      </c>
    </row>
    <row r="158">
      <c r="A158" s="4"/>
      <c r="B158" s="4"/>
      <c r="C158" s="4" t="s">
        <v>2292</v>
      </c>
      <c r="D158" s="8" t="str">
        <f t="shared" si="1"/>
        <v>{"valorA":"ventilador","valorB":8}</v>
      </c>
      <c r="E158" s="8" t="str">
        <f t="shared" si="2"/>
        <v>ventilador</v>
      </c>
      <c r="F158" s="8"/>
      <c r="G158" s="15" t="str">
        <f t="shared" si="3"/>
        <v>8</v>
      </c>
      <c r="H158" s="9">
        <f t="shared" si="4"/>
        <v>8</v>
      </c>
      <c r="I158" s="6" t="str">
        <f>IFERROR(__xludf.DUMMYFUNCTION("MAX(FILTER($H$2:$H501,$E$2:$E501=F158))"),"#N/A")</f>
        <v>#N/A</v>
      </c>
    </row>
    <row r="159">
      <c r="A159" s="4"/>
      <c r="B159" s="4"/>
      <c r="C159" s="4" t="s">
        <v>2382</v>
      </c>
      <c r="D159" s="8" t="str">
        <f t="shared" si="1"/>
        <v>{"valorA":"celular","valorB":11}</v>
      </c>
      <c r="E159" s="8" t="str">
        <f t="shared" si="2"/>
        <v>celular</v>
      </c>
      <c r="F159" s="8"/>
      <c r="G159" s="15" t="str">
        <f t="shared" si="3"/>
        <v>11</v>
      </c>
      <c r="H159" s="9">
        <f t="shared" si="4"/>
        <v>11</v>
      </c>
      <c r="I159" s="6" t="str">
        <f>IFERROR(__xludf.DUMMYFUNCTION("MAX(FILTER($H$2:$H501,$E$2:$E501=F159))"),"#N/A")</f>
        <v>#N/A</v>
      </c>
    </row>
    <row r="160">
      <c r="A160" s="4"/>
      <c r="B160" s="4"/>
      <c r="C160" s="4" t="s">
        <v>2316</v>
      </c>
      <c r="D160" s="8" t="str">
        <f t="shared" si="1"/>
        <v>{"valorA":"lustre","valorB":6}</v>
      </c>
      <c r="E160" s="8" t="str">
        <f t="shared" si="2"/>
        <v>lustre</v>
      </c>
      <c r="F160" s="8"/>
      <c r="G160" s="15" t="str">
        <f t="shared" si="3"/>
        <v>6</v>
      </c>
      <c r="H160" s="9">
        <f t="shared" si="4"/>
        <v>6</v>
      </c>
      <c r="I160" s="6" t="str">
        <f>IFERROR(__xludf.DUMMYFUNCTION("MAX(FILTER($H$2:$H501,$E$2:$E501=F160))"),"#N/A")</f>
        <v>#N/A</v>
      </c>
    </row>
    <row r="161">
      <c r="A161" s="4"/>
      <c r="B161" s="4"/>
      <c r="C161" s="4" t="s">
        <v>2247</v>
      </c>
      <c r="D161" s="8" t="str">
        <f t="shared" si="1"/>
        <v>{"valorA":"computador","valorB":6}</v>
      </c>
      <c r="E161" s="8" t="str">
        <f t="shared" si="2"/>
        <v>computador</v>
      </c>
      <c r="F161" s="8"/>
      <c r="G161" s="15" t="str">
        <f t="shared" si="3"/>
        <v>6</v>
      </c>
      <c r="H161" s="9">
        <f t="shared" si="4"/>
        <v>6</v>
      </c>
      <c r="I161" s="6" t="str">
        <f>IFERROR(__xludf.DUMMYFUNCTION("MAX(FILTER($H$2:$H501,$E$2:$E501=F161))"),"#N/A")</f>
        <v>#N/A</v>
      </c>
    </row>
    <row r="162">
      <c r="A162" s="4"/>
      <c r="B162" s="4"/>
      <c r="C162" s="4" t="s">
        <v>2391</v>
      </c>
      <c r="D162" s="8" t="str">
        <f t="shared" si="1"/>
        <v>{"valorA":"celular","valorB":12}</v>
      </c>
      <c r="E162" s="8" t="str">
        <f t="shared" si="2"/>
        <v>celular</v>
      </c>
      <c r="F162" s="8"/>
      <c r="G162" s="15" t="str">
        <f t="shared" si="3"/>
        <v>12</v>
      </c>
      <c r="H162" s="9">
        <f t="shared" si="4"/>
        <v>12</v>
      </c>
      <c r="I162" s="6" t="str">
        <f>IFERROR(__xludf.DUMMYFUNCTION("MAX(FILTER($H$2:$H501,$E$2:$E501=F162))"),"#N/A")</f>
        <v>#N/A</v>
      </c>
    </row>
    <row r="163">
      <c r="A163" s="4"/>
      <c r="B163" s="4"/>
      <c r="C163" s="4" t="s">
        <v>2283</v>
      </c>
      <c r="D163" s="8" t="str">
        <f t="shared" si="1"/>
        <v>{"valorA":"relógio","valorB":9}</v>
      </c>
      <c r="E163" s="8" t="str">
        <f t="shared" si="2"/>
        <v>relógio</v>
      </c>
      <c r="F163" s="8"/>
      <c r="G163" s="15" t="str">
        <f t="shared" si="3"/>
        <v>9</v>
      </c>
      <c r="H163" s="9">
        <f t="shared" si="4"/>
        <v>9</v>
      </c>
      <c r="I163" s="6" t="str">
        <f>IFERROR(__xludf.DUMMYFUNCTION("MAX(FILTER($H$2:$H501,$E$2:$E501=F163))"),"#N/A")</f>
        <v>#N/A</v>
      </c>
    </row>
    <row r="164">
      <c r="A164" s="4"/>
      <c r="B164" s="4"/>
      <c r="C164" s="4" t="s">
        <v>1710</v>
      </c>
      <c r="D164" s="8" t="str">
        <f t="shared" si="1"/>
        <v>{"valorA":"ar condicionado","valorB":11}</v>
      </c>
      <c r="E164" s="8" t="str">
        <f t="shared" si="2"/>
        <v>ar condicionado</v>
      </c>
      <c r="F164" s="8"/>
      <c r="G164" s="15" t="str">
        <f t="shared" si="3"/>
        <v>11</v>
      </c>
      <c r="H164" s="9">
        <f t="shared" si="4"/>
        <v>11</v>
      </c>
      <c r="I164" s="6" t="str">
        <f>IFERROR(__xludf.DUMMYFUNCTION("MAX(FILTER($H$2:$H501,$E$2:$E501=F164))"),"#N/A")</f>
        <v>#N/A</v>
      </c>
    </row>
    <row r="165">
      <c r="A165" s="4"/>
      <c r="B165" s="4"/>
      <c r="C165" s="4" t="s">
        <v>2287</v>
      </c>
      <c r="D165" s="8" t="str">
        <f t="shared" si="1"/>
        <v>{"valorA":"liquidificador","valorB":11}</v>
      </c>
      <c r="E165" s="8" t="str">
        <f t="shared" si="2"/>
        <v>liquidificador</v>
      </c>
      <c r="F165" s="8"/>
      <c r="G165" s="15" t="str">
        <f t="shared" si="3"/>
        <v>11</v>
      </c>
      <c r="H165" s="9">
        <f t="shared" si="4"/>
        <v>11</v>
      </c>
      <c r="I165" s="6" t="str">
        <f>IFERROR(__xludf.DUMMYFUNCTION("MAX(FILTER($H$2:$H501,$E$2:$E501=F165))"),"#N/A")</f>
        <v>#N/A</v>
      </c>
    </row>
    <row r="166">
      <c r="A166" s="4"/>
      <c r="B166" s="4"/>
      <c r="C166" s="4" t="s">
        <v>2286</v>
      </c>
      <c r="D166" s="8" t="str">
        <f t="shared" si="1"/>
        <v>{"valorA":"carregador de computador","valorB":7}</v>
      </c>
      <c r="E166" s="8" t="str">
        <f t="shared" si="2"/>
        <v>carregador de computador</v>
      </c>
      <c r="F166" s="8"/>
      <c r="G166" s="15" t="str">
        <f t="shared" si="3"/>
        <v>7</v>
      </c>
      <c r="H166" s="9">
        <f t="shared" si="4"/>
        <v>7</v>
      </c>
      <c r="I166" s="6" t="str">
        <f>IFERROR(__xludf.DUMMYFUNCTION("MAX(FILTER($H$2:$H501,$E$2:$E501=F166))"),"#N/A")</f>
        <v>#N/A</v>
      </c>
    </row>
    <row r="167">
      <c r="A167" s="4"/>
      <c r="B167" s="4"/>
      <c r="C167" s="4" t="s">
        <v>2354</v>
      </c>
      <c r="D167" s="8" t="str">
        <f t="shared" si="1"/>
        <v>{"valorA":"filtro de linha","valorB":12}</v>
      </c>
      <c r="E167" s="8" t="str">
        <f t="shared" si="2"/>
        <v>filtro de linha</v>
      </c>
      <c r="F167" s="8"/>
      <c r="G167" s="15" t="str">
        <f t="shared" si="3"/>
        <v>12</v>
      </c>
      <c r="H167" s="9">
        <f t="shared" si="4"/>
        <v>12</v>
      </c>
      <c r="I167" s="6" t="str">
        <f>IFERROR(__xludf.DUMMYFUNCTION("MAX(FILTER($H$2:$H501,$E$2:$E501=F167))"),"#N/A")</f>
        <v>#N/A</v>
      </c>
    </row>
    <row r="168">
      <c r="A168" s="4"/>
      <c r="B168" s="4"/>
      <c r="C168" s="4" t="s">
        <v>2309</v>
      </c>
      <c r="D168" s="8" t="str">
        <f t="shared" si="1"/>
        <v>{"valorA":"mouse de computador","valorB":6}</v>
      </c>
      <c r="E168" s="8" t="str">
        <f t="shared" si="2"/>
        <v>mouse de computador</v>
      </c>
      <c r="F168" s="8"/>
      <c r="G168" s="15" t="str">
        <f t="shared" si="3"/>
        <v>6</v>
      </c>
      <c r="H168" s="9">
        <f t="shared" si="4"/>
        <v>6</v>
      </c>
      <c r="I168" s="6" t="str">
        <f>IFERROR(__xludf.DUMMYFUNCTION("MAX(FILTER($H$2:$H501,$E$2:$E501=F168))"),"#N/A")</f>
        <v>#N/A</v>
      </c>
    </row>
    <row r="169">
      <c r="A169" s="4"/>
      <c r="B169" s="4"/>
      <c r="C169" s="4" t="s">
        <v>1711</v>
      </c>
      <c r="D169" s="8" t="str">
        <f t="shared" si="1"/>
        <v>{"valorA":"ar condicionado","valorB":12}</v>
      </c>
      <c r="E169" s="8" t="str">
        <f t="shared" si="2"/>
        <v>ar condicionado</v>
      </c>
      <c r="F169" s="8"/>
      <c r="G169" s="15" t="str">
        <f t="shared" si="3"/>
        <v>12</v>
      </c>
      <c r="H169" s="9">
        <f t="shared" si="4"/>
        <v>12</v>
      </c>
      <c r="I169" s="6" t="str">
        <f>IFERROR(__xludf.DUMMYFUNCTION("MAX(FILTER($H$2:$H501,$E$2:$E501=F169))"),"#N/A")</f>
        <v>#N/A</v>
      </c>
    </row>
    <row r="170">
      <c r="A170" s="4"/>
      <c r="B170" s="4"/>
      <c r="C170" s="4" t="s">
        <v>2353</v>
      </c>
      <c r="D170" s="8" t="str">
        <f t="shared" si="1"/>
        <v>{"valorA":"mouse de computador","valorB":7}</v>
      </c>
      <c r="E170" s="8" t="str">
        <f t="shared" si="2"/>
        <v>mouse de computador</v>
      </c>
      <c r="F170" s="8"/>
      <c r="G170" s="15" t="str">
        <f t="shared" si="3"/>
        <v>7</v>
      </c>
      <c r="H170" s="9">
        <f t="shared" si="4"/>
        <v>7</v>
      </c>
      <c r="I170" s="6" t="str">
        <f>IFERROR(__xludf.DUMMYFUNCTION("MAX(FILTER($H$2:$H501,$E$2:$E501=F170))"),"#N/A")</f>
        <v>#N/A</v>
      </c>
    </row>
    <row r="171">
      <c r="A171" s="4"/>
      <c r="B171" s="4"/>
      <c r="C171" s="4" t="s">
        <v>2308</v>
      </c>
      <c r="D171" s="8" t="str">
        <f t="shared" si="1"/>
        <v>{"valorA":"teclado de computador","valorB":8}</v>
      </c>
      <c r="E171" s="8" t="str">
        <f t="shared" si="2"/>
        <v>teclado de computador</v>
      </c>
      <c r="F171" s="8"/>
      <c r="G171" s="15" t="str">
        <f t="shared" si="3"/>
        <v>8</v>
      </c>
      <c r="H171" s="9">
        <f t="shared" si="4"/>
        <v>8</v>
      </c>
      <c r="I171" s="6" t="str">
        <f>IFERROR(__xludf.DUMMYFUNCTION("MAX(FILTER($H$2:$H501,$E$2:$E501=F171))"),"#N/A")</f>
        <v>#N/A</v>
      </c>
    </row>
    <row r="172">
      <c r="A172" s="4"/>
      <c r="B172" s="4"/>
      <c r="C172" s="4" t="s">
        <v>2230</v>
      </c>
      <c r="D172" s="8" t="str">
        <f t="shared" si="1"/>
        <v>{"valorA":"fone de ouvido","valorB":5}</v>
      </c>
      <c r="E172" s="8" t="str">
        <f t="shared" si="2"/>
        <v>fone de ouvido</v>
      </c>
      <c r="F172" s="8"/>
      <c r="G172" s="15" t="str">
        <f t="shared" si="3"/>
        <v>5</v>
      </c>
      <c r="H172" s="9">
        <f t="shared" si="4"/>
        <v>5</v>
      </c>
      <c r="I172" s="6" t="str">
        <f>IFERROR(__xludf.DUMMYFUNCTION("MAX(FILTER($H$2:$H501,$E$2:$E501=F172))"),"#N/A")</f>
        <v>#N/A</v>
      </c>
    </row>
    <row r="173">
      <c r="A173" s="4"/>
      <c r="B173" s="4"/>
      <c r="C173" s="4" t="s">
        <v>2398</v>
      </c>
      <c r="D173" s="8" t="str">
        <f t="shared" si="1"/>
        <v>{"valorA":"carregador de celular","valorB":11}</v>
      </c>
      <c r="E173" s="8" t="str">
        <f t="shared" si="2"/>
        <v>carregador de celular</v>
      </c>
      <c r="F173" s="8"/>
      <c r="G173" s="15" t="str">
        <f t="shared" si="3"/>
        <v>11</v>
      </c>
      <c r="H173" s="9">
        <f t="shared" si="4"/>
        <v>11</v>
      </c>
      <c r="I173" s="6" t="str">
        <f>IFERROR(__xludf.DUMMYFUNCTION("MAX(FILTER($H$2:$H501,$E$2:$E501=F173))"),"#N/A")</f>
        <v>#N/A</v>
      </c>
    </row>
    <row r="174">
      <c r="A174" s="4"/>
      <c r="B174" s="4"/>
      <c r="C174" s="4" t="s">
        <v>2352</v>
      </c>
      <c r="D174" s="8" t="str">
        <f t="shared" si="1"/>
        <v>{"valorA":"lustre","valorB":7}</v>
      </c>
      <c r="E174" s="8" t="str">
        <f t="shared" si="2"/>
        <v>lustre</v>
      </c>
      <c r="F174" s="8"/>
      <c r="G174" s="15" t="str">
        <f t="shared" si="3"/>
        <v>7</v>
      </c>
      <c r="H174" s="9">
        <f t="shared" si="4"/>
        <v>7</v>
      </c>
      <c r="I174" s="6" t="str">
        <f>IFERROR(__xludf.DUMMYFUNCTION("MAX(FILTER($H$2:$H501,$E$2:$E501=F174))"),"#N/A")</f>
        <v>#N/A</v>
      </c>
    </row>
    <row r="175">
      <c r="A175" s="4"/>
      <c r="B175" s="4"/>
      <c r="C175" s="4" t="s">
        <v>2284</v>
      </c>
      <c r="D175" s="8" t="str">
        <f t="shared" si="1"/>
        <v>{"valorA":"purificador de água","valorB":7}</v>
      </c>
      <c r="E175" s="8" t="str">
        <f t="shared" si="2"/>
        <v>purificador de água</v>
      </c>
      <c r="F175" s="8"/>
      <c r="G175" s="15" t="str">
        <f t="shared" si="3"/>
        <v>7</v>
      </c>
      <c r="H175" s="9">
        <f t="shared" si="4"/>
        <v>7</v>
      </c>
      <c r="I175" s="6" t="str">
        <f>IFERROR(__xludf.DUMMYFUNCTION("MAX(FILTER($H$2:$H501,$E$2:$E501=F175))"),"#N/A")</f>
        <v>#N/A</v>
      </c>
    </row>
    <row r="176">
      <c r="A176" s="4"/>
      <c r="B176" s="4"/>
      <c r="C176" s="4" t="s">
        <v>2432</v>
      </c>
      <c r="D176" s="8" t="str">
        <f t="shared" si="1"/>
        <v>{"valorA":"celular","valorB":13}</v>
      </c>
      <c r="E176" s="8" t="str">
        <f t="shared" si="2"/>
        <v>celular</v>
      </c>
      <c r="F176" s="8"/>
      <c r="G176" s="15" t="str">
        <f t="shared" si="3"/>
        <v>13</v>
      </c>
      <c r="H176" s="9">
        <f t="shared" si="4"/>
        <v>13</v>
      </c>
      <c r="I176" s="6" t="str">
        <f>IFERROR(__xludf.DUMMYFUNCTION("MAX(FILTER($H$2:$H501,$E$2:$E501=F176))"),"#N/A")</f>
        <v>#N/A</v>
      </c>
    </row>
    <row r="177">
      <c r="A177" s="4"/>
      <c r="B177" s="4"/>
      <c r="C177" s="4" t="s">
        <v>2412</v>
      </c>
      <c r="D177" s="8" t="str">
        <f t="shared" si="1"/>
        <v>{"valorA":"carregador de celular","valorB":12}</v>
      </c>
      <c r="E177" s="8" t="str">
        <f t="shared" si="2"/>
        <v>carregador de celular</v>
      </c>
      <c r="F177" s="8"/>
      <c r="G177" s="15" t="str">
        <f t="shared" si="3"/>
        <v>12</v>
      </c>
      <c r="H177" s="9">
        <f t="shared" si="4"/>
        <v>12</v>
      </c>
      <c r="I177" s="6" t="str">
        <f>IFERROR(__xludf.DUMMYFUNCTION("MAX(FILTER($H$2:$H501,$E$2:$E501=F177))"),"#N/A")</f>
        <v>#N/A</v>
      </c>
    </row>
    <row r="178">
      <c r="A178" s="4"/>
      <c r="B178" s="4"/>
      <c r="C178" s="4" t="s">
        <v>2421</v>
      </c>
      <c r="D178" s="8" t="str">
        <f t="shared" si="1"/>
        <v>{"valorA":"carregador de celular","valorB":13}</v>
      </c>
      <c r="E178" s="8" t="str">
        <f t="shared" si="2"/>
        <v>carregador de celular</v>
      </c>
      <c r="F178" s="8"/>
      <c r="G178" s="15" t="str">
        <f t="shared" si="3"/>
        <v>13</v>
      </c>
      <c r="H178" s="9">
        <f t="shared" si="4"/>
        <v>13</v>
      </c>
      <c r="I178" s="6" t="str">
        <f>IFERROR(__xludf.DUMMYFUNCTION("MAX(FILTER($H$2:$H501,$E$2:$E501=F178))"),"#N/A")</f>
        <v>#N/A</v>
      </c>
    </row>
    <row r="179">
      <c r="A179" s="4"/>
      <c r="B179" s="4"/>
      <c r="C179" s="4" t="s">
        <v>2330</v>
      </c>
      <c r="D179" s="8" t="str">
        <f t="shared" si="1"/>
        <v>{"valorA":"ventilador","valorB":9}</v>
      </c>
      <c r="E179" s="8" t="str">
        <f t="shared" si="2"/>
        <v>ventilador</v>
      </c>
      <c r="F179" s="8"/>
      <c r="G179" s="15" t="str">
        <f t="shared" si="3"/>
        <v>9</v>
      </c>
      <c r="H179" s="9">
        <f t="shared" si="4"/>
        <v>9</v>
      </c>
      <c r="I179" s="6" t="str">
        <f>IFERROR(__xludf.DUMMYFUNCTION("MAX(FILTER($H$2:$H501,$E$2:$E501=F179))"),"#N/A")</f>
        <v>#N/A</v>
      </c>
    </row>
    <row r="180">
      <c r="A180" s="4"/>
      <c r="B180" s="4"/>
      <c r="C180" s="4" t="s">
        <v>1715</v>
      </c>
      <c r="D180" s="8" t="str">
        <f t="shared" si="1"/>
        <v>{"valorA":"ar condicionado","valorB":13}</v>
      </c>
      <c r="E180" s="8" t="str">
        <f t="shared" si="2"/>
        <v>ar condicionado</v>
      </c>
      <c r="F180" s="8"/>
      <c r="G180" s="15" t="str">
        <f t="shared" si="3"/>
        <v>13</v>
      </c>
      <c r="H180" s="9">
        <f t="shared" si="4"/>
        <v>13</v>
      </c>
      <c r="I180" s="6" t="str">
        <f>IFERROR(__xludf.DUMMYFUNCTION("MAX(FILTER($H$2:$H501,$E$2:$E501=F180))"),"#N/A")</f>
        <v>#N/A</v>
      </c>
    </row>
    <row r="181">
      <c r="A181" s="4"/>
      <c r="B181" s="4"/>
      <c r="C181" s="4" t="s">
        <v>2372</v>
      </c>
      <c r="D181" s="8" t="str">
        <f t="shared" si="1"/>
        <v>{"valorA":"mouse de computador","valorB":8}</v>
      </c>
      <c r="E181" s="8" t="str">
        <f t="shared" si="2"/>
        <v>mouse de computador</v>
      </c>
      <c r="F181" s="8"/>
      <c r="G181" s="15" t="str">
        <f t="shared" si="3"/>
        <v>8</v>
      </c>
      <c r="H181" s="9">
        <f t="shared" si="4"/>
        <v>8</v>
      </c>
      <c r="I181" s="6" t="str">
        <f>IFERROR(__xludf.DUMMYFUNCTION("MAX(FILTER($H$2:$H501,$E$2:$E501=F181))"),"#N/A")</f>
        <v>#N/A</v>
      </c>
    </row>
    <row r="182">
      <c r="A182" s="4"/>
      <c r="B182" s="4"/>
      <c r="C182" s="4" t="s">
        <v>2332</v>
      </c>
      <c r="D182" s="8" t="str">
        <f t="shared" si="1"/>
        <v>{"valorA":"roteador","valorB":9}</v>
      </c>
      <c r="E182" s="8" t="str">
        <f t="shared" si="2"/>
        <v>roteador</v>
      </c>
      <c r="F182" s="8"/>
      <c r="G182" s="15" t="str">
        <f t="shared" si="3"/>
        <v>9</v>
      </c>
      <c r="H182" s="9">
        <f t="shared" si="4"/>
        <v>9</v>
      </c>
      <c r="I182" s="6" t="str">
        <f>IFERROR(__xludf.DUMMYFUNCTION("MAX(FILTER($H$2:$H501,$E$2:$E501=F182))"),"#N/A")</f>
        <v>#N/A</v>
      </c>
    </row>
    <row r="183">
      <c r="A183" s="4"/>
      <c r="B183" s="4"/>
      <c r="C183" s="4" t="s">
        <v>2373</v>
      </c>
      <c r="D183" s="8" t="str">
        <f t="shared" si="1"/>
        <v>{"valorA":"mouse de computador","valorB":9}</v>
      </c>
      <c r="E183" s="8" t="str">
        <f t="shared" si="2"/>
        <v>mouse de computador</v>
      </c>
      <c r="F183" s="8"/>
      <c r="G183" s="15" t="str">
        <f t="shared" si="3"/>
        <v>9</v>
      </c>
      <c r="H183" s="9">
        <f t="shared" si="4"/>
        <v>9</v>
      </c>
      <c r="I183" s="6" t="str">
        <f>IFERROR(__xludf.DUMMYFUNCTION("MAX(FILTER($H$2:$H501,$E$2:$E501=F183))"),"#N/A")</f>
        <v>#N/A</v>
      </c>
    </row>
    <row r="184">
      <c r="A184" s="4"/>
      <c r="B184" s="4"/>
      <c r="C184" s="4" t="s">
        <v>2381</v>
      </c>
      <c r="D184" s="8" t="str">
        <f t="shared" si="1"/>
        <v>{"valorA":"lustre","valorB":8}</v>
      </c>
      <c r="E184" s="8" t="str">
        <f t="shared" si="2"/>
        <v>lustre</v>
      </c>
      <c r="F184" s="8"/>
      <c r="G184" s="15" t="str">
        <f t="shared" si="3"/>
        <v>8</v>
      </c>
      <c r="H184" s="9">
        <f t="shared" si="4"/>
        <v>8</v>
      </c>
      <c r="I184" s="6" t="str">
        <f>IFERROR(__xludf.DUMMYFUNCTION("MAX(FILTER($H$2:$H501,$E$2:$E501=F184))"),"#N/A")</f>
        <v>#N/A</v>
      </c>
    </row>
    <row r="185">
      <c r="A185" s="4"/>
      <c r="B185" s="4"/>
      <c r="C185" s="4" t="s">
        <v>2321</v>
      </c>
      <c r="D185" s="8" t="str">
        <f t="shared" si="1"/>
        <v>{"valorA":"teclado de computador","valorB":9}</v>
      </c>
      <c r="E185" s="8" t="str">
        <f t="shared" si="2"/>
        <v>teclado de computador</v>
      </c>
      <c r="F185" s="8"/>
      <c r="G185" s="15" t="str">
        <f t="shared" si="3"/>
        <v>9</v>
      </c>
      <c r="H185" s="9">
        <f t="shared" si="4"/>
        <v>9</v>
      </c>
      <c r="I185" s="6" t="str">
        <f>IFERROR(__xludf.DUMMYFUNCTION("MAX(FILTER($H$2:$H501,$E$2:$E501=F185))"),"#N/A")</f>
        <v>#N/A</v>
      </c>
    </row>
    <row r="186">
      <c r="A186" s="4"/>
      <c r="B186" s="4"/>
      <c r="C186" s="4" t="s">
        <v>2327</v>
      </c>
      <c r="D186" s="8" t="str">
        <f t="shared" si="1"/>
        <v>{"valorA":"teclado de computador","valorB":10}</v>
      </c>
      <c r="E186" s="8" t="str">
        <f t="shared" si="2"/>
        <v>teclado de computador</v>
      </c>
      <c r="F186" s="8"/>
      <c r="G186" s="15" t="str">
        <f t="shared" si="3"/>
        <v>10</v>
      </c>
      <c r="H186" s="9">
        <f t="shared" si="4"/>
        <v>10</v>
      </c>
      <c r="I186" s="6" t="str">
        <f>IFERROR(__xludf.DUMMYFUNCTION("MAX(FILTER($H$2:$H501,$E$2:$E501=F186))"),"#N/A")</f>
        <v>#N/A</v>
      </c>
    </row>
    <row r="187">
      <c r="A187" s="4"/>
      <c r="B187" s="4"/>
      <c r="C187" s="4" t="s">
        <v>2433</v>
      </c>
      <c r="D187" s="8" t="str">
        <f t="shared" si="1"/>
        <v>{"valorA":"carregador de celular","valorB":14}</v>
      </c>
      <c r="E187" s="8" t="str">
        <f t="shared" si="2"/>
        <v>carregador de celular</v>
      </c>
      <c r="F187" s="8"/>
      <c r="G187" s="15" t="str">
        <f t="shared" si="3"/>
        <v>14</v>
      </c>
      <c r="H187" s="9">
        <f t="shared" si="4"/>
        <v>14</v>
      </c>
      <c r="I187" s="6" t="str">
        <f>IFERROR(__xludf.DUMMYFUNCTION("MAX(FILTER($H$2:$H501,$E$2:$E501=F187))"),"#N/A")</f>
        <v>#N/A</v>
      </c>
    </row>
    <row r="188">
      <c r="A188" s="4"/>
      <c r="B188" s="4"/>
      <c r="C188" s="4" t="s">
        <v>2458</v>
      </c>
      <c r="D188" s="8" t="str">
        <f t="shared" si="1"/>
        <v>{"valorA":"carregador de celular","valorB":15}</v>
      </c>
      <c r="E188" s="8" t="str">
        <f t="shared" si="2"/>
        <v>carregador de celular</v>
      </c>
      <c r="F188" s="8"/>
      <c r="G188" s="15" t="str">
        <f t="shared" si="3"/>
        <v>15</v>
      </c>
      <c r="H188" s="9">
        <f t="shared" si="4"/>
        <v>15</v>
      </c>
      <c r="I188" s="6" t="str">
        <f>IFERROR(__xludf.DUMMYFUNCTION("MAX(FILTER($H$2:$H501,$E$2:$E501=F188))"),"#N/A")</f>
        <v>#N/A</v>
      </c>
    </row>
    <row r="189">
      <c r="A189" s="4"/>
      <c r="B189" s="4"/>
      <c r="C189" s="4" t="s">
        <v>2350</v>
      </c>
      <c r="D189" s="8" t="str">
        <f t="shared" si="1"/>
        <v>{"valorA":"roteador","valorB":10}</v>
      </c>
      <c r="E189" s="8" t="str">
        <f t="shared" si="2"/>
        <v>roteador</v>
      </c>
      <c r="F189" s="8"/>
      <c r="G189" s="15" t="str">
        <f t="shared" si="3"/>
        <v>10</v>
      </c>
      <c r="H189" s="9">
        <f t="shared" si="4"/>
        <v>10</v>
      </c>
      <c r="I189" s="6" t="str">
        <f>IFERROR(__xludf.DUMMYFUNCTION("MAX(FILTER($H$2:$H501,$E$2:$E501=F189))"),"#N/A")</f>
        <v>#N/A</v>
      </c>
    </row>
    <row r="190">
      <c r="A190" s="4"/>
      <c r="B190" s="4"/>
      <c r="C190" s="4" t="s">
        <v>2384</v>
      </c>
      <c r="D190" s="8" t="str">
        <f t="shared" si="1"/>
        <v>{"valorA":"mouse de computador","valorB":10}</v>
      </c>
      <c r="E190" s="8" t="str">
        <f t="shared" si="2"/>
        <v>mouse de computador</v>
      </c>
      <c r="F190" s="8"/>
      <c r="G190" s="15" t="str">
        <f t="shared" si="3"/>
        <v>10</v>
      </c>
      <c r="H190" s="9">
        <f t="shared" si="4"/>
        <v>10</v>
      </c>
      <c r="I190" s="6" t="str">
        <f>IFERROR(__xludf.DUMMYFUNCTION("MAX(FILTER($H$2:$H501,$E$2:$E501=F190))"),"#N/A")</f>
        <v>#N/A</v>
      </c>
    </row>
    <row r="191">
      <c r="A191" s="4"/>
      <c r="B191" s="4"/>
      <c r="C191" s="4" t="s">
        <v>2310</v>
      </c>
      <c r="D191" s="8" t="str">
        <f t="shared" si="1"/>
        <v>{"valorA":"carregador de computador","valorB":8}</v>
      </c>
      <c r="E191" s="8" t="str">
        <f t="shared" si="2"/>
        <v>carregador de computador</v>
      </c>
      <c r="F191" s="8"/>
      <c r="G191" s="15" t="str">
        <f t="shared" si="3"/>
        <v>8</v>
      </c>
      <c r="H191" s="9">
        <f t="shared" si="4"/>
        <v>8</v>
      </c>
      <c r="I191" s="6" t="str">
        <f>IFERROR(__xludf.DUMMYFUNCTION("MAX(FILTER($H$2:$H501,$E$2:$E501=F191))"),"#N/A")</f>
        <v>#N/A</v>
      </c>
    </row>
    <row r="192">
      <c r="A192" s="4"/>
      <c r="B192" s="4"/>
      <c r="C192" s="4" t="s">
        <v>2326</v>
      </c>
      <c r="D192" s="8" t="str">
        <f t="shared" si="1"/>
        <v>{"valorA":"purificador de água","valorB":8}</v>
      </c>
      <c r="E192" s="8" t="str">
        <f t="shared" si="2"/>
        <v>purificador de água</v>
      </c>
      <c r="F192" s="8"/>
      <c r="G192" s="15" t="str">
        <f t="shared" si="3"/>
        <v>8</v>
      </c>
      <c r="H192" s="9">
        <f t="shared" si="4"/>
        <v>8</v>
      </c>
      <c r="I192" s="6" t="str">
        <f>IFERROR(__xludf.DUMMYFUNCTION("MAX(FILTER($H$2:$H501,$E$2:$E501=F192))"),"#N/A")</f>
        <v>#N/A</v>
      </c>
    </row>
    <row r="193">
      <c r="A193" s="4"/>
      <c r="B193" s="4"/>
      <c r="C193" s="4" t="s">
        <v>2351</v>
      </c>
      <c r="D193" s="8" t="str">
        <f t="shared" si="1"/>
        <v>{"valorA":"ventilador","valorB":10}</v>
      </c>
      <c r="E193" s="8" t="str">
        <f t="shared" si="2"/>
        <v>ventilador</v>
      </c>
      <c r="F193" s="8"/>
      <c r="G193" s="15" t="str">
        <f t="shared" si="3"/>
        <v>10</v>
      </c>
      <c r="H193" s="9">
        <f t="shared" si="4"/>
        <v>10</v>
      </c>
      <c r="I193" s="6" t="str">
        <f>IFERROR(__xludf.DUMMYFUNCTION("MAX(FILTER($H$2:$H501,$E$2:$E501=F193))"),"#N/A")</f>
        <v>#N/A</v>
      </c>
    </row>
    <row r="194">
      <c r="A194" s="4"/>
      <c r="B194" s="4"/>
      <c r="C194" s="4" t="s">
        <v>2478</v>
      </c>
      <c r="D194" s="8" t="str">
        <f t="shared" si="1"/>
        <v>{"valorA":"carregador de celular","valorB":16}</v>
      </c>
      <c r="E194" s="8" t="str">
        <f t="shared" si="2"/>
        <v>carregador de celular</v>
      </c>
      <c r="F194" s="8"/>
      <c r="G194" s="15" t="str">
        <f t="shared" si="3"/>
        <v>16</v>
      </c>
      <c r="H194" s="9">
        <f t="shared" si="4"/>
        <v>16</v>
      </c>
      <c r="I194" s="6" t="str">
        <f>IFERROR(__xludf.DUMMYFUNCTION("MAX(FILTER($H$2:$H501,$E$2:$E501=F194))"),"#N/A")</f>
        <v>#N/A</v>
      </c>
    </row>
    <row r="195">
      <c r="A195" s="4"/>
      <c r="B195" s="4"/>
      <c r="C195" s="4" t="s">
        <v>1717</v>
      </c>
      <c r="D195" s="8" t="str">
        <f t="shared" si="1"/>
        <v>{"valorA":"ar condicionado","valorB":14}</v>
      </c>
      <c r="E195" s="8" t="str">
        <f t="shared" si="2"/>
        <v>ar condicionado</v>
      </c>
      <c r="F195" s="8"/>
      <c r="G195" s="15" t="str">
        <f t="shared" si="3"/>
        <v>14</v>
      </c>
      <c r="H195" s="9">
        <f t="shared" si="4"/>
        <v>14</v>
      </c>
      <c r="I195" s="6" t="str">
        <f>IFERROR(__xludf.DUMMYFUNCTION("MAX(FILTER($H$2:$H501,$E$2:$E501=F195))"),"#N/A")</f>
        <v>#N/A</v>
      </c>
    </row>
    <row r="196">
      <c r="A196" s="4"/>
      <c r="B196" s="4"/>
      <c r="C196" s="4" t="s">
        <v>2314</v>
      </c>
      <c r="D196" s="8" t="str">
        <f t="shared" si="1"/>
        <v>{"valorA":"relógio","valorB":10}</v>
      </c>
      <c r="E196" s="8" t="str">
        <f t="shared" si="2"/>
        <v>relógio</v>
      </c>
      <c r="F196" s="8"/>
      <c r="G196" s="15" t="str">
        <f t="shared" si="3"/>
        <v>10</v>
      </c>
      <c r="H196" s="9">
        <f t="shared" si="4"/>
        <v>10</v>
      </c>
      <c r="I196" s="6" t="str">
        <f>IFERROR(__xludf.DUMMYFUNCTION("MAX(FILTER($H$2:$H501,$E$2:$E501=F196))"),"#N/A")</f>
        <v>#N/A</v>
      </c>
    </row>
    <row r="197">
      <c r="A197" s="4"/>
      <c r="B197" s="4"/>
      <c r="C197" s="4" t="s">
        <v>2357</v>
      </c>
      <c r="D197" s="8" t="str">
        <f t="shared" si="1"/>
        <v>{"valorA":"roteador","valorB":11}</v>
      </c>
      <c r="E197" s="8" t="str">
        <f t="shared" si="2"/>
        <v>roteador</v>
      </c>
      <c r="F197" s="8"/>
      <c r="G197" s="15" t="str">
        <f t="shared" si="3"/>
        <v>11</v>
      </c>
      <c r="H197" s="9">
        <f t="shared" si="4"/>
        <v>11</v>
      </c>
      <c r="I197" s="6" t="str">
        <f>IFERROR(__xludf.DUMMYFUNCTION("MAX(FILTER($H$2:$H501,$E$2:$E501=F197))"),"#N/A")</f>
        <v>#N/A</v>
      </c>
    </row>
    <row r="198">
      <c r="A198" s="4"/>
      <c r="B198" s="4"/>
      <c r="C198" s="4" t="s">
        <v>1704</v>
      </c>
      <c r="D198" s="8" t="str">
        <f t="shared" si="1"/>
        <v>{"valorA":"microondas","valorB":7}</v>
      </c>
      <c r="E198" s="8" t="str">
        <f t="shared" si="2"/>
        <v>microondas</v>
      </c>
      <c r="F198" s="8"/>
      <c r="G198" s="15" t="str">
        <f t="shared" si="3"/>
        <v>7</v>
      </c>
      <c r="H198" s="9">
        <f t="shared" si="4"/>
        <v>7</v>
      </c>
      <c r="I198" s="6" t="str">
        <f>IFERROR(__xludf.DUMMYFUNCTION("MAX(FILTER($H$2:$H501,$E$2:$E501=F198))"),"#N/A")</f>
        <v>#N/A</v>
      </c>
    </row>
    <row r="199">
      <c r="A199" s="4"/>
      <c r="B199" s="4"/>
      <c r="C199" s="4" t="s">
        <v>2339</v>
      </c>
      <c r="D199" s="8" t="str">
        <f t="shared" si="1"/>
        <v>{"valorA":"carregador de computador","valorB":9}</v>
      </c>
      <c r="E199" s="8" t="str">
        <f t="shared" si="2"/>
        <v>carregador de computador</v>
      </c>
      <c r="F199" s="8"/>
      <c r="G199" s="15" t="str">
        <f t="shared" si="3"/>
        <v>9</v>
      </c>
      <c r="H199" s="9">
        <f t="shared" si="4"/>
        <v>9</v>
      </c>
      <c r="I199" s="6" t="str">
        <f>IFERROR(__xludf.DUMMYFUNCTION("MAX(FILTER($H$2:$H501,$E$2:$E501=F199))"),"#N/A")</f>
        <v>#N/A</v>
      </c>
    </row>
    <row r="200">
      <c r="A200" s="4"/>
      <c r="B200" s="4"/>
      <c r="C200" s="4" t="s">
        <v>2341</v>
      </c>
      <c r="D200" s="8" t="str">
        <f t="shared" si="1"/>
        <v>{"valorA":"purificador de água","valorB":9}</v>
      </c>
      <c r="E200" s="8" t="str">
        <f t="shared" si="2"/>
        <v>purificador de água</v>
      </c>
      <c r="F200" s="8"/>
      <c r="G200" s="15" t="str">
        <f t="shared" si="3"/>
        <v>9</v>
      </c>
      <c r="H200" s="9">
        <f t="shared" si="4"/>
        <v>9</v>
      </c>
      <c r="I200" s="6" t="str">
        <f>IFERROR(__xludf.DUMMYFUNCTION("MAX(FILTER($H$2:$H501,$E$2:$E501=F200))"),"#N/A")</f>
        <v>#N/A</v>
      </c>
    </row>
    <row r="201">
      <c r="A201" s="4"/>
      <c r="B201" s="4"/>
      <c r="C201" s="4" t="s">
        <v>2541</v>
      </c>
      <c r="D201" s="8" t="str">
        <f t="shared" si="1"/>
        <v>{"valorA":"carregador de celular","valorB":17}</v>
      </c>
      <c r="E201" s="8" t="str">
        <f t="shared" si="2"/>
        <v>carregador de celular</v>
      </c>
      <c r="F201" s="8"/>
      <c r="G201" s="15" t="str">
        <f t="shared" si="3"/>
        <v>17</v>
      </c>
      <c r="H201" s="9">
        <f t="shared" si="4"/>
        <v>17</v>
      </c>
      <c r="I201" s="6" t="str">
        <f>IFERROR(__xludf.DUMMYFUNCTION("MAX(FILTER($H$2:$H501,$E$2:$E501=F201))"),"#N/A")</f>
        <v>#N/A</v>
      </c>
    </row>
    <row r="202">
      <c r="A202" s="4"/>
      <c r="B202" s="4"/>
      <c r="C202" s="4" t="s">
        <v>2317</v>
      </c>
      <c r="D202" s="8" t="str">
        <f t="shared" si="1"/>
        <v>{"valorA":"relógio","valorB":11}</v>
      </c>
      <c r="E202" s="8" t="str">
        <f t="shared" si="2"/>
        <v>relógio</v>
      </c>
      <c r="F202" s="8"/>
      <c r="G202" s="15" t="str">
        <f t="shared" si="3"/>
        <v>11</v>
      </c>
      <c r="H202" s="9">
        <f t="shared" si="4"/>
        <v>11</v>
      </c>
      <c r="I202" s="6" t="str">
        <f>IFERROR(__xludf.DUMMYFUNCTION("MAX(FILTER($H$2:$H501,$E$2:$E501=F202))"),"#N/A")</f>
        <v>#N/A</v>
      </c>
    </row>
    <row r="203">
      <c r="A203" s="4"/>
      <c r="B203" s="4"/>
      <c r="C203" s="4" t="s">
        <v>2483</v>
      </c>
      <c r="D203" s="8" t="str">
        <f t="shared" si="1"/>
        <v>{"valorA":"celular","valorB":14}</v>
      </c>
      <c r="E203" s="8" t="str">
        <f t="shared" si="2"/>
        <v>celular</v>
      </c>
      <c r="F203" s="8"/>
      <c r="G203" s="15" t="str">
        <f t="shared" si="3"/>
        <v>14</v>
      </c>
      <c r="H203" s="9">
        <f t="shared" si="4"/>
        <v>14</v>
      </c>
      <c r="I203" s="6" t="str">
        <f>IFERROR(__xludf.DUMMYFUNCTION("MAX(FILTER($H$2:$H501,$E$2:$E501=F203))"),"#N/A")</f>
        <v>#N/A</v>
      </c>
    </row>
    <row r="204">
      <c r="A204" s="4"/>
      <c r="B204" s="4"/>
      <c r="C204" s="4" t="s">
        <v>2374</v>
      </c>
      <c r="D204" s="8" t="str">
        <f t="shared" si="1"/>
        <v>{"valorA":"purificador de água","valorB":10}</v>
      </c>
      <c r="E204" s="8" t="str">
        <f t="shared" si="2"/>
        <v>purificador de água</v>
      </c>
      <c r="F204" s="8"/>
      <c r="G204" s="15" t="str">
        <f t="shared" si="3"/>
        <v>10</v>
      </c>
      <c r="H204" s="9">
        <f t="shared" si="4"/>
        <v>10</v>
      </c>
      <c r="I204" s="6" t="str">
        <f>IFERROR(__xludf.DUMMYFUNCTION("MAX(FILTER($H$2:$H501,$E$2:$E501=F204))"),"#N/A")</f>
        <v>#N/A</v>
      </c>
    </row>
    <row r="205">
      <c r="A205" s="4"/>
      <c r="B205" s="4"/>
      <c r="C205" s="4" t="s">
        <v>2269</v>
      </c>
      <c r="D205" s="8" t="str">
        <f t="shared" si="1"/>
        <v>{"valorA":"computador","valorB":7}</v>
      </c>
      <c r="E205" s="8" t="str">
        <f t="shared" si="2"/>
        <v>computador</v>
      </c>
      <c r="F205" s="8"/>
      <c r="G205" s="15" t="str">
        <f t="shared" si="3"/>
        <v>7</v>
      </c>
      <c r="H205" s="9">
        <f t="shared" si="4"/>
        <v>7</v>
      </c>
      <c r="I205" s="6" t="str">
        <f>IFERROR(__xludf.DUMMYFUNCTION("MAX(FILTER($H$2:$H501,$E$2:$E501=F205))"),"#N/A")</f>
        <v>#N/A</v>
      </c>
    </row>
    <row r="206">
      <c r="A206" s="4"/>
      <c r="B206" s="4"/>
      <c r="C206" s="4" t="s">
        <v>2334</v>
      </c>
      <c r="D206" s="8" t="str">
        <f t="shared" si="1"/>
        <v>{"valorA":"teclado de computador","valorB":11}</v>
      </c>
      <c r="E206" s="8" t="str">
        <f t="shared" si="2"/>
        <v>teclado de computador</v>
      </c>
      <c r="F206" s="8"/>
      <c r="G206" s="15" t="str">
        <f t="shared" si="3"/>
        <v>11</v>
      </c>
      <c r="H206" s="9">
        <f t="shared" si="4"/>
        <v>11</v>
      </c>
      <c r="I206" s="6" t="str">
        <f>IFERROR(__xludf.DUMMYFUNCTION("MAX(FILTER($H$2:$H501,$E$2:$E501=F206))"),"#N/A")</f>
        <v>#N/A</v>
      </c>
    </row>
    <row r="207">
      <c r="A207" s="4"/>
      <c r="B207" s="4"/>
      <c r="C207" s="4" t="s">
        <v>2254</v>
      </c>
      <c r="D207" s="8" t="str">
        <f t="shared" si="1"/>
        <v>{"valorA":"fogão","valorB":5}</v>
      </c>
      <c r="E207" s="8" t="str">
        <f t="shared" si="2"/>
        <v>fogão</v>
      </c>
      <c r="F207" s="8"/>
      <c r="G207" s="15" t="str">
        <f t="shared" si="3"/>
        <v>5</v>
      </c>
      <c r="H207" s="9">
        <f t="shared" si="4"/>
        <v>5</v>
      </c>
      <c r="I207" s="6" t="str">
        <f>IFERROR(__xludf.DUMMYFUNCTION("MAX(FILTER($H$2:$H501,$E$2:$E501=F207))"),"#N/A")</f>
        <v>#N/A</v>
      </c>
    </row>
    <row r="208">
      <c r="A208" s="4"/>
      <c r="B208" s="4"/>
      <c r="C208" s="4" t="s">
        <v>2252</v>
      </c>
      <c r="D208" s="8" t="str">
        <f t="shared" si="1"/>
        <v>{"valorA":"fone de ouvido","valorB":6}</v>
      </c>
      <c r="E208" s="8" t="str">
        <f t="shared" si="2"/>
        <v>fone de ouvido</v>
      </c>
      <c r="F208" s="8"/>
      <c r="G208" s="15" t="str">
        <f t="shared" si="3"/>
        <v>6</v>
      </c>
      <c r="H208" s="9">
        <f t="shared" si="4"/>
        <v>6</v>
      </c>
      <c r="I208" s="6" t="str">
        <f>IFERROR(__xludf.DUMMYFUNCTION("MAX(FILTER($H$2:$H501,$E$2:$E501=F208))"),"#N/A")</f>
        <v>#N/A</v>
      </c>
    </row>
    <row r="209">
      <c r="A209" s="4"/>
      <c r="B209" s="4"/>
      <c r="C209" s="4" t="s">
        <v>2387</v>
      </c>
      <c r="D209" s="8" t="str">
        <f t="shared" si="1"/>
        <v>{"valorA":"lustre","valorB":9}</v>
      </c>
      <c r="E209" s="8" t="str">
        <f t="shared" si="2"/>
        <v>lustre</v>
      </c>
      <c r="F209" s="8"/>
      <c r="G209" s="15" t="str">
        <f t="shared" si="3"/>
        <v>9</v>
      </c>
      <c r="H209" s="9">
        <f t="shared" si="4"/>
        <v>9</v>
      </c>
      <c r="I209" s="6" t="str">
        <f>IFERROR(__xludf.DUMMYFUNCTION("MAX(FILTER($H$2:$H501,$E$2:$E501=F209))"),"#N/A")</f>
        <v>#N/A</v>
      </c>
    </row>
    <row r="210">
      <c r="A210" s="4"/>
      <c r="B210" s="4"/>
      <c r="C210" s="4" t="s">
        <v>1672</v>
      </c>
      <c r="D210" s="8" t="str">
        <f t="shared" si="1"/>
        <v>{"valorA":"freezer","valorB":14}</v>
      </c>
      <c r="E210" s="8" t="str">
        <f t="shared" si="2"/>
        <v>freezer</v>
      </c>
      <c r="F210" s="8"/>
      <c r="G210" s="15" t="str">
        <f t="shared" si="3"/>
        <v>14</v>
      </c>
      <c r="H210" s="9">
        <f t="shared" si="4"/>
        <v>14</v>
      </c>
      <c r="I210" s="6" t="str">
        <f>IFERROR(__xludf.DUMMYFUNCTION("MAX(FILTER($H$2:$H501,$E$2:$E501=F210))"),"#N/A")</f>
        <v>#N/A</v>
      </c>
    </row>
    <row r="211">
      <c r="A211" s="4"/>
      <c r="B211" s="4"/>
      <c r="C211" s="4" t="s">
        <v>2386</v>
      </c>
      <c r="D211" s="8" t="str">
        <f t="shared" si="1"/>
        <v>{"valorA":"purificador de água","valorB":11}</v>
      </c>
      <c r="E211" s="8" t="str">
        <f t="shared" si="2"/>
        <v>purificador de água</v>
      </c>
      <c r="F211" s="8"/>
      <c r="G211" s="15" t="str">
        <f t="shared" si="3"/>
        <v>11</v>
      </c>
      <c r="H211" s="9">
        <f t="shared" si="4"/>
        <v>11</v>
      </c>
      <c r="I211" s="6" t="str">
        <f>IFERROR(__xludf.DUMMYFUNCTION("MAX(FILTER($H$2:$H501,$E$2:$E501=F211))"),"#N/A")</f>
        <v>#N/A</v>
      </c>
    </row>
    <row r="212">
      <c r="A212" s="4"/>
      <c r="B212" s="4"/>
      <c r="C212" s="4" t="s">
        <v>2261</v>
      </c>
      <c r="D212" s="8" t="str">
        <f t="shared" si="1"/>
        <v>{"valorA":"fogão","valorB":6}</v>
      </c>
      <c r="E212" s="8" t="str">
        <f t="shared" si="2"/>
        <v>fogão</v>
      </c>
      <c r="F212" s="8"/>
      <c r="G212" s="15" t="str">
        <f t="shared" si="3"/>
        <v>6</v>
      </c>
      <c r="H212" s="9">
        <f t="shared" si="4"/>
        <v>6</v>
      </c>
      <c r="I212" s="6" t="str">
        <f>IFERROR(__xludf.DUMMYFUNCTION("MAX(FILTER($H$2:$H501,$E$2:$E501=F212))"),"#N/A")</f>
        <v>#N/A</v>
      </c>
    </row>
    <row r="213">
      <c r="A213" s="4"/>
      <c r="B213" s="4"/>
      <c r="C213" s="4" t="s">
        <v>2311</v>
      </c>
      <c r="D213" s="8" t="str">
        <f t="shared" si="1"/>
        <v>{"valorA":"aspirador","valorB":13}</v>
      </c>
      <c r="E213" s="8" t="str">
        <f t="shared" si="2"/>
        <v>aspirador</v>
      </c>
      <c r="F213" s="8"/>
      <c r="G213" s="15" t="str">
        <f t="shared" si="3"/>
        <v>13</v>
      </c>
      <c r="H213" s="9">
        <f t="shared" si="4"/>
        <v>13</v>
      </c>
      <c r="I213" s="6" t="str">
        <f>IFERROR(__xludf.DUMMYFUNCTION("MAX(FILTER($H$2:$H501,$E$2:$E501=F213))"),"#N/A")</f>
        <v>#N/A</v>
      </c>
    </row>
    <row r="214">
      <c r="A214" s="4"/>
      <c r="B214" s="4"/>
      <c r="C214" s="4" t="s">
        <v>1718</v>
      </c>
      <c r="D214" s="8" t="str">
        <f t="shared" si="1"/>
        <v>{"valorA":"ar condicionado","valorB":15}</v>
      </c>
      <c r="E214" s="8" t="str">
        <f t="shared" si="2"/>
        <v>ar condicionado</v>
      </c>
      <c r="F214" s="8"/>
      <c r="G214" s="15" t="str">
        <f t="shared" si="3"/>
        <v>15</v>
      </c>
      <c r="H214" s="9">
        <f t="shared" si="4"/>
        <v>15</v>
      </c>
      <c r="I214" s="6" t="str">
        <f>IFERROR(__xludf.DUMMYFUNCTION("MAX(FILTER($H$2:$H501,$E$2:$E501=F214))"),"#N/A")</f>
        <v>#N/A</v>
      </c>
    </row>
    <row r="215">
      <c r="A215" s="4"/>
      <c r="B215" s="4"/>
      <c r="C215" s="4" t="s">
        <v>2291</v>
      </c>
      <c r="D215" s="8" t="str">
        <f t="shared" si="1"/>
        <v>{"valorA":"fogão","valorB":7}</v>
      </c>
      <c r="E215" s="8" t="str">
        <f t="shared" si="2"/>
        <v>fogão</v>
      </c>
      <c r="F215" s="8"/>
      <c r="G215" s="15" t="str">
        <f t="shared" si="3"/>
        <v>7</v>
      </c>
      <c r="H215" s="9">
        <f t="shared" si="4"/>
        <v>7</v>
      </c>
      <c r="I215" s="6" t="str">
        <f>IFERROR(__xludf.DUMMYFUNCTION("MAX(FILTER($H$2:$H501,$E$2:$E501=F215))"),"#N/A")</f>
        <v>#N/A</v>
      </c>
    </row>
    <row r="216">
      <c r="A216" s="4"/>
      <c r="B216" s="4"/>
      <c r="C216" s="4" t="s">
        <v>1673</v>
      </c>
      <c r="D216" s="8" t="str">
        <f t="shared" si="1"/>
        <v>{"valorA":"freezer","valorB":15}</v>
      </c>
      <c r="E216" s="8" t="str">
        <f t="shared" si="2"/>
        <v>freezer</v>
      </c>
      <c r="F216" s="8"/>
      <c r="G216" s="15" t="str">
        <f t="shared" si="3"/>
        <v>15</v>
      </c>
      <c r="H216" s="9">
        <f t="shared" si="4"/>
        <v>15</v>
      </c>
      <c r="I216" s="6" t="str">
        <f>IFERROR(__xludf.DUMMYFUNCTION("MAX(FILTER($H$2:$H501,$E$2:$E501=F216))"),"#N/A")</f>
        <v>#N/A</v>
      </c>
    </row>
    <row r="217">
      <c r="A217" s="4"/>
      <c r="B217" s="4"/>
      <c r="C217" s="4" t="s">
        <v>2344</v>
      </c>
      <c r="D217" s="8" t="str">
        <f t="shared" si="1"/>
        <v>{"valorA":"aspirador","valorB":14}</v>
      </c>
      <c r="E217" s="8" t="str">
        <f t="shared" si="2"/>
        <v>aspirador</v>
      </c>
      <c r="F217" s="8"/>
      <c r="G217" s="15" t="str">
        <f t="shared" si="3"/>
        <v>14</v>
      </c>
      <c r="H217" s="9">
        <f t="shared" si="4"/>
        <v>14</v>
      </c>
      <c r="I217" s="6" t="str">
        <f>IFERROR(__xludf.DUMMYFUNCTION("MAX(FILTER($H$2:$H501,$E$2:$E501=F217))"),"#N/A")</f>
        <v>#N/A</v>
      </c>
    </row>
    <row r="218">
      <c r="A218" s="4"/>
      <c r="B218" s="4"/>
      <c r="C218" s="4" t="s">
        <v>2407</v>
      </c>
      <c r="D218" s="8" t="str">
        <f t="shared" si="1"/>
        <v>{"valorA":"purificador de água","valorB":12}</v>
      </c>
      <c r="E218" s="8" t="str">
        <f t="shared" si="2"/>
        <v>purificador de água</v>
      </c>
      <c r="F218" s="8"/>
      <c r="G218" s="15" t="str">
        <f t="shared" si="3"/>
        <v>12</v>
      </c>
      <c r="H218" s="9">
        <f t="shared" si="4"/>
        <v>12</v>
      </c>
      <c r="I218" s="6" t="str">
        <f>IFERROR(__xludf.DUMMYFUNCTION("MAX(FILTER($H$2:$H501,$E$2:$E501=F218))"),"#N/A")</f>
        <v>#N/A</v>
      </c>
    </row>
    <row r="219">
      <c r="A219" s="4"/>
      <c r="B219" s="4"/>
      <c r="C219" s="4" t="s">
        <v>2417</v>
      </c>
      <c r="D219" s="8" t="str">
        <f t="shared" si="1"/>
        <v>{"valorA":"purificador de água","valorB":13}</v>
      </c>
      <c r="E219" s="8" t="str">
        <f t="shared" si="2"/>
        <v>purificador de água</v>
      </c>
      <c r="F219" s="8"/>
      <c r="G219" s="15" t="str">
        <f t="shared" si="3"/>
        <v>13</v>
      </c>
      <c r="H219" s="9">
        <f t="shared" si="4"/>
        <v>13</v>
      </c>
      <c r="I219" s="6" t="str">
        <f>IFERROR(__xludf.DUMMYFUNCTION("MAX(FILTER($H$2:$H501,$E$2:$E501=F219))"),"#N/A")</f>
        <v>#N/A</v>
      </c>
    </row>
    <row r="220">
      <c r="A220" s="4"/>
      <c r="B220" s="4"/>
      <c r="C220" s="4" t="s">
        <v>2258</v>
      </c>
      <c r="D220" s="8" t="str">
        <f t="shared" si="1"/>
        <v>{"valorA":"chuveiro elétrico","valorB":10}</v>
      </c>
      <c r="E220" s="8" t="str">
        <f t="shared" si="2"/>
        <v>chuveiro elétrico</v>
      </c>
      <c r="F220" s="8"/>
      <c r="G220" s="15" t="str">
        <f t="shared" si="3"/>
        <v>10</v>
      </c>
      <c r="H220" s="9">
        <f t="shared" si="4"/>
        <v>10</v>
      </c>
      <c r="I220" s="6" t="str">
        <f>IFERROR(__xludf.DUMMYFUNCTION("MAX(FILTER($H$2:$H501,$E$2:$E501=F220))"),"#N/A")</f>
        <v>#N/A</v>
      </c>
    </row>
    <row r="221">
      <c r="A221" s="4"/>
      <c r="B221" s="4"/>
      <c r="C221" s="4" t="s">
        <v>1719</v>
      </c>
      <c r="D221" s="8" t="str">
        <f t="shared" si="1"/>
        <v>{"valorA":"ar condicionado","valorB":16}</v>
      </c>
      <c r="E221" s="8" t="str">
        <f t="shared" si="2"/>
        <v>ar condicionado</v>
      </c>
      <c r="F221" s="8"/>
      <c r="G221" s="15" t="str">
        <f t="shared" si="3"/>
        <v>16</v>
      </c>
      <c r="H221" s="9">
        <f t="shared" si="4"/>
        <v>16</v>
      </c>
      <c r="I221" s="6" t="str">
        <f>IFERROR(__xludf.DUMMYFUNCTION("MAX(FILTER($H$2:$H501,$E$2:$E501=F221))"),"#N/A")</f>
        <v>#N/A</v>
      </c>
    </row>
    <row r="222">
      <c r="A222" s="4"/>
      <c r="B222" s="4"/>
      <c r="C222" s="4" t="s">
        <v>2336</v>
      </c>
      <c r="D222" s="8" t="str">
        <f t="shared" si="1"/>
        <v>{"valorA":"teclado de computador","valorB":12}</v>
      </c>
      <c r="E222" s="8" t="str">
        <f t="shared" si="2"/>
        <v>teclado de computador</v>
      </c>
      <c r="F222" s="8"/>
      <c r="G222" s="15" t="str">
        <f t="shared" si="3"/>
        <v>12</v>
      </c>
      <c r="H222" s="9">
        <f t="shared" si="4"/>
        <v>12</v>
      </c>
      <c r="I222" s="6" t="str">
        <f>IFERROR(__xludf.DUMMYFUNCTION("MAX(FILTER($H$2:$H501,$E$2:$E501=F222))"),"#N/A")</f>
        <v>#N/A</v>
      </c>
    </row>
    <row r="223">
      <c r="A223" s="4"/>
      <c r="B223" s="4"/>
      <c r="C223" s="4" t="s">
        <v>1674</v>
      </c>
      <c r="D223" s="8" t="str">
        <f t="shared" si="1"/>
        <v>{"valorA":"freezer","valorB":16}</v>
      </c>
      <c r="E223" s="8" t="str">
        <f t="shared" si="2"/>
        <v>freezer</v>
      </c>
      <c r="F223" s="8"/>
      <c r="G223" s="15" t="str">
        <f t="shared" si="3"/>
        <v>16</v>
      </c>
      <c r="H223" s="9">
        <f t="shared" si="4"/>
        <v>16</v>
      </c>
      <c r="I223" s="6" t="str">
        <f>IFERROR(__xludf.DUMMYFUNCTION("MAX(FILTER($H$2:$H501,$E$2:$E501=F223))"),"#N/A")</f>
        <v>#N/A</v>
      </c>
    </row>
    <row r="224">
      <c r="A224" s="4"/>
      <c r="B224" s="4"/>
      <c r="C224" s="4" t="s">
        <v>2307</v>
      </c>
      <c r="D224" s="8" t="str">
        <f t="shared" si="1"/>
        <v>{"valorA":"fogão","valorB":8}</v>
      </c>
      <c r="E224" s="8" t="str">
        <f t="shared" si="2"/>
        <v>fogão</v>
      </c>
      <c r="F224" s="8"/>
      <c r="G224" s="15" t="str">
        <f t="shared" si="3"/>
        <v>8</v>
      </c>
      <c r="H224" s="9">
        <f t="shared" si="4"/>
        <v>8</v>
      </c>
      <c r="I224" s="6" t="str">
        <f>IFERROR(__xludf.DUMMYFUNCTION("MAX(FILTER($H$2:$H501,$E$2:$E501=F224))"),"#N/A")</f>
        <v>#N/A</v>
      </c>
    </row>
    <row r="225">
      <c r="A225" s="4"/>
      <c r="B225" s="4"/>
      <c r="C225" s="4" t="s">
        <v>2262</v>
      </c>
      <c r="D225" s="8" t="str">
        <f t="shared" si="1"/>
        <v>{"valorA":"fone de ouvido","valorB":7}</v>
      </c>
      <c r="E225" s="8" t="str">
        <f t="shared" si="2"/>
        <v>fone de ouvido</v>
      </c>
      <c r="F225" s="8"/>
      <c r="G225" s="15" t="str">
        <f t="shared" si="3"/>
        <v>7</v>
      </c>
      <c r="H225" s="9">
        <f t="shared" si="4"/>
        <v>7</v>
      </c>
      <c r="I225" s="6" t="str">
        <f>IFERROR(__xludf.DUMMYFUNCTION("MAX(FILTER($H$2:$H501,$E$2:$E501=F225))"),"#N/A")</f>
        <v>#N/A</v>
      </c>
    </row>
    <row r="226">
      <c r="A226" s="4"/>
      <c r="B226" s="4"/>
      <c r="C226" s="4" t="s">
        <v>2375</v>
      </c>
      <c r="D226" s="8" t="str">
        <f t="shared" si="1"/>
        <v>{"valorA":"aspirador","valorB":15}</v>
      </c>
      <c r="E226" s="8" t="str">
        <f t="shared" si="2"/>
        <v>aspirador</v>
      </c>
      <c r="F226" s="8"/>
      <c r="G226" s="15" t="str">
        <f t="shared" si="3"/>
        <v>15</v>
      </c>
      <c r="H226" s="9">
        <f t="shared" si="4"/>
        <v>15</v>
      </c>
      <c r="I226" s="6" t="str">
        <f>IFERROR(__xludf.DUMMYFUNCTION("MAX(FILTER($H$2:$H501,$E$2:$E501=F226))"),"#N/A")</f>
        <v>#N/A</v>
      </c>
    </row>
    <row r="227">
      <c r="A227" s="4"/>
      <c r="B227" s="4"/>
      <c r="C227" s="4" t="s">
        <v>2278</v>
      </c>
      <c r="D227" s="8" t="str">
        <f t="shared" si="1"/>
        <v>{"valorA":"chuveiro elétrico","valorB":11}</v>
      </c>
      <c r="E227" s="8" t="str">
        <f t="shared" si="2"/>
        <v>chuveiro elétrico</v>
      </c>
      <c r="F227" s="8"/>
      <c r="G227" s="15" t="str">
        <f t="shared" si="3"/>
        <v>11</v>
      </c>
      <c r="H227" s="9">
        <f t="shared" si="4"/>
        <v>11</v>
      </c>
      <c r="I227" s="6" t="str">
        <f>IFERROR(__xludf.DUMMYFUNCTION("MAX(FILTER($H$2:$H501,$E$2:$E501=F227))"),"#N/A")</f>
        <v>#N/A</v>
      </c>
    </row>
    <row r="228">
      <c r="A228" s="4"/>
      <c r="B228" s="4"/>
      <c r="C228" s="4" t="s">
        <v>1675</v>
      </c>
      <c r="D228" s="8" t="str">
        <f t="shared" si="1"/>
        <v>{"valorA":"freezer","valorB":17}</v>
      </c>
      <c r="E228" s="8" t="str">
        <f t="shared" si="2"/>
        <v>freezer</v>
      </c>
      <c r="F228" s="8"/>
      <c r="G228" s="15" t="str">
        <f t="shared" si="3"/>
        <v>17</v>
      </c>
      <c r="H228" s="9">
        <f t="shared" si="4"/>
        <v>17</v>
      </c>
      <c r="I228" s="6" t="str">
        <f>IFERROR(__xludf.DUMMYFUNCTION("MAX(FILTER($H$2:$H501,$E$2:$E501=F228))"),"#N/A")</f>
        <v>#N/A</v>
      </c>
    </row>
    <row r="229">
      <c r="A229" s="4"/>
      <c r="B229" s="4"/>
      <c r="C229" s="4" t="s">
        <v>1676</v>
      </c>
      <c r="D229" s="8" t="str">
        <f t="shared" si="1"/>
        <v>{"valorA":"freezer","valorB":18}</v>
      </c>
      <c r="E229" s="8" t="str">
        <f t="shared" si="2"/>
        <v>freezer</v>
      </c>
      <c r="F229" s="8"/>
      <c r="G229" s="15" t="str">
        <f t="shared" si="3"/>
        <v>18</v>
      </c>
      <c r="H229" s="9">
        <f t="shared" si="4"/>
        <v>18</v>
      </c>
      <c r="I229" s="6" t="str">
        <f>IFERROR(__xludf.DUMMYFUNCTION("MAX(FILTER($H$2:$H501,$E$2:$E501=F229))"),"#N/A")</f>
        <v>#N/A</v>
      </c>
    </row>
    <row r="230">
      <c r="A230" s="4"/>
      <c r="B230" s="4"/>
      <c r="C230" s="4" t="s">
        <v>2469</v>
      </c>
      <c r="D230" s="8" t="str">
        <f t="shared" si="1"/>
        <v>{"valorA":"purificador de água","valorB":14}</v>
      </c>
      <c r="E230" s="8" t="str">
        <f t="shared" si="2"/>
        <v>purificador de água</v>
      </c>
      <c r="F230" s="8"/>
      <c r="G230" s="15" t="str">
        <f t="shared" si="3"/>
        <v>14</v>
      </c>
      <c r="H230" s="9">
        <f t="shared" si="4"/>
        <v>14</v>
      </c>
      <c r="I230" s="6" t="str">
        <f>IFERROR(__xludf.DUMMYFUNCTION("MAX(FILTER($H$2:$H501,$E$2:$E501=F230))"),"#N/A")</f>
        <v>#N/A</v>
      </c>
    </row>
    <row r="231">
      <c r="A231" s="4"/>
      <c r="B231" s="4"/>
      <c r="C231" s="4" t="s">
        <v>2263</v>
      </c>
      <c r="D231" s="8" t="str">
        <f t="shared" si="1"/>
        <v>{"valorA":"fone de ouvido","valorB":8}</v>
      </c>
      <c r="E231" s="8" t="str">
        <f t="shared" si="2"/>
        <v>fone de ouvido</v>
      </c>
      <c r="F231" s="8"/>
      <c r="G231" s="15" t="str">
        <f t="shared" si="3"/>
        <v>8</v>
      </c>
      <c r="H231" s="9">
        <f t="shared" si="4"/>
        <v>8</v>
      </c>
      <c r="I231" s="6" t="str">
        <f>IFERROR(__xludf.DUMMYFUNCTION("MAX(FILTER($H$2:$H501,$E$2:$E501=F231))"),"#N/A")</f>
        <v>#N/A</v>
      </c>
    </row>
    <row r="232">
      <c r="A232" s="4"/>
      <c r="B232" s="4"/>
      <c r="C232" s="4" t="s">
        <v>2591</v>
      </c>
      <c r="D232" s="8" t="str">
        <f t="shared" si="1"/>
        <v>{"valorA":"carregador de celular","valorB":18}</v>
      </c>
      <c r="E232" s="8" t="str">
        <f t="shared" si="2"/>
        <v>carregador de celular</v>
      </c>
      <c r="F232" s="8"/>
      <c r="G232" s="15" t="str">
        <f t="shared" si="3"/>
        <v>18</v>
      </c>
      <c r="H232" s="9">
        <f t="shared" si="4"/>
        <v>18</v>
      </c>
      <c r="I232" s="6" t="str">
        <f>IFERROR(__xludf.DUMMYFUNCTION("MAX(FILTER($H$2:$H501,$E$2:$E501=F232))"),"#N/A")</f>
        <v>#N/A</v>
      </c>
    </row>
    <row r="233">
      <c r="A233" s="4"/>
      <c r="B233" s="4"/>
      <c r="C233" s="4" t="s">
        <v>1723</v>
      </c>
      <c r="D233" s="8" t="str">
        <f t="shared" si="1"/>
        <v>{"valorA":"ar condicionado","valorB":17}</v>
      </c>
      <c r="E233" s="8" t="str">
        <f t="shared" si="2"/>
        <v>ar condicionado</v>
      </c>
      <c r="F233" s="8"/>
      <c r="G233" s="15" t="str">
        <f t="shared" si="3"/>
        <v>17</v>
      </c>
      <c r="H233" s="9">
        <f t="shared" si="4"/>
        <v>17</v>
      </c>
      <c r="I233" s="6" t="str">
        <f>IFERROR(__xludf.DUMMYFUNCTION("MAX(FILTER($H$2:$H501,$E$2:$E501=F233))"),"#N/A")</f>
        <v>#N/A</v>
      </c>
    </row>
    <row r="234">
      <c r="A234" s="4"/>
      <c r="B234" s="4"/>
      <c r="C234" s="4" t="s">
        <v>2320</v>
      </c>
      <c r="D234" s="8" t="str">
        <f t="shared" si="1"/>
        <v>{"valorA":"liquidificador","valorB":12}</v>
      </c>
      <c r="E234" s="8" t="str">
        <f t="shared" si="2"/>
        <v>liquidificador</v>
      </c>
      <c r="F234" s="8"/>
      <c r="G234" s="15" t="str">
        <f t="shared" si="3"/>
        <v>12</v>
      </c>
      <c r="H234" s="9">
        <f t="shared" si="4"/>
        <v>12</v>
      </c>
      <c r="I234" s="6" t="str">
        <f>IFERROR(__xludf.DUMMYFUNCTION("MAX(FILTER($H$2:$H501,$E$2:$E501=F234))"),"#N/A")</f>
        <v>#N/A</v>
      </c>
    </row>
    <row r="235">
      <c r="A235" s="4"/>
      <c r="B235" s="4"/>
      <c r="C235" s="4" t="s">
        <v>2389</v>
      </c>
      <c r="D235" s="8" t="str">
        <f t="shared" si="1"/>
        <v>{"valorA":"lustre","valorB":10}</v>
      </c>
      <c r="E235" s="8" t="str">
        <f t="shared" si="2"/>
        <v>lustre</v>
      </c>
      <c r="F235" s="8"/>
      <c r="G235" s="15" t="str">
        <f t="shared" si="3"/>
        <v>10</v>
      </c>
      <c r="H235" s="9">
        <f t="shared" si="4"/>
        <v>10</v>
      </c>
      <c r="I235" s="6" t="str">
        <f>IFERROR(__xludf.DUMMYFUNCTION("MAX(FILTER($H$2:$H501,$E$2:$E501=F235))"),"#N/A")</f>
        <v>#N/A</v>
      </c>
    </row>
    <row r="236">
      <c r="A236" s="4"/>
      <c r="B236" s="4"/>
      <c r="C236" s="4" t="s">
        <v>2325</v>
      </c>
      <c r="D236" s="8" t="str">
        <f t="shared" si="1"/>
        <v>{"valorA":"relógio","valorB":12}</v>
      </c>
      <c r="E236" s="8" t="str">
        <f t="shared" si="2"/>
        <v>relógio</v>
      </c>
      <c r="F236" s="8"/>
      <c r="G236" s="15" t="str">
        <f t="shared" si="3"/>
        <v>12</v>
      </c>
      <c r="H236" s="9">
        <f t="shared" si="4"/>
        <v>12</v>
      </c>
      <c r="I236" s="6" t="str">
        <f>IFERROR(__xludf.DUMMYFUNCTION("MAX(FILTER($H$2:$H501,$E$2:$E501=F236))"),"#N/A")</f>
        <v>#N/A</v>
      </c>
    </row>
    <row r="237">
      <c r="A237" s="4"/>
      <c r="B237" s="4"/>
      <c r="C237" s="4" t="s">
        <v>2376</v>
      </c>
      <c r="D237" s="8" t="str">
        <f t="shared" si="1"/>
        <v>{"valorA":"filtro de linha","valorB":13}</v>
      </c>
      <c r="E237" s="8" t="str">
        <f t="shared" si="2"/>
        <v>filtro de linha</v>
      </c>
      <c r="F237" s="8"/>
      <c r="G237" s="15" t="str">
        <f t="shared" si="3"/>
        <v>13</v>
      </c>
      <c r="H237" s="9">
        <f t="shared" si="4"/>
        <v>13</v>
      </c>
      <c r="I237" s="6" t="str">
        <f>IFERROR(__xludf.DUMMYFUNCTION("MAX(FILTER($H$2:$H501,$E$2:$E501=F237))"),"#N/A")</f>
        <v>#N/A</v>
      </c>
    </row>
    <row r="238">
      <c r="A238" s="4"/>
      <c r="B238" s="4"/>
      <c r="C238" s="4" t="s">
        <v>2337</v>
      </c>
      <c r="D238" s="8" t="str">
        <f t="shared" si="1"/>
        <v>{"valorA":"teclado de computador","valorB":13}</v>
      </c>
      <c r="E238" s="8" t="str">
        <f t="shared" si="2"/>
        <v>teclado de computador</v>
      </c>
      <c r="F238" s="8"/>
      <c r="G238" s="15" t="str">
        <f t="shared" si="3"/>
        <v>13</v>
      </c>
      <c r="H238" s="9">
        <f t="shared" si="4"/>
        <v>13</v>
      </c>
      <c r="I238" s="6" t="str">
        <f>IFERROR(__xludf.DUMMYFUNCTION("MAX(FILTER($H$2:$H501,$E$2:$E501=F238))"),"#N/A")</f>
        <v>#N/A</v>
      </c>
    </row>
    <row r="239">
      <c r="A239" s="4"/>
      <c r="B239" s="4"/>
      <c r="C239" s="4" t="s">
        <v>2345</v>
      </c>
      <c r="D239" s="8" t="str">
        <f t="shared" si="1"/>
        <v>{"valorA":"carregador de computador","valorB":10}</v>
      </c>
      <c r="E239" s="8" t="str">
        <f t="shared" si="2"/>
        <v>carregador de computador</v>
      </c>
      <c r="F239" s="8"/>
      <c r="G239" s="15" t="str">
        <f t="shared" si="3"/>
        <v>10</v>
      </c>
      <c r="H239" s="9">
        <f t="shared" si="4"/>
        <v>10</v>
      </c>
      <c r="I239" s="6" t="str">
        <f>IFERROR(__xludf.DUMMYFUNCTION("MAX(FILTER($H$2:$H501,$E$2:$E501=F239))"),"#N/A")</f>
        <v>#N/A</v>
      </c>
    </row>
    <row r="240">
      <c r="A240" s="4"/>
      <c r="B240" s="4"/>
      <c r="C240" s="4" t="s">
        <v>2272</v>
      </c>
      <c r="D240" s="8" t="str">
        <f t="shared" si="1"/>
        <v>{"valorA":"computador","valorB":8}</v>
      </c>
      <c r="E240" s="8" t="str">
        <f t="shared" si="2"/>
        <v>computador</v>
      </c>
      <c r="F240" s="8"/>
      <c r="G240" s="15" t="str">
        <f t="shared" si="3"/>
        <v>8</v>
      </c>
      <c r="H240" s="9">
        <f t="shared" si="4"/>
        <v>8</v>
      </c>
      <c r="I240" s="6" t="str">
        <f>IFERROR(__xludf.DUMMYFUNCTION("MAX(FILTER($H$2:$H501,$E$2:$E501=F240))"),"#N/A")</f>
        <v>#N/A</v>
      </c>
    </row>
    <row r="241">
      <c r="A241" s="4"/>
      <c r="B241" s="4"/>
      <c r="C241" s="4" t="s">
        <v>2355</v>
      </c>
      <c r="D241" s="8" t="str">
        <f t="shared" si="1"/>
        <v>{"valorA":"ventilador","valorB":11}</v>
      </c>
      <c r="E241" s="8" t="str">
        <f t="shared" si="2"/>
        <v>ventilador</v>
      </c>
      <c r="F241" s="8"/>
      <c r="G241" s="15" t="str">
        <f t="shared" si="3"/>
        <v>11</v>
      </c>
      <c r="H241" s="9">
        <f t="shared" si="4"/>
        <v>11</v>
      </c>
      <c r="I241" s="6" t="str">
        <f>IFERROR(__xludf.DUMMYFUNCTION("MAX(FILTER($H$2:$H501,$E$2:$E501=F241))"),"#N/A")</f>
        <v>#N/A</v>
      </c>
    </row>
    <row r="242">
      <c r="A242" s="4"/>
      <c r="B242" s="4"/>
      <c r="C242" s="4" t="s">
        <v>1724</v>
      </c>
      <c r="D242" s="8" t="str">
        <f t="shared" si="1"/>
        <v>{"valorA":"ar condicionado","valorB":18}</v>
      </c>
      <c r="E242" s="8" t="str">
        <f t="shared" si="2"/>
        <v>ar condicionado</v>
      </c>
      <c r="F242" s="8"/>
      <c r="G242" s="15" t="str">
        <f t="shared" si="3"/>
        <v>18</v>
      </c>
      <c r="H242" s="9">
        <f t="shared" si="4"/>
        <v>18</v>
      </c>
      <c r="I242" s="6" t="str">
        <f>IFERROR(__xludf.DUMMYFUNCTION("MAX(FILTER($H$2:$H501,$E$2:$E501=F242))"),"#N/A")</f>
        <v>#N/A</v>
      </c>
    </row>
    <row r="243">
      <c r="A243" s="4"/>
      <c r="B243" s="4"/>
      <c r="C243" s="4" t="s">
        <v>2324</v>
      </c>
      <c r="D243" s="8" t="str">
        <f t="shared" si="1"/>
        <v>{"valorA":"liquidificador","valorB":13}</v>
      </c>
      <c r="E243" s="8" t="str">
        <f t="shared" si="2"/>
        <v>liquidificador</v>
      </c>
      <c r="F243" s="8"/>
      <c r="G243" s="15" t="str">
        <f t="shared" si="3"/>
        <v>13</v>
      </c>
      <c r="H243" s="9">
        <f t="shared" si="4"/>
        <v>13</v>
      </c>
      <c r="I243" s="6" t="str">
        <f>IFERROR(__xludf.DUMMYFUNCTION("MAX(FILTER($H$2:$H501,$E$2:$E501=F243))"),"#N/A")</f>
        <v>#N/A</v>
      </c>
    </row>
    <row r="244">
      <c r="A244" s="4"/>
      <c r="B244" s="4"/>
      <c r="C244" s="4" t="s">
        <v>2358</v>
      </c>
      <c r="D244" s="8" t="str">
        <f t="shared" si="1"/>
        <v>{"valorA":"roteador","valorB":12}</v>
      </c>
      <c r="E244" s="8" t="str">
        <f t="shared" si="2"/>
        <v>roteador</v>
      </c>
      <c r="F244" s="8"/>
      <c r="G244" s="15" t="str">
        <f t="shared" si="3"/>
        <v>12</v>
      </c>
      <c r="H244" s="9">
        <f t="shared" si="4"/>
        <v>12</v>
      </c>
      <c r="I244" s="6" t="str">
        <f>IFERROR(__xludf.DUMMYFUNCTION("MAX(FILTER($H$2:$H501,$E$2:$E501=F244))"),"#N/A")</f>
        <v>#N/A</v>
      </c>
    </row>
    <row r="245">
      <c r="A245" s="4"/>
      <c r="B245" s="4"/>
      <c r="C245" s="4" t="s">
        <v>2367</v>
      </c>
      <c r="D245" s="8" t="str">
        <f t="shared" si="1"/>
        <v>{"valorA":"ventilador","valorB":12}</v>
      </c>
      <c r="E245" s="8" t="str">
        <f t="shared" si="2"/>
        <v>ventilador</v>
      </c>
      <c r="F245" s="8"/>
      <c r="G245" s="15" t="str">
        <f t="shared" si="3"/>
        <v>12</v>
      </c>
      <c r="H245" s="9">
        <f t="shared" si="4"/>
        <v>12</v>
      </c>
      <c r="I245" s="6" t="str">
        <f>IFERROR(__xludf.DUMMYFUNCTION("MAX(FILTER($H$2:$H501,$E$2:$E501=F245))"),"#N/A")</f>
        <v>#N/A</v>
      </c>
    </row>
    <row r="246">
      <c r="A246" s="4"/>
      <c r="B246" s="4"/>
      <c r="C246" s="4" t="s">
        <v>2371</v>
      </c>
      <c r="D246" s="8" t="str">
        <f t="shared" si="1"/>
        <v>{"valorA":"ventilador","valorB":13}</v>
      </c>
      <c r="E246" s="8" t="str">
        <f t="shared" si="2"/>
        <v>ventilador</v>
      </c>
      <c r="F246" s="8"/>
      <c r="G246" s="15" t="str">
        <f t="shared" si="3"/>
        <v>13</v>
      </c>
      <c r="H246" s="9">
        <f t="shared" si="4"/>
        <v>13</v>
      </c>
      <c r="I246" s="6" t="str">
        <f>IFERROR(__xludf.DUMMYFUNCTION("MAX(FILTER($H$2:$H501,$E$2:$E501=F246))"),"#N/A")</f>
        <v>#N/A</v>
      </c>
    </row>
    <row r="247">
      <c r="A247" s="4"/>
      <c r="B247" s="4"/>
      <c r="C247" s="4" t="s">
        <v>2360</v>
      </c>
      <c r="D247" s="8" t="str">
        <f t="shared" si="1"/>
        <v>{"valorA":"roteador","valorB":13}</v>
      </c>
      <c r="E247" s="8" t="str">
        <f t="shared" si="2"/>
        <v>roteador</v>
      </c>
      <c r="F247" s="8"/>
      <c r="G247" s="15" t="str">
        <f t="shared" si="3"/>
        <v>13</v>
      </c>
      <c r="H247" s="9">
        <f t="shared" si="4"/>
        <v>13</v>
      </c>
      <c r="I247" s="6" t="str">
        <f>IFERROR(__xludf.DUMMYFUNCTION("MAX(FILTER($H$2:$H501,$E$2:$E501=F247))"),"#N/A")</f>
        <v>#N/A</v>
      </c>
    </row>
    <row r="248">
      <c r="A248" s="4"/>
      <c r="B248" s="4"/>
      <c r="C248" s="4" t="s">
        <v>2349</v>
      </c>
      <c r="D248" s="8" t="str">
        <f t="shared" si="1"/>
        <v>{"valorA":"carregador de computador","valorB":11}</v>
      </c>
      <c r="E248" s="8" t="str">
        <f t="shared" si="2"/>
        <v>carregador de computador</v>
      </c>
      <c r="F248" s="8"/>
      <c r="G248" s="15" t="str">
        <f t="shared" si="3"/>
        <v>11</v>
      </c>
      <c r="H248" s="9">
        <f t="shared" si="4"/>
        <v>11</v>
      </c>
      <c r="I248" s="6" t="str">
        <f>IFERROR(__xludf.DUMMYFUNCTION("MAX(FILTER($H$2:$H501,$E$2:$E501=F248))"),"#N/A")</f>
        <v>#N/A</v>
      </c>
    </row>
    <row r="249">
      <c r="A249" s="4"/>
      <c r="B249" s="4"/>
      <c r="C249" s="4" t="s">
        <v>1726</v>
      </c>
      <c r="D249" s="8" t="str">
        <f t="shared" si="1"/>
        <v>{"valorA":"ar condicionado","valorB":19}</v>
      </c>
      <c r="E249" s="8" t="str">
        <f t="shared" si="2"/>
        <v>ar condicionado</v>
      </c>
      <c r="F249" s="8"/>
      <c r="G249" s="15" t="str">
        <f t="shared" si="3"/>
        <v>19</v>
      </c>
      <c r="H249" s="9">
        <f t="shared" si="4"/>
        <v>19</v>
      </c>
      <c r="I249" s="6" t="str">
        <f>IFERROR(__xludf.DUMMYFUNCTION("MAX(FILTER($H$2:$H501,$E$2:$E501=F249))"),"#N/A")</f>
        <v>#N/A</v>
      </c>
    </row>
    <row r="250">
      <c r="A250" s="4"/>
      <c r="B250" s="4"/>
      <c r="C250" s="4" t="s">
        <v>2282</v>
      </c>
      <c r="D250" s="8" t="str">
        <f t="shared" si="1"/>
        <v>{"valorA":"chuveiro elétrico","valorB":12}</v>
      </c>
      <c r="E250" s="8" t="str">
        <f t="shared" si="2"/>
        <v>chuveiro elétrico</v>
      </c>
      <c r="F250" s="8"/>
      <c r="G250" s="15" t="str">
        <f t="shared" si="3"/>
        <v>12</v>
      </c>
      <c r="H250" s="9">
        <f t="shared" si="4"/>
        <v>12</v>
      </c>
      <c r="I250" s="6" t="str">
        <f>IFERROR(__xludf.DUMMYFUNCTION("MAX(FILTER($H$2:$H501,$E$2:$E501=F250))"),"#N/A")</f>
        <v>#N/A</v>
      </c>
    </row>
    <row r="251">
      <c r="A251" s="4"/>
      <c r="B251" s="4"/>
      <c r="C251" s="4" t="s">
        <v>2493</v>
      </c>
      <c r="D251" s="8" t="str">
        <f t="shared" si="1"/>
        <v>{"valorA":"celular","valorB":15}</v>
      </c>
      <c r="E251" s="8" t="str">
        <f t="shared" si="2"/>
        <v>celular</v>
      </c>
      <c r="F251" s="8"/>
      <c r="G251" s="15" t="str">
        <f t="shared" si="3"/>
        <v>15</v>
      </c>
      <c r="H251" s="9">
        <f t="shared" si="4"/>
        <v>15</v>
      </c>
      <c r="I251" s="6" t="str">
        <f>IFERROR(__xludf.DUMMYFUNCTION("MAX(FILTER($H$2:$H501,$E$2:$E501=F251))"),"#N/A")</f>
        <v>#N/A</v>
      </c>
    </row>
    <row r="252">
      <c r="A252" s="4"/>
      <c r="B252" s="4"/>
      <c r="C252" s="4" t="s">
        <v>2492</v>
      </c>
      <c r="D252" s="8" t="str">
        <f t="shared" si="1"/>
        <v>{"valorA":"purificador de água","valorB":15}</v>
      </c>
      <c r="E252" s="8" t="str">
        <f t="shared" si="2"/>
        <v>purificador de água</v>
      </c>
      <c r="F252" s="8"/>
      <c r="G252" s="15" t="str">
        <f t="shared" si="3"/>
        <v>15</v>
      </c>
      <c r="H252" s="9">
        <f t="shared" si="4"/>
        <v>15</v>
      </c>
      <c r="I252" s="6" t="str">
        <f>IFERROR(__xludf.DUMMYFUNCTION("MAX(FILTER($H$2:$H501,$E$2:$E501=F252))"),"#N/A")</f>
        <v>#N/A</v>
      </c>
    </row>
    <row r="253">
      <c r="A253" s="4"/>
      <c r="B253" s="4"/>
      <c r="C253" s="4" t="s">
        <v>2388</v>
      </c>
      <c r="D253" s="8" t="str">
        <f t="shared" si="1"/>
        <v>{"valorA":"mouse de computador","valorB":11}</v>
      </c>
      <c r="E253" s="8" t="str">
        <f t="shared" si="2"/>
        <v>mouse de computador</v>
      </c>
      <c r="F253" s="8"/>
      <c r="G253" s="15" t="str">
        <f t="shared" si="3"/>
        <v>11</v>
      </c>
      <c r="H253" s="9">
        <f t="shared" si="4"/>
        <v>11</v>
      </c>
      <c r="I253" s="6" t="str">
        <f>IFERROR(__xludf.DUMMYFUNCTION("MAX(FILTER($H$2:$H501,$E$2:$E501=F253))"),"#N/A")</f>
        <v>#N/A</v>
      </c>
    </row>
    <row r="254">
      <c r="A254" s="4"/>
      <c r="B254" s="4"/>
      <c r="C254" s="4" t="s">
        <v>2413</v>
      </c>
      <c r="D254" s="8" t="str">
        <f t="shared" si="1"/>
        <v>{"valorA":"mouse de computador","valorB":12}</v>
      </c>
      <c r="E254" s="8" t="str">
        <f t="shared" si="2"/>
        <v>mouse de computador</v>
      </c>
      <c r="F254" s="8"/>
      <c r="G254" s="15" t="str">
        <f t="shared" si="3"/>
        <v>12</v>
      </c>
      <c r="H254" s="9">
        <f t="shared" si="4"/>
        <v>12</v>
      </c>
      <c r="I254" s="6" t="str">
        <f>IFERROR(__xludf.DUMMYFUNCTION("MAX(FILTER($H$2:$H501,$E$2:$E501=F254))"),"#N/A")</f>
        <v>#N/A</v>
      </c>
    </row>
    <row r="255">
      <c r="A255" s="4"/>
      <c r="B255" s="4"/>
      <c r="C255" s="4" t="s">
        <v>1708</v>
      </c>
      <c r="D255" s="8" t="str">
        <f t="shared" si="1"/>
        <v>{"valorA":"microondas","valorB":8}</v>
      </c>
      <c r="E255" s="8" t="str">
        <f t="shared" si="2"/>
        <v>microondas</v>
      </c>
      <c r="F255" s="8"/>
      <c r="G255" s="15" t="str">
        <f t="shared" si="3"/>
        <v>8</v>
      </c>
      <c r="H255" s="9">
        <f t="shared" si="4"/>
        <v>8</v>
      </c>
      <c r="I255" s="6" t="str">
        <f>IFERROR(__xludf.DUMMYFUNCTION("MAX(FILTER($H$2:$H501,$E$2:$E501=F255))"),"#N/A")</f>
        <v>#N/A</v>
      </c>
    </row>
    <row r="256">
      <c r="A256" s="4"/>
      <c r="B256" s="4"/>
      <c r="C256" s="4" t="s">
        <v>2406</v>
      </c>
      <c r="D256" s="8" t="str">
        <f t="shared" si="1"/>
        <v>{"valorA":"lustre","valorB":11}</v>
      </c>
      <c r="E256" s="8" t="str">
        <f t="shared" si="2"/>
        <v>lustre</v>
      </c>
      <c r="F256" s="8"/>
      <c r="G256" s="15" t="str">
        <f t="shared" si="3"/>
        <v>11</v>
      </c>
      <c r="H256" s="9">
        <f t="shared" si="4"/>
        <v>11</v>
      </c>
      <c r="I256" s="6" t="str">
        <f>IFERROR(__xludf.DUMMYFUNCTION("MAX(FILTER($H$2:$H501,$E$2:$E501=F256))"),"#N/A")</f>
        <v>#N/A</v>
      </c>
    </row>
    <row r="257">
      <c r="A257" s="4"/>
      <c r="B257" s="4"/>
      <c r="C257" s="4" t="s">
        <v>2512</v>
      </c>
      <c r="D257" s="8" t="str">
        <f t="shared" si="1"/>
        <v>{"valorA":"celular","valorB":16}</v>
      </c>
      <c r="E257" s="8" t="str">
        <f t="shared" si="2"/>
        <v>celular</v>
      </c>
      <c r="F257" s="8"/>
      <c r="G257" s="15" t="str">
        <f t="shared" si="3"/>
        <v>16</v>
      </c>
      <c r="H257" s="9">
        <f t="shared" si="4"/>
        <v>16</v>
      </c>
      <c r="I257" s="6" t="str">
        <f>IFERROR(__xludf.DUMMYFUNCTION("MAX(FILTER($H$2:$H501,$E$2:$E501=F257))"),"#N/A")</f>
        <v>#N/A</v>
      </c>
    </row>
    <row r="258">
      <c r="A258" s="4"/>
      <c r="B258" s="4"/>
      <c r="C258" s="4" t="s">
        <v>2500</v>
      </c>
      <c r="D258" s="8" t="str">
        <f t="shared" si="1"/>
        <v>{"valorA":"purificador de água","valorB":16}</v>
      </c>
      <c r="E258" s="8" t="str">
        <f t="shared" si="2"/>
        <v>purificador de água</v>
      </c>
      <c r="F258" s="8"/>
      <c r="G258" s="15" t="str">
        <f t="shared" si="3"/>
        <v>16</v>
      </c>
      <c r="H258" s="9">
        <f t="shared" si="4"/>
        <v>16</v>
      </c>
      <c r="I258" s="6" t="str">
        <f>IFERROR(__xludf.DUMMYFUNCTION("MAX(FILTER($H$2:$H501,$E$2:$E501=F258))"),"#N/A")</f>
        <v>#N/A</v>
      </c>
    </row>
    <row r="259">
      <c r="A259" s="4"/>
      <c r="B259" s="4"/>
      <c r="C259" s="4" t="s">
        <v>3517</v>
      </c>
      <c r="D259" s="8" t="str">
        <f t="shared" si="1"/>
        <v>{"valorA":"carregador de celular","valorB":19}</v>
      </c>
      <c r="E259" s="8" t="str">
        <f t="shared" si="2"/>
        <v>carregador de celular</v>
      </c>
      <c r="F259" s="8"/>
      <c r="G259" s="15" t="str">
        <f t="shared" si="3"/>
        <v>19</v>
      </c>
      <c r="H259" s="9">
        <f t="shared" si="4"/>
        <v>19</v>
      </c>
      <c r="I259" s="6" t="str">
        <f>IFERROR(__xludf.DUMMYFUNCTION("MAX(FILTER($H$2:$H501,$E$2:$E501=F259))"),"#N/A")</f>
        <v>#N/A</v>
      </c>
    </row>
    <row r="260">
      <c r="A260" s="4"/>
      <c r="B260" s="4"/>
      <c r="C260" s="4" t="s">
        <v>3518</v>
      </c>
      <c r="D260" s="8" t="str">
        <f t="shared" si="1"/>
        <v>{"valorA":"carregador de celular","valorB":20}</v>
      </c>
      <c r="E260" s="8" t="str">
        <f t="shared" si="2"/>
        <v>carregador de celular</v>
      </c>
      <c r="F260" s="8"/>
      <c r="G260" s="15" t="str">
        <f t="shared" si="3"/>
        <v>20</v>
      </c>
      <c r="H260" s="9">
        <f t="shared" si="4"/>
        <v>20</v>
      </c>
      <c r="I260" s="6" t="str">
        <f>IFERROR(__xludf.DUMMYFUNCTION("MAX(FILTER($H$2:$H501,$E$2:$E501=F260))"),"#N/A")</f>
        <v>#N/A</v>
      </c>
    </row>
    <row r="261">
      <c r="A261" s="4"/>
      <c r="B261" s="4"/>
      <c r="C261" s="4" t="s">
        <v>2485</v>
      </c>
      <c r="D261" s="8" t="str">
        <f t="shared" si="1"/>
        <v>{"valorA":"mouse de computador","valorB":13}</v>
      </c>
      <c r="E261" s="8" t="str">
        <f t="shared" si="2"/>
        <v>mouse de computador</v>
      </c>
      <c r="F261" s="8"/>
      <c r="G261" s="15" t="str">
        <f t="shared" si="3"/>
        <v>13</v>
      </c>
      <c r="H261" s="9">
        <f t="shared" si="4"/>
        <v>13</v>
      </c>
      <c r="I261" s="6" t="str">
        <f>IFERROR(__xludf.DUMMYFUNCTION("MAX(FILTER($H$2:$H501,$E$2:$E501=F261))"),"#N/A")</f>
        <v>#N/A</v>
      </c>
    </row>
    <row r="262">
      <c r="A262" s="4"/>
      <c r="B262" s="4"/>
      <c r="C262" s="4" t="s">
        <v>2340</v>
      </c>
      <c r="D262" s="8" t="str">
        <f t="shared" si="1"/>
        <v>{"valorA":"teclado de computador","valorB":14}</v>
      </c>
      <c r="E262" s="8" t="str">
        <f t="shared" si="2"/>
        <v>teclado de computador</v>
      </c>
      <c r="F262" s="8"/>
      <c r="G262" s="15" t="str">
        <f t="shared" si="3"/>
        <v>14</v>
      </c>
      <c r="H262" s="9">
        <f t="shared" si="4"/>
        <v>14</v>
      </c>
      <c r="I262" s="6" t="str">
        <f>IFERROR(__xludf.DUMMYFUNCTION("MAX(FILTER($H$2:$H501,$E$2:$E501=F262))"),"#N/A")</f>
        <v>#N/A</v>
      </c>
    </row>
    <row r="263">
      <c r="A263" s="4"/>
      <c r="B263" s="4"/>
      <c r="C263" s="4" t="s">
        <v>2531</v>
      </c>
      <c r="D263" s="8" t="str">
        <f t="shared" si="1"/>
        <v>{"valorA":"mouse de computador","valorB":14}</v>
      </c>
      <c r="E263" s="8" t="str">
        <f t="shared" si="2"/>
        <v>mouse de computador</v>
      </c>
      <c r="F263" s="8"/>
      <c r="G263" s="15" t="str">
        <f t="shared" si="3"/>
        <v>14</v>
      </c>
      <c r="H263" s="9">
        <f t="shared" si="4"/>
        <v>14</v>
      </c>
      <c r="I263" s="6" t="str">
        <f>IFERROR(__xludf.DUMMYFUNCTION("MAX(FILTER($H$2:$H501,$E$2:$E501=F263))"),"#N/A")</f>
        <v>#N/A</v>
      </c>
    </row>
    <row r="264">
      <c r="A264" s="4"/>
      <c r="B264" s="4"/>
      <c r="C264" s="4" t="s">
        <v>2294</v>
      </c>
      <c r="D264" s="8" t="str">
        <f t="shared" si="1"/>
        <v>{"valorA":"chuveiro elétrico","valorB":13}</v>
      </c>
      <c r="E264" s="8" t="str">
        <f t="shared" si="2"/>
        <v>chuveiro elétrico</v>
      </c>
      <c r="F264" s="8"/>
      <c r="G264" s="15" t="str">
        <f t="shared" si="3"/>
        <v>13</v>
      </c>
      <c r="H264" s="9">
        <f t="shared" si="4"/>
        <v>13</v>
      </c>
      <c r="I264" s="6" t="str">
        <f>IFERROR(__xludf.DUMMYFUNCTION("MAX(FILTER($H$2:$H501,$E$2:$E501=F264))"),"#N/A")</f>
        <v>#N/A</v>
      </c>
    </row>
    <row r="265">
      <c r="A265" s="4"/>
      <c r="B265" s="4"/>
      <c r="C265" s="4" t="s">
        <v>2366</v>
      </c>
      <c r="D265" s="8" t="str">
        <f t="shared" si="1"/>
        <v>{"valorA":"carregador de computador","valorB":12}</v>
      </c>
      <c r="E265" s="8" t="str">
        <f t="shared" si="2"/>
        <v>carregador de computador</v>
      </c>
      <c r="F265" s="8"/>
      <c r="G265" s="15" t="str">
        <f t="shared" si="3"/>
        <v>12</v>
      </c>
      <c r="H265" s="9">
        <f t="shared" si="4"/>
        <v>12</v>
      </c>
      <c r="I265" s="6" t="str">
        <f>IFERROR(__xludf.DUMMYFUNCTION("MAX(FILTER($H$2:$H501,$E$2:$E501=F265))"),"#N/A")</f>
        <v>#N/A</v>
      </c>
    </row>
    <row r="266">
      <c r="A266" s="4"/>
      <c r="B266" s="4"/>
      <c r="C266" s="4" t="s">
        <v>2303</v>
      </c>
      <c r="D266" s="8" t="str">
        <f t="shared" si="1"/>
        <v>{"valorA":"fone de ouvido","valorB":9}</v>
      </c>
      <c r="E266" s="8" t="str">
        <f t="shared" si="2"/>
        <v>fone de ouvido</v>
      </c>
      <c r="F266" s="8"/>
      <c r="G266" s="15" t="str">
        <f t="shared" si="3"/>
        <v>9</v>
      </c>
      <c r="H266" s="9">
        <f t="shared" si="4"/>
        <v>9</v>
      </c>
      <c r="I266" s="6" t="str">
        <f>IFERROR(__xludf.DUMMYFUNCTION("MAX(FILTER($H$2:$H501,$E$2:$E501=F266))"),"#N/A")</f>
        <v>#N/A</v>
      </c>
    </row>
    <row r="267">
      <c r="A267" s="4"/>
      <c r="B267" s="4"/>
      <c r="C267" s="4" t="s">
        <v>2528</v>
      </c>
      <c r="D267" s="8" t="str">
        <f t="shared" si="1"/>
        <v>{"valorA":"purificador de água","valorB":17}</v>
      </c>
      <c r="E267" s="8" t="str">
        <f t="shared" si="2"/>
        <v>purificador de água</v>
      </c>
      <c r="F267" s="8"/>
      <c r="G267" s="15" t="str">
        <f t="shared" si="3"/>
        <v>17</v>
      </c>
      <c r="H267" s="9">
        <f t="shared" si="4"/>
        <v>17</v>
      </c>
      <c r="I267" s="6" t="str">
        <f>IFERROR(__xludf.DUMMYFUNCTION("MAX(FILTER($H$2:$H501,$E$2:$E501=F267))"),"#N/A")</f>
        <v>#N/A</v>
      </c>
    </row>
    <row r="268">
      <c r="A268" s="4"/>
      <c r="B268" s="4"/>
      <c r="C268" s="4" t="s">
        <v>2394</v>
      </c>
      <c r="D268" s="8" t="str">
        <f t="shared" si="1"/>
        <v>{"valorA":"filtro de linha","valorB":14}</v>
      </c>
      <c r="E268" s="8" t="str">
        <f t="shared" si="2"/>
        <v>filtro de linha</v>
      </c>
      <c r="F268" s="8"/>
      <c r="G268" s="15" t="str">
        <f t="shared" si="3"/>
        <v>14</v>
      </c>
      <c r="H268" s="9">
        <f t="shared" si="4"/>
        <v>14</v>
      </c>
      <c r="I268" s="6" t="str">
        <f>IFERROR(__xludf.DUMMYFUNCTION("MAX(FILTER($H$2:$H501,$E$2:$E501=F268))"),"#N/A")</f>
        <v>#N/A</v>
      </c>
    </row>
    <row r="269">
      <c r="A269" s="4"/>
      <c r="B269" s="4"/>
      <c r="C269" s="4" t="s">
        <v>2379</v>
      </c>
      <c r="D269" s="8" t="str">
        <f t="shared" si="1"/>
        <v>{"valorA":"fone de ouvido","valorB":10}</v>
      </c>
      <c r="E269" s="8" t="str">
        <f t="shared" si="2"/>
        <v>fone de ouvido</v>
      </c>
      <c r="F269" s="8"/>
      <c r="G269" s="15" t="str">
        <f t="shared" si="3"/>
        <v>10</v>
      </c>
      <c r="H269" s="9">
        <f t="shared" si="4"/>
        <v>10</v>
      </c>
      <c r="I269" s="6" t="str">
        <f>IFERROR(__xludf.DUMMYFUNCTION("MAX(FILTER($H$2:$H501,$E$2:$E501=F269))"),"#N/A")</f>
        <v>#N/A</v>
      </c>
    </row>
    <row r="270">
      <c r="A270" s="4"/>
      <c r="B270" s="4"/>
      <c r="C270" s="4" t="s">
        <v>2425</v>
      </c>
      <c r="D270" s="8" t="str">
        <f t="shared" si="1"/>
        <v>{"valorA":"filtro de linha","valorB":15}</v>
      </c>
      <c r="E270" s="8" t="str">
        <f t="shared" si="2"/>
        <v>filtro de linha</v>
      </c>
      <c r="F270" s="8"/>
      <c r="G270" s="15" t="str">
        <f t="shared" si="3"/>
        <v>15</v>
      </c>
      <c r="H270" s="9">
        <f t="shared" si="4"/>
        <v>15</v>
      </c>
      <c r="I270" s="6" t="str">
        <f>IFERROR(__xludf.DUMMYFUNCTION("MAX(FILTER($H$2:$H501,$E$2:$E501=F270))"),"#N/A")</f>
        <v>#N/A</v>
      </c>
    </row>
    <row r="271">
      <c r="A271" s="4"/>
      <c r="B271" s="4"/>
      <c r="C271" s="4" t="s">
        <v>2410</v>
      </c>
      <c r="D271" s="8" t="str">
        <f t="shared" si="1"/>
        <v>{"valorA":"ventilador","valorB":14}</v>
      </c>
      <c r="E271" s="8" t="str">
        <f t="shared" si="2"/>
        <v>ventilador</v>
      </c>
      <c r="F271" s="8"/>
      <c r="G271" s="15" t="str">
        <f t="shared" si="3"/>
        <v>14</v>
      </c>
      <c r="H271" s="9">
        <f t="shared" si="4"/>
        <v>14</v>
      </c>
      <c r="I271" s="6" t="str">
        <f>IFERROR(__xludf.DUMMYFUNCTION("MAX(FILTER($H$2:$H501,$E$2:$E501=F271))"),"#N/A")</f>
        <v>#N/A</v>
      </c>
    </row>
    <row r="272">
      <c r="A272" s="4"/>
      <c r="B272" s="4"/>
      <c r="C272" s="4" t="s">
        <v>2383</v>
      </c>
      <c r="D272" s="8" t="str">
        <f t="shared" si="1"/>
        <v>{"valorA":"fone de ouvido","valorB":11}</v>
      </c>
      <c r="E272" s="8" t="str">
        <f t="shared" si="2"/>
        <v>fone de ouvido</v>
      </c>
      <c r="F272" s="8"/>
      <c r="G272" s="15" t="str">
        <f t="shared" si="3"/>
        <v>11</v>
      </c>
      <c r="H272" s="9">
        <f t="shared" si="4"/>
        <v>11</v>
      </c>
      <c r="I272" s="6" t="str">
        <f>IFERROR(__xludf.DUMMYFUNCTION("MAX(FILTER($H$2:$H501,$E$2:$E501=F272))"),"#N/A")</f>
        <v>#N/A</v>
      </c>
    </row>
    <row r="273">
      <c r="A273" s="4"/>
      <c r="B273" s="4"/>
      <c r="C273" s="4" t="s">
        <v>2530</v>
      </c>
      <c r="D273" s="8" t="str">
        <f t="shared" si="1"/>
        <v>{"valorA":"purificador de água","valorB":18}</v>
      </c>
      <c r="E273" s="8" t="str">
        <f t="shared" si="2"/>
        <v>purificador de água</v>
      </c>
      <c r="F273" s="8"/>
      <c r="G273" s="15" t="str">
        <f t="shared" si="3"/>
        <v>18</v>
      </c>
      <c r="H273" s="9">
        <f t="shared" si="4"/>
        <v>18</v>
      </c>
      <c r="I273" s="6" t="str">
        <f>IFERROR(__xludf.DUMMYFUNCTION("MAX(FILTER($H$2:$H501,$E$2:$E501=F273))"),"#N/A")</f>
        <v>#N/A</v>
      </c>
    </row>
    <row r="274">
      <c r="A274" s="4"/>
      <c r="B274" s="4"/>
      <c r="C274" s="4" t="s">
        <v>2333</v>
      </c>
      <c r="D274" s="8" t="str">
        <f t="shared" si="1"/>
        <v>{"valorA":"liquidificador","valorB":14}</v>
      </c>
      <c r="E274" s="8" t="str">
        <f t="shared" si="2"/>
        <v>liquidificador</v>
      </c>
      <c r="F274" s="8"/>
      <c r="G274" s="15" t="str">
        <f t="shared" si="3"/>
        <v>14</v>
      </c>
      <c r="H274" s="9">
        <f t="shared" si="4"/>
        <v>14</v>
      </c>
      <c r="I274" s="6" t="str">
        <f>IFERROR(__xludf.DUMMYFUNCTION("MAX(FILTER($H$2:$H501,$E$2:$E501=F274))"),"#N/A")</f>
        <v>#N/A</v>
      </c>
    </row>
    <row r="275">
      <c r="A275" s="4"/>
      <c r="B275" s="4"/>
      <c r="C275" s="4" t="s">
        <v>2447</v>
      </c>
      <c r="D275" s="8" t="str">
        <f t="shared" si="1"/>
        <v>{"valorA":"lustre","valorB":12}</v>
      </c>
      <c r="E275" s="8" t="str">
        <f t="shared" si="2"/>
        <v>lustre</v>
      </c>
      <c r="F275" s="8"/>
      <c r="G275" s="15" t="str">
        <f t="shared" si="3"/>
        <v>12</v>
      </c>
      <c r="H275" s="9">
        <f t="shared" si="4"/>
        <v>12</v>
      </c>
      <c r="I275" s="6" t="str">
        <f>IFERROR(__xludf.DUMMYFUNCTION("MAX(FILTER($H$2:$H501,$E$2:$E501=F275))"),"#N/A")</f>
        <v>#N/A</v>
      </c>
    </row>
    <row r="276">
      <c r="A276" s="4"/>
      <c r="B276" s="4"/>
      <c r="C276" s="4" t="s">
        <v>2399</v>
      </c>
      <c r="D276" s="8" t="str">
        <f t="shared" si="1"/>
        <v>{"valorA":"relógio","valorB":13}</v>
      </c>
      <c r="E276" s="8" t="str">
        <f t="shared" si="2"/>
        <v>relógio</v>
      </c>
      <c r="F276" s="8"/>
      <c r="G276" s="15" t="str">
        <f t="shared" si="3"/>
        <v>13</v>
      </c>
      <c r="H276" s="9">
        <f t="shared" si="4"/>
        <v>13</v>
      </c>
      <c r="I276" s="6" t="str">
        <f>IFERROR(__xludf.DUMMYFUNCTION("MAX(FILTER($H$2:$H501,$E$2:$E501=F276))"),"#N/A")</f>
        <v>#N/A</v>
      </c>
    </row>
    <row r="277">
      <c r="A277" s="4"/>
      <c r="B277" s="4"/>
      <c r="C277" s="4" t="s">
        <v>2558</v>
      </c>
      <c r="D277" s="8" t="str">
        <f t="shared" si="1"/>
        <v>{"valorA":"celular","valorB":17}</v>
      </c>
      <c r="E277" s="8" t="str">
        <f t="shared" si="2"/>
        <v>celular</v>
      </c>
      <c r="F277" s="8"/>
      <c r="G277" s="15" t="str">
        <f t="shared" si="3"/>
        <v>17</v>
      </c>
      <c r="H277" s="9">
        <f t="shared" si="4"/>
        <v>17</v>
      </c>
      <c r="I277" s="6" t="str">
        <f>IFERROR(__xludf.DUMMYFUNCTION("MAX(FILTER($H$2:$H501,$E$2:$E501=F277))"),"#N/A")</f>
        <v>#N/A</v>
      </c>
    </row>
    <row r="278">
      <c r="A278" s="4"/>
      <c r="B278" s="4"/>
      <c r="C278" s="4" t="s">
        <v>2451</v>
      </c>
      <c r="D278" s="8" t="str">
        <f t="shared" si="1"/>
        <v>{"valorA":"lustre","valorB":13}</v>
      </c>
      <c r="E278" s="8" t="str">
        <f t="shared" si="2"/>
        <v>lustre</v>
      </c>
      <c r="F278" s="8"/>
      <c r="G278" s="15" t="str">
        <f t="shared" si="3"/>
        <v>13</v>
      </c>
      <c r="H278" s="9">
        <f t="shared" si="4"/>
        <v>13</v>
      </c>
      <c r="I278" s="6" t="str">
        <f>IFERROR(__xludf.DUMMYFUNCTION("MAX(FILTER($H$2:$H501,$E$2:$E501=F278))"),"#N/A")</f>
        <v>#N/A</v>
      </c>
    </row>
    <row r="279">
      <c r="A279" s="4"/>
      <c r="B279" s="4"/>
      <c r="C279" s="4" t="s">
        <v>2402</v>
      </c>
      <c r="D279" s="8" t="str">
        <f t="shared" si="1"/>
        <v>{"valorA":"relógio","valorB":14}</v>
      </c>
      <c r="E279" s="8" t="str">
        <f t="shared" si="2"/>
        <v>relógio</v>
      </c>
      <c r="F279" s="8"/>
      <c r="G279" s="15" t="str">
        <f t="shared" si="3"/>
        <v>14</v>
      </c>
      <c r="H279" s="9">
        <f t="shared" si="4"/>
        <v>14</v>
      </c>
      <c r="I279" s="6" t="str">
        <f>IFERROR(__xludf.DUMMYFUNCTION("MAX(FILTER($H$2:$H501,$E$2:$E501=F279))"),"#N/A")</f>
        <v>#N/A</v>
      </c>
    </row>
    <row r="280">
      <c r="A280" s="4"/>
      <c r="B280" s="4"/>
      <c r="C280" s="4" t="s">
        <v>1712</v>
      </c>
      <c r="D280" s="8" t="str">
        <f t="shared" si="1"/>
        <v>{"valorA":"microondas","valorB":9}</v>
      </c>
      <c r="E280" s="8" t="str">
        <f t="shared" si="2"/>
        <v>microondas</v>
      </c>
      <c r="F280" s="8"/>
      <c r="G280" s="15" t="str">
        <f t="shared" si="3"/>
        <v>9</v>
      </c>
      <c r="H280" s="9">
        <f t="shared" si="4"/>
        <v>9</v>
      </c>
      <c r="I280" s="6" t="str">
        <f>IFERROR(__xludf.DUMMYFUNCTION("MAX(FILTER($H$2:$H501,$E$2:$E501=F280))"),"#N/A")</f>
        <v>#N/A</v>
      </c>
    </row>
    <row r="281">
      <c r="A281" s="4"/>
      <c r="B281" s="4"/>
      <c r="C281" s="4" t="s">
        <v>2405</v>
      </c>
      <c r="D281" s="8" t="str">
        <f t="shared" si="1"/>
        <v>{"valorA":"carregador de computador","valorB":13}</v>
      </c>
      <c r="E281" s="8" t="str">
        <f t="shared" si="2"/>
        <v>carregador de computador</v>
      </c>
      <c r="F281" s="8"/>
      <c r="G281" s="15" t="str">
        <f t="shared" si="3"/>
        <v>13</v>
      </c>
      <c r="H281" s="9">
        <f t="shared" si="4"/>
        <v>13</v>
      </c>
      <c r="I281" s="6" t="str">
        <f>IFERROR(__xludf.DUMMYFUNCTION("MAX(FILTER($H$2:$H501,$E$2:$E501=F281))"),"#N/A")</f>
        <v>#N/A</v>
      </c>
    </row>
    <row r="282">
      <c r="A282" s="4"/>
      <c r="B282" s="4"/>
      <c r="C282" s="4" t="s">
        <v>2395</v>
      </c>
      <c r="D282" s="8" t="str">
        <f t="shared" si="1"/>
        <v>{"valorA":"fone de ouvido","valorB":12}</v>
      </c>
      <c r="E282" s="8" t="str">
        <f t="shared" si="2"/>
        <v>fone de ouvido</v>
      </c>
      <c r="F282" s="8"/>
      <c r="G282" s="15" t="str">
        <f t="shared" si="3"/>
        <v>12</v>
      </c>
      <c r="H282" s="9">
        <f t="shared" si="4"/>
        <v>12</v>
      </c>
      <c r="I282" s="6" t="str">
        <f>IFERROR(__xludf.DUMMYFUNCTION("MAX(FILTER($H$2:$H501,$E$2:$E501=F282))"),"#N/A")</f>
        <v>#N/A</v>
      </c>
    </row>
    <row r="283">
      <c r="A283" s="4"/>
      <c r="B283" s="4"/>
      <c r="C283" s="4" t="s">
        <v>2563</v>
      </c>
      <c r="D283" s="8" t="str">
        <f t="shared" si="1"/>
        <v>{"valorA":"celular","valorB":18}</v>
      </c>
      <c r="E283" s="8" t="str">
        <f t="shared" si="2"/>
        <v>celular</v>
      </c>
      <c r="F283" s="8"/>
      <c r="G283" s="15" t="str">
        <f t="shared" si="3"/>
        <v>18</v>
      </c>
      <c r="H283" s="9">
        <f t="shared" si="4"/>
        <v>18</v>
      </c>
      <c r="I283" s="6" t="str">
        <f>IFERROR(__xludf.DUMMYFUNCTION("MAX(FILTER($H$2:$H501,$E$2:$E501=F283))"),"#N/A")</f>
        <v>#N/A</v>
      </c>
    </row>
    <row r="284">
      <c r="A284" s="4"/>
      <c r="B284" s="4"/>
      <c r="C284" s="4" t="s">
        <v>2430</v>
      </c>
      <c r="D284" s="8" t="str">
        <f t="shared" si="1"/>
        <v>{"valorA":"ventilador","valorB":15}</v>
      </c>
      <c r="E284" s="8" t="str">
        <f t="shared" si="2"/>
        <v>ventilador</v>
      </c>
      <c r="F284" s="8"/>
      <c r="G284" s="15" t="str">
        <f t="shared" si="3"/>
        <v>15</v>
      </c>
      <c r="H284" s="9">
        <f t="shared" si="4"/>
        <v>15</v>
      </c>
      <c r="I284" s="6" t="str">
        <f>IFERROR(__xludf.DUMMYFUNCTION("MAX(FILTER($H$2:$H501,$E$2:$E501=F284))"),"#N/A")</f>
        <v>#N/A</v>
      </c>
    </row>
    <row r="285">
      <c r="A285" s="4"/>
      <c r="B285" s="4"/>
      <c r="C285" s="4" t="s">
        <v>2363</v>
      </c>
      <c r="D285" s="8" t="str">
        <f t="shared" si="1"/>
        <v>{"valorA":"teclado de computador","valorB":15}</v>
      </c>
      <c r="E285" s="8" t="str">
        <f t="shared" si="2"/>
        <v>teclado de computador</v>
      </c>
      <c r="F285" s="8"/>
      <c r="G285" s="15" t="str">
        <f t="shared" si="3"/>
        <v>15</v>
      </c>
      <c r="H285" s="9">
        <f t="shared" si="4"/>
        <v>15</v>
      </c>
      <c r="I285" s="6" t="str">
        <f>IFERROR(__xludf.DUMMYFUNCTION("MAX(FILTER($H$2:$H501,$E$2:$E501=F285))"),"#N/A")</f>
        <v>#N/A</v>
      </c>
    </row>
    <row r="286">
      <c r="A286" s="4"/>
      <c r="B286" s="4"/>
      <c r="C286" s="4" t="s">
        <v>2404</v>
      </c>
      <c r="D286" s="8" t="str">
        <f t="shared" si="1"/>
        <v>{"valorA":"relógio","valorB":15}</v>
      </c>
      <c r="E286" s="8" t="str">
        <f t="shared" si="2"/>
        <v>relógio</v>
      </c>
      <c r="F286" s="8"/>
      <c r="G286" s="15" t="str">
        <f t="shared" si="3"/>
        <v>15</v>
      </c>
      <c r="H286" s="9">
        <f t="shared" si="4"/>
        <v>15</v>
      </c>
      <c r="I286" s="6" t="str">
        <f>IFERROR(__xludf.DUMMYFUNCTION("MAX(FILTER($H$2:$H501,$E$2:$E501=F286))"),"#N/A")</f>
        <v>#N/A</v>
      </c>
    </row>
    <row r="287">
      <c r="A287" s="4"/>
      <c r="B287" s="4"/>
      <c r="C287" s="4" t="s">
        <v>2431</v>
      </c>
      <c r="D287" s="8" t="str">
        <f t="shared" si="1"/>
        <v>{"valorA":"ventilador","valorB":16}</v>
      </c>
      <c r="E287" s="8" t="str">
        <f t="shared" si="2"/>
        <v>ventilador</v>
      </c>
      <c r="F287" s="8"/>
      <c r="G287" s="15" t="str">
        <f t="shared" si="3"/>
        <v>16</v>
      </c>
      <c r="H287" s="9">
        <f t="shared" si="4"/>
        <v>16</v>
      </c>
      <c r="I287" s="6" t="str">
        <f>IFERROR(__xludf.DUMMYFUNCTION("MAX(FILTER($H$2:$H501,$E$2:$E501=F287))"),"#N/A")</f>
        <v>#N/A</v>
      </c>
    </row>
    <row r="288">
      <c r="A288" s="4"/>
      <c r="B288" s="4"/>
      <c r="C288" s="4" t="s">
        <v>2532</v>
      </c>
      <c r="D288" s="8" t="str">
        <f t="shared" si="1"/>
        <v>{"valorA":"mouse de computador","valorB":15}</v>
      </c>
      <c r="E288" s="8" t="str">
        <f t="shared" si="2"/>
        <v>mouse de computador</v>
      </c>
      <c r="F288" s="8"/>
      <c r="G288" s="15" t="str">
        <f t="shared" si="3"/>
        <v>15</v>
      </c>
      <c r="H288" s="9">
        <f t="shared" si="4"/>
        <v>15</v>
      </c>
      <c r="I288" s="6" t="str">
        <f>IFERROR(__xludf.DUMMYFUNCTION("MAX(FILTER($H$2:$H501,$E$2:$E501=F288))"),"#N/A")</f>
        <v>#N/A</v>
      </c>
    </row>
    <row r="289">
      <c r="A289" s="4"/>
      <c r="B289" s="4"/>
      <c r="C289" s="4" t="s">
        <v>2368</v>
      </c>
      <c r="D289" s="8" t="str">
        <f t="shared" si="1"/>
        <v>{"valorA":"teclado de computador","valorB":16}</v>
      </c>
      <c r="E289" s="8" t="str">
        <f t="shared" si="2"/>
        <v>teclado de computador</v>
      </c>
      <c r="F289" s="8"/>
      <c r="G289" s="15" t="str">
        <f t="shared" si="3"/>
        <v>16</v>
      </c>
      <c r="H289" s="9">
        <f t="shared" si="4"/>
        <v>16</v>
      </c>
      <c r="I289" s="6" t="str">
        <f>IFERROR(__xludf.DUMMYFUNCTION("MAX(FILTER($H$2:$H501,$E$2:$E501=F289))"),"#N/A")</f>
        <v>#N/A</v>
      </c>
    </row>
    <row r="290">
      <c r="A290" s="4"/>
      <c r="B290" s="4"/>
      <c r="C290" s="4" t="s">
        <v>2538</v>
      </c>
      <c r="D290" s="8" t="str">
        <f t="shared" si="1"/>
        <v>{"valorA":"mouse de computador","valorB":16}</v>
      </c>
      <c r="E290" s="8" t="str">
        <f t="shared" si="2"/>
        <v>mouse de computador</v>
      </c>
      <c r="F290" s="8"/>
      <c r="G290" s="15" t="str">
        <f t="shared" si="3"/>
        <v>16</v>
      </c>
      <c r="H290" s="9">
        <f t="shared" si="4"/>
        <v>16</v>
      </c>
      <c r="I290" s="6" t="str">
        <f>IFERROR(__xludf.DUMMYFUNCTION("MAX(FILTER($H$2:$H501,$E$2:$E501=F290))"),"#N/A")</f>
        <v>#N/A</v>
      </c>
    </row>
    <row r="291">
      <c r="A291" s="4"/>
      <c r="B291" s="4"/>
      <c r="C291" s="4" t="s">
        <v>2473</v>
      </c>
      <c r="D291" s="8" t="str">
        <f t="shared" si="1"/>
        <v>{"valorA":"lustre","valorB":14}</v>
      </c>
      <c r="E291" s="8" t="str">
        <f t="shared" si="2"/>
        <v>lustre</v>
      </c>
      <c r="F291" s="8"/>
      <c r="G291" s="15" t="str">
        <f t="shared" si="3"/>
        <v>14</v>
      </c>
      <c r="H291" s="9">
        <f t="shared" si="4"/>
        <v>14</v>
      </c>
      <c r="I291" s="6" t="str">
        <f>IFERROR(__xludf.DUMMYFUNCTION("MAX(FILTER($H$2:$H501,$E$2:$E501=F291))"),"#N/A")</f>
        <v>#N/A</v>
      </c>
    </row>
    <row r="292">
      <c r="A292" s="4"/>
      <c r="B292" s="4"/>
      <c r="C292" s="4" t="s">
        <v>1677</v>
      </c>
      <c r="D292" s="8" t="str">
        <f t="shared" si="1"/>
        <v>{"valorA":"freezer","valorB":19}</v>
      </c>
      <c r="E292" s="8" t="str">
        <f t="shared" si="2"/>
        <v>freezer</v>
      </c>
      <c r="F292" s="8"/>
      <c r="G292" s="15" t="str">
        <f t="shared" si="3"/>
        <v>19</v>
      </c>
      <c r="H292" s="9">
        <f t="shared" si="4"/>
        <v>19</v>
      </c>
      <c r="I292" s="6" t="str">
        <f>IFERROR(__xludf.DUMMYFUNCTION("MAX(FILTER($H$2:$H501,$E$2:$E501=F292))"),"#N/A")</f>
        <v>#N/A</v>
      </c>
    </row>
    <row r="293">
      <c r="A293" s="4"/>
      <c r="B293" s="4"/>
      <c r="C293" s="4" t="s">
        <v>1713</v>
      </c>
      <c r="D293" s="8" t="str">
        <f t="shared" si="1"/>
        <v>{"valorA":"microondas","valorB":10}</v>
      </c>
      <c r="E293" s="8" t="str">
        <f t="shared" si="2"/>
        <v>microondas</v>
      </c>
      <c r="F293" s="8"/>
      <c r="G293" s="15" t="str">
        <f t="shared" si="3"/>
        <v>10</v>
      </c>
      <c r="H293" s="9">
        <f t="shared" si="4"/>
        <v>10</v>
      </c>
      <c r="I293" s="6" t="str">
        <f>IFERROR(__xludf.DUMMYFUNCTION("MAX(FILTER($H$2:$H501,$E$2:$E501=F293))"),"#N/A")</f>
        <v>#N/A</v>
      </c>
    </row>
    <row r="294">
      <c r="A294" s="4"/>
      <c r="B294" s="4"/>
      <c r="C294" s="4" t="s">
        <v>2403</v>
      </c>
      <c r="D294" s="8" t="str">
        <f t="shared" si="1"/>
        <v>{"valorA":"fone de ouvido","valorB":13}</v>
      </c>
      <c r="E294" s="8" t="str">
        <f t="shared" si="2"/>
        <v>fone de ouvido</v>
      </c>
      <c r="F294" s="8"/>
      <c r="G294" s="15" t="str">
        <f t="shared" si="3"/>
        <v>13</v>
      </c>
      <c r="H294" s="9">
        <f t="shared" si="4"/>
        <v>13</v>
      </c>
      <c r="I294" s="6" t="str">
        <f>IFERROR(__xludf.DUMMYFUNCTION("MAX(FILTER($H$2:$H501,$E$2:$E501=F294))"),"#N/A")</f>
        <v>#N/A</v>
      </c>
    </row>
    <row r="295">
      <c r="A295" s="4"/>
      <c r="B295" s="4"/>
      <c r="C295" s="4" t="s">
        <v>2408</v>
      </c>
      <c r="D295" s="8" t="str">
        <f t="shared" si="1"/>
        <v>{"valorA":"carregador de computador","valorB":14}</v>
      </c>
      <c r="E295" s="8" t="str">
        <f t="shared" si="2"/>
        <v>carregador de computador</v>
      </c>
      <c r="F295" s="8"/>
      <c r="G295" s="15" t="str">
        <f t="shared" si="3"/>
        <v>14</v>
      </c>
      <c r="H295" s="9">
        <f t="shared" si="4"/>
        <v>14</v>
      </c>
      <c r="I295" s="6" t="str">
        <f>IFERROR(__xludf.DUMMYFUNCTION("MAX(FILTER($H$2:$H501,$E$2:$E501=F295))"),"#N/A")</f>
        <v>#N/A</v>
      </c>
    </row>
    <row r="296">
      <c r="A296" s="4"/>
      <c r="B296" s="4"/>
      <c r="C296" s="4" t="s">
        <v>1678</v>
      </c>
      <c r="D296" s="8" t="str">
        <f t="shared" si="1"/>
        <v>{"valorA":"freezer","valorB":20}</v>
      </c>
      <c r="E296" s="8" t="str">
        <f t="shared" si="2"/>
        <v>freezer</v>
      </c>
      <c r="F296" s="8"/>
      <c r="G296" s="15" t="str">
        <f t="shared" si="3"/>
        <v>20</v>
      </c>
      <c r="H296" s="9">
        <f t="shared" si="4"/>
        <v>20</v>
      </c>
      <c r="I296" s="6" t="str">
        <f>IFERROR(__xludf.DUMMYFUNCTION("MAX(FILTER($H$2:$H501,$E$2:$E501=F296))"),"#N/A")</f>
        <v>#N/A</v>
      </c>
    </row>
    <row r="297">
      <c r="A297" s="4"/>
      <c r="B297" s="4"/>
      <c r="C297" s="4" t="s">
        <v>3519</v>
      </c>
      <c r="D297" s="8" t="str">
        <f t="shared" si="1"/>
        <v>{"valorA":"carregador de celular","valorB":21}</v>
      </c>
      <c r="E297" s="8" t="str">
        <f t="shared" si="2"/>
        <v>carregador de celular</v>
      </c>
      <c r="F297" s="8"/>
      <c r="G297" s="15" t="str">
        <f t="shared" si="3"/>
        <v>21</v>
      </c>
      <c r="H297" s="9">
        <f t="shared" si="4"/>
        <v>21</v>
      </c>
      <c r="I297" s="6" t="str">
        <f>IFERROR(__xludf.DUMMYFUNCTION("MAX(FILTER($H$2:$H501,$E$2:$E501=F297))"),"#N/A")</f>
        <v>#N/A</v>
      </c>
    </row>
    <row r="298">
      <c r="A298" s="4"/>
      <c r="B298" s="4"/>
      <c r="C298" s="4" t="s">
        <v>2537</v>
      </c>
      <c r="D298" s="8" t="str">
        <f t="shared" si="1"/>
        <v>{"valorA":"purificador de água","valorB":19}</v>
      </c>
      <c r="E298" s="8" t="str">
        <f t="shared" si="2"/>
        <v>purificador de água</v>
      </c>
      <c r="F298" s="8"/>
      <c r="G298" s="15" t="str">
        <f t="shared" si="3"/>
        <v>19</v>
      </c>
      <c r="H298" s="9">
        <f t="shared" si="4"/>
        <v>19</v>
      </c>
      <c r="I298" s="6" t="str">
        <f>IFERROR(__xludf.DUMMYFUNCTION("MAX(FILTER($H$2:$H501,$E$2:$E501=F298))"),"#N/A")</f>
        <v>#N/A</v>
      </c>
    </row>
    <row r="299">
      <c r="A299" s="4"/>
      <c r="B299" s="4"/>
      <c r="C299" s="4" t="s">
        <v>2570</v>
      </c>
      <c r="D299" s="8" t="str">
        <f t="shared" si="1"/>
        <v>{"valorA":"celular","valorB":19}</v>
      </c>
      <c r="E299" s="8" t="str">
        <f t="shared" si="2"/>
        <v>celular</v>
      </c>
      <c r="F299" s="8"/>
      <c r="G299" s="15" t="str">
        <f t="shared" si="3"/>
        <v>19</v>
      </c>
      <c r="H299" s="9">
        <f t="shared" si="4"/>
        <v>19</v>
      </c>
      <c r="I299" s="6" t="str">
        <f>IFERROR(__xludf.DUMMYFUNCTION("MAX(FILTER($H$2:$H501,$E$2:$E501=F299))"),"#N/A")</f>
        <v>#N/A</v>
      </c>
    </row>
    <row r="300">
      <c r="A300" s="4"/>
      <c r="B300" s="4"/>
      <c r="C300" s="4" t="s">
        <v>2331</v>
      </c>
      <c r="D300" s="8" t="str">
        <f t="shared" si="1"/>
        <v>{"valorA":"chuveiro elétrico","valorB":14}</v>
      </c>
      <c r="E300" s="8" t="str">
        <f t="shared" si="2"/>
        <v>chuveiro elétrico</v>
      </c>
      <c r="F300" s="8"/>
      <c r="G300" s="15" t="str">
        <f t="shared" si="3"/>
        <v>14</v>
      </c>
      <c r="H300" s="9">
        <f t="shared" si="4"/>
        <v>14</v>
      </c>
      <c r="I300" s="6" t="str">
        <f>IFERROR(__xludf.DUMMYFUNCTION("MAX(FILTER($H$2:$H501,$E$2:$E501=F300))"),"#N/A")</f>
        <v>#N/A</v>
      </c>
    </row>
    <row r="301">
      <c r="A301" s="4"/>
      <c r="B301" s="4"/>
      <c r="C301" s="4" t="s">
        <v>2428</v>
      </c>
      <c r="D301" s="8" t="str">
        <f t="shared" si="1"/>
        <v>{"valorA":"aspirador","valorB":16}</v>
      </c>
      <c r="E301" s="8" t="str">
        <f t="shared" si="2"/>
        <v>aspirador</v>
      </c>
      <c r="F301" s="8"/>
      <c r="G301" s="15" t="str">
        <f t="shared" si="3"/>
        <v>16</v>
      </c>
      <c r="H301" s="9">
        <f t="shared" si="4"/>
        <v>16</v>
      </c>
      <c r="I301" s="6" t="str">
        <f>IFERROR(__xludf.DUMMYFUNCTION("MAX(FILTER($H$2:$H501,$E$2:$E501=F301))"),"#N/A")</f>
        <v>#N/A</v>
      </c>
    </row>
    <row r="302">
      <c r="A302" s="4"/>
      <c r="B302" s="4"/>
      <c r="C302" s="4" t="s">
        <v>2562</v>
      </c>
      <c r="D302" s="8" t="str">
        <f t="shared" si="1"/>
        <v>{"valorA":"purificador de água","valorB":20}</v>
      </c>
      <c r="E302" s="8" t="str">
        <f t="shared" si="2"/>
        <v>purificador de água</v>
      </c>
      <c r="F302" s="8"/>
      <c r="G302" s="15" t="str">
        <f t="shared" si="3"/>
        <v>20</v>
      </c>
      <c r="H302" s="9">
        <f t="shared" si="4"/>
        <v>20</v>
      </c>
      <c r="I302" s="6" t="str">
        <f>IFERROR(__xludf.DUMMYFUNCTION("MAX(FILTER($H$2:$H501,$E$2:$E501=F302))"),"#N/A")</f>
        <v>#N/A</v>
      </c>
    </row>
    <row r="303">
      <c r="A303" s="4"/>
      <c r="B303" s="4"/>
      <c r="C303" s="4" t="s">
        <v>2359</v>
      </c>
      <c r="D303" s="8" t="str">
        <f t="shared" si="1"/>
        <v>{"valorA":"chuveiro elétrico","valorB":15}</v>
      </c>
      <c r="E303" s="8" t="str">
        <f t="shared" si="2"/>
        <v>chuveiro elétrico</v>
      </c>
      <c r="F303" s="8"/>
      <c r="G303" s="15" t="str">
        <f t="shared" si="3"/>
        <v>15</v>
      </c>
      <c r="H303" s="9">
        <f t="shared" si="4"/>
        <v>15</v>
      </c>
      <c r="I303" s="6" t="str">
        <f>IFERROR(__xludf.DUMMYFUNCTION("MAX(FILTER($H$2:$H501,$E$2:$E501=F303))"),"#N/A")</f>
        <v>#N/A</v>
      </c>
    </row>
    <row r="304">
      <c r="A304" s="4"/>
      <c r="B304" s="4"/>
      <c r="C304" s="4" t="s">
        <v>2378</v>
      </c>
      <c r="D304" s="8" t="str">
        <f t="shared" si="1"/>
        <v>{"valorA":"liquidificador","valorB":15}</v>
      </c>
      <c r="E304" s="8" t="str">
        <f t="shared" si="2"/>
        <v>liquidificador</v>
      </c>
      <c r="F304" s="8"/>
      <c r="G304" s="15" t="str">
        <f t="shared" si="3"/>
        <v>15</v>
      </c>
      <c r="H304" s="9">
        <f t="shared" si="4"/>
        <v>15</v>
      </c>
      <c r="I304" s="6" t="str">
        <f>IFERROR(__xludf.DUMMYFUNCTION("MAX(FILTER($H$2:$H501,$E$2:$E501=F304))"),"#N/A")</f>
        <v>#N/A</v>
      </c>
    </row>
    <row r="305">
      <c r="A305" s="4"/>
      <c r="B305" s="4"/>
      <c r="C305" s="4" t="s">
        <v>2545</v>
      </c>
      <c r="D305" s="8" t="str">
        <f t="shared" si="1"/>
        <v>{"valorA":"mouse de computador","valorB":17}</v>
      </c>
      <c r="E305" s="8" t="str">
        <f t="shared" si="2"/>
        <v>mouse de computador</v>
      </c>
      <c r="F305" s="8"/>
      <c r="G305" s="15" t="str">
        <f t="shared" si="3"/>
        <v>17</v>
      </c>
      <c r="H305" s="9">
        <f t="shared" si="4"/>
        <v>17</v>
      </c>
      <c r="I305" s="6" t="str">
        <f>IFERROR(__xludf.DUMMYFUNCTION("MAX(FILTER($H$2:$H501,$E$2:$E501=F305))"),"#N/A")</f>
        <v>#N/A</v>
      </c>
    </row>
    <row r="306">
      <c r="A306" s="4"/>
      <c r="B306" s="4"/>
      <c r="C306" s="4" t="s">
        <v>2369</v>
      </c>
      <c r="D306" s="8" t="str">
        <f t="shared" si="1"/>
        <v>{"valorA":"teclado de computador","valorB":17}</v>
      </c>
      <c r="E306" s="8" t="str">
        <f t="shared" si="2"/>
        <v>teclado de computador</v>
      </c>
      <c r="F306" s="8"/>
      <c r="G306" s="15" t="str">
        <f t="shared" si="3"/>
        <v>17</v>
      </c>
      <c r="H306" s="9">
        <f t="shared" si="4"/>
        <v>17</v>
      </c>
      <c r="I306" s="6" t="str">
        <f>IFERROR(__xludf.DUMMYFUNCTION("MAX(FILTER($H$2:$H501,$E$2:$E501=F306))"),"#N/A")</f>
        <v>#N/A</v>
      </c>
    </row>
    <row r="307">
      <c r="A307" s="4"/>
      <c r="B307" s="4"/>
      <c r="C307" s="4" t="s">
        <v>2452</v>
      </c>
      <c r="D307" s="8" t="str">
        <f t="shared" si="1"/>
        <v>{"valorA":"aspirador","valorB":17}</v>
      </c>
      <c r="E307" s="8" t="str">
        <f t="shared" si="2"/>
        <v>aspirador</v>
      </c>
      <c r="F307" s="8"/>
      <c r="G307" s="15" t="str">
        <f t="shared" si="3"/>
        <v>17</v>
      </c>
      <c r="H307" s="9">
        <f t="shared" si="4"/>
        <v>17</v>
      </c>
      <c r="I307" s="6" t="str">
        <f>IFERROR(__xludf.DUMMYFUNCTION("MAX(FILTER($H$2:$H501,$E$2:$E501=F307))"),"#N/A")</f>
        <v>#N/A</v>
      </c>
    </row>
    <row r="308">
      <c r="A308" s="4"/>
      <c r="B308" s="4"/>
      <c r="C308" s="4" t="s">
        <v>1729</v>
      </c>
      <c r="D308" s="8" t="str">
        <f t="shared" si="1"/>
        <v>{"valorA":"ar condicionado","valorB":20}</v>
      </c>
      <c r="E308" s="8" t="str">
        <f t="shared" si="2"/>
        <v>ar condicionado</v>
      </c>
      <c r="F308" s="8"/>
      <c r="G308" s="15" t="str">
        <f t="shared" si="3"/>
        <v>20</v>
      </c>
      <c r="H308" s="9">
        <f t="shared" si="4"/>
        <v>20</v>
      </c>
      <c r="I308" s="6" t="str">
        <f>IFERROR(__xludf.DUMMYFUNCTION("MAX(FILTER($H$2:$H501,$E$2:$E501=F308))"),"#N/A")</f>
        <v>#N/A</v>
      </c>
    </row>
    <row r="309">
      <c r="A309" s="4"/>
      <c r="B309" s="4"/>
      <c r="C309" s="4" t="s">
        <v>2463</v>
      </c>
      <c r="D309" s="8" t="str">
        <f t="shared" si="1"/>
        <v>{"valorA":"aspirador","valorB":18}</v>
      </c>
      <c r="E309" s="8" t="str">
        <f t="shared" si="2"/>
        <v>aspirador</v>
      </c>
      <c r="F309" s="8"/>
      <c r="G309" s="15" t="str">
        <f t="shared" si="3"/>
        <v>18</v>
      </c>
      <c r="H309" s="9">
        <f t="shared" si="4"/>
        <v>18</v>
      </c>
      <c r="I309" s="6" t="str">
        <f>IFERROR(__xludf.DUMMYFUNCTION("MAX(FILTER($H$2:$H501,$E$2:$E501=F309))"),"#N/A")</f>
        <v>#N/A</v>
      </c>
    </row>
    <row r="310">
      <c r="A310" s="4"/>
      <c r="B310" s="4"/>
      <c r="C310" s="4" t="s">
        <v>2502</v>
      </c>
      <c r="D310" s="8" t="str">
        <f t="shared" si="1"/>
        <v>{"valorA":"lustre","valorB":15}</v>
      </c>
      <c r="E310" s="8" t="str">
        <f t="shared" si="2"/>
        <v>lustre</v>
      </c>
      <c r="F310" s="8"/>
      <c r="G310" s="15" t="str">
        <f t="shared" si="3"/>
        <v>15</v>
      </c>
      <c r="H310" s="9">
        <f t="shared" si="4"/>
        <v>15</v>
      </c>
      <c r="I310" s="6" t="str">
        <f>IFERROR(__xludf.DUMMYFUNCTION("MAX(FILTER($H$2:$H501,$E$2:$E501=F310))"),"#N/A")</f>
        <v>#N/A</v>
      </c>
    </row>
    <row r="311">
      <c r="A311" s="4"/>
      <c r="B311" s="4"/>
      <c r="C311" s="4" t="s">
        <v>2436</v>
      </c>
      <c r="D311" s="8" t="str">
        <f t="shared" si="1"/>
        <v>{"valorA":"filtro de linha","valorB":16}</v>
      </c>
      <c r="E311" s="8" t="str">
        <f t="shared" si="2"/>
        <v>filtro de linha</v>
      </c>
      <c r="F311" s="8"/>
      <c r="G311" s="15" t="str">
        <f t="shared" si="3"/>
        <v>16</v>
      </c>
      <c r="H311" s="9">
        <f t="shared" si="4"/>
        <v>16</v>
      </c>
      <c r="I311" s="6" t="str">
        <f>IFERROR(__xludf.DUMMYFUNCTION("MAX(FILTER($H$2:$H501,$E$2:$E501=F311))"),"#N/A")</f>
        <v>#N/A</v>
      </c>
    </row>
    <row r="312">
      <c r="A312" s="4"/>
      <c r="B312" s="4"/>
      <c r="C312" s="4" t="s">
        <v>2279</v>
      </c>
      <c r="D312" s="8" t="str">
        <f t="shared" si="1"/>
        <v>{"valorA":"computador","valorB":9}</v>
      </c>
      <c r="E312" s="8" t="str">
        <f t="shared" si="2"/>
        <v>computador</v>
      </c>
      <c r="F312" s="8"/>
      <c r="G312" s="15" t="str">
        <f t="shared" si="3"/>
        <v>9</v>
      </c>
      <c r="H312" s="9">
        <f t="shared" si="4"/>
        <v>9</v>
      </c>
      <c r="I312" s="6" t="str">
        <f>IFERROR(__xludf.DUMMYFUNCTION("MAX(FILTER($H$2:$H501,$E$2:$E501=F312))"),"#N/A")</f>
        <v>#N/A</v>
      </c>
    </row>
    <row r="313">
      <c r="A313" s="4"/>
      <c r="B313" s="4"/>
      <c r="C313" s="4" t="s">
        <v>2504</v>
      </c>
      <c r="D313" s="8" t="str">
        <f t="shared" si="1"/>
        <v>{"valorA":"lustre","valorB":16}</v>
      </c>
      <c r="E313" s="8" t="str">
        <f t="shared" si="2"/>
        <v>lustre</v>
      </c>
      <c r="F313" s="8"/>
      <c r="G313" s="15" t="str">
        <f t="shared" si="3"/>
        <v>16</v>
      </c>
      <c r="H313" s="9">
        <f t="shared" si="4"/>
        <v>16</v>
      </c>
      <c r="I313" s="6" t="str">
        <f>IFERROR(__xludf.DUMMYFUNCTION("MAX(FILTER($H$2:$H501,$E$2:$E501=F313))"),"#N/A")</f>
        <v>#N/A</v>
      </c>
    </row>
    <row r="314">
      <c r="A314" s="4"/>
      <c r="B314" s="4"/>
      <c r="C314" s="4" t="s">
        <v>2476</v>
      </c>
      <c r="D314" s="8" t="str">
        <f t="shared" si="1"/>
        <v>{"valorA":"aspirador","valorB":19}</v>
      </c>
      <c r="E314" s="8" t="str">
        <f t="shared" si="2"/>
        <v>aspirador</v>
      </c>
      <c r="F314" s="8"/>
      <c r="G314" s="15" t="str">
        <f t="shared" si="3"/>
        <v>19</v>
      </c>
      <c r="H314" s="9">
        <f t="shared" si="4"/>
        <v>19</v>
      </c>
      <c r="I314" s="6" t="str">
        <f>IFERROR(__xludf.DUMMYFUNCTION("MAX(FILTER($H$2:$H501,$E$2:$E501=F314))"),"#N/A")</f>
        <v>#N/A</v>
      </c>
    </row>
    <row r="315">
      <c r="A315" s="4"/>
      <c r="B315" s="4"/>
      <c r="C315" s="4" t="s">
        <v>2490</v>
      </c>
      <c r="D315" s="8" t="str">
        <f t="shared" si="1"/>
        <v>{"valorA":"aspirador","valorB":20}</v>
      </c>
      <c r="E315" s="8" t="str">
        <f t="shared" si="2"/>
        <v>aspirador</v>
      </c>
      <c r="F315" s="8"/>
      <c r="G315" s="15" t="str">
        <f t="shared" si="3"/>
        <v>20</v>
      </c>
      <c r="H315" s="9">
        <f t="shared" si="4"/>
        <v>20</v>
      </c>
      <c r="I315" s="6" t="str">
        <f>IFERROR(__xludf.DUMMYFUNCTION("MAX(FILTER($H$2:$H501,$E$2:$E501=F315))"),"#N/A")</f>
        <v>#N/A</v>
      </c>
    </row>
    <row r="316">
      <c r="A316" s="4"/>
      <c r="B316" s="4"/>
      <c r="C316" s="4" t="s">
        <v>2437</v>
      </c>
      <c r="D316" s="8" t="str">
        <f t="shared" si="1"/>
        <v>{"valorA":"ventilador","valorB":17}</v>
      </c>
      <c r="E316" s="8" t="str">
        <f t="shared" si="2"/>
        <v>ventilador</v>
      </c>
      <c r="F316" s="8"/>
      <c r="G316" s="15" t="str">
        <f t="shared" si="3"/>
        <v>17</v>
      </c>
      <c r="H316" s="9">
        <f t="shared" si="4"/>
        <v>17</v>
      </c>
      <c r="I316" s="6" t="str">
        <f>IFERROR(__xludf.DUMMYFUNCTION("MAX(FILTER($H$2:$H501,$E$2:$E501=F316))"),"#N/A")</f>
        <v>#N/A</v>
      </c>
    </row>
    <row r="317">
      <c r="A317" s="4"/>
      <c r="B317" s="4"/>
      <c r="C317" s="4" t="s">
        <v>2514</v>
      </c>
      <c r="D317" s="8" t="str">
        <f t="shared" si="1"/>
        <v>{"valorA":"lustre","valorB":17}</v>
      </c>
      <c r="E317" s="8" t="str">
        <f t="shared" si="2"/>
        <v>lustre</v>
      </c>
      <c r="F317" s="8"/>
      <c r="G317" s="15" t="str">
        <f t="shared" si="3"/>
        <v>17</v>
      </c>
      <c r="H317" s="9">
        <f t="shared" si="4"/>
        <v>17</v>
      </c>
      <c r="I317" s="6" t="str">
        <f>IFERROR(__xludf.DUMMYFUNCTION("MAX(FILTER($H$2:$H501,$E$2:$E501=F317))"),"#N/A")</f>
        <v>#N/A</v>
      </c>
    </row>
    <row r="318">
      <c r="A318" s="4"/>
      <c r="B318" s="4"/>
      <c r="C318" s="4" t="s">
        <v>1714</v>
      </c>
      <c r="D318" s="8" t="str">
        <f t="shared" si="1"/>
        <v>{"valorA":"microondas","valorB":11}</v>
      </c>
      <c r="E318" s="8" t="str">
        <f t="shared" si="2"/>
        <v>microondas</v>
      </c>
      <c r="F318" s="8"/>
      <c r="G318" s="15" t="str">
        <f t="shared" si="3"/>
        <v>11</v>
      </c>
      <c r="H318" s="9">
        <f t="shared" si="4"/>
        <v>11</v>
      </c>
      <c r="I318" s="6" t="str">
        <f>IFERROR(__xludf.DUMMYFUNCTION("MAX(FILTER($H$2:$H501,$E$2:$E501=F318))"),"#N/A")</f>
        <v>#N/A</v>
      </c>
    </row>
    <row r="319">
      <c r="A319" s="4"/>
      <c r="B319" s="4"/>
      <c r="C319" s="4" t="s">
        <v>2496</v>
      </c>
      <c r="D319" s="8" t="str">
        <f t="shared" si="1"/>
        <v>{"valorA":"aspirador","valorB":21}</v>
      </c>
      <c r="E319" s="8" t="str">
        <f t="shared" si="2"/>
        <v>aspirador</v>
      </c>
      <c r="F319" s="8"/>
      <c r="G319" s="15" t="str">
        <f t="shared" si="3"/>
        <v>21</v>
      </c>
      <c r="H319" s="9">
        <f t="shared" si="4"/>
        <v>21</v>
      </c>
      <c r="I319" s="6" t="str">
        <f>IFERROR(__xludf.DUMMYFUNCTION("MAX(FILTER($H$2:$H501,$E$2:$E501=F319))"),"#N/A")</f>
        <v>#N/A</v>
      </c>
    </row>
    <row r="320">
      <c r="A320" s="4"/>
      <c r="B320" s="4"/>
      <c r="C320" s="4" t="s">
        <v>2455</v>
      </c>
      <c r="D320" s="8" t="str">
        <f t="shared" si="1"/>
        <v>{"valorA":"relógio","valorB":16}</v>
      </c>
      <c r="E320" s="8" t="str">
        <f t="shared" si="2"/>
        <v>relógio</v>
      </c>
      <c r="F320" s="8"/>
      <c r="G320" s="15" t="str">
        <f t="shared" si="3"/>
        <v>16</v>
      </c>
      <c r="H320" s="9">
        <f t="shared" si="4"/>
        <v>16</v>
      </c>
      <c r="I320" s="6" t="str">
        <f>IFERROR(__xludf.DUMMYFUNCTION("MAX(FILTER($H$2:$H501,$E$2:$E501=F320))"),"#N/A")</f>
        <v>#N/A</v>
      </c>
    </row>
    <row r="321">
      <c r="A321" s="4"/>
      <c r="B321" s="4"/>
      <c r="C321" s="4" t="s">
        <v>2385</v>
      </c>
      <c r="D321" s="8" t="str">
        <f t="shared" si="1"/>
        <v>{"valorA":"liquidificador","valorB":16}</v>
      </c>
      <c r="E321" s="8" t="str">
        <f t="shared" si="2"/>
        <v>liquidificador</v>
      </c>
      <c r="F321" s="8"/>
      <c r="G321" s="15" t="str">
        <f t="shared" si="3"/>
        <v>16</v>
      </c>
      <c r="H321" s="9">
        <f t="shared" si="4"/>
        <v>16</v>
      </c>
      <c r="I321" s="6" t="str">
        <f>IFERROR(__xludf.DUMMYFUNCTION("MAX(FILTER($H$2:$H501,$E$2:$E501=F321))"),"#N/A")</f>
        <v>#N/A</v>
      </c>
    </row>
    <row r="322">
      <c r="A322" s="4"/>
      <c r="B322" s="4"/>
      <c r="C322" s="4" t="s">
        <v>2445</v>
      </c>
      <c r="D322" s="8" t="str">
        <f t="shared" si="1"/>
        <v>{"valorA":"ventilador","valorB":18}</v>
      </c>
      <c r="E322" s="8" t="str">
        <f t="shared" si="2"/>
        <v>ventilador</v>
      </c>
      <c r="F322" s="8"/>
      <c r="G322" s="15" t="str">
        <f t="shared" si="3"/>
        <v>18</v>
      </c>
      <c r="H322" s="9">
        <f t="shared" si="4"/>
        <v>18</v>
      </c>
      <c r="I322" s="6" t="str">
        <f>IFERROR(__xludf.DUMMYFUNCTION("MAX(FILTER($H$2:$H501,$E$2:$E501=F322))"),"#N/A")</f>
        <v>#N/A</v>
      </c>
    </row>
    <row r="323">
      <c r="A323" s="4"/>
      <c r="B323" s="4"/>
      <c r="C323" s="4" t="s">
        <v>1731</v>
      </c>
      <c r="D323" s="8" t="str">
        <f t="shared" si="1"/>
        <v>{"valorA":"ar condicionado","valorB":21}</v>
      </c>
      <c r="E323" s="8" t="str">
        <f t="shared" si="2"/>
        <v>ar condicionado</v>
      </c>
      <c r="F323" s="8"/>
      <c r="G323" s="15" t="str">
        <f t="shared" si="3"/>
        <v>21</v>
      </c>
      <c r="H323" s="9">
        <f t="shared" si="4"/>
        <v>21</v>
      </c>
      <c r="I323" s="6" t="str">
        <f>IFERROR(__xludf.DUMMYFUNCTION("MAX(FILTER($H$2:$H501,$E$2:$E501=F323))"),"#N/A")</f>
        <v>#N/A</v>
      </c>
    </row>
    <row r="324">
      <c r="A324" s="4"/>
      <c r="B324" s="4"/>
      <c r="C324" s="4" t="s">
        <v>2519</v>
      </c>
      <c r="D324" s="8" t="str">
        <f t="shared" si="1"/>
        <v>{"valorA":"aspirador","valorB":22}</v>
      </c>
      <c r="E324" s="8" t="str">
        <f t="shared" si="2"/>
        <v>aspirador</v>
      </c>
      <c r="F324" s="8"/>
      <c r="G324" s="15" t="str">
        <f t="shared" si="3"/>
        <v>22</v>
      </c>
      <c r="H324" s="9">
        <f t="shared" si="4"/>
        <v>22</v>
      </c>
      <c r="I324" s="6" t="str">
        <f>IFERROR(__xludf.DUMMYFUNCTION("MAX(FILTER($H$2:$H501,$E$2:$E501=F324))"),"#N/A")</f>
        <v>#N/A</v>
      </c>
    </row>
    <row r="325">
      <c r="A325" s="4"/>
      <c r="B325" s="4"/>
      <c r="C325" s="4" t="s">
        <v>2566</v>
      </c>
      <c r="D325" s="8" t="str">
        <f t="shared" si="1"/>
        <v>{"valorA":"purificador de água","valorB":21}</v>
      </c>
      <c r="E325" s="8" t="str">
        <f t="shared" si="2"/>
        <v>purificador de água</v>
      </c>
      <c r="F325" s="8"/>
      <c r="G325" s="15" t="str">
        <f t="shared" si="3"/>
        <v>21</v>
      </c>
      <c r="H325" s="9">
        <f t="shared" si="4"/>
        <v>21</v>
      </c>
      <c r="I325" s="6" t="str">
        <f>IFERROR(__xludf.DUMMYFUNCTION("MAX(FILTER($H$2:$H501,$E$2:$E501=F325))"),"#N/A")</f>
        <v>#N/A</v>
      </c>
    </row>
    <row r="326">
      <c r="A326" s="4"/>
      <c r="B326" s="4"/>
      <c r="C326" s="4" t="s">
        <v>2422</v>
      </c>
      <c r="D326" s="8" t="str">
        <f t="shared" si="1"/>
        <v>{"valorA":"carregador de computador","valorB":15}</v>
      </c>
      <c r="E326" s="8" t="str">
        <f t="shared" si="2"/>
        <v>carregador de computador</v>
      </c>
      <c r="F326" s="8"/>
      <c r="G326" s="15" t="str">
        <f t="shared" si="3"/>
        <v>15</v>
      </c>
      <c r="H326" s="9">
        <f t="shared" si="4"/>
        <v>15</v>
      </c>
      <c r="I326" s="6" t="str">
        <f>IFERROR(__xludf.DUMMYFUNCTION("MAX(FILTER($H$2:$H501,$E$2:$E501=F326))"),"#N/A")</f>
        <v>#N/A</v>
      </c>
    </row>
    <row r="327">
      <c r="A327" s="4"/>
      <c r="B327" s="4"/>
      <c r="C327" s="4" t="s">
        <v>2448</v>
      </c>
      <c r="D327" s="8" t="str">
        <f t="shared" si="1"/>
        <v>{"valorA":"filtro de linha","valorB":17}</v>
      </c>
      <c r="E327" s="8" t="str">
        <f t="shared" si="2"/>
        <v>filtro de linha</v>
      </c>
      <c r="F327" s="8"/>
      <c r="G327" s="15" t="str">
        <f t="shared" si="3"/>
        <v>17</v>
      </c>
      <c r="H327" s="9">
        <f t="shared" si="4"/>
        <v>17</v>
      </c>
      <c r="I327" s="6" t="str">
        <f>IFERROR(__xludf.DUMMYFUNCTION("MAX(FILTER($H$2:$H501,$E$2:$E501=F327))"),"#N/A")</f>
        <v>#N/A</v>
      </c>
    </row>
    <row r="328">
      <c r="A328" s="4"/>
      <c r="B328" s="4"/>
      <c r="C328" s="4" t="s">
        <v>1716</v>
      </c>
      <c r="D328" s="8" t="str">
        <f t="shared" si="1"/>
        <v>{"valorA":"microondas","valorB":12}</v>
      </c>
      <c r="E328" s="8" t="str">
        <f t="shared" si="2"/>
        <v>microondas</v>
      </c>
      <c r="F328" s="8"/>
      <c r="G328" s="15" t="str">
        <f t="shared" si="3"/>
        <v>12</v>
      </c>
      <c r="H328" s="9">
        <f t="shared" si="4"/>
        <v>12</v>
      </c>
      <c r="I328" s="6" t="str">
        <f>IFERROR(__xludf.DUMMYFUNCTION("MAX(FILTER($H$2:$H501,$E$2:$E501=F328))"),"#N/A")</f>
        <v>#N/A</v>
      </c>
    </row>
    <row r="329">
      <c r="A329" s="4"/>
      <c r="B329" s="4"/>
      <c r="C329" s="4" t="s">
        <v>2454</v>
      </c>
      <c r="D329" s="8" t="str">
        <f t="shared" si="1"/>
        <v>{"valorA":"filtro de linha","valorB":18}</v>
      </c>
      <c r="E329" s="8" t="str">
        <f t="shared" si="2"/>
        <v>filtro de linha</v>
      </c>
      <c r="F329" s="8"/>
      <c r="G329" s="15" t="str">
        <f t="shared" si="3"/>
        <v>18</v>
      </c>
      <c r="H329" s="9">
        <f t="shared" si="4"/>
        <v>18</v>
      </c>
      <c r="I329" s="6" t="str">
        <f>IFERROR(__xludf.DUMMYFUNCTION("MAX(FILTER($H$2:$H501,$E$2:$E501=F329))"),"#N/A")</f>
        <v>#N/A</v>
      </c>
    </row>
    <row r="330">
      <c r="A330" s="4"/>
      <c r="B330" s="4"/>
      <c r="C330" s="4" t="s">
        <v>2459</v>
      </c>
      <c r="D330" s="8" t="str">
        <f t="shared" si="1"/>
        <v>{"valorA":"filtro de linha","valorB":19}</v>
      </c>
      <c r="E330" s="8" t="str">
        <f t="shared" si="2"/>
        <v>filtro de linha</v>
      </c>
      <c r="F330" s="8"/>
      <c r="G330" s="15" t="str">
        <f t="shared" si="3"/>
        <v>19</v>
      </c>
      <c r="H330" s="9">
        <f t="shared" si="4"/>
        <v>19</v>
      </c>
      <c r="I330" s="6" t="str">
        <f>IFERROR(__xludf.DUMMYFUNCTION("MAX(FILTER($H$2:$H501,$E$2:$E501=F330))"),"#N/A")</f>
        <v>#N/A</v>
      </c>
    </row>
    <row r="331">
      <c r="A331" s="4"/>
      <c r="B331" s="4"/>
      <c r="C331" s="4" t="s">
        <v>1732</v>
      </c>
      <c r="D331" s="8" t="str">
        <f t="shared" si="1"/>
        <v>{"valorA":"ar condicionado","valorB":22}</v>
      </c>
      <c r="E331" s="8" t="str">
        <f t="shared" si="2"/>
        <v>ar condicionado</v>
      </c>
      <c r="F331" s="8"/>
      <c r="G331" s="15" t="str">
        <f t="shared" si="3"/>
        <v>22</v>
      </c>
      <c r="H331" s="9">
        <f t="shared" si="4"/>
        <v>22</v>
      </c>
      <c r="I331" s="6" t="str">
        <f>IFERROR(__xludf.DUMMYFUNCTION("MAX(FILTER($H$2:$H501,$E$2:$E501=F331))"),"#N/A")</f>
        <v>#N/A</v>
      </c>
    </row>
    <row r="332">
      <c r="A332" s="4"/>
      <c r="B332" s="4"/>
      <c r="C332" s="4" t="s">
        <v>2582</v>
      </c>
      <c r="D332" s="8" t="str">
        <f t="shared" si="1"/>
        <v>{"valorA":"celular","valorB":20}</v>
      </c>
      <c r="E332" s="8" t="str">
        <f t="shared" si="2"/>
        <v>celular</v>
      </c>
      <c r="F332" s="8"/>
      <c r="G332" s="15" t="str">
        <f t="shared" si="3"/>
        <v>20</v>
      </c>
      <c r="H332" s="9">
        <f t="shared" si="4"/>
        <v>20</v>
      </c>
      <c r="I332" s="6" t="str">
        <f>IFERROR(__xludf.DUMMYFUNCTION("MAX(FILTER($H$2:$H501,$E$2:$E501=F332))"),"#N/A")</f>
        <v>#N/A</v>
      </c>
    </row>
    <row r="333">
      <c r="A333" s="4"/>
      <c r="B333" s="4"/>
      <c r="C333" s="4" t="s">
        <v>2482</v>
      </c>
      <c r="D333" s="8" t="str">
        <f t="shared" si="1"/>
        <v>{"valorA":"relógio","valorB":17}</v>
      </c>
      <c r="E333" s="8" t="str">
        <f t="shared" si="2"/>
        <v>relógio</v>
      </c>
      <c r="F333" s="8"/>
      <c r="G333" s="15" t="str">
        <f t="shared" si="3"/>
        <v>17</v>
      </c>
      <c r="H333" s="9">
        <f t="shared" si="4"/>
        <v>17</v>
      </c>
      <c r="I333" s="6" t="str">
        <f>IFERROR(__xludf.DUMMYFUNCTION("MAX(FILTER($H$2:$H501,$E$2:$E501=F333))"),"#N/A")</f>
        <v>#N/A</v>
      </c>
    </row>
    <row r="334">
      <c r="A334" s="4"/>
      <c r="B334" s="4"/>
      <c r="C334" s="4" t="s">
        <v>2564</v>
      </c>
      <c r="D334" s="8" t="str">
        <f t="shared" si="1"/>
        <v>{"valorA":"mouse de computador","valorB":18}</v>
      </c>
      <c r="E334" s="8" t="str">
        <f t="shared" si="2"/>
        <v>mouse de computador</v>
      </c>
      <c r="F334" s="8"/>
      <c r="G334" s="15" t="str">
        <f t="shared" si="3"/>
        <v>18</v>
      </c>
      <c r="H334" s="9">
        <f t="shared" si="4"/>
        <v>18</v>
      </c>
      <c r="I334" s="6" t="str">
        <f>IFERROR(__xludf.DUMMYFUNCTION("MAX(FILTER($H$2:$H501,$E$2:$E501=F334))"),"#N/A")</f>
        <v>#N/A</v>
      </c>
    </row>
    <row r="335">
      <c r="A335" s="4"/>
      <c r="B335" s="4"/>
      <c r="C335" s="4" t="s">
        <v>2312</v>
      </c>
      <c r="D335" s="8" t="str">
        <f t="shared" si="1"/>
        <v>{"valorA":"fogão","valorB":9}</v>
      </c>
      <c r="E335" s="8" t="str">
        <f t="shared" si="2"/>
        <v>fogão</v>
      </c>
      <c r="F335" s="8"/>
      <c r="G335" s="15" t="str">
        <f t="shared" si="3"/>
        <v>9</v>
      </c>
      <c r="H335" s="9">
        <f t="shared" si="4"/>
        <v>9</v>
      </c>
      <c r="I335" s="6" t="str">
        <f>IFERROR(__xludf.DUMMYFUNCTION("MAX(FILTER($H$2:$H501,$E$2:$E501=F335))"),"#N/A")</f>
        <v>#N/A</v>
      </c>
    </row>
    <row r="336">
      <c r="A336" s="4"/>
      <c r="B336" s="4"/>
      <c r="C336" s="4" t="s">
        <v>2456</v>
      </c>
      <c r="D336" s="8" t="str">
        <f t="shared" si="1"/>
        <v>{"valorA":"ventilador","valorB":19}</v>
      </c>
      <c r="E336" s="8" t="str">
        <f t="shared" si="2"/>
        <v>ventilador</v>
      </c>
      <c r="F336" s="8"/>
      <c r="G336" s="15" t="str">
        <f t="shared" si="3"/>
        <v>19</v>
      </c>
      <c r="H336" s="9">
        <f t="shared" si="4"/>
        <v>19</v>
      </c>
      <c r="I336" s="6" t="str">
        <f>IFERROR(__xludf.DUMMYFUNCTION("MAX(FILTER($H$2:$H501,$E$2:$E501=F336))"),"#N/A")</f>
        <v>#N/A</v>
      </c>
    </row>
    <row r="337">
      <c r="A337" s="4"/>
      <c r="B337" s="4"/>
      <c r="C337" s="4" t="s">
        <v>2365</v>
      </c>
      <c r="D337" s="8" t="str">
        <f t="shared" si="1"/>
        <v>{"valorA":"roteador","valorB":14}</v>
      </c>
      <c r="E337" s="8" t="str">
        <f t="shared" si="2"/>
        <v>roteador</v>
      </c>
      <c r="F337" s="8"/>
      <c r="G337" s="15" t="str">
        <f t="shared" si="3"/>
        <v>14</v>
      </c>
      <c r="H337" s="9">
        <f t="shared" si="4"/>
        <v>14</v>
      </c>
      <c r="I337" s="6" t="str">
        <f>IFERROR(__xludf.DUMMYFUNCTION("MAX(FILTER($H$2:$H501,$E$2:$E501=F337))"),"#N/A")</f>
        <v>#N/A</v>
      </c>
    </row>
    <row r="338">
      <c r="A338" s="4"/>
      <c r="B338" s="4"/>
      <c r="C338" s="4" t="s">
        <v>2302</v>
      </c>
      <c r="D338" s="8" t="str">
        <f t="shared" si="1"/>
        <v>{"valorA":"computador","valorB":10}</v>
      </c>
      <c r="E338" s="8" t="str">
        <f t="shared" si="2"/>
        <v>computador</v>
      </c>
      <c r="F338" s="8"/>
      <c r="G338" s="15" t="str">
        <f t="shared" si="3"/>
        <v>10</v>
      </c>
      <c r="H338" s="9">
        <f t="shared" si="4"/>
        <v>10</v>
      </c>
      <c r="I338" s="6" t="str">
        <f>IFERROR(__xludf.DUMMYFUNCTION("MAX(FILTER($H$2:$H501,$E$2:$E501=F338))"),"#N/A")</f>
        <v>#N/A</v>
      </c>
    </row>
    <row r="339">
      <c r="A339" s="4"/>
      <c r="B339" s="4"/>
      <c r="C339" s="4" t="s">
        <v>1720</v>
      </c>
      <c r="D339" s="8" t="str">
        <f t="shared" si="1"/>
        <v>{"valorA":"microondas","valorB":13}</v>
      </c>
      <c r="E339" s="8" t="str">
        <f t="shared" si="2"/>
        <v>microondas</v>
      </c>
      <c r="F339" s="8"/>
      <c r="G339" s="15" t="str">
        <f t="shared" si="3"/>
        <v>13</v>
      </c>
      <c r="H339" s="9">
        <f t="shared" si="4"/>
        <v>13</v>
      </c>
      <c r="I339" s="6" t="str">
        <f>IFERROR(__xludf.DUMMYFUNCTION("MAX(FILTER($H$2:$H501,$E$2:$E501=F339))"),"#N/A")</f>
        <v>#N/A</v>
      </c>
    </row>
    <row r="340">
      <c r="A340" s="4"/>
      <c r="B340" s="4"/>
      <c r="C340" s="4" t="s">
        <v>2411</v>
      </c>
      <c r="D340" s="8" t="str">
        <f t="shared" si="1"/>
        <v>{"valorA":"fone de ouvido","valorB":14}</v>
      </c>
      <c r="E340" s="8" t="str">
        <f t="shared" si="2"/>
        <v>fone de ouvido</v>
      </c>
      <c r="F340" s="8"/>
      <c r="G340" s="15" t="str">
        <f t="shared" si="3"/>
        <v>14</v>
      </c>
      <c r="H340" s="9">
        <f t="shared" si="4"/>
        <v>14</v>
      </c>
      <c r="I340" s="6" t="str">
        <f>IFERROR(__xludf.DUMMYFUNCTION("MAX(FILTER($H$2:$H501,$E$2:$E501=F340))"),"#N/A")</f>
        <v>#N/A</v>
      </c>
    </row>
    <row r="341">
      <c r="A341" s="4"/>
      <c r="B341" s="4"/>
      <c r="C341" s="4" t="s">
        <v>3520</v>
      </c>
      <c r="D341" s="8" t="str">
        <f t="shared" si="1"/>
        <v>{"valorA":"celular","valorB":21}</v>
      </c>
      <c r="E341" s="8" t="str">
        <f t="shared" si="2"/>
        <v>celular</v>
      </c>
      <c r="F341" s="8"/>
      <c r="G341" s="15" t="str">
        <f t="shared" si="3"/>
        <v>21</v>
      </c>
      <c r="H341" s="9">
        <f t="shared" si="4"/>
        <v>21</v>
      </c>
      <c r="I341" s="6" t="str">
        <f>IFERROR(__xludf.DUMMYFUNCTION("MAX(FILTER($H$2:$H501,$E$2:$E501=F341))"),"#N/A")</f>
        <v>#N/A</v>
      </c>
    </row>
    <row r="342">
      <c r="A342" s="4"/>
      <c r="B342" s="4"/>
      <c r="C342" s="4" t="s">
        <v>2377</v>
      </c>
      <c r="D342" s="8" t="str">
        <f t="shared" si="1"/>
        <v>{"valorA":"roteador","valorB":15}</v>
      </c>
      <c r="E342" s="8" t="str">
        <f t="shared" si="2"/>
        <v>roteador</v>
      </c>
      <c r="F342" s="8"/>
      <c r="G342" s="15" t="str">
        <f t="shared" si="3"/>
        <v>15</v>
      </c>
      <c r="H342" s="9">
        <f t="shared" si="4"/>
        <v>15</v>
      </c>
      <c r="I342" s="6" t="str">
        <f>IFERROR(__xludf.DUMMYFUNCTION("MAX(FILTER($H$2:$H501,$E$2:$E501=F342))"),"#N/A")</f>
        <v>#N/A</v>
      </c>
    </row>
    <row r="343">
      <c r="A343" s="4"/>
      <c r="B343" s="4"/>
      <c r="C343" s="4" t="s">
        <v>1679</v>
      </c>
      <c r="D343" s="8" t="str">
        <f t="shared" si="1"/>
        <v>{"valorA":"freezer","valorB":21}</v>
      </c>
      <c r="E343" s="8" t="str">
        <f t="shared" si="2"/>
        <v>freezer</v>
      </c>
      <c r="F343" s="8"/>
      <c r="G343" s="15" t="str">
        <f t="shared" si="3"/>
        <v>21</v>
      </c>
      <c r="H343" s="9">
        <f t="shared" si="4"/>
        <v>21</v>
      </c>
      <c r="I343" s="6" t="str">
        <f>IFERROR(__xludf.DUMMYFUNCTION("MAX(FILTER($H$2:$H501,$E$2:$E501=F343))"),"#N/A")</f>
        <v>#N/A</v>
      </c>
    </row>
    <row r="344">
      <c r="A344" s="4"/>
      <c r="B344" s="4"/>
      <c r="C344" s="4" t="s">
        <v>2579</v>
      </c>
      <c r="D344" s="8" t="str">
        <f t="shared" si="1"/>
        <v>{"valorA":"mouse de computador","valorB":19}</v>
      </c>
      <c r="E344" s="8" t="str">
        <f t="shared" si="2"/>
        <v>mouse de computador</v>
      </c>
      <c r="F344" s="8"/>
      <c r="G344" s="15" t="str">
        <f t="shared" si="3"/>
        <v>19</v>
      </c>
      <c r="H344" s="9">
        <f t="shared" si="4"/>
        <v>19</v>
      </c>
      <c r="I344" s="6" t="str">
        <f>IFERROR(__xludf.DUMMYFUNCTION("MAX(FILTER($H$2:$H501,$E$2:$E501=F344))"),"#N/A")</f>
        <v>#N/A</v>
      </c>
    </row>
    <row r="345">
      <c r="A345" s="4"/>
      <c r="B345" s="4"/>
      <c r="C345" s="4" t="s">
        <v>1680</v>
      </c>
      <c r="D345" s="8" t="str">
        <f t="shared" si="1"/>
        <v>{"valorA":"freezer","valorB":22}</v>
      </c>
      <c r="E345" s="8" t="str">
        <f t="shared" si="2"/>
        <v>freezer</v>
      </c>
      <c r="F345" s="8"/>
      <c r="G345" s="15" t="str">
        <f t="shared" si="3"/>
        <v>22</v>
      </c>
      <c r="H345" s="9">
        <f t="shared" si="4"/>
        <v>22</v>
      </c>
      <c r="I345" s="6" t="str">
        <f>IFERROR(__xludf.DUMMYFUNCTION("MAX(FILTER($H$2:$H501,$E$2:$E501=F345))"),"#N/A")</f>
        <v>#N/A</v>
      </c>
    </row>
    <row r="346">
      <c r="A346" s="4"/>
      <c r="B346" s="4"/>
      <c r="C346" s="4" t="s">
        <v>2361</v>
      </c>
      <c r="D346" s="8" t="str">
        <f t="shared" si="1"/>
        <v>{"valorA":"chuveiro elétrico","valorB":16}</v>
      </c>
      <c r="E346" s="8" t="str">
        <f t="shared" si="2"/>
        <v>chuveiro elétrico</v>
      </c>
      <c r="F346" s="8"/>
      <c r="G346" s="15" t="str">
        <f t="shared" si="3"/>
        <v>16</v>
      </c>
      <c r="H346" s="9">
        <f t="shared" si="4"/>
        <v>16</v>
      </c>
      <c r="I346" s="6" t="str">
        <f>IFERROR(__xludf.DUMMYFUNCTION("MAX(FILTER($H$2:$H501,$E$2:$E501=F346))"),"#N/A")</f>
        <v>#N/A</v>
      </c>
    </row>
    <row r="347">
      <c r="A347" s="4"/>
      <c r="B347" s="4"/>
      <c r="C347" s="4" t="s">
        <v>2491</v>
      </c>
      <c r="D347" s="8" t="str">
        <f t="shared" si="1"/>
        <v>{"valorA":"filtro de linha","valorB":20}</v>
      </c>
      <c r="E347" s="8" t="str">
        <f t="shared" si="2"/>
        <v>filtro de linha</v>
      </c>
      <c r="F347" s="8"/>
      <c r="G347" s="15" t="str">
        <f t="shared" si="3"/>
        <v>20</v>
      </c>
      <c r="H347" s="9">
        <f t="shared" si="4"/>
        <v>20</v>
      </c>
      <c r="I347" s="6" t="str">
        <f>IFERROR(__xludf.DUMMYFUNCTION("MAX(FILTER($H$2:$H501,$E$2:$E501=F347))"),"#N/A")</f>
        <v>#N/A</v>
      </c>
    </row>
    <row r="348">
      <c r="A348" s="4"/>
      <c r="B348" s="4"/>
      <c r="C348" s="4" t="s">
        <v>3521</v>
      </c>
      <c r="D348" s="8" t="str">
        <f t="shared" si="1"/>
        <v>{"valorA":"carregador de celular","valorB":22}</v>
      </c>
      <c r="E348" s="8" t="str">
        <f t="shared" si="2"/>
        <v>carregador de celular</v>
      </c>
      <c r="F348" s="8"/>
      <c r="G348" s="15" t="str">
        <f t="shared" si="3"/>
        <v>22</v>
      </c>
      <c r="H348" s="9">
        <f t="shared" si="4"/>
        <v>22</v>
      </c>
      <c r="I348" s="6" t="str">
        <f>IFERROR(__xludf.DUMMYFUNCTION("MAX(FILTER($H$2:$H501,$E$2:$E501=F348))"),"#N/A")</f>
        <v>#N/A</v>
      </c>
    </row>
    <row r="349">
      <c r="A349" s="4"/>
      <c r="B349" s="4"/>
      <c r="C349" s="4" t="s">
        <v>2479</v>
      </c>
      <c r="D349" s="8" t="str">
        <f t="shared" si="1"/>
        <v>{"valorA":"ventilador","valorB":20}</v>
      </c>
      <c r="E349" s="8" t="str">
        <f t="shared" si="2"/>
        <v>ventilador</v>
      </c>
      <c r="F349" s="8"/>
      <c r="G349" s="15" t="str">
        <f t="shared" si="3"/>
        <v>20</v>
      </c>
      <c r="H349" s="9">
        <f t="shared" si="4"/>
        <v>20</v>
      </c>
      <c r="I349" s="6" t="str">
        <f>IFERROR(__xludf.DUMMYFUNCTION("MAX(FILTER($H$2:$H501,$E$2:$E501=F349))"),"#N/A")</f>
        <v>#N/A</v>
      </c>
    </row>
    <row r="350">
      <c r="A350" s="4"/>
      <c r="B350" s="4"/>
      <c r="C350" s="4" t="s">
        <v>3522</v>
      </c>
      <c r="D350" s="8" t="str">
        <f t="shared" si="1"/>
        <v>{"valorA":"carregador de celular","valorB":23}</v>
      </c>
      <c r="E350" s="8" t="str">
        <f t="shared" si="2"/>
        <v>carregador de celular</v>
      </c>
      <c r="F350" s="8"/>
      <c r="G350" s="15" t="str">
        <f t="shared" si="3"/>
        <v>23</v>
      </c>
      <c r="H350" s="9">
        <f t="shared" si="4"/>
        <v>23</v>
      </c>
      <c r="I350" s="6" t="str">
        <f>IFERROR(__xludf.DUMMYFUNCTION("MAX(FILTER($H$2:$H501,$E$2:$E501=F350))"),"#N/A")</f>
        <v>#N/A</v>
      </c>
    </row>
    <row r="351">
      <c r="A351" s="4"/>
      <c r="B351" s="4"/>
      <c r="C351" s="4" t="s">
        <v>2435</v>
      </c>
      <c r="D351" s="8" t="str">
        <f t="shared" si="1"/>
        <v>{"valorA":"fone de ouvido","valorB":15}</v>
      </c>
      <c r="E351" s="8" t="str">
        <f t="shared" si="2"/>
        <v>fone de ouvido</v>
      </c>
      <c r="F351" s="8"/>
      <c r="G351" s="15" t="str">
        <f t="shared" si="3"/>
        <v>15</v>
      </c>
      <c r="H351" s="9">
        <f t="shared" si="4"/>
        <v>15</v>
      </c>
      <c r="I351" s="6" t="str">
        <f>IFERROR(__xludf.DUMMYFUNCTION("MAX(FILTER($H$2:$H501,$E$2:$E501=F351))"),"#N/A")</f>
        <v>#N/A</v>
      </c>
    </row>
    <row r="352">
      <c r="A352" s="4"/>
      <c r="B352" s="4"/>
      <c r="C352" s="4" t="s">
        <v>2497</v>
      </c>
      <c r="D352" s="8" t="str">
        <f t="shared" si="1"/>
        <v>{"valorA":"filtro de linha","valorB":21}</v>
      </c>
      <c r="E352" s="8" t="str">
        <f t="shared" si="2"/>
        <v>filtro de linha</v>
      </c>
      <c r="F352" s="8"/>
      <c r="G352" s="15" t="str">
        <f t="shared" si="3"/>
        <v>21</v>
      </c>
      <c r="H352" s="9">
        <f t="shared" si="4"/>
        <v>21</v>
      </c>
      <c r="I352" s="6" t="str">
        <f>IFERROR(__xludf.DUMMYFUNCTION("MAX(FILTER($H$2:$H501,$E$2:$E501=F352))"),"#N/A")</f>
        <v>#N/A</v>
      </c>
    </row>
    <row r="353">
      <c r="A353" s="4"/>
      <c r="B353" s="4"/>
      <c r="C353" s="4" t="s">
        <v>2499</v>
      </c>
      <c r="D353" s="8" t="str">
        <f t="shared" si="1"/>
        <v>{"valorA":"filtro de linha","valorB":22}</v>
      </c>
      <c r="E353" s="8" t="str">
        <f t="shared" si="2"/>
        <v>filtro de linha</v>
      </c>
      <c r="F353" s="8"/>
      <c r="G353" s="15" t="str">
        <f t="shared" si="3"/>
        <v>22</v>
      </c>
      <c r="H353" s="9">
        <f t="shared" si="4"/>
        <v>22</v>
      </c>
      <c r="I353" s="6" t="str">
        <f>IFERROR(__xludf.DUMMYFUNCTION("MAX(FILTER($H$2:$H501,$E$2:$E501=F353))"),"#N/A")</f>
        <v>#N/A</v>
      </c>
    </row>
    <row r="354">
      <c r="A354" s="4"/>
      <c r="B354" s="4"/>
      <c r="C354" s="4" t="s">
        <v>2396</v>
      </c>
      <c r="D354" s="8" t="str">
        <f t="shared" si="1"/>
        <v>{"valorA":"teclado de computador","valorB":18}</v>
      </c>
      <c r="E354" s="8" t="str">
        <f t="shared" si="2"/>
        <v>teclado de computador</v>
      </c>
      <c r="F354" s="8"/>
      <c r="G354" s="15" t="str">
        <f t="shared" si="3"/>
        <v>18</v>
      </c>
      <c r="H354" s="9">
        <f t="shared" si="4"/>
        <v>18</v>
      </c>
      <c r="I354" s="6" t="str">
        <f>IFERROR(__xludf.DUMMYFUNCTION("MAX(FILTER($H$2:$H501,$E$2:$E501=F354))"),"#N/A")</f>
        <v>#N/A</v>
      </c>
    </row>
    <row r="355">
      <c r="A355" s="4"/>
      <c r="B355" s="4"/>
      <c r="C355" s="4" t="s">
        <v>2380</v>
      </c>
      <c r="D355" s="8" t="str">
        <f t="shared" si="1"/>
        <v>{"valorA":"chuveiro elétrico","valorB":17}</v>
      </c>
      <c r="E355" s="8" t="str">
        <f t="shared" si="2"/>
        <v>chuveiro elétrico</v>
      </c>
      <c r="F355" s="8"/>
      <c r="G355" s="15" t="str">
        <f t="shared" si="3"/>
        <v>17</v>
      </c>
      <c r="H355" s="9">
        <f t="shared" si="4"/>
        <v>17</v>
      </c>
      <c r="I355" s="6" t="str">
        <f>IFERROR(__xludf.DUMMYFUNCTION("MAX(FILTER($H$2:$H501,$E$2:$E501=F355))"),"#N/A")</f>
        <v>#N/A</v>
      </c>
    </row>
    <row r="356">
      <c r="A356" s="4"/>
      <c r="B356" s="4"/>
      <c r="C356" s="4" t="s">
        <v>3523</v>
      </c>
      <c r="D356" s="8" t="str">
        <f t="shared" si="1"/>
        <v>{"valorA":"celular","valorB":22}</v>
      </c>
      <c r="E356" s="8" t="str">
        <f t="shared" si="2"/>
        <v>celular</v>
      </c>
      <c r="F356" s="8"/>
      <c r="G356" s="15" t="str">
        <f t="shared" si="3"/>
        <v>22</v>
      </c>
      <c r="H356" s="9">
        <f t="shared" si="4"/>
        <v>22</v>
      </c>
      <c r="I356" s="6" t="str">
        <f>IFERROR(__xludf.DUMMYFUNCTION("MAX(FILTER($H$2:$H501,$E$2:$E501=F356))"),"#N/A")</f>
        <v>#N/A</v>
      </c>
    </row>
    <row r="357">
      <c r="A357" s="4"/>
      <c r="B357" s="4"/>
      <c r="C357" s="4" t="s">
        <v>2583</v>
      </c>
      <c r="D357" s="8" t="str">
        <f t="shared" si="1"/>
        <v>{"valorA":"mouse de computador","valorB":20}</v>
      </c>
      <c r="E357" s="8" t="str">
        <f t="shared" si="2"/>
        <v>mouse de computador</v>
      </c>
      <c r="F357" s="8"/>
      <c r="G357" s="15" t="str">
        <f t="shared" si="3"/>
        <v>20</v>
      </c>
      <c r="H357" s="9">
        <f t="shared" si="4"/>
        <v>20</v>
      </c>
      <c r="I357" s="6" t="str">
        <f>IFERROR(__xludf.DUMMYFUNCTION("MAX(FILTER($H$2:$H501,$E$2:$E501=F357))"),"#N/A")</f>
        <v>#N/A</v>
      </c>
    </row>
    <row r="358">
      <c r="A358" s="4"/>
      <c r="B358" s="4"/>
      <c r="C358" s="4" t="s">
        <v>1721</v>
      </c>
      <c r="D358" s="8" t="str">
        <f t="shared" si="1"/>
        <v>{"valorA":"microondas","valorB":14}</v>
      </c>
      <c r="E358" s="8" t="str">
        <f t="shared" si="2"/>
        <v>microondas</v>
      </c>
      <c r="F358" s="8"/>
      <c r="G358" s="15" t="str">
        <f t="shared" si="3"/>
        <v>14</v>
      </c>
      <c r="H358" s="9">
        <f t="shared" si="4"/>
        <v>14</v>
      </c>
      <c r="I358" s="6" t="str">
        <f>IFERROR(__xludf.DUMMYFUNCTION("MAX(FILTER($H$2:$H501,$E$2:$E501=F358))"),"#N/A")</f>
        <v>#N/A</v>
      </c>
    </row>
    <row r="359">
      <c r="A359" s="4"/>
      <c r="B359" s="4"/>
      <c r="C359" s="4" t="s">
        <v>2397</v>
      </c>
      <c r="D359" s="8" t="str">
        <f t="shared" si="1"/>
        <v>{"valorA":"liquidificador","valorB":17}</v>
      </c>
      <c r="E359" s="8" t="str">
        <f t="shared" si="2"/>
        <v>liquidificador</v>
      </c>
      <c r="F359" s="8"/>
      <c r="G359" s="15" t="str">
        <f t="shared" si="3"/>
        <v>17</v>
      </c>
      <c r="H359" s="9">
        <f t="shared" si="4"/>
        <v>17</v>
      </c>
      <c r="I359" s="6" t="str">
        <f>IFERROR(__xludf.DUMMYFUNCTION("MAX(FILTER($H$2:$H501,$E$2:$E501=F359))"),"#N/A")</f>
        <v>#N/A</v>
      </c>
    </row>
    <row r="360">
      <c r="A360" s="4"/>
      <c r="B360" s="4"/>
      <c r="C360" s="4" t="s">
        <v>3524</v>
      </c>
      <c r="D360" s="8" t="str">
        <f t="shared" si="1"/>
        <v>{"valorA":"purificador de água","valorB":22}</v>
      </c>
      <c r="E360" s="8" t="str">
        <f t="shared" si="2"/>
        <v>purificador de água</v>
      </c>
      <c r="F360" s="8"/>
      <c r="G360" s="15" t="str">
        <f t="shared" si="3"/>
        <v>22</v>
      </c>
      <c r="H360" s="9">
        <f t="shared" si="4"/>
        <v>22</v>
      </c>
      <c r="I360" s="6" t="str">
        <f>IFERROR(__xludf.DUMMYFUNCTION("MAX(FILTER($H$2:$H501,$E$2:$E501=F360))"),"#N/A")</f>
        <v>#N/A</v>
      </c>
    </row>
    <row r="361">
      <c r="A361" s="4"/>
      <c r="B361" s="4"/>
      <c r="C361" s="4" t="s">
        <v>2335</v>
      </c>
      <c r="D361" s="8" t="str">
        <f t="shared" si="1"/>
        <v>{"valorA":"computador","valorB":11}</v>
      </c>
      <c r="E361" s="8" t="str">
        <f t="shared" si="2"/>
        <v>computador</v>
      </c>
      <c r="F361" s="8"/>
      <c r="G361" s="15" t="str">
        <f t="shared" si="3"/>
        <v>11</v>
      </c>
      <c r="H361" s="9">
        <f t="shared" si="4"/>
        <v>11</v>
      </c>
      <c r="I361" s="6" t="str">
        <f>IFERROR(__xludf.DUMMYFUNCTION("MAX(FILTER($H$2:$H501,$E$2:$E501=F361))"),"#N/A")</f>
        <v>#N/A</v>
      </c>
    </row>
    <row r="362">
      <c r="A362" s="4"/>
      <c r="B362" s="4"/>
      <c r="C362" s="4" t="s">
        <v>2392</v>
      </c>
      <c r="D362" s="8" t="str">
        <f t="shared" si="1"/>
        <v>{"valorA":"roteador","valorB":16}</v>
      </c>
      <c r="E362" s="8" t="str">
        <f t="shared" si="2"/>
        <v>roteador</v>
      </c>
      <c r="F362" s="8"/>
      <c r="G362" s="15" t="str">
        <f t="shared" si="3"/>
        <v>16</v>
      </c>
      <c r="H362" s="9">
        <f t="shared" si="4"/>
        <v>16</v>
      </c>
      <c r="I362" s="6" t="str">
        <f>IFERROR(__xludf.DUMMYFUNCTION("MAX(FILTER($H$2:$H501,$E$2:$E501=F362))"),"#N/A")</f>
        <v>#N/A</v>
      </c>
    </row>
    <row r="363">
      <c r="A363" s="4"/>
      <c r="B363" s="4"/>
      <c r="C363" s="4" t="s">
        <v>2343</v>
      </c>
      <c r="D363" s="8" t="str">
        <f t="shared" si="1"/>
        <v>{"valorA":"computador","valorB":12}</v>
      </c>
      <c r="E363" s="8" t="str">
        <f t="shared" si="2"/>
        <v>computador</v>
      </c>
      <c r="F363" s="8"/>
      <c r="G363" s="15" t="str">
        <f t="shared" si="3"/>
        <v>12</v>
      </c>
      <c r="H363" s="9">
        <f t="shared" si="4"/>
        <v>12</v>
      </c>
      <c r="I363" s="6" t="str">
        <f>IFERROR(__xludf.DUMMYFUNCTION("MAX(FILTER($H$2:$H501,$E$2:$E501=F363))"),"#N/A")</f>
        <v>#N/A</v>
      </c>
    </row>
    <row r="364">
      <c r="A364" s="4"/>
      <c r="B364" s="4"/>
      <c r="C364" s="4" t="s">
        <v>2415</v>
      </c>
      <c r="D364" s="8" t="str">
        <f t="shared" si="1"/>
        <v>{"valorA":"liquidificador","valorB":18}</v>
      </c>
      <c r="E364" s="8" t="str">
        <f t="shared" si="2"/>
        <v>liquidificador</v>
      </c>
      <c r="F364" s="8"/>
      <c r="G364" s="15" t="str">
        <f t="shared" si="3"/>
        <v>18</v>
      </c>
      <c r="H364" s="9">
        <f t="shared" si="4"/>
        <v>18</v>
      </c>
      <c r="I364" s="6" t="str">
        <f>IFERROR(__xludf.DUMMYFUNCTION("MAX(FILTER($H$2:$H501,$E$2:$E501=F364))"),"#N/A")</f>
        <v>#N/A</v>
      </c>
    </row>
    <row r="365">
      <c r="A365" s="4"/>
      <c r="B365" s="4"/>
      <c r="C365" s="4" t="s">
        <v>1681</v>
      </c>
      <c r="D365" s="8" t="str">
        <f t="shared" si="1"/>
        <v>{"valorA":"freezer","valorB":23}</v>
      </c>
      <c r="E365" s="8" t="str">
        <f t="shared" si="2"/>
        <v>freezer</v>
      </c>
      <c r="F365" s="8"/>
      <c r="G365" s="15" t="str">
        <f t="shared" si="3"/>
        <v>23</v>
      </c>
      <c r="H365" s="9">
        <f t="shared" si="4"/>
        <v>23</v>
      </c>
      <c r="I365" s="6" t="str">
        <f>IFERROR(__xludf.DUMMYFUNCTION("MAX(FILTER($H$2:$H501,$E$2:$E501=F365))"),"#N/A")</f>
        <v>#N/A</v>
      </c>
    </row>
    <row r="366">
      <c r="A366" s="4"/>
      <c r="B366" s="4"/>
      <c r="C366" s="4" t="s">
        <v>2442</v>
      </c>
      <c r="D366" s="8" t="str">
        <f t="shared" si="1"/>
        <v>{"valorA":"liquidificador","valorB":19}</v>
      </c>
      <c r="E366" s="8" t="str">
        <f t="shared" si="2"/>
        <v>liquidificador</v>
      </c>
      <c r="F366" s="8"/>
      <c r="G366" s="15" t="str">
        <f t="shared" si="3"/>
        <v>19</v>
      </c>
      <c r="H366" s="9">
        <f t="shared" si="4"/>
        <v>19</v>
      </c>
      <c r="I366" s="6" t="str">
        <f>IFERROR(__xludf.DUMMYFUNCTION("MAX(FILTER($H$2:$H501,$E$2:$E501=F366))"),"#N/A")</f>
        <v>#N/A</v>
      </c>
    </row>
    <row r="367">
      <c r="A367" s="4"/>
      <c r="B367" s="4"/>
      <c r="C367" s="4" t="s">
        <v>3525</v>
      </c>
      <c r="D367" s="8" t="str">
        <f t="shared" si="1"/>
        <v>{"valorA":"carregador de celular","valorB":24}</v>
      </c>
      <c r="E367" s="8" t="str">
        <f t="shared" si="2"/>
        <v>carregador de celular</v>
      </c>
      <c r="F367" s="8"/>
      <c r="G367" s="15" t="str">
        <f t="shared" si="3"/>
        <v>24</v>
      </c>
      <c r="H367" s="9">
        <f t="shared" si="4"/>
        <v>24</v>
      </c>
      <c r="I367" s="6" t="str">
        <f>IFERROR(__xludf.DUMMYFUNCTION("MAX(FILTER($H$2:$H501,$E$2:$E501=F367))"),"#N/A")</f>
        <v>#N/A</v>
      </c>
    </row>
    <row r="368">
      <c r="A368" s="4"/>
      <c r="B368" s="4"/>
      <c r="C368" s="4" t="s">
        <v>3526</v>
      </c>
      <c r="D368" s="8" t="str">
        <f t="shared" si="1"/>
        <v>{"valorA":"purificador de água","valorB":23}</v>
      </c>
      <c r="E368" s="8" t="str">
        <f t="shared" si="2"/>
        <v>purificador de água</v>
      </c>
      <c r="F368" s="8"/>
      <c r="G368" s="15" t="str">
        <f t="shared" si="3"/>
        <v>23</v>
      </c>
      <c r="H368" s="9">
        <f t="shared" si="4"/>
        <v>23</v>
      </c>
      <c r="I368" s="6" t="str">
        <f>IFERROR(__xludf.DUMMYFUNCTION("MAX(FILTER($H$2:$H501,$E$2:$E501=F368))"),"#N/A")</f>
        <v>#N/A</v>
      </c>
    </row>
    <row r="369">
      <c r="A369" s="4"/>
      <c r="B369" s="4"/>
      <c r="C369" s="4" t="s">
        <v>2429</v>
      </c>
      <c r="D369" s="8" t="str">
        <f t="shared" si="1"/>
        <v>{"valorA":"roteador","valorB":17}</v>
      </c>
      <c r="E369" s="8" t="str">
        <f t="shared" si="2"/>
        <v>roteador</v>
      </c>
      <c r="F369" s="8"/>
      <c r="G369" s="15" t="str">
        <f t="shared" si="3"/>
        <v>17</v>
      </c>
      <c r="H369" s="9">
        <f t="shared" si="4"/>
        <v>17</v>
      </c>
      <c r="I369" s="6" t="str">
        <f>IFERROR(__xludf.DUMMYFUNCTION("MAX(FILTER($H$2:$H501,$E$2:$E501=F369))"),"#N/A")</f>
        <v>#N/A</v>
      </c>
    </row>
    <row r="370">
      <c r="A370" s="4"/>
      <c r="B370" s="4"/>
      <c r="C370" s="4" t="s">
        <v>2362</v>
      </c>
      <c r="D370" s="8" t="str">
        <f t="shared" si="1"/>
        <v>{"valorA":"computador","valorB":13}</v>
      </c>
      <c r="E370" s="8" t="str">
        <f t="shared" si="2"/>
        <v>computador</v>
      </c>
      <c r="F370" s="8"/>
      <c r="G370" s="15" t="str">
        <f t="shared" si="3"/>
        <v>13</v>
      </c>
      <c r="H370" s="9">
        <f t="shared" si="4"/>
        <v>13</v>
      </c>
      <c r="I370" s="6" t="str">
        <f>IFERROR(__xludf.DUMMYFUNCTION("MAX(FILTER($H$2:$H501,$E$2:$E501=F370))"),"#N/A")</f>
        <v>#N/A</v>
      </c>
    </row>
    <row r="371">
      <c r="A371" s="4"/>
      <c r="B371" s="4"/>
      <c r="C371" s="4" t="s">
        <v>2487</v>
      </c>
      <c r="D371" s="8" t="str">
        <f t="shared" si="1"/>
        <v>{"valorA":"relógio","valorB":18}</v>
      </c>
      <c r="E371" s="8" t="str">
        <f t="shared" si="2"/>
        <v>relógio</v>
      </c>
      <c r="F371" s="8"/>
      <c r="G371" s="15" t="str">
        <f t="shared" si="3"/>
        <v>18</v>
      </c>
      <c r="H371" s="9">
        <f t="shared" si="4"/>
        <v>18</v>
      </c>
      <c r="I371" s="6" t="str">
        <f>IFERROR(__xludf.DUMMYFUNCTION("MAX(FILTER($H$2:$H501,$E$2:$E501=F371))"),"#N/A")</f>
        <v>#N/A</v>
      </c>
    </row>
    <row r="372">
      <c r="A372" s="4"/>
      <c r="B372" s="4"/>
      <c r="C372" s="4" t="s">
        <v>2464</v>
      </c>
      <c r="D372" s="8" t="str">
        <f t="shared" si="1"/>
        <v>{"valorA":"fone de ouvido","valorB":16}</v>
      </c>
      <c r="E372" s="8" t="str">
        <f t="shared" si="2"/>
        <v>fone de ouvido</v>
      </c>
      <c r="F372" s="8"/>
      <c r="G372" s="15" t="str">
        <f t="shared" si="3"/>
        <v>16</v>
      </c>
      <c r="H372" s="9">
        <f t="shared" si="4"/>
        <v>16</v>
      </c>
      <c r="I372" s="6" t="str">
        <f>IFERROR(__xludf.DUMMYFUNCTION("MAX(FILTER($H$2:$H501,$E$2:$E501=F372))"),"#N/A")</f>
        <v>#N/A</v>
      </c>
    </row>
    <row r="373">
      <c r="A373" s="4"/>
      <c r="B373" s="4"/>
      <c r="C373" s="4" t="s">
        <v>2450</v>
      </c>
      <c r="D373" s="8" t="str">
        <f t="shared" si="1"/>
        <v>{"valorA":"roteador","valorB":18}</v>
      </c>
      <c r="E373" s="8" t="str">
        <f t="shared" si="2"/>
        <v>roteador</v>
      </c>
      <c r="F373" s="8"/>
      <c r="G373" s="15" t="str">
        <f t="shared" si="3"/>
        <v>18</v>
      </c>
      <c r="H373" s="9">
        <f t="shared" si="4"/>
        <v>18</v>
      </c>
      <c r="I373" s="6" t="str">
        <f>IFERROR(__xludf.DUMMYFUNCTION("MAX(FILTER($H$2:$H501,$E$2:$E501=F373))"),"#N/A")</f>
        <v>#N/A</v>
      </c>
    </row>
    <row r="374">
      <c r="A374" s="4"/>
      <c r="B374" s="4"/>
      <c r="C374" s="4" t="s">
        <v>2393</v>
      </c>
      <c r="D374" s="8" t="str">
        <f t="shared" si="1"/>
        <v>{"valorA":"chuveiro elétrico","valorB":18}</v>
      </c>
      <c r="E374" s="8" t="str">
        <f t="shared" si="2"/>
        <v>chuveiro elétrico</v>
      </c>
      <c r="F374" s="8"/>
      <c r="G374" s="15" t="str">
        <f t="shared" si="3"/>
        <v>18</v>
      </c>
      <c r="H374" s="9">
        <f t="shared" si="4"/>
        <v>18</v>
      </c>
      <c r="I374" s="6" t="str">
        <f>IFERROR(__xludf.DUMMYFUNCTION("MAX(FILTER($H$2:$H501,$E$2:$E501=F374))"),"#N/A")</f>
        <v>#N/A</v>
      </c>
    </row>
    <row r="375">
      <c r="A375" s="4"/>
      <c r="B375" s="4"/>
      <c r="C375" s="4" t="s">
        <v>2522</v>
      </c>
      <c r="D375" s="8" t="str">
        <f t="shared" si="1"/>
        <v>{"valorA":"lustre","valorB":18}</v>
      </c>
      <c r="E375" s="8" t="str">
        <f t="shared" si="2"/>
        <v>lustre</v>
      </c>
      <c r="F375" s="8"/>
      <c r="G375" s="15" t="str">
        <f t="shared" si="3"/>
        <v>18</v>
      </c>
      <c r="H375" s="9">
        <f t="shared" si="4"/>
        <v>18</v>
      </c>
      <c r="I375" s="6" t="str">
        <f>IFERROR(__xludf.DUMMYFUNCTION("MAX(FILTER($H$2:$H501,$E$2:$E501=F375))"),"#N/A")</f>
        <v>#N/A</v>
      </c>
    </row>
    <row r="376">
      <c r="A376" s="4"/>
      <c r="B376" s="4"/>
      <c r="C376" s="4" t="s">
        <v>3527</v>
      </c>
      <c r="D376" s="8" t="str">
        <f t="shared" si="1"/>
        <v>{"valorA":"celular","valorB":23}</v>
      </c>
      <c r="E376" s="8" t="str">
        <f t="shared" si="2"/>
        <v>celular</v>
      </c>
      <c r="F376" s="8"/>
      <c r="G376" s="15" t="str">
        <f t="shared" si="3"/>
        <v>23</v>
      </c>
      <c r="H376" s="9">
        <f t="shared" si="4"/>
        <v>23</v>
      </c>
      <c r="I376" s="6" t="str">
        <f>IFERROR(__xludf.DUMMYFUNCTION("MAX(FILTER($H$2:$H501,$E$2:$E501=F376))"),"#N/A")</f>
        <v>#N/A</v>
      </c>
    </row>
    <row r="377">
      <c r="A377" s="4"/>
      <c r="B377" s="4"/>
      <c r="C377" s="4" t="s">
        <v>2446</v>
      </c>
      <c r="D377" s="8" t="str">
        <f t="shared" si="1"/>
        <v>{"valorA":"liquidificador","valorB":20}</v>
      </c>
      <c r="E377" s="8" t="str">
        <f t="shared" si="2"/>
        <v>liquidificador</v>
      </c>
      <c r="F377" s="8"/>
      <c r="G377" s="15" t="str">
        <f t="shared" si="3"/>
        <v>20</v>
      </c>
      <c r="H377" s="9">
        <f t="shared" si="4"/>
        <v>20</v>
      </c>
      <c r="I377" s="6" t="str">
        <f>IFERROR(__xludf.DUMMYFUNCTION("MAX(FILTER($H$2:$H501,$E$2:$E501=F377))"),"#N/A")</f>
        <v>#N/A</v>
      </c>
    </row>
    <row r="378">
      <c r="A378" s="4"/>
      <c r="B378" s="4"/>
      <c r="C378" s="4" t="s">
        <v>2401</v>
      </c>
      <c r="D378" s="8" t="str">
        <f t="shared" si="1"/>
        <v>{"valorA":"teclado de computador","valorB":19}</v>
      </c>
      <c r="E378" s="8" t="str">
        <f t="shared" si="2"/>
        <v>teclado de computador</v>
      </c>
      <c r="F378" s="8"/>
      <c r="G378" s="15" t="str">
        <f t="shared" si="3"/>
        <v>19</v>
      </c>
      <c r="H378" s="9">
        <f t="shared" si="4"/>
        <v>19</v>
      </c>
      <c r="I378" s="6" t="str">
        <f>IFERROR(__xludf.DUMMYFUNCTION("MAX(FILTER($H$2:$H501,$E$2:$E501=F378))"),"#N/A")</f>
        <v>#N/A</v>
      </c>
    </row>
    <row r="379">
      <c r="A379" s="4"/>
      <c r="B379" s="4"/>
      <c r="C379" s="4" t="s">
        <v>2475</v>
      </c>
      <c r="D379" s="8" t="str">
        <f t="shared" si="1"/>
        <v>{"valorA":"roteador","valorB":19}</v>
      </c>
      <c r="E379" s="8" t="str">
        <f t="shared" si="2"/>
        <v>roteador</v>
      </c>
      <c r="F379" s="8"/>
      <c r="G379" s="15" t="str">
        <f t="shared" si="3"/>
        <v>19</v>
      </c>
      <c r="H379" s="9">
        <f t="shared" si="4"/>
        <v>19</v>
      </c>
      <c r="I379" s="6" t="str">
        <f>IFERROR(__xludf.DUMMYFUNCTION("MAX(FILTER($H$2:$H501,$E$2:$E501=F379))"),"#N/A")</f>
        <v>#N/A</v>
      </c>
    </row>
    <row r="380">
      <c r="A380" s="4"/>
      <c r="B380" s="4"/>
      <c r="C380" s="4" t="s">
        <v>3528</v>
      </c>
      <c r="D380" s="8" t="str">
        <f t="shared" si="1"/>
        <v>{"valorA":"carregador de celular","valorB":25}</v>
      </c>
      <c r="E380" s="8" t="str">
        <f t="shared" si="2"/>
        <v>carregador de celular</v>
      </c>
      <c r="F380" s="8"/>
      <c r="G380" s="15" t="str">
        <f t="shared" si="3"/>
        <v>25</v>
      </c>
      <c r="H380" s="9">
        <f t="shared" si="4"/>
        <v>25</v>
      </c>
      <c r="I380" s="6" t="str">
        <f>IFERROR(__xludf.DUMMYFUNCTION("MAX(FILTER($H$2:$H501,$E$2:$E501=F380))"),"#N/A")</f>
        <v>#N/A</v>
      </c>
    </row>
    <row r="381">
      <c r="A381" s="4"/>
      <c r="B381" s="4"/>
      <c r="C381" s="4" t="s">
        <v>1682</v>
      </c>
      <c r="D381" s="8" t="str">
        <f t="shared" si="1"/>
        <v>{"valorA":"freezer","valorB":24}</v>
      </c>
      <c r="E381" s="8" t="str">
        <f t="shared" si="2"/>
        <v>freezer</v>
      </c>
      <c r="F381" s="8"/>
      <c r="G381" s="15" t="str">
        <f t="shared" si="3"/>
        <v>24</v>
      </c>
      <c r="H381" s="9">
        <f t="shared" si="4"/>
        <v>24</v>
      </c>
      <c r="I381" s="6" t="str">
        <f>IFERROR(__xludf.DUMMYFUNCTION("MAX(FILTER($H$2:$H501,$E$2:$E501=F381))"),"#N/A")</f>
        <v>#N/A</v>
      </c>
    </row>
    <row r="382">
      <c r="A382" s="4"/>
      <c r="B382" s="4"/>
      <c r="C382" s="4" t="s">
        <v>3529</v>
      </c>
      <c r="D382" s="8" t="str">
        <f t="shared" si="1"/>
        <v>{"valorA":"celular","valorB":24}</v>
      </c>
      <c r="E382" s="8" t="str">
        <f t="shared" si="2"/>
        <v>celular</v>
      </c>
      <c r="F382" s="8"/>
      <c r="G382" s="15" t="str">
        <f t="shared" si="3"/>
        <v>24</v>
      </c>
      <c r="H382" s="9">
        <f t="shared" si="4"/>
        <v>24</v>
      </c>
      <c r="I382" s="6" t="str">
        <f>IFERROR(__xludf.DUMMYFUNCTION("MAX(FILTER($H$2:$H501,$E$2:$E501=F382))"),"#N/A")</f>
        <v>#N/A</v>
      </c>
    </row>
    <row r="383">
      <c r="A383" s="4"/>
      <c r="B383" s="4"/>
      <c r="C383" s="4" t="s">
        <v>1683</v>
      </c>
      <c r="D383" s="8" t="str">
        <f t="shared" si="1"/>
        <v>{"valorA":"freezer","valorB":25}</v>
      </c>
      <c r="E383" s="8" t="str">
        <f t="shared" si="2"/>
        <v>freezer</v>
      </c>
      <c r="F383" s="8"/>
      <c r="G383" s="15" t="str">
        <f t="shared" si="3"/>
        <v>25</v>
      </c>
      <c r="H383" s="9">
        <f t="shared" si="4"/>
        <v>25</v>
      </c>
      <c r="I383" s="6" t="str">
        <f>IFERROR(__xludf.DUMMYFUNCTION("MAX(FILTER($H$2:$H501,$E$2:$E501=F383))"),"#N/A")</f>
        <v>#N/A</v>
      </c>
    </row>
    <row r="384">
      <c r="A384" s="4"/>
      <c r="B384" s="4"/>
      <c r="C384" s="4" t="s">
        <v>2551</v>
      </c>
      <c r="D384" s="8" t="str">
        <f t="shared" si="1"/>
        <v>{"valorA":"lustre","valorB":19}</v>
      </c>
      <c r="E384" s="8" t="str">
        <f t="shared" si="2"/>
        <v>lustre</v>
      </c>
      <c r="F384" s="8"/>
      <c r="G384" s="15" t="str">
        <f t="shared" si="3"/>
        <v>19</v>
      </c>
      <c r="H384" s="9">
        <f t="shared" si="4"/>
        <v>19</v>
      </c>
      <c r="I384" s="6" t="str">
        <f>IFERROR(__xludf.DUMMYFUNCTION("MAX(FILTER($H$2:$H501,$E$2:$E501=F384))"),"#N/A")</f>
        <v>#N/A</v>
      </c>
    </row>
    <row r="385">
      <c r="A385" s="4"/>
      <c r="B385" s="4"/>
      <c r="C385" s="4" t="s">
        <v>2578</v>
      </c>
      <c r="D385" s="8" t="str">
        <f t="shared" si="1"/>
        <v>{"valorA":"lustre","valorB":20}</v>
      </c>
      <c r="E385" s="8" t="str">
        <f t="shared" si="2"/>
        <v>lustre</v>
      </c>
      <c r="F385" s="8"/>
      <c r="G385" s="15" t="str">
        <f t="shared" si="3"/>
        <v>20</v>
      </c>
      <c r="H385" s="9">
        <f t="shared" si="4"/>
        <v>20</v>
      </c>
      <c r="I385" s="6" t="str">
        <f>IFERROR(__xludf.DUMMYFUNCTION("MAX(FILTER($H$2:$H501,$E$2:$E501=F385))"),"#N/A")</f>
        <v>#N/A</v>
      </c>
    </row>
    <row r="386">
      <c r="A386" s="4"/>
      <c r="B386" s="4"/>
      <c r="C386" s="4" t="s">
        <v>3530</v>
      </c>
      <c r="D386" s="8" t="str">
        <f t="shared" si="1"/>
        <v>{"valorA":"celular","valorB":25}</v>
      </c>
      <c r="E386" s="8" t="str">
        <f t="shared" si="2"/>
        <v>celular</v>
      </c>
      <c r="F386" s="8"/>
      <c r="G386" s="15" t="str">
        <f t="shared" si="3"/>
        <v>25</v>
      </c>
      <c r="H386" s="9">
        <f t="shared" si="4"/>
        <v>25</v>
      </c>
      <c r="I386" s="6" t="str">
        <f>IFERROR(__xludf.DUMMYFUNCTION("MAX(FILTER($H$2:$H501,$E$2:$E501=F386))"),"#N/A")</f>
        <v>#N/A</v>
      </c>
    </row>
    <row r="387">
      <c r="A387" s="4"/>
      <c r="B387" s="4"/>
      <c r="C387" s="4" t="s">
        <v>2477</v>
      </c>
      <c r="D387" s="8" t="str">
        <f t="shared" si="1"/>
        <v>{"valorA":"roteador","valorB":20}</v>
      </c>
      <c r="E387" s="8" t="str">
        <f t="shared" si="2"/>
        <v>roteador</v>
      </c>
      <c r="F387" s="8"/>
      <c r="G387" s="15" t="str">
        <f t="shared" si="3"/>
        <v>20</v>
      </c>
      <c r="H387" s="9">
        <f t="shared" si="4"/>
        <v>20</v>
      </c>
      <c r="I387" s="6" t="str">
        <f>IFERROR(__xludf.DUMMYFUNCTION("MAX(FILTER($H$2:$H501,$E$2:$E501=F387))"),"#N/A")</f>
        <v>#N/A</v>
      </c>
    </row>
    <row r="388">
      <c r="A388" s="4"/>
      <c r="B388" s="4"/>
      <c r="C388" s="4" t="s">
        <v>2409</v>
      </c>
      <c r="D388" s="8" t="str">
        <f t="shared" si="1"/>
        <v>{"valorA":"computador","valorB":14}</v>
      </c>
      <c r="E388" s="8" t="str">
        <f t="shared" si="2"/>
        <v>computador</v>
      </c>
      <c r="F388" s="8"/>
      <c r="G388" s="15" t="str">
        <f t="shared" si="3"/>
        <v>14</v>
      </c>
      <c r="H388" s="9">
        <f t="shared" si="4"/>
        <v>14</v>
      </c>
      <c r="I388" s="6" t="str">
        <f>IFERROR(__xludf.DUMMYFUNCTION("MAX(FILTER($H$2:$H501,$E$2:$E501=F388))"),"#N/A")</f>
        <v>#N/A</v>
      </c>
    </row>
    <row r="389">
      <c r="A389" s="4"/>
      <c r="B389" s="4"/>
      <c r="C389" s="4" t="s">
        <v>1684</v>
      </c>
      <c r="D389" s="8" t="str">
        <f t="shared" si="1"/>
        <v>{"valorA":"freezer","valorB":26}</v>
      </c>
      <c r="E389" s="8" t="str">
        <f t="shared" si="2"/>
        <v>freezer</v>
      </c>
      <c r="F389" s="8"/>
      <c r="G389" s="15" t="str">
        <f t="shared" si="3"/>
        <v>26</v>
      </c>
      <c r="H389" s="9">
        <f t="shared" si="4"/>
        <v>26</v>
      </c>
      <c r="I389" s="6" t="str">
        <f>IFERROR(__xludf.DUMMYFUNCTION("MAX(FILTER($H$2:$H501,$E$2:$E501=F389))"),"#N/A")</f>
        <v>#N/A</v>
      </c>
    </row>
    <row r="390">
      <c r="A390" s="4"/>
      <c r="B390" s="4"/>
      <c r="C390" s="4" t="s">
        <v>3531</v>
      </c>
      <c r="D390" s="8" t="str">
        <f t="shared" si="1"/>
        <v>{"valorA":"lustre","valorB":21}</v>
      </c>
      <c r="E390" s="8" t="str">
        <f t="shared" si="2"/>
        <v>lustre</v>
      </c>
      <c r="F390" s="8"/>
      <c r="G390" s="15" t="str">
        <f t="shared" si="3"/>
        <v>21</v>
      </c>
      <c r="H390" s="9">
        <f t="shared" si="4"/>
        <v>21</v>
      </c>
      <c r="I390" s="6" t="str">
        <f>IFERROR(__xludf.DUMMYFUNCTION("MAX(FILTER($H$2:$H501,$E$2:$E501=F390))"),"#N/A")</f>
        <v>#N/A</v>
      </c>
    </row>
    <row r="391">
      <c r="A391" s="4"/>
      <c r="B391" s="4"/>
      <c r="C391" s="4" t="s">
        <v>2508</v>
      </c>
      <c r="D391" s="8" t="str">
        <f t="shared" si="1"/>
        <v>{"valorA":"relógio","valorB":19}</v>
      </c>
      <c r="E391" s="8" t="str">
        <f t="shared" si="2"/>
        <v>relógio</v>
      </c>
      <c r="F391" s="8"/>
      <c r="G391" s="15" t="str">
        <f t="shared" si="3"/>
        <v>19</v>
      </c>
      <c r="H391" s="9">
        <f t="shared" si="4"/>
        <v>19</v>
      </c>
      <c r="I391" s="6" t="str">
        <f>IFERROR(__xludf.DUMMYFUNCTION("MAX(FILTER($H$2:$H501,$E$2:$E501=F391))"),"#N/A")</f>
        <v>#N/A</v>
      </c>
    </row>
    <row r="392">
      <c r="A392" s="4"/>
      <c r="B392" s="4"/>
      <c r="C392" s="4" t="s">
        <v>2486</v>
      </c>
      <c r="D392" s="8" t="str">
        <f t="shared" si="1"/>
        <v>{"valorA":"roteador","valorB":21}</v>
      </c>
      <c r="E392" s="8" t="str">
        <f t="shared" si="2"/>
        <v>roteador</v>
      </c>
      <c r="F392" s="8"/>
      <c r="G392" s="15" t="str">
        <f t="shared" si="3"/>
        <v>21</v>
      </c>
      <c r="H392" s="9">
        <f t="shared" si="4"/>
        <v>21</v>
      </c>
      <c r="I392" s="6" t="str">
        <f>IFERROR(__xludf.DUMMYFUNCTION("MAX(FILTER($H$2:$H501,$E$2:$E501=F392))"),"#N/A")</f>
        <v>#N/A</v>
      </c>
    </row>
    <row r="393">
      <c r="A393" s="4"/>
      <c r="B393" s="4"/>
      <c r="C393" s="4" t="s">
        <v>2466</v>
      </c>
      <c r="D393" s="8" t="str">
        <f t="shared" si="1"/>
        <v>{"valorA":"liquidificador","valorB":21}</v>
      </c>
      <c r="E393" s="8" t="str">
        <f t="shared" si="2"/>
        <v>liquidificador</v>
      </c>
      <c r="F393" s="8"/>
      <c r="G393" s="15" t="str">
        <f t="shared" si="3"/>
        <v>21</v>
      </c>
      <c r="H393" s="9">
        <f t="shared" si="4"/>
        <v>21</v>
      </c>
      <c r="I393" s="6" t="str">
        <f>IFERROR(__xludf.DUMMYFUNCTION("MAX(FILTER($H$2:$H501,$E$2:$E501=F393))"),"#N/A")</f>
        <v>#N/A</v>
      </c>
    </row>
    <row r="394">
      <c r="A394" s="4"/>
      <c r="B394" s="4"/>
      <c r="C394" s="4" t="s">
        <v>3532</v>
      </c>
      <c r="D394" s="8" t="str">
        <f t="shared" si="1"/>
        <v>{"valorA":"lustre","valorB":22}</v>
      </c>
      <c r="E394" s="8" t="str">
        <f t="shared" si="2"/>
        <v>lustre</v>
      </c>
      <c r="F394" s="8"/>
      <c r="G394" s="15" t="str">
        <f t="shared" si="3"/>
        <v>22</v>
      </c>
      <c r="H394" s="9">
        <f t="shared" si="4"/>
        <v>22</v>
      </c>
      <c r="I394" s="6" t="str">
        <f>IFERROR(__xludf.DUMMYFUNCTION("MAX(FILTER($H$2:$H501,$E$2:$E501=F394))"),"#N/A")</f>
        <v>#N/A</v>
      </c>
    </row>
    <row r="395">
      <c r="A395" s="4"/>
      <c r="B395" s="4"/>
      <c r="C395" s="4" t="s">
        <v>2520</v>
      </c>
      <c r="D395" s="8" t="str">
        <f t="shared" si="1"/>
        <v>{"valorA":"relógio","valorB":20}</v>
      </c>
      <c r="E395" s="8" t="str">
        <f t="shared" si="2"/>
        <v>relógio</v>
      </c>
      <c r="F395" s="8"/>
      <c r="G395" s="15" t="str">
        <f t="shared" si="3"/>
        <v>20</v>
      </c>
      <c r="H395" s="9">
        <f t="shared" si="4"/>
        <v>20</v>
      </c>
      <c r="I395" s="6" t="str">
        <f>IFERROR(__xludf.DUMMYFUNCTION("MAX(FILTER($H$2:$H501,$E$2:$E501=F395))"),"#N/A")</f>
        <v>#N/A</v>
      </c>
    </row>
    <row r="396">
      <c r="A396" s="4"/>
      <c r="B396" s="4"/>
      <c r="C396" s="4" t="s">
        <v>2539</v>
      </c>
      <c r="D396" s="8" t="str">
        <f t="shared" si="1"/>
        <v>{"valorA":"aspirador","valorB":23}</v>
      </c>
      <c r="E396" s="8" t="str">
        <f t="shared" si="2"/>
        <v>aspirador</v>
      </c>
      <c r="F396" s="8"/>
      <c r="G396" s="15" t="str">
        <f t="shared" si="3"/>
        <v>23</v>
      </c>
      <c r="H396" s="9">
        <f t="shared" si="4"/>
        <v>23</v>
      </c>
      <c r="I396" s="6" t="str">
        <f>IFERROR(__xludf.DUMMYFUNCTION("MAX(FILTER($H$2:$H501,$E$2:$E501=F396))"),"#N/A")</f>
        <v>#N/A</v>
      </c>
    </row>
    <row r="397">
      <c r="A397" s="4"/>
      <c r="B397" s="4"/>
      <c r="C397" s="4" t="s">
        <v>2509</v>
      </c>
      <c r="D397" s="8" t="str">
        <f t="shared" si="1"/>
        <v>{"valorA":"filtro de linha","valorB":23}</v>
      </c>
      <c r="E397" s="8" t="str">
        <f t="shared" si="2"/>
        <v>filtro de linha</v>
      </c>
      <c r="F397" s="8"/>
      <c r="G397" s="15" t="str">
        <f t="shared" si="3"/>
        <v>23</v>
      </c>
      <c r="H397" s="9">
        <f t="shared" si="4"/>
        <v>23</v>
      </c>
      <c r="I397" s="6" t="str">
        <f>IFERROR(__xludf.DUMMYFUNCTION("MAX(FILTER($H$2:$H501,$E$2:$E501=F397))"),"#N/A")</f>
        <v>#N/A</v>
      </c>
    </row>
    <row r="398">
      <c r="A398" s="4"/>
      <c r="B398" s="4"/>
      <c r="C398" s="4" t="s">
        <v>2544</v>
      </c>
      <c r="D398" s="8" t="str">
        <f t="shared" si="1"/>
        <v>{"valorA":"aspirador","valorB":24}</v>
      </c>
      <c r="E398" s="8" t="str">
        <f t="shared" si="2"/>
        <v>aspirador</v>
      </c>
      <c r="F398" s="8"/>
      <c r="G398" s="15" t="str">
        <f t="shared" si="3"/>
        <v>24</v>
      </c>
      <c r="H398" s="9">
        <f t="shared" si="4"/>
        <v>24</v>
      </c>
      <c r="I398" s="6" t="str">
        <f>IFERROR(__xludf.DUMMYFUNCTION("MAX(FILTER($H$2:$H501,$E$2:$E501=F398))"),"#N/A")</f>
        <v>#N/A</v>
      </c>
    </row>
    <row r="399">
      <c r="A399" s="4"/>
      <c r="B399" s="4"/>
      <c r="C399" s="4" t="s">
        <v>2423</v>
      </c>
      <c r="D399" s="8" t="str">
        <f t="shared" si="1"/>
        <v>{"valorA":"carregador de computador","valorB":16}</v>
      </c>
      <c r="E399" s="8" t="str">
        <f t="shared" si="2"/>
        <v>carregador de computador</v>
      </c>
      <c r="F399" s="8"/>
      <c r="G399" s="15" t="str">
        <f t="shared" si="3"/>
        <v>16</v>
      </c>
      <c r="H399" s="9">
        <f t="shared" si="4"/>
        <v>16</v>
      </c>
      <c r="I399" s="6" t="str">
        <f>IFERROR(__xludf.DUMMYFUNCTION("MAX(FILTER($H$2:$H501,$E$2:$E501=F399))"),"#N/A")</f>
        <v>#N/A</v>
      </c>
    </row>
    <row r="400">
      <c r="A400" s="4"/>
      <c r="B400" s="4"/>
      <c r="C400" s="4" t="s">
        <v>2420</v>
      </c>
      <c r="D400" s="8" t="str">
        <f t="shared" si="1"/>
        <v>{"valorA":"teclado de computador","valorB":20}</v>
      </c>
      <c r="E400" s="8" t="str">
        <f t="shared" si="2"/>
        <v>teclado de computador</v>
      </c>
      <c r="F400" s="8"/>
      <c r="G400" s="15" t="str">
        <f t="shared" si="3"/>
        <v>20</v>
      </c>
      <c r="H400" s="9">
        <f t="shared" si="4"/>
        <v>20</v>
      </c>
      <c r="I400" s="6" t="str">
        <f>IFERROR(__xludf.DUMMYFUNCTION("MAX(FILTER($H$2:$H501,$E$2:$E501=F400))"),"#N/A")</f>
        <v>#N/A</v>
      </c>
    </row>
    <row r="401">
      <c r="A401" s="4"/>
      <c r="B401" s="4"/>
      <c r="C401" s="4" t="s">
        <v>1722</v>
      </c>
      <c r="D401" s="8" t="str">
        <f t="shared" si="1"/>
        <v>{"valorA":"microondas","valorB":15}</v>
      </c>
      <c r="E401" s="8" t="str">
        <f t="shared" si="2"/>
        <v>microondas</v>
      </c>
      <c r="F401" s="8"/>
      <c r="G401" s="15" t="str">
        <f t="shared" si="3"/>
        <v>15</v>
      </c>
      <c r="H401" s="9">
        <f t="shared" si="4"/>
        <v>15</v>
      </c>
      <c r="I401" s="6" t="str">
        <f>IFERROR(__xludf.DUMMYFUNCTION("MAX(FILTER($H$2:$H501,$E$2:$E501=F401))"),"#N/A")</f>
        <v>#N/A</v>
      </c>
    </row>
    <row r="402">
      <c r="A402" s="4"/>
      <c r="B402" s="4"/>
      <c r="C402" s="4" t="s">
        <v>3533</v>
      </c>
      <c r="D402" s="8" t="str">
        <f t="shared" si="1"/>
        <v>{"valorA":"purificador de água","valorB":24}</v>
      </c>
      <c r="E402" s="8" t="str">
        <f t="shared" si="2"/>
        <v>purificador de água</v>
      </c>
      <c r="F402" s="8"/>
      <c r="G402" s="15" t="str">
        <f t="shared" si="3"/>
        <v>24</v>
      </c>
      <c r="H402" s="9">
        <f t="shared" si="4"/>
        <v>24</v>
      </c>
      <c r="I402" s="6" t="str">
        <f>IFERROR(__xludf.DUMMYFUNCTION("MAX(FILTER($H$2:$H501,$E$2:$E501=F402))"),"#N/A")</f>
        <v>#N/A</v>
      </c>
    </row>
    <row r="403">
      <c r="A403" s="4"/>
      <c r="B403" s="4"/>
      <c r="C403" s="4" t="s">
        <v>3534</v>
      </c>
      <c r="D403" s="8" t="str">
        <f t="shared" si="1"/>
        <v>{"valorA":"carregador de celular","valorB":26}</v>
      </c>
      <c r="E403" s="8" t="str">
        <f t="shared" si="2"/>
        <v>carregador de celular</v>
      </c>
      <c r="F403" s="8"/>
      <c r="G403" s="15" t="str">
        <f t="shared" si="3"/>
        <v>26</v>
      </c>
      <c r="H403" s="9">
        <f t="shared" si="4"/>
        <v>26</v>
      </c>
      <c r="I403" s="6" t="str">
        <f>IFERROR(__xludf.DUMMYFUNCTION("MAX(FILTER($H$2:$H501,$E$2:$E501=F403))"),"#N/A")</f>
        <v>#N/A</v>
      </c>
    </row>
    <row r="404">
      <c r="A404" s="4"/>
      <c r="B404" s="4"/>
      <c r="C404" s="4" t="s">
        <v>3535</v>
      </c>
      <c r="D404" s="8" t="str">
        <f t="shared" si="1"/>
        <v>{"valorA":"celular","valorB":26}</v>
      </c>
      <c r="E404" s="8" t="str">
        <f t="shared" si="2"/>
        <v>celular</v>
      </c>
      <c r="F404" s="8"/>
      <c r="G404" s="15" t="str">
        <f t="shared" si="3"/>
        <v>26</v>
      </c>
      <c r="H404" s="9">
        <f t="shared" si="4"/>
        <v>26</v>
      </c>
      <c r="I404" s="6" t="str">
        <f>IFERROR(__xludf.DUMMYFUNCTION("MAX(FILTER($H$2:$H501,$E$2:$E501=F404))"),"#N/A")</f>
        <v>#N/A</v>
      </c>
    </row>
    <row r="405">
      <c r="A405" s="4"/>
      <c r="B405" s="4"/>
      <c r="C405" s="4" t="s">
        <v>2414</v>
      </c>
      <c r="D405" s="8" t="str">
        <f t="shared" si="1"/>
        <v>{"valorA":"computador","valorB":15}</v>
      </c>
      <c r="E405" s="8" t="str">
        <f t="shared" si="2"/>
        <v>computador</v>
      </c>
      <c r="F405" s="8"/>
      <c r="G405" s="15" t="str">
        <f t="shared" si="3"/>
        <v>15</v>
      </c>
      <c r="H405" s="9">
        <f t="shared" si="4"/>
        <v>15</v>
      </c>
      <c r="I405" s="6" t="str">
        <f>IFERROR(__xludf.DUMMYFUNCTION("MAX(FILTER($H$2:$H501,$E$2:$E501=F405))"),"#N/A")</f>
        <v>#N/A</v>
      </c>
    </row>
    <row r="406">
      <c r="A406" s="4"/>
      <c r="B406" s="4"/>
      <c r="C406" s="4" t="s">
        <v>1725</v>
      </c>
      <c r="D406" s="8" t="str">
        <f t="shared" si="1"/>
        <v>{"valorA":"microondas","valorB":16}</v>
      </c>
      <c r="E406" s="8" t="str">
        <f t="shared" si="2"/>
        <v>microondas</v>
      </c>
      <c r="F406" s="8"/>
      <c r="G406" s="15" t="str">
        <f t="shared" si="3"/>
        <v>16</v>
      </c>
      <c r="H406" s="9">
        <f t="shared" si="4"/>
        <v>16</v>
      </c>
      <c r="I406" s="6" t="str">
        <f>IFERROR(__xludf.DUMMYFUNCTION("MAX(FILTER($H$2:$H501,$E$2:$E501=F406))"),"#N/A")</f>
        <v>#N/A</v>
      </c>
    </row>
    <row r="407">
      <c r="A407" s="4"/>
      <c r="B407" s="4"/>
      <c r="C407" s="4" t="s">
        <v>2418</v>
      </c>
      <c r="D407" s="8" t="str">
        <f t="shared" si="1"/>
        <v>{"valorA":"computador","valorB":16}</v>
      </c>
      <c r="E407" s="8" t="str">
        <f t="shared" si="2"/>
        <v>computador</v>
      </c>
      <c r="F407" s="8"/>
      <c r="G407" s="15" t="str">
        <f t="shared" si="3"/>
        <v>16</v>
      </c>
      <c r="H407" s="9">
        <f t="shared" si="4"/>
        <v>16</v>
      </c>
      <c r="I407" s="6" t="str">
        <f>IFERROR(__xludf.DUMMYFUNCTION("MAX(FILTER($H$2:$H501,$E$2:$E501=F407))"),"#N/A")</f>
        <v>#N/A</v>
      </c>
    </row>
    <row r="408">
      <c r="A408" s="4"/>
      <c r="B408" s="4"/>
      <c r="C408" s="4" t="s">
        <v>2506</v>
      </c>
      <c r="D408" s="8" t="str">
        <f t="shared" si="1"/>
        <v>{"valorA":"roteador","valorB":22}</v>
      </c>
      <c r="E408" s="8" t="str">
        <f t="shared" si="2"/>
        <v>roteador</v>
      </c>
      <c r="F408" s="8"/>
      <c r="G408" s="15" t="str">
        <f t="shared" si="3"/>
        <v>22</v>
      </c>
      <c r="H408" s="9">
        <f t="shared" si="4"/>
        <v>22</v>
      </c>
      <c r="I408" s="6" t="str">
        <f>IFERROR(__xludf.DUMMYFUNCTION("MAX(FILTER($H$2:$H501,$E$2:$E501=F408))"),"#N/A")</f>
        <v>#N/A</v>
      </c>
    </row>
    <row r="409">
      <c r="A409" s="4"/>
      <c r="B409" s="4"/>
      <c r="C409" s="4" t="s">
        <v>3536</v>
      </c>
      <c r="D409" s="8" t="str">
        <f t="shared" si="1"/>
        <v>{"valorA":"purificador de água","valorB":25}</v>
      </c>
      <c r="E409" s="8" t="str">
        <f t="shared" si="2"/>
        <v>purificador de água</v>
      </c>
      <c r="F409" s="8"/>
      <c r="G409" s="15" t="str">
        <f t="shared" si="3"/>
        <v>25</v>
      </c>
      <c r="H409" s="9">
        <f t="shared" si="4"/>
        <v>25</v>
      </c>
      <c r="I409" s="6" t="str">
        <f>IFERROR(__xludf.DUMMYFUNCTION("MAX(FILTER($H$2:$H501,$E$2:$E501=F409))"),"#N/A")</f>
        <v>#N/A</v>
      </c>
    </row>
    <row r="410">
      <c r="A410" s="4"/>
      <c r="B410" s="4"/>
      <c r="C410" s="4" t="s">
        <v>2489</v>
      </c>
      <c r="D410" s="8" t="str">
        <f t="shared" si="1"/>
        <v>{"valorA":"ventilador","valorB":21}</v>
      </c>
      <c r="E410" s="8" t="str">
        <f t="shared" si="2"/>
        <v>ventilador</v>
      </c>
      <c r="F410" s="8"/>
      <c r="G410" s="15" t="str">
        <f t="shared" si="3"/>
        <v>21</v>
      </c>
      <c r="H410" s="9">
        <f t="shared" si="4"/>
        <v>21</v>
      </c>
      <c r="I410" s="6" t="str">
        <f>IFERROR(__xludf.DUMMYFUNCTION("MAX(FILTER($H$2:$H501,$E$2:$E501=F410))"),"#N/A")</f>
        <v>#N/A</v>
      </c>
    </row>
    <row r="411">
      <c r="A411" s="4"/>
      <c r="B411" s="4"/>
      <c r="C411" s="4" t="s">
        <v>3537</v>
      </c>
      <c r="D411" s="8" t="str">
        <f t="shared" si="1"/>
        <v>{"valorA":"celular","valorB":27}</v>
      </c>
      <c r="E411" s="8" t="str">
        <f t="shared" si="2"/>
        <v>celular</v>
      </c>
      <c r="F411" s="8"/>
      <c r="G411" s="15" t="str">
        <f t="shared" si="3"/>
        <v>27</v>
      </c>
      <c r="H411" s="9">
        <f t="shared" si="4"/>
        <v>27</v>
      </c>
      <c r="I411" s="6" t="str">
        <f>IFERROR(__xludf.DUMMYFUNCTION("MAX(FILTER($H$2:$H501,$E$2:$E501=F411))"),"#N/A")</f>
        <v>#N/A</v>
      </c>
    </row>
    <row r="412">
      <c r="A412" s="4"/>
      <c r="B412" s="4"/>
      <c r="C412" s="4" t="s">
        <v>2494</v>
      </c>
      <c r="D412" s="8" t="str">
        <f t="shared" si="1"/>
        <v>{"valorA":"liquidificador","valorB":22}</v>
      </c>
      <c r="E412" s="8" t="str">
        <f t="shared" si="2"/>
        <v>liquidificador</v>
      </c>
      <c r="F412" s="8"/>
      <c r="G412" s="15" t="str">
        <f t="shared" si="3"/>
        <v>22</v>
      </c>
      <c r="H412" s="9">
        <f t="shared" si="4"/>
        <v>22</v>
      </c>
      <c r="I412" s="6" t="str">
        <f>IFERROR(__xludf.DUMMYFUNCTION("MAX(FILTER($H$2:$H501,$E$2:$E501=F412))"),"#N/A")</f>
        <v>#N/A</v>
      </c>
    </row>
    <row r="413">
      <c r="A413" s="4"/>
      <c r="B413" s="4"/>
      <c r="C413" s="4" t="s">
        <v>1685</v>
      </c>
      <c r="D413" s="8" t="str">
        <f t="shared" si="1"/>
        <v>{"valorA":"freezer","valorB":27}</v>
      </c>
      <c r="E413" s="8" t="str">
        <f t="shared" si="2"/>
        <v>freezer</v>
      </c>
      <c r="F413" s="8"/>
      <c r="G413" s="15" t="str">
        <f t="shared" si="3"/>
        <v>27</v>
      </c>
      <c r="H413" s="9">
        <f t="shared" si="4"/>
        <v>27</v>
      </c>
      <c r="I413" s="6" t="str">
        <f>IFERROR(__xludf.DUMMYFUNCTION("MAX(FILTER($H$2:$H501,$E$2:$E501=F413))"),"#N/A")</f>
        <v>#N/A</v>
      </c>
    </row>
    <row r="414">
      <c r="A414" s="4"/>
      <c r="B414" s="4"/>
      <c r="C414" s="4" t="s">
        <v>2495</v>
      </c>
      <c r="D414" s="8" t="str">
        <f t="shared" si="1"/>
        <v>{"valorA":"ventilador","valorB":22}</v>
      </c>
      <c r="E414" s="8" t="str">
        <f t="shared" si="2"/>
        <v>ventilador</v>
      </c>
      <c r="F414" s="8"/>
      <c r="G414" s="15" t="str">
        <f t="shared" si="3"/>
        <v>22</v>
      </c>
      <c r="H414" s="9">
        <f t="shared" si="4"/>
        <v>22</v>
      </c>
      <c r="I414" s="6" t="str">
        <f>IFERROR(__xludf.DUMMYFUNCTION("MAX(FILTER($H$2:$H501,$E$2:$E501=F414))"),"#N/A")</f>
        <v>#N/A</v>
      </c>
    </row>
    <row r="415">
      <c r="A415" s="4"/>
      <c r="B415" s="4"/>
      <c r="C415" s="4" t="s">
        <v>2319</v>
      </c>
      <c r="D415" s="8" t="str">
        <f t="shared" si="1"/>
        <v>{"valorA":"fogão","valorB":10}</v>
      </c>
      <c r="E415" s="8" t="str">
        <f t="shared" si="2"/>
        <v>fogão</v>
      </c>
      <c r="F415" s="8"/>
      <c r="G415" s="15" t="str">
        <f t="shared" si="3"/>
        <v>10</v>
      </c>
      <c r="H415" s="9">
        <f t="shared" si="4"/>
        <v>10</v>
      </c>
      <c r="I415" s="6" t="str">
        <f>IFERROR(__xludf.DUMMYFUNCTION("MAX(FILTER($H$2:$H501,$E$2:$E501=F415))"),"#N/A")</f>
        <v>#N/A</v>
      </c>
    </row>
    <row r="416">
      <c r="A416" s="4"/>
      <c r="B416" s="4"/>
      <c r="C416" s="4" t="s">
        <v>3538</v>
      </c>
      <c r="D416" s="8" t="str">
        <f t="shared" si="1"/>
        <v>{"valorA":"lustre","valorB":23}</v>
      </c>
      <c r="E416" s="8" t="str">
        <f t="shared" si="2"/>
        <v>lustre</v>
      </c>
      <c r="F416" s="8"/>
      <c r="G416" s="15" t="str">
        <f t="shared" si="3"/>
        <v>23</v>
      </c>
      <c r="H416" s="9">
        <f t="shared" si="4"/>
        <v>23</v>
      </c>
      <c r="I416" s="6" t="str">
        <f>IFERROR(__xludf.DUMMYFUNCTION("MAX(FILTER($H$2:$H501,$E$2:$E501=F416))"),"#N/A")</f>
        <v>#N/A</v>
      </c>
    </row>
    <row r="417">
      <c r="A417" s="4"/>
      <c r="B417" s="4"/>
      <c r="C417" s="4" t="s">
        <v>2554</v>
      </c>
      <c r="D417" s="8" t="str">
        <f t="shared" si="1"/>
        <v>{"valorA":"filtro de linha","valorB":24}</v>
      </c>
      <c r="E417" s="8" t="str">
        <f t="shared" si="2"/>
        <v>filtro de linha</v>
      </c>
      <c r="F417" s="8"/>
      <c r="G417" s="15" t="str">
        <f t="shared" si="3"/>
        <v>24</v>
      </c>
      <c r="H417" s="9">
        <f t="shared" si="4"/>
        <v>24</v>
      </c>
      <c r="I417" s="6" t="str">
        <f>IFERROR(__xludf.DUMMYFUNCTION("MAX(FILTER($H$2:$H501,$E$2:$E501=F417))"),"#N/A")</f>
        <v>#N/A</v>
      </c>
    </row>
    <row r="418">
      <c r="A418" s="4"/>
      <c r="B418" s="4"/>
      <c r="C418" s="4" t="s">
        <v>3539</v>
      </c>
      <c r="D418" s="8" t="str">
        <f t="shared" si="1"/>
        <v>{"valorA":"carregador de celular","valorB":27}</v>
      </c>
      <c r="E418" s="8" t="str">
        <f t="shared" si="2"/>
        <v>carregador de celular</v>
      </c>
      <c r="F418" s="8"/>
      <c r="G418" s="15" t="str">
        <f t="shared" si="3"/>
        <v>27</v>
      </c>
      <c r="H418" s="9">
        <f t="shared" si="4"/>
        <v>27</v>
      </c>
      <c r="I418" s="6" t="str">
        <f>IFERROR(__xludf.DUMMYFUNCTION("MAX(FILTER($H$2:$H501,$E$2:$E501=F418))"),"#N/A")</f>
        <v>#N/A</v>
      </c>
    </row>
    <row r="419">
      <c r="A419" s="4"/>
      <c r="B419" s="4"/>
      <c r="C419" s="4" t="s">
        <v>2515</v>
      </c>
      <c r="D419" s="8" t="str">
        <f t="shared" si="1"/>
        <v>{"valorA":"roteador","valorB":23}</v>
      </c>
      <c r="E419" s="8" t="str">
        <f t="shared" si="2"/>
        <v>roteador</v>
      </c>
      <c r="F419" s="8"/>
      <c r="G419" s="15" t="str">
        <f t="shared" si="3"/>
        <v>23</v>
      </c>
      <c r="H419" s="9">
        <f t="shared" si="4"/>
        <v>23</v>
      </c>
      <c r="I419" s="6" t="str">
        <f>IFERROR(__xludf.DUMMYFUNCTION("MAX(FILTER($H$2:$H501,$E$2:$E501=F419))"),"#N/A")</f>
        <v>#N/A</v>
      </c>
    </row>
    <row r="420">
      <c r="A420" s="4"/>
      <c r="B420" s="4"/>
      <c r="C420" s="4" t="s">
        <v>1727</v>
      </c>
      <c r="D420" s="8" t="str">
        <f t="shared" si="1"/>
        <v>{"valorA":"microondas","valorB":17}</v>
      </c>
      <c r="E420" s="8" t="str">
        <f t="shared" si="2"/>
        <v>microondas</v>
      </c>
      <c r="F420" s="8"/>
      <c r="G420" s="15" t="str">
        <f t="shared" si="3"/>
        <v>17</v>
      </c>
      <c r="H420" s="9">
        <f t="shared" si="4"/>
        <v>17</v>
      </c>
      <c r="I420" s="6" t="str">
        <f>IFERROR(__xludf.DUMMYFUNCTION("MAX(FILTER($H$2:$H501,$E$2:$E501=F420))"),"#N/A")</f>
        <v>#N/A</v>
      </c>
    </row>
    <row r="421">
      <c r="A421" s="4"/>
      <c r="B421" s="4"/>
      <c r="C421" s="4" t="s">
        <v>2449</v>
      </c>
      <c r="D421" s="8" t="str">
        <f t="shared" si="1"/>
        <v>{"valorA":"teclado de computador","valorB":21}</v>
      </c>
      <c r="E421" s="8" t="str">
        <f t="shared" si="2"/>
        <v>teclado de computador</v>
      </c>
      <c r="F421" s="8"/>
      <c r="G421" s="15" t="str">
        <f t="shared" si="3"/>
        <v>21</v>
      </c>
      <c r="H421" s="9">
        <f t="shared" si="4"/>
        <v>21</v>
      </c>
      <c r="I421" s="6" t="str">
        <f>IFERROR(__xludf.DUMMYFUNCTION("MAX(FILTER($H$2:$H501,$E$2:$E501=F421))"),"#N/A")</f>
        <v>#N/A</v>
      </c>
    </row>
    <row r="422">
      <c r="A422" s="4"/>
      <c r="B422" s="4"/>
      <c r="C422" s="4" t="s">
        <v>2323</v>
      </c>
      <c r="D422" s="8" t="str">
        <f t="shared" si="1"/>
        <v>{"valorA":"fogão","valorB":11}</v>
      </c>
      <c r="E422" s="8" t="str">
        <f t="shared" si="2"/>
        <v>fogão</v>
      </c>
      <c r="F422" s="8"/>
      <c r="G422" s="15" t="str">
        <f t="shared" si="3"/>
        <v>11</v>
      </c>
      <c r="H422" s="9">
        <f t="shared" si="4"/>
        <v>11</v>
      </c>
      <c r="I422" s="6" t="str">
        <f>IFERROR(__xludf.DUMMYFUNCTION("MAX(FILTER($H$2:$H501,$E$2:$E501=F422))"),"#N/A")</f>
        <v>#N/A</v>
      </c>
    </row>
    <row r="423">
      <c r="A423" s="4"/>
      <c r="B423" s="4"/>
      <c r="C423" s="4" t="s">
        <v>2526</v>
      </c>
      <c r="D423" s="8" t="str">
        <f t="shared" si="1"/>
        <v>{"valorA":"roteador","valorB":24}</v>
      </c>
      <c r="E423" s="8" t="str">
        <f t="shared" si="2"/>
        <v>roteador</v>
      </c>
      <c r="F423" s="8"/>
      <c r="G423" s="15" t="str">
        <f t="shared" si="3"/>
        <v>24</v>
      </c>
      <c r="H423" s="9">
        <f t="shared" si="4"/>
        <v>24</v>
      </c>
      <c r="I423" s="6" t="str">
        <f>IFERROR(__xludf.DUMMYFUNCTION("MAX(FILTER($H$2:$H501,$E$2:$E501=F423))"),"#N/A")</f>
        <v>#N/A</v>
      </c>
    </row>
    <row r="424">
      <c r="A424" s="4"/>
      <c r="B424" s="4"/>
      <c r="C424" s="4" t="s">
        <v>3540</v>
      </c>
      <c r="D424" s="8" t="str">
        <f t="shared" si="1"/>
        <v>{"valorA":"purificador de água","valorB":26}</v>
      </c>
      <c r="E424" s="8" t="str">
        <f t="shared" si="2"/>
        <v>purificador de água</v>
      </c>
      <c r="F424" s="8"/>
      <c r="G424" s="15" t="str">
        <f t="shared" si="3"/>
        <v>26</v>
      </c>
      <c r="H424" s="9">
        <f t="shared" si="4"/>
        <v>26</v>
      </c>
      <c r="I424" s="6" t="str">
        <f>IFERROR(__xludf.DUMMYFUNCTION("MAX(FILTER($H$2:$H501,$E$2:$E501=F424))"),"#N/A")</f>
        <v>#N/A</v>
      </c>
    </row>
    <row r="425">
      <c r="A425" s="4"/>
      <c r="B425" s="4"/>
      <c r="C425" s="4" t="s">
        <v>2498</v>
      </c>
      <c r="D425" s="8" t="str">
        <f t="shared" si="1"/>
        <v>{"valorA":"ventilador","valorB":23}</v>
      </c>
      <c r="E425" s="8" t="str">
        <f t="shared" si="2"/>
        <v>ventilador</v>
      </c>
      <c r="F425" s="8"/>
      <c r="G425" s="15" t="str">
        <f t="shared" si="3"/>
        <v>23</v>
      </c>
      <c r="H425" s="9">
        <f t="shared" si="4"/>
        <v>23</v>
      </c>
      <c r="I425" s="6" t="str">
        <f>IFERROR(__xludf.DUMMYFUNCTION("MAX(FILTER($H$2:$H501,$E$2:$E501=F425))"),"#N/A")</f>
        <v>#N/A</v>
      </c>
    </row>
    <row r="426">
      <c r="A426" s="4"/>
      <c r="B426" s="4"/>
      <c r="C426" s="4" t="s">
        <v>3541</v>
      </c>
      <c r="D426" s="8" t="str">
        <f t="shared" si="1"/>
        <v>{"valorA":"lustre","valorB":24}</v>
      </c>
      <c r="E426" s="8" t="str">
        <f t="shared" si="2"/>
        <v>lustre</v>
      </c>
      <c r="F426" s="8"/>
      <c r="G426" s="15" t="str">
        <f t="shared" si="3"/>
        <v>24</v>
      </c>
      <c r="H426" s="9">
        <f t="shared" si="4"/>
        <v>24</v>
      </c>
      <c r="I426" s="6" t="str">
        <f>IFERROR(__xludf.DUMMYFUNCTION("MAX(FILTER($H$2:$H501,$E$2:$E501=F426))"),"#N/A")</f>
        <v>#N/A</v>
      </c>
    </row>
    <row r="427">
      <c r="A427" s="4"/>
      <c r="B427" s="4"/>
      <c r="C427" s="4" t="s">
        <v>3542</v>
      </c>
      <c r="D427" s="8" t="str">
        <f t="shared" si="1"/>
        <v>{"valorA":"mouse de computador","valorB":21}</v>
      </c>
      <c r="E427" s="8" t="str">
        <f t="shared" si="2"/>
        <v>mouse de computador</v>
      </c>
      <c r="F427" s="8"/>
      <c r="G427" s="15" t="str">
        <f t="shared" si="3"/>
        <v>21</v>
      </c>
      <c r="H427" s="9">
        <f t="shared" si="4"/>
        <v>21</v>
      </c>
      <c r="I427" s="6" t="str">
        <f>IFERROR(__xludf.DUMMYFUNCTION("MAX(FILTER($H$2:$H501,$E$2:$E501=F427))"),"#N/A")</f>
        <v>#N/A</v>
      </c>
    </row>
    <row r="428">
      <c r="A428" s="4"/>
      <c r="B428" s="4"/>
      <c r="C428" s="4" t="s">
        <v>3543</v>
      </c>
      <c r="D428" s="8" t="str">
        <f t="shared" si="1"/>
        <v>{"valorA":"mouse de computador","valorB":22}</v>
      </c>
      <c r="E428" s="8" t="str">
        <f t="shared" si="2"/>
        <v>mouse de computador</v>
      </c>
      <c r="F428" s="8"/>
      <c r="G428" s="15" t="str">
        <f t="shared" si="3"/>
        <v>22</v>
      </c>
      <c r="H428" s="9">
        <f t="shared" si="4"/>
        <v>22</v>
      </c>
      <c r="I428" s="6" t="str">
        <f>IFERROR(__xludf.DUMMYFUNCTION("MAX(FILTER($H$2:$H501,$E$2:$E501=F428))"),"#N/A")</f>
        <v>#N/A</v>
      </c>
    </row>
    <row r="429">
      <c r="A429" s="4"/>
      <c r="B429" s="4"/>
      <c r="C429" s="4" t="s">
        <v>1728</v>
      </c>
      <c r="D429" s="8" t="str">
        <f t="shared" si="1"/>
        <v>{"valorA":"microondas","valorB":18}</v>
      </c>
      <c r="E429" s="8" t="str">
        <f t="shared" si="2"/>
        <v>microondas</v>
      </c>
      <c r="F429" s="8"/>
      <c r="G429" s="15" t="str">
        <f t="shared" si="3"/>
        <v>18</v>
      </c>
      <c r="H429" s="9">
        <f t="shared" si="4"/>
        <v>18</v>
      </c>
      <c r="I429" s="6" t="str">
        <f>IFERROR(__xludf.DUMMYFUNCTION("MAX(FILTER($H$2:$H501,$E$2:$E501=F429))"),"#N/A")</f>
        <v>#N/A</v>
      </c>
    </row>
    <row r="430">
      <c r="A430" s="4"/>
      <c r="B430" s="4"/>
      <c r="C430" s="4" t="s">
        <v>2474</v>
      </c>
      <c r="D430" s="8" t="str">
        <f t="shared" si="1"/>
        <v>{"valorA":"fone de ouvido","valorB":17}</v>
      </c>
      <c r="E430" s="8" t="str">
        <f t="shared" si="2"/>
        <v>fone de ouvido</v>
      </c>
      <c r="F430" s="8"/>
      <c r="G430" s="15" t="str">
        <f t="shared" si="3"/>
        <v>17</v>
      </c>
      <c r="H430" s="9">
        <f t="shared" si="4"/>
        <v>17</v>
      </c>
      <c r="I430" s="6" t="str">
        <f>IFERROR(__xludf.DUMMYFUNCTION("MAX(FILTER($H$2:$H501,$E$2:$E501=F430))"),"#N/A")</f>
        <v>#N/A</v>
      </c>
    </row>
    <row r="431">
      <c r="A431" s="4"/>
      <c r="B431" s="4"/>
      <c r="C431" s="4" t="s">
        <v>2453</v>
      </c>
      <c r="D431" s="8" t="str">
        <f t="shared" si="1"/>
        <v>{"valorA":"teclado de computador","valorB":22}</v>
      </c>
      <c r="E431" s="8" t="str">
        <f t="shared" si="2"/>
        <v>teclado de computador</v>
      </c>
      <c r="F431" s="8"/>
      <c r="G431" s="15" t="str">
        <f t="shared" si="3"/>
        <v>22</v>
      </c>
      <c r="H431" s="9">
        <f t="shared" si="4"/>
        <v>22</v>
      </c>
      <c r="I431" s="6" t="str">
        <f>IFERROR(__xludf.DUMMYFUNCTION("MAX(FILTER($H$2:$H501,$E$2:$E501=F431))"),"#N/A")</f>
        <v>#N/A</v>
      </c>
    </row>
    <row r="432">
      <c r="A432" s="4"/>
      <c r="B432" s="4"/>
      <c r="C432" s="4" t="s">
        <v>2426</v>
      </c>
      <c r="D432" s="8" t="str">
        <f t="shared" si="1"/>
        <v>{"valorA":"computador","valorB":17}</v>
      </c>
      <c r="E432" s="8" t="str">
        <f t="shared" si="2"/>
        <v>computador</v>
      </c>
      <c r="F432" s="8"/>
      <c r="G432" s="15" t="str">
        <f t="shared" si="3"/>
        <v>17</v>
      </c>
      <c r="H432" s="9">
        <f t="shared" si="4"/>
        <v>17</v>
      </c>
      <c r="I432" s="6" t="str">
        <f>IFERROR(__xludf.DUMMYFUNCTION("MAX(FILTER($H$2:$H501,$E$2:$E501=F432))"),"#N/A")</f>
        <v>#N/A</v>
      </c>
    </row>
    <row r="433">
      <c r="A433" s="4"/>
      <c r="B433" s="4"/>
      <c r="C433" s="4" t="s">
        <v>2434</v>
      </c>
      <c r="D433" s="8" t="str">
        <f t="shared" si="1"/>
        <v>{"valorA":"computador","valorB":18}</v>
      </c>
      <c r="E433" s="8" t="str">
        <f t="shared" si="2"/>
        <v>computador</v>
      </c>
      <c r="F433" s="8"/>
      <c r="G433" s="15" t="str">
        <f t="shared" si="3"/>
        <v>18</v>
      </c>
      <c r="H433" s="9">
        <f t="shared" si="4"/>
        <v>18</v>
      </c>
      <c r="I433" s="6" t="str">
        <f>IFERROR(__xludf.DUMMYFUNCTION("MAX(FILTER($H$2:$H501,$E$2:$E501=F433))"),"#N/A")</f>
        <v>#N/A</v>
      </c>
    </row>
    <row r="434">
      <c r="A434" s="4"/>
      <c r="B434" s="4"/>
      <c r="C434" s="4" t="s">
        <v>2523</v>
      </c>
      <c r="D434" s="8" t="str">
        <f t="shared" si="1"/>
        <v>{"valorA":"relógio","valorB":21}</v>
      </c>
      <c r="E434" s="8" t="str">
        <f t="shared" si="2"/>
        <v>relógio</v>
      </c>
      <c r="F434" s="8"/>
      <c r="G434" s="15" t="str">
        <f t="shared" si="3"/>
        <v>21</v>
      </c>
      <c r="H434" s="9">
        <f t="shared" si="4"/>
        <v>21</v>
      </c>
      <c r="I434" s="6" t="str">
        <f>IFERROR(__xludf.DUMMYFUNCTION("MAX(FILTER($H$2:$H501,$E$2:$E501=F434))"),"#N/A")</f>
        <v>#N/A</v>
      </c>
    </row>
    <row r="435">
      <c r="A435" s="4"/>
      <c r="B435" s="4"/>
      <c r="C435" s="4" t="s">
        <v>3544</v>
      </c>
      <c r="D435" s="8" t="str">
        <f t="shared" si="1"/>
        <v>{"valorA":"celular","valorB":28}</v>
      </c>
      <c r="E435" s="8" t="str">
        <f t="shared" si="2"/>
        <v>celular</v>
      </c>
      <c r="F435" s="8"/>
      <c r="G435" s="15" t="str">
        <f t="shared" si="3"/>
        <v>28</v>
      </c>
      <c r="H435" s="9">
        <f t="shared" si="4"/>
        <v>28</v>
      </c>
      <c r="I435" s="6" t="str">
        <f>IFERROR(__xludf.DUMMYFUNCTION("MAX(FILTER($H$2:$H501,$E$2:$E501=F435))"),"#N/A")</f>
        <v>#N/A</v>
      </c>
    </row>
    <row r="436">
      <c r="A436" s="4"/>
      <c r="B436" s="4"/>
      <c r="C436" s="4" t="s">
        <v>2400</v>
      </c>
      <c r="D436" s="8" t="str">
        <f t="shared" si="1"/>
        <v>{"valorA":"chuveiro elétrico","valorB":19}</v>
      </c>
      <c r="E436" s="8" t="str">
        <f t="shared" si="2"/>
        <v>chuveiro elétrico</v>
      </c>
      <c r="F436" s="8"/>
      <c r="G436" s="15" t="str">
        <f t="shared" si="3"/>
        <v>19</v>
      </c>
      <c r="H436" s="9">
        <f t="shared" si="4"/>
        <v>19</v>
      </c>
      <c r="I436" s="6" t="str">
        <f>IFERROR(__xludf.DUMMYFUNCTION("MAX(FILTER($H$2:$H501,$E$2:$E501=F436))"),"#N/A")</f>
        <v>#N/A</v>
      </c>
    </row>
    <row r="437">
      <c r="A437" s="4"/>
      <c r="B437" s="4"/>
      <c r="C437" s="4" t="s">
        <v>2540</v>
      </c>
      <c r="D437" s="8" t="str">
        <f t="shared" si="1"/>
        <v>{"valorA":"relógio","valorB":22}</v>
      </c>
      <c r="E437" s="8" t="str">
        <f t="shared" si="2"/>
        <v>relógio</v>
      </c>
      <c r="F437" s="8"/>
      <c r="G437" s="15" t="str">
        <f t="shared" si="3"/>
        <v>22</v>
      </c>
      <c r="H437" s="9">
        <f t="shared" si="4"/>
        <v>22</v>
      </c>
      <c r="I437" s="6" t="str">
        <f>IFERROR(__xludf.DUMMYFUNCTION("MAX(FILTER($H$2:$H501,$E$2:$E501=F437))"),"#N/A")</f>
        <v>#N/A</v>
      </c>
    </row>
    <row r="438">
      <c r="A438" s="4"/>
      <c r="B438" s="4"/>
      <c r="C438" s="4" t="s">
        <v>2439</v>
      </c>
      <c r="D438" s="8" t="str">
        <f t="shared" si="1"/>
        <v>{"valorA":"carregador de computador","valorB":17}</v>
      </c>
      <c r="E438" s="8" t="str">
        <f t="shared" si="2"/>
        <v>carregador de computador</v>
      </c>
      <c r="F438" s="8"/>
      <c r="G438" s="15" t="str">
        <f t="shared" si="3"/>
        <v>17</v>
      </c>
      <c r="H438" s="9">
        <f t="shared" si="4"/>
        <v>17</v>
      </c>
      <c r="I438" s="6" t="str">
        <f>IFERROR(__xludf.DUMMYFUNCTION("MAX(FILTER($H$2:$H501,$E$2:$E501=F438))"),"#N/A")</f>
        <v>#N/A</v>
      </c>
    </row>
    <row r="439">
      <c r="A439" s="4"/>
      <c r="B439" s="4"/>
      <c r="C439" s="4" t="s">
        <v>2549</v>
      </c>
      <c r="D439" s="8" t="str">
        <f t="shared" si="1"/>
        <v>{"valorA":"relógio","valorB":23}</v>
      </c>
      <c r="E439" s="8" t="str">
        <f t="shared" si="2"/>
        <v>relógio</v>
      </c>
      <c r="F439" s="8"/>
      <c r="G439" s="15" t="str">
        <f t="shared" si="3"/>
        <v>23</v>
      </c>
      <c r="H439" s="9">
        <f t="shared" si="4"/>
        <v>23</v>
      </c>
      <c r="I439" s="6" t="str">
        <f>IFERROR(__xludf.DUMMYFUNCTION("MAX(FILTER($H$2:$H501,$E$2:$E501=F439))"),"#N/A")</f>
        <v>#N/A</v>
      </c>
    </row>
    <row r="440">
      <c r="A440" s="4"/>
      <c r="B440" s="4"/>
      <c r="C440" s="4" t="s">
        <v>3545</v>
      </c>
      <c r="D440" s="8" t="str">
        <f t="shared" si="1"/>
        <v>{"valorA":"carregador de celular","valorB":28}</v>
      </c>
      <c r="E440" s="8" t="str">
        <f t="shared" si="2"/>
        <v>carregador de celular</v>
      </c>
      <c r="F440" s="8"/>
      <c r="G440" s="15" t="str">
        <f t="shared" si="3"/>
        <v>28</v>
      </c>
      <c r="H440" s="9">
        <f t="shared" si="4"/>
        <v>28</v>
      </c>
      <c r="I440" s="6" t="str">
        <f>IFERROR(__xludf.DUMMYFUNCTION("MAX(FILTER($H$2:$H501,$E$2:$E501=F440))"),"#N/A")</f>
        <v>#N/A</v>
      </c>
    </row>
    <row r="441">
      <c r="A441" s="4"/>
      <c r="B441" s="4"/>
      <c r="C441" s="4" t="s">
        <v>2440</v>
      </c>
      <c r="D441" s="8" t="str">
        <f t="shared" si="1"/>
        <v>{"valorA":"carregador de computador","valorB":18}</v>
      </c>
      <c r="E441" s="8" t="str">
        <f t="shared" si="2"/>
        <v>carregador de computador</v>
      </c>
      <c r="F441" s="8"/>
      <c r="G441" s="15" t="str">
        <f t="shared" si="3"/>
        <v>18</v>
      </c>
      <c r="H441" s="9">
        <f t="shared" si="4"/>
        <v>18</v>
      </c>
      <c r="I441" s="6" t="str">
        <f>IFERROR(__xludf.DUMMYFUNCTION("MAX(FILTER($H$2:$H501,$E$2:$E501=F441))"),"#N/A")</f>
        <v>#N/A</v>
      </c>
    </row>
    <row r="442">
      <c r="A442" s="4"/>
      <c r="B442" s="4"/>
      <c r="C442" s="4" t="s">
        <v>1733</v>
      </c>
      <c r="D442" s="8" t="str">
        <f t="shared" si="1"/>
        <v>{"valorA":"ar condicionado","valorB":23}</v>
      </c>
      <c r="E442" s="8" t="str">
        <f t="shared" si="2"/>
        <v>ar condicionado</v>
      </c>
      <c r="F442" s="8"/>
      <c r="G442" s="15" t="str">
        <f t="shared" si="3"/>
        <v>23</v>
      </c>
      <c r="H442" s="9">
        <f t="shared" si="4"/>
        <v>23</v>
      </c>
      <c r="I442" s="6" t="str">
        <f>IFERROR(__xludf.DUMMYFUNCTION("MAX(FILTER($H$2:$H501,$E$2:$E501=F442))"),"#N/A")</f>
        <v>#N/A</v>
      </c>
    </row>
    <row r="443">
      <c r="A443" s="4"/>
      <c r="B443" s="4"/>
      <c r="C443" s="4" t="s">
        <v>2547</v>
      </c>
      <c r="D443" s="8" t="str">
        <f t="shared" si="1"/>
        <v>{"valorA":"aspirador","valorB":25}</v>
      </c>
      <c r="E443" s="8" t="str">
        <f t="shared" si="2"/>
        <v>aspirador</v>
      </c>
      <c r="F443" s="8"/>
      <c r="G443" s="15" t="str">
        <f t="shared" si="3"/>
        <v>25</v>
      </c>
      <c r="H443" s="9">
        <f t="shared" si="4"/>
        <v>25</v>
      </c>
      <c r="I443" s="6" t="str">
        <f>IFERROR(__xludf.DUMMYFUNCTION("MAX(FILTER($H$2:$H501,$E$2:$E501=F443))"),"#N/A")</f>
        <v>#N/A</v>
      </c>
    </row>
    <row r="444">
      <c r="A444" s="4"/>
      <c r="B444" s="4"/>
      <c r="C444" s="4" t="s">
        <v>3546</v>
      </c>
      <c r="D444" s="8" t="str">
        <f t="shared" si="1"/>
        <v>{"valorA":"carregador de celular","valorB":29}</v>
      </c>
      <c r="E444" s="8" t="str">
        <f t="shared" si="2"/>
        <v>carregador de celular</v>
      </c>
      <c r="F444" s="8"/>
      <c r="G444" s="15" t="str">
        <f t="shared" si="3"/>
        <v>29</v>
      </c>
      <c r="H444" s="9">
        <f t="shared" si="4"/>
        <v>29</v>
      </c>
      <c r="I444" s="6" t="str">
        <f>IFERROR(__xludf.DUMMYFUNCTION("MAX(FILTER($H$2:$H501,$E$2:$E501=F444))"),"#N/A")</f>
        <v>#N/A</v>
      </c>
    </row>
    <row r="445">
      <c r="A445" s="4"/>
      <c r="B445" s="4"/>
      <c r="C445" s="4" t="s">
        <v>2443</v>
      </c>
      <c r="D445" s="8" t="str">
        <f t="shared" si="1"/>
        <v>{"valorA":"carregador de computador","valorB":19}</v>
      </c>
      <c r="E445" s="8" t="str">
        <f t="shared" si="2"/>
        <v>carregador de computador</v>
      </c>
      <c r="F445" s="8"/>
      <c r="G445" s="15" t="str">
        <f t="shared" si="3"/>
        <v>19</v>
      </c>
      <c r="H445" s="9">
        <f t="shared" si="4"/>
        <v>19</v>
      </c>
      <c r="I445" s="6" t="str">
        <f>IFERROR(__xludf.DUMMYFUNCTION("MAX(FILTER($H$2:$H501,$E$2:$E501=F445))"),"#N/A")</f>
        <v>#N/A</v>
      </c>
    </row>
    <row r="446">
      <c r="A446" s="4"/>
      <c r="B446" s="4"/>
      <c r="C446" s="4" t="s">
        <v>2461</v>
      </c>
      <c r="D446" s="8" t="str">
        <f t="shared" si="1"/>
        <v>{"valorA":"carregador de computador","valorB":20}</v>
      </c>
      <c r="E446" s="8" t="str">
        <f t="shared" si="2"/>
        <v>carregador de computador</v>
      </c>
      <c r="F446" s="8"/>
      <c r="G446" s="15" t="str">
        <f t="shared" si="3"/>
        <v>20</v>
      </c>
      <c r="H446" s="9">
        <f t="shared" si="4"/>
        <v>20</v>
      </c>
      <c r="I446" s="6" t="str">
        <f>IFERROR(__xludf.DUMMYFUNCTION("MAX(FILTER($H$2:$H501,$E$2:$E501=F446))"),"#N/A")</f>
        <v>#N/A</v>
      </c>
    </row>
    <row r="447">
      <c r="A447" s="4"/>
      <c r="B447" s="4"/>
      <c r="C447" s="4" t="s">
        <v>2480</v>
      </c>
      <c r="D447" s="8" t="str">
        <f t="shared" si="1"/>
        <v>{"valorA":"fone de ouvido","valorB":18}</v>
      </c>
      <c r="E447" s="8" t="str">
        <f t="shared" si="2"/>
        <v>fone de ouvido</v>
      </c>
      <c r="F447" s="8"/>
      <c r="G447" s="15" t="str">
        <f t="shared" si="3"/>
        <v>18</v>
      </c>
      <c r="H447" s="9">
        <f t="shared" si="4"/>
        <v>18</v>
      </c>
      <c r="I447" s="6" t="str">
        <f>IFERROR(__xludf.DUMMYFUNCTION("MAX(FILTER($H$2:$H501,$E$2:$E501=F447))"),"#N/A")</f>
        <v>#N/A</v>
      </c>
    </row>
    <row r="448">
      <c r="A448" s="4"/>
      <c r="B448" s="4"/>
      <c r="C448" s="4" t="s">
        <v>2521</v>
      </c>
      <c r="D448" s="8" t="str">
        <f t="shared" si="1"/>
        <v>{"valorA":"liquidificador","valorB":23}</v>
      </c>
      <c r="E448" s="8" t="str">
        <f t="shared" si="2"/>
        <v>liquidificador</v>
      </c>
      <c r="F448" s="8"/>
      <c r="G448" s="15" t="str">
        <f t="shared" si="3"/>
        <v>23</v>
      </c>
      <c r="H448" s="9">
        <f t="shared" si="4"/>
        <v>23</v>
      </c>
      <c r="I448" s="6" t="str">
        <f>IFERROR(__xludf.DUMMYFUNCTION("MAX(FILTER($H$2:$H501,$E$2:$E501=F448))"),"#N/A")</f>
        <v>#N/A</v>
      </c>
    </row>
    <row r="449">
      <c r="A449" s="4"/>
      <c r="B449" s="4"/>
      <c r="C449" s="4" t="s">
        <v>2542</v>
      </c>
      <c r="D449" s="8" t="str">
        <f t="shared" si="1"/>
        <v>{"valorA":"liquidificador","valorB":24}</v>
      </c>
      <c r="E449" s="8" t="str">
        <f t="shared" si="2"/>
        <v>liquidificador</v>
      </c>
      <c r="F449" s="8"/>
      <c r="G449" s="15" t="str">
        <f t="shared" si="3"/>
        <v>24</v>
      </c>
      <c r="H449" s="9">
        <f t="shared" si="4"/>
        <v>24</v>
      </c>
      <c r="I449" s="6" t="str">
        <f>IFERROR(__xludf.DUMMYFUNCTION("MAX(FILTER($H$2:$H501,$E$2:$E501=F449))"),"#N/A")</f>
        <v>#N/A</v>
      </c>
    </row>
    <row r="450">
      <c r="A450" s="4"/>
      <c r="B450" s="4"/>
      <c r="C450" s="4" t="s">
        <v>2552</v>
      </c>
      <c r="D450" s="8" t="str">
        <f t="shared" si="1"/>
        <v>{"valorA":"aspirador","valorB":26}</v>
      </c>
      <c r="E450" s="8" t="str">
        <f t="shared" si="2"/>
        <v>aspirador</v>
      </c>
      <c r="F450" s="8"/>
      <c r="G450" s="15" t="str">
        <f t="shared" si="3"/>
        <v>26</v>
      </c>
      <c r="H450" s="9">
        <f t="shared" si="4"/>
        <v>26</v>
      </c>
      <c r="I450" s="6" t="str">
        <f>IFERROR(__xludf.DUMMYFUNCTION("MAX(FILTER($H$2:$H501,$E$2:$E501=F450))"),"#N/A")</f>
        <v>#N/A</v>
      </c>
    </row>
    <row r="451">
      <c r="A451" s="4"/>
      <c r="B451" s="4"/>
      <c r="C451" s="4" t="s">
        <v>2472</v>
      </c>
      <c r="D451" s="8" t="str">
        <f t="shared" si="1"/>
        <v>{"valorA":"teclado de computador","valorB":23}</v>
      </c>
      <c r="E451" s="8" t="str">
        <f t="shared" si="2"/>
        <v>teclado de computador</v>
      </c>
      <c r="F451" s="8"/>
      <c r="G451" s="15" t="str">
        <f t="shared" si="3"/>
        <v>23</v>
      </c>
      <c r="H451" s="9">
        <f t="shared" si="4"/>
        <v>23</v>
      </c>
      <c r="I451" s="6" t="str">
        <f>IFERROR(__xludf.DUMMYFUNCTION("MAX(FILTER($H$2:$H501,$E$2:$E501=F451))"),"#N/A")</f>
        <v>#N/A</v>
      </c>
    </row>
    <row r="452">
      <c r="A452" s="4"/>
      <c r="B452" s="4"/>
      <c r="C452" s="4" t="s">
        <v>2518</v>
      </c>
      <c r="D452" s="8" t="str">
        <f t="shared" si="1"/>
        <v>{"valorA":"fone de ouvido","valorB":19}</v>
      </c>
      <c r="E452" s="8" t="str">
        <f t="shared" si="2"/>
        <v>fone de ouvido</v>
      </c>
      <c r="F452" s="8"/>
      <c r="G452" s="15" t="str">
        <f t="shared" si="3"/>
        <v>19</v>
      </c>
      <c r="H452" s="9">
        <f t="shared" si="4"/>
        <v>19</v>
      </c>
      <c r="I452" s="6" t="str">
        <f>IFERROR(__xludf.DUMMYFUNCTION("MAX(FILTER($H$2:$H501,$E$2:$E501=F452))"),"#N/A")</f>
        <v>#N/A</v>
      </c>
    </row>
    <row r="453">
      <c r="A453" s="4"/>
      <c r="B453" s="4"/>
      <c r="C453" s="4" t="s">
        <v>3547</v>
      </c>
      <c r="D453" s="8" t="str">
        <f t="shared" si="1"/>
        <v>{"valorA":"lustre","valorB":25}</v>
      </c>
      <c r="E453" s="8" t="str">
        <f t="shared" si="2"/>
        <v>lustre</v>
      </c>
      <c r="F453" s="8"/>
      <c r="G453" s="15" t="str">
        <f t="shared" si="3"/>
        <v>25</v>
      </c>
      <c r="H453" s="9">
        <f t="shared" si="4"/>
        <v>25</v>
      </c>
      <c r="I453" s="6" t="str">
        <f>IFERROR(__xludf.DUMMYFUNCTION("MAX(FILTER($H$2:$H501,$E$2:$E501=F453))"),"#N/A")</f>
        <v>#N/A</v>
      </c>
    </row>
    <row r="454">
      <c r="A454" s="4"/>
      <c r="B454" s="4"/>
      <c r="C454" s="4" t="s">
        <v>2590</v>
      </c>
      <c r="D454" s="8" t="str">
        <f t="shared" si="1"/>
        <v>{"valorA":"liquidificador","valorB":25}</v>
      </c>
      <c r="E454" s="8" t="str">
        <f t="shared" si="2"/>
        <v>liquidificador</v>
      </c>
      <c r="F454" s="8"/>
      <c r="G454" s="15" t="str">
        <f t="shared" si="3"/>
        <v>25</v>
      </c>
      <c r="H454" s="9">
        <f t="shared" si="4"/>
        <v>25</v>
      </c>
      <c r="I454" s="6" t="str">
        <f>IFERROR(__xludf.DUMMYFUNCTION("MAX(FILTER($H$2:$H501,$E$2:$E501=F454))"),"#N/A")</f>
        <v>#N/A</v>
      </c>
    </row>
    <row r="455">
      <c r="A455" s="4"/>
      <c r="B455" s="4"/>
      <c r="C455" s="4" t="s">
        <v>3548</v>
      </c>
      <c r="D455" s="8" t="str">
        <f t="shared" si="1"/>
        <v>{"valorA":"lustre","valorB":26}</v>
      </c>
      <c r="E455" s="8" t="str">
        <f t="shared" si="2"/>
        <v>lustre</v>
      </c>
      <c r="F455" s="8"/>
      <c r="G455" s="15" t="str">
        <f t="shared" si="3"/>
        <v>26</v>
      </c>
      <c r="H455" s="9">
        <f t="shared" si="4"/>
        <v>26</v>
      </c>
      <c r="I455" s="6" t="str">
        <f>IFERROR(__xludf.DUMMYFUNCTION("MAX(FILTER($H$2:$H501,$E$2:$E501=F455))"),"#N/A")</f>
        <v>#N/A</v>
      </c>
    </row>
    <row r="456">
      <c r="A456" s="4"/>
      <c r="B456" s="4"/>
      <c r="C456" s="4" t="s">
        <v>2328</v>
      </c>
      <c r="D456" s="8" t="str">
        <f t="shared" si="1"/>
        <v>{"valorA":"fogão","valorB":12}</v>
      </c>
      <c r="E456" s="8" t="str">
        <f t="shared" si="2"/>
        <v>fogão</v>
      </c>
      <c r="F456" s="8"/>
      <c r="G456" s="15" t="str">
        <f t="shared" si="3"/>
        <v>12</v>
      </c>
      <c r="H456" s="9">
        <f t="shared" si="4"/>
        <v>12</v>
      </c>
      <c r="I456" s="6" t="str">
        <f>IFERROR(__xludf.DUMMYFUNCTION("MAX(FILTER($H$2:$H501,$E$2:$E501=F456))"),"#N/A")</f>
        <v>#N/A</v>
      </c>
    </row>
    <row r="457">
      <c r="A457" s="4"/>
      <c r="B457" s="4"/>
      <c r="C457" s="4" t="s">
        <v>2356</v>
      </c>
      <c r="D457" s="8" t="str">
        <f t="shared" si="1"/>
        <v>{"valorA":"fogão","valorB":13}</v>
      </c>
      <c r="E457" s="8" t="str">
        <f t="shared" si="2"/>
        <v>fogão</v>
      </c>
      <c r="F457" s="8"/>
      <c r="G457" s="15" t="str">
        <f t="shared" si="3"/>
        <v>13</v>
      </c>
      <c r="H457" s="9">
        <f t="shared" si="4"/>
        <v>13</v>
      </c>
      <c r="I457" s="6" t="str">
        <f>IFERROR(__xludf.DUMMYFUNCTION("MAX(FILTER($H$2:$H501,$E$2:$E501=F457))"),"#N/A")</f>
        <v>#N/A</v>
      </c>
    </row>
    <row r="458">
      <c r="A458" s="4"/>
      <c r="B458" s="4"/>
      <c r="C458" s="4" t="s">
        <v>2559</v>
      </c>
      <c r="D458" s="8" t="str">
        <f t="shared" si="1"/>
        <v>{"valorA":"relógio","valorB":24}</v>
      </c>
      <c r="E458" s="8" t="str">
        <f t="shared" si="2"/>
        <v>relógio</v>
      </c>
      <c r="F458" s="8"/>
      <c r="G458" s="15" t="str">
        <f t="shared" si="3"/>
        <v>24</v>
      </c>
      <c r="H458" s="9">
        <f t="shared" si="4"/>
        <v>24</v>
      </c>
      <c r="I458" s="6" t="str">
        <f>IFERROR(__xludf.DUMMYFUNCTION("MAX(FILTER($H$2:$H501,$E$2:$E501=F458))"),"#N/A")</f>
        <v>#N/A</v>
      </c>
    </row>
    <row r="459">
      <c r="A459" s="4"/>
      <c r="B459" s="4"/>
      <c r="C459" s="4" t="s">
        <v>3549</v>
      </c>
      <c r="D459" s="8" t="str">
        <f t="shared" si="1"/>
        <v>{"valorA":"carregador de celular","valorB":30}</v>
      </c>
      <c r="E459" s="8" t="str">
        <f t="shared" si="2"/>
        <v>carregador de celular</v>
      </c>
      <c r="F459" s="8"/>
      <c r="G459" s="15" t="str">
        <f t="shared" si="3"/>
        <v>30</v>
      </c>
      <c r="H459" s="9">
        <f t="shared" si="4"/>
        <v>30</v>
      </c>
      <c r="I459" s="6" t="str">
        <f>IFERROR(__xludf.DUMMYFUNCTION("MAX(FILTER($H$2:$H501,$E$2:$E501=F459))"),"#N/A")</f>
        <v>#N/A</v>
      </c>
    </row>
    <row r="460">
      <c r="A460" s="4"/>
      <c r="B460" s="4"/>
      <c r="C460" s="4" t="s">
        <v>2416</v>
      </c>
      <c r="D460" s="8" t="str">
        <f t="shared" si="1"/>
        <v>{"valorA":"fogão","valorB":14}</v>
      </c>
      <c r="E460" s="8" t="str">
        <f t="shared" si="2"/>
        <v>fogão</v>
      </c>
      <c r="F460" s="8"/>
      <c r="G460" s="15" t="str">
        <f t="shared" si="3"/>
        <v>14</v>
      </c>
      <c r="H460" s="9">
        <f t="shared" si="4"/>
        <v>14</v>
      </c>
      <c r="I460" s="6" t="str">
        <f>IFERROR(__xludf.DUMMYFUNCTION("MAX(FILTER($H$2:$H501,$E$2:$E501=F460))"),"#N/A")</f>
        <v>#N/A</v>
      </c>
    </row>
    <row r="461">
      <c r="A461" s="4"/>
      <c r="B461" s="4"/>
      <c r="C461" s="4" t="s">
        <v>2471</v>
      </c>
      <c r="D461" s="8" t="str">
        <f t="shared" si="1"/>
        <v>{"valorA":"computador","valorB":19}</v>
      </c>
      <c r="E461" s="8" t="str">
        <f t="shared" si="2"/>
        <v>computador</v>
      </c>
      <c r="F461" s="8"/>
      <c r="G461" s="15" t="str">
        <f t="shared" si="3"/>
        <v>19</v>
      </c>
      <c r="H461" s="9">
        <f t="shared" si="4"/>
        <v>19</v>
      </c>
      <c r="I461" s="6" t="str">
        <f>IFERROR(__xludf.DUMMYFUNCTION("MAX(FILTER($H$2:$H501,$E$2:$E501=F461))"),"#N/A")</f>
        <v>#N/A</v>
      </c>
    </row>
    <row r="462">
      <c r="A462" s="4"/>
      <c r="B462" s="4"/>
      <c r="C462" s="4" t="s">
        <v>3550</v>
      </c>
      <c r="D462" s="8" t="str">
        <f t="shared" si="1"/>
        <v>{"valorA":"liquidificador","valorB":26}</v>
      </c>
      <c r="E462" s="8" t="str">
        <f t="shared" si="2"/>
        <v>liquidificador</v>
      </c>
      <c r="F462" s="8"/>
      <c r="G462" s="15" t="str">
        <f t="shared" si="3"/>
        <v>26</v>
      </c>
      <c r="H462" s="9">
        <f t="shared" si="4"/>
        <v>26</v>
      </c>
      <c r="I462" s="6" t="str">
        <f>IFERROR(__xludf.DUMMYFUNCTION("MAX(FILTER($H$2:$H501,$E$2:$E501=F462))"),"#N/A")</f>
        <v>#N/A</v>
      </c>
    </row>
    <row r="463">
      <c r="A463" s="4"/>
      <c r="B463" s="4"/>
      <c r="C463" s="4" t="s">
        <v>3551</v>
      </c>
      <c r="D463" s="8" t="str">
        <f t="shared" si="1"/>
        <v>{"valorA":"lustre","valorB":27}</v>
      </c>
      <c r="E463" s="8" t="str">
        <f t="shared" si="2"/>
        <v>lustre</v>
      </c>
      <c r="F463" s="8"/>
      <c r="G463" s="15" t="str">
        <f t="shared" si="3"/>
        <v>27</v>
      </c>
      <c r="H463" s="9">
        <f t="shared" si="4"/>
        <v>27</v>
      </c>
      <c r="I463" s="6" t="str">
        <f>IFERROR(__xludf.DUMMYFUNCTION("MAX(FILTER($H$2:$H501,$E$2:$E501=F463))"),"#N/A")</f>
        <v>#N/A</v>
      </c>
    </row>
    <row r="464">
      <c r="A464" s="4"/>
      <c r="B464" s="4"/>
      <c r="C464" s="4" t="s">
        <v>2484</v>
      </c>
      <c r="D464" s="8" t="str">
        <f t="shared" si="1"/>
        <v>{"valorA":"teclado de computador","valorB":24}</v>
      </c>
      <c r="E464" s="8" t="str">
        <f t="shared" si="2"/>
        <v>teclado de computador</v>
      </c>
      <c r="F464" s="8"/>
      <c r="G464" s="15" t="str">
        <f t="shared" si="3"/>
        <v>24</v>
      </c>
      <c r="H464" s="9">
        <f t="shared" si="4"/>
        <v>24</v>
      </c>
      <c r="I464" s="6" t="str">
        <f>IFERROR(__xludf.DUMMYFUNCTION("MAX(FILTER($H$2:$H501,$E$2:$E501=F464))"),"#N/A")</f>
        <v>#N/A</v>
      </c>
    </row>
    <row r="465">
      <c r="A465" s="4"/>
      <c r="B465" s="4"/>
      <c r="C465" s="4" t="s">
        <v>2511</v>
      </c>
      <c r="D465" s="8" t="str">
        <f t="shared" si="1"/>
        <v>{"valorA":"ventilador","valorB":24}</v>
      </c>
      <c r="E465" s="8" t="str">
        <f t="shared" si="2"/>
        <v>ventilador</v>
      </c>
      <c r="F465" s="8"/>
      <c r="G465" s="15" t="str">
        <f t="shared" si="3"/>
        <v>24</v>
      </c>
      <c r="H465" s="9">
        <f t="shared" si="4"/>
        <v>24</v>
      </c>
      <c r="I465" s="6" t="str">
        <f>IFERROR(__xludf.DUMMYFUNCTION("MAX(FILTER($H$2:$H501,$E$2:$E501=F465))"),"#N/A")</f>
        <v>#N/A</v>
      </c>
    </row>
    <row r="466">
      <c r="A466" s="4"/>
      <c r="B466" s="4"/>
      <c r="C466" s="4" t="s">
        <v>2503</v>
      </c>
      <c r="D466" s="8" t="str">
        <f t="shared" si="1"/>
        <v>{"valorA":"teclado de computador","valorB":25}</v>
      </c>
      <c r="E466" s="8" t="str">
        <f t="shared" si="2"/>
        <v>teclado de computador</v>
      </c>
      <c r="F466" s="8"/>
      <c r="G466" s="15" t="str">
        <f t="shared" si="3"/>
        <v>25</v>
      </c>
      <c r="H466" s="9">
        <f t="shared" si="4"/>
        <v>25</v>
      </c>
      <c r="I466" s="6" t="str">
        <f>IFERROR(__xludf.DUMMYFUNCTION("MAX(FILTER($H$2:$H501,$E$2:$E501=F466))"),"#N/A")</f>
        <v>#N/A</v>
      </c>
    </row>
    <row r="467">
      <c r="A467" s="4"/>
      <c r="B467" s="4"/>
      <c r="C467" s="4" t="s">
        <v>2569</v>
      </c>
      <c r="D467" s="8" t="str">
        <f t="shared" si="1"/>
        <v>{"valorA":"relógio","valorB":25}</v>
      </c>
      <c r="E467" s="8" t="str">
        <f t="shared" si="2"/>
        <v>relógio</v>
      </c>
      <c r="F467" s="8"/>
      <c r="G467" s="15" t="str">
        <f t="shared" si="3"/>
        <v>25</v>
      </c>
      <c r="H467" s="9">
        <f t="shared" si="4"/>
        <v>25</v>
      </c>
      <c r="I467" s="6" t="str">
        <f>IFERROR(__xludf.DUMMYFUNCTION("MAX(FILTER($H$2:$H501,$E$2:$E501=F467))"),"#N/A")</f>
        <v>#N/A</v>
      </c>
    </row>
    <row r="468">
      <c r="A468" s="4"/>
      <c r="B468" s="4"/>
      <c r="C468" s="4" t="s">
        <v>2505</v>
      </c>
      <c r="D468" s="8" t="str">
        <f t="shared" si="1"/>
        <v>{"valorA":"teclado de computador","valorB":26}</v>
      </c>
      <c r="E468" s="8" t="str">
        <f t="shared" si="2"/>
        <v>teclado de computador</v>
      </c>
      <c r="F468" s="8"/>
      <c r="G468" s="15" t="str">
        <f t="shared" si="3"/>
        <v>26</v>
      </c>
      <c r="H468" s="9">
        <f t="shared" si="4"/>
        <v>26</v>
      </c>
      <c r="I468" s="6" t="str">
        <f>IFERROR(__xludf.DUMMYFUNCTION("MAX(FILTER($H$2:$H501,$E$2:$E501=F468))"),"#N/A")</f>
        <v>#N/A</v>
      </c>
    </row>
    <row r="469">
      <c r="A469" s="4"/>
      <c r="B469" s="4"/>
      <c r="C469" s="4" t="s">
        <v>3552</v>
      </c>
      <c r="D469" s="8" t="str">
        <f t="shared" si="1"/>
        <v>{"valorA":"liquidificador","valorB":27}</v>
      </c>
      <c r="E469" s="8" t="str">
        <f t="shared" si="2"/>
        <v>liquidificador</v>
      </c>
      <c r="F469" s="8"/>
      <c r="G469" s="15" t="str">
        <f t="shared" si="3"/>
        <v>27</v>
      </c>
      <c r="H469" s="9">
        <f t="shared" si="4"/>
        <v>27</v>
      </c>
      <c r="I469" s="6" t="str">
        <f>IFERROR(__xludf.DUMMYFUNCTION("MAX(FILTER($H$2:$H501,$E$2:$E501=F469))"),"#N/A")</f>
        <v>#N/A</v>
      </c>
    </row>
    <row r="470">
      <c r="A470" s="4"/>
      <c r="B470" s="4"/>
      <c r="C470" s="4" t="s">
        <v>3553</v>
      </c>
      <c r="D470" s="8" t="str">
        <f t="shared" si="1"/>
        <v>{"valorA":"carregador de celular","valorB":31}</v>
      </c>
      <c r="E470" s="8" t="str">
        <f t="shared" si="2"/>
        <v>carregador de celular</v>
      </c>
      <c r="F470" s="8"/>
      <c r="G470" s="15" t="str">
        <f t="shared" si="3"/>
        <v>31</v>
      </c>
      <c r="H470" s="9">
        <f t="shared" si="4"/>
        <v>31</v>
      </c>
      <c r="I470" s="6" t="str">
        <f>IFERROR(__xludf.DUMMYFUNCTION("MAX(FILTER($H$2:$H501,$E$2:$E501=F470))"),"#N/A")</f>
        <v>#N/A</v>
      </c>
    </row>
    <row r="471">
      <c r="A471" s="4"/>
      <c r="B471" s="4"/>
      <c r="C471" s="4" t="s">
        <v>2571</v>
      </c>
      <c r="D471" s="8" t="str">
        <f t="shared" si="1"/>
        <v>{"valorA":"relógio","valorB":26}</v>
      </c>
      <c r="E471" s="8" t="str">
        <f t="shared" si="2"/>
        <v>relógio</v>
      </c>
      <c r="F471" s="8"/>
      <c r="G471" s="15" t="str">
        <f t="shared" si="3"/>
        <v>26</v>
      </c>
      <c r="H471" s="9">
        <f t="shared" si="4"/>
        <v>26</v>
      </c>
      <c r="I471" s="6" t="str">
        <f>IFERROR(__xludf.DUMMYFUNCTION("MAX(FILTER($H$2:$H501,$E$2:$E501=F471))"),"#N/A")</f>
        <v>#N/A</v>
      </c>
    </row>
    <row r="472">
      <c r="A472" s="4"/>
      <c r="B472" s="4"/>
      <c r="C472" s="4" t="s">
        <v>1686</v>
      </c>
      <c r="D472" s="8" t="str">
        <f t="shared" si="1"/>
        <v>{"valorA":"freezer","valorB":28}</v>
      </c>
      <c r="E472" s="8" t="str">
        <f t="shared" si="2"/>
        <v>freezer</v>
      </c>
      <c r="F472" s="8"/>
      <c r="G472" s="15" t="str">
        <f t="shared" si="3"/>
        <v>28</v>
      </c>
      <c r="H472" s="9">
        <f t="shared" si="4"/>
        <v>28</v>
      </c>
      <c r="I472" s="6" t="str">
        <f>IFERROR(__xludf.DUMMYFUNCTION("MAX(FILTER($H$2:$H501,$E$2:$E501=F472))"),"#N/A")</f>
        <v>#N/A</v>
      </c>
    </row>
    <row r="473">
      <c r="A473" s="4"/>
      <c r="B473" s="4"/>
      <c r="C473" s="4" t="s">
        <v>2481</v>
      </c>
      <c r="D473" s="8" t="str">
        <f t="shared" si="1"/>
        <v>{"valorA":"computador","valorB":20}</v>
      </c>
      <c r="E473" s="8" t="str">
        <f t="shared" si="2"/>
        <v>computador</v>
      </c>
      <c r="F473" s="8"/>
      <c r="G473" s="15" t="str">
        <f t="shared" si="3"/>
        <v>20</v>
      </c>
      <c r="H473" s="9">
        <f t="shared" si="4"/>
        <v>20</v>
      </c>
      <c r="I473" s="6" t="str">
        <f>IFERROR(__xludf.DUMMYFUNCTION("MAX(FILTER($H$2:$H501,$E$2:$E501=F473))"),"#N/A")</f>
        <v>#N/A</v>
      </c>
    </row>
    <row r="474">
      <c r="A474" s="4"/>
      <c r="B474" s="4"/>
      <c r="C474" s="4" t="s">
        <v>1730</v>
      </c>
      <c r="D474" s="8" t="str">
        <f t="shared" si="1"/>
        <v>{"valorA":"microondas","valorB":19}</v>
      </c>
      <c r="E474" s="8" t="str">
        <f t="shared" si="2"/>
        <v>microondas</v>
      </c>
      <c r="F474" s="8"/>
      <c r="G474" s="15" t="str">
        <f t="shared" si="3"/>
        <v>19</v>
      </c>
      <c r="H474" s="9">
        <f t="shared" si="4"/>
        <v>19</v>
      </c>
      <c r="I474" s="6" t="str">
        <f>IFERROR(__xludf.DUMMYFUNCTION("MAX(FILTER($H$2:$H501,$E$2:$E501=F474))"),"#N/A")</f>
        <v>#N/A</v>
      </c>
    </row>
    <row r="475">
      <c r="A475" s="4"/>
      <c r="B475" s="4"/>
      <c r="C475" s="4" t="s">
        <v>1734</v>
      </c>
      <c r="D475" s="8" t="str">
        <f t="shared" si="1"/>
        <v>{"valorA":"microondas","valorB":20}</v>
      </c>
      <c r="E475" s="8" t="str">
        <f t="shared" si="2"/>
        <v>microondas</v>
      </c>
      <c r="F475" s="8"/>
      <c r="G475" s="15" t="str">
        <f t="shared" si="3"/>
        <v>20</v>
      </c>
      <c r="H475" s="9">
        <f t="shared" si="4"/>
        <v>20</v>
      </c>
      <c r="I475" s="6" t="str">
        <f>IFERROR(__xludf.DUMMYFUNCTION("MAX(FILTER($H$2:$H501,$E$2:$E501=F475))"),"#N/A")</f>
        <v>#N/A</v>
      </c>
    </row>
    <row r="476">
      <c r="A476" s="4"/>
      <c r="B476" s="4"/>
      <c r="C476" s="4" t="s">
        <v>2543</v>
      </c>
      <c r="D476" s="8" t="str">
        <f t="shared" si="1"/>
        <v>{"valorA":"teclado de computador","valorB":27}</v>
      </c>
      <c r="E476" s="8" t="str">
        <f t="shared" si="2"/>
        <v>teclado de computador</v>
      </c>
      <c r="F476" s="8"/>
      <c r="G476" s="15" t="str">
        <f t="shared" si="3"/>
        <v>27</v>
      </c>
      <c r="H476" s="9">
        <f t="shared" si="4"/>
        <v>27</v>
      </c>
      <c r="I476" s="6" t="str">
        <f>IFERROR(__xludf.DUMMYFUNCTION("MAX(FILTER($H$2:$H501,$E$2:$E501=F476))"),"#N/A")</f>
        <v>#N/A</v>
      </c>
    </row>
    <row r="477">
      <c r="A477" s="4"/>
      <c r="B477" s="4"/>
      <c r="C477" s="4" t="s">
        <v>1687</v>
      </c>
      <c r="D477" s="8" t="str">
        <f t="shared" si="1"/>
        <v>{"valorA":"freezer","valorB":29}</v>
      </c>
      <c r="E477" s="8" t="str">
        <f t="shared" si="2"/>
        <v>freezer</v>
      </c>
      <c r="F477" s="8"/>
      <c r="G477" s="15" t="str">
        <f t="shared" si="3"/>
        <v>29</v>
      </c>
      <c r="H477" s="9">
        <f t="shared" si="4"/>
        <v>29</v>
      </c>
      <c r="I477" s="6" t="str">
        <f>IFERROR(__xludf.DUMMYFUNCTION("MAX(FILTER($H$2:$H501,$E$2:$E501=F477))"),"#N/A")</f>
        <v>#N/A</v>
      </c>
    </row>
    <row r="478">
      <c r="A478" s="4"/>
      <c r="B478" s="4"/>
      <c r="C478" s="4" t="s">
        <v>2550</v>
      </c>
      <c r="D478" s="8" t="str">
        <f t="shared" si="1"/>
        <v>{"valorA":"fone de ouvido","valorB":20}</v>
      </c>
      <c r="E478" s="8" t="str">
        <f t="shared" si="2"/>
        <v>fone de ouvido</v>
      </c>
      <c r="F478" s="8"/>
      <c r="G478" s="15" t="str">
        <f t="shared" si="3"/>
        <v>20</v>
      </c>
      <c r="H478" s="9">
        <f t="shared" si="4"/>
        <v>20</v>
      </c>
      <c r="I478" s="6" t="str">
        <f>IFERROR(__xludf.DUMMYFUNCTION("MAX(FILTER($H$2:$H501,$E$2:$E501=F478))"),"#N/A")</f>
        <v>#N/A</v>
      </c>
    </row>
    <row r="479">
      <c r="A479" s="4"/>
      <c r="B479" s="4"/>
      <c r="C479" s="4" t="s">
        <v>2585</v>
      </c>
      <c r="D479" s="8" t="str">
        <f t="shared" si="1"/>
        <v>{"valorA":"relógio","valorB":27}</v>
      </c>
      <c r="E479" s="8" t="str">
        <f t="shared" si="2"/>
        <v>relógio</v>
      </c>
      <c r="F479" s="8"/>
      <c r="G479" s="15" t="str">
        <f t="shared" si="3"/>
        <v>27</v>
      </c>
      <c r="H479" s="9">
        <f t="shared" si="4"/>
        <v>27</v>
      </c>
      <c r="I479" s="6" t="str">
        <f>IFERROR(__xludf.DUMMYFUNCTION("MAX(FILTER($H$2:$H501,$E$2:$E501=F479))"),"#N/A")</f>
        <v>#N/A</v>
      </c>
    </row>
    <row r="480">
      <c r="A480" s="4"/>
      <c r="B480" s="4"/>
      <c r="C480" s="4" t="s">
        <v>2534</v>
      </c>
      <c r="D480" s="8" t="str">
        <f t="shared" si="1"/>
        <v>{"valorA":"roteador","valorB":25}</v>
      </c>
      <c r="E480" s="8" t="str">
        <f t="shared" si="2"/>
        <v>roteador</v>
      </c>
      <c r="F480" s="8"/>
      <c r="G480" s="15" t="str">
        <f t="shared" si="3"/>
        <v>25</v>
      </c>
      <c r="H480" s="9">
        <f t="shared" si="4"/>
        <v>25</v>
      </c>
      <c r="I480" s="6" t="str">
        <f>IFERROR(__xludf.DUMMYFUNCTION("MAX(FILTER($H$2:$H501,$E$2:$E501=F480))"),"#N/A")</f>
        <v>#N/A</v>
      </c>
    </row>
    <row r="481">
      <c r="A481" s="4"/>
      <c r="B481" s="4"/>
      <c r="C481" s="4" t="s">
        <v>3554</v>
      </c>
      <c r="D481" s="8" t="str">
        <f t="shared" si="1"/>
        <v>{"valorA":"lustre","valorB":28}</v>
      </c>
      <c r="E481" s="8" t="str">
        <f t="shared" si="2"/>
        <v>lustre</v>
      </c>
      <c r="F481" s="8"/>
      <c r="G481" s="15" t="str">
        <f t="shared" si="3"/>
        <v>28</v>
      </c>
      <c r="H481" s="9">
        <f t="shared" si="4"/>
        <v>28</v>
      </c>
      <c r="I481" s="6" t="str">
        <f>IFERROR(__xludf.DUMMYFUNCTION("MAX(FILTER($H$2:$H501,$E$2:$E501=F481))"),"#N/A")</f>
        <v>#N/A</v>
      </c>
    </row>
    <row r="482">
      <c r="A482" s="4"/>
      <c r="B482" s="4"/>
      <c r="C482" s="4" t="s">
        <v>2419</v>
      </c>
      <c r="D482" s="8" t="str">
        <f t="shared" si="1"/>
        <v>{"valorA":"fogão","valorB":15}</v>
      </c>
      <c r="E482" s="8" t="str">
        <f t="shared" si="2"/>
        <v>fogão</v>
      </c>
      <c r="F482" s="8"/>
      <c r="G482" s="15" t="str">
        <f t="shared" si="3"/>
        <v>15</v>
      </c>
      <c r="H482" s="9">
        <f t="shared" si="4"/>
        <v>15</v>
      </c>
      <c r="I482" s="6" t="str">
        <f>IFERROR(__xludf.DUMMYFUNCTION("MAX(FILTER($H$2:$H501,$E$2:$E501=F482))"),"#N/A")</f>
        <v>#N/A</v>
      </c>
    </row>
    <row r="483">
      <c r="A483" s="4"/>
      <c r="B483" s="4"/>
      <c r="C483" s="4" t="s">
        <v>3555</v>
      </c>
      <c r="D483" s="8" t="str">
        <f t="shared" si="1"/>
        <v>{"valorA":"celular","valorB":29}</v>
      </c>
      <c r="E483" s="8" t="str">
        <f t="shared" si="2"/>
        <v>celular</v>
      </c>
      <c r="F483" s="8"/>
      <c r="G483" s="15" t="str">
        <f t="shared" si="3"/>
        <v>29</v>
      </c>
      <c r="H483" s="9">
        <f t="shared" si="4"/>
        <v>29</v>
      </c>
      <c r="I483" s="6" t="str">
        <f>IFERROR(__xludf.DUMMYFUNCTION("MAX(FILTER($H$2:$H501,$E$2:$E501=F483))"),"#N/A")</f>
        <v>#N/A</v>
      </c>
    </row>
    <row r="484">
      <c r="A484" s="4"/>
      <c r="B484" s="4"/>
      <c r="C484" s="4" t="s">
        <v>3556</v>
      </c>
      <c r="D484" s="8" t="str">
        <f t="shared" si="1"/>
        <v>{"valorA":"celular","valorB":30}</v>
      </c>
      <c r="E484" s="8" t="str">
        <f t="shared" si="2"/>
        <v>celular</v>
      </c>
      <c r="F484" s="8"/>
      <c r="G484" s="15" t="str">
        <f t="shared" si="3"/>
        <v>30</v>
      </c>
      <c r="H484" s="9">
        <f t="shared" si="4"/>
        <v>30</v>
      </c>
      <c r="I484" s="6" t="str">
        <f>IFERROR(__xludf.DUMMYFUNCTION("MAX(FILTER($H$2:$H501,$E$2:$E501=F484))"),"#N/A")</f>
        <v>#N/A</v>
      </c>
    </row>
    <row r="485">
      <c r="A485" s="4"/>
      <c r="B485" s="4"/>
      <c r="C485" s="4" t="s">
        <v>2424</v>
      </c>
      <c r="D485" s="8" t="str">
        <f t="shared" si="1"/>
        <v>{"valorA":"chuveiro elétrico","valorB":20}</v>
      </c>
      <c r="E485" s="8" t="str">
        <f t="shared" si="2"/>
        <v>chuveiro elétrico</v>
      </c>
      <c r="F485" s="8"/>
      <c r="G485" s="15" t="str">
        <f t="shared" si="3"/>
        <v>20</v>
      </c>
      <c r="H485" s="9">
        <f t="shared" si="4"/>
        <v>20</v>
      </c>
      <c r="I485" s="6" t="str">
        <f>IFERROR(__xludf.DUMMYFUNCTION("MAX(FILTER($H$2:$H501,$E$2:$E501=F485))"),"#N/A")</f>
        <v>#N/A</v>
      </c>
    </row>
    <row r="486">
      <c r="A486" s="4"/>
      <c r="B486" s="4"/>
      <c r="C486" s="4" t="s">
        <v>2596</v>
      </c>
      <c r="D486" s="8" t="str">
        <f t="shared" si="1"/>
        <v>{"valorA":"relógio","valorB":28}</v>
      </c>
      <c r="E486" s="8" t="str">
        <f t="shared" si="2"/>
        <v>relógio</v>
      </c>
      <c r="F486" s="8"/>
      <c r="G486" s="15" t="str">
        <f t="shared" si="3"/>
        <v>28</v>
      </c>
      <c r="H486" s="9">
        <f t="shared" si="4"/>
        <v>28</v>
      </c>
      <c r="I486" s="6" t="str">
        <f>IFERROR(__xludf.DUMMYFUNCTION("MAX(FILTER($H$2:$H501,$E$2:$E501=F486))"),"#N/A")</f>
        <v>#N/A</v>
      </c>
    </row>
    <row r="487">
      <c r="A487" s="4"/>
      <c r="B487" s="4"/>
      <c r="C487" s="4" t="s">
        <v>1688</v>
      </c>
      <c r="D487" s="8" t="str">
        <f t="shared" si="1"/>
        <v>{"valorA":"freezer","valorB":30}</v>
      </c>
      <c r="E487" s="8" t="str">
        <f t="shared" si="2"/>
        <v>freezer</v>
      </c>
      <c r="F487" s="8"/>
      <c r="G487" s="15" t="str">
        <f t="shared" si="3"/>
        <v>30</v>
      </c>
      <c r="H487" s="9">
        <f t="shared" si="4"/>
        <v>30</v>
      </c>
      <c r="I487" s="6" t="str">
        <f>IFERROR(__xludf.DUMMYFUNCTION("MAX(FILTER($H$2:$H501,$E$2:$E501=F487))"),"#N/A")</f>
        <v>#N/A</v>
      </c>
    </row>
    <row r="488">
      <c r="A488" s="4"/>
      <c r="B488" s="4"/>
      <c r="C488" s="4" t="s">
        <v>2577</v>
      </c>
      <c r="D488" s="8" t="str">
        <f t="shared" si="1"/>
        <v>{"valorA":"aspirador","valorB":27}</v>
      </c>
      <c r="E488" s="8" t="str">
        <f t="shared" si="2"/>
        <v>aspirador</v>
      </c>
      <c r="F488" s="8"/>
      <c r="G488" s="15" t="str">
        <f t="shared" si="3"/>
        <v>27</v>
      </c>
      <c r="H488" s="9">
        <f t="shared" si="4"/>
        <v>27</v>
      </c>
      <c r="I488" s="6" t="str">
        <f>IFERROR(__xludf.DUMMYFUNCTION("MAX(FILTER($H$2:$H501,$E$2:$E501=F488))"),"#N/A")</f>
        <v>#N/A</v>
      </c>
    </row>
    <row r="489">
      <c r="A489" s="4"/>
      <c r="B489" s="4"/>
      <c r="C489" s="4" t="s">
        <v>3557</v>
      </c>
      <c r="D489" s="8" t="str">
        <f t="shared" si="1"/>
        <v>{"valorA":"lustre","valorB":29}</v>
      </c>
      <c r="E489" s="8" t="str">
        <f t="shared" si="2"/>
        <v>lustre</v>
      </c>
      <c r="F489" s="8"/>
      <c r="G489" s="15" t="str">
        <f t="shared" si="3"/>
        <v>29</v>
      </c>
      <c r="H489" s="9">
        <f t="shared" si="4"/>
        <v>29</v>
      </c>
      <c r="I489" s="6" t="str">
        <f>IFERROR(__xludf.DUMMYFUNCTION("MAX(FILTER($H$2:$H501,$E$2:$E501=F489))"),"#N/A")</f>
        <v>#N/A</v>
      </c>
    </row>
    <row r="490">
      <c r="A490" s="4"/>
      <c r="B490" s="4"/>
      <c r="C490" s="4" t="s">
        <v>2565</v>
      </c>
      <c r="D490" s="8" t="str">
        <f t="shared" si="1"/>
        <v>{"valorA":"fone de ouvido","valorB":21}</v>
      </c>
      <c r="E490" s="8" t="str">
        <f t="shared" si="2"/>
        <v>fone de ouvido</v>
      </c>
      <c r="F490" s="8"/>
      <c r="G490" s="15" t="str">
        <f t="shared" si="3"/>
        <v>21</v>
      </c>
      <c r="H490" s="9">
        <f t="shared" si="4"/>
        <v>21</v>
      </c>
      <c r="I490" s="6" t="str">
        <f>IFERROR(__xludf.DUMMYFUNCTION("MAX(FILTER($H$2:$H501,$E$2:$E501=F490))"),"#N/A")</f>
        <v>#N/A</v>
      </c>
    </row>
    <row r="491">
      <c r="A491" s="4"/>
      <c r="B491" s="4"/>
      <c r="C491" s="4" t="s">
        <v>2468</v>
      </c>
      <c r="D491" s="8" t="str">
        <f t="shared" si="1"/>
        <v>{"valorA":"carregador de computador","valorB":21}</v>
      </c>
      <c r="E491" s="8" t="str">
        <f t="shared" si="2"/>
        <v>carregador de computador</v>
      </c>
      <c r="F491" s="8"/>
      <c r="G491" s="15" t="str">
        <f t="shared" si="3"/>
        <v>21</v>
      </c>
      <c r="H491" s="9">
        <f t="shared" si="4"/>
        <v>21</v>
      </c>
      <c r="I491" s="6" t="str">
        <f>IFERROR(__xludf.DUMMYFUNCTION("MAX(FILTER($H$2:$H501,$E$2:$E501=F491))"),"#N/A")</f>
        <v>#N/A</v>
      </c>
    </row>
    <row r="492">
      <c r="A492" s="4"/>
      <c r="B492" s="4"/>
      <c r="C492" s="4" t="s">
        <v>2561</v>
      </c>
      <c r="D492" s="8" t="str">
        <f t="shared" si="1"/>
        <v>{"valorA":"teclado de computador","valorB":28}</v>
      </c>
      <c r="E492" s="8" t="str">
        <f t="shared" si="2"/>
        <v>teclado de computador</v>
      </c>
      <c r="F492" s="8"/>
      <c r="G492" s="15" t="str">
        <f t="shared" si="3"/>
        <v>28</v>
      </c>
      <c r="H492" s="9">
        <f t="shared" si="4"/>
        <v>28</v>
      </c>
      <c r="I492" s="6" t="str">
        <f>IFERROR(__xludf.DUMMYFUNCTION("MAX(FILTER($H$2:$H501,$E$2:$E501=F492))"),"#N/A")</f>
        <v>#N/A</v>
      </c>
    </row>
    <row r="493">
      <c r="A493" s="4"/>
      <c r="B493" s="4"/>
      <c r="C493" s="4" t="s">
        <v>2580</v>
      </c>
      <c r="D493" s="8" t="str">
        <f t="shared" si="1"/>
        <v>{"valorA":"aspirador","valorB":28}</v>
      </c>
      <c r="E493" s="8" t="str">
        <f t="shared" si="2"/>
        <v>aspirador</v>
      </c>
      <c r="F493" s="8"/>
      <c r="G493" s="15" t="str">
        <f t="shared" si="3"/>
        <v>28</v>
      </c>
      <c r="H493" s="9">
        <f t="shared" si="4"/>
        <v>28</v>
      </c>
      <c r="I493" s="6" t="str">
        <f>IFERROR(__xludf.DUMMYFUNCTION("MAX(FILTER($H$2:$H501,$E$2:$E501=F493))"),"#N/A")</f>
        <v>#N/A</v>
      </c>
    </row>
    <row r="494">
      <c r="A494" s="4"/>
      <c r="B494" s="4"/>
      <c r="C494" s="4" t="s">
        <v>2427</v>
      </c>
      <c r="D494" s="8" t="str">
        <f t="shared" si="1"/>
        <v>{"valorA":"chuveiro elétrico","valorB":21}</v>
      </c>
      <c r="E494" s="8" t="str">
        <f t="shared" si="2"/>
        <v>chuveiro elétrico</v>
      </c>
      <c r="F494" s="8"/>
      <c r="G494" s="15" t="str">
        <f t="shared" si="3"/>
        <v>21</v>
      </c>
      <c r="H494" s="9">
        <f t="shared" si="4"/>
        <v>21</v>
      </c>
      <c r="I494" s="6" t="str">
        <f>IFERROR(__xludf.DUMMYFUNCTION("MAX(FILTER($H$2:$H501,$E$2:$E501=F494))"),"#N/A")</f>
        <v>#N/A</v>
      </c>
    </row>
    <row r="495">
      <c r="A495" s="4"/>
      <c r="B495" s="4"/>
      <c r="C495" s="4" t="s">
        <v>1689</v>
      </c>
      <c r="D495" s="8" t="str">
        <f t="shared" si="1"/>
        <v>{"valorA":"freezer","valorB":31}</v>
      </c>
      <c r="E495" s="8" t="str">
        <f t="shared" si="2"/>
        <v>freezer</v>
      </c>
      <c r="F495" s="8"/>
      <c r="G495" s="15" t="str">
        <f t="shared" si="3"/>
        <v>31</v>
      </c>
      <c r="H495" s="9">
        <f t="shared" si="4"/>
        <v>31</v>
      </c>
      <c r="I495" s="6" t="str">
        <f>IFERROR(__xludf.DUMMYFUNCTION("MAX(FILTER($H$2:$H501,$E$2:$E501=F495))"),"#N/A")</f>
        <v>#N/A</v>
      </c>
    </row>
    <row r="496">
      <c r="A496" s="4"/>
      <c r="B496" s="4"/>
      <c r="C496" s="4" t="s">
        <v>2488</v>
      </c>
      <c r="D496" s="8" t="str">
        <f t="shared" si="1"/>
        <v>{"valorA":"computador","valorB":21}</v>
      </c>
      <c r="E496" s="8" t="str">
        <f t="shared" si="2"/>
        <v>computador</v>
      </c>
      <c r="F496" s="8"/>
      <c r="G496" s="15" t="str">
        <f t="shared" si="3"/>
        <v>21</v>
      </c>
      <c r="H496" s="9">
        <f t="shared" si="4"/>
        <v>21</v>
      </c>
      <c r="I496" s="6" t="str">
        <f>IFERROR(__xludf.DUMMYFUNCTION("MAX(FILTER($H$2:$H501,$E$2:$E501=F496))"),"#N/A")</f>
        <v>#N/A</v>
      </c>
    </row>
    <row r="497">
      <c r="A497" s="4"/>
      <c r="B497" s="4"/>
      <c r="C497" s="4" t="s">
        <v>3558</v>
      </c>
      <c r="D497" s="8" t="str">
        <f t="shared" si="1"/>
        <v>{"valorA":"lustre","valorB":30}</v>
      </c>
      <c r="E497" s="8" t="str">
        <f t="shared" si="2"/>
        <v>lustre</v>
      </c>
      <c r="F497" s="8"/>
      <c r="G497" s="15" t="str">
        <f t="shared" si="3"/>
        <v>30</v>
      </c>
      <c r="H497" s="9">
        <f t="shared" si="4"/>
        <v>30</v>
      </c>
      <c r="I497" s="6" t="str">
        <f>IFERROR(__xludf.DUMMYFUNCTION("MAX(FILTER($H$2:$H501,$E$2:$E501=F497))"),"#N/A")</f>
        <v>#N/A</v>
      </c>
    </row>
    <row r="498">
      <c r="A498" s="4"/>
      <c r="B498" s="4"/>
      <c r="C498" s="4" t="s">
        <v>2588</v>
      </c>
      <c r="D498" s="8" t="str">
        <f t="shared" si="1"/>
        <v>{"valorA":"teclado de computador","valorB":29}</v>
      </c>
      <c r="E498" s="8" t="str">
        <f t="shared" si="2"/>
        <v>teclado de computador</v>
      </c>
      <c r="F498" s="8"/>
      <c r="G498" s="15" t="str">
        <f t="shared" si="3"/>
        <v>29</v>
      </c>
      <c r="H498" s="9">
        <f t="shared" si="4"/>
        <v>29</v>
      </c>
      <c r="I498" s="6" t="str">
        <f>IFERROR(__xludf.DUMMYFUNCTION("MAX(FILTER($H$2:$H501,$E$2:$E501=F498))"),"#N/A")</f>
        <v>#N/A</v>
      </c>
    </row>
    <row r="499">
      <c r="A499" s="4"/>
      <c r="B499" s="4"/>
      <c r="C499" s="4" t="s">
        <v>2507</v>
      </c>
      <c r="D499" s="8" t="str">
        <f t="shared" si="1"/>
        <v>{"valorA":"carregador de computador","valorB":22}</v>
      </c>
      <c r="E499" s="8" t="str">
        <f t="shared" si="2"/>
        <v>carregador de computador</v>
      </c>
      <c r="F499" s="8"/>
      <c r="G499" s="15" t="str">
        <f t="shared" si="3"/>
        <v>22</v>
      </c>
      <c r="H499" s="9">
        <f t="shared" si="4"/>
        <v>22</v>
      </c>
      <c r="I499" s="6" t="str">
        <f>IFERROR(__xludf.DUMMYFUNCTION("MAX(FILTER($H$2:$H501,$E$2:$E501=F499))"),"#N/A")</f>
        <v>#N/A</v>
      </c>
    </row>
    <row r="500">
      <c r="A500" s="4"/>
      <c r="B500" s="4"/>
      <c r="C500" s="4" t="s">
        <v>3559</v>
      </c>
      <c r="D500" s="8" t="str">
        <f t="shared" si="1"/>
        <v>{"valorA":"carregador de celular","valorB":32}</v>
      </c>
      <c r="E500" s="8" t="str">
        <f t="shared" si="2"/>
        <v>carregador de celular</v>
      </c>
      <c r="F500" s="8"/>
      <c r="G500" s="15" t="str">
        <f t="shared" si="3"/>
        <v>32</v>
      </c>
      <c r="H500" s="9">
        <f t="shared" si="4"/>
        <v>32</v>
      </c>
      <c r="I500" s="6" t="str">
        <f>IFERROR(__xludf.DUMMYFUNCTION("MAX(FILTER($H$2:$H501,$E$2:$E501=F500))"),"#N/A")</f>
        <v>#N/A</v>
      </c>
    </row>
    <row r="501">
      <c r="A501" s="4"/>
      <c r="B501" s="4"/>
      <c r="C501" s="4" t="s">
        <v>3560</v>
      </c>
      <c r="D501" s="8" t="str">
        <f t="shared" si="1"/>
        <v>{"valorA":"teclado de computador","valorB":30}</v>
      </c>
      <c r="E501" s="8" t="str">
        <f t="shared" si="2"/>
        <v>teclado de computador</v>
      </c>
      <c r="F501" s="8"/>
      <c r="G501" s="15" t="str">
        <f t="shared" si="3"/>
        <v>30</v>
      </c>
      <c r="H501" s="9">
        <f t="shared" si="4"/>
        <v>30</v>
      </c>
      <c r="I501" s="6" t="str">
        <f>IFERROR(__xludf.DUMMYFUNCTION("MAX(FILTER($H$2:$H501,$E$2:$E501=F501))"),"#N/A")</f>
        <v>#N/A</v>
      </c>
    </row>
  </sheetData>
  <autoFilter ref="$L$1:$M$21">
    <sortState ref="L1:M21">
      <sortCondition ref="L1:L21"/>
    </sortState>
  </autoFilter>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3561</v>
      </c>
    </row>
    <row r="2">
      <c r="A2" s="4" t="s">
        <v>3562</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3561</v>
      </c>
    </row>
    <row r="2">
      <c r="A2" s="4" t="s">
        <v>33</v>
      </c>
    </row>
    <row r="3">
      <c r="A3" s="4" t="s">
        <v>144</v>
      </c>
    </row>
    <row r="4">
      <c r="A4" s="4" t="s">
        <v>50</v>
      </c>
    </row>
    <row r="5">
      <c r="A5" s="4" t="s">
        <v>40</v>
      </c>
    </row>
    <row r="6">
      <c r="A6" s="4" t="s">
        <v>129</v>
      </c>
    </row>
    <row r="7">
      <c r="A7" s="4" t="s">
        <v>146</v>
      </c>
    </row>
    <row r="8">
      <c r="A8" s="4" t="s">
        <v>48</v>
      </c>
    </row>
    <row r="9">
      <c r="A9" s="4" t="s">
        <v>126</v>
      </c>
    </row>
    <row r="10">
      <c r="A10" s="4" t="s">
        <v>139</v>
      </c>
    </row>
    <row r="11">
      <c r="A11" s="4" t="s">
        <v>33</v>
      </c>
    </row>
    <row r="12">
      <c r="A12" s="4" t="s">
        <v>34</v>
      </c>
    </row>
    <row r="13">
      <c r="A13" s="4" t="s">
        <v>103</v>
      </c>
    </row>
    <row r="14">
      <c r="A14" s="4" t="s">
        <v>2613</v>
      </c>
    </row>
    <row r="15">
      <c r="A15" s="4" t="s">
        <v>33</v>
      </c>
    </row>
    <row r="16">
      <c r="A16" s="4" t="s">
        <v>36</v>
      </c>
    </row>
    <row r="17">
      <c r="A17" s="4" t="s">
        <v>3563</v>
      </c>
    </row>
    <row r="18">
      <c r="A18" s="4" t="s">
        <v>3564</v>
      </c>
    </row>
    <row r="19">
      <c r="A19" s="4" t="s">
        <v>109</v>
      </c>
    </row>
    <row r="20">
      <c r="A20" s="4" t="s">
        <v>110</v>
      </c>
    </row>
    <row r="21">
      <c r="A21" s="4" t="s">
        <v>111</v>
      </c>
    </row>
    <row r="22">
      <c r="A22" s="4" t="s">
        <v>3565</v>
      </c>
    </row>
    <row r="23">
      <c r="A23" s="4" t="s">
        <v>33</v>
      </c>
    </row>
    <row r="24">
      <c r="A24" s="4" t="s">
        <v>34</v>
      </c>
    </row>
    <row r="25">
      <c r="A25" s="4" t="s">
        <v>51</v>
      </c>
    </row>
    <row r="26">
      <c r="A26" s="4" t="s">
        <v>3566</v>
      </c>
    </row>
    <row r="27">
      <c r="A27" s="4" t="s">
        <v>41</v>
      </c>
    </row>
    <row r="28">
      <c r="A28" s="4" t="s">
        <v>2621</v>
      </c>
    </row>
    <row r="29">
      <c r="A29" s="4" t="s">
        <v>50</v>
      </c>
    </row>
    <row r="30">
      <c r="A30" s="4" t="s">
        <v>40</v>
      </c>
    </row>
    <row r="31">
      <c r="A31" s="4" t="s">
        <v>33</v>
      </c>
    </row>
    <row r="32">
      <c r="A32" s="4" t="s">
        <v>48</v>
      </c>
    </row>
    <row r="33">
      <c r="A33" s="4" t="s">
        <v>147</v>
      </c>
    </row>
    <row r="34">
      <c r="A34" s="4" t="s">
        <v>80</v>
      </c>
    </row>
    <row r="35">
      <c r="A35" s="4" t="s">
        <v>866</v>
      </c>
    </row>
    <row r="36">
      <c r="A36" s="4" t="s">
        <v>3567</v>
      </c>
    </row>
    <row r="37">
      <c r="A37" s="4" t="s">
        <v>92</v>
      </c>
    </row>
    <row r="38">
      <c r="A38" s="4" t="s">
        <v>3568</v>
      </c>
    </row>
    <row r="39">
      <c r="A39" s="4" t="s">
        <v>33</v>
      </c>
    </row>
    <row r="40">
      <c r="A40" s="4" t="s">
        <v>144</v>
      </c>
    </row>
    <row r="41">
      <c r="A41" s="4" t="s">
        <v>88</v>
      </c>
    </row>
    <row r="42">
      <c r="A42" s="4" t="s">
        <v>75</v>
      </c>
    </row>
    <row r="43">
      <c r="A43" s="4" t="s">
        <v>48</v>
      </c>
    </row>
    <row r="44">
      <c r="A44" s="4" t="s">
        <v>35</v>
      </c>
    </row>
    <row r="45">
      <c r="A45" s="4" t="s">
        <v>107</v>
      </c>
    </row>
    <row r="46">
      <c r="A46" s="4" t="s">
        <v>41</v>
      </c>
    </row>
    <row r="47">
      <c r="A47" s="4" t="s">
        <v>42</v>
      </c>
    </row>
    <row r="48">
      <c r="A48" s="4" t="s">
        <v>62</v>
      </c>
    </row>
    <row r="49">
      <c r="A49" s="4" t="s">
        <v>63</v>
      </c>
    </row>
    <row r="50">
      <c r="A50" s="4" t="s">
        <v>64</v>
      </c>
    </row>
    <row r="51">
      <c r="A51" s="4" t="s">
        <v>35</v>
      </c>
    </row>
    <row r="52">
      <c r="A52" s="4" t="s">
        <v>65</v>
      </c>
    </row>
    <row r="53">
      <c r="A53" s="4" t="s">
        <v>50</v>
      </c>
    </row>
    <row r="54">
      <c r="A54" s="4" t="s">
        <v>40</v>
      </c>
    </row>
    <row r="55">
      <c r="A55" s="4" t="s">
        <v>126</v>
      </c>
    </row>
    <row r="56">
      <c r="A56" s="4" t="s">
        <v>1221</v>
      </c>
    </row>
    <row r="57">
      <c r="A57" s="4" t="s">
        <v>33</v>
      </c>
    </row>
    <row r="58">
      <c r="A58" s="4" t="s">
        <v>34</v>
      </c>
    </row>
    <row r="59">
      <c r="A59" s="4" t="s">
        <v>103</v>
      </c>
    </row>
    <row r="60">
      <c r="A60" s="4" t="s">
        <v>555</v>
      </c>
    </row>
    <row r="61">
      <c r="A61" s="4" t="s">
        <v>40</v>
      </c>
    </row>
    <row r="62">
      <c r="A62" s="4" t="s">
        <v>69</v>
      </c>
    </row>
    <row r="63">
      <c r="A63" s="4" t="s">
        <v>70</v>
      </c>
    </row>
    <row r="64">
      <c r="A64" s="4" t="s">
        <v>33</v>
      </c>
    </row>
    <row r="65">
      <c r="A65" s="4" t="s">
        <v>36</v>
      </c>
    </row>
    <row r="66">
      <c r="A66" s="4" t="s">
        <v>87</v>
      </c>
    </row>
    <row r="67">
      <c r="A67" s="4" t="s">
        <v>35</v>
      </c>
    </row>
    <row r="68">
      <c r="A68" s="4" t="s">
        <v>65</v>
      </c>
    </row>
    <row r="69">
      <c r="A69" s="4" t="s">
        <v>88</v>
      </c>
    </row>
    <row r="70">
      <c r="A70" s="4" t="s">
        <v>89</v>
      </c>
    </row>
    <row r="71">
      <c r="A71" s="4" t="s">
        <v>48</v>
      </c>
    </row>
    <row r="72">
      <c r="A72" s="4" t="s">
        <v>35</v>
      </c>
    </row>
    <row r="73">
      <c r="A73" s="4" t="s">
        <v>107</v>
      </c>
    </row>
    <row r="74">
      <c r="A74" s="4" t="s">
        <v>41</v>
      </c>
    </row>
    <row r="75">
      <c r="A75" s="4" t="s">
        <v>42</v>
      </c>
    </row>
    <row r="76">
      <c r="A76" s="4" t="s">
        <v>33</v>
      </c>
    </row>
    <row r="77">
      <c r="A77" s="4" t="s">
        <v>64</v>
      </c>
    </row>
    <row r="78">
      <c r="A78" s="4" t="s">
        <v>75</v>
      </c>
    </row>
    <row r="79">
      <c r="A79" s="4" t="s">
        <v>966</v>
      </c>
    </row>
    <row r="80">
      <c r="A80" s="4" t="s">
        <v>56</v>
      </c>
    </row>
    <row r="81">
      <c r="A81" s="4" t="s">
        <v>500</v>
      </c>
    </row>
    <row r="82">
      <c r="A82" s="4" t="s">
        <v>33</v>
      </c>
    </row>
    <row r="83">
      <c r="A83" s="4" t="s">
        <v>34</v>
      </c>
    </row>
    <row r="84">
      <c r="A84" s="4" t="s">
        <v>88</v>
      </c>
    </row>
    <row r="85">
      <c r="A85" s="4" t="s">
        <v>89</v>
      </c>
    </row>
    <row r="86">
      <c r="A86" s="4" t="s">
        <v>90</v>
      </c>
    </row>
    <row r="87">
      <c r="A87" s="4" t="s">
        <v>33</v>
      </c>
    </row>
    <row r="88">
      <c r="A88" s="4" t="s">
        <v>34</v>
      </c>
    </row>
    <row r="89">
      <c r="A89" s="4" t="s">
        <v>36</v>
      </c>
    </row>
    <row r="90">
      <c r="A90" s="4" t="s">
        <v>3569</v>
      </c>
    </row>
    <row r="91">
      <c r="A91" s="4" t="s">
        <v>75</v>
      </c>
    </row>
    <row r="92">
      <c r="A92" s="4" t="s">
        <v>128</v>
      </c>
    </row>
    <row r="93">
      <c r="A93" s="4" t="s">
        <v>101</v>
      </c>
    </row>
    <row r="94">
      <c r="A94" s="4" t="s">
        <v>48</v>
      </c>
    </row>
    <row r="95">
      <c r="A95" s="4" t="s">
        <v>88</v>
      </c>
    </row>
    <row r="96">
      <c r="A96" s="4" t="s">
        <v>75</v>
      </c>
    </row>
    <row r="97">
      <c r="A97" s="4" t="s">
        <v>33</v>
      </c>
    </row>
    <row r="98">
      <c r="A98" s="4" t="s">
        <v>34</v>
      </c>
    </row>
    <row r="99">
      <c r="A99" s="4" t="s">
        <v>36</v>
      </c>
    </row>
    <row r="100">
      <c r="A100" s="4" t="s">
        <v>3570</v>
      </c>
    </row>
    <row r="101">
      <c r="A101" s="4" t="s">
        <v>41</v>
      </c>
    </row>
    <row r="102">
      <c r="A102" s="4" t="s">
        <v>1503</v>
      </c>
    </row>
    <row r="103">
      <c r="A103" s="4" t="s">
        <v>88</v>
      </c>
    </row>
    <row r="104">
      <c r="A104" s="4" t="s">
        <v>40</v>
      </c>
    </row>
    <row r="105">
      <c r="A105" s="4" t="s">
        <v>75</v>
      </c>
    </row>
    <row r="106">
      <c r="A106" s="4" t="s">
        <v>33</v>
      </c>
    </row>
    <row r="107">
      <c r="A107" s="4" t="s">
        <v>34</v>
      </c>
    </row>
    <row r="108">
      <c r="A108" s="4" t="s">
        <v>61</v>
      </c>
    </row>
    <row r="109">
      <c r="A109" s="4" t="s">
        <v>33</v>
      </c>
    </row>
    <row r="110">
      <c r="A110" s="4" t="s">
        <v>102</v>
      </c>
    </row>
    <row r="111">
      <c r="A111" s="4" t="s">
        <v>88</v>
      </c>
    </row>
    <row r="112">
      <c r="A112" s="4" t="s">
        <v>75</v>
      </c>
    </row>
    <row r="113">
      <c r="A113" s="4" t="s">
        <v>48</v>
      </c>
    </row>
    <row r="114">
      <c r="A114" s="4" t="s">
        <v>35</v>
      </c>
    </row>
    <row r="115">
      <c r="A115" s="4" t="s">
        <v>1218</v>
      </c>
    </row>
    <row r="116">
      <c r="A116" s="4" t="s">
        <v>44</v>
      </c>
    </row>
    <row r="117">
      <c r="A117" s="4" t="s">
        <v>513</v>
      </c>
    </row>
    <row r="118">
      <c r="A118" s="4" t="s">
        <v>902</v>
      </c>
    </row>
    <row r="119">
      <c r="A119" s="4" t="s">
        <v>518</v>
      </c>
    </row>
    <row r="120">
      <c r="A120" s="4" t="s">
        <v>3571</v>
      </c>
    </row>
    <row r="121">
      <c r="A121" s="4" t="s">
        <v>3572</v>
      </c>
    </row>
    <row r="122">
      <c r="A122" s="4" t="s">
        <v>33</v>
      </c>
    </row>
    <row r="123">
      <c r="A123" s="4" t="s">
        <v>108</v>
      </c>
    </row>
    <row r="124">
      <c r="A124" s="4" t="s">
        <v>50</v>
      </c>
    </row>
    <row r="125">
      <c r="A125" s="4" t="s">
        <v>40</v>
      </c>
    </row>
    <row r="126">
      <c r="A126" s="4" t="s">
        <v>129</v>
      </c>
    </row>
    <row r="127">
      <c r="A127" s="4" t="s">
        <v>56</v>
      </c>
    </row>
    <row r="128">
      <c r="A128" s="4" t="s">
        <v>146</v>
      </c>
    </row>
    <row r="129">
      <c r="A129" s="4" t="s">
        <v>48</v>
      </c>
    </row>
    <row r="130">
      <c r="A130" s="4" t="s">
        <v>957</v>
      </c>
    </row>
    <row r="131">
      <c r="A131" s="4" t="s">
        <v>33</v>
      </c>
    </row>
    <row r="132">
      <c r="A132" s="4" t="s">
        <v>144</v>
      </c>
    </row>
    <row r="133">
      <c r="A133" s="4" t="s">
        <v>149</v>
      </c>
    </row>
    <row r="134">
      <c r="A134" s="4" t="s">
        <v>44</v>
      </c>
    </row>
    <row r="135">
      <c r="A135" s="4" t="s">
        <v>3573</v>
      </c>
    </row>
    <row r="136">
      <c r="A136" s="4" t="s">
        <v>33</v>
      </c>
    </row>
    <row r="137">
      <c r="A137" s="4" t="s">
        <v>158</v>
      </c>
    </row>
    <row r="138">
      <c r="A138" s="4" t="s">
        <v>50</v>
      </c>
    </row>
    <row r="139">
      <c r="A139" s="4" t="s">
        <v>40</v>
      </c>
    </row>
    <row r="140">
      <c r="A140" s="4" t="s">
        <v>33</v>
      </c>
    </row>
    <row r="141">
      <c r="A141" s="4" t="s">
        <v>112</v>
      </c>
    </row>
    <row r="142">
      <c r="A142" s="4" t="s">
        <v>41</v>
      </c>
    </row>
    <row r="143">
      <c r="A143" s="4" t="s">
        <v>3574</v>
      </c>
    </row>
    <row r="144">
      <c r="A144" s="4" t="s">
        <v>44</v>
      </c>
    </row>
    <row r="145">
      <c r="A145" s="4" t="s">
        <v>3575</v>
      </c>
    </row>
    <row r="146">
      <c r="A146" s="4" t="s">
        <v>3576</v>
      </c>
    </row>
    <row r="147">
      <c r="A147" s="4" t="s">
        <v>62</v>
      </c>
    </row>
    <row r="148">
      <c r="A148" s="4" t="s">
        <v>63</v>
      </c>
    </row>
    <row r="149">
      <c r="A149" s="4" t="s">
        <v>64</v>
      </c>
    </row>
    <row r="150">
      <c r="A150" s="4" t="s">
        <v>35</v>
      </c>
    </row>
    <row r="151">
      <c r="A151" s="4" t="s">
        <v>65</v>
      </c>
    </row>
    <row r="152">
      <c r="A152" s="4" t="s">
        <v>88</v>
      </c>
    </row>
    <row r="153">
      <c r="A153" s="4" t="s">
        <v>89</v>
      </c>
    </row>
    <row r="154">
      <c r="A154" s="4" t="s">
        <v>33</v>
      </c>
    </row>
    <row r="155">
      <c r="A155" s="4" t="s">
        <v>34</v>
      </c>
    </row>
    <row r="156">
      <c r="A156" s="4" t="s">
        <v>80</v>
      </c>
    </row>
    <row r="157">
      <c r="A157" s="4" t="s">
        <v>155</v>
      </c>
    </row>
    <row r="158">
      <c r="A158" s="4" t="s">
        <v>3577</v>
      </c>
    </row>
    <row r="159">
      <c r="A159" s="4" t="s">
        <v>157</v>
      </c>
    </row>
    <row r="160">
      <c r="A160" s="4" t="s">
        <v>33</v>
      </c>
    </row>
    <row r="161">
      <c r="A161" s="4" t="s">
        <v>48</v>
      </c>
    </row>
    <row r="162">
      <c r="A162" s="4" t="s">
        <v>147</v>
      </c>
    </row>
    <row r="163">
      <c r="A163" s="4" t="s">
        <v>80</v>
      </c>
    </row>
    <row r="164">
      <c r="A164" s="4" t="s">
        <v>866</v>
      </c>
    </row>
    <row r="165">
      <c r="A165" s="4" t="s">
        <v>61</v>
      </c>
    </row>
    <row r="166">
      <c r="A166" s="4" t="s">
        <v>33</v>
      </c>
    </row>
    <row r="167">
      <c r="A167" s="4" t="s">
        <v>144</v>
      </c>
    </row>
    <row r="168">
      <c r="A168" s="4" t="s">
        <v>50</v>
      </c>
    </row>
    <row r="169">
      <c r="A169" s="4" t="s">
        <v>40</v>
      </c>
    </row>
    <row r="170">
      <c r="A170" s="4" t="s">
        <v>33</v>
      </c>
    </row>
    <row r="171">
      <c r="A171" s="4" t="s">
        <v>34</v>
      </c>
    </row>
    <row r="172">
      <c r="A172" s="4" t="s">
        <v>88</v>
      </c>
    </row>
    <row r="173">
      <c r="A173" s="4" t="s">
        <v>89</v>
      </c>
    </row>
    <row r="174">
      <c r="A174" s="4" t="s">
        <v>48</v>
      </c>
    </row>
    <row r="175">
      <c r="A175" s="4" t="s">
        <v>35</v>
      </c>
    </row>
    <row r="176">
      <c r="A176" s="4" t="s">
        <v>107</v>
      </c>
    </row>
    <row r="177">
      <c r="A177" s="4" t="s">
        <v>41</v>
      </c>
    </row>
    <row r="178">
      <c r="A178" s="4" t="s">
        <v>42</v>
      </c>
    </row>
    <row r="179">
      <c r="A179" s="4" t="s">
        <v>90</v>
      </c>
    </row>
    <row r="180">
      <c r="A180" s="4" t="s">
        <v>33</v>
      </c>
    </row>
    <row r="181">
      <c r="A181" s="4" t="s">
        <v>34</v>
      </c>
    </row>
    <row r="182">
      <c r="A182" s="4" t="s">
        <v>88</v>
      </c>
    </row>
    <row r="183">
      <c r="A183" s="4" t="s">
        <v>89</v>
      </c>
    </row>
    <row r="184">
      <c r="A184" s="4" t="s">
        <v>33</v>
      </c>
    </row>
    <row r="185">
      <c r="A185" s="4" t="s">
        <v>34</v>
      </c>
    </row>
    <row r="186">
      <c r="A186" s="4" t="s">
        <v>132</v>
      </c>
    </row>
    <row r="187">
      <c r="A187" s="4" t="s">
        <v>883</v>
      </c>
    </row>
    <row r="188">
      <c r="A188" s="4" t="s">
        <v>88</v>
      </c>
    </row>
    <row r="189">
      <c r="A189" s="4" t="s">
        <v>89</v>
      </c>
    </row>
    <row r="190">
      <c r="A190" s="4" t="s">
        <v>33</v>
      </c>
    </row>
    <row r="191">
      <c r="A191" s="4" t="s">
        <v>34</v>
      </c>
    </row>
    <row r="192">
      <c r="A192" s="4" t="s">
        <v>35</v>
      </c>
    </row>
    <row r="193">
      <c r="A193" s="4" t="s">
        <v>36</v>
      </c>
    </row>
    <row r="194">
      <c r="A194" s="4" t="s">
        <v>3578</v>
      </c>
    </row>
    <row r="195">
      <c r="A195" s="4" t="s">
        <v>44</v>
      </c>
    </row>
    <row r="196">
      <c r="A196" s="4" t="s">
        <v>3579</v>
      </c>
    </row>
    <row r="197">
      <c r="A197" s="4" t="s">
        <v>88</v>
      </c>
    </row>
    <row r="198">
      <c r="A198" s="4" t="s">
        <v>89</v>
      </c>
    </row>
    <row r="199">
      <c r="A199" s="4" t="s">
        <v>33</v>
      </c>
    </row>
    <row r="200">
      <c r="A200" s="4" t="s">
        <v>34</v>
      </c>
    </row>
    <row r="201">
      <c r="A201" s="4" t="s">
        <v>90</v>
      </c>
    </row>
    <row r="202">
      <c r="A202" s="4" t="s">
        <v>33</v>
      </c>
    </row>
    <row r="203">
      <c r="A203" s="4" t="s">
        <v>34</v>
      </c>
    </row>
    <row r="204">
      <c r="A204" s="4" t="s">
        <v>80</v>
      </c>
    </row>
    <row r="205">
      <c r="A205" s="4" t="s">
        <v>37</v>
      </c>
    </row>
    <row r="206">
      <c r="A206" s="4" t="s">
        <v>38</v>
      </c>
    </row>
    <row r="207">
      <c r="A207" s="4" t="s">
        <v>62</v>
      </c>
    </row>
    <row r="208">
      <c r="A208" s="4" t="s">
        <v>153</v>
      </c>
    </row>
    <row r="209">
      <c r="A209" s="4" t="s">
        <v>83</v>
      </c>
    </row>
    <row r="210">
      <c r="A210" s="4" t="s">
        <v>2614</v>
      </c>
    </row>
    <row r="211">
      <c r="A211" s="4" t="s">
        <v>40</v>
      </c>
    </row>
    <row r="212">
      <c r="A212" s="4" t="s">
        <v>128</v>
      </c>
    </row>
    <row r="213">
      <c r="A213" s="4" t="s">
        <v>3580</v>
      </c>
    </row>
    <row r="214">
      <c r="A214" s="4" t="s">
        <v>57</v>
      </c>
    </row>
    <row r="215">
      <c r="A215" s="4" t="s">
        <v>33</v>
      </c>
    </row>
    <row r="216">
      <c r="A216" s="4" t="s">
        <v>34</v>
      </c>
    </row>
    <row r="217">
      <c r="A217" s="4" t="s">
        <v>40</v>
      </c>
    </row>
    <row r="218">
      <c r="A218" s="4" t="s">
        <v>75</v>
      </c>
    </row>
    <row r="219">
      <c r="A219" s="4" t="s">
        <v>100</v>
      </c>
    </row>
    <row r="220">
      <c r="A220" s="4" t="s">
        <v>90</v>
      </c>
    </row>
    <row r="221">
      <c r="A221" s="4" t="s">
        <v>33</v>
      </c>
    </row>
    <row r="222">
      <c r="A222" s="4" t="s">
        <v>34</v>
      </c>
    </row>
    <row r="223">
      <c r="A223" s="4" t="s">
        <v>36</v>
      </c>
    </row>
    <row r="224">
      <c r="A224" s="4" t="s">
        <v>108</v>
      </c>
    </row>
    <row r="225">
      <c r="A225" s="4" t="s">
        <v>88</v>
      </c>
    </row>
    <row r="226">
      <c r="A226" s="4" t="s">
        <v>89</v>
      </c>
    </row>
    <row r="227">
      <c r="A227" s="4" t="s">
        <v>33</v>
      </c>
    </row>
    <row r="228">
      <c r="A228" s="4" t="s">
        <v>34</v>
      </c>
    </row>
    <row r="229">
      <c r="A229" s="4" t="s">
        <v>136</v>
      </c>
    </row>
    <row r="230">
      <c r="A230" s="4" t="s">
        <v>137</v>
      </c>
    </row>
    <row r="231">
      <c r="A231" s="4" t="s">
        <v>48</v>
      </c>
    </row>
    <row r="232">
      <c r="A232" s="4" t="s">
        <v>3581</v>
      </c>
    </row>
    <row r="233">
      <c r="A233" s="4" t="s">
        <v>33</v>
      </c>
    </row>
    <row r="234">
      <c r="A234" s="4" t="s">
        <v>36</v>
      </c>
    </row>
    <row r="235">
      <c r="A235" s="4" t="s">
        <v>102</v>
      </c>
    </row>
    <row r="236">
      <c r="A236" s="4" t="s">
        <v>35</v>
      </c>
    </row>
    <row r="237">
      <c r="A237" s="4" t="s">
        <v>65</v>
      </c>
    </row>
    <row r="238">
      <c r="A238" s="4" t="s">
        <v>33</v>
      </c>
    </row>
    <row r="239">
      <c r="A239" s="4" t="s">
        <v>158</v>
      </c>
    </row>
    <row r="240">
      <c r="A240" s="4" t="s">
        <v>2617</v>
      </c>
    </row>
    <row r="241">
      <c r="A241" s="4" t="s">
        <v>44</v>
      </c>
    </row>
    <row r="242">
      <c r="A242" s="4" t="s">
        <v>119</v>
      </c>
    </row>
    <row r="243">
      <c r="A243" s="4" t="s">
        <v>62</v>
      </c>
    </row>
    <row r="244">
      <c r="A244" s="4" t="s">
        <v>3582</v>
      </c>
    </row>
    <row r="245">
      <c r="A245" s="4" t="s">
        <v>62</v>
      </c>
    </row>
    <row r="246">
      <c r="A246" s="4" t="s">
        <v>63</v>
      </c>
    </row>
    <row r="247">
      <c r="A247" s="4" t="s">
        <v>506</v>
      </c>
    </row>
    <row r="248">
      <c r="A248" s="4" t="s">
        <v>35</v>
      </c>
    </row>
    <row r="249">
      <c r="A249" s="4" t="s">
        <v>65</v>
      </c>
    </row>
    <row r="250">
      <c r="A250" s="4" t="s">
        <v>88</v>
      </c>
    </row>
    <row r="251">
      <c r="A251" s="4" t="s">
        <v>89</v>
      </c>
    </row>
    <row r="252">
      <c r="A252" s="4" t="s">
        <v>62</v>
      </c>
    </row>
    <row r="253">
      <c r="A253" s="4" t="s">
        <v>64</v>
      </c>
    </row>
    <row r="254">
      <c r="A254" s="4" t="s">
        <v>63</v>
      </c>
    </row>
    <row r="255">
      <c r="A255" s="4" t="s">
        <v>35</v>
      </c>
    </row>
    <row r="256">
      <c r="A256" s="4" t="s">
        <v>65</v>
      </c>
    </row>
    <row r="257">
      <c r="A257" s="4" t="s">
        <v>1505</v>
      </c>
    </row>
    <row r="258">
      <c r="A258" s="4" t="s">
        <v>139</v>
      </c>
    </row>
    <row r="259">
      <c r="A259" s="4" t="s">
        <v>129</v>
      </c>
    </row>
    <row r="260">
      <c r="A260" s="4" t="s">
        <v>109</v>
      </c>
    </row>
    <row r="261">
      <c r="A261" s="4" t="s">
        <v>119</v>
      </c>
    </row>
    <row r="262">
      <c r="A262" s="4" t="s">
        <v>62</v>
      </c>
    </row>
    <row r="263">
      <c r="A263" s="4" t="s">
        <v>2608</v>
      </c>
    </row>
    <row r="264">
      <c r="A264" s="4" t="s">
        <v>33</v>
      </c>
    </row>
    <row r="265">
      <c r="A265" s="4" t="s">
        <v>34</v>
      </c>
    </row>
    <row r="266">
      <c r="A266" s="4" t="s">
        <v>62</v>
      </c>
    </row>
    <row r="267">
      <c r="A267" s="4" t="s">
        <v>1363</v>
      </c>
    </row>
    <row r="268">
      <c r="A268" s="4" t="s">
        <v>1356</v>
      </c>
    </row>
    <row r="269">
      <c r="A269" s="4" t="s">
        <v>2993</v>
      </c>
    </row>
    <row r="270">
      <c r="A270" s="4" t="s">
        <v>115</v>
      </c>
    </row>
    <row r="271">
      <c r="A271" s="4" t="s">
        <v>970</v>
      </c>
    </row>
    <row r="272">
      <c r="A272" s="4" t="s">
        <v>33</v>
      </c>
    </row>
    <row r="273">
      <c r="A273" s="4" t="s">
        <v>34</v>
      </c>
    </row>
    <row r="274">
      <c r="A274" s="4" t="s">
        <v>35</v>
      </c>
    </row>
    <row r="275">
      <c r="A275" s="4" t="s">
        <v>65</v>
      </c>
    </row>
    <row r="276">
      <c r="A276" s="4" t="s">
        <v>90</v>
      </c>
    </row>
    <row r="277">
      <c r="A277" s="4" t="s">
        <v>33</v>
      </c>
    </row>
    <row r="278">
      <c r="A278" s="4" t="s">
        <v>34</v>
      </c>
    </row>
    <row r="279">
      <c r="A279" s="4" t="s">
        <v>88</v>
      </c>
    </row>
    <row r="280">
      <c r="A280" s="4" t="s">
        <v>89</v>
      </c>
    </row>
    <row r="281">
      <c r="A281" s="4" t="s">
        <v>62</v>
      </c>
    </row>
    <row r="282">
      <c r="A282" s="4" t="s">
        <v>63</v>
      </c>
    </row>
    <row r="283">
      <c r="A283" s="4" t="s">
        <v>64</v>
      </c>
    </row>
    <row r="284">
      <c r="A284" s="4" t="s">
        <v>35</v>
      </c>
    </row>
    <row r="285">
      <c r="A285" s="4" t="s">
        <v>65</v>
      </c>
    </row>
    <row r="286">
      <c r="A286" s="4" t="s">
        <v>128</v>
      </c>
    </row>
    <row r="287">
      <c r="A287" s="4" t="s">
        <v>49</v>
      </c>
    </row>
    <row r="288">
      <c r="A288" s="4" t="s">
        <v>48</v>
      </c>
    </row>
    <row r="289">
      <c r="A289" s="4" t="s">
        <v>147</v>
      </c>
    </row>
    <row r="290">
      <c r="A290" s="4" t="s">
        <v>129</v>
      </c>
    </row>
    <row r="291">
      <c r="A291" s="4" t="s">
        <v>109</v>
      </c>
    </row>
    <row r="292">
      <c r="A292" s="4" t="s">
        <v>119</v>
      </c>
    </row>
    <row r="293">
      <c r="A293" s="4" t="s">
        <v>62</v>
      </c>
    </row>
    <row r="294">
      <c r="A294" s="4" t="s">
        <v>2608</v>
      </c>
    </row>
    <row r="295">
      <c r="A295" s="4" t="s">
        <v>33</v>
      </c>
    </row>
    <row r="296">
      <c r="A296" s="4" t="s">
        <v>34</v>
      </c>
    </row>
    <row r="297">
      <c r="A297" s="4" t="s">
        <v>62</v>
      </c>
    </row>
    <row r="298">
      <c r="A298" s="4" t="s">
        <v>1363</v>
      </c>
    </row>
    <row r="299">
      <c r="A299" s="4" t="s">
        <v>1356</v>
      </c>
    </row>
    <row r="300">
      <c r="A300" s="4" t="s">
        <v>2993</v>
      </c>
    </row>
    <row r="301">
      <c r="A301" s="4" t="s">
        <v>115</v>
      </c>
    </row>
    <row r="302">
      <c r="A302" s="4" t="s">
        <v>970</v>
      </c>
    </row>
    <row r="303">
      <c r="A303" s="4" t="s">
        <v>33</v>
      </c>
    </row>
    <row r="304">
      <c r="A304" s="4" t="s">
        <v>34</v>
      </c>
    </row>
    <row r="305">
      <c r="A305" s="4" t="s">
        <v>88</v>
      </c>
    </row>
    <row r="306">
      <c r="A306" s="4" t="s">
        <v>89</v>
      </c>
    </row>
    <row r="307">
      <c r="A307" s="4" t="s">
        <v>48</v>
      </c>
    </row>
    <row r="308">
      <c r="A308" s="4" t="s">
        <v>35</v>
      </c>
    </row>
    <row r="309">
      <c r="A309" s="4" t="s">
        <v>107</v>
      </c>
    </row>
    <row r="310">
      <c r="A310" s="4" t="s">
        <v>41</v>
      </c>
    </row>
    <row r="311">
      <c r="A311" s="4" t="s">
        <v>42</v>
      </c>
    </row>
    <row r="312">
      <c r="A312" s="4" t="s">
        <v>33</v>
      </c>
    </row>
    <row r="313">
      <c r="A313" s="4" t="s">
        <v>34</v>
      </c>
    </row>
    <row r="314">
      <c r="A314" s="4" t="s">
        <v>40</v>
      </c>
    </row>
    <row r="315">
      <c r="A315" s="4" t="s">
        <v>53</v>
      </c>
    </row>
    <row r="316">
      <c r="A316" s="4" t="s">
        <v>62</v>
      </c>
    </row>
    <row r="317">
      <c r="A317" s="4" t="s">
        <v>63</v>
      </c>
    </row>
    <row r="318">
      <c r="A318" s="4" t="s">
        <v>64</v>
      </c>
    </row>
    <row r="319">
      <c r="A319" s="4" t="s">
        <v>35</v>
      </c>
    </row>
    <row r="320">
      <c r="A320" s="4" t="s">
        <v>65</v>
      </c>
    </row>
    <row r="321">
      <c r="A321" s="4" t="s">
        <v>88</v>
      </c>
    </row>
    <row r="322">
      <c r="A322" s="4" t="s">
        <v>89</v>
      </c>
    </row>
    <row r="323">
      <c r="A323" s="4" t="s">
        <v>48</v>
      </c>
    </row>
    <row r="324">
      <c r="A324" s="4" t="s">
        <v>35</v>
      </c>
    </row>
    <row r="325">
      <c r="A325" s="4" t="s">
        <v>40</v>
      </c>
    </row>
    <row r="326">
      <c r="A326" s="4" t="s">
        <v>147</v>
      </c>
    </row>
    <row r="327">
      <c r="A327" s="4" t="s">
        <v>961</v>
      </c>
    </row>
    <row r="328">
      <c r="A328" s="4" t="s">
        <v>33</v>
      </c>
    </row>
    <row r="329">
      <c r="A329" s="4" t="s">
        <v>36</v>
      </c>
    </row>
    <row r="330">
      <c r="A330" s="4" t="s">
        <v>102</v>
      </c>
    </row>
    <row r="331">
      <c r="A331" s="4" t="s">
        <v>2617</v>
      </c>
    </row>
    <row r="332">
      <c r="A332" s="4" t="s">
        <v>44</v>
      </c>
    </row>
    <row r="333">
      <c r="A333" s="4" t="s">
        <v>2604</v>
      </c>
    </row>
    <row r="334">
      <c r="A334" s="4" t="s">
        <v>33</v>
      </c>
    </row>
    <row r="335">
      <c r="A335" s="4" t="s">
        <v>34</v>
      </c>
    </row>
    <row r="336">
      <c r="A336" s="4" t="s">
        <v>36</v>
      </c>
    </row>
    <row r="337">
      <c r="A337" s="4" t="s">
        <v>3583</v>
      </c>
    </row>
    <row r="338">
      <c r="A338" s="4" t="s">
        <v>41</v>
      </c>
    </row>
    <row r="339">
      <c r="A339" s="4" t="s">
        <v>908</v>
      </c>
    </row>
    <row r="340">
      <c r="A340" s="4" t="s">
        <v>88</v>
      </c>
    </row>
    <row r="341">
      <c r="A341" s="4" t="s">
        <v>75</v>
      </c>
    </row>
    <row r="342">
      <c r="A342" s="4" t="s">
        <v>48</v>
      </c>
    </row>
    <row r="343">
      <c r="A343" s="4" t="s">
        <v>35</v>
      </c>
    </row>
    <row r="344">
      <c r="A344" s="4" t="s">
        <v>107</v>
      </c>
    </row>
    <row r="345">
      <c r="A345" s="4" t="s">
        <v>41</v>
      </c>
    </row>
    <row r="346">
      <c r="A346" s="4" t="s">
        <v>42</v>
      </c>
    </row>
    <row r="347">
      <c r="A347" s="4" t="s">
        <v>33</v>
      </c>
    </row>
    <row r="348">
      <c r="A348" s="4" t="s">
        <v>34</v>
      </c>
    </row>
    <row r="349">
      <c r="A349" s="4" t="s">
        <v>88</v>
      </c>
    </row>
    <row r="350">
      <c r="A350" s="4" t="s">
        <v>89</v>
      </c>
    </row>
    <row r="351">
      <c r="A351" s="4" t="s">
        <v>48</v>
      </c>
    </row>
    <row r="352">
      <c r="A352" s="4" t="s">
        <v>35</v>
      </c>
    </row>
    <row r="353">
      <c r="A353" s="4" t="s">
        <v>107</v>
      </c>
    </row>
    <row r="354">
      <c r="A354" s="4" t="s">
        <v>41</v>
      </c>
    </row>
    <row r="355">
      <c r="A355" s="4" t="s">
        <v>42</v>
      </c>
    </row>
    <row r="356">
      <c r="A356" s="4" t="s">
        <v>33</v>
      </c>
    </row>
    <row r="357">
      <c r="A357" s="4" t="s">
        <v>34</v>
      </c>
    </row>
    <row r="358">
      <c r="A358" s="4" t="s">
        <v>96</v>
      </c>
    </row>
    <row r="359">
      <c r="A359" s="4" t="s">
        <v>35</v>
      </c>
    </row>
    <row r="360">
      <c r="A360" s="4" t="s">
        <v>65</v>
      </c>
    </row>
    <row r="361">
      <c r="A361" s="4" t="s">
        <v>121</v>
      </c>
    </row>
    <row r="362">
      <c r="A362" s="4" t="s">
        <v>92</v>
      </c>
    </row>
    <row r="363">
      <c r="A363" s="4" t="s">
        <v>122</v>
      </c>
    </row>
    <row r="364">
      <c r="A364" s="4" t="s">
        <v>537</v>
      </c>
    </row>
    <row r="365">
      <c r="A365" s="4" t="s">
        <v>33</v>
      </c>
    </row>
    <row r="366">
      <c r="A366" s="4" t="s">
        <v>112</v>
      </c>
    </row>
    <row r="367">
      <c r="A367" s="4" t="s">
        <v>129</v>
      </c>
    </row>
    <row r="368">
      <c r="A368" s="4" t="s">
        <v>3584</v>
      </c>
    </row>
    <row r="369">
      <c r="A369" s="4" t="s">
        <v>51</v>
      </c>
    </row>
    <row r="370">
      <c r="A370" s="4" t="s">
        <v>131</v>
      </c>
    </row>
    <row r="371">
      <c r="A371" s="4" t="s">
        <v>3585</v>
      </c>
    </row>
    <row r="372">
      <c r="A372" s="4" t="s">
        <v>75</v>
      </c>
    </row>
    <row r="373">
      <c r="A373" s="4" t="s">
        <v>966</v>
      </c>
    </row>
    <row r="374">
      <c r="A374" s="4" t="s">
        <v>3582</v>
      </c>
    </row>
    <row r="375">
      <c r="A375" s="4" t="s">
        <v>33</v>
      </c>
    </row>
    <row r="376">
      <c r="A376" s="4" t="s">
        <v>144</v>
      </c>
    </row>
    <row r="377">
      <c r="A377" s="4" t="s">
        <v>140</v>
      </c>
    </row>
    <row r="378">
      <c r="A378" s="4" t="s">
        <v>139</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2848</v>
      </c>
      <c r="D2" s="4" t="str">
        <f t="shared" ref="D2:D378" si="1">C2</f>
        <v>{"valorA":"me","valorB":1}</v>
      </c>
      <c r="E2" s="8" t="str">
        <f t="shared" ref="E2:E378" si="2">SUBSTITUTE(MID(C2,FIND(":",C2)+1,FIND(",",C2)-FIND(":",C2)-1),"""","")</f>
        <v>me</v>
      </c>
      <c r="F2" s="8" t="str">
        <f>IFERROR(__xludf.DUMMYFUNCTION("UNIQUE(E2:E378)"),"me")</f>
        <v>me</v>
      </c>
      <c r="G2" s="8" t="str">
        <f t="shared" ref="G2:G378" si="3">MID(C2,FIND("valorB",C2)+8,FIND("}",C2)-FIND("valorB",C2)-8)</f>
        <v>1</v>
      </c>
      <c r="H2" s="9">
        <f t="shared" ref="H2:H378" si="4">VALUE(SUBSTITUTE(G2,".",","))</f>
        <v>1</v>
      </c>
      <c r="I2" s="10">
        <f>IFERROR(__xludf.DUMMYFUNCTION("MAX(FILTER($H$2:$H378,$E$2:$E378=F2))"),2.0)</f>
        <v>2</v>
      </c>
    </row>
    <row r="3">
      <c r="A3" s="4"/>
      <c r="C3" s="4" t="s">
        <v>2642</v>
      </c>
      <c r="D3" s="4" t="str">
        <f t="shared" si="1"/>
        <v>{"valorA":"que","valorB":1}</v>
      </c>
      <c r="E3" s="8" t="str">
        <f t="shared" si="2"/>
        <v>que</v>
      </c>
      <c r="F3" s="8" t="str">
        <f>IFERROR(__xludf.DUMMYFUNCTION("""COMPUTED_VALUE"""),"que")</f>
        <v>que</v>
      </c>
      <c r="G3" s="8" t="str">
        <f t="shared" si="3"/>
        <v>1</v>
      </c>
      <c r="H3" s="9">
        <f t="shared" si="4"/>
        <v>1</v>
      </c>
      <c r="I3" s="10">
        <f>IFERROR(__xludf.DUMMYFUNCTION("MAX(FILTER($H$2:$H378,$E$2:$E378=F3))"),3.0)</f>
        <v>3</v>
      </c>
    </row>
    <row r="4">
      <c r="A4" s="4"/>
      <c r="C4" s="4" t="s">
        <v>2680</v>
      </c>
      <c r="D4" s="4" t="str">
        <f t="shared" si="1"/>
        <v>{"valorA":"de","valorB":1}</v>
      </c>
      <c r="E4" s="8" t="str">
        <f t="shared" si="2"/>
        <v>de</v>
      </c>
      <c r="F4" s="8" t="str">
        <f>IFERROR(__xludf.DUMMYFUNCTION("""COMPUTED_VALUE"""),"de")</f>
        <v>de</v>
      </c>
      <c r="G4" s="8" t="str">
        <f t="shared" si="3"/>
        <v>1</v>
      </c>
      <c r="H4" s="9">
        <f t="shared" si="4"/>
        <v>1</v>
      </c>
      <c r="I4" s="10">
        <f>IFERROR(__xludf.DUMMYFUNCTION("MAX(FILTER($H$2:$H378,$E$2:$E378=F4))"),10.0)</f>
        <v>10</v>
      </c>
    </row>
    <row r="5">
      <c r="A5" s="4"/>
      <c r="C5" s="4" t="s">
        <v>2743</v>
      </c>
      <c r="D5" s="4" t="str">
        <f t="shared" si="1"/>
        <v>{"valorA":"relojoeira","valorB":1}</v>
      </c>
      <c r="E5" s="8" t="str">
        <f t="shared" si="2"/>
        <v>relojoeira</v>
      </c>
      <c r="F5" s="8" t="str">
        <f>IFERROR(__xludf.DUMMYFUNCTION("""COMPUTED_VALUE"""),"relojoeira")</f>
        <v>relojoeira</v>
      </c>
      <c r="G5" s="8" t="str">
        <f t="shared" si="3"/>
        <v>1</v>
      </c>
      <c r="H5" s="9">
        <f t="shared" si="4"/>
        <v>1</v>
      </c>
      <c r="I5" s="10">
        <f>IFERROR(__xludf.DUMMYFUNCTION("MAX(FILTER($H$2:$H378,$E$2:$E378=F5))"),5.0)</f>
        <v>5</v>
      </c>
    </row>
    <row r="6">
      <c r="A6" s="4"/>
      <c r="C6" s="4" t="s">
        <v>2628</v>
      </c>
      <c r="D6" s="4" t="str">
        <f t="shared" si="1"/>
        <v>{"valorA":"gostei","valorB":1}</v>
      </c>
      <c r="E6" s="8" t="str">
        <f t="shared" si="2"/>
        <v>gostei</v>
      </c>
      <c r="F6" s="8" t="str">
        <f>IFERROR(__xludf.DUMMYFUNCTION("""COMPUTED_VALUE"""),"gostei")</f>
        <v>gostei</v>
      </c>
      <c r="G6" s="8" t="str">
        <f t="shared" si="3"/>
        <v>1</v>
      </c>
      <c r="H6" s="9">
        <f t="shared" si="4"/>
        <v>1</v>
      </c>
      <c r="I6" s="10">
        <f>IFERROR(__xludf.DUMMYFUNCTION("MAX(FILTER($H$2:$H378,$E$2:$E378=F6))"),6.0)</f>
        <v>6</v>
      </c>
    </row>
    <row r="7">
      <c r="A7" s="4"/>
      <c r="C7" s="4" t="s">
        <v>2919</v>
      </c>
      <c r="D7" s="4" t="str">
        <f t="shared" si="1"/>
        <v>{"valorA":"da","valorB":1}</v>
      </c>
      <c r="E7" s="8" t="str">
        <f t="shared" si="2"/>
        <v>da</v>
      </c>
      <c r="F7" s="8" t="str">
        <f>IFERROR(__xludf.DUMMYFUNCTION("""COMPUTED_VALUE"""),"da")</f>
        <v>da</v>
      </c>
      <c r="G7" s="8" t="str">
        <f t="shared" si="3"/>
        <v>1</v>
      </c>
      <c r="H7" s="9">
        <f t="shared" si="4"/>
        <v>1</v>
      </c>
      <c r="I7" s="10">
        <f>IFERROR(__xludf.DUMMYFUNCTION("MAX(FILTER($H$2:$H378,$E$2:$E378=F7))"),2.0)</f>
        <v>2</v>
      </c>
    </row>
    <row r="8">
      <c r="A8" s="4"/>
      <c r="C8" s="4" t="s">
        <v>3586</v>
      </c>
      <c r="D8" s="4" t="str">
        <f t="shared" si="1"/>
        <v>{"valorA":"delicioso","valorB":1}</v>
      </c>
      <c r="E8" s="8" t="str">
        <f t="shared" si="2"/>
        <v>delicioso</v>
      </c>
      <c r="F8" s="8" t="str">
        <f>IFERROR(__xludf.DUMMYFUNCTION("""COMPUTED_VALUE"""),"delicioso")</f>
        <v>delicioso</v>
      </c>
      <c r="G8" s="8" t="str">
        <f t="shared" si="3"/>
        <v>1</v>
      </c>
      <c r="H8" s="9">
        <f t="shared" si="4"/>
        <v>1</v>
      </c>
      <c r="I8" s="10">
        <f>IFERROR(__xludf.DUMMYFUNCTION("MAX(FILTER($H$2:$H378,$E$2:$E378=F8))"),1.0)</f>
        <v>1</v>
      </c>
    </row>
    <row r="9">
      <c r="A9" s="4"/>
      <c r="C9" s="4" t="s">
        <v>2703</v>
      </c>
      <c r="D9" s="4" t="str">
        <f t="shared" si="1"/>
        <v>{"valorA":"gostei","valorB":2}</v>
      </c>
      <c r="E9" s="8" t="str">
        <f t="shared" si="2"/>
        <v>gostei</v>
      </c>
      <c r="F9" s="8" t="str">
        <f>IFERROR(__xludf.DUMMYFUNCTION("""COMPUTED_VALUE"""),"ontem")</f>
        <v>ontem</v>
      </c>
      <c r="G9" s="8" t="str">
        <f t="shared" si="3"/>
        <v>2</v>
      </c>
      <c r="H9" s="9">
        <f t="shared" si="4"/>
        <v>2</v>
      </c>
      <c r="I9" s="10">
        <f>IFERROR(__xludf.DUMMYFUNCTION("MAX(FILTER($H$2:$H378,$E$2:$E378=F9))"),1.0)</f>
        <v>1</v>
      </c>
    </row>
    <row r="10">
      <c r="A10" s="4"/>
      <c r="C10" s="4" t="s">
        <v>2713</v>
      </c>
      <c r="D10" s="4" t="str">
        <f t="shared" si="1"/>
        <v>{"valorA":"ontem","valorB":1}</v>
      </c>
      <c r="E10" s="8" t="str">
        <f t="shared" si="2"/>
        <v>ontem</v>
      </c>
      <c r="F10" s="8" t="str">
        <f>IFERROR(__xludf.DUMMYFUNCTION("""COMPUTED_VALUE"""),"muito")</f>
        <v>muito</v>
      </c>
      <c r="G10" s="8" t="str">
        <f t="shared" si="3"/>
        <v>1</v>
      </c>
      <c r="H10" s="9">
        <f t="shared" si="4"/>
        <v>1</v>
      </c>
      <c r="I10" s="10">
        <f>IFERROR(__xludf.DUMMYFUNCTION("MAX(FILTER($H$2:$H378,$E$2:$E378=F10))"),12.0)</f>
        <v>12</v>
      </c>
    </row>
    <row r="11">
      <c r="A11" s="4"/>
      <c r="C11" s="4" t="s">
        <v>2637</v>
      </c>
      <c r="D11" s="4" t="str">
        <f t="shared" si="1"/>
        <v>{"valorA":"muito","valorB":1}</v>
      </c>
      <c r="E11" s="8" t="str">
        <f t="shared" si="2"/>
        <v>muito</v>
      </c>
      <c r="F11" s="8" t="str">
        <f>IFERROR(__xludf.DUMMYFUNCTION("""COMPUTED_VALUE"""),"produto")</f>
        <v>produto</v>
      </c>
      <c r="G11" s="8" t="str">
        <f t="shared" si="3"/>
        <v>1</v>
      </c>
      <c r="H11" s="9">
        <f t="shared" si="4"/>
        <v>1</v>
      </c>
      <c r="I11" s="10">
        <f>IFERROR(__xludf.DUMMYFUNCTION("MAX(FILTER($H$2:$H378,$E$2:$E378=F11))"),26.0)</f>
        <v>26</v>
      </c>
    </row>
    <row r="12">
      <c r="A12" s="4"/>
      <c r="C12" s="4" t="s">
        <v>2663</v>
      </c>
      <c r="D12" s="4" t="str">
        <f t="shared" si="1"/>
        <v>{"valorA":"muito","valorB":2}</v>
      </c>
      <c r="E12" s="8" t="str">
        <f t="shared" si="2"/>
        <v>muito</v>
      </c>
      <c r="F12" s="8" t="str">
        <f>IFERROR(__xludf.DUMMYFUNCTION("""COMPUTED_VALUE"""),"encanta")</f>
        <v>encanta</v>
      </c>
      <c r="G12" s="8" t="str">
        <f t="shared" si="3"/>
        <v>2</v>
      </c>
      <c r="H12" s="9">
        <f t="shared" si="4"/>
        <v>2</v>
      </c>
      <c r="I12" s="10">
        <f>IFERROR(__xludf.DUMMYFUNCTION("MAX(FILTER($H$2:$H378,$E$2:$E378=F12))"),1.0)</f>
        <v>1</v>
      </c>
    </row>
    <row r="13">
      <c r="A13" s="4"/>
      <c r="C13" s="4" t="s">
        <v>2634</v>
      </c>
      <c r="D13" s="4" t="str">
        <f t="shared" si="1"/>
        <v>{"valorA":"produto","valorB":1}</v>
      </c>
      <c r="E13" s="8" t="str">
        <f t="shared" si="2"/>
        <v>produto</v>
      </c>
      <c r="F13" s="8" t="str">
        <f>IFERROR(__xludf.DUMMYFUNCTION("""COMPUTED_VALUE"""),"sorvete")</f>
        <v>sorvete</v>
      </c>
      <c r="G13" s="8" t="str">
        <f t="shared" si="3"/>
        <v>1</v>
      </c>
      <c r="H13" s="9">
        <f t="shared" si="4"/>
        <v>1</v>
      </c>
      <c r="I13" s="10">
        <f>IFERROR(__xludf.DUMMYFUNCTION("MAX(FILTER($H$2:$H378,$E$2:$E378=F13))"),1.0)</f>
        <v>1</v>
      </c>
    </row>
    <row r="14">
      <c r="A14" s="4"/>
      <c r="C14" s="4" t="s">
        <v>2846</v>
      </c>
      <c r="D14" s="4" t="str">
        <f t="shared" si="1"/>
        <v>{"valorA":"encanta","valorB":1}</v>
      </c>
      <c r="E14" s="8" t="str">
        <f t="shared" si="2"/>
        <v>encanta</v>
      </c>
      <c r="F14" s="8" t="str">
        <f>IFERROR(__xludf.DUMMYFUNCTION("""COMPUTED_VALUE"""),"comprei")</f>
        <v>comprei</v>
      </c>
      <c r="G14" s="8" t="str">
        <f t="shared" si="3"/>
        <v>1</v>
      </c>
      <c r="H14" s="9">
        <f t="shared" si="4"/>
        <v>1</v>
      </c>
      <c r="I14" s="10">
        <f>IFERROR(__xludf.DUMMYFUNCTION("MAX(FILTER($H$2:$H378,$E$2:$E378=F14))"),1.0)</f>
        <v>1</v>
      </c>
    </row>
    <row r="15">
      <c r="A15" s="4"/>
      <c r="C15" s="4" t="s">
        <v>2650</v>
      </c>
      <c r="D15" s="4" t="str">
        <f t="shared" si="1"/>
        <v>{"valorA":"produto","valorB":2}</v>
      </c>
      <c r="E15" s="8" t="str">
        <f t="shared" si="2"/>
        <v>produto</v>
      </c>
      <c r="F15" s="8" t="str">
        <f>IFERROR(__xludf.DUMMYFUNCTION("""COMPUTED_VALUE"""),"essa")</f>
        <v>essa</v>
      </c>
      <c r="G15" s="8" t="str">
        <f t="shared" si="3"/>
        <v>2</v>
      </c>
      <c r="H15" s="9">
        <f t="shared" si="4"/>
        <v>2</v>
      </c>
      <c r="I15" s="10">
        <f>IFERROR(__xludf.DUMMYFUNCTION("MAX(FILTER($H$2:$H378,$E$2:$E378=F15))"),4.0)</f>
        <v>4</v>
      </c>
    </row>
    <row r="16">
      <c r="A16" s="4"/>
      <c r="C16" s="4" t="s">
        <v>3587</v>
      </c>
      <c r="D16" s="4" t="str">
        <f t="shared" si="1"/>
        <v>{"valorA":"sorvete","valorB":1}</v>
      </c>
      <c r="E16" s="8" t="str">
        <f t="shared" si="2"/>
        <v>sorvete</v>
      </c>
      <c r="F16" s="8" t="str">
        <f>IFERROR(__xludf.DUMMYFUNCTION("""COMPUTED_VALUE"""),"cadeira")</f>
        <v>cadeira</v>
      </c>
      <c r="G16" s="8" t="str">
        <f t="shared" si="3"/>
        <v>1</v>
      </c>
      <c r="H16" s="9">
        <f t="shared" si="4"/>
        <v>1</v>
      </c>
      <c r="I16" s="10">
        <f>IFERROR(__xludf.DUMMYFUNCTION("MAX(FILTER($H$2:$H378,$E$2:$E378=F16))"),2.0)</f>
        <v>2</v>
      </c>
    </row>
    <row r="17">
      <c r="A17" s="4"/>
      <c r="C17" s="4" t="s">
        <v>2700</v>
      </c>
      <c r="D17" s="4" t="str">
        <f t="shared" si="1"/>
        <v>{"valorA":"comprei","valorB":1}</v>
      </c>
      <c r="E17" s="8" t="str">
        <f t="shared" si="2"/>
        <v>comprei</v>
      </c>
      <c r="F17" s="8" t="str">
        <f>IFERROR(__xludf.DUMMYFUNCTION("""COMPUTED_VALUE"""),"painel")</f>
        <v>painel</v>
      </c>
      <c r="G17" s="8" t="str">
        <f t="shared" si="3"/>
        <v>1</v>
      </c>
      <c r="H17" s="9">
        <f t="shared" si="4"/>
        <v>1</v>
      </c>
      <c r="I17" s="10">
        <f>IFERROR(__xludf.DUMMYFUNCTION("MAX(FILTER($H$2:$H378,$E$2:$E378=F17))"),1.0)</f>
        <v>1</v>
      </c>
    </row>
    <row r="18">
      <c r="A18" s="4"/>
      <c r="C18" s="4" t="s">
        <v>2683</v>
      </c>
      <c r="D18" s="4" t="str">
        <f t="shared" si="1"/>
        <v>{"valorA":"essa","valorB":1}</v>
      </c>
      <c r="E18" s="8" t="str">
        <f t="shared" si="2"/>
        <v>essa</v>
      </c>
      <c r="F18" s="8" t="str">
        <f>IFERROR(__xludf.DUMMYFUNCTION("""COMPUTED_VALUE"""),"design")</f>
        <v>design</v>
      </c>
      <c r="G18" s="8" t="str">
        <f t="shared" si="3"/>
        <v>1</v>
      </c>
      <c r="H18" s="9">
        <f t="shared" si="4"/>
        <v>1</v>
      </c>
      <c r="I18" s="10">
        <f>IFERROR(__xludf.DUMMYFUNCTION("MAX(FILTER($H$2:$H378,$E$2:$E378=F18))"),2.0)</f>
        <v>2</v>
      </c>
    </row>
    <row r="19">
      <c r="A19" s="4"/>
      <c r="C19" s="4" t="s">
        <v>2697</v>
      </c>
      <c r="D19" s="4" t="str">
        <f t="shared" si="1"/>
        <v>{"valorA":"cadeira","valorB":1}</v>
      </c>
      <c r="E19" s="8" t="str">
        <f t="shared" si="2"/>
        <v>cadeira</v>
      </c>
      <c r="F19" s="8" t="str">
        <f>IFERROR(__xludf.DUMMYFUNCTION("""COMPUTED_VALUE"""),"gelado")</f>
        <v>gelado</v>
      </c>
      <c r="G19" s="8" t="str">
        <f t="shared" si="3"/>
        <v>1</v>
      </c>
      <c r="H19" s="9">
        <f t="shared" si="4"/>
        <v>1</v>
      </c>
      <c r="I19" s="10">
        <f>IFERROR(__xludf.DUMMYFUNCTION("MAX(FILTER($H$2:$H378,$E$2:$E378=F19))"),1.0)</f>
        <v>1</v>
      </c>
    </row>
    <row r="20">
      <c r="A20" s="4"/>
      <c r="C20" s="4" t="s">
        <v>3588</v>
      </c>
      <c r="D20" s="4" t="str">
        <f t="shared" si="1"/>
        <v>{"valorA":"painel","valorB":1}</v>
      </c>
      <c r="E20" s="8" t="str">
        <f t="shared" si="2"/>
        <v>painel</v>
      </c>
      <c r="F20" s="8" t="str">
        <f>IFERROR(__xludf.DUMMYFUNCTION("""COMPUTED_VALUE"""),"desse")</f>
        <v>desse</v>
      </c>
      <c r="G20" s="8" t="str">
        <f t="shared" si="3"/>
        <v>1</v>
      </c>
      <c r="H20" s="9">
        <f t="shared" si="4"/>
        <v>1</v>
      </c>
      <c r="I20" s="10">
        <f>IFERROR(__xludf.DUMMYFUNCTION("MAX(FILTER($H$2:$H378,$E$2:$E378=F20))"),2.0)</f>
        <v>2</v>
      </c>
    </row>
    <row r="21">
      <c r="A21" s="4"/>
      <c r="C21" s="4" t="s">
        <v>3589</v>
      </c>
      <c r="D21" s="4" t="str">
        <f t="shared" si="1"/>
        <v>{"valorA":"design","valorB":1}</v>
      </c>
      <c r="E21" s="8" t="str">
        <f t="shared" si="2"/>
        <v>design</v>
      </c>
      <c r="F21" s="8" t="str">
        <f>IFERROR(__xludf.DUMMYFUNCTION("""COMPUTED_VALUE"""),"volto")</f>
        <v>volto</v>
      </c>
      <c r="G21" s="8" t="str">
        <f t="shared" si="3"/>
        <v>1</v>
      </c>
      <c r="H21" s="9">
        <f t="shared" si="4"/>
        <v>1</v>
      </c>
      <c r="I21" s="10">
        <f>IFERROR(__xludf.DUMMYFUNCTION("MAX(FILTER($H$2:$H378,$E$2:$E378=F21))"),1.0)</f>
        <v>1</v>
      </c>
    </row>
    <row r="22">
      <c r="A22" s="4"/>
      <c r="C22" s="4" t="s">
        <v>3590</v>
      </c>
      <c r="D22" s="4" t="str">
        <f t="shared" si="1"/>
        <v>{"valorA":"gelado","valorB":1}</v>
      </c>
      <c r="E22" s="8" t="str">
        <f t="shared" si="2"/>
        <v>gelado</v>
      </c>
      <c r="F22" s="8" t="str">
        <f>IFERROR(__xludf.DUMMYFUNCTION("""COMPUTED_VALUE"""),"ótimo")</f>
        <v>ótimo</v>
      </c>
      <c r="G22" s="8" t="str">
        <f t="shared" si="3"/>
        <v>1</v>
      </c>
      <c r="H22" s="9">
        <f t="shared" si="4"/>
        <v>1</v>
      </c>
      <c r="I22" s="10">
        <f>IFERROR(__xludf.DUMMYFUNCTION("MAX(FILTER($H$2:$H378,$E$2:$E378=F22))"),44.0)</f>
        <v>44</v>
      </c>
    </row>
    <row r="23">
      <c r="A23" s="4"/>
      <c r="C23" s="4" t="s">
        <v>2632</v>
      </c>
      <c r="D23" s="4" t="str">
        <f t="shared" si="1"/>
        <v>{"valorA":"desse","valorB":1}</v>
      </c>
      <c r="E23" s="8" t="str">
        <f t="shared" si="2"/>
        <v>desse</v>
      </c>
      <c r="F23" s="8" t="str">
        <f>IFERROR(__xludf.DUMMYFUNCTION("""COMPUTED_VALUE"""),"qualidade")</f>
        <v>qualidade</v>
      </c>
      <c r="G23" s="8" t="str">
        <f t="shared" si="3"/>
        <v>1</v>
      </c>
      <c r="H23" s="9">
        <f t="shared" si="4"/>
        <v>1</v>
      </c>
      <c r="I23" s="10">
        <f>IFERROR(__xludf.DUMMYFUNCTION("MAX(FILTER($H$2:$H378,$E$2:$E378=F23))"),3.0)</f>
        <v>3</v>
      </c>
    </row>
    <row r="24">
      <c r="A24" s="4"/>
      <c r="C24" s="4" t="s">
        <v>3591</v>
      </c>
      <c r="D24" s="4" t="str">
        <f t="shared" si="1"/>
        <v>{"valorA":"volto","valorB":1}</v>
      </c>
      <c r="E24" s="8" t="str">
        <f t="shared" si="2"/>
        <v>volto</v>
      </c>
      <c r="F24" s="8" t="str">
        <f>IFERROR(__xludf.DUMMYFUNCTION("""COMPUTED_VALUE"""),"do")</f>
        <v>do</v>
      </c>
      <c r="G24" s="8" t="str">
        <f t="shared" si="3"/>
        <v>1</v>
      </c>
      <c r="H24" s="9">
        <f t="shared" si="4"/>
        <v>1</v>
      </c>
      <c r="I24" s="10">
        <f>IFERROR(__xludf.DUMMYFUNCTION("MAX(FILTER($H$2:$H378,$E$2:$E378=F24))"),5.0)</f>
        <v>5</v>
      </c>
    </row>
    <row r="25">
      <c r="A25" s="4"/>
      <c r="C25" s="4" t="s">
        <v>2639</v>
      </c>
      <c r="D25" s="4" t="str">
        <f t="shared" si="1"/>
        <v>{"valorA":"ótimo","valorB":1}</v>
      </c>
      <c r="E25" s="8" t="str">
        <f t="shared" si="2"/>
        <v>ótimo</v>
      </c>
      <c r="F25" s="8" t="str">
        <f>IFERROR(__xludf.DUMMYFUNCTION("""COMPUTED_VALUE"""),"e")</f>
        <v>e</v>
      </c>
      <c r="G25" s="8" t="str">
        <f t="shared" si="3"/>
        <v>1</v>
      </c>
      <c r="H25" s="9">
        <f t="shared" si="4"/>
        <v>1</v>
      </c>
      <c r="I25" s="10">
        <f>IFERROR(__xludf.DUMMYFUNCTION("MAX(FILTER($H$2:$H378,$E$2:$E378=F25))"),15.0)</f>
        <v>15</v>
      </c>
    </row>
    <row r="26">
      <c r="A26" s="4"/>
      <c r="C26" s="4" t="s">
        <v>2878</v>
      </c>
      <c r="D26" s="4" t="str">
        <f t="shared" si="1"/>
        <v>{"valorA":"qualidade","valorB":1}</v>
      </c>
      <c r="E26" s="8" t="str">
        <f t="shared" si="2"/>
        <v>qualidade</v>
      </c>
      <c r="F26" s="8" t="str">
        <f>IFERROR(__xludf.DUMMYFUNCTION("""COMPUTED_VALUE"""),"sol")</f>
        <v>sol</v>
      </c>
      <c r="G26" s="8" t="str">
        <f t="shared" si="3"/>
        <v>1</v>
      </c>
      <c r="H26" s="9">
        <f t="shared" si="4"/>
        <v>1</v>
      </c>
      <c r="I26" s="10">
        <f>IFERROR(__xludf.DUMMYFUNCTION("MAX(FILTER($H$2:$H378,$E$2:$E378=F26))"),1.0)</f>
        <v>1</v>
      </c>
    </row>
    <row r="27">
      <c r="A27" s="4"/>
      <c r="C27" s="4" t="s">
        <v>2654</v>
      </c>
      <c r="D27" s="4" t="str">
        <f t="shared" si="1"/>
        <v>{"valorA":"do","valorB":1}</v>
      </c>
      <c r="E27" s="8" t="str">
        <f t="shared" si="2"/>
        <v>do</v>
      </c>
      <c r="F27" s="8" t="str">
        <f>IFERROR(__xludf.DUMMYFUNCTION("""COMPUTED_VALUE"""),"esse")</f>
        <v>esse</v>
      </c>
      <c r="G27" s="8" t="str">
        <f t="shared" si="3"/>
        <v>1</v>
      </c>
      <c r="H27" s="9">
        <f t="shared" si="4"/>
        <v>1</v>
      </c>
      <c r="I27" s="10">
        <f>IFERROR(__xludf.DUMMYFUNCTION("MAX(FILTER($H$2:$H378,$E$2:$E378=F27))"),9.0)</f>
        <v>9</v>
      </c>
    </row>
    <row r="28">
      <c r="A28" s="4"/>
      <c r="C28" s="4" t="s">
        <v>2658</v>
      </c>
      <c r="D28" s="4" t="str">
        <f t="shared" si="1"/>
        <v>{"valorA":"e","valorB":1}</v>
      </c>
      <c r="E28" s="8" t="str">
        <f t="shared" si="2"/>
        <v>e</v>
      </c>
      <c r="F28" s="8" t="str">
        <f>IFERROR(__xludf.DUMMYFUNCTION("""COMPUTED_VALUE"""),"confortável")</f>
        <v>confortável</v>
      </c>
      <c r="G28" s="8" t="str">
        <f t="shared" si="3"/>
        <v>1</v>
      </c>
      <c r="H28" s="9">
        <f t="shared" si="4"/>
        <v>1</v>
      </c>
      <c r="I28" s="10">
        <f>IFERROR(__xludf.DUMMYFUNCTION("MAX(FILTER($H$2:$H378,$E$2:$E378=F28))"),4.0)</f>
        <v>4</v>
      </c>
    </row>
    <row r="29">
      <c r="A29" s="4"/>
      <c r="C29" s="4" t="s">
        <v>2652</v>
      </c>
      <c r="D29" s="4" t="str">
        <f t="shared" si="1"/>
        <v>{"valorA":"ótimo","valorB":2}</v>
      </c>
      <c r="E29" s="8" t="str">
        <f t="shared" si="2"/>
        <v>ótimo</v>
      </c>
      <c r="F29" s="8" t="str">
        <f>IFERROR(__xludf.DUMMYFUNCTION("""COMPUTED_VALUE"""),"comprála")</f>
        <v>comprála</v>
      </c>
      <c r="G29" s="8" t="str">
        <f t="shared" si="3"/>
        <v>2</v>
      </c>
      <c r="H29" s="9">
        <f t="shared" si="4"/>
        <v>2</v>
      </c>
      <c r="I29" s="10">
        <f>IFERROR(__xludf.DUMMYFUNCTION("MAX(FILTER($H$2:$H378,$E$2:$E378=F29))"),1.0)</f>
        <v>1</v>
      </c>
    </row>
    <row r="30">
      <c r="A30" s="4"/>
      <c r="C30" s="4" t="s">
        <v>2653</v>
      </c>
      <c r="D30" s="4" t="str">
        <f t="shared" si="1"/>
        <v>{"valorA":"ótimo","valorB":3}</v>
      </c>
      <c r="E30" s="8" t="str">
        <f t="shared" si="2"/>
        <v>ótimo</v>
      </c>
      <c r="F30" s="8" t="str">
        <f>IFERROR(__xludf.DUMMYFUNCTION("""COMPUTED_VALUE"""),"a")</f>
        <v>a</v>
      </c>
      <c r="G30" s="8" t="str">
        <f t="shared" si="3"/>
        <v>3</v>
      </c>
      <c r="H30" s="9">
        <f t="shared" si="4"/>
        <v>3</v>
      </c>
      <c r="I30" s="10">
        <f>IFERROR(__xludf.DUMMYFUNCTION("MAX(FILTER($H$2:$H378,$E$2:$E378=F30))"),2.0)</f>
        <v>2</v>
      </c>
    </row>
    <row r="31">
      <c r="A31" s="4"/>
      <c r="C31" s="4" t="s">
        <v>2657</v>
      </c>
      <c r="D31" s="4" t="str">
        <f t="shared" si="1"/>
        <v>{"valorA":"ótimo","valorB":4}</v>
      </c>
      <c r="E31" s="8" t="str">
        <f t="shared" si="2"/>
        <v>ótimo</v>
      </c>
      <c r="F31" s="8" t="str">
        <f>IFERROR(__xludf.DUMMYFUNCTION("""COMPUTED_VALUE"""),"funciona")</f>
        <v>funciona</v>
      </c>
      <c r="G31" s="8" t="str">
        <f t="shared" si="3"/>
        <v>4</v>
      </c>
      <c r="H31" s="9">
        <f t="shared" si="4"/>
        <v>4</v>
      </c>
      <c r="I31" s="10">
        <f>IFERROR(__xludf.DUMMYFUNCTION("MAX(FILTER($H$2:$H378,$E$2:$E378=F31))"),18.0)</f>
        <v>18</v>
      </c>
    </row>
    <row r="32">
      <c r="A32" s="4"/>
      <c r="C32" s="4" t="s">
        <v>2987</v>
      </c>
      <c r="D32" s="4" t="str">
        <f t="shared" si="1"/>
        <v>{"valorA":"sol","valorB":1}</v>
      </c>
      <c r="E32" s="8" t="str">
        <f t="shared" si="2"/>
        <v>sol</v>
      </c>
      <c r="F32" s="8" t="str">
        <f>IFERROR(__xludf.DUMMYFUNCTION("""COMPUTED_VALUE"""),"bem")</f>
        <v>bem</v>
      </c>
      <c r="G32" s="8" t="str">
        <f t="shared" si="3"/>
        <v>1</v>
      </c>
      <c r="H32" s="9">
        <f t="shared" si="4"/>
        <v>1</v>
      </c>
      <c r="I32" s="10">
        <f>IFERROR(__xludf.DUMMYFUNCTION("MAX(FILTER($H$2:$H378,$E$2:$E378=F32))"),9.0)</f>
        <v>9</v>
      </c>
    </row>
    <row r="33">
      <c r="A33" s="4"/>
      <c r="C33" s="4" t="s">
        <v>2630</v>
      </c>
      <c r="D33" s="4" t="str">
        <f t="shared" si="1"/>
        <v>{"valorA":"esse","valorB":1}</v>
      </c>
      <c r="E33" s="8" t="str">
        <f t="shared" si="2"/>
        <v>esse</v>
      </c>
      <c r="F33" s="8" t="str">
        <f>IFERROR(__xludf.DUMMYFUNCTION("""COMPUTED_VALUE"""),"é")</f>
        <v>é</v>
      </c>
      <c r="G33" s="8" t="str">
        <f t="shared" si="3"/>
        <v>1</v>
      </c>
      <c r="H33" s="9">
        <f t="shared" si="4"/>
        <v>1</v>
      </c>
      <c r="I33" s="10">
        <f>IFERROR(__xludf.DUMMYFUNCTION("MAX(FILTER($H$2:$H378,$E$2:$E378=F33))"),19.0)</f>
        <v>19</v>
      </c>
    </row>
    <row r="34">
      <c r="A34" s="4"/>
      <c r="C34" s="4" t="s">
        <v>2659</v>
      </c>
      <c r="D34" s="4" t="str">
        <f t="shared" si="1"/>
        <v>{"valorA":"ótimo","valorB":5}</v>
      </c>
      <c r="E34" s="8" t="str">
        <f t="shared" si="2"/>
        <v>ótimo</v>
      </c>
      <c r="F34" s="8" t="str">
        <f>IFERROR(__xludf.DUMMYFUNCTION("""COMPUTED_VALUE"""),"usar")</f>
        <v>usar</v>
      </c>
      <c r="G34" s="8" t="str">
        <f t="shared" si="3"/>
        <v>5</v>
      </c>
      <c r="H34" s="9">
        <f t="shared" si="4"/>
        <v>5</v>
      </c>
      <c r="I34" s="10">
        <f>IFERROR(__xludf.DUMMYFUNCTION("MAX(FILTER($H$2:$H378,$E$2:$E378=F34))"),6.0)</f>
        <v>6</v>
      </c>
    </row>
    <row r="35">
      <c r="A35" s="4"/>
      <c r="C35" s="4" t="s">
        <v>2676</v>
      </c>
      <c r="D35" s="4" t="str">
        <f t="shared" si="1"/>
        <v>{"valorA":"e","valorB":2}</v>
      </c>
      <c r="E35" s="8" t="str">
        <f t="shared" si="2"/>
        <v>e</v>
      </c>
      <c r="F35" s="8" t="str">
        <f>IFERROR(__xludf.DUMMYFUNCTION("""COMPUTED_VALUE"""),"fácil")</f>
        <v>fácil</v>
      </c>
      <c r="G35" s="8" t="str">
        <f t="shared" si="3"/>
        <v>2</v>
      </c>
      <c r="H35" s="9">
        <f t="shared" si="4"/>
        <v>2</v>
      </c>
      <c r="I35" s="10">
        <f>IFERROR(__xludf.DUMMYFUNCTION("MAX(FILTER($H$2:$H378,$E$2:$E378=F35))"),6.0)</f>
        <v>6</v>
      </c>
    </row>
    <row r="36">
      <c r="A36" s="4"/>
      <c r="C36" s="4" t="s">
        <v>2699</v>
      </c>
      <c r="D36" s="4" t="str">
        <f t="shared" si="1"/>
        <v>{"valorA":"confortável","valorB":1}</v>
      </c>
      <c r="E36" s="8" t="str">
        <f t="shared" si="2"/>
        <v>confortável</v>
      </c>
      <c r="F36" s="8" t="str">
        <f>IFERROR(__xludf.DUMMYFUNCTION("""COMPUTED_VALUE"""),"carro")</f>
        <v>carro</v>
      </c>
      <c r="G36" s="8" t="str">
        <f t="shared" si="3"/>
        <v>1</v>
      </c>
      <c r="H36" s="9">
        <f t="shared" si="4"/>
        <v>1</v>
      </c>
      <c r="I36" s="10">
        <f>IFERROR(__xludf.DUMMYFUNCTION("MAX(FILTER($H$2:$H378,$E$2:$E378=F36))"),6.0)</f>
        <v>6</v>
      </c>
    </row>
    <row r="37">
      <c r="A37" s="4"/>
      <c r="C37" s="4" t="s">
        <v>3592</v>
      </c>
      <c r="D37" s="4" t="str">
        <f t="shared" si="1"/>
        <v>{"valorA":"comprála","valorB":1}</v>
      </c>
      <c r="E37" s="8" t="str">
        <f t="shared" si="2"/>
        <v>comprála</v>
      </c>
      <c r="F37" s="8" t="str">
        <f>IFERROR(__xludf.DUMMYFUNCTION("""COMPUTED_VALUE"""),"meu")</f>
        <v>meu</v>
      </c>
      <c r="G37" s="8" t="str">
        <f t="shared" si="3"/>
        <v>1</v>
      </c>
      <c r="H37" s="9">
        <f t="shared" si="4"/>
        <v>1</v>
      </c>
      <c r="I37" s="10">
        <f>IFERROR(__xludf.DUMMYFUNCTION("MAX(FILTER($H$2:$H378,$E$2:$E378=F37))"),12.0)</f>
        <v>12</v>
      </c>
    </row>
    <row r="38">
      <c r="A38" s="4"/>
      <c r="C38" s="4" t="s">
        <v>2647</v>
      </c>
      <c r="D38" s="4" t="str">
        <f t="shared" si="1"/>
        <v>{"valorA":"a","valorB":1}</v>
      </c>
      <c r="E38" s="8" t="str">
        <f t="shared" si="2"/>
        <v>a</v>
      </c>
      <c r="F38" s="8" t="str">
        <f>IFERROR(__xludf.DUMMYFUNCTION("""COMPUTED_VALUE"""),"novo")</f>
        <v>novo</v>
      </c>
      <c r="G38" s="8" t="str">
        <f t="shared" si="3"/>
        <v>1</v>
      </c>
      <c r="H38" s="9">
        <f t="shared" si="4"/>
        <v>1</v>
      </c>
      <c r="I38" s="10">
        <f>IFERROR(__xludf.DUMMYFUNCTION("MAX(FILTER($H$2:$H378,$E$2:$E378=F38))"),6.0)</f>
        <v>6</v>
      </c>
    </row>
    <row r="39">
      <c r="A39" s="4"/>
      <c r="C39" s="4" t="s">
        <v>2624</v>
      </c>
      <c r="D39" s="4" t="str">
        <f t="shared" si="1"/>
        <v>{"valorA":"funciona","valorB":1}</v>
      </c>
      <c r="E39" s="8" t="str">
        <f t="shared" si="2"/>
        <v>funciona</v>
      </c>
      <c r="F39" s="8" t="str">
        <f>IFERROR(__xludf.DUMMYFUNCTION("""COMPUTED_VALUE"""),"incrível")</f>
        <v>incrível</v>
      </c>
      <c r="G39" s="8" t="str">
        <f t="shared" si="3"/>
        <v>1</v>
      </c>
      <c r="H39" s="9">
        <f t="shared" si="4"/>
        <v>1</v>
      </c>
      <c r="I39" s="10">
        <f>IFERROR(__xludf.DUMMYFUNCTION("MAX(FILTER($H$2:$H378,$E$2:$E378=F39))"),10.0)</f>
        <v>10</v>
      </c>
    </row>
    <row r="40">
      <c r="A40" s="4"/>
      <c r="C40" s="4" t="s">
        <v>2815</v>
      </c>
      <c r="D40" s="4" t="str">
        <f t="shared" si="1"/>
        <v>{"valorA":"relojoeira","valorB":2}</v>
      </c>
      <c r="E40" s="8" t="str">
        <f t="shared" si="2"/>
        <v>relojoeira</v>
      </c>
      <c r="F40" s="8" t="str">
        <f>IFERROR(__xludf.DUMMYFUNCTION("""COMPUTED_VALUE"""),"performance")</f>
        <v>performance</v>
      </c>
      <c r="G40" s="8" t="str">
        <f t="shared" si="3"/>
        <v>2</v>
      </c>
      <c r="H40" s="9">
        <f t="shared" si="4"/>
        <v>2</v>
      </c>
      <c r="I40" s="10">
        <f>IFERROR(__xludf.DUMMYFUNCTION("MAX(FILTER($H$2:$H378,$E$2:$E378=F40))"),1.0)</f>
        <v>1</v>
      </c>
    </row>
    <row r="41">
      <c r="A41" s="4"/>
      <c r="C41" s="4" t="s">
        <v>2662</v>
      </c>
      <c r="D41" s="4" t="str">
        <f t="shared" si="1"/>
        <v>{"valorA":"ótimo","valorB":6}</v>
      </c>
      <c r="E41" s="8" t="str">
        <f t="shared" si="2"/>
        <v>ótimo</v>
      </c>
      <c r="F41" s="8" t="str">
        <f>IFERROR(__xludf.DUMMYFUNCTION("""COMPUTED_VALUE"""),"ter")</f>
        <v>ter</v>
      </c>
      <c r="G41" s="8" t="str">
        <f t="shared" si="3"/>
        <v>6</v>
      </c>
      <c r="H41" s="9">
        <f t="shared" si="4"/>
        <v>6</v>
      </c>
      <c r="I41" s="10">
        <f>IFERROR(__xludf.DUMMYFUNCTION("MAX(FILTER($H$2:$H378,$E$2:$E378=F41))"),1.0)</f>
        <v>1</v>
      </c>
    </row>
    <row r="42">
      <c r="A42" s="4"/>
      <c r="C42" s="4" t="s">
        <v>2675</v>
      </c>
      <c r="D42" s="4" t="str">
        <f t="shared" si="1"/>
        <v>{"valorA":"bem","valorB":1}</v>
      </c>
      <c r="E42" s="8" t="str">
        <f t="shared" si="2"/>
        <v>bem</v>
      </c>
      <c r="F42" s="8" t="str">
        <f>IFERROR(__xludf.DUMMYFUNCTION("""COMPUTED_VALUE"""),"comprado")</f>
        <v>comprado</v>
      </c>
      <c r="G42" s="8" t="str">
        <f t="shared" si="3"/>
        <v>1</v>
      </c>
      <c r="H42" s="9">
        <f t="shared" si="4"/>
        <v>1</v>
      </c>
      <c r="I42" s="10">
        <f>IFERROR(__xludf.DUMMYFUNCTION("MAX(FILTER($H$2:$H378,$E$2:$E378=F42))"),1.0)</f>
        <v>1</v>
      </c>
    </row>
    <row r="43">
      <c r="A43" s="4"/>
      <c r="C43" s="4" t="s">
        <v>2679</v>
      </c>
      <c r="D43" s="4" t="str">
        <f t="shared" si="1"/>
        <v>{"valorA":"é","valorB":1}</v>
      </c>
      <c r="E43" s="8" t="str">
        <f t="shared" si="2"/>
        <v>é</v>
      </c>
      <c r="F43" s="8" t="str">
        <f>IFERROR(__xludf.DUMMYFUNCTION("""COMPUTED_VALUE"""),"alegra")</f>
        <v>alegra</v>
      </c>
      <c r="G43" s="8" t="str">
        <f t="shared" si="3"/>
        <v>1</v>
      </c>
      <c r="H43" s="9">
        <f t="shared" si="4"/>
        <v>1</v>
      </c>
      <c r="I43" s="10">
        <f>IFERROR(__xludf.DUMMYFUNCTION("MAX(FILTER($H$2:$H378,$E$2:$E378=F43))"),1.0)</f>
        <v>1</v>
      </c>
    </row>
    <row r="44">
      <c r="A44" s="4"/>
      <c r="C44" s="4" t="s">
        <v>2720</v>
      </c>
      <c r="D44" s="4" t="str">
        <f t="shared" si="1"/>
        <v>{"valorA":"de","valorB":2}</v>
      </c>
      <c r="E44" s="8" t="str">
        <f t="shared" si="2"/>
        <v>de</v>
      </c>
      <c r="F44" s="8" t="str">
        <f>IFERROR(__xludf.DUMMYFUNCTION("""COMPUTED_VALUE"""),"perfeitamente")</f>
        <v>perfeitamente</v>
      </c>
      <c r="G44" s="8" t="str">
        <f t="shared" si="3"/>
        <v>2</v>
      </c>
      <c r="H44" s="9">
        <f t="shared" si="4"/>
        <v>2</v>
      </c>
      <c r="I44" s="10">
        <f>IFERROR(__xludf.DUMMYFUNCTION("MAX(FILTER($H$2:$H378,$E$2:$E378=F44))"),13.0)</f>
        <v>13</v>
      </c>
    </row>
    <row r="45">
      <c r="A45" s="4"/>
      <c r="C45" s="4" t="s">
        <v>2681</v>
      </c>
      <c r="D45" s="4" t="str">
        <f t="shared" si="1"/>
        <v>{"valorA":"usar","valorB":1}</v>
      </c>
      <c r="E45" s="8" t="str">
        <f t="shared" si="2"/>
        <v>usar</v>
      </c>
      <c r="F45" s="8" t="str">
        <f>IFERROR(__xludf.DUMMYFUNCTION("""COMPUTED_VALUE"""),"frigorifico")</f>
        <v>frigorifico</v>
      </c>
      <c r="G45" s="8" t="str">
        <f t="shared" si="3"/>
        <v>1</v>
      </c>
      <c r="H45" s="9">
        <f t="shared" si="4"/>
        <v>1</v>
      </c>
      <c r="I45" s="10">
        <f>IFERROR(__xludf.DUMMYFUNCTION("MAX(FILTER($H$2:$H378,$E$2:$E378=F45))"),1.0)</f>
        <v>1</v>
      </c>
    </row>
    <row r="46">
      <c r="A46" s="4"/>
      <c r="C46" s="4" t="s">
        <v>2701</v>
      </c>
      <c r="D46" s="4" t="str">
        <f t="shared" si="1"/>
        <v>{"valorA":"e","valorB":3}</v>
      </c>
      <c r="E46" s="8" t="str">
        <f t="shared" si="2"/>
        <v>e</v>
      </c>
      <c r="F46" s="8" t="str">
        <f>IFERROR(__xludf.DUMMYFUNCTION("""COMPUTED_VALUE"""),"seu")</f>
        <v>seu</v>
      </c>
      <c r="G46" s="8" t="str">
        <f t="shared" si="3"/>
        <v>3</v>
      </c>
      <c r="H46" s="9">
        <f t="shared" si="4"/>
        <v>3</v>
      </c>
      <c r="I46" s="10">
        <f>IFERROR(__xludf.DUMMYFUNCTION("MAX(FILTER($H$2:$H378,$E$2:$E378=F46))"),2.0)</f>
        <v>2</v>
      </c>
    </row>
    <row r="47">
      <c r="A47" s="4"/>
      <c r="C47" s="4" t="s">
        <v>2677</v>
      </c>
      <c r="D47" s="4" t="str">
        <f t="shared" si="1"/>
        <v>{"valorA":"fácil","valorB":1}</v>
      </c>
      <c r="E47" s="8" t="str">
        <f t="shared" si="2"/>
        <v>fácil</v>
      </c>
      <c r="F47" s="8" t="str">
        <f>IFERROR(__xludf.DUMMYFUNCTION("""COMPUTED_VALUE"""),"no")</f>
        <v>no</v>
      </c>
      <c r="G47" s="8" t="str">
        <f t="shared" si="3"/>
        <v>1</v>
      </c>
      <c r="H47" s="9">
        <f t="shared" si="4"/>
        <v>1</v>
      </c>
      <c r="I47" s="10">
        <f>IFERROR(__xludf.DUMMYFUNCTION("MAX(FILTER($H$2:$H378,$E$2:$E378=F47))"),2.0)</f>
        <v>2</v>
      </c>
    </row>
    <row r="48">
      <c r="A48" s="4"/>
      <c r="C48" s="4" t="s">
        <v>2769</v>
      </c>
      <c r="D48" s="4" t="str">
        <f t="shared" si="1"/>
        <v>{"valorA":"carro","valorB":1}</v>
      </c>
      <c r="E48" s="8" t="str">
        <f t="shared" si="2"/>
        <v>carro</v>
      </c>
      <c r="F48" s="8" t="str">
        <f>IFERROR(__xludf.DUMMYFUNCTION("""COMPUTED_VALUE"""),"preço")</f>
        <v>preço</v>
      </c>
      <c r="G48" s="8" t="str">
        <f t="shared" si="3"/>
        <v>1</v>
      </c>
      <c r="H48" s="9">
        <f t="shared" si="4"/>
        <v>1</v>
      </c>
      <c r="I48" s="10">
        <f>IFERROR(__xludf.DUMMYFUNCTION("MAX(FILTER($H$2:$H378,$E$2:$E378=F48))"),1.0)</f>
        <v>1</v>
      </c>
    </row>
    <row r="49">
      <c r="A49" s="4"/>
      <c r="C49" s="4" t="s">
        <v>2670</v>
      </c>
      <c r="D49" s="4" t="str">
        <f t="shared" si="1"/>
        <v>{"valorA":"meu","valorB":1}</v>
      </c>
      <c r="E49" s="8" t="str">
        <f t="shared" si="2"/>
        <v>meu</v>
      </c>
      <c r="F49" s="8" t="str">
        <f>IFERROR(__xludf.DUMMYFUNCTION("""COMPUTED_VALUE"""),"recomendo")</f>
        <v>recomendo</v>
      </c>
      <c r="G49" s="8" t="str">
        <f t="shared" si="3"/>
        <v>1</v>
      </c>
      <c r="H49" s="9">
        <f t="shared" si="4"/>
        <v>1</v>
      </c>
      <c r="I49" s="10">
        <f>IFERROR(__xludf.DUMMYFUNCTION("MAX(FILTER($H$2:$H378,$E$2:$E378=F49))"),5.0)</f>
        <v>5</v>
      </c>
    </row>
    <row r="50">
      <c r="A50" s="4"/>
      <c r="C50" s="4" t="s">
        <v>2952</v>
      </c>
      <c r="D50" s="4" t="str">
        <f t="shared" si="1"/>
        <v>{"valorA":"novo","valorB":1}</v>
      </c>
      <c r="E50" s="8" t="str">
        <f t="shared" si="2"/>
        <v>novo</v>
      </c>
      <c r="F50" s="8" t="str">
        <f>IFERROR(__xludf.DUMMYFUNCTION("""COMPUTED_VALUE"""),"desatendido")</f>
        <v>desatendido</v>
      </c>
      <c r="G50" s="8" t="str">
        <f t="shared" si="3"/>
        <v>1</v>
      </c>
      <c r="H50" s="9">
        <f t="shared" si="4"/>
        <v>1</v>
      </c>
      <c r="I50" s="10">
        <f>IFERROR(__xludf.DUMMYFUNCTION("MAX(FILTER($H$2:$H378,$E$2:$E378=F50))"),1.0)</f>
        <v>1</v>
      </c>
    </row>
    <row r="51">
      <c r="A51" s="4"/>
      <c r="C51" s="4" t="s">
        <v>2868</v>
      </c>
      <c r="D51" s="4" t="str">
        <f t="shared" si="1"/>
        <v>{"valorA":"incrível","valorB":1}</v>
      </c>
      <c r="E51" s="8" t="str">
        <f t="shared" si="2"/>
        <v>incrível</v>
      </c>
      <c r="F51" s="8" t="str">
        <f>IFERROR(__xludf.DUMMYFUNCTION("""COMPUTED_VALUE"""),"barato")</f>
        <v>barato</v>
      </c>
      <c r="G51" s="8" t="str">
        <f t="shared" si="3"/>
        <v>1</v>
      </c>
      <c r="H51" s="9">
        <f t="shared" si="4"/>
        <v>1</v>
      </c>
      <c r="I51" s="10">
        <f>IFERROR(__xludf.DUMMYFUNCTION("MAX(FILTER($H$2:$H378,$E$2:$E378=F51))"),1.0)</f>
        <v>1</v>
      </c>
    </row>
    <row r="52">
      <c r="A52" s="4"/>
      <c r="C52" s="4" t="s">
        <v>2705</v>
      </c>
      <c r="D52" s="4" t="str">
        <f t="shared" si="1"/>
        <v>{"valorA":"muito","valorB":3}</v>
      </c>
      <c r="E52" s="8" t="str">
        <f t="shared" si="2"/>
        <v>muito</v>
      </c>
      <c r="F52" s="8" t="str">
        <f>IFERROR(__xludf.DUMMYFUNCTION("""COMPUTED_VALUE"""),"mais")</f>
        <v>mais</v>
      </c>
      <c r="G52" s="8" t="str">
        <f t="shared" si="3"/>
        <v>3</v>
      </c>
      <c r="H52" s="9">
        <f t="shared" si="4"/>
        <v>3</v>
      </c>
      <c r="I52" s="10">
        <f>IFERROR(__xludf.DUMMYFUNCTION("MAX(FILTER($H$2:$H378,$E$2:$E378=F52))"),3.0)</f>
        <v>3</v>
      </c>
    </row>
    <row r="53">
      <c r="A53" s="4"/>
      <c r="C53" s="4" t="s">
        <v>2719</v>
      </c>
      <c r="D53" s="4" t="str">
        <f t="shared" si="1"/>
        <v>{"valorA":"é","valorB":2}</v>
      </c>
      <c r="E53" s="8" t="str">
        <f t="shared" si="2"/>
        <v>é</v>
      </c>
      <c r="F53" s="8" t="str">
        <f>IFERROR(__xludf.DUMMYFUNCTION("""COMPUTED_VALUE"""),"pano")</f>
        <v>pano</v>
      </c>
      <c r="G53" s="8" t="str">
        <f t="shared" si="3"/>
        <v>2</v>
      </c>
      <c r="H53" s="9">
        <f t="shared" si="4"/>
        <v>2</v>
      </c>
      <c r="I53" s="10">
        <f>IFERROR(__xludf.DUMMYFUNCTION("MAX(FILTER($H$2:$H378,$E$2:$E378=F53))"),1.0)</f>
        <v>1</v>
      </c>
    </row>
    <row r="54">
      <c r="A54" s="4"/>
      <c r="C54" s="4" t="s">
        <v>3593</v>
      </c>
      <c r="D54" s="4" t="str">
        <f t="shared" si="1"/>
        <v>{"valorA":"performance","valorB":1}</v>
      </c>
      <c r="E54" s="8" t="str">
        <f t="shared" si="2"/>
        <v>performance</v>
      </c>
      <c r="F54" s="8" t="str">
        <f>IFERROR(__xludf.DUMMYFUNCTION("""COMPUTED_VALUE"""),"limpeza")</f>
        <v>limpeza</v>
      </c>
      <c r="G54" s="8" t="str">
        <f t="shared" si="3"/>
        <v>1</v>
      </c>
      <c r="H54" s="9">
        <f t="shared" si="4"/>
        <v>1</v>
      </c>
      <c r="I54" s="10">
        <f>IFERROR(__xludf.DUMMYFUNCTION("MAX(FILTER($H$2:$H378,$E$2:$E378=F54))"),1.0)</f>
        <v>1</v>
      </c>
    </row>
    <row r="55">
      <c r="A55" s="4"/>
      <c r="C55" s="4" t="s">
        <v>2786</v>
      </c>
      <c r="D55" s="4" t="str">
        <f t="shared" si="1"/>
        <v>{"valorA":"gostei","valorB":3}</v>
      </c>
      <c r="E55" s="8" t="str">
        <f t="shared" si="2"/>
        <v>gostei</v>
      </c>
      <c r="F55" s="8" t="str">
        <f>IFERROR(__xludf.DUMMYFUNCTION("""COMPUTED_VALUE"""),"adorei")</f>
        <v>adorei</v>
      </c>
      <c r="G55" s="8" t="str">
        <f t="shared" si="3"/>
        <v>3</v>
      </c>
      <c r="H55" s="9">
        <f t="shared" si="4"/>
        <v>3</v>
      </c>
      <c r="I55" s="10">
        <f>IFERROR(__xludf.DUMMYFUNCTION("MAX(FILTER($H$2:$H378,$E$2:$E378=F55))"),2.0)</f>
        <v>2</v>
      </c>
    </row>
    <row r="56">
      <c r="A56" s="4"/>
      <c r="C56" s="4" t="s">
        <v>2947</v>
      </c>
      <c r="D56" s="4" t="str">
        <f t="shared" si="1"/>
        <v>{"valorA":"da","valorB":2}</v>
      </c>
      <c r="E56" s="8" t="str">
        <f t="shared" si="2"/>
        <v>da</v>
      </c>
      <c r="F56" s="8" t="str">
        <f>IFERROR(__xludf.DUMMYFUNCTION("""COMPUTED_VALUE"""),"um")</f>
        <v>um</v>
      </c>
      <c r="G56" s="8" t="str">
        <f t="shared" si="3"/>
        <v>2</v>
      </c>
      <c r="H56" s="9">
        <f t="shared" si="4"/>
        <v>2</v>
      </c>
      <c r="I56" s="10">
        <f>IFERROR(__xludf.DUMMYFUNCTION("MAX(FILTER($H$2:$H378,$E$2:$E378=F56))"),1.0)</f>
        <v>1</v>
      </c>
    </row>
    <row r="57">
      <c r="A57" s="4"/>
      <c r="C57" s="4" t="s">
        <v>2785</v>
      </c>
      <c r="D57" s="4" t="str">
        <f t="shared" si="1"/>
        <v>{"valorA":"muito","valorB":4}</v>
      </c>
      <c r="E57" s="8" t="str">
        <f t="shared" si="2"/>
        <v>muito</v>
      </c>
      <c r="F57" s="8" t="str">
        <f>IFERROR(__xludf.DUMMYFUNCTION("""COMPUTED_VALUE"""),"relogio")</f>
        <v>relogio</v>
      </c>
      <c r="G57" s="8" t="str">
        <f t="shared" si="3"/>
        <v>4</v>
      </c>
      <c r="H57" s="9">
        <f t="shared" si="4"/>
        <v>4</v>
      </c>
      <c r="I57" s="10">
        <f>IFERROR(__xludf.DUMMYFUNCTION("MAX(FILTER($H$2:$H378,$E$2:$E378=F57))"),3.0)</f>
        <v>3</v>
      </c>
    </row>
    <row r="58">
      <c r="A58" s="4"/>
      <c r="C58" s="4" t="s">
        <v>3155</v>
      </c>
      <c r="D58" s="4" t="str">
        <f t="shared" si="1"/>
        <v>{"valorA":"me","valorB":2}</v>
      </c>
      <c r="E58" s="8" t="str">
        <f t="shared" si="2"/>
        <v>me</v>
      </c>
      <c r="F58" s="8" t="str">
        <f>IFERROR(__xludf.DUMMYFUNCTION("""COMPUTED_VALUE"""),"tem")</f>
        <v>tem</v>
      </c>
      <c r="G58" s="8" t="str">
        <f t="shared" si="3"/>
        <v>2</v>
      </c>
      <c r="H58" s="9">
        <f t="shared" si="4"/>
        <v>2</v>
      </c>
      <c r="I58" s="10">
        <f>IFERROR(__xludf.DUMMYFUNCTION("MAX(FILTER($H$2:$H378,$E$2:$E378=F58))"),1.0)</f>
        <v>1</v>
      </c>
    </row>
    <row r="59">
      <c r="A59" s="4"/>
      <c r="C59" s="4" t="s">
        <v>3160</v>
      </c>
      <c r="D59" s="4" t="str">
        <f t="shared" si="1"/>
        <v>{"valorA":"ter","valorB":1}</v>
      </c>
      <c r="E59" s="8" t="str">
        <f t="shared" si="2"/>
        <v>ter</v>
      </c>
      <c r="F59" s="8" t="str">
        <f>IFERROR(__xludf.DUMMYFUNCTION("""COMPUTED_VALUE"""),"acessível")</f>
        <v>acessível</v>
      </c>
      <c r="G59" s="8" t="str">
        <f t="shared" si="3"/>
        <v>1</v>
      </c>
      <c r="H59" s="9">
        <f t="shared" si="4"/>
        <v>1</v>
      </c>
      <c r="I59" s="10">
        <f>IFERROR(__xludf.DUMMYFUNCTION("MAX(FILTER($H$2:$H378,$E$2:$E378=F59))"),1.0)</f>
        <v>1</v>
      </c>
    </row>
    <row r="60">
      <c r="A60" s="4"/>
      <c r="C60" s="4" t="s">
        <v>2661</v>
      </c>
      <c r="D60" s="4" t="str">
        <f t="shared" si="1"/>
        <v>{"valorA":"produto","valorB":3}</v>
      </c>
      <c r="E60" s="8" t="str">
        <f t="shared" si="2"/>
        <v>produto</v>
      </c>
      <c r="F60" s="8" t="str">
        <f>IFERROR(__xludf.DUMMYFUNCTION("""COMPUTED_VALUE"""),"orçamento")</f>
        <v>orçamento</v>
      </c>
      <c r="G60" s="8" t="str">
        <f t="shared" si="3"/>
        <v>3</v>
      </c>
      <c r="H60" s="9">
        <f t="shared" si="4"/>
        <v>3</v>
      </c>
      <c r="I60" s="10">
        <f>IFERROR(__xludf.DUMMYFUNCTION("MAX(FILTER($H$2:$H378,$E$2:$E378=F60))"),1.0)</f>
        <v>1</v>
      </c>
    </row>
    <row r="61">
      <c r="A61" s="4"/>
      <c r="C61" s="4" t="s">
        <v>2671</v>
      </c>
      <c r="D61" s="4" t="str">
        <f t="shared" si="1"/>
        <v>{"valorA":"ótimo","valorB":7}</v>
      </c>
      <c r="E61" s="8" t="str">
        <f t="shared" si="2"/>
        <v>ótimo</v>
      </c>
      <c r="F61" s="8" t="str">
        <f>IFERROR(__xludf.DUMMYFUNCTION("""COMPUTED_VALUE"""),"limitado")</f>
        <v>limitado</v>
      </c>
      <c r="G61" s="8" t="str">
        <f t="shared" si="3"/>
        <v>7</v>
      </c>
      <c r="H61" s="9">
        <f t="shared" si="4"/>
        <v>7</v>
      </c>
      <c r="I61" s="10">
        <f>IFERROR(__xludf.DUMMYFUNCTION("MAX(FILTER($H$2:$H378,$E$2:$E378=F61))"),1.0)</f>
        <v>1</v>
      </c>
    </row>
    <row r="62">
      <c r="A62" s="4"/>
      <c r="C62" s="4" t="s">
        <v>3159</v>
      </c>
      <c r="D62" s="4" t="str">
        <f t="shared" si="1"/>
        <v>{"valorA":"comprado","valorB":1}</v>
      </c>
      <c r="E62" s="8" t="str">
        <f t="shared" si="2"/>
        <v>comprado</v>
      </c>
      <c r="F62" s="8" t="str">
        <f>IFERROR(__xludf.DUMMYFUNCTION("""COMPUTED_VALUE"""),"para")</f>
        <v>para</v>
      </c>
      <c r="G62" s="8" t="str">
        <f t="shared" si="3"/>
        <v>1</v>
      </c>
      <c r="H62" s="9">
        <f t="shared" si="4"/>
        <v>1</v>
      </c>
      <c r="I62" s="10">
        <f>IFERROR(__xludf.DUMMYFUNCTION("MAX(FILTER($H$2:$H378,$E$2:$E378=F62))"),6.0)</f>
        <v>6</v>
      </c>
    </row>
    <row r="63">
      <c r="A63" s="4"/>
      <c r="C63" s="4" t="s">
        <v>3158</v>
      </c>
      <c r="D63" s="4" t="str">
        <f t="shared" si="1"/>
        <v>{"valorA":"alegra","valorB":1}</v>
      </c>
      <c r="E63" s="8" t="str">
        <f t="shared" si="2"/>
        <v>alegra</v>
      </c>
      <c r="F63" s="8" t="str">
        <f>IFERROR(__xludf.DUMMYFUNCTION("""COMPUTED_VALUE"""),"quem")</f>
        <v>quem</v>
      </c>
      <c r="G63" s="8" t="str">
        <f t="shared" si="3"/>
        <v>1</v>
      </c>
      <c r="H63" s="9">
        <f t="shared" si="4"/>
        <v>1</v>
      </c>
      <c r="I63" s="10">
        <f>IFERROR(__xludf.DUMMYFUNCTION("MAX(FILTER($H$2:$H378,$E$2:$E378=F63))"),1.0)</f>
        <v>1</v>
      </c>
    </row>
    <row r="64">
      <c r="A64" s="4"/>
      <c r="C64" s="4" t="s">
        <v>2913</v>
      </c>
      <c r="D64" s="4" t="str">
        <f t="shared" si="1"/>
        <v>{"valorA":"incrível","valorB":2}</v>
      </c>
      <c r="E64" s="8" t="str">
        <f t="shared" si="2"/>
        <v>incrível</v>
      </c>
      <c r="F64" s="8" t="str">
        <f>IFERROR(__xludf.DUMMYFUNCTION("""COMPUTED_VALUE"""),"refrigerador")</f>
        <v>refrigerador</v>
      </c>
      <c r="G64" s="8" t="str">
        <f t="shared" si="3"/>
        <v>2</v>
      </c>
      <c r="H64" s="9">
        <f t="shared" si="4"/>
        <v>2</v>
      </c>
      <c r="I64" s="10">
        <f>IFERROR(__xludf.DUMMYFUNCTION("MAX(FILTER($H$2:$H378,$E$2:$E378=F64))"),2.0)</f>
        <v>2</v>
      </c>
    </row>
    <row r="65">
      <c r="A65" s="4"/>
      <c r="C65" s="4" t="s">
        <v>2646</v>
      </c>
      <c r="D65" s="4" t="str">
        <f t="shared" si="1"/>
        <v>{"valorA":"perfeitamente","valorB":1}</v>
      </c>
      <c r="E65" s="8" t="str">
        <f t="shared" si="2"/>
        <v>perfeitamente</v>
      </c>
      <c r="F65" s="8" t="str">
        <f>IFERROR(__xludf.DUMMYFUNCTION("""COMPUTED_VALUE"""),"funcionalidade")</f>
        <v>funcionalidade</v>
      </c>
      <c r="G65" s="8" t="str">
        <f t="shared" si="3"/>
        <v>1</v>
      </c>
      <c r="H65" s="9">
        <f t="shared" si="4"/>
        <v>1</v>
      </c>
      <c r="I65" s="10">
        <f>IFERROR(__xludf.DUMMYFUNCTION("MAX(FILTER($H$2:$H378,$E$2:$E378=F65))"),1.0)</f>
        <v>1</v>
      </c>
    </row>
    <row r="66">
      <c r="A66" s="4"/>
      <c r="C66" s="4" t="s">
        <v>2767</v>
      </c>
      <c r="D66" s="4" t="str">
        <f t="shared" si="1"/>
        <v>{"valorA":"é","valorB":3}</v>
      </c>
      <c r="E66" s="8" t="str">
        <f t="shared" si="2"/>
        <v>é</v>
      </c>
      <c r="F66" s="8" t="str">
        <f>IFERROR(__xludf.DUMMYFUNCTION("""COMPUTED_VALUE"""),"perfeita")</f>
        <v>perfeita</v>
      </c>
      <c r="G66" s="8" t="str">
        <f t="shared" si="3"/>
        <v>3</v>
      </c>
      <c r="H66" s="9">
        <f t="shared" si="4"/>
        <v>3</v>
      </c>
      <c r="I66" s="10">
        <f>IFERROR(__xludf.DUMMYFUNCTION("MAX(FILTER($H$2:$H378,$E$2:$E378=F66))"),1.0)</f>
        <v>1</v>
      </c>
    </row>
    <row r="67">
      <c r="A67" s="4"/>
      <c r="C67" s="4" t="s">
        <v>2651</v>
      </c>
      <c r="D67" s="4" t="str">
        <f t="shared" si="1"/>
        <v>{"valorA":"esse","valorB":2}</v>
      </c>
      <c r="E67" s="8" t="str">
        <f t="shared" si="2"/>
        <v>esse</v>
      </c>
      <c r="F67" s="8" t="str">
        <f>IFERROR(__xludf.DUMMYFUNCTION("""COMPUTED_VALUE"""),"mulheres")</f>
        <v>mulheres</v>
      </c>
      <c r="G67" s="8" t="str">
        <f t="shared" si="3"/>
        <v>2</v>
      </c>
      <c r="H67" s="9">
        <f t="shared" si="4"/>
        <v>2</v>
      </c>
      <c r="I67" s="10">
        <f>IFERROR(__xludf.DUMMYFUNCTION("MAX(FILTER($H$2:$H378,$E$2:$E378=F67))"),1.0)</f>
        <v>1</v>
      </c>
    </row>
    <row r="68">
      <c r="A68" s="4"/>
      <c r="C68" s="4" t="s">
        <v>2678</v>
      </c>
      <c r="D68" s="4" t="str">
        <f t="shared" si="1"/>
        <v>{"valorA":"funciona","valorB":2}</v>
      </c>
      <c r="E68" s="8" t="str">
        <f t="shared" si="2"/>
        <v>funciona</v>
      </c>
      <c r="F68" s="8" t="str">
        <f>IFERROR(__xludf.DUMMYFUNCTION("""COMPUTED_VALUE"""),"relojoeiro")</f>
        <v>relojoeiro</v>
      </c>
      <c r="G68" s="8" t="str">
        <f t="shared" si="3"/>
        <v>2</v>
      </c>
      <c r="H68" s="9">
        <f t="shared" si="4"/>
        <v>2</v>
      </c>
      <c r="I68" s="10">
        <f>IFERROR(__xludf.DUMMYFUNCTION("MAX(FILTER($H$2:$H378,$E$2:$E378=F68))"),2.0)</f>
        <v>2</v>
      </c>
    </row>
    <row r="69">
      <c r="A69" s="4"/>
      <c r="C69" s="4" t="s">
        <v>2819</v>
      </c>
      <c r="D69" s="4" t="str">
        <f t="shared" si="1"/>
        <v>{"valorA":"é","valorB":4}</v>
      </c>
      <c r="E69" s="8" t="str">
        <f t="shared" si="2"/>
        <v>é</v>
      </c>
      <c r="F69" s="8" t="str">
        <f>IFERROR(__xludf.DUMMYFUNCTION("""COMPUTED_VALUE"""),"televisão")</f>
        <v>televisão</v>
      </c>
      <c r="G69" s="8" t="str">
        <f t="shared" si="3"/>
        <v>4</v>
      </c>
      <c r="H69" s="9">
        <f t="shared" si="4"/>
        <v>4</v>
      </c>
      <c r="I69" s="10">
        <f>IFERROR(__xludf.DUMMYFUNCTION("MAX(FILTER($H$2:$H378,$E$2:$E378=F69))"),1.0)</f>
        <v>1</v>
      </c>
    </row>
    <row r="70">
      <c r="A70" s="4"/>
      <c r="C70" s="4" t="s">
        <v>2736</v>
      </c>
      <c r="D70" s="4" t="str">
        <f t="shared" si="1"/>
        <v>{"valorA":"de","valorB":3}</v>
      </c>
      <c r="E70" s="8" t="str">
        <f t="shared" si="2"/>
        <v>de</v>
      </c>
      <c r="F70" s="8" t="str">
        <f>IFERROR(__xludf.DUMMYFUNCTION("""COMPUTED_VALUE"""),"comprimento")</f>
        <v>comprimento</v>
      </c>
      <c r="G70" s="8" t="str">
        <f t="shared" si="3"/>
        <v>3</v>
      </c>
      <c r="H70" s="9">
        <f t="shared" si="4"/>
        <v>3</v>
      </c>
      <c r="I70" s="10">
        <f>IFERROR(__xludf.DUMMYFUNCTION("MAX(FILTER($H$2:$H378,$E$2:$E378=F70))"),2.0)</f>
        <v>2</v>
      </c>
    </row>
    <row r="71">
      <c r="A71" s="4"/>
      <c r="C71" s="4" t="s">
        <v>2723</v>
      </c>
      <c r="D71" s="4" t="str">
        <f t="shared" si="1"/>
        <v>{"valorA":"usar","valorB":2}</v>
      </c>
      <c r="E71" s="8" t="str">
        <f t="shared" si="2"/>
        <v>usar</v>
      </c>
      <c r="F71" s="8" t="str">
        <f>IFERROR(__xludf.DUMMYFUNCTION("""COMPUTED_VALUE"""),"corda")</f>
        <v>corda</v>
      </c>
      <c r="G71" s="8" t="str">
        <f t="shared" si="3"/>
        <v>2</v>
      </c>
      <c r="H71" s="9">
        <f t="shared" si="4"/>
        <v>2</v>
      </c>
      <c r="I71" s="10">
        <f>IFERROR(__xludf.DUMMYFUNCTION("MAX(FILTER($H$2:$H378,$E$2:$E378=F71))"),1.0)</f>
        <v>1</v>
      </c>
    </row>
    <row r="72">
      <c r="A72" s="4"/>
      <c r="C72" s="4" t="s">
        <v>2673</v>
      </c>
      <c r="D72" s="4" t="str">
        <f t="shared" si="1"/>
        <v>{"valorA":"ótimo","valorB":8}</v>
      </c>
      <c r="E72" s="8" t="str">
        <f t="shared" si="2"/>
        <v>ótimo</v>
      </c>
      <c r="F72" s="8" t="str">
        <f>IFERROR(__xludf.DUMMYFUNCTION("""COMPUTED_VALUE"""),"esta")</f>
        <v>esta</v>
      </c>
      <c r="G72" s="8" t="str">
        <f t="shared" si="3"/>
        <v>8</v>
      </c>
      <c r="H72" s="9">
        <f t="shared" si="4"/>
        <v>8</v>
      </c>
      <c r="I72" s="10">
        <f>IFERROR(__xludf.DUMMYFUNCTION("MAX(FILTER($H$2:$H378,$E$2:$E378=F72))"),1.0)</f>
        <v>1</v>
      </c>
    </row>
    <row r="73">
      <c r="A73" s="4"/>
      <c r="C73" s="4" t="s">
        <v>3415</v>
      </c>
      <c r="D73" s="4" t="str">
        <f t="shared" si="1"/>
        <v>{"valorA":"frigorifico","valorB":1}</v>
      </c>
      <c r="E73" s="8" t="str">
        <f t="shared" si="2"/>
        <v>frigorifico</v>
      </c>
      <c r="F73" s="8" t="str">
        <f>IFERROR(__xludf.DUMMYFUNCTION("""COMPUTED_VALUE"""),"foto")</f>
        <v>foto</v>
      </c>
      <c r="G73" s="8" t="str">
        <f t="shared" si="3"/>
        <v>1</v>
      </c>
      <c r="H73" s="9">
        <f t="shared" si="4"/>
        <v>1</v>
      </c>
      <c r="I73" s="10">
        <f>IFERROR(__xludf.DUMMYFUNCTION("MAX(FILTER($H$2:$H378,$E$2:$E378=F73))"),1.0)</f>
        <v>1</v>
      </c>
    </row>
    <row r="74">
      <c r="A74" s="4"/>
      <c r="C74" s="4" t="s">
        <v>2721</v>
      </c>
      <c r="D74" s="4" t="str">
        <f t="shared" si="1"/>
        <v>{"valorA":"e","valorB":4}</v>
      </c>
      <c r="E74" s="8" t="str">
        <f t="shared" si="2"/>
        <v>e</v>
      </c>
      <c r="F74" s="8" t="str">
        <f>IFERROR(__xludf.DUMMYFUNCTION("""COMPUTED_VALUE"""),"incríveis")</f>
        <v>incríveis</v>
      </c>
      <c r="G74" s="8" t="str">
        <f t="shared" si="3"/>
        <v>4</v>
      </c>
      <c r="H74" s="9">
        <f t="shared" si="4"/>
        <v>4</v>
      </c>
      <c r="I74" s="10">
        <f>IFERROR(__xludf.DUMMYFUNCTION("MAX(FILTER($H$2:$H378,$E$2:$E378=F74))"),1.0)</f>
        <v>1</v>
      </c>
    </row>
    <row r="75">
      <c r="A75" s="4"/>
      <c r="C75" s="4" t="s">
        <v>2722</v>
      </c>
      <c r="D75" s="4" t="str">
        <f t="shared" si="1"/>
        <v>{"valorA":"fácil","valorB":2}</v>
      </c>
      <c r="E75" s="8" t="str">
        <f t="shared" si="2"/>
        <v>fácil</v>
      </c>
      <c r="F75" s="8" t="str">
        <f>IFERROR(__xludf.DUMMYFUNCTION("""COMPUTED_VALUE"""),"câmera")</f>
        <v>câmera</v>
      </c>
      <c r="G75" s="8" t="str">
        <f t="shared" si="3"/>
        <v>2</v>
      </c>
      <c r="H75" s="9">
        <f t="shared" si="4"/>
        <v>2</v>
      </c>
      <c r="I75" s="10">
        <f>IFERROR(__xludf.DUMMYFUNCTION("MAX(FILTER($H$2:$H378,$E$2:$E378=F75))"),1.0)</f>
        <v>1</v>
      </c>
    </row>
    <row r="76">
      <c r="A76" s="4"/>
      <c r="C76" s="4" t="s">
        <v>2684</v>
      </c>
      <c r="D76" s="4" t="str">
        <f t="shared" si="1"/>
        <v>{"valorA":"ótimo","valorB":9}</v>
      </c>
      <c r="E76" s="8" t="str">
        <f t="shared" si="2"/>
        <v>ótimo</v>
      </c>
      <c r="F76" s="8" t="str">
        <f>IFERROR(__xludf.DUMMYFUNCTION("""COMPUTED_VALUE"""),"dessa")</f>
        <v>dessa</v>
      </c>
      <c r="G76" s="8" t="str">
        <f t="shared" si="3"/>
        <v>9</v>
      </c>
      <c r="H76" s="9">
        <f t="shared" si="4"/>
        <v>9</v>
      </c>
      <c r="I76" s="10">
        <f>IFERROR(__xludf.DUMMYFUNCTION("MAX(FILTER($H$2:$H378,$E$2:$E378=F76))"),1.0)</f>
        <v>1</v>
      </c>
    </row>
    <row r="77">
      <c r="A77" s="4"/>
      <c r="C77" s="4" t="s">
        <v>3594</v>
      </c>
      <c r="D77" s="4" t="str">
        <f t="shared" si="1"/>
        <v>{"valorA":"seu","valorB":1}</v>
      </c>
      <c r="E77" s="8" t="str">
        <f t="shared" si="2"/>
        <v>seu</v>
      </c>
      <c r="F77" s="8" t="str">
        <f>IFERROR(__xludf.DUMMYFUNCTION("""COMPUTED_VALUE"""),"empresa")</f>
        <v>empresa</v>
      </c>
      <c r="G77" s="8" t="str">
        <f t="shared" si="3"/>
        <v>1</v>
      </c>
      <c r="H77" s="9">
        <f t="shared" si="4"/>
        <v>1</v>
      </c>
      <c r="I77" s="10">
        <f>IFERROR(__xludf.DUMMYFUNCTION("MAX(FILTER($H$2:$H378,$E$2:$E378=F77))"),1.0)</f>
        <v>1</v>
      </c>
    </row>
    <row r="78">
      <c r="A78" s="4"/>
      <c r="C78" s="4" t="s">
        <v>2951</v>
      </c>
      <c r="D78" s="4" t="str">
        <f t="shared" si="1"/>
        <v>{"valorA":"carro","valorB":2}</v>
      </c>
      <c r="E78" s="8" t="str">
        <f t="shared" si="2"/>
        <v>carro</v>
      </c>
      <c r="F78" s="8" t="str">
        <f>IFERROR(__xludf.DUMMYFUNCTION("""COMPUTED_VALUE"""),"conditionador")</f>
        <v>conditionador</v>
      </c>
      <c r="G78" s="8" t="str">
        <f t="shared" si="3"/>
        <v>2</v>
      </c>
      <c r="H78" s="9">
        <f t="shared" si="4"/>
        <v>2</v>
      </c>
      <c r="I78" s="10">
        <f>IFERROR(__xludf.DUMMYFUNCTION("MAX(FILTER($H$2:$H378,$E$2:$E378=F78))"),1.0)</f>
        <v>1</v>
      </c>
    </row>
    <row r="79">
      <c r="A79" s="4"/>
      <c r="C79" s="4" t="s">
        <v>3595</v>
      </c>
      <c r="D79" s="4" t="str">
        <f t="shared" si="1"/>
        <v>{"valorA":"no","valorB":1}</v>
      </c>
      <c r="E79" s="8" t="str">
        <f t="shared" si="2"/>
        <v>no</v>
      </c>
      <c r="F79" s="8" t="str">
        <f>IFERROR(__xludf.DUMMYFUNCTION("""COMPUTED_VALUE"""),"cabelos")</f>
        <v>cabelos</v>
      </c>
      <c r="G79" s="8" t="str">
        <f t="shared" si="3"/>
        <v>1</v>
      </c>
      <c r="H79" s="9">
        <f t="shared" si="4"/>
        <v>1</v>
      </c>
      <c r="I79" s="10">
        <f>IFERROR(__xludf.DUMMYFUNCTION("MAX(FILTER($H$2:$H378,$E$2:$E378=F79))"),1.0)</f>
        <v>1</v>
      </c>
    </row>
    <row r="80">
      <c r="A80" s="4"/>
      <c r="C80" s="4" t="s">
        <v>2655</v>
      </c>
      <c r="D80" s="4" t="str">
        <f t="shared" si="1"/>
        <v>{"valorA":"preço","valorB":1}</v>
      </c>
      <c r="E80" s="8" t="str">
        <f t="shared" si="2"/>
        <v>preço</v>
      </c>
      <c r="F80" s="8" t="str">
        <f>IFERROR(__xludf.DUMMYFUNCTION("""COMPUTED_VALUE"""),"creme")</f>
        <v>creme</v>
      </c>
      <c r="G80" s="8" t="str">
        <f t="shared" si="3"/>
        <v>1</v>
      </c>
      <c r="H80" s="9">
        <f t="shared" si="4"/>
        <v>1</v>
      </c>
      <c r="I80" s="10">
        <f>IFERROR(__xludf.DUMMYFUNCTION("MAX(FILTER($H$2:$H378,$E$2:$E378=F80))"),1.0)</f>
        <v>1</v>
      </c>
    </row>
    <row r="81">
      <c r="A81" s="4"/>
      <c r="C81" s="4" t="s">
        <v>2731</v>
      </c>
      <c r="D81" s="4" t="str">
        <f t="shared" si="1"/>
        <v>{"valorA":"bem","valorB":2}</v>
      </c>
      <c r="E81" s="8" t="str">
        <f t="shared" si="2"/>
        <v>bem</v>
      </c>
      <c r="F81" s="8" t="str">
        <f>IFERROR(__xludf.DUMMYFUNCTION("""COMPUTED_VALUE"""),"pele")</f>
        <v>pele</v>
      </c>
      <c r="G81" s="8" t="str">
        <f t="shared" si="3"/>
        <v>2</v>
      </c>
      <c r="H81" s="9">
        <f t="shared" si="4"/>
        <v>2</v>
      </c>
      <c r="I81" s="10">
        <f>IFERROR(__xludf.DUMMYFUNCTION("MAX(FILTER($H$2:$H378,$E$2:$E378=F81))"),1.0)</f>
        <v>1</v>
      </c>
    </row>
    <row r="82">
      <c r="A82" s="4"/>
      <c r="C82" s="4" t="s">
        <v>2714</v>
      </c>
      <c r="D82" s="4" t="str">
        <f t="shared" si="1"/>
        <v>{"valorA":"perfeitamente","valorB":2}</v>
      </c>
      <c r="E82" s="8" t="str">
        <f t="shared" si="2"/>
        <v>perfeitamente</v>
      </c>
      <c r="F82" s="8" t="str">
        <f>IFERROR(__xludf.DUMMYFUNCTION("""COMPUTED_VALUE"""),"está")</f>
        <v>está</v>
      </c>
      <c r="G82" s="8" t="str">
        <f t="shared" si="3"/>
        <v>2</v>
      </c>
      <c r="H82" s="9">
        <f t="shared" si="4"/>
        <v>2</v>
      </c>
      <c r="I82" s="10">
        <f>IFERROR(__xludf.DUMMYFUNCTION("MAX(FILTER($H$2:$H378,$E$2:$E378=F82))"),1.0)</f>
        <v>1</v>
      </c>
    </row>
    <row r="83">
      <c r="A83" s="4"/>
      <c r="C83" s="4" t="s">
        <v>2712</v>
      </c>
      <c r="D83" s="4" t="str">
        <f t="shared" si="1"/>
        <v>{"valorA":"funciona","valorB":3}</v>
      </c>
      <c r="E83" s="8" t="str">
        <f t="shared" si="2"/>
        <v>funciona</v>
      </c>
      <c r="F83" s="8" t="str">
        <f>IFERROR(__xludf.DUMMYFUNCTION("""COMPUTED_VALUE"""),"agora")</f>
        <v>agora</v>
      </c>
      <c r="G83" s="8" t="str">
        <f t="shared" si="3"/>
        <v>3</v>
      </c>
      <c r="H83" s="9">
        <f t="shared" si="4"/>
        <v>3</v>
      </c>
      <c r="I83" s="10">
        <f>IFERROR(__xludf.DUMMYFUNCTION("MAX(FILTER($H$2:$H378,$E$2:$E378=F83))"),1.0)</f>
        <v>1</v>
      </c>
    </row>
    <row r="84">
      <c r="A84" s="4"/>
      <c r="C84" s="4" t="s">
        <v>2667</v>
      </c>
      <c r="D84" s="4" t="str">
        <f t="shared" si="1"/>
        <v>{"valorA":"produto","valorB":4}</v>
      </c>
      <c r="E84" s="8" t="str">
        <f t="shared" si="2"/>
        <v>produto</v>
      </c>
      <c r="F84" s="8" t="str">
        <f>IFERROR(__xludf.DUMMYFUNCTION("""COMPUTED_VALUE"""),"suave")</f>
        <v>suave</v>
      </c>
      <c r="G84" s="8" t="str">
        <f t="shared" si="3"/>
        <v>4</v>
      </c>
      <c r="H84" s="9">
        <f t="shared" si="4"/>
        <v>4</v>
      </c>
      <c r="I84" s="10">
        <f>IFERROR(__xludf.DUMMYFUNCTION("MAX(FILTER($H$2:$H378,$E$2:$E378=F84))"),1.0)</f>
        <v>1</v>
      </c>
    </row>
    <row r="85">
      <c r="A85" s="4"/>
      <c r="C85" s="4" t="s">
        <v>2690</v>
      </c>
      <c r="D85" s="4" t="str">
        <f t="shared" si="1"/>
        <v>{"valorA":"ótimo","valorB":10}</v>
      </c>
      <c r="E85" s="8" t="str">
        <f t="shared" si="2"/>
        <v>ótimo</v>
      </c>
      <c r="F85" s="8" t="str">
        <f>IFERROR(__xludf.DUMMYFUNCTION("""COMPUTED_VALUE"""),"comentário")</f>
        <v>comentário</v>
      </c>
      <c r="G85" s="8" t="str">
        <f t="shared" si="3"/>
        <v>10</v>
      </c>
      <c r="H85" s="9">
        <f t="shared" si="4"/>
        <v>10</v>
      </c>
      <c r="I85" s="10">
        <f>IFERROR(__xludf.DUMMYFUNCTION("MAX(FILTER($H$2:$H378,$E$2:$E378=F85))"),1.0)</f>
        <v>1</v>
      </c>
    </row>
    <row r="86">
      <c r="A86" s="4"/>
      <c r="C86" s="4" t="s">
        <v>2724</v>
      </c>
      <c r="D86" s="4" t="str">
        <f t="shared" si="1"/>
        <v>{"valorA":"recomendo","valorB":1}</v>
      </c>
      <c r="E86" s="8" t="str">
        <f t="shared" si="2"/>
        <v>recomendo</v>
      </c>
      <c r="F86" s="8" t="str">
        <f>IFERROR(__xludf.DUMMYFUNCTION("""COMPUTED_VALUE"""),"hidratante")</f>
        <v>hidratante</v>
      </c>
      <c r="G86" s="8" t="str">
        <f t="shared" si="3"/>
        <v>1</v>
      </c>
      <c r="H86" s="9">
        <f t="shared" si="4"/>
        <v>1</v>
      </c>
      <c r="I86" s="10">
        <f>IFERROR(__xludf.DUMMYFUNCTION("MAX(FILTER($H$2:$H378,$E$2:$E378=F86))"),1.0)</f>
        <v>1</v>
      </c>
    </row>
    <row r="87">
      <c r="A87" s="4"/>
      <c r="C87" s="4" t="s">
        <v>2698</v>
      </c>
      <c r="D87" s="4" t="str">
        <f t="shared" si="1"/>
        <v>{"valorA":"ótimo","valorB":11}</v>
      </c>
      <c r="E87" s="8" t="str">
        <f t="shared" si="2"/>
        <v>ótimo</v>
      </c>
      <c r="F87" s="8" t="str">
        <f>IFERROR(__xludf.DUMMYFUNCTION("""COMPUTED_VALUE"""),"feito")</f>
        <v>feito</v>
      </c>
      <c r="G87" s="8" t="str">
        <f t="shared" si="3"/>
        <v>11</v>
      </c>
      <c r="H87" s="9">
        <f t="shared" si="4"/>
        <v>11</v>
      </c>
      <c r="I87" s="10">
        <f>IFERROR(__xludf.DUMMYFUNCTION("MAX(FILTER($H$2:$H378,$E$2:$E378=F87))"),1.0)</f>
        <v>1</v>
      </c>
    </row>
    <row r="88">
      <c r="A88" s="4"/>
      <c r="C88" s="4" t="s">
        <v>2715</v>
      </c>
      <c r="D88" s="4" t="str">
        <f t="shared" si="1"/>
        <v>{"valorA":"funciona","valorB":4}</v>
      </c>
      <c r="E88" s="8" t="str">
        <f t="shared" si="2"/>
        <v>funciona</v>
      </c>
      <c r="F88" s="8" t="str">
        <f>IFERROR(__xludf.DUMMYFUNCTION("""COMPUTED_VALUE"""),"entrega")</f>
        <v>entrega</v>
      </c>
      <c r="G88" s="8" t="str">
        <f t="shared" si="3"/>
        <v>4</v>
      </c>
      <c r="H88" s="9">
        <f t="shared" si="4"/>
        <v>4</v>
      </c>
      <c r="I88" s="10">
        <f>IFERROR(__xludf.DUMMYFUNCTION("MAX(FILTER($H$2:$H378,$E$2:$E378=F88))"),1.0)</f>
        <v>1</v>
      </c>
    </row>
    <row r="89">
      <c r="A89" s="4"/>
      <c r="C89" s="4" t="s">
        <v>2674</v>
      </c>
      <c r="D89" s="4" t="str">
        <f t="shared" si="1"/>
        <v>{"valorA":"produto","valorB":5}</v>
      </c>
      <c r="E89" s="8" t="str">
        <f t="shared" si="2"/>
        <v>produto</v>
      </c>
      <c r="F89" s="8" t="str">
        <f>IFERROR(__xludf.DUMMYFUNCTION("""COMPUTED_VALUE"""),"emocionante")</f>
        <v>emocionante</v>
      </c>
      <c r="G89" s="8" t="str">
        <f t="shared" si="3"/>
        <v>5</v>
      </c>
      <c r="H89" s="9">
        <f t="shared" si="4"/>
        <v>5</v>
      </c>
      <c r="I89" s="10">
        <f>IFERROR(__xludf.DUMMYFUNCTION("MAX(FILTER($H$2:$H378,$E$2:$E378=F89))"),1.0)</f>
        <v>1</v>
      </c>
    </row>
    <row r="90">
      <c r="A90" s="4"/>
      <c r="C90" s="4" t="s">
        <v>3596</v>
      </c>
      <c r="D90" s="4" t="str">
        <f t="shared" si="1"/>
        <v>{"valorA":"desatendido","valorB":1}</v>
      </c>
      <c r="E90" s="8" t="str">
        <f t="shared" si="2"/>
        <v>desatendido</v>
      </c>
      <c r="F90" s="8" t="str">
        <f>IFERROR(__xludf.DUMMYFUNCTION("""COMPUTED_VALUE"""),"rápida")</f>
        <v>rápida</v>
      </c>
      <c r="G90" s="8" t="str">
        <f t="shared" si="3"/>
        <v>1</v>
      </c>
      <c r="H90" s="9">
        <f t="shared" si="4"/>
        <v>1</v>
      </c>
      <c r="I90" s="10">
        <f>IFERROR(__xludf.DUMMYFUNCTION("MAX(FILTER($H$2:$H378,$E$2:$E378=F90))"),1.0)</f>
        <v>1</v>
      </c>
    </row>
    <row r="91">
      <c r="A91" s="4"/>
      <c r="C91" s="4" t="s">
        <v>2775</v>
      </c>
      <c r="D91" s="4" t="str">
        <f t="shared" si="1"/>
        <v>{"valorA":"barato","valorB":1}</v>
      </c>
      <c r="E91" s="8" t="str">
        <f t="shared" si="2"/>
        <v>barato</v>
      </c>
      <c r="F91" s="8" t="str">
        <f>IFERROR(__xludf.DUMMYFUNCTION("""COMPUTED_VALUE"""),"bolso")</f>
        <v>bolso</v>
      </c>
      <c r="G91" s="8" t="str">
        <f t="shared" si="3"/>
        <v>1</v>
      </c>
      <c r="H91" s="9">
        <f t="shared" si="4"/>
        <v>1</v>
      </c>
      <c r="I91" s="10">
        <f>IFERROR(__xludf.DUMMYFUNCTION("MAX(FILTER($H$2:$H378,$E$2:$E378=F91))"),2.0)</f>
        <v>2</v>
      </c>
    </row>
    <row r="92">
      <c r="A92" s="4"/>
      <c r="C92" s="4" t="s">
        <v>2772</v>
      </c>
      <c r="D92" s="4" t="str">
        <f t="shared" si="1"/>
        <v>{"valorA":"mais","valorB":1}</v>
      </c>
      <c r="E92" s="8" t="str">
        <f t="shared" si="2"/>
        <v>mais</v>
      </c>
      <c r="F92" s="8" t="str">
        <f>IFERROR(__xludf.DUMMYFUNCTION("""COMPUTED_VALUE"""),"o")</f>
        <v>o</v>
      </c>
      <c r="G92" s="8" t="str">
        <f t="shared" si="3"/>
        <v>1</v>
      </c>
      <c r="H92" s="9">
        <f t="shared" si="4"/>
        <v>1</v>
      </c>
      <c r="I92" s="10">
        <f>IFERROR(__xludf.DUMMYFUNCTION("MAX(FILTER($H$2:$H378,$E$2:$E378=F92))"),3.0)</f>
        <v>3</v>
      </c>
    </row>
    <row r="93">
      <c r="A93" s="4"/>
      <c r="C93" s="4" t="s">
        <v>2789</v>
      </c>
      <c r="D93" s="4" t="str">
        <f t="shared" si="1"/>
        <v>{"valorA":"esse","valorB":3}</v>
      </c>
      <c r="E93" s="8" t="str">
        <f t="shared" si="2"/>
        <v>esse</v>
      </c>
      <c r="F93" s="8" t="str">
        <f>IFERROR(__xludf.DUMMYFUNCTION("""COMPUTED_VALUE"""),"perfeito")</f>
        <v>perfeito</v>
      </c>
      <c r="G93" s="8" t="str">
        <f t="shared" si="3"/>
        <v>3</v>
      </c>
      <c r="H93" s="9">
        <f t="shared" si="4"/>
        <v>3</v>
      </c>
      <c r="I93" s="10">
        <f>IFERROR(__xludf.DUMMYFUNCTION("MAX(FILTER($H$2:$H378,$E$2:$E378=F93))"),2.0)</f>
        <v>2</v>
      </c>
    </row>
    <row r="94">
      <c r="A94" s="4"/>
      <c r="C94" s="4" t="s">
        <v>2782</v>
      </c>
      <c r="D94" s="4" t="str">
        <f t="shared" si="1"/>
        <v>{"valorA":"bem","valorB":3}</v>
      </c>
      <c r="E94" s="8" t="str">
        <f t="shared" si="2"/>
        <v>bem</v>
      </c>
      <c r="F94" s="8" t="str">
        <f>IFERROR(__xludf.DUMMYFUNCTION("""COMPUTED_VALUE"""),"televisor")</f>
        <v>televisor</v>
      </c>
      <c r="G94" s="8" t="str">
        <f t="shared" si="3"/>
        <v>3</v>
      </c>
      <c r="H94" s="9">
        <f t="shared" si="4"/>
        <v>3</v>
      </c>
      <c r="I94" s="10">
        <f>IFERROR(__xludf.DUMMYFUNCTION("MAX(FILTER($H$2:$H378,$E$2:$E378=F94))"),1.0)</f>
        <v>1</v>
      </c>
    </row>
    <row r="95">
      <c r="A95" s="4"/>
      <c r="C95" s="4" t="s">
        <v>2740</v>
      </c>
      <c r="D95" s="4" t="str">
        <f t="shared" si="1"/>
        <v>{"valorA":"e","valorB":5}</v>
      </c>
      <c r="E95" s="8" t="str">
        <f t="shared" si="2"/>
        <v>e</v>
      </c>
      <c r="F95" s="8" t="str">
        <f>IFERROR(__xludf.DUMMYFUNCTION("""COMPUTED_VALUE"""),"melhor")</f>
        <v>melhor</v>
      </c>
      <c r="G95" s="8" t="str">
        <f t="shared" si="3"/>
        <v>5</v>
      </c>
      <c r="H95" s="9">
        <f t="shared" si="4"/>
        <v>5</v>
      </c>
      <c r="I95" s="10">
        <f>IFERROR(__xludf.DUMMYFUNCTION("MAX(FILTER($H$2:$H378,$E$2:$E378=F95))"),1.0)</f>
        <v>1</v>
      </c>
    </row>
    <row r="96">
      <c r="A96" s="4"/>
      <c r="C96" s="4" t="s">
        <v>2879</v>
      </c>
      <c r="D96" s="4" t="str">
        <f t="shared" si="1"/>
        <v>{"valorA":"bem","valorB":4}</v>
      </c>
      <c r="E96" s="8" t="str">
        <f t="shared" si="2"/>
        <v>bem</v>
      </c>
      <c r="F96" s="8" t="str">
        <f>IFERROR(__xludf.DUMMYFUNCTION("""COMPUTED_VALUE"""),"antigo")</f>
        <v>antigo</v>
      </c>
      <c r="G96" s="8" t="str">
        <f t="shared" si="3"/>
        <v>4</v>
      </c>
      <c r="H96" s="9">
        <f t="shared" si="4"/>
        <v>4</v>
      </c>
      <c r="I96" s="10">
        <f>IFERROR(__xludf.DUMMYFUNCTION("MAX(FILTER($H$2:$H378,$E$2:$E378=F96))"),2.0)</f>
        <v>2</v>
      </c>
    </row>
    <row r="97">
      <c r="A97" s="4"/>
      <c r="C97" s="4" t="s">
        <v>2874</v>
      </c>
      <c r="D97" s="4" t="str">
        <f t="shared" si="1"/>
        <v>{"valorA":"esse","valorB":4}</v>
      </c>
      <c r="E97" s="8" t="str">
        <f t="shared" si="2"/>
        <v>esse</v>
      </c>
      <c r="F97" s="8" t="str">
        <f>IFERROR(__xludf.DUMMYFUNCTION("""COMPUTED_VALUE"""),"adora")</f>
        <v>adora</v>
      </c>
      <c r="G97" s="8" t="str">
        <f t="shared" si="3"/>
        <v>4</v>
      </c>
      <c r="H97" s="9">
        <f t="shared" si="4"/>
        <v>4</v>
      </c>
      <c r="I97" s="10">
        <f>IFERROR(__xludf.DUMMYFUNCTION("MAX(FILTER($H$2:$H378,$E$2:$E378=F97))"),2.0)</f>
        <v>2</v>
      </c>
    </row>
    <row r="98">
      <c r="A98" s="4"/>
      <c r="C98" s="4" t="s">
        <v>2738</v>
      </c>
      <c r="D98" s="4" t="str">
        <f t="shared" si="1"/>
        <v>{"valorA":"de","valorB":4}</v>
      </c>
      <c r="E98" s="8" t="str">
        <f t="shared" si="2"/>
        <v>de</v>
      </c>
      <c r="F98" s="8" t="str">
        <f>IFERROR(__xludf.DUMMYFUNCTION("""COMPUTED_VALUE"""),"com")</f>
        <v>com</v>
      </c>
      <c r="G98" s="8" t="str">
        <f t="shared" si="3"/>
        <v>4</v>
      </c>
      <c r="H98" s="9">
        <f t="shared" si="4"/>
        <v>4</v>
      </c>
      <c r="I98" s="10">
        <f>IFERROR(__xludf.DUMMYFUNCTION("MAX(FILTER($H$2:$H378,$E$2:$E378=F98))"),2.0)</f>
        <v>2</v>
      </c>
    </row>
    <row r="99">
      <c r="A99" s="4"/>
      <c r="C99" s="4" t="s">
        <v>2792</v>
      </c>
      <c r="D99" s="4" t="str">
        <f t="shared" si="1"/>
        <v>{"valorA":"muito","valorB":5}</v>
      </c>
      <c r="E99" s="8" t="str">
        <f t="shared" si="2"/>
        <v>muito</v>
      </c>
      <c r="F99" s="8" t="str">
        <f>IFERROR(__xludf.DUMMYFUNCTION("""COMPUTED_VALUE"""),"filho")</f>
        <v>filho</v>
      </c>
      <c r="G99" s="8" t="str">
        <f t="shared" si="3"/>
        <v>5</v>
      </c>
      <c r="H99" s="9">
        <f t="shared" si="4"/>
        <v>5</v>
      </c>
      <c r="I99" s="10">
        <f>IFERROR(__xludf.DUMMYFUNCTION("MAX(FILTER($H$2:$H378,$E$2:$E378=F99))"),2.0)</f>
        <v>2</v>
      </c>
    </row>
    <row r="100">
      <c r="A100" s="4"/>
      <c r="C100" s="4" t="s">
        <v>2682</v>
      </c>
      <c r="D100" s="4" t="str">
        <f t="shared" si="1"/>
        <v>{"valorA":"produto","valorB":6}</v>
      </c>
      <c r="E100" s="8" t="str">
        <f t="shared" si="2"/>
        <v>produto</v>
      </c>
      <c r="F100" s="8" t="str">
        <f>IFERROR(__xludf.DUMMYFUNCTION("""COMPUTED_VALUE"""),"brincar")</f>
        <v>brincar</v>
      </c>
      <c r="G100" s="8" t="str">
        <f t="shared" si="3"/>
        <v>6</v>
      </c>
      <c r="H100" s="9">
        <f t="shared" si="4"/>
        <v>6</v>
      </c>
      <c r="I100" s="10">
        <f>IFERROR(__xludf.DUMMYFUNCTION("MAX(FILTER($H$2:$H378,$E$2:$E378=F100))"),2.0)</f>
        <v>2</v>
      </c>
    </row>
    <row r="101">
      <c r="A101" s="4"/>
      <c r="C101" s="4" t="s">
        <v>3597</v>
      </c>
      <c r="D101" s="4" t="str">
        <f t="shared" si="1"/>
        <v>{"valorA":"pano","valorB":1}</v>
      </c>
      <c r="E101" s="8" t="str">
        <f t="shared" si="2"/>
        <v>pano</v>
      </c>
      <c r="F101" s="8" t="str">
        <f>IFERROR(__xludf.DUMMYFUNCTION("""COMPUTED_VALUE"""),"ele")</f>
        <v>ele</v>
      </c>
      <c r="G101" s="8" t="str">
        <f t="shared" si="3"/>
        <v>1</v>
      </c>
      <c r="H101" s="9">
        <f t="shared" si="4"/>
        <v>1</v>
      </c>
      <c r="I101" s="10">
        <f>IFERROR(__xludf.DUMMYFUNCTION("MAX(FILTER($H$2:$H378,$E$2:$E378=F101))"),2.0)</f>
        <v>2</v>
      </c>
    </row>
    <row r="102">
      <c r="A102" s="4"/>
      <c r="C102" s="4" t="s">
        <v>2756</v>
      </c>
      <c r="D102" s="4" t="str">
        <f t="shared" si="1"/>
        <v>{"valorA":"funciona","valorB":5}</v>
      </c>
      <c r="E102" s="8" t="str">
        <f t="shared" si="2"/>
        <v>funciona</v>
      </c>
      <c r="F102" s="8" t="str">
        <f>IFERROR(__xludf.DUMMYFUNCTION("""COMPUTED_VALUE"""),"rápido")</f>
        <v>rápido</v>
      </c>
      <c r="G102" s="8" t="str">
        <f t="shared" si="3"/>
        <v>5</v>
      </c>
      <c r="H102" s="9">
        <f t="shared" si="4"/>
        <v>5</v>
      </c>
      <c r="I102" s="10">
        <f>IFERROR(__xludf.DUMMYFUNCTION("MAX(FILTER($H$2:$H378,$E$2:$E378=F102))"),1.0)</f>
        <v>1</v>
      </c>
    </row>
    <row r="103">
      <c r="A103" s="4"/>
      <c r="C103" s="4" t="s">
        <v>3598</v>
      </c>
      <c r="D103" s="4" t="str">
        <f t="shared" si="1"/>
        <v>{"valorA":"limpeza","valorB":1}</v>
      </c>
      <c r="E103" s="8" t="str">
        <f t="shared" si="2"/>
        <v>limpeza</v>
      </c>
      <c r="F103" s="8" t="str">
        <f>IFERROR(__xludf.DUMMYFUNCTION("""COMPUTED_VALUE"""),"satisfeito")</f>
        <v>satisfeito</v>
      </c>
      <c r="G103" s="8" t="str">
        <f t="shared" si="3"/>
        <v>1</v>
      </c>
      <c r="H103" s="9">
        <f t="shared" si="4"/>
        <v>1</v>
      </c>
      <c r="I103" s="10">
        <f>IFERROR(__xludf.DUMMYFUNCTION("MAX(FILTER($H$2:$H378,$E$2:$E378=F103))"),1.0)</f>
        <v>1</v>
      </c>
    </row>
    <row r="104">
      <c r="A104" s="4"/>
      <c r="C104" s="4" t="s">
        <v>2702</v>
      </c>
      <c r="D104" s="4" t="str">
        <f t="shared" si="1"/>
        <v>{"valorA":"ótimo","valorB":12}</v>
      </c>
      <c r="E104" s="8" t="str">
        <f t="shared" si="2"/>
        <v>ótimo</v>
      </c>
      <c r="F104" s="8" t="str">
        <f>IFERROR(__xludf.DUMMYFUNCTION("""COMPUTED_VALUE"""),"coment")</f>
        <v>coment</v>
      </c>
      <c r="G104" s="8" t="str">
        <f t="shared" si="3"/>
        <v>12</v>
      </c>
      <c r="H104" s="9">
        <f t="shared" si="4"/>
        <v>12</v>
      </c>
      <c r="I104" s="10">
        <f>IFERROR(__xludf.DUMMYFUNCTION("MAX(FILTER($H$2:$H378,$E$2:$E378=F104))"),1.0)</f>
        <v>1</v>
      </c>
    </row>
    <row r="105">
      <c r="A105" s="4"/>
      <c r="C105" s="4" t="s">
        <v>2902</v>
      </c>
      <c r="D105" s="4" t="str">
        <f t="shared" si="1"/>
        <v>{"valorA":"bem","valorB":5}</v>
      </c>
      <c r="E105" s="8" t="str">
        <f t="shared" si="2"/>
        <v>bem</v>
      </c>
      <c r="F105" s="8" t="str">
        <f>IFERROR(__xludf.DUMMYFUNCTION("""COMPUTED_VALUE"""),"mim")</f>
        <v>mim</v>
      </c>
      <c r="G105" s="8" t="str">
        <f t="shared" si="3"/>
        <v>5</v>
      </c>
      <c r="H105" s="9">
        <f t="shared" si="4"/>
        <v>5</v>
      </c>
      <c r="I105" s="10">
        <f>IFERROR(__xludf.DUMMYFUNCTION("MAX(FILTER($H$2:$H378,$E$2:$E378=F105))"),1.0)</f>
        <v>1</v>
      </c>
    </row>
    <row r="106">
      <c r="A106" s="4"/>
      <c r="C106" s="4" t="s">
        <v>2693</v>
      </c>
      <c r="D106" s="4" t="str">
        <f t="shared" si="1"/>
        <v>{"valorA":"produto","valorB":7}</v>
      </c>
      <c r="E106" s="8" t="str">
        <f t="shared" si="2"/>
        <v>produto</v>
      </c>
      <c r="F106" s="8" t="str">
        <f>IFERROR(__xludf.DUMMYFUNCTION("""COMPUTED_VALUE"""),"condicionador")</f>
        <v>condicionador</v>
      </c>
      <c r="G106" s="8" t="str">
        <f t="shared" si="3"/>
        <v>7</v>
      </c>
      <c r="H106" s="9">
        <f t="shared" si="4"/>
        <v>7</v>
      </c>
      <c r="I106" s="10">
        <f>IFERROR(__xludf.DUMMYFUNCTION("MAX(FILTER($H$2:$H378,$E$2:$E378=F106))"),1.0)</f>
        <v>1</v>
      </c>
    </row>
    <row r="107">
      <c r="A107" s="4"/>
      <c r="C107" s="4" t="s">
        <v>2710</v>
      </c>
      <c r="D107" s="4" t="str">
        <f t="shared" si="1"/>
        <v>{"valorA":"ótimo","valorB":13}</v>
      </c>
      <c r="E107" s="8" t="str">
        <f t="shared" si="2"/>
        <v>ótimo</v>
      </c>
      <c r="F107" s="8" t="str">
        <f>IFERROR(__xludf.DUMMYFUNCTION("""COMPUTED_VALUE"""),"ar")</f>
        <v>ar</v>
      </c>
      <c r="G107" s="8" t="str">
        <f t="shared" si="3"/>
        <v>13</v>
      </c>
      <c r="H107" s="9">
        <f t="shared" si="4"/>
        <v>13</v>
      </c>
      <c r="I107" s="10">
        <f>IFERROR(__xludf.DUMMYFUNCTION("MAX(FILTER($H$2:$H378,$E$2:$E378=F107))"),1.0)</f>
        <v>1</v>
      </c>
    </row>
    <row r="108">
      <c r="A108" s="4"/>
      <c r="C108" s="4" t="s">
        <v>2692</v>
      </c>
      <c r="D108" s="4" t="str">
        <f t="shared" si="1"/>
        <v>{"valorA":"adorei","valorB":1}</v>
      </c>
      <c r="E108" s="8" t="str">
        <f t="shared" si="2"/>
        <v>adorei</v>
      </c>
      <c r="F108" s="8" t="str">
        <f>IFERROR(__xludf.DUMMYFUNCTION("""COMPUTED_VALUE"""),"pena")</f>
        <v>pena</v>
      </c>
      <c r="G108" s="8" t="str">
        <f t="shared" si="3"/>
        <v>1</v>
      </c>
      <c r="H108" s="9">
        <f t="shared" si="4"/>
        <v>1</v>
      </c>
      <c r="I108" s="10">
        <f>IFERROR(__xludf.DUMMYFUNCTION("MAX(FILTER($H$2:$H378,$E$2:$E378=F108))"),1.0)</f>
        <v>1</v>
      </c>
    </row>
    <row r="109">
      <c r="A109" s="4"/>
      <c r="C109" s="4" t="s">
        <v>3025</v>
      </c>
      <c r="D109" s="4" t="str">
        <f t="shared" si="1"/>
        <v>{"valorA":"um","valorB":1}</v>
      </c>
      <c r="E109" s="8" t="str">
        <f t="shared" si="2"/>
        <v>um</v>
      </c>
      <c r="F109" s="8" t="str">
        <f>IFERROR(__xludf.DUMMYFUNCTION("""COMPUTED_VALUE"""),"realmente")</f>
        <v>realmente</v>
      </c>
      <c r="G109" s="8" t="str">
        <f t="shared" si="3"/>
        <v>1</v>
      </c>
      <c r="H109" s="9">
        <f t="shared" si="4"/>
        <v>1</v>
      </c>
      <c r="I109" s="10">
        <f>IFERROR(__xludf.DUMMYFUNCTION("MAX(FILTER($H$2:$H378,$E$2:$E378=F109))"),1.0)</f>
        <v>1</v>
      </c>
    </row>
    <row r="110">
      <c r="A110" s="4"/>
      <c r="C110" s="4" t="s">
        <v>2873</v>
      </c>
      <c r="D110" s="4" t="str">
        <f t="shared" si="1"/>
        <v>{"valorA":"relogio","valorB":1}</v>
      </c>
      <c r="E110" s="8" t="str">
        <f t="shared" si="2"/>
        <v>relogio</v>
      </c>
      <c r="F110" s="8" t="str">
        <f>IFERROR(__xludf.DUMMYFUNCTION("""COMPUTED_VALUE"""),"vale")</f>
        <v>vale</v>
      </c>
      <c r="G110" s="8" t="str">
        <f t="shared" si="3"/>
        <v>1</v>
      </c>
      <c r="H110" s="9">
        <f t="shared" si="4"/>
        <v>1</v>
      </c>
      <c r="I110" s="10">
        <f>IFERROR(__xludf.DUMMYFUNCTION("MAX(FILTER($H$2:$H378,$E$2:$E378=F110))"),1.0)</f>
        <v>1</v>
      </c>
    </row>
    <row r="111">
      <c r="A111" s="4"/>
      <c r="C111" s="4" t="s">
        <v>3480</v>
      </c>
      <c r="D111" s="4" t="str">
        <f t="shared" si="1"/>
        <v>{"valorA":"tem","valorB":1}</v>
      </c>
      <c r="E111" s="8" t="str">
        <f t="shared" si="2"/>
        <v>tem</v>
      </c>
      <c r="F111" s="8" t="str">
        <f>IFERROR(__xludf.DUMMYFUNCTION("""COMPUTED_VALUE"""),"comprar")</f>
        <v>comprar</v>
      </c>
      <c r="G111" s="8" t="str">
        <f t="shared" si="3"/>
        <v>1</v>
      </c>
      <c r="H111" s="9">
        <f t="shared" si="4"/>
        <v>1</v>
      </c>
      <c r="I111" s="10">
        <f>IFERROR(__xludf.DUMMYFUNCTION("MAX(FILTER($H$2:$H378,$E$2:$E378=F111))"),1.0)</f>
        <v>1</v>
      </c>
    </row>
    <row r="112">
      <c r="A112" s="4"/>
      <c r="C112" s="4" t="s">
        <v>2765</v>
      </c>
      <c r="D112" s="4" t="str">
        <f t="shared" si="1"/>
        <v>{"valorA":"funciona","valorB":6}</v>
      </c>
      <c r="E112" s="8" t="str">
        <f t="shared" si="2"/>
        <v>funciona</v>
      </c>
      <c r="F112" s="8" t="str">
        <f>IFERROR(__xludf.DUMMYFUNCTION("""COMPUTED_VALUE"""),"pega")</f>
        <v>pega</v>
      </c>
      <c r="G112" s="8" t="str">
        <f t="shared" si="3"/>
        <v>6</v>
      </c>
      <c r="H112" s="9">
        <f t="shared" si="4"/>
        <v>6</v>
      </c>
      <c r="I112" s="10">
        <f>IFERROR(__xludf.DUMMYFUNCTION("MAX(FILTER($H$2:$H378,$E$2:$E378=F112))"),1.0)</f>
        <v>1</v>
      </c>
    </row>
    <row r="113">
      <c r="A113" s="4"/>
      <c r="C113" s="4" t="s">
        <v>3599</v>
      </c>
      <c r="D113" s="4" t="str">
        <f t="shared" si="1"/>
        <v>{"valorA":"acessível","valorB":1}</v>
      </c>
      <c r="E113" s="8" t="str">
        <f t="shared" si="2"/>
        <v>acessível</v>
      </c>
      <c r="F113" s="8" t="str">
        <f>IFERROR(__xludf.DUMMYFUNCTION("""COMPUTED_VALUE"""),"cabo")</f>
        <v>cabo</v>
      </c>
      <c r="G113" s="8" t="str">
        <f t="shared" si="3"/>
        <v>1</v>
      </c>
      <c r="H113" s="9">
        <f t="shared" si="4"/>
        <v>1</v>
      </c>
      <c r="I113" s="10">
        <f>IFERROR(__xludf.DUMMYFUNCTION("MAX(FILTER($H$2:$H378,$E$2:$E378=F113))"),1.0)</f>
        <v>1</v>
      </c>
    </row>
    <row r="114">
      <c r="A114" s="4"/>
      <c r="C114" s="4" t="s">
        <v>2862</v>
      </c>
      <c r="D114" s="4" t="str">
        <f t="shared" si="1"/>
        <v>{"valorA":"é","valorB":5}</v>
      </c>
      <c r="E114" s="8" t="str">
        <f t="shared" si="2"/>
        <v>é</v>
      </c>
      <c r="F114" s="8" t="str">
        <f>IFERROR(__xludf.DUMMYFUNCTION("""COMPUTED_VALUE"""),"telefone")</f>
        <v>telefone</v>
      </c>
      <c r="G114" s="8" t="str">
        <f t="shared" si="3"/>
        <v>5</v>
      </c>
      <c r="H114" s="9">
        <f t="shared" si="4"/>
        <v>5</v>
      </c>
      <c r="I114" s="10">
        <f>IFERROR(__xludf.DUMMYFUNCTION("MAX(FILTER($H$2:$H378,$E$2:$E378=F114))"),1.0)</f>
        <v>1</v>
      </c>
    </row>
    <row r="115">
      <c r="A115" s="4"/>
      <c r="C115" s="4" t="s">
        <v>3600</v>
      </c>
      <c r="D115" s="4" t="str">
        <f t="shared" si="1"/>
        <v>{"valorA":"orçamento","valorB":1}</v>
      </c>
      <c r="E115" s="8" t="str">
        <f t="shared" si="2"/>
        <v>orçamento</v>
      </c>
      <c r="F115" s="8" t="str">
        <f>IFERROR(__xludf.DUMMYFUNCTION("""COMPUTED_VALUE"""),"excelente")</f>
        <v>excelente</v>
      </c>
      <c r="G115" s="8" t="str">
        <f t="shared" si="3"/>
        <v>1</v>
      </c>
      <c r="H115" s="9">
        <f t="shared" si="4"/>
        <v>1</v>
      </c>
      <c r="I115" s="10">
        <f>IFERROR(__xludf.DUMMYFUNCTION("MAX(FILTER($H$2:$H378,$E$2:$E378=F115))"),1.0)</f>
        <v>1</v>
      </c>
    </row>
    <row r="116">
      <c r="A116" s="4"/>
      <c r="C116" s="4" t="s">
        <v>3601</v>
      </c>
      <c r="D116" s="4" t="str">
        <f t="shared" si="1"/>
        <v>{"valorA":"limitado","valorB":1}</v>
      </c>
      <c r="E116" s="8" t="str">
        <f t="shared" si="2"/>
        <v>limitado</v>
      </c>
      <c r="F116" s="8"/>
      <c r="G116" s="8" t="str">
        <f t="shared" si="3"/>
        <v>1</v>
      </c>
      <c r="H116" s="9">
        <f t="shared" si="4"/>
        <v>1</v>
      </c>
      <c r="I116" s="6" t="str">
        <f>IFERROR(__xludf.DUMMYFUNCTION("MAX(FILTER($H$2:$H378,$E$2:$E378=F116))"),"#N/A")</f>
        <v>#N/A</v>
      </c>
    </row>
    <row r="117">
      <c r="A117" s="4"/>
      <c r="C117" s="4" t="s">
        <v>2627</v>
      </c>
      <c r="D117" s="4" t="str">
        <f t="shared" si="1"/>
        <v>{"valorA":"para","valorB":1}</v>
      </c>
      <c r="E117" s="8" t="str">
        <f t="shared" si="2"/>
        <v>para</v>
      </c>
      <c r="F117" s="8"/>
      <c r="G117" s="8" t="str">
        <f t="shared" si="3"/>
        <v>1</v>
      </c>
      <c r="H117" s="9">
        <f t="shared" si="4"/>
        <v>1</v>
      </c>
      <c r="I117" s="6" t="str">
        <f>IFERROR(__xludf.DUMMYFUNCTION("MAX(FILTER($H$2:$H378,$E$2:$E378=F117))"),"#N/A")</f>
        <v>#N/A</v>
      </c>
    </row>
    <row r="118">
      <c r="A118" s="4"/>
      <c r="C118" s="4" t="s">
        <v>2733</v>
      </c>
      <c r="D118" s="4" t="str">
        <f t="shared" si="1"/>
        <v>{"valorA":"quem","valorB":1}</v>
      </c>
      <c r="E118" s="8" t="str">
        <f t="shared" si="2"/>
        <v>quem</v>
      </c>
      <c r="F118" s="8"/>
      <c r="G118" s="8" t="str">
        <f t="shared" si="3"/>
        <v>1</v>
      </c>
      <c r="H118" s="9">
        <f t="shared" si="4"/>
        <v>1</v>
      </c>
      <c r="I118" s="6" t="str">
        <f>IFERROR(__xludf.DUMMYFUNCTION("MAX(FILTER($H$2:$H378,$E$2:$E378=F118))"),"#N/A")</f>
        <v>#N/A</v>
      </c>
    </row>
    <row r="119">
      <c r="A119" s="4"/>
      <c r="C119" s="4" t="s">
        <v>2718</v>
      </c>
      <c r="D119" s="4" t="str">
        <f t="shared" si="1"/>
        <v>{"valorA":"ótimo","valorB":14}</v>
      </c>
      <c r="E119" s="8" t="str">
        <f t="shared" si="2"/>
        <v>ótimo</v>
      </c>
      <c r="F119" s="8"/>
      <c r="G119" s="8" t="str">
        <f t="shared" si="3"/>
        <v>14</v>
      </c>
      <c r="H119" s="9">
        <f t="shared" si="4"/>
        <v>14</v>
      </c>
      <c r="I119" s="6" t="str">
        <f>IFERROR(__xludf.DUMMYFUNCTION("MAX(FILTER($H$2:$H378,$E$2:$E378=F119))"),"#N/A")</f>
        <v>#N/A</v>
      </c>
    </row>
    <row r="120">
      <c r="A120" s="4"/>
      <c r="C120" s="4" t="s">
        <v>3114</v>
      </c>
      <c r="D120" s="4" t="str">
        <f t="shared" si="1"/>
        <v>{"valorA":"bem","valorB":6}</v>
      </c>
      <c r="E120" s="8" t="str">
        <f t="shared" si="2"/>
        <v>bem</v>
      </c>
      <c r="F120" s="8"/>
      <c r="G120" s="8" t="str">
        <f t="shared" si="3"/>
        <v>6</v>
      </c>
      <c r="H120" s="9">
        <f t="shared" si="4"/>
        <v>6</v>
      </c>
      <c r="I120" s="6" t="str">
        <f>IFERROR(__xludf.DUMMYFUNCTION("MAX(FILTER($H$2:$H378,$E$2:$E378=F120))"),"#N/A")</f>
        <v>#N/A</v>
      </c>
    </row>
    <row r="121">
      <c r="A121" s="4"/>
      <c r="C121" s="4" t="s">
        <v>2750</v>
      </c>
      <c r="D121" s="4" t="str">
        <f t="shared" si="1"/>
        <v>{"valorA":"e","valorB":6}</v>
      </c>
      <c r="E121" s="8" t="str">
        <f t="shared" si="2"/>
        <v>e</v>
      </c>
      <c r="F121" s="8"/>
      <c r="G121" s="8" t="str">
        <f t="shared" si="3"/>
        <v>6</v>
      </c>
      <c r="H121" s="9">
        <f t="shared" si="4"/>
        <v>6</v>
      </c>
      <c r="I121" s="6" t="str">
        <f>IFERROR(__xludf.DUMMYFUNCTION("MAX(FILTER($H$2:$H378,$E$2:$E378=F121))"),"#N/A")</f>
        <v>#N/A</v>
      </c>
    </row>
    <row r="122">
      <c r="A122" s="4"/>
      <c r="C122" s="4" t="s">
        <v>3337</v>
      </c>
      <c r="D122" s="4" t="str">
        <f t="shared" si="1"/>
        <v>{"valorA":"refrigerador","valorB":1}</v>
      </c>
      <c r="E122" s="8" t="str">
        <f t="shared" si="2"/>
        <v>refrigerador</v>
      </c>
      <c r="F122" s="8"/>
      <c r="G122" s="8" t="str">
        <f t="shared" si="3"/>
        <v>1</v>
      </c>
      <c r="H122" s="9">
        <f t="shared" si="4"/>
        <v>1</v>
      </c>
      <c r="I122" s="6" t="str">
        <f>IFERROR(__xludf.DUMMYFUNCTION("MAX(FILTER($H$2:$H378,$E$2:$E378=F122))"),"#N/A")</f>
        <v>#N/A</v>
      </c>
    </row>
    <row r="123">
      <c r="A123" s="4"/>
      <c r="C123" s="4" t="s">
        <v>2834</v>
      </c>
      <c r="D123" s="4" t="str">
        <f t="shared" si="1"/>
        <v>{"valorA":"gostei","valorB":4}</v>
      </c>
      <c r="E123" s="8" t="str">
        <f t="shared" si="2"/>
        <v>gostei</v>
      </c>
      <c r="F123" s="8"/>
      <c r="G123" s="8" t="str">
        <f t="shared" si="3"/>
        <v>4</v>
      </c>
      <c r="H123" s="9">
        <f t="shared" si="4"/>
        <v>4</v>
      </c>
      <c r="I123" s="6" t="str">
        <f>IFERROR(__xludf.DUMMYFUNCTION("MAX(FILTER($H$2:$H378,$E$2:$E378=F123))"),"#N/A")</f>
        <v>#N/A</v>
      </c>
    </row>
    <row r="124">
      <c r="A124" s="4"/>
      <c r="C124" s="4" t="s">
        <v>2811</v>
      </c>
      <c r="D124" s="4" t="str">
        <f t="shared" si="1"/>
        <v>{"valorA":"muito","valorB":6}</v>
      </c>
      <c r="E124" s="8" t="str">
        <f t="shared" si="2"/>
        <v>muito</v>
      </c>
      <c r="F124" s="8"/>
      <c r="G124" s="8" t="str">
        <f t="shared" si="3"/>
        <v>6</v>
      </c>
      <c r="H124" s="9">
        <f t="shared" si="4"/>
        <v>6</v>
      </c>
      <c r="I124" s="6" t="str">
        <f>IFERROR(__xludf.DUMMYFUNCTION("MAX(FILTER($H$2:$H378,$E$2:$E378=F124))"),"#N/A")</f>
        <v>#N/A</v>
      </c>
    </row>
    <row r="125">
      <c r="A125" s="4"/>
      <c r="C125" s="4" t="s">
        <v>2726</v>
      </c>
      <c r="D125" s="4" t="str">
        <f t="shared" si="1"/>
        <v>{"valorA":"ótimo","valorB":15}</v>
      </c>
      <c r="E125" s="8" t="str">
        <f t="shared" si="2"/>
        <v>ótimo</v>
      </c>
      <c r="F125" s="8"/>
      <c r="G125" s="8" t="str">
        <f t="shared" si="3"/>
        <v>15</v>
      </c>
      <c r="H125" s="9">
        <f t="shared" si="4"/>
        <v>15</v>
      </c>
      <c r="I125" s="6" t="str">
        <f>IFERROR(__xludf.DUMMYFUNCTION("MAX(FILTER($H$2:$H378,$E$2:$E378=F125))"),"#N/A")</f>
        <v>#N/A</v>
      </c>
    </row>
    <row r="126">
      <c r="A126" s="4"/>
      <c r="C126" s="4" t="s">
        <v>3602</v>
      </c>
      <c r="D126" s="4" t="str">
        <f t="shared" si="1"/>
        <v>{"valorA":"design","valorB":2}</v>
      </c>
      <c r="E126" s="8" t="str">
        <f t="shared" si="2"/>
        <v>design</v>
      </c>
      <c r="F126" s="8"/>
      <c r="G126" s="8" t="str">
        <f t="shared" si="3"/>
        <v>2</v>
      </c>
      <c r="H126" s="9">
        <f t="shared" si="4"/>
        <v>2</v>
      </c>
      <c r="I126" s="6" t="str">
        <f>IFERROR(__xludf.DUMMYFUNCTION("MAX(FILTER($H$2:$H378,$E$2:$E378=F126))"),"#N/A")</f>
        <v>#N/A</v>
      </c>
    </row>
    <row r="127">
      <c r="A127" s="4"/>
      <c r="C127" s="4" t="s">
        <v>3603</v>
      </c>
      <c r="D127" s="4" t="str">
        <f t="shared" si="1"/>
        <v>{"valorA":"seu","valorB":2}</v>
      </c>
      <c r="E127" s="8" t="str">
        <f t="shared" si="2"/>
        <v>seu</v>
      </c>
      <c r="F127" s="8"/>
      <c r="G127" s="8" t="str">
        <f t="shared" si="3"/>
        <v>2</v>
      </c>
      <c r="H127" s="9">
        <f t="shared" si="4"/>
        <v>2</v>
      </c>
      <c r="I127" s="6" t="str">
        <f>IFERROR(__xludf.DUMMYFUNCTION("MAX(FILTER($H$2:$H378,$E$2:$E378=F127))"),"#N/A")</f>
        <v>#N/A</v>
      </c>
    </row>
    <row r="128">
      <c r="A128" s="4"/>
      <c r="C128" s="4" t="s">
        <v>2707</v>
      </c>
      <c r="D128" s="4" t="str">
        <f t="shared" si="1"/>
        <v>{"valorA":"do","valorB":2}</v>
      </c>
      <c r="E128" s="8" t="str">
        <f t="shared" si="2"/>
        <v>do</v>
      </c>
      <c r="F128" s="8"/>
      <c r="G128" s="8" t="str">
        <f t="shared" si="3"/>
        <v>2</v>
      </c>
      <c r="H128" s="9">
        <f t="shared" si="4"/>
        <v>2</v>
      </c>
      <c r="I128" s="6" t="str">
        <f>IFERROR(__xludf.DUMMYFUNCTION("MAX(FILTER($H$2:$H378,$E$2:$E378=F128))"),"#N/A")</f>
        <v>#N/A</v>
      </c>
    </row>
    <row r="129">
      <c r="A129" s="4"/>
      <c r="C129" s="4" t="s">
        <v>2770</v>
      </c>
      <c r="D129" s="4" t="str">
        <f t="shared" si="1"/>
        <v>{"valorA":"e","valorB":7}</v>
      </c>
      <c r="E129" s="8" t="str">
        <f t="shared" si="2"/>
        <v>e</v>
      </c>
      <c r="F129" s="8"/>
      <c r="G129" s="8" t="str">
        <f t="shared" si="3"/>
        <v>7</v>
      </c>
      <c r="H129" s="9">
        <f t="shared" si="4"/>
        <v>7</v>
      </c>
      <c r="I129" s="6" t="str">
        <f>IFERROR(__xludf.DUMMYFUNCTION("MAX(FILTER($H$2:$H378,$E$2:$E378=F129))"),"#N/A")</f>
        <v>#N/A</v>
      </c>
    </row>
    <row r="130">
      <c r="A130" s="4"/>
      <c r="C130" s="4" t="s">
        <v>3604</v>
      </c>
      <c r="D130" s="4" t="str">
        <f t="shared" si="1"/>
        <v>{"valorA":"funcionalidade","valorB":1}</v>
      </c>
      <c r="E130" s="8" t="str">
        <f t="shared" si="2"/>
        <v>funcionalidade</v>
      </c>
      <c r="F130" s="8"/>
      <c r="G130" s="8" t="str">
        <f t="shared" si="3"/>
        <v>1</v>
      </c>
      <c r="H130" s="9">
        <f t="shared" si="4"/>
        <v>1</v>
      </c>
      <c r="I130" s="6" t="str">
        <f>IFERROR(__xludf.DUMMYFUNCTION("MAX(FILTER($H$2:$H378,$E$2:$E378=F130))"),"#N/A")</f>
        <v>#N/A</v>
      </c>
    </row>
    <row r="131">
      <c r="A131" s="4"/>
      <c r="C131" s="4" t="s">
        <v>2804</v>
      </c>
      <c r="D131" s="4" t="str">
        <f t="shared" si="1"/>
        <v>{"valorA":"perfeita","valorB":1}</v>
      </c>
      <c r="E131" s="8" t="str">
        <f t="shared" si="2"/>
        <v>perfeita</v>
      </c>
      <c r="F131" s="8"/>
      <c r="G131" s="8" t="str">
        <f t="shared" si="3"/>
        <v>1</v>
      </c>
      <c r="H131" s="9">
        <f t="shared" si="4"/>
        <v>1</v>
      </c>
      <c r="I131" s="6" t="str">
        <f>IFERROR(__xludf.DUMMYFUNCTION("MAX(FILTER($H$2:$H378,$E$2:$E378=F131))"),"#N/A")</f>
        <v>#N/A</v>
      </c>
    </row>
    <row r="132">
      <c r="A132" s="4"/>
      <c r="C132" s="4" t="s">
        <v>2849</v>
      </c>
      <c r="D132" s="4" t="str">
        <f t="shared" si="1"/>
        <v>{"valorA":"relojoeira","valorB":3}</v>
      </c>
      <c r="E132" s="8" t="str">
        <f t="shared" si="2"/>
        <v>relojoeira</v>
      </c>
      <c r="F132" s="8"/>
      <c r="G132" s="8" t="str">
        <f t="shared" si="3"/>
        <v>3</v>
      </c>
      <c r="H132" s="9">
        <f t="shared" si="4"/>
        <v>3</v>
      </c>
      <c r="I132" s="6" t="str">
        <f>IFERROR(__xludf.DUMMYFUNCTION("MAX(FILTER($H$2:$H378,$E$2:$E378=F132))"),"#N/A")</f>
        <v>#N/A</v>
      </c>
    </row>
    <row r="133">
      <c r="A133" s="4"/>
      <c r="C133" s="4" t="s">
        <v>2729</v>
      </c>
      <c r="D133" s="4" t="str">
        <f t="shared" si="1"/>
        <v>{"valorA":"ótimo","valorB":16}</v>
      </c>
      <c r="E133" s="8" t="str">
        <f t="shared" si="2"/>
        <v>ótimo</v>
      </c>
      <c r="F133" s="8"/>
      <c r="G133" s="8" t="str">
        <f t="shared" si="3"/>
        <v>16</v>
      </c>
      <c r="H133" s="9">
        <f t="shared" si="4"/>
        <v>16</v>
      </c>
      <c r="I133" s="6" t="str">
        <f>IFERROR(__xludf.DUMMYFUNCTION("MAX(FILTER($H$2:$H378,$E$2:$E378=F133))"),"#N/A")</f>
        <v>#N/A</v>
      </c>
    </row>
    <row r="134">
      <c r="A134" s="4"/>
      <c r="C134" s="4" t="s">
        <v>3605</v>
      </c>
      <c r="D134" s="4" t="str">
        <f t="shared" si="1"/>
        <v>{"valorA":"mulheres","valorB":1}</v>
      </c>
      <c r="E134" s="8" t="str">
        <f t="shared" si="2"/>
        <v>mulheres</v>
      </c>
      <c r="F134" s="8"/>
      <c r="G134" s="8" t="str">
        <f t="shared" si="3"/>
        <v>1</v>
      </c>
      <c r="H134" s="9">
        <f t="shared" si="4"/>
        <v>1</v>
      </c>
      <c r="I134" s="6" t="str">
        <f>IFERROR(__xludf.DUMMYFUNCTION("MAX(FILTER($H$2:$H378,$E$2:$E378=F134))"),"#N/A")</f>
        <v>#N/A</v>
      </c>
    </row>
    <row r="135">
      <c r="A135" s="4"/>
      <c r="C135" s="4" t="s">
        <v>2727</v>
      </c>
      <c r="D135" s="4" t="str">
        <f t="shared" si="1"/>
        <v>{"valorA":"para","valorB":2}</v>
      </c>
      <c r="E135" s="8" t="str">
        <f t="shared" si="2"/>
        <v>para</v>
      </c>
      <c r="F135" s="8"/>
      <c r="G135" s="8" t="str">
        <f t="shared" si="3"/>
        <v>2</v>
      </c>
      <c r="H135" s="9">
        <f t="shared" si="4"/>
        <v>2</v>
      </c>
      <c r="I135" s="6" t="str">
        <f>IFERROR(__xludf.DUMMYFUNCTION("MAX(FILTER($H$2:$H378,$E$2:$E378=F135))"),"#N/A")</f>
        <v>#N/A</v>
      </c>
    </row>
    <row r="136">
      <c r="A136" s="4"/>
      <c r="C136" s="4" t="s">
        <v>2918</v>
      </c>
      <c r="D136" s="4" t="str">
        <f t="shared" si="1"/>
        <v>{"valorA":"gostei","valorB":5}</v>
      </c>
      <c r="E136" s="8" t="str">
        <f t="shared" si="2"/>
        <v>gostei</v>
      </c>
      <c r="F136" s="8"/>
      <c r="G136" s="8" t="str">
        <f t="shared" si="3"/>
        <v>5</v>
      </c>
      <c r="H136" s="9">
        <f t="shared" si="4"/>
        <v>5</v>
      </c>
      <c r="I136" s="6" t="str">
        <f>IFERROR(__xludf.DUMMYFUNCTION("MAX(FILTER($H$2:$H378,$E$2:$E378=F136))"),"#N/A")</f>
        <v>#N/A</v>
      </c>
    </row>
    <row r="137">
      <c r="A137" s="4"/>
      <c r="C137" s="4" t="s">
        <v>2835</v>
      </c>
      <c r="D137" s="4" t="str">
        <f t="shared" si="1"/>
        <v>{"valorA":"muito","valorB":7}</v>
      </c>
      <c r="E137" s="8" t="str">
        <f t="shared" si="2"/>
        <v>muito</v>
      </c>
      <c r="F137" s="8"/>
      <c r="G137" s="8" t="str">
        <f t="shared" si="3"/>
        <v>7</v>
      </c>
      <c r="H137" s="9">
        <f t="shared" si="4"/>
        <v>7</v>
      </c>
      <c r="I137" s="6" t="str">
        <f>IFERROR(__xludf.DUMMYFUNCTION("MAX(FILTER($H$2:$H378,$E$2:$E378=F137))"),"#N/A")</f>
        <v>#N/A</v>
      </c>
    </row>
    <row r="138">
      <c r="A138" s="4"/>
      <c r="C138" s="4" t="s">
        <v>2825</v>
      </c>
      <c r="D138" s="4" t="str">
        <f t="shared" si="1"/>
        <v>{"valorA":"relojoeiro","valorB":1}</v>
      </c>
      <c r="E138" s="8" t="str">
        <f t="shared" si="2"/>
        <v>relojoeiro</v>
      </c>
      <c r="F138" s="8"/>
      <c r="G138" s="8" t="str">
        <f t="shared" si="3"/>
        <v>1</v>
      </c>
      <c r="H138" s="9">
        <f t="shared" si="4"/>
        <v>1</v>
      </c>
      <c r="I138" s="6" t="str">
        <f>IFERROR(__xludf.DUMMYFUNCTION("MAX(FILTER($H$2:$H378,$E$2:$E378=F138))"),"#N/A")</f>
        <v>#N/A</v>
      </c>
    </row>
    <row r="139">
      <c r="A139" s="4"/>
      <c r="C139" s="4" t="s">
        <v>2735</v>
      </c>
      <c r="D139" s="4" t="str">
        <f t="shared" si="1"/>
        <v>{"valorA":"ótimo","valorB":17}</v>
      </c>
      <c r="E139" s="8" t="str">
        <f t="shared" si="2"/>
        <v>ótimo</v>
      </c>
      <c r="F139" s="8"/>
      <c r="G139" s="8" t="str">
        <f t="shared" si="3"/>
        <v>17</v>
      </c>
      <c r="H139" s="9">
        <f t="shared" si="4"/>
        <v>17</v>
      </c>
      <c r="I139" s="6" t="str">
        <f>IFERROR(__xludf.DUMMYFUNCTION("MAX(FILTER($H$2:$H378,$E$2:$E378=F139))"),"#N/A")</f>
        <v>#N/A</v>
      </c>
    </row>
    <row r="140">
      <c r="A140" s="4"/>
      <c r="C140" s="4" t="s">
        <v>3606</v>
      </c>
      <c r="D140" s="4" t="str">
        <f t="shared" si="1"/>
        <v>{"valorA":"televisão","valorB":1}</v>
      </c>
      <c r="E140" s="8" t="str">
        <f t="shared" si="2"/>
        <v>televisão</v>
      </c>
      <c r="F140" s="8"/>
      <c r="G140" s="8" t="str">
        <f t="shared" si="3"/>
        <v>1</v>
      </c>
      <c r="H140" s="9">
        <f t="shared" si="4"/>
        <v>1</v>
      </c>
      <c r="I140" s="6" t="str">
        <f>IFERROR(__xludf.DUMMYFUNCTION("MAX(FILTER($H$2:$H378,$E$2:$E378=F140))"),"#N/A")</f>
        <v>#N/A</v>
      </c>
    </row>
    <row r="141">
      <c r="A141" s="4"/>
      <c r="C141" s="4" t="s">
        <v>2858</v>
      </c>
      <c r="D141" s="4" t="str">
        <f t="shared" si="1"/>
        <v>{"valorA":"comprimento","valorB":1}</v>
      </c>
      <c r="E141" s="8" t="str">
        <f t="shared" si="2"/>
        <v>comprimento</v>
      </c>
      <c r="F141" s="8"/>
      <c r="G141" s="8" t="str">
        <f t="shared" si="3"/>
        <v>1</v>
      </c>
      <c r="H141" s="9">
        <f t="shared" si="4"/>
        <v>1</v>
      </c>
      <c r="I141" s="6" t="str">
        <f>IFERROR(__xludf.DUMMYFUNCTION("MAX(FILTER($H$2:$H378,$E$2:$E378=F141))"),"#N/A")</f>
        <v>#N/A</v>
      </c>
    </row>
    <row r="142">
      <c r="A142" s="4"/>
      <c r="C142" s="4" t="s">
        <v>2748</v>
      </c>
      <c r="D142" s="4" t="str">
        <f t="shared" si="1"/>
        <v>{"valorA":"de","valorB":5}</v>
      </c>
      <c r="E142" s="8" t="str">
        <f t="shared" si="2"/>
        <v>de</v>
      </c>
      <c r="F142" s="8"/>
      <c r="G142" s="8" t="str">
        <f t="shared" si="3"/>
        <v>5</v>
      </c>
      <c r="H142" s="9">
        <f t="shared" si="4"/>
        <v>5</v>
      </c>
      <c r="I142" s="6" t="str">
        <f>IFERROR(__xludf.DUMMYFUNCTION("MAX(FILTER($H$2:$H378,$E$2:$E378=F142))"),"#N/A")</f>
        <v>#N/A</v>
      </c>
    </row>
    <row r="143">
      <c r="A143" s="4"/>
      <c r="C143" s="4" t="s">
        <v>2744</v>
      </c>
      <c r="D143" s="4" t="str">
        <f t="shared" si="1"/>
        <v>{"valorA":"para","valorB":3}</v>
      </c>
      <c r="E143" s="8" t="str">
        <f t="shared" si="2"/>
        <v>para</v>
      </c>
      <c r="F143" s="8"/>
      <c r="G143" s="8" t="str">
        <f t="shared" si="3"/>
        <v>3</v>
      </c>
      <c r="H143" s="9">
        <f t="shared" si="4"/>
        <v>3</v>
      </c>
      <c r="I143" s="6" t="str">
        <f>IFERROR(__xludf.DUMMYFUNCTION("MAX(FILTER($H$2:$H378,$E$2:$E378=F143))"),"#N/A")</f>
        <v>#N/A</v>
      </c>
    </row>
    <row r="144">
      <c r="A144" s="4"/>
      <c r="C144" s="4" t="s">
        <v>3607</v>
      </c>
      <c r="D144" s="4" t="str">
        <f t="shared" si="1"/>
        <v>{"valorA":"corda","valorB":1}</v>
      </c>
      <c r="E144" s="8" t="str">
        <f t="shared" si="2"/>
        <v>corda</v>
      </c>
      <c r="F144" s="8"/>
      <c r="G144" s="8" t="str">
        <f t="shared" si="3"/>
        <v>1</v>
      </c>
      <c r="H144" s="9">
        <f t="shared" si="4"/>
        <v>1</v>
      </c>
      <c r="I144" s="6" t="str">
        <f>IFERROR(__xludf.DUMMYFUNCTION("MAX(FILTER($H$2:$H378,$E$2:$E378=F144))"),"#N/A")</f>
        <v>#N/A</v>
      </c>
    </row>
    <row r="145">
      <c r="A145" s="4"/>
      <c r="C145" s="4" t="s">
        <v>3608</v>
      </c>
      <c r="D145" s="4" t="str">
        <f t="shared" si="1"/>
        <v>{"valorA":"esta","valorB":1}</v>
      </c>
      <c r="E145" s="8" t="str">
        <f t="shared" si="2"/>
        <v>esta</v>
      </c>
      <c r="F145" s="8"/>
      <c r="G145" s="8" t="str">
        <f t="shared" si="3"/>
        <v>1</v>
      </c>
      <c r="H145" s="9">
        <f t="shared" si="4"/>
        <v>1</v>
      </c>
      <c r="I145" s="6" t="str">
        <f>IFERROR(__xludf.DUMMYFUNCTION("MAX(FILTER($H$2:$H378,$E$2:$E378=F145))"),"#N/A")</f>
        <v>#N/A</v>
      </c>
    </row>
    <row r="146">
      <c r="A146" s="4"/>
      <c r="C146" s="4" t="s">
        <v>2746</v>
      </c>
      <c r="D146" s="4" t="str">
        <f t="shared" si="1"/>
        <v>{"valorA":"ótimo","valorB":18}</v>
      </c>
      <c r="E146" s="8" t="str">
        <f t="shared" si="2"/>
        <v>ótimo</v>
      </c>
      <c r="F146" s="8"/>
      <c r="G146" s="8" t="str">
        <f t="shared" si="3"/>
        <v>18</v>
      </c>
      <c r="H146" s="9">
        <f t="shared" si="4"/>
        <v>18</v>
      </c>
      <c r="I146" s="6" t="str">
        <f>IFERROR(__xludf.DUMMYFUNCTION("MAX(FILTER($H$2:$H378,$E$2:$E378=F146))"),"#N/A")</f>
        <v>#N/A</v>
      </c>
    </row>
    <row r="147">
      <c r="A147" s="4"/>
      <c r="C147" s="4" t="s">
        <v>2870</v>
      </c>
      <c r="D147" s="4" t="str">
        <f t="shared" si="1"/>
        <v>{"valorA":"é","valorB":6}</v>
      </c>
      <c r="E147" s="8" t="str">
        <f t="shared" si="2"/>
        <v>é</v>
      </c>
      <c r="F147" s="8"/>
      <c r="G147" s="8" t="str">
        <f t="shared" si="3"/>
        <v>6</v>
      </c>
      <c r="H147" s="9">
        <f t="shared" si="4"/>
        <v>6</v>
      </c>
      <c r="I147" s="6" t="str">
        <f>IFERROR(__xludf.DUMMYFUNCTION("MAX(FILTER($H$2:$H378,$E$2:$E378=F147))"),"#N/A")</f>
        <v>#N/A</v>
      </c>
    </row>
    <row r="148">
      <c r="A148" s="4"/>
      <c r="C148" s="4" t="s">
        <v>2777</v>
      </c>
      <c r="D148" s="4" t="str">
        <f t="shared" si="1"/>
        <v>{"valorA":"meu","valorB":2}</v>
      </c>
      <c r="E148" s="8" t="str">
        <f t="shared" si="2"/>
        <v>meu</v>
      </c>
      <c r="F148" s="8"/>
      <c r="G148" s="8" t="str">
        <f t="shared" si="3"/>
        <v>2</v>
      </c>
      <c r="H148" s="9">
        <f t="shared" si="4"/>
        <v>2</v>
      </c>
      <c r="I148" s="6" t="str">
        <f>IFERROR(__xludf.DUMMYFUNCTION("MAX(FILTER($H$2:$H378,$E$2:$E378=F148))"),"#N/A")</f>
        <v>#N/A</v>
      </c>
    </row>
    <row r="149">
      <c r="A149" s="4"/>
      <c r="C149" s="4" t="s">
        <v>2982</v>
      </c>
      <c r="D149" s="4" t="str">
        <f t="shared" si="1"/>
        <v>{"valorA":"novo","valorB":2}</v>
      </c>
      <c r="E149" s="8" t="str">
        <f t="shared" si="2"/>
        <v>novo</v>
      </c>
      <c r="F149" s="8"/>
      <c r="G149" s="8" t="str">
        <f t="shared" si="3"/>
        <v>2</v>
      </c>
      <c r="H149" s="9">
        <f t="shared" si="4"/>
        <v>2</v>
      </c>
      <c r="I149" s="6" t="str">
        <f>IFERROR(__xludf.DUMMYFUNCTION("MAX(FILTER($H$2:$H378,$E$2:$E378=F149))"),"#N/A")</f>
        <v>#N/A</v>
      </c>
    </row>
    <row r="150">
      <c r="A150" s="4"/>
      <c r="C150" s="4" t="s">
        <v>2716</v>
      </c>
      <c r="D150" s="4" t="str">
        <f t="shared" si="1"/>
        <v>{"valorA":"perfeitamente","valorB":3}</v>
      </c>
      <c r="E150" s="8" t="str">
        <f t="shared" si="2"/>
        <v>perfeitamente</v>
      </c>
      <c r="F150" s="8"/>
      <c r="G150" s="8" t="str">
        <f t="shared" si="3"/>
        <v>3</v>
      </c>
      <c r="H150" s="9">
        <f t="shared" si="4"/>
        <v>3</v>
      </c>
      <c r="I150" s="6" t="str">
        <f>IFERROR(__xludf.DUMMYFUNCTION("MAX(FILTER($H$2:$H378,$E$2:$E378=F150))"),"#N/A")</f>
        <v>#N/A</v>
      </c>
    </row>
    <row r="151">
      <c r="A151" s="4"/>
      <c r="C151" s="4" t="s">
        <v>2776</v>
      </c>
      <c r="D151" s="4" t="str">
        <f t="shared" si="1"/>
        <v>{"valorA":"funciona","valorB":7}</v>
      </c>
      <c r="E151" s="8" t="str">
        <f t="shared" si="2"/>
        <v>funciona</v>
      </c>
      <c r="F151" s="8"/>
      <c r="G151" s="8" t="str">
        <f t="shared" si="3"/>
        <v>7</v>
      </c>
      <c r="H151" s="9">
        <f t="shared" si="4"/>
        <v>7</v>
      </c>
      <c r="I151" s="6" t="str">
        <f>IFERROR(__xludf.DUMMYFUNCTION("MAX(FILTER($H$2:$H378,$E$2:$E378=F151))"),"#N/A")</f>
        <v>#N/A</v>
      </c>
    </row>
    <row r="152">
      <c r="A152" s="4"/>
      <c r="C152" s="4" t="s">
        <v>2957</v>
      </c>
      <c r="D152" s="4" t="str">
        <f t="shared" si="1"/>
        <v>{"valorA":"incrível","valorB":3}</v>
      </c>
      <c r="E152" s="8" t="str">
        <f t="shared" si="2"/>
        <v>incrível</v>
      </c>
      <c r="F152" s="8"/>
      <c r="G152" s="8" t="str">
        <f t="shared" si="3"/>
        <v>3</v>
      </c>
      <c r="H152" s="9">
        <f t="shared" si="4"/>
        <v>3</v>
      </c>
      <c r="I152" s="6" t="str">
        <f>IFERROR(__xludf.DUMMYFUNCTION("MAX(FILTER($H$2:$H378,$E$2:$E378=F152))"),"#N/A")</f>
        <v>#N/A</v>
      </c>
    </row>
    <row r="153">
      <c r="A153" s="4"/>
      <c r="C153" s="4" t="s">
        <v>2966</v>
      </c>
      <c r="D153" s="4" t="str">
        <f t="shared" si="1"/>
        <v>{"valorA":"carro","valorB":3}</v>
      </c>
      <c r="E153" s="8" t="str">
        <f t="shared" si="2"/>
        <v>carro</v>
      </c>
      <c r="F153" s="8"/>
      <c r="G153" s="8" t="str">
        <f t="shared" si="3"/>
        <v>3</v>
      </c>
      <c r="H153" s="9">
        <f t="shared" si="4"/>
        <v>3</v>
      </c>
      <c r="I153" s="6" t="str">
        <f>IFERROR(__xludf.DUMMYFUNCTION("MAX(FILTER($H$2:$H378,$E$2:$E378=F153))"),"#N/A")</f>
        <v>#N/A</v>
      </c>
    </row>
    <row r="154">
      <c r="A154" s="4"/>
      <c r="C154" s="4" t="s">
        <v>3609</v>
      </c>
      <c r="D154" s="4" t="str">
        <f t="shared" si="1"/>
        <v>{"valorA":"foto","valorB":1}</v>
      </c>
      <c r="E154" s="8" t="str">
        <f t="shared" si="2"/>
        <v>foto</v>
      </c>
      <c r="F154" s="8"/>
      <c r="G154" s="8" t="str">
        <f t="shared" si="3"/>
        <v>1</v>
      </c>
      <c r="H154" s="9">
        <f t="shared" si="4"/>
        <v>1</v>
      </c>
      <c r="I154" s="6" t="str">
        <f>IFERROR(__xludf.DUMMYFUNCTION("MAX(FILTER($H$2:$H378,$E$2:$E378=F154))"),"#N/A")</f>
        <v>#N/A</v>
      </c>
    </row>
    <row r="155">
      <c r="A155" s="4"/>
      <c r="C155" s="4" t="s">
        <v>2696</v>
      </c>
      <c r="D155" s="4" t="str">
        <f t="shared" si="1"/>
        <v>{"valorA":"essa","valorB":2}</v>
      </c>
      <c r="E155" s="8" t="str">
        <f t="shared" si="2"/>
        <v>essa</v>
      </c>
      <c r="F155" s="8"/>
      <c r="G155" s="8" t="str">
        <f t="shared" si="3"/>
        <v>2</v>
      </c>
      <c r="H155" s="9">
        <f t="shared" si="4"/>
        <v>2</v>
      </c>
      <c r="I155" s="6" t="str">
        <f>IFERROR(__xludf.DUMMYFUNCTION("MAX(FILTER($H$2:$H378,$E$2:$E378=F155))"),"#N/A")</f>
        <v>#N/A</v>
      </c>
    </row>
    <row r="156">
      <c r="A156" s="4"/>
      <c r="C156" s="4" t="s">
        <v>2704</v>
      </c>
      <c r="D156" s="4" t="str">
        <f t="shared" si="1"/>
        <v>{"valorA":"produto","valorB":8}</v>
      </c>
      <c r="E156" s="8" t="str">
        <f t="shared" si="2"/>
        <v>produto</v>
      </c>
      <c r="F156" s="8"/>
      <c r="G156" s="8" t="str">
        <f t="shared" si="3"/>
        <v>8</v>
      </c>
      <c r="H156" s="9">
        <f t="shared" si="4"/>
        <v>8</v>
      </c>
      <c r="I156" s="6" t="str">
        <f>IFERROR(__xludf.DUMMYFUNCTION("MAX(FILTER($H$2:$H378,$E$2:$E378=F156))"),"#N/A")</f>
        <v>#N/A</v>
      </c>
    </row>
    <row r="157">
      <c r="A157" s="4"/>
      <c r="C157" s="4" t="s">
        <v>3610</v>
      </c>
      <c r="D157" s="4" t="str">
        <f t="shared" si="1"/>
        <v>{"valorA":"incríveis","valorB":1}</v>
      </c>
      <c r="E157" s="8" t="str">
        <f t="shared" si="2"/>
        <v>incríveis</v>
      </c>
      <c r="F157" s="8"/>
      <c r="G157" s="8" t="str">
        <f t="shared" si="3"/>
        <v>1</v>
      </c>
      <c r="H157" s="9">
        <f t="shared" si="4"/>
        <v>1</v>
      </c>
      <c r="I157" s="6" t="str">
        <f>IFERROR(__xludf.DUMMYFUNCTION("MAX(FILTER($H$2:$H378,$E$2:$E378=F157))"),"#N/A")</f>
        <v>#N/A</v>
      </c>
    </row>
    <row r="158">
      <c r="A158" s="4"/>
      <c r="C158" s="4" t="s">
        <v>2799</v>
      </c>
      <c r="D158" s="4" t="str">
        <f t="shared" si="1"/>
        <v>{"valorA":"câmera","valorB":1}</v>
      </c>
      <c r="E158" s="8" t="str">
        <f t="shared" si="2"/>
        <v>câmera</v>
      </c>
      <c r="F158" s="8"/>
      <c r="G158" s="8" t="str">
        <f t="shared" si="3"/>
        <v>1</v>
      </c>
      <c r="H158" s="9">
        <f t="shared" si="4"/>
        <v>1</v>
      </c>
      <c r="I158" s="6" t="str">
        <f>IFERROR(__xludf.DUMMYFUNCTION("MAX(FILTER($H$2:$H378,$E$2:$E378=F158))"),"#N/A")</f>
        <v>#N/A</v>
      </c>
    </row>
    <row r="159">
      <c r="A159" s="4"/>
      <c r="C159" s="4" t="s">
        <v>2761</v>
      </c>
      <c r="D159" s="4" t="str">
        <f t="shared" si="1"/>
        <v>{"valorA":"ótimo","valorB":19}</v>
      </c>
      <c r="E159" s="8" t="str">
        <f t="shared" si="2"/>
        <v>ótimo</v>
      </c>
      <c r="F159" s="8"/>
      <c r="G159" s="8" t="str">
        <f t="shared" si="3"/>
        <v>19</v>
      </c>
      <c r="H159" s="9">
        <f t="shared" si="4"/>
        <v>19</v>
      </c>
      <c r="I159" s="6" t="str">
        <f>IFERROR(__xludf.DUMMYFUNCTION("MAX(FILTER($H$2:$H378,$E$2:$E378=F159))"),"#N/A")</f>
        <v>#N/A</v>
      </c>
    </row>
    <row r="160">
      <c r="A160" s="4"/>
      <c r="C160" s="4" t="s">
        <v>2766</v>
      </c>
      <c r="D160" s="4" t="str">
        <f t="shared" si="1"/>
        <v>{"valorA":"ótimo","valorB":20}</v>
      </c>
      <c r="E160" s="8" t="str">
        <f t="shared" si="2"/>
        <v>ótimo</v>
      </c>
      <c r="F160" s="8"/>
      <c r="G160" s="8" t="str">
        <f t="shared" si="3"/>
        <v>20</v>
      </c>
      <c r="H160" s="9">
        <f t="shared" si="4"/>
        <v>20</v>
      </c>
      <c r="I160" s="6" t="str">
        <f>IFERROR(__xludf.DUMMYFUNCTION("MAX(FILTER($H$2:$H378,$E$2:$E378=F160))"),"#N/A")</f>
        <v>#N/A</v>
      </c>
    </row>
    <row r="161">
      <c r="A161" s="4"/>
      <c r="C161" s="4" t="s">
        <v>2784</v>
      </c>
      <c r="D161" s="4" t="str">
        <f t="shared" si="1"/>
        <v>{"valorA":"e","valorB":8}</v>
      </c>
      <c r="E161" s="8" t="str">
        <f t="shared" si="2"/>
        <v>e</v>
      </c>
      <c r="F161" s="8"/>
      <c r="G161" s="8" t="str">
        <f t="shared" si="3"/>
        <v>8</v>
      </c>
      <c r="H161" s="9">
        <f t="shared" si="4"/>
        <v>8</v>
      </c>
      <c r="I161" s="6" t="str">
        <f>IFERROR(__xludf.DUMMYFUNCTION("MAX(FILTER($H$2:$H378,$E$2:$E378=F161))"),"#N/A")</f>
        <v>#N/A</v>
      </c>
    </row>
    <row r="162">
      <c r="A162" s="4"/>
      <c r="C162" s="4" t="s">
        <v>2749</v>
      </c>
      <c r="D162" s="4" t="str">
        <f t="shared" si="1"/>
        <v>{"valorA":"confortável","valorB":2}</v>
      </c>
      <c r="E162" s="8" t="str">
        <f t="shared" si="2"/>
        <v>confortável</v>
      </c>
      <c r="F162" s="8"/>
      <c r="G162" s="8" t="str">
        <f t="shared" si="3"/>
        <v>2</v>
      </c>
      <c r="H162" s="9">
        <f t="shared" si="4"/>
        <v>2</v>
      </c>
      <c r="I162" s="6" t="str">
        <f>IFERROR(__xludf.DUMMYFUNCTION("MAX(FILTER($H$2:$H378,$E$2:$E378=F162))"),"#N/A")</f>
        <v>#N/A</v>
      </c>
    </row>
    <row r="163">
      <c r="A163" s="4"/>
      <c r="C163" s="4" t="s">
        <v>2747</v>
      </c>
      <c r="D163" s="4" t="str">
        <f t="shared" si="1"/>
        <v>{"valorA":"essa","valorB":3}</v>
      </c>
      <c r="E163" s="8" t="str">
        <f t="shared" si="2"/>
        <v>essa</v>
      </c>
      <c r="F163" s="8"/>
      <c r="G163" s="8" t="str">
        <f t="shared" si="3"/>
        <v>3</v>
      </c>
      <c r="H163" s="9">
        <f t="shared" si="4"/>
        <v>3</v>
      </c>
      <c r="I163" s="6" t="str">
        <f>IFERROR(__xludf.DUMMYFUNCTION("MAX(FILTER($H$2:$H378,$E$2:$E378=F163))"),"#N/A")</f>
        <v>#N/A</v>
      </c>
    </row>
    <row r="164">
      <c r="A164" s="4"/>
      <c r="C164" s="4" t="s">
        <v>2751</v>
      </c>
      <c r="D164" s="4" t="str">
        <f t="shared" si="1"/>
        <v>{"valorA":"cadeira","valorB":2}</v>
      </c>
      <c r="E164" s="8" t="str">
        <f t="shared" si="2"/>
        <v>cadeira</v>
      </c>
      <c r="F164" s="8"/>
      <c r="G164" s="8" t="str">
        <f t="shared" si="3"/>
        <v>2</v>
      </c>
      <c r="H164" s="9">
        <f t="shared" si="4"/>
        <v>2</v>
      </c>
      <c r="I164" s="6" t="str">
        <f>IFERROR(__xludf.DUMMYFUNCTION("MAX(FILTER($H$2:$H378,$E$2:$E378=F164))"),"#N/A")</f>
        <v>#N/A</v>
      </c>
    </row>
    <row r="165">
      <c r="A165" s="4"/>
      <c r="C165" s="4" t="s">
        <v>2962</v>
      </c>
      <c r="D165" s="4" t="str">
        <f t="shared" si="1"/>
        <v>{"valorA":"adorei","valorB":2}</v>
      </c>
      <c r="E165" s="8" t="str">
        <f t="shared" si="2"/>
        <v>adorei</v>
      </c>
      <c r="F165" s="8"/>
      <c r="G165" s="8" t="str">
        <f t="shared" si="3"/>
        <v>2</v>
      </c>
      <c r="H165" s="9">
        <f t="shared" si="4"/>
        <v>2</v>
      </c>
      <c r="I165" s="6" t="str">
        <f>IFERROR(__xludf.DUMMYFUNCTION("MAX(FILTER($H$2:$H378,$E$2:$E378=F165))"),"#N/A")</f>
        <v>#N/A</v>
      </c>
    </row>
    <row r="166">
      <c r="A166" s="4"/>
      <c r="C166" s="4" t="s">
        <v>2894</v>
      </c>
      <c r="D166" s="4" t="str">
        <f t="shared" si="1"/>
        <v>{"valorA":"muito","valorB":8}</v>
      </c>
      <c r="E166" s="8" t="str">
        <f t="shared" si="2"/>
        <v>muito</v>
      </c>
      <c r="F166" s="8"/>
      <c r="G166" s="8" t="str">
        <f t="shared" si="3"/>
        <v>8</v>
      </c>
      <c r="H166" s="9">
        <f t="shared" si="4"/>
        <v>8</v>
      </c>
      <c r="I166" s="6" t="str">
        <f>IFERROR(__xludf.DUMMYFUNCTION("MAX(FILTER($H$2:$H378,$E$2:$E378=F166))"),"#N/A")</f>
        <v>#N/A</v>
      </c>
    </row>
    <row r="167">
      <c r="A167" s="4"/>
      <c r="C167" s="4" t="s">
        <v>2972</v>
      </c>
      <c r="D167" s="4" t="str">
        <f t="shared" si="1"/>
        <v>{"valorA":"relojoeira","valorB":4}</v>
      </c>
      <c r="E167" s="8" t="str">
        <f t="shared" si="2"/>
        <v>relojoeira</v>
      </c>
      <c r="F167" s="8"/>
      <c r="G167" s="8" t="str">
        <f t="shared" si="3"/>
        <v>4</v>
      </c>
      <c r="H167" s="9">
        <f t="shared" si="4"/>
        <v>4</v>
      </c>
      <c r="I167" s="6" t="str">
        <f>IFERROR(__xludf.DUMMYFUNCTION("MAX(FILTER($H$2:$H378,$E$2:$E378=F167))"),"#N/A")</f>
        <v>#N/A</v>
      </c>
    </row>
    <row r="168">
      <c r="A168" s="4"/>
      <c r="C168" s="4" t="s">
        <v>2779</v>
      </c>
      <c r="D168" s="4" t="str">
        <f t="shared" si="1"/>
        <v>{"valorA":"ótimo","valorB":21}</v>
      </c>
      <c r="E168" s="8" t="str">
        <f t="shared" si="2"/>
        <v>ótimo</v>
      </c>
      <c r="F168" s="8"/>
      <c r="G168" s="8" t="str">
        <f t="shared" si="3"/>
        <v>21</v>
      </c>
      <c r="H168" s="9">
        <f t="shared" si="4"/>
        <v>21</v>
      </c>
      <c r="I168" s="6" t="str">
        <f>IFERROR(__xludf.DUMMYFUNCTION("MAX(FILTER($H$2:$H378,$E$2:$E378=F168))"),"#N/A")</f>
        <v>#N/A</v>
      </c>
    </row>
    <row r="169">
      <c r="A169" s="4"/>
      <c r="C169" s="4" t="s">
        <v>2932</v>
      </c>
      <c r="D169" s="4" t="str">
        <f t="shared" si="1"/>
        <v>{"valorA":"gostei","valorB":6}</v>
      </c>
      <c r="E169" s="8" t="str">
        <f t="shared" si="2"/>
        <v>gostei</v>
      </c>
      <c r="F169" s="8"/>
      <c r="G169" s="8" t="str">
        <f t="shared" si="3"/>
        <v>6</v>
      </c>
      <c r="H169" s="9">
        <f t="shared" si="4"/>
        <v>6</v>
      </c>
      <c r="I169" s="6" t="str">
        <f>IFERROR(__xludf.DUMMYFUNCTION("MAX(FILTER($H$2:$H378,$E$2:$E378=F169))"),"#N/A")</f>
        <v>#N/A</v>
      </c>
    </row>
    <row r="170">
      <c r="A170" s="4"/>
      <c r="C170" s="4" t="s">
        <v>2788</v>
      </c>
      <c r="D170" s="4" t="str">
        <f t="shared" si="1"/>
        <v>{"valorA":"ótimo","valorB":22}</v>
      </c>
      <c r="E170" s="8" t="str">
        <f t="shared" si="2"/>
        <v>ótimo</v>
      </c>
      <c r="F170" s="8"/>
      <c r="G170" s="8" t="str">
        <f t="shared" si="3"/>
        <v>22</v>
      </c>
      <c r="H170" s="9">
        <f t="shared" si="4"/>
        <v>22</v>
      </c>
      <c r="I170" s="6" t="str">
        <f>IFERROR(__xludf.DUMMYFUNCTION("MAX(FILTER($H$2:$H378,$E$2:$E378=F170))"),"#N/A")</f>
        <v>#N/A</v>
      </c>
    </row>
    <row r="171">
      <c r="A171" s="4"/>
      <c r="C171" s="4" t="s">
        <v>2717</v>
      </c>
      <c r="D171" s="4" t="str">
        <f t="shared" si="1"/>
        <v>{"valorA":"produto","valorB":9}</v>
      </c>
      <c r="E171" s="8" t="str">
        <f t="shared" si="2"/>
        <v>produto</v>
      </c>
      <c r="F171" s="8"/>
      <c r="G171" s="8" t="str">
        <f t="shared" si="3"/>
        <v>9</v>
      </c>
      <c r="H171" s="9">
        <f t="shared" si="4"/>
        <v>9</v>
      </c>
      <c r="I171" s="6" t="str">
        <f>IFERROR(__xludf.DUMMYFUNCTION("MAX(FILTER($H$2:$H378,$E$2:$E378=F171))"),"#N/A")</f>
        <v>#N/A</v>
      </c>
    </row>
    <row r="172">
      <c r="A172" s="4"/>
      <c r="C172" s="4" t="s">
        <v>2816</v>
      </c>
      <c r="D172" s="4" t="str">
        <f t="shared" si="1"/>
        <v>{"valorA":"funciona","valorB":8}</v>
      </c>
      <c r="E172" s="8" t="str">
        <f t="shared" si="2"/>
        <v>funciona</v>
      </c>
      <c r="F172" s="8"/>
      <c r="G172" s="8" t="str">
        <f t="shared" si="3"/>
        <v>8</v>
      </c>
      <c r="H172" s="9">
        <f t="shared" si="4"/>
        <v>8</v>
      </c>
      <c r="I172" s="6" t="str">
        <f>IFERROR(__xludf.DUMMYFUNCTION("MAX(FILTER($H$2:$H378,$E$2:$E378=F172))"),"#N/A")</f>
        <v>#N/A</v>
      </c>
    </row>
    <row r="173">
      <c r="A173" s="4"/>
      <c r="C173" s="4" t="s">
        <v>3048</v>
      </c>
      <c r="D173" s="4" t="str">
        <f t="shared" si="1"/>
        <v>{"valorA":"recomendo","valorB":2}</v>
      </c>
      <c r="E173" s="8" t="str">
        <f t="shared" si="2"/>
        <v>recomendo</v>
      </c>
      <c r="F173" s="8"/>
      <c r="G173" s="8" t="str">
        <f t="shared" si="3"/>
        <v>2</v>
      </c>
      <c r="H173" s="9">
        <f t="shared" si="4"/>
        <v>2</v>
      </c>
      <c r="I173" s="6" t="str">
        <f>IFERROR(__xludf.DUMMYFUNCTION("MAX(FILTER($H$2:$H378,$E$2:$E378=F173))"),"#N/A")</f>
        <v>#N/A</v>
      </c>
    </row>
    <row r="174">
      <c r="A174" s="4"/>
      <c r="C174" s="4" t="s">
        <v>2757</v>
      </c>
      <c r="D174" s="4" t="str">
        <f t="shared" si="1"/>
        <v>{"valorA":"perfeitamente","valorB":4}</v>
      </c>
      <c r="E174" s="8" t="str">
        <f t="shared" si="2"/>
        <v>perfeitamente</v>
      </c>
      <c r="F174" s="8"/>
      <c r="G174" s="8" t="str">
        <f t="shared" si="3"/>
        <v>4</v>
      </c>
      <c r="H174" s="9">
        <f t="shared" si="4"/>
        <v>4</v>
      </c>
      <c r="I174" s="6" t="str">
        <f>IFERROR(__xludf.DUMMYFUNCTION("MAX(FILTER($H$2:$H378,$E$2:$E378=F174))"),"#N/A")</f>
        <v>#N/A</v>
      </c>
    </row>
    <row r="175">
      <c r="A175" s="4"/>
      <c r="C175" s="4" t="s">
        <v>2880</v>
      </c>
      <c r="D175" s="4" t="str">
        <f t="shared" si="1"/>
        <v>{"valorA":"é","valorB":7}</v>
      </c>
      <c r="E175" s="8" t="str">
        <f t="shared" si="2"/>
        <v>é</v>
      </c>
      <c r="F175" s="8"/>
      <c r="G175" s="8" t="str">
        <f t="shared" si="3"/>
        <v>7</v>
      </c>
      <c r="H175" s="9">
        <f t="shared" si="4"/>
        <v>7</v>
      </c>
      <c r="I175" s="6" t="str">
        <f>IFERROR(__xludf.DUMMYFUNCTION("MAX(FILTER($H$2:$H378,$E$2:$E378=F175))"),"#N/A")</f>
        <v>#N/A</v>
      </c>
    </row>
    <row r="176">
      <c r="A176" s="4"/>
      <c r="C176" s="4" t="s">
        <v>2876</v>
      </c>
      <c r="D176" s="4" t="str">
        <f t="shared" si="1"/>
        <v>{"valorA":"de","valorB":6}</v>
      </c>
      <c r="E176" s="8" t="str">
        <f t="shared" si="2"/>
        <v>de</v>
      </c>
      <c r="F176" s="8"/>
      <c r="G176" s="8" t="str">
        <f t="shared" si="3"/>
        <v>6</v>
      </c>
      <c r="H176" s="9">
        <f t="shared" si="4"/>
        <v>6</v>
      </c>
      <c r="I176" s="6" t="str">
        <f>IFERROR(__xludf.DUMMYFUNCTION("MAX(FILTER($H$2:$H378,$E$2:$E378=F176))"),"#N/A")</f>
        <v>#N/A</v>
      </c>
    </row>
    <row r="177">
      <c r="A177" s="4"/>
      <c r="C177" s="4" t="s">
        <v>2739</v>
      </c>
      <c r="D177" s="4" t="str">
        <f t="shared" si="1"/>
        <v>{"valorA":"usar","valorB":3}</v>
      </c>
      <c r="E177" s="8" t="str">
        <f t="shared" si="2"/>
        <v>usar</v>
      </c>
      <c r="F177" s="8"/>
      <c r="G177" s="8" t="str">
        <f t="shared" si="3"/>
        <v>3</v>
      </c>
      <c r="H177" s="9">
        <f t="shared" si="4"/>
        <v>3</v>
      </c>
      <c r="I177" s="6" t="str">
        <f>IFERROR(__xludf.DUMMYFUNCTION("MAX(FILTER($H$2:$H378,$E$2:$E378=F177))"),"#N/A")</f>
        <v>#N/A</v>
      </c>
    </row>
    <row r="178">
      <c r="A178" s="4"/>
      <c r="C178" s="4" t="s">
        <v>2821</v>
      </c>
      <c r="D178" s="4" t="str">
        <f t="shared" si="1"/>
        <v>{"valorA":"e","valorB":9}</v>
      </c>
      <c r="E178" s="8" t="str">
        <f t="shared" si="2"/>
        <v>e</v>
      </c>
      <c r="F178" s="8"/>
      <c r="G178" s="8" t="str">
        <f t="shared" si="3"/>
        <v>9</v>
      </c>
      <c r="H178" s="9">
        <f t="shared" si="4"/>
        <v>9</v>
      </c>
      <c r="I178" s="6" t="str">
        <f>IFERROR(__xludf.DUMMYFUNCTION("MAX(FILTER($H$2:$H378,$E$2:$E378=F178))"),"#N/A")</f>
        <v>#N/A</v>
      </c>
    </row>
    <row r="179">
      <c r="A179" s="4"/>
      <c r="C179" s="4" t="s">
        <v>2741</v>
      </c>
      <c r="D179" s="4" t="str">
        <f t="shared" si="1"/>
        <v>{"valorA":"fácil","valorB":3}</v>
      </c>
      <c r="E179" s="8" t="str">
        <f t="shared" si="2"/>
        <v>fácil</v>
      </c>
      <c r="F179" s="8"/>
      <c r="G179" s="8" t="str">
        <f t="shared" si="3"/>
        <v>3</v>
      </c>
      <c r="H179" s="9">
        <f t="shared" si="4"/>
        <v>3</v>
      </c>
      <c r="I179" s="6" t="str">
        <f>IFERROR(__xludf.DUMMYFUNCTION("MAX(FILTER($H$2:$H378,$E$2:$E378=F179))"),"#N/A")</f>
        <v>#N/A</v>
      </c>
    </row>
    <row r="180">
      <c r="A180" s="4"/>
      <c r="C180" s="4" t="s">
        <v>2877</v>
      </c>
      <c r="D180" s="4" t="str">
        <f t="shared" si="1"/>
        <v>{"valorA":"funciona","valorB":9}</v>
      </c>
      <c r="E180" s="8" t="str">
        <f t="shared" si="2"/>
        <v>funciona</v>
      </c>
      <c r="F180" s="8"/>
      <c r="G180" s="8" t="str">
        <f t="shared" si="3"/>
        <v>9</v>
      </c>
      <c r="H180" s="9">
        <f t="shared" si="4"/>
        <v>9</v>
      </c>
      <c r="I180" s="6" t="str">
        <f>IFERROR(__xludf.DUMMYFUNCTION("MAX(FILTER($H$2:$H378,$E$2:$E378=F180))"),"#N/A")</f>
        <v>#N/A</v>
      </c>
    </row>
    <row r="181">
      <c r="A181" s="4"/>
      <c r="C181" s="4" t="s">
        <v>2764</v>
      </c>
      <c r="D181" s="4" t="str">
        <f t="shared" si="1"/>
        <v>{"valorA":"perfeitamente","valorB":5}</v>
      </c>
      <c r="E181" s="8" t="str">
        <f t="shared" si="2"/>
        <v>perfeitamente</v>
      </c>
      <c r="F181" s="8"/>
      <c r="G181" s="8" t="str">
        <f t="shared" si="3"/>
        <v>5</v>
      </c>
      <c r="H181" s="9">
        <f t="shared" si="4"/>
        <v>5</v>
      </c>
      <c r="I181" s="6" t="str">
        <f>IFERROR(__xludf.DUMMYFUNCTION("MAX(FILTER($H$2:$H378,$E$2:$E378=F181))"),"#N/A")</f>
        <v>#N/A</v>
      </c>
    </row>
    <row r="182">
      <c r="A182" s="4"/>
      <c r="C182" s="4" t="s">
        <v>2725</v>
      </c>
      <c r="D182" s="4" t="str">
        <f t="shared" si="1"/>
        <v>{"valorA":"produto","valorB":10}</v>
      </c>
      <c r="E182" s="8" t="str">
        <f t="shared" si="2"/>
        <v>produto</v>
      </c>
      <c r="F182" s="8"/>
      <c r="G182" s="8" t="str">
        <f t="shared" si="3"/>
        <v>10</v>
      </c>
      <c r="H182" s="9">
        <f t="shared" si="4"/>
        <v>10</v>
      </c>
      <c r="I182" s="6" t="str">
        <f>IFERROR(__xludf.DUMMYFUNCTION("MAX(FILTER($H$2:$H378,$E$2:$E378=F182))"),"#N/A")</f>
        <v>#N/A</v>
      </c>
    </row>
    <row r="183">
      <c r="A183" s="4"/>
      <c r="C183" s="4" t="s">
        <v>2791</v>
      </c>
      <c r="D183" s="4" t="str">
        <f t="shared" si="1"/>
        <v>{"valorA":"ótimo","valorB":23}</v>
      </c>
      <c r="E183" s="8" t="str">
        <f t="shared" si="2"/>
        <v>ótimo</v>
      </c>
      <c r="F183" s="8"/>
      <c r="G183" s="8" t="str">
        <f t="shared" si="3"/>
        <v>23</v>
      </c>
      <c r="H183" s="9">
        <f t="shared" si="4"/>
        <v>23</v>
      </c>
      <c r="I183" s="6" t="str">
        <f>IFERROR(__xludf.DUMMYFUNCTION("MAX(FILTER($H$2:$H378,$E$2:$E378=F183))"),"#N/A")</f>
        <v>#N/A</v>
      </c>
    </row>
    <row r="184">
      <c r="A184" s="4"/>
      <c r="C184" s="4" t="s">
        <v>2798</v>
      </c>
      <c r="D184" s="4" t="str">
        <f t="shared" si="1"/>
        <v>{"valorA":"ótimo","valorB":24}</v>
      </c>
      <c r="E184" s="8" t="str">
        <f t="shared" si="2"/>
        <v>ótimo</v>
      </c>
      <c r="F184" s="8"/>
      <c r="G184" s="8" t="str">
        <f t="shared" si="3"/>
        <v>24</v>
      </c>
      <c r="H184" s="9">
        <f t="shared" si="4"/>
        <v>24</v>
      </c>
      <c r="I184" s="6" t="str">
        <f>IFERROR(__xludf.DUMMYFUNCTION("MAX(FILTER($H$2:$H378,$E$2:$E378=F184))"),"#N/A")</f>
        <v>#N/A</v>
      </c>
    </row>
    <row r="185">
      <c r="A185" s="4"/>
      <c r="C185" s="4" t="s">
        <v>3195</v>
      </c>
      <c r="D185" s="4" t="str">
        <f t="shared" si="1"/>
        <v>{"valorA":"funciona","valorB":10}</v>
      </c>
      <c r="E185" s="8" t="str">
        <f t="shared" si="2"/>
        <v>funciona</v>
      </c>
      <c r="F185" s="8"/>
      <c r="G185" s="8" t="str">
        <f t="shared" si="3"/>
        <v>10</v>
      </c>
      <c r="H185" s="9">
        <f t="shared" si="4"/>
        <v>10</v>
      </c>
      <c r="I185" s="6" t="str">
        <f>IFERROR(__xludf.DUMMYFUNCTION("MAX(FILTER($H$2:$H378,$E$2:$E378=F185))"),"#N/A")</f>
        <v>#N/A</v>
      </c>
    </row>
    <row r="186">
      <c r="A186" s="4"/>
      <c r="C186" s="4" t="s">
        <v>2780</v>
      </c>
      <c r="D186" s="4" t="str">
        <f t="shared" si="1"/>
        <v>{"valorA":"perfeitamente","valorB":6}</v>
      </c>
      <c r="E186" s="8" t="str">
        <f t="shared" si="2"/>
        <v>perfeitamente</v>
      </c>
      <c r="F186" s="8"/>
      <c r="G186" s="8" t="str">
        <f t="shared" si="3"/>
        <v>6</v>
      </c>
      <c r="H186" s="9">
        <f t="shared" si="4"/>
        <v>6</v>
      </c>
      <c r="I186" s="6" t="str">
        <f>IFERROR(__xludf.DUMMYFUNCTION("MAX(FILTER($H$2:$H378,$E$2:$E378=F186))"),"#N/A")</f>
        <v>#N/A</v>
      </c>
    </row>
    <row r="187">
      <c r="A187" s="4"/>
      <c r="C187" s="4" t="s">
        <v>2728</v>
      </c>
      <c r="D187" s="4" t="str">
        <f t="shared" si="1"/>
        <v>{"valorA":"produto","valorB":11}</v>
      </c>
      <c r="E187" s="8" t="str">
        <f t="shared" si="2"/>
        <v>produto</v>
      </c>
      <c r="F187" s="8"/>
      <c r="G187" s="8" t="str">
        <f t="shared" si="3"/>
        <v>11</v>
      </c>
      <c r="H187" s="9">
        <f t="shared" si="4"/>
        <v>11</v>
      </c>
      <c r="I187" s="6" t="str">
        <f>IFERROR(__xludf.DUMMYFUNCTION("MAX(FILTER($H$2:$H378,$E$2:$E378=F187))"),"#N/A")</f>
        <v>#N/A</v>
      </c>
    </row>
    <row r="188">
      <c r="A188" s="4"/>
      <c r="C188" s="4" t="s">
        <v>2937</v>
      </c>
      <c r="D188" s="4" t="str">
        <f t="shared" si="1"/>
        <v>{"valorA":"dessa","valorB":1}</v>
      </c>
      <c r="E188" s="8" t="str">
        <f t="shared" si="2"/>
        <v>dessa</v>
      </c>
      <c r="F188" s="8"/>
      <c r="G188" s="8" t="str">
        <f t="shared" si="3"/>
        <v>1</v>
      </c>
      <c r="H188" s="9">
        <f t="shared" si="4"/>
        <v>1</v>
      </c>
      <c r="I188" s="6" t="str">
        <f>IFERROR(__xludf.DUMMYFUNCTION("MAX(FILTER($H$2:$H378,$E$2:$E378=F188))"),"#N/A")</f>
        <v>#N/A</v>
      </c>
    </row>
    <row r="189">
      <c r="A189" s="4"/>
      <c r="C189" s="4" t="s">
        <v>3611</v>
      </c>
      <c r="D189" s="4" t="str">
        <f t="shared" si="1"/>
        <v>{"valorA":"empresa","valorB":1}</v>
      </c>
      <c r="E189" s="8" t="str">
        <f t="shared" si="2"/>
        <v>empresa</v>
      </c>
      <c r="F189" s="8"/>
      <c r="G189" s="8" t="str">
        <f t="shared" si="3"/>
        <v>1</v>
      </c>
      <c r="H189" s="9">
        <f t="shared" si="4"/>
        <v>1</v>
      </c>
      <c r="I189" s="6" t="str">
        <f>IFERROR(__xludf.DUMMYFUNCTION("MAX(FILTER($H$2:$H378,$E$2:$E378=F189))"),"#N/A")</f>
        <v>#N/A</v>
      </c>
    </row>
    <row r="190">
      <c r="A190" s="4"/>
      <c r="C190" s="4" t="s">
        <v>2758</v>
      </c>
      <c r="D190" s="4" t="str">
        <f t="shared" si="1"/>
        <v>{"valorA":"produto","valorB":12}</v>
      </c>
      <c r="E190" s="8" t="str">
        <f t="shared" si="2"/>
        <v>produto</v>
      </c>
      <c r="F190" s="8"/>
      <c r="G190" s="8" t="str">
        <f t="shared" si="3"/>
        <v>12</v>
      </c>
      <c r="H190" s="9">
        <f t="shared" si="4"/>
        <v>12</v>
      </c>
      <c r="I190" s="6" t="str">
        <f>IFERROR(__xludf.DUMMYFUNCTION("MAX(FILTER($H$2:$H378,$E$2:$E378=F190))"),"#N/A")</f>
        <v>#N/A</v>
      </c>
    </row>
    <row r="191">
      <c r="A191" s="4"/>
      <c r="C191" s="4" t="s">
        <v>3612</v>
      </c>
      <c r="D191" s="4" t="str">
        <f t="shared" si="1"/>
        <v>{"valorA":"conditionador","valorB":1}</v>
      </c>
      <c r="E191" s="8" t="str">
        <f t="shared" si="2"/>
        <v>conditionador</v>
      </c>
      <c r="F191" s="8"/>
      <c r="G191" s="8" t="str">
        <f t="shared" si="3"/>
        <v>1</v>
      </c>
      <c r="H191" s="9">
        <f t="shared" si="4"/>
        <v>1</v>
      </c>
      <c r="I191" s="6" t="str">
        <f>IFERROR(__xludf.DUMMYFUNCTION("MAX(FILTER($H$2:$H378,$E$2:$E378=F191))"),"#N/A")</f>
        <v>#N/A</v>
      </c>
    </row>
    <row r="192">
      <c r="A192" s="4"/>
      <c r="C192" s="4" t="s">
        <v>2908</v>
      </c>
      <c r="D192" s="4" t="str">
        <f t="shared" si="1"/>
        <v>{"valorA":"é","valorB":8}</v>
      </c>
      <c r="E192" s="8" t="str">
        <f t="shared" si="2"/>
        <v>é</v>
      </c>
      <c r="F192" s="8"/>
      <c r="G192" s="8" t="str">
        <f t="shared" si="3"/>
        <v>8</v>
      </c>
      <c r="H192" s="9">
        <f t="shared" si="4"/>
        <v>8</v>
      </c>
      <c r="I192" s="6" t="str">
        <f>IFERROR(__xludf.DUMMYFUNCTION("MAX(FILTER($H$2:$H378,$E$2:$E378=F192))"),"#N/A")</f>
        <v>#N/A</v>
      </c>
    </row>
    <row r="193">
      <c r="A193" s="4"/>
      <c r="C193" s="4" t="s">
        <v>2917</v>
      </c>
      <c r="D193" s="4" t="str">
        <f t="shared" si="1"/>
        <v>{"valorA":"esse","valorB":5}</v>
      </c>
      <c r="E193" s="8" t="str">
        <f t="shared" si="2"/>
        <v>esse</v>
      </c>
      <c r="F193" s="8"/>
      <c r="G193" s="8" t="str">
        <f t="shared" si="3"/>
        <v>5</v>
      </c>
      <c r="H193" s="9">
        <f t="shared" si="4"/>
        <v>5</v>
      </c>
      <c r="I193" s="6" t="str">
        <f>IFERROR(__xludf.DUMMYFUNCTION("MAX(FILTER($H$2:$H378,$E$2:$E378=F193))"),"#N/A")</f>
        <v>#N/A</v>
      </c>
    </row>
    <row r="194">
      <c r="A194" s="4"/>
      <c r="C194" s="4" t="s">
        <v>2759</v>
      </c>
      <c r="D194" s="4" t="str">
        <f t="shared" si="1"/>
        <v>{"valorA":"para","valorB":4}</v>
      </c>
      <c r="E194" s="8" t="str">
        <f t="shared" si="2"/>
        <v>para</v>
      </c>
      <c r="F194" s="8"/>
      <c r="G194" s="8" t="str">
        <f t="shared" si="3"/>
        <v>4</v>
      </c>
      <c r="H194" s="9">
        <f t="shared" si="4"/>
        <v>4</v>
      </c>
      <c r="I194" s="6" t="str">
        <f>IFERROR(__xludf.DUMMYFUNCTION("MAX(FILTER($H$2:$H378,$E$2:$E378=F194))"),"#N/A")</f>
        <v>#N/A</v>
      </c>
    </row>
    <row r="195">
      <c r="A195" s="4"/>
      <c r="C195" s="4" t="s">
        <v>2806</v>
      </c>
      <c r="D195" s="4" t="str">
        <f t="shared" si="1"/>
        <v>{"valorA":"ótimo","valorB":25}</v>
      </c>
      <c r="E195" s="8" t="str">
        <f t="shared" si="2"/>
        <v>ótimo</v>
      </c>
      <c r="F195" s="8"/>
      <c r="G195" s="8" t="str">
        <f t="shared" si="3"/>
        <v>25</v>
      </c>
      <c r="H195" s="9">
        <f t="shared" si="4"/>
        <v>25</v>
      </c>
      <c r="I195" s="6" t="str">
        <f>IFERROR(__xludf.DUMMYFUNCTION("MAX(FILTER($H$2:$H378,$E$2:$E378=F195))"),"#N/A")</f>
        <v>#N/A</v>
      </c>
    </row>
    <row r="196">
      <c r="A196" s="4"/>
      <c r="C196" s="4" t="s">
        <v>2817</v>
      </c>
      <c r="D196" s="4" t="str">
        <f t="shared" si="1"/>
        <v>{"valorA":"perfeitamente","valorB":7}</v>
      </c>
      <c r="E196" s="8" t="str">
        <f t="shared" si="2"/>
        <v>perfeitamente</v>
      </c>
      <c r="F196" s="8"/>
      <c r="G196" s="8" t="str">
        <f t="shared" si="3"/>
        <v>7</v>
      </c>
      <c r="H196" s="9">
        <f t="shared" si="4"/>
        <v>7</v>
      </c>
      <c r="I196" s="6" t="str">
        <f>IFERROR(__xludf.DUMMYFUNCTION("MAX(FILTER($H$2:$H378,$E$2:$E378=F196))"),"#N/A")</f>
        <v>#N/A</v>
      </c>
    </row>
    <row r="197">
      <c r="A197" s="4"/>
      <c r="C197" s="4" t="s">
        <v>3613</v>
      </c>
      <c r="D197" s="4" t="str">
        <f t="shared" si="1"/>
        <v>{"valorA":"cabelos","valorB":1}</v>
      </c>
      <c r="E197" s="8" t="str">
        <f t="shared" si="2"/>
        <v>cabelos</v>
      </c>
      <c r="F197" s="8"/>
      <c r="G197" s="8" t="str">
        <f t="shared" si="3"/>
        <v>1</v>
      </c>
      <c r="H197" s="9">
        <f t="shared" si="4"/>
        <v>1</v>
      </c>
      <c r="I197" s="6" t="str">
        <f>IFERROR(__xludf.DUMMYFUNCTION("MAX(FILTER($H$2:$H378,$E$2:$E378=F197))"),"#N/A")</f>
        <v>#N/A</v>
      </c>
    </row>
    <row r="198">
      <c r="A198" s="4"/>
      <c r="C198" s="4" t="s">
        <v>3211</v>
      </c>
      <c r="D198" s="4" t="str">
        <f t="shared" si="1"/>
        <v>{"valorA":"funciona","valorB":11}</v>
      </c>
      <c r="E198" s="8" t="str">
        <f t="shared" si="2"/>
        <v>funciona</v>
      </c>
      <c r="F198" s="8"/>
      <c r="G198" s="8" t="str">
        <f t="shared" si="3"/>
        <v>11</v>
      </c>
      <c r="H198" s="9">
        <f t="shared" si="4"/>
        <v>11</v>
      </c>
      <c r="I198" s="6" t="str">
        <f>IFERROR(__xludf.DUMMYFUNCTION("MAX(FILTER($H$2:$H378,$E$2:$E378=F198))"),"#N/A")</f>
        <v>#N/A</v>
      </c>
    </row>
    <row r="199">
      <c r="A199" s="4"/>
      <c r="C199" s="4" t="s">
        <v>2774</v>
      </c>
      <c r="D199" s="4" t="str">
        <f t="shared" si="1"/>
        <v>{"valorA":"produto","valorB":13}</v>
      </c>
      <c r="E199" s="8" t="str">
        <f t="shared" si="2"/>
        <v>produto</v>
      </c>
      <c r="F199" s="8"/>
      <c r="G199" s="8" t="str">
        <f t="shared" si="3"/>
        <v>13</v>
      </c>
      <c r="H199" s="9">
        <f t="shared" si="4"/>
        <v>13</v>
      </c>
      <c r="I199" s="6" t="str">
        <f>IFERROR(__xludf.DUMMYFUNCTION("MAX(FILTER($H$2:$H378,$E$2:$E378=F199))"),"#N/A")</f>
        <v>#N/A</v>
      </c>
    </row>
    <row r="200">
      <c r="A200" s="4"/>
      <c r="C200" s="4" t="s">
        <v>2809</v>
      </c>
      <c r="D200" s="4" t="str">
        <f t="shared" si="1"/>
        <v>{"valorA":"ótimo","valorB":26}</v>
      </c>
      <c r="E200" s="8" t="str">
        <f t="shared" si="2"/>
        <v>ótimo</v>
      </c>
      <c r="F200" s="8"/>
      <c r="G200" s="8" t="str">
        <f t="shared" si="3"/>
        <v>26</v>
      </c>
      <c r="H200" s="9">
        <f t="shared" si="4"/>
        <v>26</v>
      </c>
      <c r="I200" s="6" t="str">
        <f>IFERROR(__xludf.DUMMYFUNCTION("MAX(FILTER($H$2:$H378,$E$2:$E378=F200))"),"#N/A")</f>
        <v>#N/A</v>
      </c>
    </row>
    <row r="201">
      <c r="A201" s="4"/>
      <c r="C201" s="4" t="s">
        <v>3058</v>
      </c>
      <c r="D201" s="4" t="str">
        <f t="shared" si="1"/>
        <v>{"valorA":"recomendo","valorB":3}</v>
      </c>
      <c r="E201" s="8" t="str">
        <f t="shared" si="2"/>
        <v>recomendo</v>
      </c>
      <c r="F201" s="8"/>
      <c r="G201" s="8" t="str">
        <f t="shared" si="3"/>
        <v>3</v>
      </c>
      <c r="H201" s="9">
        <f t="shared" si="4"/>
        <v>3</v>
      </c>
      <c r="I201" s="6" t="str">
        <f>IFERROR(__xludf.DUMMYFUNCTION("MAX(FILTER($H$2:$H378,$E$2:$E378=F201))"),"#N/A")</f>
        <v>#N/A</v>
      </c>
    </row>
    <row r="202">
      <c r="A202" s="4"/>
      <c r="C202" s="4" t="s">
        <v>2688</v>
      </c>
      <c r="D202" s="4" t="str">
        <f t="shared" si="1"/>
        <v>{"valorA":"creme","valorB":1}</v>
      </c>
      <c r="E202" s="8" t="str">
        <f t="shared" si="2"/>
        <v>creme</v>
      </c>
      <c r="F202" s="8"/>
      <c r="G202" s="8" t="str">
        <f t="shared" si="3"/>
        <v>1</v>
      </c>
      <c r="H202" s="9">
        <f t="shared" si="4"/>
        <v>1</v>
      </c>
      <c r="I202" s="6" t="str">
        <f>IFERROR(__xludf.DUMMYFUNCTION("MAX(FILTER($H$2:$H378,$E$2:$E378=F202))"),"#N/A")</f>
        <v>#N/A</v>
      </c>
    </row>
    <row r="203">
      <c r="A203" s="4"/>
      <c r="C203" s="4" t="s">
        <v>2897</v>
      </c>
      <c r="D203" s="4" t="str">
        <f t="shared" si="1"/>
        <v>{"valorA":"meu","valorB":3}</v>
      </c>
      <c r="E203" s="8" t="str">
        <f t="shared" si="2"/>
        <v>meu</v>
      </c>
      <c r="F203" s="8"/>
      <c r="G203" s="8" t="str">
        <f t="shared" si="3"/>
        <v>3</v>
      </c>
      <c r="H203" s="9">
        <f t="shared" si="4"/>
        <v>3</v>
      </c>
      <c r="I203" s="6" t="str">
        <f>IFERROR(__xludf.DUMMYFUNCTION("MAX(FILTER($H$2:$H378,$E$2:$E378=F203))"),"#N/A")</f>
        <v>#N/A</v>
      </c>
    </row>
    <row r="204">
      <c r="A204" s="4"/>
      <c r="C204" s="4" t="s">
        <v>2915</v>
      </c>
      <c r="D204" s="4" t="str">
        <f t="shared" si="1"/>
        <v>{"valorA":"muito","valorB":9}</v>
      </c>
      <c r="E204" s="8" t="str">
        <f t="shared" si="2"/>
        <v>muito</v>
      </c>
      <c r="F204" s="8"/>
      <c r="G204" s="8" t="str">
        <f t="shared" si="3"/>
        <v>9</v>
      </c>
      <c r="H204" s="9">
        <f t="shared" si="4"/>
        <v>9</v>
      </c>
      <c r="I204" s="6" t="str">
        <f>IFERROR(__xludf.DUMMYFUNCTION("MAX(FILTER($H$2:$H378,$E$2:$E378=F204))"),"#N/A")</f>
        <v>#N/A</v>
      </c>
    </row>
    <row r="205">
      <c r="A205" s="4"/>
      <c r="C205" s="4" t="s">
        <v>2793</v>
      </c>
      <c r="D205" s="4" t="str">
        <f t="shared" si="1"/>
        <v>{"valorA":"produto","valorB":14}</v>
      </c>
      <c r="E205" s="8" t="str">
        <f t="shared" si="2"/>
        <v>produto</v>
      </c>
      <c r="F205" s="8"/>
      <c r="G205" s="8" t="str">
        <f t="shared" si="3"/>
        <v>14</v>
      </c>
      <c r="H205" s="9">
        <f t="shared" si="4"/>
        <v>14</v>
      </c>
      <c r="I205" s="6" t="str">
        <f>IFERROR(__xludf.DUMMYFUNCTION("MAX(FILTER($H$2:$H378,$E$2:$E378=F205))"),"#N/A")</f>
        <v>#N/A</v>
      </c>
    </row>
    <row r="206">
      <c r="A206" s="4"/>
      <c r="C206" s="4" t="s">
        <v>3614</v>
      </c>
      <c r="D206" s="4" t="str">
        <f t="shared" si="1"/>
        <v>{"valorA":"mais","valorB":2}</v>
      </c>
      <c r="E206" s="8" t="str">
        <f t="shared" si="2"/>
        <v>mais</v>
      </c>
      <c r="F206" s="8"/>
      <c r="G206" s="8" t="str">
        <f t="shared" si="3"/>
        <v>2</v>
      </c>
      <c r="H206" s="9">
        <f t="shared" si="4"/>
        <v>2</v>
      </c>
      <c r="I206" s="6" t="str">
        <f>IFERROR(__xludf.DUMMYFUNCTION("MAX(FILTER($H$2:$H378,$E$2:$E378=F206))"),"#N/A")</f>
        <v>#N/A</v>
      </c>
    </row>
    <row r="207">
      <c r="A207" s="4"/>
      <c r="C207" s="4" t="s">
        <v>3615</v>
      </c>
      <c r="D207" s="4" t="str">
        <f t="shared" si="1"/>
        <v>{"valorA":"pele","valorB":1}</v>
      </c>
      <c r="E207" s="8" t="str">
        <f t="shared" si="2"/>
        <v>pele</v>
      </c>
      <c r="F207" s="8"/>
      <c r="G207" s="8" t="str">
        <f t="shared" si="3"/>
        <v>1</v>
      </c>
      <c r="H207" s="9">
        <f t="shared" si="4"/>
        <v>1</v>
      </c>
      <c r="I207" s="6" t="str">
        <f>IFERROR(__xludf.DUMMYFUNCTION("MAX(FILTER($H$2:$H378,$E$2:$E378=F207))"),"#N/A")</f>
        <v>#N/A</v>
      </c>
    </row>
    <row r="208">
      <c r="A208" s="4"/>
      <c r="C208" s="4" t="s">
        <v>2755</v>
      </c>
      <c r="D208" s="4" t="str">
        <f t="shared" si="1"/>
        <v>{"valorA":"essa","valorB":4}</v>
      </c>
      <c r="E208" s="8" t="str">
        <f t="shared" si="2"/>
        <v>essa</v>
      </c>
      <c r="F208" s="8"/>
      <c r="G208" s="8" t="str">
        <f t="shared" si="3"/>
        <v>4</v>
      </c>
      <c r="H208" s="9">
        <f t="shared" si="4"/>
        <v>4</v>
      </c>
      <c r="I208" s="6" t="str">
        <f>IFERROR(__xludf.DUMMYFUNCTION("MAX(FILTER($H$2:$H378,$E$2:$E378=F208))"),"#N/A")</f>
        <v>#N/A</v>
      </c>
    </row>
    <row r="209">
      <c r="A209" s="4"/>
      <c r="C209" s="4" t="s">
        <v>2857</v>
      </c>
      <c r="D209" s="4" t="str">
        <f t="shared" si="1"/>
        <v>{"valorA":"está","valorB":1}</v>
      </c>
      <c r="E209" s="8" t="str">
        <f t="shared" si="2"/>
        <v>está</v>
      </c>
      <c r="F209" s="8"/>
      <c r="G209" s="8" t="str">
        <f t="shared" si="3"/>
        <v>1</v>
      </c>
      <c r="H209" s="9">
        <f t="shared" si="4"/>
        <v>1</v>
      </c>
      <c r="I209" s="6" t="str">
        <f>IFERROR(__xludf.DUMMYFUNCTION("MAX(FILTER($H$2:$H378,$E$2:$E378=F209))"),"#N/A")</f>
        <v>#N/A</v>
      </c>
    </row>
    <row r="210">
      <c r="A210" s="4"/>
      <c r="C210" s="4" t="s">
        <v>2818</v>
      </c>
      <c r="D210" s="4" t="str">
        <f t="shared" si="1"/>
        <v>{"valorA":"ótimo","valorB":27}</v>
      </c>
      <c r="E210" s="8" t="str">
        <f t="shared" si="2"/>
        <v>ótimo</v>
      </c>
      <c r="F210" s="8"/>
      <c r="G210" s="8" t="str">
        <f t="shared" si="3"/>
        <v>27</v>
      </c>
      <c r="H210" s="9">
        <f t="shared" si="4"/>
        <v>27</v>
      </c>
      <c r="I210" s="6" t="str">
        <f>IFERROR(__xludf.DUMMYFUNCTION("MAX(FILTER($H$2:$H378,$E$2:$E378=F210))"),"#N/A")</f>
        <v>#N/A</v>
      </c>
    </row>
    <row r="211">
      <c r="A211" s="4"/>
      <c r="C211" s="4" t="s">
        <v>3346</v>
      </c>
      <c r="D211" s="4" t="str">
        <f t="shared" si="1"/>
        <v>{"valorA":"agora","valorB":1}</v>
      </c>
      <c r="E211" s="8" t="str">
        <f t="shared" si="2"/>
        <v>agora</v>
      </c>
      <c r="F211" s="8"/>
      <c r="G211" s="8" t="str">
        <f t="shared" si="3"/>
        <v>1</v>
      </c>
      <c r="H211" s="9">
        <f t="shared" si="4"/>
        <v>1</v>
      </c>
      <c r="I211" s="6" t="str">
        <f>IFERROR(__xludf.DUMMYFUNCTION("MAX(FILTER($H$2:$H378,$E$2:$E378=F211))"),"#N/A")</f>
        <v>#N/A</v>
      </c>
    </row>
    <row r="212">
      <c r="A212" s="4"/>
      <c r="C212" s="4" t="s">
        <v>3616</v>
      </c>
      <c r="D212" s="4" t="str">
        <f t="shared" si="1"/>
        <v>{"valorA":"suave","valorB":1}</v>
      </c>
      <c r="E212" s="8" t="str">
        <f t="shared" si="2"/>
        <v>suave</v>
      </c>
      <c r="F212" s="8"/>
      <c r="G212" s="8" t="str">
        <f t="shared" si="3"/>
        <v>1</v>
      </c>
      <c r="H212" s="9">
        <f t="shared" si="4"/>
        <v>1</v>
      </c>
      <c r="I212" s="6" t="str">
        <f>IFERROR(__xludf.DUMMYFUNCTION("MAX(FILTER($H$2:$H378,$E$2:$E378=F212))"),"#N/A")</f>
        <v>#N/A</v>
      </c>
    </row>
    <row r="213">
      <c r="A213" s="4"/>
      <c r="C213" s="4" t="s">
        <v>3416</v>
      </c>
      <c r="D213" s="4" t="str">
        <f t="shared" si="1"/>
        <v>{"valorA":"comentário","valorB":1}</v>
      </c>
      <c r="E213" s="8" t="str">
        <f t="shared" si="2"/>
        <v>comentário</v>
      </c>
      <c r="F213" s="8"/>
      <c r="G213" s="8" t="str">
        <f t="shared" si="3"/>
        <v>1</v>
      </c>
      <c r="H213" s="9">
        <f t="shared" si="4"/>
        <v>1</v>
      </c>
      <c r="I213" s="6" t="str">
        <f>IFERROR(__xludf.DUMMYFUNCTION("MAX(FILTER($H$2:$H378,$E$2:$E378=F213))"),"#N/A")</f>
        <v>#N/A</v>
      </c>
    </row>
    <row r="214">
      <c r="A214" s="4"/>
      <c r="C214" s="4" t="s">
        <v>2689</v>
      </c>
      <c r="D214" s="4" t="str">
        <f t="shared" si="1"/>
        <v>{"valorA":"hidratante","valorB":1}</v>
      </c>
      <c r="E214" s="8" t="str">
        <f t="shared" si="2"/>
        <v>hidratante</v>
      </c>
      <c r="F214" s="8"/>
      <c r="G214" s="8" t="str">
        <f t="shared" si="3"/>
        <v>1</v>
      </c>
      <c r="H214" s="9">
        <f t="shared" si="4"/>
        <v>1</v>
      </c>
      <c r="I214" s="6" t="str">
        <f>IFERROR(__xludf.DUMMYFUNCTION("MAX(FILTER($H$2:$H378,$E$2:$E378=F214))"),"#N/A")</f>
        <v>#N/A</v>
      </c>
    </row>
    <row r="215">
      <c r="A215" s="4"/>
      <c r="C215" s="4" t="s">
        <v>2796</v>
      </c>
      <c r="D215" s="4" t="str">
        <f t="shared" si="1"/>
        <v>{"valorA":"produto","valorB":15}</v>
      </c>
      <c r="E215" s="8" t="str">
        <f t="shared" si="2"/>
        <v>produto</v>
      </c>
      <c r="F215" s="8"/>
      <c r="G215" s="8" t="str">
        <f t="shared" si="3"/>
        <v>15</v>
      </c>
      <c r="H215" s="9">
        <f t="shared" si="4"/>
        <v>15</v>
      </c>
      <c r="I215" s="6" t="str">
        <f>IFERROR(__xludf.DUMMYFUNCTION("MAX(FILTER($H$2:$H378,$E$2:$E378=F215))"),"#N/A")</f>
        <v>#N/A</v>
      </c>
    </row>
    <row r="216">
      <c r="A216" s="4"/>
      <c r="C216" s="4" t="s">
        <v>2828</v>
      </c>
      <c r="D216" s="4" t="str">
        <f t="shared" si="1"/>
        <v>{"valorA":"ótimo","valorB":28}</v>
      </c>
      <c r="E216" s="8" t="str">
        <f t="shared" si="2"/>
        <v>ótimo</v>
      </c>
      <c r="F216" s="8"/>
      <c r="G216" s="8" t="str">
        <f t="shared" si="3"/>
        <v>28</v>
      </c>
      <c r="H216" s="9">
        <f t="shared" si="4"/>
        <v>28</v>
      </c>
      <c r="I216" s="6" t="str">
        <f>IFERROR(__xludf.DUMMYFUNCTION("MAX(FILTER($H$2:$H378,$E$2:$E378=F216))"),"#N/A")</f>
        <v>#N/A</v>
      </c>
    </row>
    <row r="217">
      <c r="A217" s="4"/>
      <c r="C217" s="4" t="s">
        <v>2934</v>
      </c>
      <c r="D217" s="4" t="str">
        <f t="shared" si="1"/>
        <v>{"valorA":"muito","valorB":10}</v>
      </c>
      <c r="E217" s="8" t="str">
        <f t="shared" si="2"/>
        <v>muito</v>
      </c>
      <c r="F217" s="8"/>
      <c r="G217" s="8" t="str">
        <f t="shared" si="3"/>
        <v>10</v>
      </c>
      <c r="H217" s="9">
        <f t="shared" si="4"/>
        <v>10</v>
      </c>
      <c r="I217" s="6" t="str">
        <f>IFERROR(__xludf.DUMMYFUNCTION("MAX(FILTER($H$2:$H378,$E$2:$E378=F217))"),"#N/A")</f>
        <v>#N/A</v>
      </c>
    </row>
    <row r="218">
      <c r="A218" s="4"/>
      <c r="C218" s="4" t="s">
        <v>3116</v>
      </c>
      <c r="D218" s="4" t="str">
        <f t="shared" si="1"/>
        <v>{"valorA":"bem","valorB":7}</v>
      </c>
      <c r="E218" s="8" t="str">
        <f t="shared" si="2"/>
        <v>bem</v>
      </c>
      <c r="F218" s="8"/>
      <c r="G218" s="8" t="str">
        <f t="shared" si="3"/>
        <v>7</v>
      </c>
      <c r="H218" s="9">
        <f t="shared" si="4"/>
        <v>7</v>
      </c>
      <c r="I218" s="6" t="str">
        <f>IFERROR(__xludf.DUMMYFUNCTION("MAX(FILTER($H$2:$H378,$E$2:$E378=F218))"),"#N/A")</f>
        <v>#N/A</v>
      </c>
    </row>
    <row r="219">
      <c r="A219" s="4"/>
      <c r="C219" s="4" t="s">
        <v>3617</v>
      </c>
      <c r="D219" s="4" t="str">
        <f t="shared" si="1"/>
        <v>{"valorA":"feito","valorB":1}</v>
      </c>
      <c r="E219" s="8" t="str">
        <f t="shared" si="2"/>
        <v>feito</v>
      </c>
      <c r="F219" s="8"/>
      <c r="G219" s="8" t="str">
        <f t="shared" si="3"/>
        <v>1</v>
      </c>
      <c r="H219" s="9">
        <f t="shared" si="4"/>
        <v>1</v>
      </c>
      <c r="I219" s="6" t="str">
        <f>IFERROR(__xludf.DUMMYFUNCTION("MAX(FILTER($H$2:$H378,$E$2:$E378=F219))"),"#N/A")</f>
        <v>#N/A</v>
      </c>
    </row>
    <row r="220">
      <c r="A220" s="4"/>
      <c r="C220" s="4" t="s">
        <v>3060</v>
      </c>
      <c r="D220" s="4" t="str">
        <f t="shared" si="1"/>
        <v>{"valorA":"recomendo","valorB":4}</v>
      </c>
      <c r="E220" s="8" t="str">
        <f t="shared" si="2"/>
        <v>recomendo</v>
      </c>
      <c r="F220" s="8"/>
      <c r="G220" s="8" t="str">
        <f t="shared" si="3"/>
        <v>4</v>
      </c>
      <c r="H220" s="9">
        <f t="shared" si="4"/>
        <v>4</v>
      </c>
      <c r="I220" s="6" t="str">
        <f>IFERROR(__xludf.DUMMYFUNCTION("MAX(FILTER($H$2:$H378,$E$2:$E378=F220))"),"#N/A")</f>
        <v>#N/A</v>
      </c>
    </row>
    <row r="221">
      <c r="A221" s="4"/>
      <c r="C221" s="4" t="s">
        <v>2931</v>
      </c>
      <c r="D221" s="4" t="str">
        <f t="shared" si="1"/>
        <v>{"valorA":"esse","valorB":6}</v>
      </c>
      <c r="E221" s="8" t="str">
        <f t="shared" si="2"/>
        <v>esse</v>
      </c>
      <c r="F221" s="8"/>
      <c r="G221" s="8" t="str">
        <f t="shared" si="3"/>
        <v>6</v>
      </c>
      <c r="H221" s="9">
        <f t="shared" si="4"/>
        <v>6</v>
      </c>
      <c r="I221" s="6" t="str">
        <f>IFERROR(__xludf.DUMMYFUNCTION("MAX(FILTER($H$2:$H378,$E$2:$E378=F221))"),"#N/A")</f>
        <v>#N/A</v>
      </c>
    </row>
    <row r="222">
      <c r="A222" s="4"/>
      <c r="C222" s="4" t="s">
        <v>3618</v>
      </c>
      <c r="D222" s="4" t="str">
        <f t="shared" si="1"/>
        <v>{"valorA":"refrigerador","valorB":2}</v>
      </c>
      <c r="E222" s="8" t="str">
        <f t="shared" si="2"/>
        <v>refrigerador</v>
      </c>
      <c r="F222" s="8"/>
      <c r="G222" s="8" t="str">
        <f t="shared" si="3"/>
        <v>2</v>
      </c>
      <c r="H222" s="9">
        <f t="shared" si="4"/>
        <v>2</v>
      </c>
      <c r="I222" s="6" t="str">
        <f>IFERROR(__xludf.DUMMYFUNCTION("MAX(FILTER($H$2:$H378,$E$2:$E378=F222))"),"#N/A")</f>
        <v>#N/A</v>
      </c>
    </row>
    <row r="223">
      <c r="A223" s="4"/>
      <c r="C223" s="4" t="s">
        <v>3619</v>
      </c>
      <c r="D223" s="4" t="str">
        <f t="shared" si="1"/>
        <v>{"valorA":"perfeitamente","valorB":8}</v>
      </c>
      <c r="E223" s="8" t="str">
        <f t="shared" si="2"/>
        <v>perfeitamente</v>
      </c>
      <c r="F223" s="8"/>
      <c r="G223" s="8" t="str">
        <f t="shared" si="3"/>
        <v>8</v>
      </c>
      <c r="H223" s="9">
        <f t="shared" si="4"/>
        <v>8</v>
      </c>
      <c r="I223" s="6" t="str">
        <f>IFERROR(__xludf.DUMMYFUNCTION("MAX(FILTER($H$2:$H378,$E$2:$E378=F223))"),"#N/A")</f>
        <v>#N/A</v>
      </c>
    </row>
    <row r="224">
      <c r="A224" s="4"/>
      <c r="C224" s="4" t="s">
        <v>2801</v>
      </c>
      <c r="D224" s="4" t="str">
        <f t="shared" si="1"/>
        <v>{"valorA":"produto","valorB":16}</v>
      </c>
      <c r="E224" s="8" t="str">
        <f t="shared" si="2"/>
        <v>produto</v>
      </c>
      <c r="F224" s="8"/>
      <c r="G224" s="8" t="str">
        <f t="shared" si="3"/>
        <v>16</v>
      </c>
      <c r="H224" s="9">
        <f t="shared" si="4"/>
        <v>16</v>
      </c>
      <c r="I224" s="6" t="str">
        <f>IFERROR(__xludf.DUMMYFUNCTION("MAX(FILTER($H$2:$H378,$E$2:$E378=F224))"),"#N/A")</f>
        <v>#N/A</v>
      </c>
    </row>
    <row r="225">
      <c r="A225" s="4"/>
      <c r="C225" s="4" t="s">
        <v>3471</v>
      </c>
      <c r="D225" s="4" t="str">
        <f t="shared" si="1"/>
        <v>{"valorA":"funciona","valorB":12}</v>
      </c>
      <c r="E225" s="8" t="str">
        <f t="shared" si="2"/>
        <v>funciona</v>
      </c>
      <c r="F225" s="8"/>
      <c r="G225" s="8" t="str">
        <f t="shared" si="3"/>
        <v>12</v>
      </c>
      <c r="H225" s="9">
        <f t="shared" si="4"/>
        <v>12</v>
      </c>
      <c r="I225" s="6" t="str">
        <f>IFERROR(__xludf.DUMMYFUNCTION("MAX(FILTER($H$2:$H378,$E$2:$E378=F225))"),"#N/A")</f>
        <v>#N/A</v>
      </c>
    </row>
    <row r="226">
      <c r="A226" s="4"/>
      <c r="C226" s="4" t="s">
        <v>2831</v>
      </c>
      <c r="D226" s="4" t="str">
        <f t="shared" si="1"/>
        <v>{"valorA":"ótimo","valorB":29}</v>
      </c>
      <c r="E226" s="8" t="str">
        <f t="shared" si="2"/>
        <v>ótimo</v>
      </c>
      <c r="F226" s="8"/>
      <c r="G226" s="8" t="str">
        <f t="shared" si="3"/>
        <v>29</v>
      </c>
      <c r="H226" s="9">
        <f t="shared" si="4"/>
        <v>29</v>
      </c>
      <c r="I226" s="6" t="str">
        <f>IFERROR(__xludf.DUMMYFUNCTION("MAX(FILTER($H$2:$H378,$E$2:$E378=F226))"),"#N/A")</f>
        <v>#N/A</v>
      </c>
    </row>
    <row r="227">
      <c r="A227" s="4"/>
      <c r="C227" s="4" t="s">
        <v>2812</v>
      </c>
      <c r="D227" s="4" t="str">
        <f t="shared" si="1"/>
        <v>{"valorA":"produto","valorB":17}</v>
      </c>
      <c r="E227" s="8" t="str">
        <f t="shared" si="2"/>
        <v>produto</v>
      </c>
      <c r="F227" s="8"/>
      <c r="G227" s="8" t="str">
        <f t="shared" si="3"/>
        <v>17</v>
      </c>
      <c r="H227" s="9">
        <f t="shared" si="4"/>
        <v>17</v>
      </c>
      <c r="I227" s="6" t="str">
        <f>IFERROR(__xludf.DUMMYFUNCTION("MAX(FILTER($H$2:$H378,$E$2:$E378=F227))"),"#N/A")</f>
        <v>#N/A</v>
      </c>
    </row>
    <row r="228">
      <c r="A228" s="4"/>
      <c r="C228" s="4" t="s">
        <v>3620</v>
      </c>
      <c r="D228" s="4" t="str">
        <f t="shared" si="1"/>
        <v>{"valorA":"entrega","valorB":1}</v>
      </c>
      <c r="E228" s="8" t="str">
        <f t="shared" si="2"/>
        <v>entrega</v>
      </c>
      <c r="F228" s="8"/>
      <c r="G228" s="8" t="str">
        <f t="shared" si="3"/>
        <v>1</v>
      </c>
      <c r="H228" s="9">
        <f t="shared" si="4"/>
        <v>1</v>
      </c>
      <c r="I228" s="6" t="str">
        <f>IFERROR(__xludf.DUMMYFUNCTION("MAX(FILTER($H$2:$H378,$E$2:$E378=F228))"),"#N/A")</f>
        <v>#N/A</v>
      </c>
    </row>
    <row r="229">
      <c r="A229" s="4"/>
      <c r="C229" s="4" t="s">
        <v>3621</v>
      </c>
      <c r="D229" s="4" t="str">
        <f t="shared" si="1"/>
        <v>{"valorA":"emocionante","valorB":1}</v>
      </c>
      <c r="E229" s="8" t="str">
        <f t="shared" si="2"/>
        <v>emocionante</v>
      </c>
      <c r="F229" s="8"/>
      <c r="G229" s="8" t="str">
        <f t="shared" si="3"/>
        <v>1</v>
      </c>
      <c r="H229" s="9">
        <f t="shared" si="4"/>
        <v>1</v>
      </c>
      <c r="I229" s="6" t="str">
        <f>IFERROR(__xludf.DUMMYFUNCTION("MAX(FILTER($H$2:$H378,$E$2:$E378=F229))"),"#N/A")</f>
        <v>#N/A</v>
      </c>
    </row>
    <row r="230">
      <c r="A230" s="4"/>
      <c r="C230" s="4" t="s">
        <v>3622</v>
      </c>
      <c r="D230" s="4" t="str">
        <f t="shared" si="1"/>
        <v>{"valorA":"rápida","valorB":1}</v>
      </c>
      <c r="E230" s="8" t="str">
        <f t="shared" si="2"/>
        <v>rápida</v>
      </c>
      <c r="F230" s="8"/>
      <c r="G230" s="8" t="str">
        <f t="shared" si="3"/>
        <v>1</v>
      </c>
      <c r="H230" s="9">
        <f t="shared" si="4"/>
        <v>1</v>
      </c>
      <c r="I230" s="6" t="str">
        <f>IFERROR(__xludf.DUMMYFUNCTION("MAX(FILTER($H$2:$H378,$E$2:$E378=F230))"),"#N/A")</f>
        <v>#N/A</v>
      </c>
    </row>
    <row r="231">
      <c r="A231" s="4"/>
      <c r="C231" s="4" t="s">
        <v>2841</v>
      </c>
      <c r="D231" s="4" t="str">
        <f t="shared" si="1"/>
        <v>{"valorA":"ótimo","valorB":30}</v>
      </c>
      <c r="E231" s="8" t="str">
        <f t="shared" si="2"/>
        <v>ótimo</v>
      </c>
      <c r="F231" s="8"/>
      <c r="G231" s="8" t="str">
        <f t="shared" si="3"/>
        <v>30</v>
      </c>
      <c r="H231" s="9">
        <f t="shared" si="4"/>
        <v>30</v>
      </c>
      <c r="I231" s="6" t="str">
        <f>IFERROR(__xludf.DUMMYFUNCTION("MAX(FILTER($H$2:$H378,$E$2:$E378=F231))"),"#N/A")</f>
        <v>#N/A</v>
      </c>
    </row>
    <row r="232">
      <c r="A232" s="4"/>
      <c r="C232" s="4" t="s">
        <v>2881</v>
      </c>
      <c r="D232" s="4" t="str">
        <f t="shared" si="1"/>
        <v>{"valorA":"e","valorB":10}</v>
      </c>
      <c r="E232" s="8" t="str">
        <f t="shared" si="2"/>
        <v>e</v>
      </c>
      <c r="F232" s="8"/>
      <c r="G232" s="8" t="str">
        <f t="shared" si="3"/>
        <v>10</v>
      </c>
      <c r="H232" s="9">
        <f t="shared" si="4"/>
        <v>10</v>
      </c>
      <c r="I232" s="6" t="str">
        <f>IFERROR(__xludf.DUMMYFUNCTION("MAX(FILTER($H$2:$H378,$E$2:$E378=F232))"),"#N/A")</f>
        <v>#N/A</v>
      </c>
    </row>
    <row r="233">
      <c r="A233" s="4"/>
      <c r="C233" s="4" t="s">
        <v>2943</v>
      </c>
      <c r="D233" s="4" t="str">
        <f t="shared" si="1"/>
        <v>{"valorA":"é","valorB":9}</v>
      </c>
      <c r="E233" s="8" t="str">
        <f t="shared" si="2"/>
        <v>é</v>
      </c>
      <c r="F233" s="8"/>
      <c r="G233" s="8" t="str">
        <f t="shared" si="3"/>
        <v>9</v>
      </c>
      <c r="H233" s="9">
        <f t="shared" si="4"/>
        <v>9</v>
      </c>
      <c r="I233" s="6" t="str">
        <f>IFERROR(__xludf.DUMMYFUNCTION("MAX(FILTER($H$2:$H378,$E$2:$E378=F233))"),"#N/A")</f>
        <v>#N/A</v>
      </c>
    </row>
    <row r="234">
      <c r="A234" s="4"/>
      <c r="C234" s="4" t="s">
        <v>2988</v>
      </c>
      <c r="D234" s="4" t="str">
        <f t="shared" si="1"/>
        <v>{"valorA":"esse","valorB":7}</v>
      </c>
      <c r="E234" s="8" t="str">
        <f t="shared" si="2"/>
        <v>esse</v>
      </c>
      <c r="F234" s="8"/>
      <c r="G234" s="8" t="str">
        <f t="shared" si="3"/>
        <v>7</v>
      </c>
      <c r="H234" s="9">
        <f t="shared" si="4"/>
        <v>7</v>
      </c>
      <c r="I234" s="6" t="str">
        <f>IFERROR(__xludf.DUMMYFUNCTION("MAX(FILTER($H$2:$H378,$E$2:$E378=F234))"),"#N/A")</f>
        <v>#N/A</v>
      </c>
    </row>
    <row r="235">
      <c r="A235" s="4"/>
      <c r="C235" s="4" t="s">
        <v>2965</v>
      </c>
      <c r="D235" s="4" t="str">
        <f t="shared" si="1"/>
        <v>{"valorA":"incrível","valorB":4}</v>
      </c>
      <c r="E235" s="8" t="str">
        <f t="shared" si="2"/>
        <v>incrível</v>
      </c>
      <c r="F235" s="8"/>
      <c r="G235" s="8" t="str">
        <f t="shared" si="3"/>
        <v>4</v>
      </c>
      <c r="H235" s="9">
        <f t="shared" si="4"/>
        <v>4</v>
      </c>
      <c r="I235" s="6" t="str">
        <f>IFERROR(__xludf.DUMMYFUNCTION("MAX(FILTER($H$2:$H378,$E$2:$E378=F235))"),"#N/A")</f>
        <v>#N/A</v>
      </c>
    </row>
    <row r="236">
      <c r="A236" s="4"/>
      <c r="C236" s="4" t="s">
        <v>3623</v>
      </c>
      <c r="D236" s="4" t="str">
        <f t="shared" si="1"/>
        <v>{"valorA":"relogio","valorB":2}</v>
      </c>
      <c r="E236" s="8" t="str">
        <f t="shared" si="2"/>
        <v>relogio</v>
      </c>
      <c r="F236" s="8"/>
      <c r="G236" s="8" t="str">
        <f t="shared" si="3"/>
        <v>2</v>
      </c>
      <c r="H236" s="9">
        <f t="shared" si="4"/>
        <v>2</v>
      </c>
      <c r="I236" s="6" t="str">
        <f>IFERROR(__xludf.DUMMYFUNCTION("MAX(FILTER($H$2:$H378,$E$2:$E378=F236))"),"#N/A")</f>
        <v>#N/A</v>
      </c>
    </row>
    <row r="237">
      <c r="A237" s="4"/>
      <c r="C237" s="4" t="s">
        <v>2845</v>
      </c>
      <c r="D237" s="4" t="str">
        <f t="shared" si="1"/>
        <v>{"valorA":"ótimo","valorB":31}</v>
      </c>
      <c r="E237" s="8" t="str">
        <f t="shared" si="2"/>
        <v>ótimo</v>
      </c>
      <c r="F237" s="8"/>
      <c r="G237" s="8" t="str">
        <f t="shared" si="3"/>
        <v>31</v>
      </c>
      <c r="H237" s="9">
        <f t="shared" si="4"/>
        <v>31</v>
      </c>
      <c r="I237" s="6" t="str">
        <f>IFERROR(__xludf.DUMMYFUNCTION("MAX(FILTER($H$2:$H378,$E$2:$E378=F237))"),"#N/A")</f>
        <v>#N/A</v>
      </c>
    </row>
    <row r="238">
      <c r="A238" s="4"/>
      <c r="C238" s="4" t="s">
        <v>2847</v>
      </c>
      <c r="D238" s="4" t="str">
        <f t="shared" si="1"/>
        <v>{"valorA":"relojoeiro","valorB":2}</v>
      </c>
      <c r="E238" s="8" t="str">
        <f t="shared" si="2"/>
        <v>relojoeiro</v>
      </c>
      <c r="F238" s="8"/>
      <c r="G238" s="8" t="str">
        <f t="shared" si="3"/>
        <v>2</v>
      </c>
      <c r="H238" s="9">
        <f t="shared" si="4"/>
        <v>2</v>
      </c>
      <c r="I238" s="6" t="str">
        <f>IFERROR(__xludf.DUMMYFUNCTION("MAX(FILTER($H$2:$H378,$E$2:$E378=F238))"),"#N/A")</f>
        <v>#N/A</v>
      </c>
    </row>
    <row r="239">
      <c r="A239" s="4"/>
      <c r="C239" s="4" t="s">
        <v>2805</v>
      </c>
      <c r="D239" s="4" t="str">
        <f t="shared" si="1"/>
        <v>{"valorA":"para","valorB":5}</v>
      </c>
      <c r="E239" s="8" t="str">
        <f t="shared" si="2"/>
        <v>para</v>
      </c>
      <c r="F239" s="8"/>
      <c r="G239" s="8" t="str">
        <f t="shared" si="3"/>
        <v>5</v>
      </c>
      <c r="H239" s="9">
        <f t="shared" si="4"/>
        <v>5</v>
      </c>
      <c r="I239" s="6" t="str">
        <f>IFERROR(__xludf.DUMMYFUNCTION("MAX(FILTER($H$2:$H378,$E$2:$E378=F239))"),"#N/A")</f>
        <v>#N/A</v>
      </c>
    </row>
    <row r="240">
      <c r="A240" s="4"/>
      <c r="C240" s="4" t="s">
        <v>2950</v>
      </c>
      <c r="D240" s="4" t="str">
        <f t="shared" si="1"/>
        <v>{"valorA":"meu","valorB":4}</v>
      </c>
      <c r="E240" s="8" t="str">
        <f t="shared" si="2"/>
        <v>meu</v>
      </c>
      <c r="F240" s="8"/>
      <c r="G240" s="8" t="str">
        <f t="shared" si="3"/>
        <v>4</v>
      </c>
      <c r="H240" s="9">
        <f t="shared" si="4"/>
        <v>4</v>
      </c>
      <c r="I240" s="6" t="str">
        <f>IFERROR(__xludf.DUMMYFUNCTION("MAX(FILTER($H$2:$H378,$E$2:$E378=F240))"),"#N/A")</f>
        <v>#N/A</v>
      </c>
    </row>
    <row r="241">
      <c r="A241" s="4"/>
      <c r="C241" s="4" t="s">
        <v>3624</v>
      </c>
      <c r="D241" s="4" t="str">
        <f t="shared" si="1"/>
        <v>{"valorA":"bolso","valorB":1}</v>
      </c>
      <c r="E241" s="8" t="str">
        <f t="shared" si="2"/>
        <v>bolso</v>
      </c>
      <c r="F241" s="8"/>
      <c r="G241" s="8" t="str">
        <f t="shared" si="3"/>
        <v>1</v>
      </c>
      <c r="H241" s="9">
        <f t="shared" si="4"/>
        <v>1</v>
      </c>
      <c r="I241" s="6" t="str">
        <f>IFERROR(__xludf.DUMMYFUNCTION("MAX(FILTER($H$2:$H378,$E$2:$E378=F241))"),"#N/A")</f>
        <v>#N/A</v>
      </c>
    </row>
    <row r="242">
      <c r="A242" s="4"/>
      <c r="C242" s="4" t="s">
        <v>2855</v>
      </c>
      <c r="D242" s="4" t="str">
        <f t="shared" si="1"/>
        <v>{"valorA":"ótimo","valorB":32}</v>
      </c>
      <c r="E242" s="8" t="str">
        <f t="shared" si="2"/>
        <v>ótimo</v>
      </c>
      <c r="F242" s="8"/>
      <c r="G242" s="8" t="str">
        <f t="shared" si="3"/>
        <v>32</v>
      </c>
      <c r="H242" s="9">
        <f t="shared" si="4"/>
        <v>32</v>
      </c>
      <c r="I242" s="6" t="str">
        <f>IFERROR(__xludf.DUMMYFUNCTION("MAX(FILTER($H$2:$H378,$E$2:$E378=F242))"),"#N/A")</f>
        <v>#N/A</v>
      </c>
    </row>
    <row r="243">
      <c r="A243" s="4"/>
      <c r="C243" s="4" t="s">
        <v>2638</v>
      </c>
      <c r="D243" s="4" t="str">
        <f t="shared" si="1"/>
        <v>{"valorA":"o","valorB":1}</v>
      </c>
      <c r="E243" s="8" t="str">
        <f t="shared" si="2"/>
        <v>o</v>
      </c>
      <c r="F243" s="8"/>
      <c r="G243" s="8" t="str">
        <f t="shared" si="3"/>
        <v>1</v>
      </c>
      <c r="H243" s="9">
        <f t="shared" si="4"/>
        <v>1</v>
      </c>
      <c r="I243" s="6" t="str">
        <f>IFERROR(__xludf.DUMMYFUNCTION("MAX(FILTER($H$2:$H378,$E$2:$E378=F243))"),"#N/A")</f>
        <v>#N/A</v>
      </c>
    </row>
    <row r="244">
      <c r="A244" s="4"/>
      <c r="C244" s="4" t="s">
        <v>2864</v>
      </c>
      <c r="D244" s="4" t="str">
        <f t="shared" si="1"/>
        <v>{"valorA":"perfeito","valorB":1}</v>
      </c>
      <c r="E244" s="8" t="str">
        <f t="shared" si="2"/>
        <v>perfeito</v>
      </c>
      <c r="F244" s="8"/>
      <c r="G244" s="8" t="str">
        <f t="shared" si="3"/>
        <v>1</v>
      </c>
      <c r="H244" s="9">
        <f t="shared" si="4"/>
        <v>1</v>
      </c>
      <c r="I244" s="6" t="str">
        <f>IFERROR(__xludf.DUMMYFUNCTION("MAX(FILTER($H$2:$H378,$E$2:$E378=F244))"),"#N/A")</f>
        <v>#N/A</v>
      </c>
    </row>
    <row r="245">
      <c r="A245" s="4"/>
      <c r="C245" s="4" t="s">
        <v>3625</v>
      </c>
      <c r="D245" s="4" t="str">
        <f t="shared" si="1"/>
        <v>{"valorA":"novo","valorB":3}</v>
      </c>
      <c r="E245" s="8" t="str">
        <f t="shared" si="2"/>
        <v>novo</v>
      </c>
      <c r="F245" s="8"/>
      <c r="G245" s="8" t="str">
        <f t="shared" si="3"/>
        <v>3</v>
      </c>
      <c r="H245" s="9">
        <f t="shared" si="4"/>
        <v>3</v>
      </c>
      <c r="I245" s="6" t="str">
        <f>IFERROR(__xludf.DUMMYFUNCTION("MAX(FILTER($H$2:$H378,$E$2:$E378=F245))"),"#N/A")</f>
        <v>#N/A</v>
      </c>
    </row>
    <row r="246">
      <c r="A246" s="4"/>
      <c r="C246" s="4" t="s">
        <v>3031</v>
      </c>
      <c r="D246" s="4" t="str">
        <f t="shared" si="1"/>
        <v>{"valorA":"televisor","valorB":1}</v>
      </c>
      <c r="E246" s="8" t="str">
        <f t="shared" si="2"/>
        <v>televisor</v>
      </c>
      <c r="F246" s="8"/>
      <c r="G246" s="8" t="str">
        <f t="shared" si="3"/>
        <v>1</v>
      </c>
      <c r="H246" s="9">
        <f t="shared" si="4"/>
        <v>1</v>
      </c>
      <c r="I246" s="6" t="str">
        <f>IFERROR(__xludf.DUMMYFUNCTION("MAX(FILTER($H$2:$H378,$E$2:$E378=F246))"),"#N/A")</f>
        <v>#N/A</v>
      </c>
    </row>
    <row r="247">
      <c r="A247" s="4"/>
      <c r="C247" s="4" t="s">
        <v>2979</v>
      </c>
      <c r="D247" s="4" t="str">
        <f t="shared" si="1"/>
        <v>{"valorA":"incrível","valorB":5}</v>
      </c>
      <c r="E247" s="8" t="str">
        <f t="shared" si="2"/>
        <v>incrível</v>
      </c>
      <c r="F247" s="8"/>
      <c r="G247" s="8" t="str">
        <f t="shared" si="3"/>
        <v>5</v>
      </c>
      <c r="H247" s="9">
        <f t="shared" si="4"/>
        <v>5</v>
      </c>
      <c r="I247" s="6" t="str">
        <f>IFERROR(__xludf.DUMMYFUNCTION("MAX(FILTER($H$2:$H378,$E$2:$E378=F247))"),"#N/A")</f>
        <v>#N/A</v>
      </c>
    </row>
    <row r="248">
      <c r="A248" s="4"/>
      <c r="C248" s="4" t="s">
        <v>2967</v>
      </c>
      <c r="D248" s="4" t="str">
        <f t="shared" si="1"/>
        <v>{"valorA":"meu","valorB":5}</v>
      </c>
      <c r="E248" s="8" t="str">
        <f t="shared" si="2"/>
        <v>meu</v>
      </c>
      <c r="F248" s="8"/>
      <c r="G248" s="8" t="str">
        <f t="shared" si="3"/>
        <v>5</v>
      </c>
      <c r="H248" s="9">
        <f t="shared" si="4"/>
        <v>5</v>
      </c>
      <c r="I248" s="6" t="str">
        <f>IFERROR(__xludf.DUMMYFUNCTION("MAX(FILTER($H$2:$H378,$E$2:$E378=F248))"),"#N/A")</f>
        <v>#N/A</v>
      </c>
    </row>
    <row r="249">
      <c r="A249" s="4"/>
      <c r="C249" s="4" t="s">
        <v>2949</v>
      </c>
      <c r="D249" s="4" t="str">
        <f t="shared" si="1"/>
        <v>{"valorA":"é","valorB":10}</v>
      </c>
      <c r="E249" s="8" t="str">
        <f t="shared" si="2"/>
        <v>é</v>
      </c>
      <c r="F249" s="8"/>
      <c r="G249" s="8" t="str">
        <f t="shared" si="3"/>
        <v>10</v>
      </c>
      <c r="H249" s="9">
        <f t="shared" si="4"/>
        <v>10</v>
      </c>
      <c r="I249" s="6" t="str">
        <f>IFERROR(__xludf.DUMMYFUNCTION("MAX(FILTER($H$2:$H378,$E$2:$E378=F249))"),"#N/A")</f>
        <v>#N/A</v>
      </c>
    </row>
    <row r="250">
      <c r="A250" s="4"/>
      <c r="C250" s="4" t="s">
        <v>3626</v>
      </c>
      <c r="D250" s="4" t="str">
        <f t="shared" si="1"/>
        <v>{"valorA":"perfeitamente","valorB":9}</v>
      </c>
      <c r="E250" s="8" t="str">
        <f t="shared" si="2"/>
        <v>perfeitamente</v>
      </c>
      <c r="F250" s="8"/>
      <c r="G250" s="8" t="str">
        <f t="shared" si="3"/>
        <v>9</v>
      </c>
      <c r="H250" s="9">
        <f t="shared" si="4"/>
        <v>9</v>
      </c>
      <c r="I250" s="6" t="str">
        <f>IFERROR(__xludf.DUMMYFUNCTION("MAX(FILTER($H$2:$H378,$E$2:$E378=F250))"),"#N/A")</f>
        <v>#N/A</v>
      </c>
    </row>
    <row r="251">
      <c r="A251" s="4"/>
      <c r="C251" s="4" t="s">
        <v>3487</v>
      </c>
      <c r="D251" s="4" t="str">
        <f t="shared" si="1"/>
        <v>{"valorA":"funciona","valorB":13}</v>
      </c>
      <c r="E251" s="8" t="str">
        <f t="shared" si="2"/>
        <v>funciona</v>
      </c>
      <c r="F251" s="8"/>
      <c r="G251" s="8" t="str">
        <f t="shared" si="3"/>
        <v>13</v>
      </c>
      <c r="H251" s="9">
        <f t="shared" si="4"/>
        <v>13</v>
      </c>
      <c r="I251" s="6" t="str">
        <f>IFERROR(__xludf.DUMMYFUNCTION("MAX(FILTER($H$2:$H378,$E$2:$E378=F251))"),"#N/A")</f>
        <v>#N/A</v>
      </c>
    </row>
    <row r="252">
      <c r="A252" s="4"/>
      <c r="C252" s="4" t="s">
        <v>2964</v>
      </c>
      <c r="D252" s="4" t="str">
        <f t="shared" si="1"/>
        <v>{"valorA":"é","valorB":11}</v>
      </c>
      <c r="E252" s="8" t="str">
        <f t="shared" si="2"/>
        <v>é</v>
      </c>
      <c r="F252" s="8"/>
      <c r="G252" s="8" t="str">
        <f t="shared" si="3"/>
        <v>11</v>
      </c>
      <c r="H252" s="9">
        <f t="shared" si="4"/>
        <v>11</v>
      </c>
      <c r="I252" s="6" t="str">
        <f>IFERROR(__xludf.DUMMYFUNCTION("MAX(FILTER($H$2:$H378,$E$2:$E378=F252))"),"#N/A")</f>
        <v>#N/A</v>
      </c>
    </row>
    <row r="253">
      <c r="A253" s="4"/>
      <c r="C253" s="4" t="s">
        <v>3627</v>
      </c>
      <c r="D253" s="4" t="str">
        <f t="shared" si="1"/>
        <v>{"valorA":"novo","valorB":4}</v>
      </c>
      <c r="E253" s="8" t="str">
        <f t="shared" si="2"/>
        <v>novo</v>
      </c>
      <c r="F253" s="8"/>
      <c r="G253" s="8" t="str">
        <f t="shared" si="3"/>
        <v>4</v>
      </c>
      <c r="H253" s="9">
        <f t="shared" si="4"/>
        <v>4</v>
      </c>
      <c r="I253" s="6" t="str">
        <f>IFERROR(__xludf.DUMMYFUNCTION("MAX(FILTER($H$2:$H378,$E$2:$E378=F253))"),"#N/A")</f>
        <v>#N/A</v>
      </c>
    </row>
    <row r="254">
      <c r="A254" s="4"/>
      <c r="C254" s="4" t="s">
        <v>2900</v>
      </c>
      <c r="D254" s="4" t="str">
        <f t="shared" si="1"/>
        <v>{"valorA":"melhor","valorB":1}</v>
      </c>
      <c r="E254" s="8" t="str">
        <f t="shared" si="2"/>
        <v>melhor</v>
      </c>
      <c r="F254" s="8"/>
      <c r="G254" s="8" t="str">
        <f t="shared" si="3"/>
        <v>1</v>
      </c>
      <c r="H254" s="9">
        <f t="shared" si="4"/>
        <v>1</v>
      </c>
      <c r="I254" s="6" t="str">
        <f>IFERROR(__xludf.DUMMYFUNCTION("MAX(FILTER($H$2:$H378,$E$2:$E378=F254))"),"#N/A")</f>
        <v>#N/A</v>
      </c>
    </row>
    <row r="255">
      <c r="A255" s="4"/>
      <c r="C255" s="4" t="s">
        <v>2981</v>
      </c>
      <c r="D255" s="4" t="str">
        <f t="shared" si="1"/>
        <v>{"valorA":"meu","valorB":6}</v>
      </c>
      <c r="E255" s="8" t="str">
        <f t="shared" si="2"/>
        <v>meu</v>
      </c>
      <c r="F255" s="8"/>
      <c r="G255" s="8" t="str">
        <f t="shared" si="3"/>
        <v>6</v>
      </c>
      <c r="H255" s="9">
        <f t="shared" si="4"/>
        <v>6</v>
      </c>
      <c r="I255" s="6" t="str">
        <f>IFERROR(__xludf.DUMMYFUNCTION("MAX(FILTER($H$2:$H378,$E$2:$E378=F255))"),"#N/A")</f>
        <v>#N/A</v>
      </c>
    </row>
    <row r="256">
      <c r="A256" s="4"/>
      <c r="C256" s="4" t="s">
        <v>2920</v>
      </c>
      <c r="D256" s="4" t="str">
        <f t="shared" si="1"/>
        <v>{"valorA":"qualidade","valorB":2}</v>
      </c>
      <c r="E256" s="8" t="str">
        <f t="shared" si="2"/>
        <v>qualidade</v>
      </c>
      <c r="F256" s="8"/>
      <c r="G256" s="8" t="str">
        <f t="shared" si="3"/>
        <v>2</v>
      </c>
      <c r="H256" s="9">
        <f t="shared" si="4"/>
        <v>2</v>
      </c>
      <c r="I256" s="6" t="str">
        <f>IFERROR(__xludf.DUMMYFUNCTION("MAX(FILTER($H$2:$H378,$E$2:$E378=F256))"),"#N/A")</f>
        <v>#N/A</v>
      </c>
    </row>
    <row r="257">
      <c r="A257" s="4"/>
      <c r="C257" s="4" t="s">
        <v>2695</v>
      </c>
      <c r="D257" s="4" t="str">
        <f t="shared" si="1"/>
        <v>{"valorA":"que","valorB":2}</v>
      </c>
      <c r="E257" s="8" t="str">
        <f t="shared" si="2"/>
        <v>que</v>
      </c>
      <c r="F257" s="8"/>
      <c r="G257" s="8" t="str">
        <f t="shared" si="3"/>
        <v>2</v>
      </c>
      <c r="H257" s="9">
        <f t="shared" si="4"/>
        <v>2</v>
      </c>
      <c r="I257" s="6" t="str">
        <f>IFERROR(__xludf.DUMMYFUNCTION("MAX(FILTER($H$2:$H378,$E$2:$E378=F257))"),"#N/A")</f>
        <v>#N/A</v>
      </c>
    </row>
    <row r="258">
      <c r="A258" s="4"/>
      <c r="C258" s="4" t="s">
        <v>2778</v>
      </c>
      <c r="D258" s="4" t="str">
        <f t="shared" si="1"/>
        <v>{"valorA":"antigo","valorB":1}</v>
      </c>
      <c r="E258" s="8" t="str">
        <f t="shared" si="2"/>
        <v>antigo</v>
      </c>
      <c r="F258" s="8"/>
      <c r="G258" s="8" t="str">
        <f t="shared" si="3"/>
        <v>1</v>
      </c>
      <c r="H258" s="9">
        <f t="shared" si="4"/>
        <v>1</v>
      </c>
      <c r="I258" s="6" t="str">
        <f>IFERROR(__xludf.DUMMYFUNCTION("MAX(FILTER($H$2:$H378,$E$2:$E378=F258))"),"#N/A")</f>
        <v>#N/A</v>
      </c>
    </row>
    <row r="259">
      <c r="A259" s="4"/>
      <c r="C259" s="4" t="s">
        <v>3628</v>
      </c>
      <c r="D259" s="4" t="str">
        <f t="shared" si="1"/>
        <v>{"valorA":"incrível","valorB":6}</v>
      </c>
      <c r="E259" s="8" t="str">
        <f t="shared" si="2"/>
        <v>incrível</v>
      </c>
      <c r="F259" s="8"/>
      <c r="G259" s="8" t="str">
        <f t="shared" si="3"/>
        <v>6</v>
      </c>
      <c r="H259" s="9">
        <f t="shared" si="4"/>
        <v>6</v>
      </c>
      <c r="I259" s="6" t="str">
        <f>IFERROR(__xludf.DUMMYFUNCTION("MAX(FILTER($H$2:$H378,$E$2:$E378=F259))"),"#N/A")</f>
        <v>#N/A</v>
      </c>
    </row>
    <row r="260">
      <c r="A260" s="4"/>
      <c r="C260" s="4" t="s">
        <v>3629</v>
      </c>
      <c r="D260" s="4" t="str">
        <f t="shared" si="1"/>
        <v>{"valorA":"meu","valorB":7}</v>
      </c>
      <c r="E260" s="8" t="str">
        <f t="shared" si="2"/>
        <v>meu</v>
      </c>
      <c r="F260" s="8"/>
      <c r="G260" s="8" t="str">
        <f t="shared" si="3"/>
        <v>7</v>
      </c>
      <c r="H260" s="9">
        <f t="shared" si="4"/>
        <v>7</v>
      </c>
      <c r="I260" s="6" t="str">
        <f>IFERROR(__xludf.DUMMYFUNCTION("MAX(FILTER($H$2:$H378,$E$2:$E378=F260))"),"#N/A")</f>
        <v>#N/A</v>
      </c>
    </row>
    <row r="261">
      <c r="A261" s="4"/>
      <c r="C261" s="4" t="s">
        <v>3630</v>
      </c>
      <c r="D261" s="4" t="str">
        <f t="shared" si="1"/>
        <v>{"valorA":"carro","valorB":4}</v>
      </c>
      <c r="E261" s="8" t="str">
        <f t="shared" si="2"/>
        <v>carro</v>
      </c>
      <c r="F261" s="8"/>
      <c r="G261" s="8" t="str">
        <f t="shared" si="3"/>
        <v>4</v>
      </c>
      <c r="H261" s="9">
        <f t="shared" si="4"/>
        <v>4</v>
      </c>
      <c r="I261" s="6" t="str">
        <f>IFERROR(__xludf.DUMMYFUNCTION("MAX(FILTER($H$2:$H378,$E$2:$E378=F261))"),"#N/A")</f>
        <v>#N/A</v>
      </c>
    </row>
    <row r="262">
      <c r="A262" s="4"/>
      <c r="C262" s="4" t="s">
        <v>2691</v>
      </c>
      <c r="D262" s="4" t="str">
        <f t="shared" si="1"/>
        <v>{"valorA":"o","valorB":2}</v>
      </c>
      <c r="E262" s="8" t="str">
        <f t="shared" si="2"/>
        <v>o</v>
      </c>
      <c r="F262" s="8"/>
      <c r="G262" s="8" t="str">
        <f t="shared" si="3"/>
        <v>2</v>
      </c>
      <c r="H262" s="9">
        <f t="shared" si="4"/>
        <v>2</v>
      </c>
      <c r="I262" s="6" t="str">
        <f>IFERROR(__xludf.DUMMYFUNCTION("MAX(FILTER($H$2:$H378,$E$2:$E378=F262))"),"#N/A")</f>
        <v>#N/A</v>
      </c>
    </row>
    <row r="263">
      <c r="A263" s="4"/>
      <c r="C263" s="4" t="s">
        <v>2783</v>
      </c>
      <c r="D263" s="4" t="str">
        <f t="shared" si="1"/>
        <v>{"valorA":"do","valorB":3}</v>
      </c>
      <c r="E263" s="8" t="str">
        <f t="shared" si="2"/>
        <v>do</v>
      </c>
      <c r="F263" s="8"/>
      <c r="G263" s="8" t="str">
        <f t="shared" si="3"/>
        <v>3</v>
      </c>
      <c r="H263" s="9">
        <f t="shared" si="4"/>
        <v>3</v>
      </c>
      <c r="I263" s="6" t="str">
        <f>IFERROR(__xludf.DUMMYFUNCTION("MAX(FILTER($H$2:$H378,$E$2:$E378=F263))"),"#N/A")</f>
        <v>#N/A</v>
      </c>
    </row>
    <row r="264">
      <c r="A264" s="4"/>
      <c r="C264" s="4" t="s">
        <v>2669</v>
      </c>
      <c r="D264" s="4" t="str">
        <f t="shared" si="1"/>
        <v>{"valorA":"adora","valorB":1}</v>
      </c>
      <c r="E264" s="8" t="str">
        <f t="shared" si="2"/>
        <v>adora</v>
      </c>
      <c r="F264" s="8"/>
      <c r="G264" s="8" t="str">
        <f t="shared" si="3"/>
        <v>1</v>
      </c>
      <c r="H264" s="9">
        <f t="shared" si="4"/>
        <v>1</v>
      </c>
      <c r="I264" s="6" t="str">
        <f>IFERROR(__xludf.DUMMYFUNCTION("MAX(FILTER($H$2:$H378,$E$2:$E378=F264))"),"#N/A")</f>
        <v>#N/A</v>
      </c>
    </row>
    <row r="265">
      <c r="A265" s="4"/>
      <c r="C265" s="4" t="s">
        <v>2859</v>
      </c>
      <c r="D265" s="4" t="str">
        <f t="shared" si="1"/>
        <v>{"valorA":"ótimo","valorB":33}</v>
      </c>
      <c r="E265" s="8" t="str">
        <f t="shared" si="2"/>
        <v>ótimo</v>
      </c>
      <c r="F265" s="8"/>
      <c r="G265" s="8" t="str">
        <f t="shared" si="3"/>
        <v>33</v>
      </c>
      <c r="H265" s="9">
        <f t="shared" si="4"/>
        <v>33</v>
      </c>
      <c r="I265" s="6" t="str">
        <f>IFERROR(__xludf.DUMMYFUNCTION("MAX(FILTER($H$2:$H378,$E$2:$E378=F265))"),"#N/A")</f>
        <v>#N/A</v>
      </c>
    </row>
    <row r="266">
      <c r="A266" s="4"/>
      <c r="C266" s="4" t="s">
        <v>2666</v>
      </c>
      <c r="D266" s="4" t="str">
        <f t="shared" si="1"/>
        <v>{"valorA":"com","valorB":1}</v>
      </c>
      <c r="E266" s="8" t="str">
        <f t="shared" si="2"/>
        <v>com</v>
      </c>
      <c r="F266" s="8"/>
      <c r="G266" s="8" t="str">
        <f t="shared" si="3"/>
        <v>1</v>
      </c>
      <c r="H266" s="9">
        <f t="shared" si="4"/>
        <v>1</v>
      </c>
      <c r="I266" s="6" t="str">
        <f>IFERROR(__xludf.DUMMYFUNCTION("MAX(FILTER($H$2:$H378,$E$2:$E378=F266))"),"#N/A")</f>
        <v>#N/A</v>
      </c>
    </row>
    <row r="267">
      <c r="A267" s="4"/>
      <c r="C267" s="4" t="s">
        <v>2832</v>
      </c>
      <c r="D267" s="4" t="str">
        <f t="shared" si="1"/>
        <v>{"valorA":"produto","valorB":18}</v>
      </c>
      <c r="E267" s="8" t="str">
        <f t="shared" si="2"/>
        <v>produto</v>
      </c>
      <c r="F267" s="8"/>
      <c r="G267" s="8" t="str">
        <f t="shared" si="3"/>
        <v>18</v>
      </c>
      <c r="H267" s="9">
        <f t="shared" si="4"/>
        <v>18</v>
      </c>
      <c r="I267" s="6" t="str">
        <f>IFERROR(__xludf.DUMMYFUNCTION("MAX(FILTER($H$2:$H378,$E$2:$E378=F267))"),"#N/A")</f>
        <v>#N/A</v>
      </c>
    </row>
    <row r="268">
      <c r="A268" s="4"/>
      <c r="C268" s="4" t="s">
        <v>3631</v>
      </c>
      <c r="D268" s="4" t="str">
        <f t="shared" si="1"/>
        <v>{"valorA":"meu","valorB":8}</v>
      </c>
      <c r="E268" s="8" t="str">
        <f t="shared" si="2"/>
        <v>meu</v>
      </c>
      <c r="F268" s="8"/>
      <c r="G268" s="8" t="str">
        <f t="shared" si="3"/>
        <v>8</v>
      </c>
      <c r="H268" s="9">
        <f t="shared" si="4"/>
        <v>8</v>
      </c>
      <c r="I268" s="6" t="str">
        <f>IFERROR(__xludf.DUMMYFUNCTION("MAX(FILTER($H$2:$H378,$E$2:$E378=F268))"),"#N/A")</f>
        <v>#N/A</v>
      </c>
    </row>
    <row r="269">
      <c r="A269" s="4"/>
      <c r="C269" s="4" t="s">
        <v>2668</v>
      </c>
      <c r="D269" s="4" t="str">
        <f t="shared" si="1"/>
        <v>{"valorA":"filho","valorB":1}</v>
      </c>
      <c r="E269" s="8" t="str">
        <f t="shared" si="2"/>
        <v>filho</v>
      </c>
      <c r="F269" s="8"/>
      <c r="G269" s="8" t="str">
        <f t="shared" si="3"/>
        <v>1</v>
      </c>
      <c r="H269" s="9">
        <f t="shared" si="4"/>
        <v>1</v>
      </c>
      <c r="I269" s="6" t="str">
        <f>IFERROR(__xludf.DUMMYFUNCTION("MAX(FILTER($H$2:$H378,$E$2:$E378=F269))"),"#N/A")</f>
        <v>#N/A</v>
      </c>
    </row>
    <row r="270">
      <c r="A270" s="4"/>
      <c r="C270" s="4" t="s">
        <v>3029</v>
      </c>
      <c r="D270" s="4" t="str">
        <f t="shared" si="1"/>
        <v>{"valorA":"brincar","valorB":1}</v>
      </c>
      <c r="E270" s="8" t="str">
        <f t="shared" si="2"/>
        <v>brincar</v>
      </c>
      <c r="F270" s="8"/>
      <c r="G270" s="8" t="str">
        <f t="shared" si="3"/>
        <v>1</v>
      </c>
      <c r="H270" s="9">
        <f t="shared" si="4"/>
        <v>1</v>
      </c>
      <c r="I270" s="6" t="str">
        <f>IFERROR(__xludf.DUMMYFUNCTION("MAX(FILTER($H$2:$H378,$E$2:$E378=F270))"),"#N/A")</f>
        <v>#N/A</v>
      </c>
    </row>
    <row r="271">
      <c r="A271" s="4"/>
      <c r="C271" s="4" t="s">
        <v>2672</v>
      </c>
      <c r="D271" s="4" t="str">
        <f t="shared" si="1"/>
        <v>{"valorA":"ele","valorB":1}</v>
      </c>
      <c r="E271" s="8" t="str">
        <f t="shared" si="2"/>
        <v>ele</v>
      </c>
      <c r="F271" s="8"/>
      <c r="G271" s="8" t="str">
        <f t="shared" si="3"/>
        <v>1</v>
      </c>
      <c r="H271" s="9">
        <f t="shared" si="4"/>
        <v>1</v>
      </c>
      <c r="I271" s="6" t="str">
        <f>IFERROR(__xludf.DUMMYFUNCTION("MAX(FILTER($H$2:$H378,$E$2:$E378=F271))"),"#N/A")</f>
        <v>#N/A</v>
      </c>
    </row>
    <row r="272">
      <c r="A272" s="4"/>
      <c r="C272" s="4" t="s">
        <v>2975</v>
      </c>
      <c r="D272" s="4" t="str">
        <f t="shared" si="1"/>
        <v>{"valorA":"é","valorB":12}</v>
      </c>
      <c r="E272" s="8" t="str">
        <f t="shared" si="2"/>
        <v>é</v>
      </c>
      <c r="F272" s="8"/>
      <c r="G272" s="8" t="str">
        <f t="shared" si="3"/>
        <v>12</v>
      </c>
      <c r="H272" s="9">
        <f t="shared" si="4"/>
        <v>12</v>
      </c>
      <c r="I272" s="6" t="str">
        <f>IFERROR(__xludf.DUMMYFUNCTION("MAX(FILTER($H$2:$H378,$E$2:$E378=F272))"),"#N/A")</f>
        <v>#N/A</v>
      </c>
    </row>
    <row r="273">
      <c r="A273" s="4"/>
      <c r="C273" s="4" t="s">
        <v>2867</v>
      </c>
      <c r="D273" s="4" t="str">
        <f t="shared" si="1"/>
        <v>{"valorA":"produto","valorB":19}</v>
      </c>
      <c r="E273" s="8" t="str">
        <f t="shared" si="2"/>
        <v>produto</v>
      </c>
      <c r="F273" s="8"/>
      <c r="G273" s="8" t="str">
        <f t="shared" si="3"/>
        <v>19</v>
      </c>
      <c r="H273" s="9">
        <f t="shared" si="4"/>
        <v>19</v>
      </c>
      <c r="I273" s="6" t="str">
        <f>IFERROR(__xludf.DUMMYFUNCTION("MAX(FILTER($H$2:$H378,$E$2:$E378=F273))"),"#N/A")</f>
        <v>#N/A</v>
      </c>
    </row>
    <row r="274">
      <c r="A274" s="4"/>
      <c r="C274" s="4" t="s">
        <v>3064</v>
      </c>
      <c r="D274" s="4" t="str">
        <f t="shared" si="1"/>
        <v>{"valorA":"recomendo","valorB":5}</v>
      </c>
      <c r="E274" s="8" t="str">
        <f t="shared" si="2"/>
        <v>recomendo</v>
      </c>
      <c r="F274" s="8"/>
      <c r="G274" s="8" t="str">
        <f t="shared" si="3"/>
        <v>5</v>
      </c>
      <c r="H274" s="9">
        <f t="shared" si="4"/>
        <v>5</v>
      </c>
      <c r="I274" s="6" t="str">
        <f>IFERROR(__xludf.DUMMYFUNCTION("MAX(FILTER($H$2:$H378,$E$2:$E378=F274))"),"#N/A")</f>
        <v>#N/A</v>
      </c>
    </row>
    <row r="275">
      <c r="A275" s="4"/>
      <c r="C275" s="4" t="s">
        <v>3632</v>
      </c>
      <c r="D275" s="4" t="str">
        <f t="shared" si="1"/>
        <v>{"valorA":"incrível","valorB":7}</v>
      </c>
      <c r="E275" s="8" t="str">
        <f t="shared" si="2"/>
        <v>incrível</v>
      </c>
      <c r="F275" s="8"/>
      <c r="G275" s="8" t="str">
        <f t="shared" si="3"/>
        <v>7</v>
      </c>
      <c r="H275" s="9">
        <f t="shared" si="4"/>
        <v>7</v>
      </c>
      <c r="I275" s="6" t="str">
        <f>IFERROR(__xludf.DUMMYFUNCTION("MAX(FILTER($H$2:$H378,$E$2:$E378=F275))"),"#N/A")</f>
        <v>#N/A</v>
      </c>
    </row>
    <row r="276">
      <c r="A276" s="4"/>
      <c r="C276" s="4" t="s">
        <v>2866</v>
      </c>
      <c r="D276" s="4" t="str">
        <f t="shared" si="1"/>
        <v>{"valorA":"ótimo","valorB":34}</v>
      </c>
      <c r="E276" s="8" t="str">
        <f t="shared" si="2"/>
        <v>ótimo</v>
      </c>
      <c r="F276" s="8"/>
      <c r="G276" s="8" t="str">
        <f t="shared" si="3"/>
        <v>34</v>
      </c>
      <c r="H276" s="9">
        <f t="shared" si="4"/>
        <v>34</v>
      </c>
      <c r="I276" s="6" t="str">
        <f>IFERROR(__xludf.DUMMYFUNCTION("MAX(FILTER($H$2:$H378,$E$2:$E378=F276))"),"#N/A")</f>
        <v>#N/A</v>
      </c>
    </row>
    <row r="277">
      <c r="A277" s="4"/>
      <c r="C277" s="4" t="s">
        <v>2872</v>
      </c>
      <c r="D277" s="4" t="str">
        <f t="shared" si="1"/>
        <v>{"valorA":"produto","valorB":20}</v>
      </c>
      <c r="E277" s="8" t="str">
        <f t="shared" si="2"/>
        <v>produto</v>
      </c>
      <c r="F277" s="8"/>
      <c r="G277" s="8" t="str">
        <f t="shared" si="3"/>
        <v>20</v>
      </c>
      <c r="H277" s="9">
        <f t="shared" si="4"/>
        <v>20</v>
      </c>
      <c r="I277" s="6" t="str">
        <f>IFERROR(__xludf.DUMMYFUNCTION("MAX(FILTER($H$2:$H378,$E$2:$E378=F277))"),"#N/A")</f>
        <v>#N/A</v>
      </c>
    </row>
    <row r="278">
      <c r="A278" s="4"/>
      <c r="C278" s="4" t="s">
        <v>2871</v>
      </c>
      <c r="D278" s="4" t="str">
        <f t="shared" si="1"/>
        <v>{"valorA":"ótimo","valorB":35}</v>
      </c>
      <c r="E278" s="8" t="str">
        <f t="shared" si="2"/>
        <v>ótimo</v>
      </c>
      <c r="F278" s="8"/>
      <c r="G278" s="8" t="str">
        <f t="shared" si="3"/>
        <v>35</v>
      </c>
      <c r="H278" s="9">
        <f t="shared" si="4"/>
        <v>35</v>
      </c>
      <c r="I278" s="6" t="str">
        <f>IFERROR(__xludf.DUMMYFUNCTION("MAX(FILTER($H$2:$H378,$E$2:$E378=F278))"),"#N/A")</f>
        <v>#N/A</v>
      </c>
    </row>
    <row r="279">
      <c r="A279" s="4"/>
      <c r="C279" s="4" t="s">
        <v>3505</v>
      </c>
      <c r="D279" s="4" t="str">
        <f t="shared" si="1"/>
        <v>{"valorA":"funciona","valorB":14}</v>
      </c>
      <c r="E279" s="8" t="str">
        <f t="shared" si="2"/>
        <v>funciona</v>
      </c>
      <c r="F279" s="8"/>
      <c r="G279" s="8" t="str">
        <f t="shared" si="3"/>
        <v>14</v>
      </c>
      <c r="H279" s="9">
        <f t="shared" si="4"/>
        <v>14</v>
      </c>
      <c r="I279" s="6" t="str">
        <f>IFERROR(__xludf.DUMMYFUNCTION("MAX(FILTER($H$2:$H378,$E$2:$E378=F279))"),"#N/A")</f>
        <v>#N/A</v>
      </c>
    </row>
    <row r="280">
      <c r="A280" s="4"/>
      <c r="C280" s="4" t="s">
        <v>3633</v>
      </c>
      <c r="D280" s="4" t="str">
        <f t="shared" si="1"/>
        <v>{"valorA":"perfeitamente","valorB":10}</v>
      </c>
      <c r="E280" s="8" t="str">
        <f t="shared" si="2"/>
        <v>perfeitamente</v>
      </c>
      <c r="F280" s="8"/>
      <c r="G280" s="8" t="str">
        <f t="shared" si="3"/>
        <v>10</v>
      </c>
      <c r="H280" s="9">
        <f t="shared" si="4"/>
        <v>10</v>
      </c>
      <c r="I280" s="6" t="str">
        <f>IFERROR(__xludf.DUMMYFUNCTION("MAX(FILTER($H$2:$H378,$E$2:$E378=F280))"),"#N/A")</f>
        <v>#N/A</v>
      </c>
    </row>
    <row r="281">
      <c r="A281" s="4"/>
      <c r="C281" s="4" t="s">
        <v>2978</v>
      </c>
      <c r="D281" s="4" t="str">
        <f t="shared" si="1"/>
        <v>{"valorA":"é","valorB":13}</v>
      </c>
      <c r="E281" s="8" t="str">
        <f t="shared" si="2"/>
        <v>é</v>
      </c>
      <c r="F281" s="8"/>
      <c r="G281" s="8" t="str">
        <f t="shared" si="3"/>
        <v>13</v>
      </c>
      <c r="H281" s="9">
        <f t="shared" si="4"/>
        <v>13</v>
      </c>
      <c r="I281" s="6" t="str">
        <f>IFERROR(__xludf.DUMMYFUNCTION("MAX(FILTER($H$2:$H378,$E$2:$E378=F281))"),"#N/A")</f>
        <v>#N/A</v>
      </c>
    </row>
    <row r="282">
      <c r="A282" s="4"/>
      <c r="C282" s="4" t="s">
        <v>3634</v>
      </c>
      <c r="D282" s="4" t="str">
        <f t="shared" si="1"/>
        <v>{"valorA":"meu","valorB":9}</v>
      </c>
      <c r="E282" s="8" t="str">
        <f t="shared" si="2"/>
        <v>meu</v>
      </c>
      <c r="F282" s="8"/>
      <c r="G282" s="8" t="str">
        <f t="shared" si="3"/>
        <v>9</v>
      </c>
      <c r="H282" s="9">
        <f t="shared" si="4"/>
        <v>9</v>
      </c>
      <c r="I282" s="6" t="str">
        <f>IFERROR(__xludf.DUMMYFUNCTION("MAX(FILTER($H$2:$H378,$E$2:$E378=F282))"),"#N/A")</f>
        <v>#N/A</v>
      </c>
    </row>
    <row r="283">
      <c r="A283" s="4"/>
      <c r="C283" s="4" t="s">
        <v>3635</v>
      </c>
      <c r="D283" s="4" t="str">
        <f t="shared" si="1"/>
        <v>{"valorA":"mais","valorB":3}</v>
      </c>
      <c r="E283" s="8" t="str">
        <f t="shared" si="2"/>
        <v>mais</v>
      </c>
      <c r="F283" s="8"/>
      <c r="G283" s="8" t="str">
        <f t="shared" si="3"/>
        <v>3</v>
      </c>
      <c r="H283" s="9">
        <f t="shared" si="4"/>
        <v>3</v>
      </c>
      <c r="I283" s="6" t="str">
        <f>IFERROR(__xludf.DUMMYFUNCTION("MAX(FILTER($H$2:$H378,$E$2:$E378=F283))"),"#N/A")</f>
        <v>#N/A</v>
      </c>
    </row>
    <row r="284">
      <c r="A284" s="4"/>
      <c r="C284" s="4" t="s">
        <v>3636</v>
      </c>
      <c r="D284" s="4" t="str">
        <f t="shared" si="1"/>
        <v>{"valorA":"novo","valorB":5}</v>
      </c>
      <c r="E284" s="8" t="str">
        <f t="shared" si="2"/>
        <v>novo</v>
      </c>
      <c r="F284" s="8"/>
      <c r="G284" s="8" t="str">
        <f t="shared" si="3"/>
        <v>5</v>
      </c>
      <c r="H284" s="9">
        <f t="shared" si="4"/>
        <v>5</v>
      </c>
      <c r="I284" s="6" t="str">
        <f>IFERROR(__xludf.DUMMYFUNCTION("MAX(FILTER($H$2:$H378,$E$2:$E378=F284))"),"#N/A")</f>
        <v>#N/A</v>
      </c>
    </row>
    <row r="285">
      <c r="A285" s="4"/>
      <c r="C285" s="4" t="s">
        <v>2708</v>
      </c>
      <c r="D285" s="4" t="str">
        <f t="shared" si="1"/>
        <v>{"valorA":"que","valorB":3}</v>
      </c>
      <c r="E285" s="8" t="str">
        <f t="shared" si="2"/>
        <v>que</v>
      </c>
      <c r="F285" s="8"/>
      <c r="G285" s="8" t="str">
        <f t="shared" si="3"/>
        <v>3</v>
      </c>
      <c r="H285" s="9">
        <f t="shared" si="4"/>
        <v>3</v>
      </c>
      <c r="I285" s="6" t="str">
        <f>IFERROR(__xludf.DUMMYFUNCTION("MAX(FILTER($H$2:$H378,$E$2:$E378=F285))"),"#N/A")</f>
        <v>#N/A</v>
      </c>
    </row>
    <row r="286">
      <c r="A286" s="4"/>
      <c r="C286" s="4" t="s">
        <v>3067</v>
      </c>
      <c r="D286" s="4" t="str">
        <f t="shared" si="1"/>
        <v>{"valorA":"rápido","valorB":1}</v>
      </c>
      <c r="E286" s="8" t="str">
        <f t="shared" si="2"/>
        <v>rápido</v>
      </c>
      <c r="F286" s="8"/>
      <c r="G286" s="8" t="str">
        <f t="shared" si="3"/>
        <v>1</v>
      </c>
      <c r="H286" s="9">
        <f t="shared" si="4"/>
        <v>1</v>
      </c>
      <c r="I286" s="6" t="str">
        <f>IFERROR(__xludf.DUMMYFUNCTION("MAX(FILTER($H$2:$H378,$E$2:$E378=F286))"),"#N/A")</f>
        <v>#N/A</v>
      </c>
    </row>
    <row r="287">
      <c r="A287" s="4"/>
      <c r="C287" s="4" t="s">
        <v>2768</v>
      </c>
      <c r="D287" s="4" t="str">
        <f t="shared" si="1"/>
        <v>{"valorA":"confortável","valorB":3}</v>
      </c>
      <c r="E287" s="8" t="str">
        <f t="shared" si="2"/>
        <v>confortável</v>
      </c>
      <c r="F287" s="8"/>
      <c r="G287" s="8" t="str">
        <f t="shared" si="3"/>
        <v>3</v>
      </c>
      <c r="H287" s="9">
        <f t="shared" si="4"/>
        <v>3</v>
      </c>
      <c r="I287" s="6" t="str">
        <f>IFERROR(__xludf.DUMMYFUNCTION("MAX(FILTER($H$2:$H378,$E$2:$E378=F287))"),"#N/A")</f>
        <v>#N/A</v>
      </c>
    </row>
    <row r="288">
      <c r="A288" s="4"/>
      <c r="C288" s="4" t="s">
        <v>2904</v>
      </c>
      <c r="D288" s="4" t="str">
        <f t="shared" si="1"/>
        <v>{"valorA":"antigo","valorB":2}</v>
      </c>
      <c r="E288" s="8" t="str">
        <f t="shared" si="2"/>
        <v>antigo</v>
      </c>
      <c r="F288" s="8"/>
      <c r="G288" s="8" t="str">
        <f t="shared" si="3"/>
        <v>2</v>
      </c>
      <c r="H288" s="9">
        <f t="shared" si="4"/>
        <v>2</v>
      </c>
      <c r="I288" s="6" t="str">
        <f>IFERROR(__xludf.DUMMYFUNCTION("MAX(FILTER($H$2:$H378,$E$2:$E378=F288))"),"#N/A")</f>
        <v>#N/A</v>
      </c>
    </row>
    <row r="289">
      <c r="A289" s="4"/>
      <c r="C289" s="4" t="s">
        <v>3637</v>
      </c>
      <c r="D289" s="4" t="str">
        <f t="shared" si="1"/>
        <v>{"valorA":"meu","valorB":10}</v>
      </c>
      <c r="E289" s="8" t="str">
        <f t="shared" si="2"/>
        <v>meu</v>
      </c>
      <c r="F289" s="8"/>
      <c r="G289" s="8" t="str">
        <f t="shared" si="3"/>
        <v>10</v>
      </c>
      <c r="H289" s="9">
        <f t="shared" si="4"/>
        <v>10</v>
      </c>
      <c r="I289" s="6" t="str">
        <f>IFERROR(__xludf.DUMMYFUNCTION("MAX(FILTER($H$2:$H378,$E$2:$E378=F289))"),"#N/A")</f>
        <v>#N/A</v>
      </c>
    </row>
    <row r="290">
      <c r="A290" s="4"/>
      <c r="C290" s="4" t="s">
        <v>3638</v>
      </c>
      <c r="D290" s="4" t="str">
        <f t="shared" si="1"/>
        <v>{"valorA":"carro","valorB":5}</v>
      </c>
      <c r="E290" s="8" t="str">
        <f t="shared" si="2"/>
        <v>carro</v>
      </c>
      <c r="F290" s="8"/>
      <c r="G290" s="8" t="str">
        <f t="shared" si="3"/>
        <v>5</v>
      </c>
      <c r="H290" s="9">
        <f t="shared" si="4"/>
        <v>5</v>
      </c>
      <c r="I290" s="6" t="str">
        <f>IFERROR(__xludf.DUMMYFUNCTION("MAX(FILTER($H$2:$H378,$E$2:$E378=F290))"),"#N/A")</f>
        <v>#N/A</v>
      </c>
    </row>
    <row r="291">
      <c r="A291" s="4"/>
      <c r="C291" s="4" t="s">
        <v>3639</v>
      </c>
      <c r="D291" s="4" t="str">
        <f t="shared" si="1"/>
        <v>{"valorA":"incrível","valorB":8}</v>
      </c>
      <c r="E291" s="8" t="str">
        <f t="shared" si="2"/>
        <v>incrível</v>
      </c>
      <c r="F291" s="8"/>
      <c r="G291" s="8" t="str">
        <f t="shared" si="3"/>
        <v>8</v>
      </c>
      <c r="H291" s="9">
        <f t="shared" si="4"/>
        <v>8</v>
      </c>
      <c r="I291" s="6" t="str">
        <f>IFERROR(__xludf.DUMMYFUNCTION("MAX(FILTER($H$2:$H378,$E$2:$E378=F291))"),"#N/A")</f>
        <v>#N/A</v>
      </c>
    </row>
    <row r="292">
      <c r="A292" s="4"/>
      <c r="C292" s="4" t="s">
        <v>2781</v>
      </c>
      <c r="D292" s="4" t="str">
        <f t="shared" si="1"/>
        <v>{"valorA":"o","valorB":3}</v>
      </c>
      <c r="E292" s="8" t="str">
        <f t="shared" si="2"/>
        <v>o</v>
      </c>
      <c r="F292" s="8"/>
      <c r="G292" s="8" t="str">
        <f t="shared" si="3"/>
        <v>3</v>
      </c>
      <c r="H292" s="9">
        <f t="shared" si="4"/>
        <v>3</v>
      </c>
      <c r="I292" s="6" t="str">
        <f>IFERROR(__xludf.DUMMYFUNCTION("MAX(FILTER($H$2:$H378,$E$2:$E378=F292))"),"#N/A")</f>
        <v>#N/A</v>
      </c>
    </row>
    <row r="293">
      <c r="A293" s="4"/>
      <c r="C293" s="4" t="s">
        <v>3103</v>
      </c>
      <c r="D293" s="4" t="str">
        <f t="shared" si="1"/>
        <v>{"valorA":"e","valorB":11}</v>
      </c>
      <c r="E293" s="8" t="str">
        <f t="shared" si="2"/>
        <v>e</v>
      </c>
      <c r="F293" s="8"/>
      <c r="G293" s="8" t="str">
        <f t="shared" si="3"/>
        <v>11</v>
      </c>
      <c r="H293" s="9">
        <f t="shared" si="4"/>
        <v>11</v>
      </c>
      <c r="I293" s="6" t="str">
        <f>IFERROR(__xludf.DUMMYFUNCTION("MAX(FILTER($H$2:$H378,$E$2:$E378=F293))"),"#N/A")</f>
        <v>#N/A</v>
      </c>
    </row>
    <row r="294">
      <c r="A294" s="4"/>
      <c r="C294" s="4" t="s">
        <v>2836</v>
      </c>
      <c r="D294" s="4" t="str">
        <f t="shared" si="1"/>
        <v>{"valorA":"do","valorB":4}</v>
      </c>
      <c r="E294" s="8" t="str">
        <f t="shared" si="2"/>
        <v>do</v>
      </c>
      <c r="F294" s="8"/>
      <c r="G294" s="8" t="str">
        <f t="shared" si="3"/>
        <v>4</v>
      </c>
      <c r="H294" s="9">
        <f t="shared" si="4"/>
        <v>4</v>
      </c>
      <c r="I294" s="6" t="str">
        <f>IFERROR(__xludf.DUMMYFUNCTION("MAX(FILTER($H$2:$H378,$E$2:$E378=F294))"),"#N/A")</f>
        <v>#N/A</v>
      </c>
    </row>
    <row r="295">
      <c r="A295" s="4"/>
      <c r="C295" s="4" t="s">
        <v>2837</v>
      </c>
      <c r="D295" s="4" t="str">
        <f t="shared" si="1"/>
        <v>{"valorA":"adora","valorB":2}</v>
      </c>
      <c r="E295" s="8" t="str">
        <f t="shared" si="2"/>
        <v>adora</v>
      </c>
      <c r="F295" s="8"/>
      <c r="G295" s="8" t="str">
        <f t="shared" si="3"/>
        <v>2</v>
      </c>
      <c r="H295" s="9">
        <f t="shared" si="4"/>
        <v>2</v>
      </c>
      <c r="I295" s="6" t="str">
        <f>IFERROR(__xludf.DUMMYFUNCTION("MAX(FILTER($H$2:$H378,$E$2:$E378=F295))"),"#N/A")</f>
        <v>#N/A</v>
      </c>
    </row>
    <row r="296">
      <c r="A296" s="4"/>
      <c r="C296" s="4" t="s">
        <v>2884</v>
      </c>
      <c r="D296" s="4" t="str">
        <f t="shared" si="1"/>
        <v>{"valorA":"ótimo","valorB":36}</v>
      </c>
      <c r="E296" s="8" t="str">
        <f t="shared" si="2"/>
        <v>ótimo</v>
      </c>
      <c r="F296" s="8"/>
      <c r="G296" s="8" t="str">
        <f t="shared" si="3"/>
        <v>36</v>
      </c>
      <c r="H296" s="9">
        <f t="shared" si="4"/>
        <v>36</v>
      </c>
      <c r="I296" s="6" t="str">
        <f>IFERROR(__xludf.DUMMYFUNCTION("MAX(FILTER($H$2:$H378,$E$2:$E378=F296))"),"#N/A")</f>
        <v>#N/A</v>
      </c>
    </row>
    <row r="297">
      <c r="A297" s="4"/>
      <c r="C297" s="4" t="s">
        <v>2890</v>
      </c>
      <c r="D297" s="4" t="str">
        <f t="shared" si="1"/>
        <v>{"valorA":"produto","valorB":21}</v>
      </c>
      <c r="E297" s="8" t="str">
        <f t="shared" si="2"/>
        <v>produto</v>
      </c>
      <c r="F297" s="8"/>
      <c r="G297" s="8" t="str">
        <f t="shared" si="3"/>
        <v>21</v>
      </c>
      <c r="H297" s="9">
        <f t="shared" si="4"/>
        <v>21</v>
      </c>
      <c r="I297" s="6" t="str">
        <f>IFERROR(__xludf.DUMMYFUNCTION("MAX(FILTER($H$2:$H378,$E$2:$E378=F297))"),"#N/A")</f>
        <v>#N/A</v>
      </c>
    </row>
    <row r="298">
      <c r="A298" s="4"/>
      <c r="C298" s="4" t="s">
        <v>3640</v>
      </c>
      <c r="D298" s="4" t="str">
        <f t="shared" si="1"/>
        <v>{"valorA":"filho","valorB":2}</v>
      </c>
      <c r="E298" s="8" t="str">
        <f t="shared" si="2"/>
        <v>filho</v>
      </c>
      <c r="F298" s="8"/>
      <c r="G298" s="8" t="str">
        <f t="shared" si="3"/>
        <v>2</v>
      </c>
      <c r="H298" s="9">
        <f t="shared" si="4"/>
        <v>2</v>
      </c>
      <c r="I298" s="6" t="str">
        <f>IFERROR(__xludf.DUMMYFUNCTION("MAX(FILTER($H$2:$H378,$E$2:$E378=F298))"),"#N/A")</f>
        <v>#N/A</v>
      </c>
    </row>
    <row r="299">
      <c r="A299" s="4"/>
      <c r="C299" s="4" t="s">
        <v>3641</v>
      </c>
      <c r="D299" s="4" t="str">
        <f t="shared" si="1"/>
        <v>{"valorA":"meu","valorB":11}</v>
      </c>
      <c r="E299" s="8" t="str">
        <f t="shared" si="2"/>
        <v>meu</v>
      </c>
      <c r="F299" s="8"/>
      <c r="G299" s="8" t="str">
        <f t="shared" si="3"/>
        <v>11</v>
      </c>
      <c r="H299" s="9">
        <f t="shared" si="4"/>
        <v>11</v>
      </c>
      <c r="I299" s="6" t="str">
        <f>IFERROR(__xludf.DUMMYFUNCTION("MAX(FILTER($H$2:$H378,$E$2:$E378=F299))"),"#N/A")</f>
        <v>#N/A</v>
      </c>
    </row>
    <row r="300">
      <c r="A300" s="4"/>
      <c r="C300" s="4" t="s">
        <v>2814</v>
      </c>
      <c r="D300" s="4" t="str">
        <f t="shared" si="1"/>
        <v>{"valorA":"com","valorB":2}</v>
      </c>
      <c r="E300" s="8" t="str">
        <f t="shared" si="2"/>
        <v>com</v>
      </c>
      <c r="F300" s="8"/>
      <c r="G300" s="8" t="str">
        <f t="shared" si="3"/>
        <v>2</v>
      </c>
      <c r="H300" s="9">
        <f t="shared" si="4"/>
        <v>2</v>
      </c>
      <c r="I300" s="6" t="str">
        <f>IFERROR(__xludf.DUMMYFUNCTION("MAX(FILTER($H$2:$H378,$E$2:$E378=F300))"),"#N/A")</f>
        <v>#N/A</v>
      </c>
    </row>
    <row r="301">
      <c r="A301" s="4"/>
      <c r="C301" s="4" t="s">
        <v>3642</v>
      </c>
      <c r="D301" s="4" t="str">
        <f t="shared" si="1"/>
        <v>{"valorA":"brincar","valorB":2}</v>
      </c>
      <c r="E301" s="8" t="str">
        <f t="shared" si="2"/>
        <v>brincar</v>
      </c>
      <c r="F301" s="8"/>
      <c r="G301" s="8" t="str">
        <f t="shared" si="3"/>
        <v>2</v>
      </c>
      <c r="H301" s="9">
        <f t="shared" si="4"/>
        <v>2</v>
      </c>
      <c r="I301" s="6" t="str">
        <f>IFERROR(__xludf.DUMMYFUNCTION("MAX(FILTER($H$2:$H378,$E$2:$E378=F301))"),"#N/A")</f>
        <v>#N/A</v>
      </c>
    </row>
    <row r="302">
      <c r="A302" s="4"/>
      <c r="C302" s="4" t="s">
        <v>2844</v>
      </c>
      <c r="D302" s="4" t="str">
        <f t="shared" si="1"/>
        <v>{"valorA":"ele","valorB":2}</v>
      </c>
      <c r="E302" s="8" t="str">
        <f t="shared" si="2"/>
        <v>ele</v>
      </c>
      <c r="F302" s="8"/>
      <c r="G302" s="8" t="str">
        <f t="shared" si="3"/>
        <v>2</v>
      </c>
      <c r="H302" s="9">
        <f t="shared" si="4"/>
        <v>2</v>
      </c>
      <c r="I302" s="6" t="str">
        <f>IFERROR(__xludf.DUMMYFUNCTION("MAX(FILTER($H$2:$H378,$E$2:$E378=F302))"),"#N/A")</f>
        <v>#N/A</v>
      </c>
    </row>
    <row r="303">
      <c r="A303" s="4"/>
      <c r="C303" s="4" t="s">
        <v>3643</v>
      </c>
      <c r="D303" s="4" t="str">
        <f t="shared" si="1"/>
        <v>{"valorA":"funciona","valorB":15}</v>
      </c>
      <c r="E303" s="8" t="str">
        <f t="shared" si="2"/>
        <v>funciona</v>
      </c>
      <c r="F303" s="8"/>
      <c r="G303" s="8" t="str">
        <f t="shared" si="3"/>
        <v>15</v>
      </c>
      <c r="H303" s="9">
        <f t="shared" si="4"/>
        <v>15</v>
      </c>
      <c r="I303" s="6" t="str">
        <f>IFERROR(__xludf.DUMMYFUNCTION("MAX(FILTER($H$2:$H378,$E$2:$E378=F303))"),"#N/A")</f>
        <v>#N/A</v>
      </c>
    </row>
    <row r="304">
      <c r="A304" s="4"/>
      <c r="C304" s="4" t="s">
        <v>2893</v>
      </c>
      <c r="D304" s="4" t="str">
        <f t="shared" si="1"/>
        <v>{"valorA":"ótimo","valorB":37}</v>
      </c>
      <c r="E304" s="8" t="str">
        <f t="shared" si="2"/>
        <v>ótimo</v>
      </c>
      <c r="F304" s="8"/>
      <c r="G304" s="8" t="str">
        <f t="shared" si="3"/>
        <v>37</v>
      </c>
      <c r="H304" s="9">
        <f t="shared" si="4"/>
        <v>37</v>
      </c>
      <c r="I304" s="6" t="str">
        <f>IFERROR(__xludf.DUMMYFUNCTION("MAX(FILTER($H$2:$H378,$E$2:$E378=F304))"),"#N/A")</f>
        <v>#N/A</v>
      </c>
    </row>
    <row r="305">
      <c r="A305" s="4"/>
      <c r="C305" s="4" t="s">
        <v>2985</v>
      </c>
      <c r="D305" s="4" t="str">
        <f t="shared" si="1"/>
        <v>{"valorA":"é","valorB":14}</v>
      </c>
      <c r="E305" s="8" t="str">
        <f t="shared" si="2"/>
        <v>é</v>
      </c>
      <c r="F305" s="8"/>
      <c r="G305" s="8" t="str">
        <f t="shared" si="3"/>
        <v>14</v>
      </c>
      <c r="H305" s="9">
        <f t="shared" si="4"/>
        <v>14</v>
      </c>
      <c r="I305" s="6" t="str">
        <f>IFERROR(__xludf.DUMMYFUNCTION("MAX(FILTER($H$2:$H378,$E$2:$E378=F305))"),"#N/A")</f>
        <v>#N/A</v>
      </c>
    </row>
    <row r="306">
      <c r="A306" s="4"/>
      <c r="C306" s="4" t="s">
        <v>2984</v>
      </c>
      <c r="D306" s="4" t="str">
        <f t="shared" si="1"/>
        <v>{"valorA":"de","valorB":7}</v>
      </c>
      <c r="E306" s="8" t="str">
        <f t="shared" si="2"/>
        <v>de</v>
      </c>
      <c r="F306" s="8"/>
      <c r="G306" s="8" t="str">
        <f t="shared" si="3"/>
        <v>7</v>
      </c>
      <c r="H306" s="9">
        <f t="shared" si="4"/>
        <v>7</v>
      </c>
      <c r="I306" s="6" t="str">
        <f>IFERROR(__xludf.DUMMYFUNCTION("MAX(FILTER($H$2:$H378,$E$2:$E378=F306))"),"#N/A")</f>
        <v>#N/A</v>
      </c>
    </row>
    <row r="307">
      <c r="A307" s="4"/>
      <c r="C307" s="4" t="s">
        <v>3644</v>
      </c>
      <c r="D307" s="4" t="str">
        <f t="shared" si="1"/>
        <v>{"valorA":"perfeitamente","valorB":11}</v>
      </c>
      <c r="E307" s="8" t="str">
        <f t="shared" si="2"/>
        <v>perfeitamente</v>
      </c>
      <c r="F307" s="8"/>
      <c r="G307" s="8" t="str">
        <f t="shared" si="3"/>
        <v>11</v>
      </c>
      <c r="H307" s="9">
        <f t="shared" si="4"/>
        <v>11</v>
      </c>
      <c r="I307" s="6" t="str">
        <f>IFERROR(__xludf.DUMMYFUNCTION("MAX(FILTER($H$2:$H378,$E$2:$E378=F307))"),"#N/A")</f>
        <v>#N/A</v>
      </c>
    </row>
    <row r="308">
      <c r="A308" s="4"/>
      <c r="C308" s="4" t="s">
        <v>3052</v>
      </c>
      <c r="D308" s="4" t="str">
        <f t="shared" si="1"/>
        <v>{"valorA":"usar","valorB":4}</v>
      </c>
      <c r="E308" s="8" t="str">
        <f t="shared" si="2"/>
        <v>usar</v>
      </c>
      <c r="F308" s="8"/>
      <c r="G308" s="8" t="str">
        <f t="shared" si="3"/>
        <v>4</v>
      </c>
      <c r="H308" s="9">
        <f t="shared" si="4"/>
        <v>4</v>
      </c>
      <c r="I308" s="6" t="str">
        <f>IFERROR(__xludf.DUMMYFUNCTION("MAX(FILTER($H$2:$H378,$E$2:$E378=F308))"),"#N/A")</f>
        <v>#N/A</v>
      </c>
    </row>
    <row r="309">
      <c r="A309" s="4"/>
      <c r="C309" s="4" t="s">
        <v>2892</v>
      </c>
      <c r="D309" s="4" t="str">
        <f t="shared" si="1"/>
        <v>{"valorA":"produto","valorB":22}</v>
      </c>
      <c r="E309" s="8" t="str">
        <f t="shared" si="2"/>
        <v>produto</v>
      </c>
      <c r="F309" s="8"/>
      <c r="G309" s="8" t="str">
        <f t="shared" si="3"/>
        <v>22</v>
      </c>
      <c r="H309" s="9">
        <f t="shared" si="4"/>
        <v>22</v>
      </c>
      <c r="I309" s="6" t="str">
        <f>IFERROR(__xludf.DUMMYFUNCTION("MAX(FILTER($H$2:$H378,$E$2:$E378=F309))"),"#N/A")</f>
        <v>#N/A</v>
      </c>
    </row>
    <row r="310">
      <c r="A310" s="4"/>
      <c r="C310" s="4" t="s">
        <v>3113</v>
      </c>
      <c r="D310" s="4" t="str">
        <f t="shared" si="1"/>
        <v>{"valorA":"e","valorB":12}</v>
      </c>
      <c r="E310" s="8" t="str">
        <f t="shared" si="2"/>
        <v>e</v>
      </c>
      <c r="F310" s="8"/>
      <c r="G310" s="8" t="str">
        <f t="shared" si="3"/>
        <v>12</v>
      </c>
      <c r="H310" s="9">
        <f t="shared" si="4"/>
        <v>12</v>
      </c>
      <c r="I310" s="6" t="str">
        <f>IFERROR(__xludf.DUMMYFUNCTION("MAX(FILTER($H$2:$H378,$E$2:$E378=F310))"),"#N/A")</f>
        <v>#N/A</v>
      </c>
    </row>
    <row r="311">
      <c r="A311" s="4"/>
      <c r="C311" s="4" t="s">
        <v>3051</v>
      </c>
      <c r="D311" s="4" t="str">
        <f t="shared" si="1"/>
        <v>{"valorA":"fácil","valorB":4}</v>
      </c>
      <c r="E311" s="8" t="str">
        <f t="shared" si="2"/>
        <v>fácil</v>
      </c>
      <c r="F311" s="8"/>
      <c r="G311" s="8" t="str">
        <f t="shared" si="3"/>
        <v>4</v>
      </c>
      <c r="H311" s="9">
        <f t="shared" si="4"/>
        <v>4</v>
      </c>
      <c r="I311" s="6" t="str">
        <f>IFERROR(__xludf.DUMMYFUNCTION("MAX(FILTER($H$2:$H378,$E$2:$E378=F311))"),"#N/A")</f>
        <v>#N/A</v>
      </c>
    </row>
    <row r="312">
      <c r="A312" s="4"/>
      <c r="C312" s="4" t="s">
        <v>2899</v>
      </c>
      <c r="D312" s="4" t="str">
        <f t="shared" si="1"/>
        <v>{"valorA":"produto","valorB":23}</v>
      </c>
      <c r="E312" s="8" t="str">
        <f t="shared" si="2"/>
        <v>produto</v>
      </c>
      <c r="F312" s="8"/>
      <c r="G312" s="8" t="str">
        <f t="shared" si="3"/>
        <v>23</v>
      </c>
      <c r="H312" s="9">
        <f t="shared" si="4"/>
        <v>23</v>
      </c>
      <c r="I312" s="6" t="str">
        <f>IFERROR(__xludf.DUMMYFUNCTION("MAX(FILTER($H$2:$H378,$E$2:$E378=F312))"),"#N/A")</f>
        <v>#N/A</v>
      </c>
    </row>
    <row r="313">
      <c r="A313" s="4"/>
      <c r="C313" s="4" t="s">
        <v>2940</v>
      </c>
      <c r="D313" s="4" t="str">
        <f t="shared" si="1"/>
        <v>{"valorA":"muito","valorB":11}</v>
      </c>
      <c r="E313" s="8" t="str">
        <f t="shared" si="2"/>
        <v>muito</v>
      </c>
      <c r="F313" s="8"/>
      <c r="G313" s="8" t="str">
        <f t="shared" si="3"/>
        <v>11</v>
      </c>
      <c r="H313" s="9">
        <f t="shared" si="4"/>
        <v>11</v>
      </c>
      <c r="I313" s="6" t="str">
        <f>IFERROR(__xludf.DUMMYFUNCTION("MAX(FILTER($H$2:$H378,$E$2:$E378=F313))"),"#N/A")</f>
        <v>#N/A</v>
      </c>
    </row>
    <row r="314">
      <c r="A314" s="4"/>
      <c r="C314" s="4" t="s">
        <v>2901</v>
      </c>
      <c r="D314" s="4" t="str">
        <f t="shared" si="1"/>
        <v>{"valorA":"ótimo","valorB":38}</v>
      </c>
      <c r="E314" s="8" t="str">
        <f t="shared" si="2"/>
        <v>ótimo</v>
      </c>
      <c r="F314" s="8"/>
      <c r="G314" s="8" t="str">
        <f t="shared" si="3"/>
        <v>38</v>
      </c>
      <c r="H314" s="9">
        <f t="shared" si="4"/>
        <v>38</v>
      </c>
      <c r="I314" s="6" t="str">
        <f>IFERROR(__xludf.DUMMYFUNCTION("MAX(FILTER($H$2:$H378,$E$2:$E378=F314))"),"#N/A")</f>
        <v>#N/A</v>
      </c>
    </row>
    <row r="315">
      <c r="A315" s="4"/>
      <c r="C315" s="4" t="s">
        <v>2665</v>
      </c>
      <c r="D315" s="4" t="str">
        <f t="shared" si="1"/>
        <v>{"valorA":"satisfeito","valorB":1}</v>
      </c>
      <c r="E315" s="8" t="str">
        <f t="shared" si="2"/>
        <v>satisfeito</v>
      </c>
      <c r="F315" s="8"/>
      <c r="G315" s="8" t="str">
        <f t="shared" si="3"/>
        <v>1</v>
      </c>
      <c r="H315" s="9">
        <f t="shared" si="4"/>
        <v>1</v>
      </c>
      <c r="I315" s="6" t="str">
        <f>IFERROR(__xludf.DUMMYFUNCTION("MAX(FILTER($H$2:$H378,$E$2:$E378=F315))"),"#N/A")</f>
        <v>#N/A</v>
      </c>
    </row>
    <row r="316">
      <c r="A316" s="4"/>
      <c r="C316" s="4" t="s">
        <v>3645</v>
      </c>
      <c r="D316" s="4" t="str">
        <f t="shared" si="1"/>
        <v>{"valorA":"é","valorB":15}</v>
      </c>
      <c r="E316" s="8" t="str">
        <f t="shared" si="2"/>
        <v>é</v>
      </c>
      <c r="F316" s="8"/>
      <c r="G316" s="8" t="str">
        <f t="shared" si="3"/>
        <v>15</v>
      </c>
      <c r="H316" s="9">
        <f t="shared" si="4"/>
        <v>15</v>
      </c>
      <c r="I316" s="6" t="str">
        <f>IFERROR(__xludf.DUMMYFUNCTION("MAX(FILTER($H$2:$H378,$E$2:$E378=F316))"),"#N/A")</f>
        <v>#N/A</v>
      </c>
    </row>
    <row r="317">
      <c r="A317" s="4"/>
      <c r="C317" s="4" t="s">
        <v>3646</v>
      </c>
      <c r="D317" s="4" t="str">
        <f t="shared" si="1"/>
        <v>{"valorA":"meu","valorB":12}</v>
      </c>
      <c r="E317" s="8" t="str">
        <f t="shared" si="2"/>
        <v>meu</v>
      </c>
      <c r="F317" s="8"/>
      <c r="G317" s="8" t="str">
        <f t="shared" si="3"/>
        <v>12</v>
      </c>
      <c r="H317" s="9">
        <f t="shared" si="4"/>
        <v>12</v>
      </c>
      <c r="I317" s="6" t="str">
        <f>IFERROR(__xludf.DUMMYFUNCTION("MAX(FILTER($H$2:$H378,$E$2:$E378=F317))"),"#N/A")</f>
        <v>#N/A</v>
      </c>
    </row>
    <row r="318">
      <c r="A318" s="4"/>
      <c r="C318" s="4" t="s">
        <v>2953</v>
      </c>
      <c r="D318" s="4" t="str">
        <f t="shared" si="1"/>
        <v>{"valorA":"muito","valorB":12}</v>
      </c>
      <c r="E318" s="8" t="str">
        <f t="shared" si="2"/>
        <v>muito</v>
      </c>
      <c r="F318" s="8"/>
      <c r="G318" s="8" t="str">
        <f t="shared" si="3"/>
        <v>12</v>
      </c>
      <c r="H318" s="9">
        <f t="shared" si="4"/>
        <v>12</v>
      </c>
      <c r="I318" s="6" t="str">
        <f>IFERROR(__xludf.DUMMYFUNCTION("MAX(FILTER($H$2:$H378,$E$2:$E378=F318))"),"#N/A")</f>
        <v>#N/A</v>
      </c>
    </row>
    <row r="319">
      <c r="A319" s="4"/>
      <c r="C319" s="4" t="s">
        <v>3647</v>
      </c>
      <c r="D319" s="4" t="str">
        <f t="shared" si="1"/>
        <v>{"valorA":"novo","valorB":6}</v>
      </c>
      <c r="E319" s="8" t="str">
        <f t="shared" si="2"/>
        <v>novo</v>
      </c>
      <c r="F319" s="8"/>
      <c r="G319" s="8" t="str">
        <f t="shared" si="3"/>
        <v>6</v>
      </c>
      <c r="H319" s="9">
        <f t="shared" si="4"/>
        <v>6</v>
      </c>
      <c r="I319" s="6" t="str">
        <f>IFERROR(__xludf.DUMMYFUNCTION("MAX(FILTER($H$2:$H378,$E$2:$E378=F319))"),"#N/A")</f>
        <v>#N/A</v>
      </c>
    </row>
    <row r="320">
      <c r="A320" s="4"/>
      <c r="C320" s="4" t="s">
        <v>2991</v>
      </c>
      <c r="D320" s="4" t="str">
        <f t="shared" si="1"/>
        <v>{"valorA":"confortável","valorB":4}</v>
      </c>
      <c r="E320" s="8" t="str">
        <f t="shared" si="2"/>
        <v>confortável</v>
      </c>
      <c r="F320" s="8"/>
      <c r="G320" s="8" t="str">
        <f t="shared" si="3"/>
        <v>4</v>
      </c>
      <c r="H320" s="9">
        <f t="shared" si="4"/>
        <v>4</v>
      </c>
      <c r="I320" s="6" t="str">
        <f>IFERROR(__xludf.DUMMYFUNCTION("MAX(FILTER($H$2:$H378,$E$2:$E378=F320))"),"#N/A")</f>
        <v>#N/A</v>
      </c>
    </row>
    <row r="321">
      <c r="A321" s="4"/>
      <c r="C321" s="4" t="s">
        <v>3648</v>
      </c>
      <c r="D321" s="4" t="str">
        <f t="shared" si="1"/>
        <v>{"valorA":"perfeitamente","valorB":12}</v>
      </c>
      <c r="E321" s="8" t="str">
        <f t="shared" si="2"/>
        <v>perfeitamente</v>
      </c>
      <c r="F321" s="8"/>
      <c r="G321" s="8" t="str">
        <f t="shared" si="3"/>
        <v>12</v>
      </c>
      <c r="H321" s="9">
        <f t="shared" si="4"/>
        <v>12</v>
      </c>
      <c r="I321" s="6" t="str">
        <f>IFERROR(__xludf.DUMMYFUNCTION("MAX(FILTER($H$2:$H378,$E$2:$E378=F321))"),"#N/A")</f>
        <v>#N/A</v>
      </c>
    </row>
    <row r="322">
      <c r="A322" s="4"/>
      <c r="C322" s="4" t="s">
        <v>3649</v>
      </c>
      <c r="D322" s="4" t="str">
        <f t="shared" si="1"/>
        <v>{"valorA":"funciona","valorB":16}</v>
      </c>
      <c r="E322" s="8" t="str">
        <f t="shared" si="2"/>
        <v>funciona</v>
      </c>
      <c r="F322" s="8"/>
      <c r="G322" s="8" t="str">
        <f t="shared" si="3"/>
        <v>16</v>
      </c>
      <c r="H322" s="9">
        <f t="shared" si="4"/>
        <v>16</v>
      </c>
      <c r="I322" s="6" t="str">
        <f>IFERROR(__xludf.DUMMYFUNCTION("MAX(FILTER($H$2:$H378,$E$2:$E378=F322))"),"#N/A")</f>
        <v>#N/A</v>
      </c>
    </row>
    <row r="323">
      <c r="A323" s="4"/>
      <c r="C323" s="4" t="s">
        <v>3650</v>
      </c>
      <c r="D323" s="4" t="str">
        <f t="shared" si="1"/>
        <v>{"valorA":"é","valorB":16}</v>
      </c>
      <c r="E323" s="8" t="str">
        <f t="shared" si="2"/>
        <v>é</v>
      </c>
      <c r="F323" s="8"/>
      <c r="G323" s="8" t="str">
        <f t="shared" si="3"/>
        <v>16</v>
      </c>
      <c r="H323" s="9">
        <f t="shared" si="4"/>
        <v>16</v>
      </c>
      <c r="I323" s="6" t="str">
        <f>IFERROR(__xludf.DUMMYFUNCTION("MAX(FILTER($H$2:$H378,$E$2:$E378=F323))"),"#N/A")</f>
        <v>#N/A</v>
      </c>
    </row>
    <row r="324">
      <c r="A324" s="4"/>
      <c r="C324" s="4" t="s">
        <v>3651</v>
      </c>
      <c r="D324" s="4" t="str">
        <f t="shared" si="1"/>
        <v>{"valorA":"incrível","valorB":9}</v>
      </c>
      <c r="E324" s="8" t="str">
        <f t="shared" si="2"/>
        <v>incrível</v>
      </c>
      <c r="F324" s="8"/>
      <c r="G324" s="8" t="str">
        <f t="shared" si="3"/>
        <v>9</v>
      </c>
      <c r="H324" s="9">
        <f t="shared" si="4"/>
        <v>9</v>
      </c>
      <c r="I324" s="6" t="str">
        <f>IFERROR(__xludf.DUMMYFUNCTION("MAX(FILTER($H$2:$H378,$E$2:$E378=F324))"),"#N/A")</f>
        <v>#N/A</v>
      </c>
    </row>
    <row r="325">
      <c r="A325" s="4"/>
      <c r="C325" s="4" t="s">
        <v>3652</v>
      </c>
      <c r="D325" s="4" t="str">
        <f t="shared" si="1"/>
        <v>{"valorA":"carro","valorB":6}</v>
      </c>
      <c r="E325" s="8" t="str">
        <f t="shared" si="2"/>
        <v>carro</v>
      </c>
      <c r="F325" s="8"/>
      <c r="G325" s="8" t="str">
        <f t="shared" si="3"/>
        <v>6</v>
      </c>
      <c r="H325" s="9">
        <f t="shared" si="4"/>
        <v>6</v>
      </c>
      <c r="I325" s="6" t="str">
        <f>IFERROR(__xludf.DUMMYFUNCTION("MAX(FILTER($H$2:$H378,$E$2:$E378=F325))"),"#N/A")</f>
        <v>#N/A</v>
      </c>
    </row>
    <row r="326">
      <c r="A326" s="4"/>
      <c r="C326" s="4" t="s">
        <v>3130</v>
      </c>
      <c r="D326" s="4" t="str">
        <f t="shared" si="1"/>
        <v>{"valorA":"e","valorB":13}</v>
      </c>
      <c r="E326" s="8" t="str">
        <f t="shared" si="2"/>
        <v>e</v>
      </c>
      <c r="F326" s="8"/>
      <c r="G326" s="8" t="str">
        <f t="shared" si="3"/>
        <v>13</v>
      </c>
      <c r="H326" s="9">
        <f t="shared" si="4"/>
        <v>13</v>
      </c>
      <c r="I326" s="6" t="str">
        <f>IFERROR(__xludf.DUMMYFUNCTION("MAX(FILTER($H$2:$H378,$E$2:$E378=F326))"),"#N/A")</f>
        <v>#N/A</v>
      </c>
    </row>
    <row r="327">
      <c r="A327" s="4"/>
      <c r="C327" s="4" t="s">
        <v>3341</v>
      </c>
      <c r="D327" s="4" t="str">
        <f t="shared" si="1"/>
        <v>{"valorA":"coment","valorB":1}</v>
      </c>
      <c r="E327" s="8" t="str">
        <f t="shared" si="2"/>
        <v>coment</v>
      </c>
      <c r="F327" s="8"/>
      <c r="G327" s="8" t="str">
        <f t="shared" si="3"/>
        <v>1</v>
      </c>
      <c r="H327" s="9">
        <f t="shared" si="4"/>
        <v>1</v>
      </c>
      <c r="I327" s="6" t="str">
        <f>IFERROR(__xludf.DUMMYFUNCTION("MAX(FILTER($H$2:$H378,$E$2:$E378=F327))"),"#N/A")</f>
        <v>#N/A</v>
      </c>
    </row>
    <row r="328">
      <c r="A328" s="4"/>
      <c r="C328" s="4" t="s">
        <v>3653</v>
      </c>
      <c r="D328" s="4" t="str">
        <f t="shared" si="1"/>
        <v>{"valorA":"esse","valorB":8}</v>
      </c>
      <c r="E328" s="8" t="str">
        <f t="shared" si="2"/>
        <v>esse</v>
      </c>
      <c r="F328" s="8"/>
      <c r="G328" s="8" t="str">
        <f t="shared" si="3"/>
        <v>8</v>
      </c>
      <c r="H328" s="9">
        <f t="shared" si="4"/>
        <v>8</v>
      </c>
      <c r="I328" s="6" t="str">
        <f>IFERROR(__xludf.DUMMYFUNCTION("MAX(FILTER($H$2:$H378,$E$2:$E378=F328))"),"#N/A")</f>
        <v>#N/A</v>
      </c>
    </row>
    <row r="329">
      <c r="A329" s="4"/>
      <c r="C329" s="4" t="s">
        <v>3654</v>
      </c>
      <c r="D329" s="4" t="str">
        <f t="shared" si="1"/>
        <v>{"valorA":"relogio","valorB":3}</v>
      </c>
      <c r="E329" s="8" t="str">
        <f t="shared" si="2"/>
        <v>relogio</v>
      </c>
      <c r="F329" s="8"/>
      <c r="G329" s="8" t="str">
        <f t="shared" si="3"/>
        <v>3</v>
      </c>
      <c r="H329" s="9">
        <f t="shared" si="4"/>
        <v>3</v>
      </c>
      <c r="I329" s="6" t="str">
        <f>IFERROR(__xludf.DUMMYFUNCTION("MAX(FILTER($H$2:$H378,$E$2:$E378=F329))"),"#N/A")</f>
        <v>#N/A</v>
      </c>
    </row>
    <row r="330">
      <c r="A330" s="4"/>
      <c r="C330" s="4" t="s">
        <v>2827</v>
      </c>
      <c r="D330" s="4" t="str">
        <f t="shared" si="1"/>
        <v>{"valorA":"para","valorB":6}</v>
      </c>
      <c r="E330" s="8" t="str">
        <f t="shared" si="2"/>
        <v>para</v>
      </c>
      <c r="F330" s="8"/>
      <c r="G330" s="8" t="str">
        <f t="shared" si="3"/>
        <v>6</v>
      </c>
      <c r="H330" s="9">
        <f t="shared" si="4"/>
        <v>6</v>
      </c>
      <c r="I330" s="6" t="str">
        <f>IFERROR(__xludf.DUMMYFUNCTION("MAX(FILTER($H$2:$H378,$E$2:$E378=F330))"),"#N/A")</f>
        <v>#N/A</v>
      </c>
    </row>
    <row r="331">
      <c r="A331" s="4"/>
      <c r="C331" s="4" t="s">
        <v>2905</v>
      </c>
      <c r="D331" s="4" t="str">
        <f t="shared" si="1"/>
        <v>{"valorA":"ótimo","valorB":39}</v>
      </c>
      <c r="E331" s="8" t="str">
        <f t="shared" si="2"/>
        <v>ótimo</v>
      </c>
      <c r="F331" s="8"/>
      <c r="G331" s="8" t="str">
        <f t="shared" si="3"/>
        <v>39</v>
      </c>
      <c r="H331" s="9">
        <f t="shared" si="4"/>
        <v>39</v>
      </c>
      <c r="I331" s="6" t="str">
        <f>IFERROR(__xludf.DUMMYFUNCTION("MAX(FILTER($H$2:$H378,$E$2:$E378=F331))"),"#N/A")</f>
        <v>#N/A</v>
      </c>
    </row>
    <row r="332">
      <c r="A332" s="4"/>
      <c r="C332" s="4" t="s">
        <v>2968</v>
      </c>
      <c r="D332" s="4" t="str">
        <f t="shared" si="1"/>
        <v>{"valorA":"perfeito","valorB":2}</v>
      </c>
      <c r="E332" s="8" t="str">
        <f t="shared" si="2"/>
        <v>perfeito</v>
      </c>
      <c r="F332" s="8"/>
      <c r="G332" s="8" t="str">
        <f t="shared" si="3"/>
        <v>2</v>
      </c>
      <c r="H332" s="9">
        <f t="shared" si="4"/>
        <v>2</v>
      </c>
      <c r="I332" s="6" t="str">
        <f>IFERROR(__xludf.DUMMYFUNCTION("MAX(FILTER($H$2:$H378,$E$2:$E378=F332))"),"#N/A")</f>
        <v>#N/A</v>
      </c>
    </row>
    <row r="333">
      <c r="A333" s="4"/>
      <c r="C333" s="4" t="s">
        <v>2732</v>
      </c>
      <c r="D333" s="4" t="str">
        <f t="shared" si="1"/>
        <v>{"valorA":"mim","valorB":1}</v>
      </c>
      <c r="E333" s="8" t="str">
        <f t="shared" si="2"/>
        <v>mim</v>
      </c>
      <c r="F333" s="8"/>
      <c r="G333" s="8" t="str">
        <f t="shared" si="3"/>
        <v>1</v>
      </c>
      <c r="H333" s="9">
        <f t="shared" si="4"/>
        <v>1</v>
      </c>
      <c r="I333" s="6" t="str">
        <f>IFERROR(__xludf.DUMMYFUNCTION("MAX(FILTER($H$2:$H378,$E$2:$E378=F333))"),"#N/A")</f>
        <v>#N/A</v>
      </c>
    </row>
    <row r="334">
      <c r="A334" s="4"/>
      <c r="C334" s="4" t="s">
        <v>2914</v>
      </c>
      <c r="D334" s="4" t="str">
        <f t="shared" si="1"/>
        <v>{"valorA":"ótimo","valorB":40}</v>
      </c>
      <c r="E334" s="8" t="str">
        <f t="shared" si="2"/>
        <v>ótimo</v>
      </c>
      <c r="F334" s="8"/>
      <c r="G334" s="8" t="str">
        <f t="shared" si="3"/>
        <v>40</v>
      </c>
      <c r="H334" s="9">
        <f t="shared" si="4"/>
        <v>40</v>
      </c>
      <c r="I334" s="6" t="str">
        <f>IFERROR(__xludf.DUMMYFUNCTION("MAX(FILTER($H$2:$H378,$E$2:$E378=F334))"),"#N/A")</f>
        <v>#N/A</v>
      </c>
    </row>
    <row r="335">
      <c r="A335" s="4"/>
      <c r="C335" s="4" t="s">
        <v>2907</v>
      </c>
      <c r="D335" s="4" t="str">
        <f t="shared" si="1"/>
        <v>{"valorA":"produto","valorB":24}</v>
      </c>
      <c r="E335" s="8" t="str">
        <f t="shared" si="2"/>
        <v>produto</v>
      </c>
      <c r="F335" s="8"/>
      <c r="G335" s="8" t="str">
        <f t="shared" si="3"/>
        <v>24</v>
      </c>
      <c r="H335" s="9">
        <f t="shared" si="4"/>
        <v>24</v>
      </c>
      <c r="I335" s="6" t="str">
        <f>IFERROR(__xludf.DUMMYFUNCTION("MAX(FILTER($H$2:$H378,$E$2:$E378=F335))"),"#N/A")</f>
        <v>#N/A</v>
      </c>
    </row>
    <row r="336">
      <c r="A336" s="4"/>
      <c r="C336" s="4" t="s">
        <v>3069</v>
      </c>
      <c r="D336" s="4" t="str">
        <f t="shared" si="1"/>
        <v>{"valorA":"de","valorB":8}</v>
      </c>
      <c r="E336" s="8" t="str">
        <f t="shared" si="2"/>
        <v>de</v>
      </c>
      <c r="F336" s="8"/>
      <c r="G336" s="8" t="str">
        <f t="shared" si="3"/>
        <v>8</v>
      </c>
      <c r="H336" s="9">
        <f t="shared" si="4"/>
        <v>8</v>
      </c>
      <c r="I336" s="6" t="str">
        <f>IFERROR(__xludf.DUMMYFUNCTION("MAX(FILTER($H$2:$H378,$E$2:$E378=F336))"),"#N/A")</f>
        <v>#N/A</v>
      </c>
    </row>
    <row r="337">
      <c r="A337" s="4"/>
      <c r="C337" s="4" t="s">
        <v>3655</v>
      </c>
      <c r="D337" s="4" t="str">
        <f t="shared" si="1"/>
        <v>{"valorA":"esse","valorB":9}</v>
      </c>
      <c r="E337" s="8" t="str">
        <f t="shared" si="2"/>
        <v>esse</v>
      </c>
      <c r="F337" s="8"/>
      <c r="G337" s="8" t="str">
        <f t="shared" si="3"/>
        <v>9</v>
      </c>
      <c r="H337" s="9">
        <f t="shared" si="4"/>
        <v>9</v>
      </c>
      <c r="I337" s="6" t="str">
        <f>IFERROR(__xludf.DUMMYFUNCTION("MAX(FILTER($H$2:$H378,$E$2:$E378=F337))"),"#N/A")</f>
        <v>#N/A</v>
      </c>
    </row>
    <row r="338">
      <c r="A338" s="4"/>
      <c r="C338" s="4" t="s">
        <v>3656</v>
      </c>
      <c r="D338" s="4" t="str">
        <f t="shared" si="1"/>
        <v>{"valorA":"condicionador","valorB":1}</v>
      </c>
      <c r="E338" s="8" t="str">
        <f t="shared" si="2"/>
        <v>condicionador</v>
      </c>
      <c r="F338" s="8"/>
      <c r="G338" s="8" t="str">
        <f t="shared" si="3"/>
        <v>1</v>
      </c>
      <c r="H338" s="9">
        <f t="shared" si="4"/>
        <v>1</v>
      </c>
      <c r="I338" s="6" t="str">
        <f>IFERROR(__xludf.DUMMYFUNCTION("MAX(FILTER($H$2:$H378,$E$2:$E378=F338))"),"#N/A")</f>
        <v>#N/A</v>
      </c>
    </row>
    <row r="339">
      <c r="A339" s="4"/>
      <c r="C339" s="4" t="s">
        <v>3444</v>
      </c>
      <c r="D339" s="4" t="str">
        <f t="shared" si="1"/>
        <v>{"valorA":"ar","valorB":1}</v>
      </c>
      <c r="E339" s="8" t="str">
        <f t="shared" si="2"/>
        <v>ar</v>
      </c>
      <c r="F339" s="8"/>
      <c r="G339" s="8" t="str">
        <f t="shared" si="3"/>
        <v>1</v>
      </c>
      <c r="H339" s="9">
        <f t="shared" si="4"/>
        <v>1</v>
      </c>
      <c r="I339" s="6" t="str">
        <f>IFERROR(__xludf.DUMMYFUNCTION("MAX(FILTER($H$2:$H378,$E$2:$E378=F339))"),"#N/A")</f>
        <v>#N/A</v>
      </c>
    </row>
    <row r="340">
      <c r="A340" s="4"/>
      <c r="C340" s="4" t="s">
        <v>3657</v>
      </c>
      <c r="D340" s="4" t="str">
        <f t="shared" si="1"/>
        <v>{"valorA":"funciona","valorB":17}</v>
      </c>
      <c r="E340" s="8" t="str">
        <f t="shared" si="2"/>
        <v>funciona</v>
      </c>
      <c r="F340" s="8"/>
      <c r="G340" s="8" t="str">
        <f t="shared" si="3"/>
        <v>17</v>
      </c>
      <c r="H340" s="9">
        <f t="shared" si="4"/>
        <v>17</v>
      </c>
      <c r="I340" s="6" t="str">
        <f>IFERROR(__xludf.DUMMYFUNCTION("MAX(FILTER($H$2:$H378,$E$2:$E378=F340))"),"#N/A")</f>
        <v>#N/A</v>
      </c>
    </row>
    <row r="341">
      <c r="A341" s="4"/>
      <c r="C341" s="4" t="s">
        <v>3658</v>
      </c>
      <c r="D341" s="4" t="str">
        <f t="shared" si="1"/>
        <v>{"valorA":"é","valorB":17}</v>
      </c>
      <c r="E341" s="8" t="str">
        <f t="shared" si="2"/>
        <v>é</v>
      </c>
      <c r="F341" s="8"/>
      <c r="G341" s="8" t="str">
        <f t="shared" si="3"/>
        <v>17</v>
      </c>
      <c r="H341" s="9">
        <f t="shared" si="4"/>
        <v>17</v>
      </c>
      <c r="I341" s="6" t="str">
        <f>IFERROR(__xludf.DUMMYFUNCTION("MAX(FILTER($H$2:$H378,$E$2:$E378=F341))"),"#N/A")</f>
        <v>#N/A</v>
      </c>
    </row>
    <row r="342">
      <c r="A342" s="4"/>
      <c r="C342" s="4" t="s">
        <v>3124</v>
      </c>
      <c r="D342" s="4" t="str">
        <f t="shared" si="1"/>
        <v>{"valorA":"bem","valorB":8}</v>
      </c>
      <c r="E342" s="8" t="str">
        <f t="shared" si="2"/>
        <v>bem</v>
      </c>
      <c r="F342" s="8"/>
      <c r="G342" s="8" t="str">
        <f t="shared" si="3"/>
        <v>8</v>
      </c>
      <c r="H342" s="9">
        <f t="shared" si="4"/>
        <v>8</v>
      </c>
      <c r="I342" s="6" t="str">
        <f>IFERROR(__xludf.DUMMYFUNCTION("MAX(FILTER($H$2:$H378,$E$2:$E378=F342))"),"#N/A")</f>
        <v>#N/A</v>
      </c>
    </row>
    <row r="343">
      <c r="A343" s="4"/>
      <c r="C343" s="4" t="s">
        <v>3140</v>
      </c>
      <c r="D343" s="4" t="str">
        <f t="shared" si="1"/>
        <v>{"valorA":"e","valorB":14}</v>
      </c>
      <c r="E343" s="8" t="str">
        <f t="shared" si="2"/>
        <v>e</v>
      </c>
      <c r="F343" s="8"/>
      <c r="G343" s="8" t="str">
        <f t="shared" si="3"/>
        <v>14</v>
      </c>
      <c r="H343" s="9">
        <f t="shared" si="4"/>
        <v>14</v>
      </c>
      <c r="I343" s="6" t="str">
        <f>IFERROR(__xludf.DUMMYFUNCTION("MAX(FILTER($H$2:$H378,$E$2:$E378=F343))"),"#N/A")</f>
        <v>#N/A</v>
      </c>
    </row>
    <row r="344">
      <c r="A344" s="4"/>
      <c r="C344" s="4" t="s">
        <v>3061</v>
      </c>
      <c r="D344" s="4" t="str">
        <f t="shared" si="1"/>
        <v>{"valorA":"fácil","valorB":5}</v>
      </c>
      <c r="E344" s="8" t="str">
        <f t="shared" si="2"/>
        <v>fácil</v>
      </c>
      <c r="F344" s="8"/>
      <c r="G344" s="8" t="str">
        <f t="shared" si="3"/>
        <v>5</v>
      </c>
      <c r="H344" s="9">
        <f t="shared" si="4"/>
        <v>5</v>
      </c>
      <c r="I344" s="6" t="str">
        <f>IFERROR(__xludf.DUMMYFUNCTION("MAX(FILTER($H$2:$H378,$E$2:$E378=F344))"),"#N/A")</f>
        <v>#N/A</v>
      </c>
    </row>
    <row r="345">
      <c r="A345" s="4"/>
      <c r="C345" s="4" t="s">
        <v>3072</v>
      </c>
      <c r="D345" s="4" t="str">
        <f t="shared" si="1"/>
        <v>{"valorA":"de","valorB":9}</v>
      </c>
      <c r="E345" s="8" t="str">
        <f t="shared" si="2"/>
        <v>de</v>
      </c>
      <c r="F345" s="8"/>
      <c r="G345" s="8" t="str">
        <f t="shared" si="3"/>
        <v>9</v>
      </c>
      <c r="H345" s="9">
        <f t="shared" si="4"/>
        <v>9</v>
      </c>
      <c r="I345" s="6" t="str">
        <f>IFERROR(__xludf.DUMMYFUNCTION("MAX(FILTER($H$2:$H378,$E$2:$E378=F345))"),"#N/A")</f>
        <v>#N/A</v>
      </c>
    </row>
    <row r="346">
      <c r="A346" s="4"/>
      <c r="C346" s="4" t="s">
        <v>3062</v>
      </c>
      <c r="D346" s="4" t="str">
        <f t="shared" si="1"/>
        <v>{"valorA":"usar","valorB":5}</v>
      </c>
      <c r="E346" s="8" t="str">
        <f t="shared" si="2"/>
        <v>usar</v>
      </c>
      <c r="F346" s="8"/>
      <c r="G346" s="8" t="str">
        <f t="shared" si="3"/>
        <v>5</v>
      </c>
      <c r="H346" s="9">
        <f t="shared" si="4"/>
        <v>5</v>
      </c>
      <c r="I346" s="6" t="str">
        <f>IFERROR(__xludf.DUMMYFUNCTION("MAX(FILTER($H$2:$H378,$E$2:$E378=F346))"),"#N/A")</f>
        <v>#N/A</v>
      </c>
    </row>
    <row r="347">
      <c r="A347" s="4"/>
      <c r="C347" s="4" t="s">
        <v>2916</v>
      </c>
      <c r="D347" s="4" t="str">
        <f t="shared" si="1"/>
        <v>{"valorA":"produto","valorB":25}</v>
      </c>
      <c r="E347" s="8" t="str">
        <f t="shared" si="2"/>
        <v>produto</v>
      </c>
      <c r="F347" s="8"/>
      <c r="G347" s="8" t="str">
        <f t="shared" si="3"/>
        <v>25</v>
      </c>
      <c r="H347" s="9">
        <f t="shared" si="4"/>
        <v>25</v>
      </c>
      <c r="I347" s="6" t="str">
        <f>IFERROR(__xludf.DUMMYFUNCTION("MAX(FILTER($H$2:$H378,$E$2:$E378=F347))"),"#N/A")</f>
        <v>#N/A</v>
      </c>
    </row>
    <row r="348">
      <c r="A348" s="4"/>
      <c r="C348" s="4" t="s">
        <v>3659</v>
      </c>
      <c r="D348" s="4" t="str">
        <f t="shared" si="1"/>
        <v>{"valorA":"perfeitamente","valorB":13}</v>
      </c>
      <c r="E348" s="8" t="str">
        <f t="shared" si="2"/>
        <v>perfeitamente</v>
      </c>
      <c r="F348" s="8"/>
      <c r="G348" s="8" t="str">
        <f t="shared" si="3"/>
        <v>13</v>
      </c>
      <c r="H348" s="9">
        <f t="shared" si="4"/>
        <v>13</v>
      </c>
      <c r="I348" s="6" t="str">
        <f>IFERROR(__xludf.DUMMYFUNCTION("MAX(FILTER($H$2:$H378,$E$2:$E378=F348))"),"#N/A")</f>
        <v>#N/A</v>
      </c>
    </row>
    <row r="349">
      <c r="A349" s="4"/>
      <c r="C349" s="4" t="s">
        <v>3660</v>
      </c>
      <c r="D349" s="4" t="str">
        <f t="shared" si="1"/>
        <v>{"valorA":"funciona","valorB":18}</v>
      </c>
      <c r="E349" s="8" t="str">
        <f t="shared" si="2"/>
        <v>funciona</v>
      </c>
      <c r="F349" s="8"/>
      <c r="G349" s="8" t="str">
        <f t="shared" si="3"/>
        <v>18</v>
      </c>
      <c r="H349" s="9">
        <f t="shared" si="4"/>
        <v>18</v>
      </c>
      <c r="I349" s="6" t="str">
        <f>IFERROR(__xludf.DUMMYFUNCTION("MAX(FILTER($H$2:$H378,$E$2:$E378=F349))"),"#N/A")</f>
        <v>#N/A</v>
      </c>
    </row>
    <row r="350">
      <c r="A350" s="4"/>
      <c r="C350" s="4" t="s">
        <v>2925</v>
      </c>
      <c r="D350" s="4" t="str">
        <f t="shared" si="1"/>
        <v>{"valorA":"ótimo","valorB":41}</v>
      </c>
      <c r="E350" s="8" t="str">
        <f t="shared" si="2"/>
        <v>ótimo</v>
      </c>
      <c r="F350" s="8"/>
      <c r="G350" s="8" t="str">
        <f t="shared" si="3"/>
        <v>41</v>
      </c>
      <c r="H350" s="9">
        <f t="shared" si="4"/>
        <v>41</v>
      </c>
      <c r="I350" s="6" t="str">
        <f>IFERROR(__xludf.DUMMYFUNCTION("MAX(FILTER($H$2:$H378,$E$2:$E378=F350))"),"#N/A")</f>
        <v>#N/A</v>
      </c>
    </row>
    <row r="351">
      <c r="A351" s="4"/>
      <c r="C351" s="4" t="s">
        <v>3164</v>
      </c>
      <c r="D351" s="4" t="str">
        <f t="shared" si="1"/>
        <v>{"valorA":"e","valorB":15}</v>
      </c>
      <c r="E351" s="8" t="str">
        <f t="shared" si="2"/>
        <v>e</v>
      </c>
      <c r="F351" s="8"/>
      <c r="G351" s="8" t="str">
        <f t="shared" si="3"/>
        <v>15</v>
      </c>
      <c r="H351" s="9">
        <f t="shared" si="4"/>
        <v>15</v>
      </c>
      <c r="I351" s="6" t="str">
        <f>IFERROR(__xludf.DUMMYFUNCTION("MAX(FILTER($H$2:$H378,$E$2:$E378=F351))"),"#N/A")</f>
        <v>#N/A</v>
      </c>
    </row>
    <row r="352">
      <c r="A352" s="4"/>
      <c r="C352" s="4" t="s">
        <v>3661</v>
      </c>
      <c r="D352" s="4" t="str">
        <f t="shared" si="1"/>
        <v>{"valorA":"é","valorB":18}</v>
      </c>
      <c r="E352" s="8" t="str">
        <f t="shared" si="2"/>
        <v>é</v>
      </c>
      <c r="F352" s="8"/>
      <c r="G352" s="8" t="str">
        <f t="shared" si="3"/>
        <v>18</v>
      </c>
      <c r="H352" s="9">
        <f t="shared" si="4"/>
        <v>18</v>
      </c>
      <c r="I352" s="6" t="str">
        <f>IFERROR(__xludf.DUMMYFUNCTION("MAX(FILTER($H$2:$H378,$E$2:$E378=F352))"),"#N/A")</f>
        <v>#N/A</v>
      </c>
    </row>
    <row r="353">
      <c r="A353" s="4"/>
      <c r="C353" s="4" t="s">
        <v>3066</v>
      </c>
      <c r="D353" s="4" t="str">
        <f t="shared" si="1"/>
        <v>{"valorA":"fácil","valorB":6}</v>
      </c>
      <c r="E353" s="8" t="str">
        <f t="shared" si="2"/>
        <v>fácil</v>
      </c>
      <c r="F353" s="8"/>
      <c r="G353" s="8" t="str">
        <f t="shared" si="3"/>
        <v>6</v>
      </c>
      <c r="H353" s="9">
        <f t="shared" si="4"/>
        <v>6</v>
      </c>
      <c r="I353" s="6" t="str">
        <f>IFERROR(__xludf.DUMMYFUNCTION("MAX(FILTER($H$2:$H378,$E$2:$E378=F353))"),"#N/A")</f>
        <v>#N/A</v>
      </c>
    </row>
    <row r="354">
      <c r="A354" s="4"/>
      <c r="C354" s="4" t="s">
        <v>3076</v>
      </c>
      <c r="D354" s="4" t="str">
        <f t="shared" si="1"/>
        <v>{"valorA":"de","valorB":10}</v>
      </c>
      <c r="E354" s="8" t="str">
        <f t="shared" si="2"/>
        <v>de</v>
      </c>
      <c r="F354" s="8"/>
      <c r="G354" s="8" t="str">
        <f t="shared" si="3"/>
        <v>10</v>
      </c>
      <c r="H354" s="9">
        <f t="shared" si="4"/>
        <v>10</v>
      </c>
      <c r="I354" s="6" t="str">
        <f>IFERROR(__xludf.DUMMYFUNCTION("MAX(FILTER($H$2:$H378,$E$2:$E378=F354))"),"#N/A")</f>
        <v>#N/A</v>
      </c>
    </row>
    <row r="355">
      <c r="A355" s="4"/>
      <c r="C355" s="4" t="s">
        <v>3070</v>
      </c>
      <c r="D355" s="4" t="str">
        <f t="shared" si="1"/>
        <v>{"valorA":"usar","valorB":6}</v>
      </c>
      <c r="E355" s="8" t="str">
        <f t="shared" si="2"/>
        <v>usar</v>
      </c>
      <c r="F355" s="8"/>
      <c r="G355" s="8" t="str">
        <f t="shared" si="3"/>
        <v>6</v>
      </c>
      <c r="H355" s="9">
        <f t="shared" si="4"/>
        <v>6</v>
      </c>
      <c r="I355" s="6" t="str">
        <f>IFERROR(__xludf.DUMMYFUNCTION("MAX(FILTER($H$2:$H378,$E$2:$E378=F355))"),"#N/A")</f>
        <v>#N/A</v>
      </c>
    </row>
    <row r="356">
      <c r="A356" s="4"/>
      <c r="C356" s="4" t="s">
        <v>3662</v>
      </c>
      <c r="D356" s="4" t="str">
        <f t="shared" si="1"/>
        <v>{"valorA":"incrível","valorB":10}</v>
      </c>
      <c r="E356" s="8" t="str">
        <f t="shared" si="2"/>
        <v>incrível</v>
      </c>
      <c r="F356" s="8"/>
      <c r="G356" s="8" t="str">
        <f t="shared" si="3"/>
        <v>10</v>
      </c>
      <c r="H356" s="9">
        <f t="shared" si="4"/>
        <v>10</v>
      </c>
      <c r="I356" s="6" t="str">
        <f>IFERROR(__xludf.DUMMYFUNCTION("MAX(FILTER($H$2:$H378,$E$2:$E378=F356))"),"#N/A")</f>
        <v>#N/A</v>
      </c>
    </row>
    <row r="357">
      <c r="A357" s="4"/>
      <c r="C357" s="4" t="s">
        <v>2660</v>
      </c>
      <c r="D357" s="4" t="str">
        <f t="shared" si="1"/>
        <v>{"valorA":"a","valorB":2}</v>
      </c>
      <c r="E357" s="8" t="str">
        <f t="shared" si="2"/>
        <v>a</v>
      </c>
      <c r="F357" s="8"/>
      <c r="G357" s="8" t="str">
        <f t="shared" si="3"/>
        <v>2</v>
      </c>
      <c r="H357" s="9">
        <f t="shared" si="4"/>
        <v>2</v>
      </c>
      <c r="I357" s="6" t="str">
        <f>IFERROR(__xludf.DUMMYFUNCTION("MAX(FILTER($H$2:$H378,$E$2:$E378=F357))"),"#N/A")</f>
        <v>#N/A</v>
      </c>
    </row>
    <row r="358">
      <c r="A358" s="4"/>
      <c r="C358" s="4" t="s">
        <v>3663</v>
      </c>
      <c r="D358" s="4" t="str">
        <f t="shared" si="1"/>
        <v>{"valorA":"é","valorB":19}</v>
      </c>
      <c r="E358" s="8" t="str">
        <f t="shared" si="2"/>
        <v>é</v>
      </c>
      <c r="F358" s="8"/>
      <c r="G358" s="8" t="str">
        <f t="shared" si="3"/>
        <v>19</v>
      </c>
      <c r="H358" s="9">
        <f t="shared" si="4"/>
        <v>19</v>
      </c>
      <c r="I358" s="6" t="str">
        <f>IFERROR(__xludf.DUMMYFUNCTION("MAX(FILTER($H$2:$H378,$E$2:$E378=F358))"),"#N/A")</f>
        <v>#N/A</v>
      </c>
    </row>
    <row r="359">
      <c r="A359" s="4"/>
      <c r="C359" s="4" t="s">
        <v>2924</v>
      </c>
      <c r="D359" s="4" t="str">
        <f t="shared" si="1"/>
        <v>{"valorA":"produto","valorB":26}</v>
      </c>
      <c r="E359" s="8" t="str">
        <f t="shared" si="2"/>
        <v>produto</v>
      </c>
      <c r="F359" s="8"/>
      <c r="G359" s="8" t="str">
        <f t="shared" si="3"/>
        <v>26</v>
      </c>
      <c r="H359" s="9">
        <f t="shared" si="4"/>
        <v>26</v>
      </c>
      <c r="I359" s="6" t="str">
        <f>IFERROR(__xludf.DUMMYFUNCTION("MAX(FILTER($H$2:$H378,$E$2:$E378=F359))"),"#N/A")</f>
        <v>#N/A</v>
      </c>
    </row>
    <row r="360">
      <c r="A360" s="4"/>
      <c r="C360" s="4" t="s">
        <v>2649</v>
      </c>
      <c r="D360" s="4" t="str">
        <f t="shared" si="1"/>
        <v>{"valorA":"pena","valorB":1}</v>
      </c>
      <c r="E360" s="8" t="str">
        <f t="shared" si="2"/>
        <v>pena</v>
      </c>
      <c r="F360" s="8"/>
      <c r="G360" s="8" t="str">
        <f t="shared" si="3"/>
        <v>1</v>
      </c>
      <c r="H360" s="9">
        <f t="shared" si="4"/>
        <v>1</v>
      </c>
      <c r="I360" s="6" t="str">
        <f>IFERROR(__xludf.DUMMYFUNCTION("MAX(FILTER($H$2:$H378,$E$2:$E378=F360))"),"#N/A")</f>
        <v>#N/A</v>
      </c>
    </row>
    <row r="361">
      <c r="A361" s="4"/>
      <c r="C361" s="4" t="s">
        <v>2869</v>
      </c>
      <c r="D361" s="4" t="str">
        <f t="shared" si="1"/>
        <v>{"valorA":"realmente","valorB":1}</v>
      </c>
      <c r="E361" s="8" t="str">
        <f t="shared" si="2"/>
        <v>realmente</v>
      </c>
      <c r="F361" s="8"/>
      <c r="G361" s="8" t="str">
        <f t="shared" si="3"/>
        <v>1</v>
      </c>
      <c r="H361" s="9">
        <f t="shared" si="4"/>
        <v>1</v>
      </c>
      <c r="I361" s="6" t="str">
        <f>IFERROR(__xludf.DUMMYFUNCTION("MAX(FILTER($H$2:$H378,$E$2:$E378=F361))"),"#N/A")</f>
        <v>#N/A</v>
      </c>
    </row>
    <row r="362">
      <c r="A362" s="4"/>
      <c r="C362" s="4" t="s">
        <v>2641</v>
      </c>
      <c r="D362" s="4" t="str">
        <f t="shared" si="1"/>
        <v>{"valorA":"vale","valorB":1}</v>
      </c>
      <c r="E362" s="8" t="str">
        <f t="shared" si="2"/>
        <v>vale</v>
      </c>
      <c r="F362" s="8"/>
      <c r="G362" s="8" t="str">
        <f t="shared" si="3"/>
        <v>1</v>
      </c>
      <c r="H362" s="9">
        <f t="shared" si="4"/>
        <v>1</v>
      </c>
      <c r="I362" s="6" t="str">
        <f>IFERROR(__xludf.DUMMYFUNCTION("MAX(FILTER($H$2:$H378,$E$2:$E378=F362))"),"#N/A")</f>
        <v>#N/A</v>
      </c>
    </row>
    <row r="363">
      <c r="A363" s="4"/>
      <c r="C363" s="4" t="s">
        <v>2929</v>
      </c>
      <c r="D363" s="4" t="str">
        <f t="shared" si="1"/>
        <v>{"valorA":"ótimo","valorB":42}</v>
      </c>
      <c r="E363" s="8" t="str">
        <f t="shared" si="2"/>
        <v>ótimo</v>
      </c>
      <c r="F363" s="8"/>
      <c r="G363" s="8" t="str">
        <f t="shared" si="3"/>
        <v>42</v>
      </c>
      <c r="H363" s="9">
        <f t="shared" si="4"/>
        <v>42</v>
      </c>
      <c r="I363" s="6" t="str">
        <f>IFERROR(__xludf.DUMMYFUNCTION("MAX(FILTER($H$2:$H378,$E$2:$E378=F363))"),"#N/A")</f>
        <v>#N/A</v>
      </c>
    </row>
    <row r="364">
      <c r="A364" s="4"/>
      <c r="C364" s="4" t="s">
        <v>2910</v>
      </c>
      <c r="D364" s="4" t="str">
        <f t="shared" si="1"/>
        <v>{"valorA":"comprar","valorB":1}</v>
      </c>
      <c r="E364" s="8" t="str">
        <f t="shared" si="2"/>
        <v>comprar</v>
      </c>
      <c r="F364" s="8"/>
      <c r="G364" s="8" t="str">
        <f t="shared" si="3"/>
        <v>1</v>
      </c>
      <c r="H364" s="9">
        <f t="shared" si="4"/>
        <v>1</v>
      </c>
      <c r="I364" s="6" t="str">
        <f>IFERROR(__xludf.DUMMYFUNCTION("MAX(FILTER($H$2:$H378,$E$2:$E378=F364))"),"#N/A")</f>
        <v>#N/A</v>
      </c>
    </row>
    <row r="365">
      <c r="A365" s="4"/>
      <c r="C365" s="4" t="s">
        <v>3664</v>
      </c>
      <c r="D365" s="4" t="str">
        <f t="shared" si="1"/>
        <v>{"valorA":"comprimento","valorB":2}</v>
      </c>
      <c r="E365" s="8" t="str">
        <f t="shared" si="2"/>
        <v>comprimento</v>
      </c>
      <c r="F365" s="8"/>
      <c r="G365" s="8" t="str">
        <f t="shared" si="3"/>
        <v>2</v>
      </c>
      <c r="H365" s="9">
        <f t="shared" si="4"/>
        <v>2</v>
      </c>
      <c r="I365" s="6" t="str">
        <f>IFERROR(__xludf.DUMMYFUNCTION("MAX(FILTER($H$2:$H378,$E$2:$E378=F365))"),"#N/A")</f>
        <v>#N/A</v>
      </c>
    </row>
    <row r="366">
      <c r="A366" s="4"/>
      <c r="C366" s="4" t="s">
        <v>3665</v>
      </c>
      <c r="D366" s="4" t="str">
        <f t="shared" si="1"/>
        <v>{"valorA":"pega","valorB":1}</v>
      </c>
      <c r="E366" s="8" t="str">
        <f t="shared" si="2"/>
        <v>pega</v>
      </c>
      <c r="F366" s="8"/>
      <c r="G366" s="8" t="str">
        <f t="shared" si="3"/>
        <v>1</v>
      </c>
      <c r="H366" s="9">
        <f t="shared" si="4"/>
        <v>1</v>
      </c>
      <c r="I366" s="6" t="str">
        <f>IFERROR(__xludf.DUMMYFUNCTION("MAX(FILTER($H$2:$H378,$E$2:$E378=F366))"),"#N/A")</f>
        <v>#N/A</v>
      </c>
    </row>
    <row r="367">
      <c r="A367" s="4"/>
      <c r="C367" s="4" t="s">
        <v>3666</v>
      </c>
      <c r="D367" s="4" t="str">
        <f t="shared" si="1"/>
        <v>{"valorA":"cabo","valorB":1}</v>
      </c>
      <c r="E367" s="8" t="str">
        <f t="shared" si="2"/>
        <v>cabo</v>
      </c>
      <c r="F367" s="8"/>
      <c r="G367" s="8" t="str">
        <f t="shared" si="3"/>
        <v>1</v>
      </c>
      <c r="H367" s="9">
        <f t="shared" si="4"/>
        <v>1</v>
      </c>
      <c r="I367" s="6" t="str">
        <f>IFERROR(__xludf.DUMMYFUNCTION("MAX(FILTER($H$2:$H378,$E$2:$E378=F367))"),"#N/A")</f>
        <v>#N/A</v>
      </c>
    </row>
    <row r="368">
      <c r="A368" s="4"/>
      <c r="C368" s="4" t="s">
        <v>3313</v>
      </c>
      <c r="D368" s="4" t="str">
        <f t="shared" si="1"/>
        <v>{"valorA":"telefone","valorB":1}</v>
      </c>
      <c r="E368" s="8" t="str">
        <f t="shared" si="2"/>
        <v>telefone</v>
      </c>
      <c r="F368" s="8"/>
      <c r="G368" s="8" t="str">
        <f t="shared" si="3"/>
        <v>1</v>
      </c>
      <c r="H368" s="9">
        <f t="shared" si="4"/>
        <v>1</v>
      </c>
      <c r="I368" s="6" t="str">
        <f>IFERROR(__xludf.DUMMYFUNCTION("MAX(FILTER($H$2:$H378,$E$2:$E378=F368))"),"#N/A")</f>
        <v>#N/A</v>
      </c>
    </row>
    <row r="369">
      <c r="A369" s="4"/>
      <c r="C369" s="4" t="s">
        <v>2843</v>
      </c>
      <c r="D369" s="4" t="str">
        <f t="shared" si="1"/>
        <v>{"valorA":"desse","valorB":2}</v>
      </c>
      <c r="E369" s="8" t="str">
        <f t="shared" si="2"/>
        <v>desse</v>
      </c>
      <c r="F369" s="8"/>
      <c r="G369" s="8" t="str">
        <f t="shared" si="3"/>
        <v>2</v>
      </c>
      <c r="H369" s="9">
        <f t="shared" si="4"/>
        <v>2</v>
      </c>
      <c r="I369" s="6" t="str">
        <f>IFERROR(__xludf.DUMMYFUNCTION("MAX(FILTER($H$2:$H378,$E$2:$E378=F369))"),"#N/A")</f>
        <v>#N/A</v>
      </c>
    </row>
    <row r="370">
      <c r="A370" s="4"/>
      <c r="C370" s="4" t="s">
        <v>2935</v>
      </c>
      <c r="D370" s="4" t="str">
        <f t="shared" si="1"/>
        <v>{"valorA":"ótimo","valorB":43}</v>
      </c>
      <c r="E370" s="8" t="str">
        <f t="shared" si="2"/>
        <v>ótimo</v>
      </c>
      <c r="F370" s="8"/>
      <c r="G370" s="8" t="str">
        <f t="shared" si="3"/>
        <v>43</v>
      </c>
      <c r="H370" s="9">
        <f t="shared" si="4"/>
        <v>43</v>
      </c>
      <c r="I370" s="6" t="str">
        <f>IFERROR(__xludf.DUMMYFUNCTION("MAX(FILTER($H$2:$H378,$E$2:$E378=F370))"),"#N/A")</f>
        <v>#N/A</v>
      </c>
    </row>
    <row r="371">
      <c r="A371" s="4"/>
      <c r="C371" s="4" t="s">
        <v>2903</v>
      </c>
      <c r="D371" s="4" t="str">
        <f t="shared" si="1"/>
        <v>{"valorA":"do","valorB":5}</v>
      </c>
      <c r="E371" s="8" t="str">
        <f t="shared" si="2"/>
        <v>do</v>
      </c>
      <c r="F371" s="8"/>
      <c r="G371" s="8" t="str">
        <f t="shared" si="3"/>
        <v>5</v>
      </c>
      <c r="H371" s="9">
        <f t="shared" si="4"/>
        <v>5</v>
      </c>
      <c r="I371" s="6" t="str">
        <f>IFERROR(__xludf.DUMMYFUNCTION("MAX(FILTER($H$2:$H378,$E$2:$E378=F371))"),"#N/A")</f>
        <v>#N/A</v>
      </c>
    </row>
    <row r="372">
      <c r="A372" s="4"/>
      <c r="C372" s="4" t="s">
        <v>3667</v>
      </c>
      <c r="D372" s="4" t="str">
        <f t="shared" si="1"/>
        <v>{"valorA":"bolso","valorB":2}</v>
      </c>
      <c r="E372" s="8" t="str">
        <f t="shared" si="2"/>
        <v>bolso</v>
      </c>
      <c r="F372" s="8"/>
      <c r="G372" s="8" t="str">
        <f t="shared" si="3"/>
        <v>2</v>
      </c>
      <c r="H372" s="9">
        <f t="shared" si="4"/>
        <v>2</v>
      </c>
      <c r="I372" s="6" t="str">
        <f>IFERROR(__xludf.DUMMYFUNCTION("MAX(FILTER($H$2:$H378,$E$2:$E378=F372))"),"#N/A")</f>
        <v>#N/A</v>
      </c>
    </row>
    <row r="373">
      <c r="A373" s="4"/>
      <c r="C373" s="4" t="s">
        <v>3183</v>
      </c>
      <c r="D373" s="4" t="str">
        <f t="shared" si="1"/>
        <v>{"valorA":"bem","valorB":9}</v>
      </c>
      <c r="E373" s="8" t="str">
        <f t="shared" si="2"/>
        <v>bem</v>
      </c>
      <c r="F373" s="8"/>
      <c r="G373" s="8" t="str">
        <f t="shared" si="3"/>
        <v>9</v>
      </c>
      <c r="H373" s="9">
        <f t="shared" si="4"/>
        <v>9</v>
      </c>
      <c r="I373" s="6" t="str">
        <f>IFERROR(__xludf.DUMMYFUNCTION("MAX(FILTER($H$2:$H378,$E$2:$E378=F373))"),"#N/A")</f>
        <v>#N/A</v>
      </c>
    </row>
    <row r="374">
      <c r="A374" s="4"/>
      <c r="C374" s="4" t="s">
        <v>3668</v>
      </c>
      <c r="D374" s="4" t="str">
        <f t="shared" si="1"/>
        <v>{"valorA":"no","valorB":2}</v>
      </c>
      <c r="E374" s="8" t="str">
        <f t="shared" si="2"/>
        <v>no</v>
      </c>
      <c r="F374" s="8"/>
      <c r="G374" s="8" t="str">
        <f t="shared" si="3"/>
        <v>2</v>
      </c>
      <c r="H374" s="9">
        <f t="shared" si="4"/>
        <v>2</v>
      </c>
      <c r="I374" s="6" t="str">
        <f>IFERROR(__xludf.DUMMYFUNCTION("MAX(FILTER($H$2:$H378,$E$2:$E378=F374))"),"#N/A")</f>
        <v>#N/A</v>
      </c>
    </row>
    <row r="375">
      <c r="A375" s="4"/>
      <c r="C375" s="4" t="s">
        <v>3034</v>
      </c>
      <c r="D375" s="4" t="str">
        <f t="shared" si="1"/>
        <v>{"valorA":"excelente","valorB":1}</v>
      </c>
      <c r="E375" s="8" t="str">
        <f t="shared" si="2"/>
        <v>excelente</v>
      </c>
      <c r="F375" s="8"/>
      <c r="G375" s="8" t="str">
        <f t="shared" si="3"/>
        <v>1</v>
      </c>
      <c r="H375" s="9">
        <f t="shared" si="4"/>
        <v>1</v>
      </c>
      <c r="I375" s="6" t="str">
        <f>IFERROR(__xludf.DUMMYFUNCTION("MAX(FILTER($H$2:$H378,$E$2:$E378=F375))"),"#N/A")</f>
        <v>#N/A</v>
      </c>
    </row>
    <row r="376">
      <c r="A376" s="4"/>
      <c r="C376" s="4" t="s">
        <v>3127</v>
      </c>
      <c r="D376" s="4" t="str">
        <f t="shared" si="1"/>
        <v>{"valorA":"qualidade","valorB":3}</v>
      </c>
      <c r="E376" s="8" t="str">
        <f t="shared" si="2"/>
        <v>qualidade</v>
      </c>
      <c r="F376" s="8"/>
      <c r="G376" s="8" t="str">
        <f t="shared" si="3"/>
        <v>3</v>
      </c>
      <c r="H376" s="9">
        <f t="shared" si="4"/>
        <v>3</v>
      </c>
      <c r="I376" s="6" t="str">
        <f>IFERROR(__xludf.DUMMYFUNCTION("MAX(FILTER($H$2:$H378,$E$2:$E378=F376))"),"#N/A")</f>
        <v>#N/A</v>
      </c>
    </row>
    <row r="377">
      <c r="A377" s="4"/>
      <c r="C377" s="4" t="s">
        <v>3669</v>
      </c>
      <c r="D377" s="4" t="str">
        <f t="shared" si="1"/>
        <v>{"valorA":"relojoeira","valorB":5}</v>
      </c>
      <c r="E377" s="8" t="str">
        <f t="shared" si="2"/>
        <v>relojoeira</v>
      </c>
      <c r="F377" s="8"/>
      <c r="G377" s="8" t="str">
        <f t="shared" si="3"/>
        <v>5</v>
      </c>
      <c r="H377" s="9">
        <f t="shared" si="4"/>
        <v>5</v>
      </c>
      <c r="I377" s="6" t="str">
        <f>IFERROR(__xludf.DUMMYFUNCTION("MAX(FILTER($H$2:$H378,$E$2:$E378=F377))"),"#N/A")</f>
        <v>#N/A</v>
      </c>
    </row>
    <row r="378">
      <c r="A378" s="4"/>
      <c r="C378" s="4" t="s">
        <v>2945</v>
      </c>
      <c r="D378" s="4" t="str">
        <f t="shared" si="1"/>
        <v>{"valorA":"ótimo","valorB":44}</v>
      </c>
      <c r="E378" s="8" t="str">
        <f t="shared" si="2"/>
        <v>ótimo</v>
      </c>
      <c r="F378" s="8"/>
      <c r="G378" s="8" t="str">
        <f t="shared" si="3"/>
        <v>44</v>
      </c>
      <c r="H378" s="9">
        <f t="shared" si="4"/>
        <v>44</v>
      </c>
      <c r="I378" s="6" t="str">
        <f>IFERROR(__xludf.DUMMYFUNCTION("MAX(FILTER($H$2:$H378,$E$2:$E378=F378))"),"#N/A")</f>
        <v>#N/A</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3561</v>
      </c>
    </row>
    <row r="2">
      <c r="A2" s="4" t="s">
        <v>3670</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3561</v>
      </c>
    </row>
    <row r="2">
      <c r="A2" s="4" t="s">
        <v>33</v>
      </c>
    </row>
    <row r="3">
      <c r="A3" s="4" t="s">
        <v>34</v>
      </c>
    </row>
    <row r="4">
      <c r="A4" s="4" t="s">
        <v>62</v>
      </c>
    </row>
    <row r="5">
      <c r="A5" s="4" t="s">
        <v>1363</v>
      </c>
    </row>
    <row r="6">
      <c r="A6" s="4" t="s">
        <v>1356</v>
      </c>
    </row>
    <row r="7">
      <c r="A7" s="4" t="s">
        <v>2993</v>
      </c>
    </row>
    <row r="8">
      <c r="A8" s="4" t="s">
        <v>115</v>
      </c>
    </row>
    <row r="9">
      <c r="A9" s="4" t="s">
        <v>970</v>
      </c>
    </row>
    <row r="10">
      <c r="A10" s="4" t="s">
        <v>33</v>
      </c>
    </row>
    <row r="11">
      <c r="A11" s="4" t="s">
        <v>34</v>
      </c>
    </row>
    <row r="12">
      <c r="A12" s="4" t="s">
        <v>88</v>
      </c>
    </row>
    <row r="13">
      <c r="A13" s="4" t="s">
        <v>75</v>
      </c>
    </row>
    <row r="14">
      <c r="A14" s="4" t="s">
        <v>48</v>
      </c>
    </row>
    <row r="15">
      <c r="A15" s="4" t="s">
        <v>35</v>
      </c>
    </row>
    <row r="16">
      <c r="A16" s="4" t="s">
        <v>107</v>
      </c>
    </row>
    <row r="17">
      <c r="A17" s="4" t="s">
        <v>41</v>
      </c>
    </row>
    <row r="18">
      <c r="A18" s="4" t="s">
        <v>42</v>
      </c>
    </row>
    <row r="19">
      <c r="A19" s="4" t="s">
        <v>33</v>
      </c>
    </row>
    <row r="20">
      <c r="A20" s="4" t="s">
        <v>34</v>
      </c>
    </row>
    <row r="21">
      <c r="A21" s="4" t="s">
        <v>44</v>
      </c>
    </row>
    <row r="22">
      <c r="A22" s="4" t="s">
        <v>119</v>
      </c>
    </row>
    <row r="23">
      <c r="A23" s="4" t="s">
        <v>500</v>
      </c>
    </row>
    <row r="24">
      <c r="A24" s="4" t="s">
        <v>109</v>
      </c>
    </row>
    <row r="25">
      <c r="A25" s="4" t="s">
        <v>501</v>
      </c>
    </row>
    <row r="26">
      <c r="A26" s="4" t="s">
        <v>103</v>
      </c>
    </row>
    <row r="27">
      <c r="A27" s="4" t="s">
        <v>3671</v>
      </c>
    </row>
    <row r="28">
      <c r="A28" s="4" t="s">
        <v>75</v>
      </c>
    </row>
    <row r="29">
      <c r="A29" s="4" t="s">
        <v>3672</v>
      </c>
    </row>
    <row r="30">
      <c r="A30" s="4" t="s">
        <v>33</v>
      </c>
    </row>
    <row r="31">
      <c r="A31" s="4" t="s">
        <v>34</v>
      </c>
    </row>
    <row r="32">
      <c r="A32" s="4" t="s">
        <v>44</v>
      </c>
    </row>
    <row r="33">
      <c r="A33" s="4" t="s">
        <v>92</v>
      </c>
    </row>
    <row r="34">
      <c r="A34" s="4" t="s">
        <v>527</v>
      </c>
    </row>
    <row r="35">
      <c r="A35" s="4" t="s">
        <v>35</v>
      </c>
    </row>
    <row r="36">
      <c r="A36" s="4" t="s">
        <v>116</v>
      </c>
    </row>
    <row r="37">
      <c r="A37" s="4" t="s">
        <v>553</v>
      </c>
    </row>
    <row r="38">
      <c r="A38" s="4" t="s">
        <v>93</v>
      </c>
    </row>
    <row r="39">
      <c r="A39" s="4" t="s">
        <v>33</v>
      </c>
    </row>
    <row r="40">
      <c r="A40" s="4" t="s">
        <v>34</v>
      </c>
    </row>
    <row r="41">
      <c r="A41" s="4" t="s">
        <v>44</v>
      </c>
    </row>
    <row r="42">
      <c r="A42" s="4" t="s">
        <v>119</v>
      </c>
    </row>
    <row r="43">
      <c r="A43" s="4" t="s">
        <v>500</v>
      </c>
    </row>
    <row r="44">
      <c r="A44" s="4" t="s">
        <v>497</v>
      </c>
    </row>
    <row r="45">
      <c r="A45" s="4" t="s">
        <v>498</v>
      </c>
    </row>
    <row r="46">
      <c r="A46" s="4" t="s">
        <v>509</v>
      </c>
    </row>
    <row r="47">
      <c r="A47" s="4" t="s">
        <v>92</v>
      </c>
    </row>
    <row r="48">
      <c r="A48" s="4" t="s">
        <v>93</v>
      </c>
    </row>
    <row r="49">
      <c r="A49" s="4" t="s">
        <v>33</v>
      </c>
    </row>
    <row r="50">
      <c r="A50" s="4" t="s">
        <v>155</v>
      </c>
    </row>
    <row r="51">
      <c r="A51" s="4" t="s">
        <v>88</v>
      </c>
    </row>
    <row r="52">
      <c r="A52" s="4" t="s">
        <v>40</v>
      </c>
    </row>
    <row r="53">
      <c r="A53" s="4" t="s">
        <v>75</v>
      </c>
    </row>
    <row r="54">
      <c r="A54" s="4" t="s">
        <v>39</v>
      </c>
    </row>
    <row r="55">
      <c r="A55" s="4" t="s">
        <v>40</v>
      </c>
    </row>
    <row r="56">
      <c r="A56" s="4" t="s">
        <v>1491</v>
      </c>
    </row>
    <row r="57">
      <c r="A57" s="4" t="s">
        <v>33</v>
      </c>
    </row>
    <row r="58">
      <c r="A58" s="4" t="s">
        <v>155</v>
      </c>
    </row>
    <row r="59">
      <c r="A59" s="4" t="s">
        <v>156</v>
      </c>
    </row>
    <row r="60">
      <c r="A60" s="4" t="s">
        <v>157</v>
      </c>
    </row>
    <row r="61">
      <c r="A61" s="4" t="s">
        <v>39</v>
      </c>
    </row>
    <row r="62">
      <c r="A62" s="4" t="s">
        <v>40</v>
      </c>
    </row>
    <row r="63">
      <c r="A63" s="4" t="s">
        <v>33</v>
      </c>
    </row>
    <row r="64">
      <c r="A64" s="4" t="s">
        <v>34</v>
      </c>
    </row>
    <row r="65">
      <c r="A65" s="4" t="s">
        <v>500</v>
      </c>
    </row>
    <row r="66">
      <c r="A66" s="4" t="s">
        <v>40</v>
      </c>
    </row>
    <row r="67">
      <c r="A67" s="4" t="s">
        <v>1354</v>
      </c>
    </row>
    <row r="68">
      <c r="A68" s="4" t="s">
        <v>139</v>
      </c>
    </row>
    <row r="69">
      <c r="A69" s="4" t="s">
        <v>140</v>
      </c>
    </row>
    <row r="70">
      <c r="A70" s="4" t="s">
        <v>2995</v>
      </c>
    </row>
    <row r="71">
      <c r="A71" s="4" t="s">
        <v>3673</v>
      </c>
    </row>
    <row r="72">
      <c r="A72" s="4" t="s">
        <v>109</v>
      </c>
    </row>
    <row r="73">
      <c r="A73" s="4" t="s">
        <v>3674</v>
      </c>
    </row>
    <row r="74">
      <c r="A74" s="4" t="s">
        <v>3675</v>
      </c>
    </row>
    <row r="75">
      <c r="A75" s="4" t="s">
        <v>33</v>
      </c>
    </row>
    <row r="76">
      <c r="A76" s="4" t="s">
        <v>62</v>
      </c>
    </row>
    <row r="77">
      <c r="A77" s="4" t="s">
        <v>1217</v>
      </c>
    </row>
    <row r="78">
      <c r="A78" s="4" t="s">
        <v>35</v>
      </c>
    </row>
    <row r="79">
      <c r="A79" s="4" t="s">
        <v>40</v>
      </c>
    </row>
    <row r="80">
      <c r="A80" s="4" t="s">
        <v>3676</v>
      </c>
    </row>
    <row r="81">
      <c r="A81" s="4" t="s">
        <v>33</v>
      </c>
    </row>
    <row r="82">
      <c r="A82" s="4" t="s">
        <v>500</v>
      </c>
    </row>
    <row r="83">
      <c r="A83" s="4" t="s">
        <v>48</v>
      </c>
    </row>
    <row r="84">
      <c r="A84" s="4" t="s">
        <v>139</v>
      </c>
    </row>
    <row r="85">
      <c r="A85" s="4" t="s">
        <v>129</v>
      </c>
    </row>
    <row r="86">
      <c r="A86" s="4" t="s">
        <v>62</v>
      </c>
    </row>
    <row r="87">
      <c r="A87" s="4" t="s">
        <v>540</v>
      </c>
    </row>
    <row r="88">
      <c r="A88" s="4" t="s">
        <v>536</v>
      </c>
    </row>
    <row r="89">
      <c r="A89" s="4" t="s">
        <v>41</v>
      </c>
    </row>
    <row r="90">
      <c r="A90" s="4" t="s">
        <v>537</v>
      </c>
    </row>
    <row r="91">
      <c r="A91" s="4" t="s">
        <v>3677</v>
      </c>
    </row>
    <row r="92">
      <c r="A92" s="4" t="s">
        <v>2995</v>
      </c>
    </row>
    <row r="93">
      <c r="A93" s="4" t="s">
        <v>119</v>
      </c>
    </row>
    <row r="94">
      <c r="A94" s="4" t="s">
        <v>115</v>
      </c>
    </row>
    <row r="95">
      <c r="A95" s="4" t="s">
        <v>33</v>
      </c>
    </row>
    <row r="96">
      <c r="A96" s="4" t="s">
        <v>34</v>
      </c>
    </row>
    <row r="97">
      <c r="A97" s="4" t="s">
        <v>509</v>
      </c>
    </row>
    <row r="98">
      <c r="A98" s="4" t="s">
        <v>92</v>
      </c>
    </row>
    <row r="99">
      <c r="A99" s="4" t="s">
        <v>510</v>
      </c>
    </row>
    <row r="100">
      <c r="A100" s="4" t="s">
        <v>88</v>
      </c>
    </row>
    <row r="101">
      <c r="A101" s="4" t="s">
        <v>89</v>
      </c>
    </row>
    <row r="102">
      <c r="A102" s="4" t="s">
        <v>33</v>
      </c>
    </row>
    <row r="103">
      <c r="A103" s="4" t="s">
        <v>34</v>
      </c>
    </row>
    <row r="104">
      <c r="A104" s="4" t="s">
        <v>44</v>
      </c>
    </row>
    <row r="105">
      <c r="A105" s="4" t="s">
        <v>513</v>
      </c>
    </row>
    <row r="106">
      <c r="A106" s="4" t="s">
        <v>533</v>
      </c>
    </row>
    <row r="107">
      <c r="A107" s="4" t="s">
        <v>116</v>
      </c>
    </row>
    <row r="108">
      <c r="A108" s="4" t="s">
        <v>3678</v>
      </c>
    </row>
    <row r="109">
      <c r="A109" s="4" t="s">
        <v>41</v>
      </c>
    </row>
    <row r="110">
      <c r="A110" s="4" t="s">
        <v>139</v>
      </c>
    </row>
    <row r="111">
      <c r="A111" s="4" t="s">
        <v>50</v>
      </c>
    </row>
    <row r="112">
      <c r="A112" s="4" t="s">
        <v>40</v>
      </c>
    </row>
    <row r="113">
      <c r="A113" s="4" t="s">
        <v>33</v>
      </c>
    </row>
    <row r="114">
      <c r="A114" s="4" t="s">
        <v>500</v>
      </c>
    </row>
    <row r="115">
      <c r="A115" s="4" t="s">
        <v>44</v>
      </c>
    </row>
    <row r="116">
      <c r="A116" s="4" t="s">
        <v>518</v>
      </c>
    </row>
    <row r="117">
      <c r="A117" s="4" t="s">
        <v>34</v>
      </c>
    </row>
    <row r="118">
      <c r="A118" s="4" t="s">
        <v>519</v>
      </c>
    </row>
    <row r="119">
      <c r="A119" s="4" t="s">
        <v>520</v>
      </c>
    </row>
    <row r="120">
      <c r="A120" s="4" t="s">
        <v>50</v>
      </c>
    </row>
    <row r="121">
      <c r="A121" s="4" t="s">
        <v>40</v>
      </c>
    </row>
    <row r="122">
      <c r="A122" s="4" t="s">
        <v>129</v>
      </c>
    </row>
    <row r="123">
      <c r="A123" s="4" t="s">
        <v>62</v>
      </c>
    </row>
    <row r="124">
      <c r="A124" s="4" t="s">
        <v>3003</v>
      </c>
    </row>
    <row r="125">
      <c r="A125" s="4" t="s">
        <v>33</v>
      </c>
    </row>
    <row r="126">
      <c r="A126" s="4" t="s">
        <v>62</v>
      </c>
    </row>
    <row r="127">
      <c r="A127" s="4" t="s">
        <v>3679</v>
      </c>
    </row>
    <row r="128">
      <c r="A128" s="4" t="s">
        <v>88</v>
      </c>
    </row>
    <row r="129">
      <c r="A129" s="4" t="s">
        <v>89</v>
      </c>
    </row>
    <row r="130">
      <c r="A130" s="4" t="s">
        <v>33</v>
      </c>
    </row>
    <row r="131">
      <c r="A131" s="4" t="s">
        <v>34</v>
      </c>
    </row>
    <row r="132">
      <c r="A132" s="4" t="s">
        <v>509</v>
      </c>
    </row>
    <row r="133">
      <c r="A133" s="4" t="s">
        <v>92</v>
      </c>
    </row>
    <row r="134">
      <c r="A134" s="4" t="s">
        <v>510</v>
      </c>
    </row>
    <row r="135">
      <c r="A135" s="4" t="s">
        <v>50</v>
      </c>
    </row>
    <row r="136">
      <c r="A136" s="4" t="s">
        <v>129</v>
      </c>
    </row>
    <row r="137">
      <c r="A137" s="4" t="s">
        <v>500</v>
      </c>
    </row>
    <row r="138">
      <c r="A138" s="4" t="s">
        <v>1362</v>
      </c>
    </row>
    <row r="139">
      <c r="A139" s="4" t="s">
        <v>33</v>
      </c>
    </row>
    <row r="140">
      <c r="A140" s="4" t="s">
        <v>1359</v>
      </c>
    </row>
    <row r="141">
      <c r="A141" s="4" t="s">
        <v>90</v>
      </c>
    </row>
    <row r="142">
      <c r="A142" s="4" t="s">
        <v>92</v>
      </c>
    </row>
    <row r="143">
      <c r="A143" s="4" t="s">
        <v>3680</v>
      </c>
    </row>
    <row r="144">
      <c r="A144" s="4" t="s">
        <v>85</v>
      </c>
    </row>
    <row r="145">
      <c r="A145" s="4" t="s">
        <v>3681</v>
      </c>
    </row>
    <row r="146">
      <c r="A146" s="4" t="s">
        <v>570</v>
      </c>
    </row>
    <row r="147">
      <c r="A147" s="4" t="s">
        <v>41</v>
      </c>
    </row>
    <row r="148">
      <c r="A148" s="4" t="s">
        <v>571</v>
      </c>
    </row>
    <row r="149">
      <c r="A149" s="4" t="s">
        <v>3682</v>
      </c>
    </row>
    <row r="150">
      <c r="A150" s="4" t="s">
        <v>3683</v>
      </c>
    </row>
    <row r="151">
      <c r="A151" s="4" t="s">
        <v>109</v>
      </c>
    </row>
    <row r="152">
      <c r="A152" s="4" t="s">
        <v>3684</v>
      </c>
    </row>
    <row r="153">
      <c r="A153" s="4" t="s">
        <v>33</v>
      </c>
    </row>
    <row r="154">
      <c r="A154" s="4" t="s">
        <v>506</v>
      </c>
    </row>
    <row r="155">
      <c r="A155" s="4" t="s">
        <v>1357</v>
      </c>
    </row>
    <row r="156">
      <c r="A156" s="4" t="s">
        <v>119</v>
      </c>
    </row>
    <row r="157">
      <c r="A157" s="4" t="s">
        <v>109</v>
      </c>
    </row>
    <row r="158">
      <c r="A158" s="4" t="s">
        <v>1358</v>
      </c>
    </row>
    <row r="159">
      <c r="A159" s="4" t="s">
        <v>33</v>
      </c>
    </row>
    <row r="160">
      <c r="A160" s="4" t="s">
        <v>34</v>
      </c>
    </row>
    <row r="161">
      <c r="A161" s="4" t="s">
        <v>88</v>
      </c>
    </row>
    <row r="162">
      <c r="A162" s="4" t="s">
        <v>75</v>
      </c>
    </row>
    <row r="163">
      <c r="A163" s="4" t="s">
        <v>960</v>
      </c>
    </row>
    <row r="164">
      <c r="A164" s="4" t="s">
        <v>109</v>
      </c>
    </row>
    <row r="165">
      <c r="A165" s="4" t="s">
        <v>3685</v>
      </c>
    </row>
    <row r="166">
      <c r="A166" s="4" t="s">
        <v>92</v>
      </c>
    </row>
    <row r="167">
      <c r="A167" s="4" t="s">
        <v>93</v>
      </c>
    </row>
    <row r="168">
      <c r="A168" s="4" t="s">
        <v>2995</v>
      </c>
    </row>
    <row r="169">
      <c r="A169" s="4" t="s">
        <v>3686</v>
      </c>
    </row>
    <row r="170">
      <c r="A170" s="4" t="s">
        <v>33</v>
      </c>
    </row>
    <row r="171">
      <c r="A171" s="4" t="s">
        <v>560</v>
      </c>
    </row>
    <row r="172">
      <c r="A172" s="4" t="s">
        <v>115</v>
      </c>
    </row>
    <row r="173">
      <c r="A173" s="4" t="s">
        <v>500</v>
      </c>
    </row>
    <row r="174">
      <c r="A174" s="4" t="s">
        <v>3687</v>
      </c>
    </row>
    <row r="175">
      <c r="A175" s="4" t="s">
        <v>1218</v>
      </c>
    </row>
    <row r="176">
      <c r="A176" s="4" t="s">
        <v>88</v>
      </c>
    </row>
    <row r="177">
      <c r="A177" s="4" t="s">
        <v>75</v>
      </c>
    </row>
    <row r="178">
      <c r="A178" s="4" t="s">
        <v>33</v>
      </c>
    </row>
    <row r="179">
      <c r="A179" s="4" t="s">
        <v>500</v>
      </c>
    </row>
    <row r="180">
      <c r="A180" s="4" t="s">
        <v>44</v>
      </c>
    </row>
    <row r="181">
      <c r="A181" s="4" t="s">
        <v>518</v>
      </c>
    </row>
    <row r="182">
      <c r="A182" s="4" t="s">
        <v>34</v>
      </c>
    </row>
    <row r="183">
      <c r="A183" s="4" t="s">
        <v>519</v>
      </c>
    </row>
    <row r="184">
      <c r="A184" s="4" t="s">
        <v>520</v>
      </c>
    </row>
    <row r="185">
      <c r="A185" s="4" t="s">
        <v>50</v>
      </c>
    </row>
    <row r="186">
      <c r="A186" s="4" t="s">
        <v>129</v>
      </c>
    </row>
    <row r="187">
      <c r="A187" s="4" t="s">
        <v>120</v>
      </c>
    </row>
    <row r="188">
      <c r="A188" s="4" t="s">
        <v>33</v>
      </c>
    </row>
    <row r="189">
      <c r="A189" s="4" t="s">
        <v>34</v>
      </c>
    </row>
    <row r="190">
      <c r="A190" s="4" t="s">
        <v>110</v>
      </c>
    </row>
    <row r="191">
      <c r="A191" s="4" t="s">
        <v>44</v>
      </c>
    </row>
    <row r="192">
      <c r="A192" s="4" t="s">
        <v>119</v>
      </c>
    </row>
    <row r="193">
      <c r="A193" s="4" t="s">
        <v>62</v>
      </c>
    </row>
    <row r="194">
      <c r="A194" s="4" t="s">
        <v>3688</v>
      </c>
    </row>
    <row r="195">
      <c r="A195" s="4" t="s">
        <v>48</v>
      </c>
    </row>
    <row r="196">
      <c r="A196" s="4" t="s">
        <v>970</v>
      </c>
    </row>
    <row r="197">
      <c r="A197" s="4" t="s">
        <v>35</v>
      </c>
    </row>
    <row r="198">
      <c r="A198" s="4" t="s">
        <v>512</v>
      </c>
    </row>
    <row r="199">
      <c r="A199" s="4" t="s">
        <v>115</v>
      </c>
    </row>
    <row r="200">
      <c r="A200" s="4" t="s">
        <v>970</v>
      </c>
    </row>
    <row r="201">
      <c r="A201" s="4" t="s">
        <v>33</v>
      </c>
    </row>
    <row r="202">
      <c r="A202" s="4" t="s">
        <v>34</v>
      </c>
    </row>
    <row r="203">
      <c r="A203" s="4" t="s">
        <v>110</v>
      </c>
    </row>
    <row r="204">
      <c r="A204" s="4" t="s">
        <v>44</v>
      </c>
    </row>
    <row r="205">
      <c r="A205" s="4" t="s">
        <v>119</v>
      </c>
    </row>
    <row r="206">
      <c r="A206" s="4" t="s">
        <v>62</v>
      </c>
    </row>
    <row r="207">
      <c r="A207" s="4" t="s">
        <v>3688</v>
      </c>
    </row>
    <row r="208">
      <c r="A208" s="4" t="s">
        <v>48</v>
      </c>
    </row>
    <row r="209">
      <c r="A209" s="4" t="s">
        <v>970</v>
      </c>
    </row>
    <row r="210">
      <c r="A210" s="4" t="s">
        <v>2614</v>
      </c>
    </row>
    <row r="211">
      <c r="A211" s="4" t="s">
        <v>40</v>
      </c>
    </row>
    <row r="212">
      <c r="A212" s="4" t="s">
        <v>53</v>
      </c>
    </row>
    <row r="213">
      <c r="A213" s="4" t="s">
        <v>33</v>
      </c>
    </row>
    <row r="214">
      <c r="A214" s="4" t="s">
        <v>516</v>
      </c>
    </row>
    <row r="215">
      <c r="A215" s="4" t="s">
        <v>525</v>
      </c>
    </row>
    <row r="216">
      <c r="A216" s="4" t="s">
        <v>109</v>
      </c>
    </row>
    <row r="217">
      <c r="A217" s="4" t="s">
        <v>110</v>
      </c>
    </row>
    <row r="218">
      <c r="A218" s="4" t="s">
        <v>167</v>
      </c>
    </row>
    <row r="219">
      <c r="A219" s="4" t="s">
        <v>512</v>
      </c>
    </row>
    <row r="220">
      <c r="A220" s="4" t="s">
        <v>115</v>
      </c>
    </row>
    <row r="221">
      <c r="A221" s="4" t="s">
        <v>92</v>
      </c>
    </row>
    <row r="222">
      <c r="A222" s="4" t="s">
        <v>93</v>
      </c>
    </row>
    <row r="223">
      <c r="A223" s="4" t="s">
        <v>33</v>
      </c>
    </row>
    <row r="224">
      <c r="A224" s="4" t="s">
        <v>34</v>
      </c>
    </row>
    <row r="225">
      <c r="A225" s="4" t="s">
        <v>107</v>
      </c>
    </row>
    <row r="226">
      <c r="A226" s="4" t="s">
        <v>41</v>
      </c>
    </row>
    <row r="227">
      <c r="A227" s="4" t="s">
        <v>42</v>
      </c>
    </row>
    <row r="228">
      <c r="A228" s="4" t="s">
        <v>48</v>
      </c>
    </row>
    <row r="229">
      <c r="A229" s="4" t="s">
        <v>145</v>
      </c>
    </row>
    <row r="230">
      <c r="A230" s="4" t="s">
        <v>33</v>
      </c>
    </row>
    <row r="231">
      <c r="A231" s="4" t="s">
        <v>62</v>
      </c>
    </row>
    <row r="232">
      <c r="A232" s="4" t="s">
        <v>3679</v>
      </c>
    </row>
    <row r="233">
      <c r="A233" s="4" t="s">
        <v>50</v>
      </c>
    </row>
    <row r="234">
      <c r="A234" s="4" t="s">
        <v>40</v>
      </c>
    </row>
    <row r="235">
      <c r="A235" s="4" t="s">
        <v>129</v>
      </c>
    </row>
    <row r="236">
      <c r="A236" s="4" t="s">
        <v>500</v>
      </c>
    </row>
    <row r="237">
      <c r="A237" s="4" t="s">
        <v>1362</v>
      </c>
    </row>
    <row r="238">
      <c r="A238" s="4" t="s">
        <v>33</v>
      </c>
    </row>
    <row r="239">
      <c r="A239" s="4" t="s">
        <v>34</v>
      </c>
    </row>
    <row r="240">
      <c r="A240" s="4" t="s">
        <v>497</v>
      </c>
    </row>
    <row r="241">
      <c r="A241" s="4" t="s">
        <v>3689</v>
      </c>
    </row>
    <row r="242">
      <c r="A242" s="4" t="s">
        <v>559</v>
      </c>
    </row>
    <row r="243">
      <c r="A243" s="4" t="s">
        <v>33</v>
      </c>
    </row>
    <row r="244">
      <c r="A244" s="4" t="s">
        <v>34</v>
      </c>
    </row>
    <row r="245">
      <c r="A245" s="4" t="s">
        <v>497</v>
      </c>
    </row>
    <row r="246">
      <c r="A246" s="4" t="s">
        <v>119</v>
      </c>
    </row>
    <row r="247">
      <c r="A247" s="4" t="s">
        <v>500</v>
      </c>
    </row>
    <row r="248">
      <c r="A248" s="4" t="s">
        <v>35</v>
      </c>
    </row>
    <row r="249">
      <c r="A249" s="4" t="s">
        <v>40</v>
      </c>
    </row>
    <row r="250">
      <c r="A250" s="4" t="s">
        <v>1343</v>
      </c>
    </row>
    <row r="251">
      <c r="A251" s="4" t="s">
        <v>536</v>
      </c>
    </row>
    <row r="252">
      <c r="A252" s="4" t="s">
        <v>41</v>
      </c>
    </row>
    <row r="253">
      <c r="A253" s="4" t="s">
        <v>3690</v>
      </c>
    </row>
    <row r="254">
      <c r="A254" s="4" t="s">
        <v>116</v>
      </c>
    </row>
    <row r="255">
      <c r="A255" s="4" t="s">
        <v>3691</v>
      </c>
    </row>
    <row r="256">
      <c r="A256" s="4" t="s">
        <v>3692</v>
      </c>
    </row>
    <row r="257">
      <c r="A257" s="4" t="s">
        <v>3693</v>
      </c>
    </row>
    <row r="258">
      <c r="A258" s="4" t="s">
        <v>961</v>
      </c>
    </row>
    <row r="259">
      <c r="A259" s="4" t="s">
        <v>33</v>
      </c>
    </row>
    <row r="260">
      <c r="A260" s="4" t="s">
        <v>34</v>
      </c>
    </row>
    <row r="261">
      <c r="A261" s="4" t="s">
        <v>44</v>
      </c>
    </row>
    <row r="262">
      <c r="A262" s="4" t="s">
        <v>513</v>
      </c>
    </row>
    <row r="263">
      <c r="A263" s="4" t="s">
        <v>533</v>
      </c>
    </row>
    <row r="264">
      <c r="A264" s="4" t="s">
        <v>139</v>
      </c>
    </row>
    <row r="265">
      <c r="A265" s="4" t="s">
        <v>48</v>
      </c>
    </row>
    <row r="266">
      <c r="A266" s="4" t="s">
        <v>515</v>
      </c>
    </row>
    <row r="267">
      <c r="A267" s="4" t="s">
        <v>33</v>
      </c>
    </row>
    <row r="268">
      <c r="A268" s="4" t="s">
        <v>34</v>
      </c>
    </row>
    <row r="269">
      <c r="A269" s="4" t="s">
        <v>44</v>
      </c>
    </row>
    <row r="270">
      <c r="A270" s="4" t="s">
        <v>119</v>
      </c>
    </row>
    <row r="271">
      <c r="A271" s="4" t="s">
        <v>500</v>
      </c>
    </row>
    <row r="272">
      <c r="A272" s="4" t="s">
        <v>109</v>
      </c>
    </row>
    <row r="273">
      <c r="A273" s="4" t="s">
        <v>501</v>
      </c>
    </row>
    <row r="274">
      <c r="A274" s="4" t="s">
        <v>50</v>
      </c>
    </row>
    <row r="275">
      <c r="A275" s="4" t="s">
        <v>40</v>
      </c>
    </row>
    <row r="276">
      <c r="A276" s="4" t="s">
        <v>33</v>
      </c>
    </row>
    <row r="277">
      <c r="A277" s="4" t="s">
        <v>500</v>
      </c>
    </row>
    <row r="278">
      <c r="A278" s="4" t="s">
        <v>497</v>
      </c>
    </row>
    <row r="279">
      <c r="A279" s="4" t="s">
        <v>498</v>
      </c>
    </row>
    <row r="280">
      <c r="A280" s="4" t="s">
        <v>50</v>
      </c>
    </row>
    <row r="281">
      <c r="A281" s="4" t="s">
        <v>129</v>
      </c>
    </row>
    <row r="282">
      <c r="A282" s="4" t="s">
        <v>34</v>
      </c>
    </row>
    <row r="283">
      <c r="A283" s="4" t="s">
        <v>33</v>
      </c>
    </row>
    <row r="284">
      <c r="A284" s="4" t="s">
        <v>155</v>
      </c>
    </row>
    <row r="285">
      <c r="A285" s="4" t="s">
        <v>88</v>
      </c>
    </row>
    <row r="286">
      <c r="A286" s="4" t="s">
        <v>89</v>
      </c>
    </row>
    <row r="287">
      <c r="A287" s="4" t="s">
        <v>48</v>
      </c>
    </row>
    <row r="288">
      <c r="A288" s="4" t="s">
        <v>35</v>
      </c>
    </row>
    <row r="289">
      <c r="A289" s="4" t="s">
        <v>40</v>
      </c>
    </row>
    <row r="290">
      <c r="A290" s="4" t="s">
        <v>107</v>
      </c>
    </row>
    <row r="291">
      <c r="A291" s="4" t="s">
        <v>41</v>
      </c>
    </row>
    <row r="292">
      <c r="A292" s="4" t="s">
        <v>42</v>
      </c>
    </row>
    <row r="293">
      <c r="A293" s="4" t="s">
        <v>33</v>
      </c>
    </row>
    <row r="294">
      <c r="A294" s="4" t="s">
        <v>34</v>
      </c>
    </row>
    <row r="295">
      <c r="A295" s="4" t="s">
        <v>509</v>
      </c>
    </row>
    <row r="296">
      <c r="A296" s="4" t="s">
        <v>92</v>
      </c>
    </row>
    <row r="297">
      <c r="A297" s="4" t="s">
        <v>510</v>
      </c>
    </row>
    <row r="298">
      <c r="A298" s="4" t="s">
        <v>50</v>
      </c>
    </row>
    <row r="299">
      <c r="A299" s="4" t="s">
        <v>40</v>
      </c>
    </row>
    <row r="300">
      <c r="A300" s="4" t="s">
        <v>33</v>
      </c>
    </row>
    <row r="301">
      <c r="A301" s="4" t="s">
        <v>34</v>
      </c>
    </row>
    <row r="302">
      <c r="A302" s="4" t="s">
        <v>44</v>
      </c>
    </row>
    <row r="303">
      <c r="A303" s="4" t="s">
        <v>119</v>
      </c>
    </row>
    <row r="304">
      <c r="A304" s="4" t="s">
        <v>500</v>
      </c>
    </row>
    <row r="305">
      <c r="A305" s="4" t="s">
        <v>109</v>
      </c>
    </row>
    <row r="306">
      <c r="A306" s="4" t="s">
        <v>501</v>
      </c>
    </row>
    <row r="307">
      <c r="A307" s="4" t="s">
        <v>88</v>
      </c>
    </row>
    <row r="308">
      <c r="A308" s="4" t="s">
        <v>89</v>
      </c>
    </row>
    <row r="309">
      <c r="A309" s="4" t="s">
        <v>33</v>
      </c>
    </row>
    <row r="310">
      <c r="A310" s="4" t="s">
        <v>119</v>
      </c>
    </row>
    <row r="311">
      <c r="A311" s="4" t="s">
        <v>62</v>
      </c>
    </row>
    <row r="312">
      <c r="A312" s="4" t="s">
        <v>3003</v>
      </c>
    </row>
    <row r="313">
      <c r="A313" s="4" t="s">
        <v>35</v>
      </c>
    </row>
    <row r="314">
      <c r="A314" s="4" t="s">
        <v>107</v>
      </c>
    </row>
    <row r="315">
      <c r="A315" s="4" t="s">
        <v>41</v>
      </c>
    </row>
    <row r="316">
      <c r="A316" s="4" t="s">
        <v>42</v>
      </c>
    </row>
    <row r="317">
      <c r="A317" s="4" t="s">
        <v>48</v>
      </c>
    </row>
    <row r="318">
      <c r="A318" s="4" t="s">
        <v>547</v>
      </c>
    </row>
    <row r="319">
      <c r="A319" s="4" t="s">
        <v>115</v>
      </c>
    </row>
    <row r="320">
      <c r="A320" s="4" t="s">
        <v>3268</v>
      </c>
    </row>
    <row r="321">
      <c r="A321" s="4" t="s">
        <v>33</v>
      </c>
    </row>
    <row r="322">
      <c r="A322" s="4" t="s">
        <v>34</v>
      </c>
    </row>
    <row r="323">
      <c r="A323" s="4" t="s">
        <v>44</v>
      </c>
    </row>
    <row r="324">
      <c r="A324" s="4" t="s">
        <v>513</v>
      </c>
    </row>
    <row r="325">
      <c r="A325" s="4" t="s">
        <v>533</v>
      </c>
    </row>
    <row r="326">
      <c r="A326" s="4" t="s">
        <v>116</v>
      </c>
    </row>
    <row r="327">
      <c r="A327" s="4" t="s">
        <v>1354</v>
      </c>
    </row>
    <row r="328">
      <c r="A328" s="4" t="s">
        <v>139</v>
      </c>
    </row>
    <row r="329">
      <c r="A329" s="4" t="s">
        <v>48</v>
      </c>
    </row>
    <row r="330">
      <c r="A330" s="4" t="s">
        <v>500</v>
      </c>
    </row>
    <row r="331">
      <c r="A331" s="4" t="s">
        <v>1218</v>
      </c>
    </row>
    <row r="332">
      <c r="A332" s="4" t="s">
        <v>33</v>
      </c>
    </row>
    <row r="333">
      <c r="A333" s="4" t="s">
        <v>500</v>
      </c>
    </row>
    <row r="334">
      <c r="A334" s="4" t="s">
        <v>36</v>
      </c>
    </row>
    <row r="335">
      <c r="A335" s="4" t="s">
        <v>3694</v>
      </c>
    </row>
    <row r="336">
      <c r="A336" s="4" t="s">
        <v>88</v>
      </c>
    </row>
    <row r="337">
      <c r="A337" s="4" t="s">
        <v>75</v>
      </c>
    </row>
    <row r="338">
      <c r="A338" s="4" t="s">
        <v>33</v>
      </c>
    </row>
    <row r="339">
      <c r="A339" s="4" t="s">
        <v>34</v>
      </c>
    </row>
    <row r="340">
      <c r="A340" s="4" t="s">
        <v>44</v>
      </c>
    </row>
    <row r="341">
      <c r="A341" s="4" t="s">
        <v>513</v>
      </c>
    </row>
    <row r="342">
      <c r="A342" s="4" t="s">
        <v>533</v>
      </c>
    </row>
    <row r="343">
      <c r="A343" s="4" t="s">
        <v>518</v>
      </c>
    </row>
    <row r="344">
      <c r="A344" s="4" t="s">
        <v>105</v>
      </c>
    </row>
    <row r="345">
      <c r="A345" s="4" t="s">
        <v>924</v>
      </c>
    </row>
    <row r="346">
      <c r="A346" s="4" t="s">
        <v>48</v>
      </c>
    </row>
    <row r="347">
      <c r="A347" s="4" t="s">
        <v>526</v>
      </c>
    </row>
    <row r="348">
      <c r="A348" s="4" t="s">
        <v>33</v>
      </c>
    </row>
    <row r="349">
      <c r="A349" s="4" t="s">
        <v>500</v>
      </c>
    </row>
    <row r="350">
      <c r="A350" s="4" t="s">
        <v>44</v>
      </c>
    </row>
    <row r="351">
      <c r="A351" s="4" t="s">
        <v>518</v>
      </c>
    </row>
    <row r="352">
      <c r="A352" s="4" t="s">
        <v>34</v>
      </c>
    </row>
    <row r="353">
      <c r="A353" s="4" t="s">
        <v>519</v>
      </c>
    </row>
    <row r="354">
      <c r="A354" s="4" t="s">
        <v>520</v>
      </c>
    </row>
    <row r="355">
      <c r="A355" s="4" t="s">
        <v>549</v>
      </c>
    </row>
    <row r="356">
      <c r="A356" s="4" t="s">
        <v>3258</v>
      </c>
    </row>
    <row r="357">
      <c r="A357" s="4" t="s">
        <v>119</v>
      </c>
    </row>
    <row r="358">
      <c r="A358" s="4" t="s">
        <v>62</v>
      </c>
    </row>
    <row r="359">
      <c r="A359" s="4" t="s">
        <v>506</v>
      </c>
    </row>
    <row r="360">
      <c r="A360" s="4" t="s">
        <v>33</v>
      </c>
    </row>
    <row r="361">
      <c r="A361" s="4" t="s">
        <v>34</v>
      </c>
    </row>
    <row r="362">
      <c r="A362" s="4" t="s">
        <v>90</v>
      </c>
    </row>
    <row r="363">
      <c r="A363" s="4" t="s">
        <v>44</v>
      </c>
    </row>
    <row r="364">
      <c r="A364" s="4" t="s">
        <v>513</v>
      </c>
    </row>
    <row r="365">
      <c r="A365" s="4" t="s">
        <v>543</v>
      </c>
    </row>
    <row r="366">
      <c r="A366" s="4" t="s">
        <v>41</v>
      </c>
    </row>
    <row r="367">
      <c r="A367" s="4" t="s">
        <v>518</v>
      </c>
    </row>
    <row r="368">
      <c r="A368" s="4" t="s">
        <v>939</v>
      </c>
    </row>
    <row r="369">
      <c r="A369" s="4" t="s">
        <v>544</v>
      </c>
    </row>
    <row r="370">
      <c r="A370" s="4" t="s">
        <v>33</v>
      </c>
    </row>
    <row r="371">
      <c r="A371" s="4" t="s">
        <v>34</v>
      </c>
    </row>
    <row r="372">
      <c r="A372" s="4" t="s">
        <v>107</v>
      </c>
    </row>
    <row r="373">
      <c r="A373" s="4" t="s">
        <v>41</v>
      </c>
    </row>
    <row r="374">
      <c r="A374" s="4" t="s">
        <v>42</v>
      </c>
    </row>
    <row r="375">
      <c r="A375" s="4" t="s">
        <v>48</v>
      </c>
    </row>
    <row r="376">
      <c r="A376" s="4" t="s">
        <v>101</v>
      </c>
    </row>
    <row r="377">
      <c r="A377" s="4" t="s">
        <v>39</v>
      </c>
    </row>
    <row r="378">
      <c r="A378" s="4" t="s">
        <v>40</v>
      </c>
    </row>
    <row r="379">
      <c r="A379" s="4" t="s">
        <v>129</v>
      </c>
    </row>
    <row r="380">
      <c r="A380" s="4" t="s">
        <v>120</v>
      </c>
    </row>
    <row r="381">
      <c r="A381" s="4" t="s">
        <v>33</v>
      </c>
    </row>
    <row r="382">
      <c r="A382" s="4" t="s">
        <v>34</v>
      </c>
    </row>
    <row r="383">
      <c r="A383" s="4" t="s">
        <v>88</v>
      </c>
    </row>
    <row r="384">
      <c r="A384" s="4" t="s">
        <v>75</v>
      </c>
    </row>
    <row r="385">
      <c r="A385" s="4" t="s">
        <v>48</v>
      </c>
    </row>
    <row r="386">
      <c r="A386" s="4" t="s">
        <v>35</v>
      </c>
    </row>
    <row r="387">
      <c r="A387" s="4" t="s">
        <v>107</v>
      </c>
    </row>
    <row r="388">
      <c r="A388" s="4" t="s">
        <v>41</v>
      </c>
    </row>
    <row r="389">
      <c r="A389" s="4" t="s">
        <v>42</v>
      </c>
    </row>
    <row r="390">
      <c r="A390" s="4" t="s">
        <v>90</v>
      </c>
    </row>
    <row r="391">
      <c r="A391" s="4" t="s">
        <v>44</v>
      </c>
    </row>
    <row r="392">
      <c r="A392" s="4" t="s">
        <v>522</v>
      </c>
    </row>
    <row r="393">
      <c r="A393" s="4" t="s">
        <v>548</v>
      </c>
    </row>
    <row r="394">
      <c r="A394" s="4" t="s">
        <v>33</v>
      </c>
    </row>
    <row r="395">
      <c r="A395" s="4" t="s">
        <v>34</v>
      </c>
    </row>
    <row r="396">
      <c r="A396" s="4" t="s">
        <v>509</v>
      </c>
    </row>
    <row r="397">
      <c r="A397" s="4" t="s">
        <v>92</v>
      </c>
    </row>
    <row r="398">
      <c r="A398" s="4" t="s">
        <v>510</v>
      </c>
    </row>
    <row r="399">
      <c r="A399" s="4" t="s">
        <v>33</v>
      </c>
    </row>
    <row r="400">
      <c r="A400" s="4" t="s">
        <v>34</v>
      </c>
    </row>
    <row r="401">
      <c r="A401" s="4" t="s">
        <v>44</v>
      </c>
    </row>
    <row r="402">
      <c r="A402" s="4" t="s">
        <v>513</v>
      </c>
    </row>
    <row r="403">
      <c r="A403" s="4" t="s">
        <v>543</v>
      </c>
    </row>
    <row r="404">
      <c r="A404" s="4" t="s">
        <v>41</v>
      </c>
    </row>
    <row r="405">
      <c r="A405" s="4" t="s">
        <v>116</v>
      </c>
    </row>
    <row r="406">
      <c r="A406" s="4" t="s">
        <v>155</v>
      </c>
    </row>
    <row r="407">
      <c r="A407" s="4" t="s">
        <v>544</v>
      </c>
    </row>
    <row r="408">
      <c r="A408" s="4" t="s">
        <v>88</v>
      </c>
    </row>
    <row r="409">
      <c r="A409" s="4" t="s">
        <v>89</v>
      </c>
    </row>
    <row r="410">
      <c r="A410" s="4" t="s">
        <v>33</v>
      </c>
    </row>
    <row r="411">
      <c r="A411" s="4" t="s">
        <v>34</v>
      </c>
    </row>
    <row r="412">
      <c r="A412" s="4" t="s">
        <v>90</v>
      </c>
    </row>
    <row r="413">
      <c r="A413" s="4" t="s">
        <v>40</v>
      </c>
    </row>
    <row r="414">
      <c r="A414" s="4" t="s">
        <v>33</v>
      </c>
    </row>
    <row r="415">
      <c r="A415" s="4" t="s">
        <v>34</v>
      </c>
    </row>
    <row r="416">
      <c r="A416" s="4" t="s">
        <v>497</v>
      </c>
    </row>
    <row r="417">
      <c r="A417" s="4" t="s">
        <v>35</v>
      </c>
    </row>
    <row r="418">
      <c r="A418" s="4" t="s">
        <v>40</v>
      </c>
    </row>
    <row r="419">
      <c r="A419" s="4" t="s">
        <v>552</v>
      </c>
    </row>
    <row r="420">
      <c r="A420" s="4" t="s">
        <v>33</v>
      </c>
    </row>
    <row r="421">
      <c r="A421" s="4" t="s">
        <v>560</v>
      </c>
    </row>
    <row r="422">
      <c r="A422" s="4" t="s">
        <v>50</v>
      </c>
    </row>
    <row r="423">
      <c r="A423" s="4" t="s">
        <v>40</v>
      </c>
    </row>
    <row r="424">
      <c r="A424" s="4" t="s">
        <v>129</v>
      </c>
    </row>
    <row r="425">
      <c r="A425" s="4" t="s">
        <v>500</v>
      </c>
    </row>
    <row r="426">
      <c r="A426" s="4" t="s">
        <v>48</v>
      </c>
    </row>
    <row r="427">
      <c r="A427" s="4" t="s">
        <v>558</v>
      </c>
    </row>
    <row r="428">
      <c r="A428" s="4" t="s">
        <v>559</v>
      </c>
    </row>
    <row r="429">
      <c r="A429" s="4" t="s">
        <v>33</v>
      </c>
    </row>
    <row r="430">
      <c r="A430" s="4" t="s">
        <v>34</v>
      </c>
    </row>
    <row r="431">
      <c r="A431" s="4" t="s">
        <v>90</v>
      </c>
    </row>
    <row r="432">
      <c r="A432" s="4" t="s">
        <v>92</v>
      </c>
    </row>
    <row r="433">
      <c r="A433" s="4" t="s">
        <v>522</v>
      </c>
    </row>
    <row r="434">
      <c r="A434" s="4" t="s">
        <v>94</v>
      </c>
    </row>
    <row r="435">
      <c r="A435" s="4" t="s">
        <v>3254</v>
      </c>
    </row>
    <row r="436">
      <c r="A436" s="4" t="s">
        <v>33</v>
      </c>
    </row>
    <row r="437">
      <c r="A437" s="4" t="s">
        <v>34</v>
      </c>
    </row>
    <row r="438">
      <c r="A438" s="4" t="s">
        <v>509</v>
      </c>
    </row>
    <row r="439">
      <c r="A439" s="4" t="s">
        <v>92</v>
      </c>
    </row>
    <row r="440">
      <c r="A440" s="4" t="s">
        <v>510</v>
      </c>
    </row>
    <row r="441">
      <c r="A441" s="4" t="s">
        <v>48</v>
      </c>
    </row>
    <row r="442">
      <c r="A442" s="4" t="s">
        <v>119</v>
      </c>
    </row>
    <row r="443">
      <c r="A443" s="4" t="s">
        <v>500</v>
      </c>
    </row>
    <row r="444">
      <c r="A444" s="4" t="s">
        <v>109</v>
      </c>
    </row>
    <row r="445">
      <c r="A445" s="4" t="s">
        <v>501</v>
      </c>
    </row>
    <row r="446">
      <c r="A446" s="4" t="s">
        <v>3695</v>
      </c>
    </row>
    <row r="447">
      <c r="A447" s="4" t="s">
        <v>2996</v>
      </c>
    </row>
    <row r="448">
      <c r="A448" s="4" t="s">
        <v>92</v>
      </c>
    </row>
    <row r="449">
      <c r="A449" s="4" t="s">
        <v>3696</v>
      </c>
    </row>
    <row r="450">
      <c r="A450" s="4" t="s">
        <v>553</v>
      </c>
    </row>
    <row r="451">
      <c r="A451" s="4" t="s">
        <v>139</v>
      </c>
    </row>
    <row r="452">
      <c r="A452" s="4" t="s">
        <v>44</v>
      </c>
    </row>
    <row r="453">
      <c r="A453" s="4" t="s">
        <v>119</v>
      </c>
    </row>
    <row r="454">
      <c r="A454" s="4" t="s">
        <v>500</v>
      </c>
    </row>
    <row r="455">
      <c r="A455" s="4" t="s">
        <v>109</v>
      </c>
    </row>
    <row r="456">
      <c r="A456" s="4" t="s">
        <v>501</v>
      </c>
    </row>
    <row r="457">
      <c r="A457" s="4" t="s">
        <v>90</v>
      </c>
    </row>
    <row r="458">
      <c r="A458" s="4" t="s">
        <v>33</v>
      </c>
    </row>
    <row r="459">
      <c r="A459" s="4" t="s">
        <v>500</v>
      </c>
    </row>
    <row r="460">
      <c r="A460" s="4" t="s">
        <v>44</v>
      </c>
    </row>
    <row r="461">
      <c r="A461" s="4" t="s">
        <v>36</v>
      </c>
    </row>
    <row r="462">
      <c r="A462" s="4" t="s">
        <v>540</v>
      </c>
    </row>
    <row r="463">
      <c r="A463" s="4" t="s">
        <v>41</v>
      </c>
    </row>
    <row r="464">
      <c r="A464" s="4" t="s">
        <v>939</v>
      </c>
    </row>
    <row r="465">
      <c r="A465" s="4" t="s">
        <v>88</v>
      </c>
    </row>
    <row r="466">
      <c r="A466" s="4" t="s">
        <v>75</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2639</v>
      </c>
      <c r="D2" s="4" t="str">
        <f t="shared" ref="D2:D466" si="1">C2</f>
        <v>{"valorA":"ótimo","valorB":1}</v>
      </c>
      <c r="E2" s="8" t="str">
        <f t="shared" ref="E2:E466" si="2">SUBSTITUTE(MID(C2,FIND(":",C2)+1,FIND(",",C2)-FIND(":",C2)-1),"""","")</f>
        <v>ótimo</v>
      </c>
      <c r="F2" s="8" t="str">
        <f>IFERROR(__xludf.DUMMYFUNCTION("UNIQUE(E2:E466)"),"ótimo")</f>
        <v>ótimo</v>
      </c>
      <c r="G2" s="8" t="str">
        <f t="shared" ref="G2:G466" si="3">MID(C2,FIND("valorB",C2)+8,FIND("}",C2)-FIND("valorB",C2)-8)</f>
        <v>1</v>
      </c>
      <c r="H2" s="9">
        <f t="shared" ref="H2:H466" si="4">VALUE(SUBSTITUTE(G2,".",","))</f>
        <v>1</v>
      </c>
      <c r="I2" s="10">
        <f>IFERROR(__xludf.DUMMYFUNCTION("MAX(FILTER($H$2:$H466,$E$2:$E466=F2))"),49.0)</f>
        <v>49</v>
      </c>
    </row>
    <row r="3">
      <c r="A3" s="4"/>
      <c r="C3" s="4" t="s">
        <v>2666</v>
      </c>
      <c r="D3" s="4" t="str">
        <f t="shared" si="1"/>
        <v>{"valorA":"com","valorB":1}</v>
      </c>
      <c r="E3" s="8" t="str">
        <f t="shared" si="2"/>
        <v>com</v>
      </c>
      <c r="F3" s="8" t="str">
        <f>IFERROR(__xludf.DUMMYFUNCTION("""COMPUTED_VALUE"""),"com")</f>
        <v>com</v>
      </c>
      <c r="G3" s="8" t="str">
        <f t="shared" si="3"/>
        <v>1</v>
      </c>
      <c r="H3" s="9">
        <f t="shared" si="4"/>
        <v>1</v>
      </c>
      <c r="I3" s="10">
        <f>IFERROR(__xludf.DUMMYFUNCTION("MAX(FILTER($H$2:$H466,$E$2:$E466=F3))"),6.0)</f>
        <v>6</v>
      </c>
    </row>
    <row r="4">
      <c r="A4" s="4"/>
      <c r="C4" s="4" t="s">
        <v>2672</v>
      </c>
      <c r="D4" s="4" t="str">
        <f t="shared" si="1"/>
        <v>{"valorA":"ele","valorB":1}</v>
      </c>
      <c r="E4" s="8" t="str">
        <f t="shared" si="2"/>
        <v>ele</v>
      </c>
      <c r="F4" s="8" t="str">
        <f>IFERROR(__xludf.DUMMYFUNCTION("""COMPUTED_VALUE"""),"ele")</f>
        <v>ele</v>
      </c>
      <c r="G4" s="8" t="str">
        <f t="shared" si="3"/>
        <v>1</v>
      </c>
      <c r="H4" s="9">
        <f t="shared" si="4"/>
        <v>1</v>
      </c>
      <c r="I4" s="10">
        <f>IFERROR(__xludf.DUMMYFUNCTION("MAX(FILTER($H$2:$H466,$E$2:$E466=F4))"),4.0)</f>
        <v>4</v>
      </c>
    </row>
    <row r="5">
      <c r="A5" s="4"/>
      <c r="C5" s="4" t="s">
        <v>2652</v>
      </c>
      <c r="D5" s="4" t="str">
        <f t="shared" si="1"/>
        <v>{"valorA":"ótimo","valorB":2}</v>
      </c>
      <c r="E5" s="8" t="str">
        <f t="shared" si="2"/>
        <v>ótimo</v>
      </c>
      <c r="F5" s="8" t="str">
        <f>IFERROR(__xludf.DUMMYFUNCTION("""COMPUTED_VALUE"""),"bem")</f>
        <v>bem</v>
      </c>
      <c r="G5" s="8" t="str">
        <f t="shared" si="3"/>
        <v>2</v>
      </c>
      <c r="H5" s="9">
        <f t="shared" si="4"/>
        <v>2</v>
      </c>
      <c r="I5" s="10">
        <f>IFERROR(__xludf.DUMMYFUNCTION("MAX(FILTER($H$2:$H466,$E$2:$E466=F5))"),8.0)</f>
        <v>8</v>
      </c>
    </row>
    <row r="6">
      <c r="A6" s="4"/>
      <c r="C6" s="4" t="s">
        <v>2675</v>
      </c>
      <c r="D6" s="4" t="str">
        <f t="shared" si="1"/>
        <v>{"valorA":"bem","valorB":1}</v>
      </c>
      <c r="E6" s="8" t="str">
        <f t="shared" si="2"/>
        <v>bem</v>
      </c>
      <c r="F6" s="8" t="str">
        <f>IFERROR(__xludf.DUMMYFUNCTION("""COMPUTED_VALUE"""),"e")</f>
        <v>e</v>
      </c>
      <c r="G6" s="8" t="str">
        <f t="shared" si="3"/>
        <v>1</v>
      </c>
      <c r="H6" s="9">
        <f t="shared" si="4"/>
        <v>1</v>
      </c>
      <c r="I6" s="10">
        <f>IFERROR(__xludf.DUMMYFUNCTION("MAX(FILTER($H$2:$H466,$E$2:$E466=F6))"),14.0)</f>
        <v>14</v>
      </c>
    </row>
    <row r="7">
      <c r="A7" s="4"/>
      <c r="C7" s="4" t="s">
        <v>2658</v>
      </c>
      <c r="D7" s="4" t="str">
        <f t="shared" si="1"/>
        <v>{"valorA":"e","valorB":1}</v>
      </c>
      <c r="E7" s="8" t="str">
        <f t="shared" si="2"/>
        <v>e</v>
      </c>
      <c r="F7" s="8" t="str">
        <f>IFERROR(__xludf.DUMMYFUNCTION("""COMPUTED_VALUE"""),"fácil")</f>
        <v>fácil</v>
      </c>
      <c r="G7" s="8" t="str">
        <f t="shared" si="3"/>
        <v>1</v>
      </c>
      <c r="H7" s="9">
        <f t="shared" si="4"/>
        <v>1</v>
      </c>
      <c r="I7" s="10">
        <f>IFERROR(__xludf.DUMMYFUNCTION("MAX(FILTER($H$2:$H466,$E$2:$E466=F7))"),6.0)</f>
        <v>6</v>
      </c>
    </row>
    <row r="8">
      <c r="A8" s="4"/>
      <c r="C8" s="4" t="s">
        <v>2677</v>
      </c>
      <c r="D8" s="4" t="str">
        <f t="shared" si="1"/>
        <v>{"valorA":"fácil","valorB":1}</v>
      </c>
      <c r="E8" s="8" t="str">
        <f t="shared" si="2"/>
        <v>fácil</v>
      </c>
      <c r="F8" s="8" t="str">
        <f>IFERROR(__xludf.DUMMYFUNCTION("""COMPUTED_VALUE"""),"produto")</f>
        <v>produto</v>
      </c>
      <c r="G8" s="8" t="str">
        <f t="shared" si="3"/>
        <v>1</v>
      </c>
      <c r="H8" s="9">
        <f t="shared" si="4"/>
        <v>1</v>
      </c>
      <c r="I8" s="10">
        <f>IFERROR(__xludf.DUMMYFUNCTION("MAX(FILTER($H$2:$H466,$E$2:$E466=F8))"),34.0)</f>
        <v>34</v>
      </c>
    </row>
    <row r="9">
      <c r="A9" s="4"/>
      <c r="C9" s="4" t="s">
        <v>2634</v>
      </c>
      <c r="D9" s="4" t="str">
        <f t="shared" si="1"/>
        <v>{"valorA":"produto","valorB":1}</v>
      </c>
      <c r="E9" s="8" t="str">
        <f t="shared" si="2"/>
        <v>produto</v>
      </c>
      <c r="F9" s="8" t="str">
        <f>IFERROR(__xludf.DUMMYFUNCTION("""COMPUTED_VALUE"""),"meu")</f>
        <v>meu</v>
      </c>
      <c r="G9" s="8" t="str">
        <f t="shared" si="3"/>
        <v>1</v>
      </c>
      <c r="H9" s="9">
        <f t="shared" si="4"/>
        <v>1</v>
      </c>
      <c r="I9" s="10">
        <f>IFERROR(__xludf.DUMMYFUNCTION("MAX(FILTER($H$2:$H466,$E$2:$E466=F9))"),10.0)</f>
        <v>10</v>
      </c>
    </row>
    <row r="10">
      <c r="A10" s="4"/>
      <c r="C10" s="4" t="s">
        <v>2650</v>
      </c>
      <c r="D10" s="4" t="str">
        <f t="shared" si="1"/>
        <v>{"valorA":"produto","valorB":2}</v>
      </c>
      <c r="E10" s="8" t="str">
        <f t="shared" si="2"/>
        <v>produto</v>
      </c>
      <c r="F10" s="8" t="str">
        <f>IFERROR(__xludf.DUMMYFUNCTION("""COMPUTED_VALUE"""),"brincar")</f>
        <v>brincar</v>
      </c>
      <c r="G10" s="8" t="str">
        <f t="shared" si="3"/>
        <v>2</v>
      </c>
      <c r="H10" s="9">
        <f t="shared" si="4"/>
        <v>2</v>
      </c>
      <c r="I10" s="10">
        <f>IFERROR(__xludf.DUMMYFUNCTION("MAX(FILTER($H$2:$H466,$E$2:$E466=F10))"),1.0)</f>
        <v>1</v>
      </c>
    </row>
    <row r="11">
      <c r="A11" s="4"/>
      <c r="C11" s="4" t="s">
        <v>2670</v>
      </c>
      <c r="D11" s="4" t="str">
        <f t="shared" si="1"/>
        <v>{"valorA":"meu","valorB":1}</v>
      </c>
      <c r="E11" s="8" t="str">
        <f t="shared" si="2"/>
        <v>meu</v>
      </c>
      <c r="F11" s="8" t="str">
        <f>IFERROR(__xludf.DUMMYFUNCTION("""COMPUTED_VALUE"""),"adora")</f>
        <v>adora</v>
      </c>
      <c r="G11" s="8" t="str">
        <f t="shared" si="3"/>
        <v>1</v>
      </c>
      <c r="H11" s="9">
        <f t="shared" si="4"/>
        <v>1</v>
      </c>
      <c r="I11" s="10">
        <f>IFERROR(__xludf.DUMMYFUNCTION("MAX(FILTER($H$2:$H466,$E$2:$E466=F11))"),1.0)</f>
        <v>1</v>
      </c>
    </row>
    <row r="12">
      <c r="A12" s="4"/>
      <c r="C12" s="4" t="s">
        <v>3029</v>
      </c>
      <c r="D12" s="4" t="str">
        <f t="shared" si="1"/>
        <v>{"valorA":"brincar","valorB":1}</v>
      </c>
      <c r="E12" s="8" t="str">
        <f t="shared" si="2"/>
        <v>brincar</v>
      </c>
      <c r="F12" s="8" t="str">
        <f>IFERROR(__xludf.DUMMYFUNCTION("""COMPUTED_VALUE"""),"filho")</f>
        <v>filho</v>
      </c>
      <c r="G12" s="8" t="str">
        <f t="shared" si="3"/>
        <v>1</v>
      </c>
      <c r="H12" s="9">
        <f t="shared" si="4"/>
        <v>1</v>
      </c>
      <c r="I12" s="10">
        <f>IFERROR(__xludf.DUMMYFUNCTION("MAX(FILTER($H$2:$H466,$E$2:$E466=F12))"),1.0)</f>
        <v>1</v>
      </c>
    </row>
    <row r="13">
      <c r="A13" s="4"/>
      <c r="C13" s="4" t="s">
        <v>2669</v>
      </c>
      <c r="D13" s="4" t="str">
        <f t="shared" si="1"/>
        <v>{"valorA":"adora","valorB":1}</v>
      </c>
      <c r="E13" s="8" t="str">
        <f t="shared" si="2"/>
        <v>adora</v>
      </c>
      <c r="F13" s="8" t="str">
        <f>IFERROR(__xludf.DUMMYFUNCTION("""COMPUTED_VALUE"""),"funciona")</f>
        <v>funciona</v>
      </c>
      <c r="G13" s="8" t="str">
        <f t="shared" si="3"/>
        <v>1</v>
      </c>
      <c r="H13" s="9">
        <f t="shared" si="4"/>
        <v>1</v>
      </c>
      <c r="I13" s="10">
        <f>IFERROR(__xludf.DUMMYFUNCTION("MAX(FILTER($H$2:$H466,$E$2:$E466=F13))"),12.0)</f>
        <v>12</v>
      </c>
    </row>
    <row r="14">
      <c r="A14" s="4"/>
      <c r="C14" s="4" t="s">
        <v>2668</v>
      </c>
      <c r="D14" s="4" t="str">
        <f t="shared" si="1"/>
        <v>{"valorA":"filho","valorB":1}</v>
      </c>
      <c r="E14" s="8" t="str">
        <f t="shared" si="2"/>
        <v>filho</v>
      </c>
      <c r="F14" s="8" t="str">
        <f>IFERROR(__xludf.DUMMYFUNCTION("""COMPUTED_VALUE"""),"é")</f>
        <v>é</v>
      </c>
      <c r="G14" s="8" t="str">
        <f t="shared" si="3"/>
        <v>1</v>
      </c>
      <c r="H14" s="9">
        <f t="shared" si="4"/>
        <v>1</v>
      </c>
      <c r="I14" s="10">
        <f>IFERROR(__xludf.DUMMYFUNCTION("MAX(FILTER($H$2:$H466,$E$2:$E466=F14))"),9.0)</f>
        <v>9</v>
      </c>
    </row>
    <row r="15">
      <c r="A15" s="4"/>
      <c r="C15" s="4" t="s">
        <v>2624</v>
      </c>
      <c r="D15" s="4" t="str">
        <f t="shared" si="1"/>
        <v>{"valorA":"funciona","valorB":1}</v>
      </c>
      <c r="E15" s="8" t="str">
        <f t="shared" si="2"/>
        <v>funciona</v>
      </c>
      <c r="F15" s="8" t="str">
        <f>IFERROR(__xludf.DUMMYFUNCTION("""COMPUTED_VALUE"""),"de")</f>
        <v>de</v>
      </c>
      <c r="G15" s="8" t="str">
        <f t="shared" si="3"/>
        <v>1</v>
      </c>
      <c r="H15" s="9">
        <f t="shared" si="4"/>
        <v>1</v>
      </c>
      <c r="I15" s="10">
        <f>IFERROR(__xludf.DUMMYFUNCTION("MAX(FILTER($H$2:$H466,$E$2:$E466=F15))"),13.0)</f>
        <v>13</v>
      </c>
    </row>
    <row r="16">
      <c r="A16" s="4"/>
      <c r="C16" s="4" t="s">
        <v>2679</v>
      </c>
      <c r="D16" s="4" t="str">
        <f t="shared" si="1"/>
        <v>{"valorA":"é","valorB":1}</v>
      </c>
      <c r="E16" s="8" t="str">
        <f t="shared" si="2"/>
        <v>é</v>
      </c>
      <c r="F16" s="8" t="str">
        <f>IFERROR(__xludf.DUMMYFUNCTION("""COMPUTED_VALUE"""),"usar")</f>
        <v>usar</v>
      </c>
      <c r="G16" s="8" t="str">
        <f t="shared" si="3"/>
        <v>1</v>
      </c>
      <c r="H16" s="9">
        <f t="shared" si="4"/>
        <v>1</v>
      </c>
      <c r="I16" s="10">
        <f>IFERROR(__xludf.DUMMYFUNCTION("MAX(FILTER($H$2:$H466,$E$2:$E466=F16))"),6.0)</f>
        <v>6</v>
      </c>
    </row>
    <row r="17">
      <c r="A17" s="4"/>
      <c r="C17" s="4" t="s">
        <v>2680</v>
      </c>
      <c r="D17" s="4" t="str">
        <f t="shared" si="1"/>
        <v>{"valorA":"de","valorB":1}</v>
      </c>
      <c r="E17" s="8" t="str">
        <f t="shared" si="2"/>
        <v>de</v>
      </c>
      <c r="F17" s="8" t="str">
        <f>IFERROR(__xludf.DUMMYFUNCTION("""COMPUTED_VALUE"""),"que")</f>
        <v>que</v>
      </c>
      <c r="G17" s="8" t="str">
        <f t="shared" si="3"/>
        <v>1</v>
      </c>
      <c r="H17" s="9">
        <f t="shared" si="4"/>
        <v>1</v>
      </c>
      <c r="I17" s="10">
        <f>IFERROR(__xludf.DUMMYFUNCTION("MAX(FILTER($H$2:$H466,$E$2:$E466=F17))"),10.0)</f>
        <v>10</v>
      </c>
    </row>
    <row r="18">
      <c r="A18" s="4"/>
      <c r="C18" s="4" t="s">
        <v>2681</v>
      </c>
      <c r="D18" s="4" t="str">
        <f t="shared" si="1"/>
        <v>{"valorA":"usar","valorB":1}</v>
      </c>
      <c r="E18" s="8" t="str">
        <f t="shared" si="2"/>
        <v>usar</v>
      </c>
      <c r="F18" s="8" t="str">
        <f>IFERROR(__xludf.DUMMYFUNCTION("""COMPUTED_VALUE"""),"me")</f>
        <v>me</v>
      </c>
      <c r="G18" s="8" t="str">
        <f t="shared" si="3"/>
        <v>1</v>
      </c>
      <c r="H18" s="9">
        <f t="shared" si="4"/>
        <v>1</v>
      </c>
      <c r="I18" s="10">
        <f>IFERROR(__xludf.DUMMYFUNCTION("MAX(FILTER($H$2:$H466,$E$2:$E466=F18))"),1.0)</f>
        <v>1</v>
      </c>
    </row>
    <row r="19">
      <c r="A19" s="4"/>
      <c r="C19" s="4" t="s">
        <v>2653</v>
      </c>
      <c r="D19" s="4" t="str">
        <f t="shared" si="1"/>
        <v>{"valorA":"ótimo","valorB":3}</v>
      </c>
      <c r="E19" s="8" t="str">
        <f t="shared" si="2"/>
        <v>ótimo</v>
      </c>
      <c r="F19" s="8" t="str">
        <f>IFERROR(__xludf.DUMMYFUNCTION("""COMPUTED_VALUE"""),"para")</f>
        <v>para</v>
      </c>
      <c r="G19" s="8" t="str">
        <f t="shared" si="3"/>
        <v>3</v>
      </c>
      <c r="H19" s="9">
        <f t="shared" si="4"/>
        <v>3</v>
      </c>
      <c r="I19" s="10">
        <f>IFERROR(__xludf.DUMMYFUNCTION("MAX(FILTER($H$2:$H466,$E$2:$E466=F19))"),19.0)</f>
        <v>19</v>
      </c>
    </row>
    <row r="20">
      <c r="A20" s="4"/>
      <c r="C20" s="4" t="s">
        <v>2661</v>
      </c>
      <c r="D20" s="4" t="str">
        <f t="shared" si="1"/>
        <v>{"valorA":"produto","valorB":3}</v>
      </c>
      <c r="E20" s="8" t="str">
        <f t="shared" si="2"/>
        <v>produto</v>
      </c>
      <c r="F20" s="8" t="str">
        <f>IFERROR(__xludf.DUMMYFUNCTION("""COMPUTED_VALUE"""),"o")</f>
        <v>o</v>
      </c>
      <c r="G20" s="8" t="str">
        <f t="shared" si="3"/>
        <v>3</v>
      </c>
      <c r="H20" s="9">
        <f t="shared" si="4"/>
        <v>3</v>
      </c>
      <c r="I20" s="10">
        <f>IFERROR(__xludf.DUMMYFUNCTION("MAX(FILTER($H$2:$H466,$E$2:$E466=F20))"),13.0)</f>
        <v>13</v>
      </c>
    </row>
    <row r="21">
      <c r="A21" s="4"/>
      <c r="C21" s="4" t="s">
        <v>2642</v>
      </c>
      <c r="D21" s="4" t="str">
        <f t="shared" si="1"/>
        <v>{"valorA":"que","valorB":1}</v>
      </c>
      <c r="E21" s="8" t="str">
        <f t="shared" si="2"/>
        <v>que</v>
      </c>
      <c r="F21" s="8" t="str">
        <f>IFERROR(__xludf.DUMMYFUNCTION("""COMPUTED_VALUE"""),"preço")</f>
        <v>preço</v>
      </c>
      <c r="G21" s="8" t="str">
        <f t="shared" si="3"/>
        <v>1</v>
      </c>
      <c r="H21" s="9">
        <f t="shared" si="4"/>
        <v>1</v>
      </c>
      <c r="I21" s="10">
        <f>IFERROR(__xludf.DUMMYFUNCTION("MAX(FILTER($H$2:$H466,$E$2:$E466=F21))"),20.0)</f>
        <v>20</v>
      </c>
    </row>
    <row r="22">
      <c r="A22" s="4"/>
      <c r="C22" s="4" t="s">
        <v>2848</v>
      </c>
      <c r="D22" s="4" t="str">
        <f t="shared" si="1"/>
        <v>{"valorA":"me","valorB":1}</v>
      </c>
      <c r="E22" s="8" t="str">
        <f t="shared" si="2"/>
        <v>me</v>
      </c>
      <c r="F22" s="8" t="str">
        <f>IFERROR(__xludf.DUMMYFUNCTION("""COMPUTED_VALUE"""),"paguei")</f>
        <v>paguei</v>
      </c>
      <c r="G22" s="8" t="str">
        <f t="shared" si="3"/>
        <v>1</v>
      </c>
      <c r="H22" s="9">
        <f t="shared" si="4"/>
        <v>1</v>
      </c>
      <c r="I22" s="10">
        <f>IFERROR(__xludf.DUMMYFUNCTION("MAX(FILTER($H$2:$H466,$E$2:$E466=F22))"),5.0)</f>
        <v>5</v>
      </c>
    </row>
    <row r="23">
      <c r="A23" s="4"/>
      <c r="C23" s="4" t="s">
        <v>2627</v>
      </c>
      <c r="D23" s="4" t="str">
        <f t="shared" si="1"/>
        <v>{"valorA":"para","valorB":1}</v>
      </c>
      <c r="E23" s="8" t="str">
        <f t="shared" si="2"/>
        <v>para</v>
      </c>
      <c r="F23" s="8" t="str">
        <f>IFERROR(__xludf.DUMMYFUNCTION("""COMPUTED_VALUE"""),"usufruindo")</f>
        <v>usufruindo</v>
      </c>
      <c r="G23" s="8" t="str">
        <f t="shared" si="3"/>
        <v>1</v>
      </c>
      <c r="H23" s="9">
        <f t="shared" si="4"/>
        <v>1</v>
      </c>
      <c r="I23" s="10">
        <f>IFERROR(__xludf.DUMMYFUNCTION("MAX(FILTER($H$2:$H466,$E$2:$E466=F23))"),1.0)</f>
        <v>1</v>
      </c>
    </row>
    <row r="24">
      <c r="A24" s="4"/>
      <c r="C24" s="4" t="s">
        <v>2638</v>
      </c>
      <c r="D24" s="4" t="str">
        <f t="shared" si="1"/>
        <v>{"valorA":"o","valorB":1}</v>
      </c>
      <c r="E24" s="8" t="str">
        <f t="shared" si="2"/>
        <v>o</v>
      </c>
      <c r="F24" s="8" t="str">
        <f>IFERROR(__xludf.DUMMYFUNCTION("""COMPUTED_VALUE"""),"senti")</f>
        <v>senti</v>
      </c>
      <c r="G24" s="8" t="str">
        <f t="shared" si="3"/>
        <v>1</v>
      </c>
      <c r="H24" s="9">
        <f t="shared" si="4"/>
        <v>1</v>
      </c>
      <c r="I24" s="10">
        <f>IFERROR(__xludf.DUMMYFUNCTION("MAX(FILTER($H$2:$H466,$E$2:$E466=F24))"),1.0)</f>
        <v>1</v>
      </c>
    </row>
    <row r="25">
      <c r="A25" s="4"/>
      <c r="C25" s="4" t="s">
        <v>2655</v>
      </c>
      <c r="D25" s="4" t="str">
        <f t="shared" si="1"/>
        <v>{"valorA":"preço","valorB":1}</v>
      </c>
      <c r="E25" s="8" t="str">
        <f t="shared" si="2"/>
        <v>preço</v>
      </c>
      <c r="F25" s="8" t="str">
        <f>IFERROR(__xludf.DUMMYFUNCTION("""COMPUTED_VALUE"""),"uma")</f>
        <v>uma</v>
      </c>
      <c r="G25" s="8" t="str">
        <f t="shared" si="3"/>
        <v>1</v>
      </c>
      <c r="H25" s="9">
        <f t="shared" si="4"/>
        <v>1</v>
      </c>
      <c r="I25" s="10">
        <f>IFERROR(__xludf.DUMMYFUNCTION("MAX(FILTER($H$2:$H466,$E$2:$E466=F25))"),5.0)</f>
        <v>5</v>
      </c>
    </row>
    <row r="26">
      <c r="A26" s="4"/>
      <c r="C26" s="4" t="s">
        <v>2731</v>
      </c>
      <c r="D26" s="4" t="str">
        <f t="shared" si="1"/>
        <v>{"valorA":"bem","valorB":2}</v>
      </c>
      <c r="E26" s="8" t="str">
        <f t="shared" si="2"/>
        <v>bem</v>
      </c>
      <c r="F26" s="8" t="str">
        <f>IFERROR(__xludf.DUMMYFUNCTION("""COMPUTED_VALUE"""),"casa")</f>
        <v>casa</v>
      </c>
      <c r="G26" s="8" t="str">
        <f t="shared" si="3"/>
        <v>2</v>
      </c>
      <c r="H26" s="9">
        <f t="shared" si="4"/>
        <v>2</v>
      </c>
      <c r="I26" s="10">
        <f>IFERROR(__xludf.DUMMYFUNCTION("MAX(FILTER($H$2:$H466,$E$2:$E466=F26))"),1.0)</f>
        <v>1</v>
      </c>
    </row>
    <row r="27">
      <c r="A27" s="4"/>
      <c r="C27" s="4" t="s">
        <v>2656</v>
      </c>
      <c r="D27" s="4" t="str">
        <f t="shared" si="1"/>
        <v>{"valorA":"paguei","valorB":1}</v>
      </c>
      <c r="E27" s="8" t="str">
        <f t="shared" si="2"/>
        <v>paguei</v>
      </c>
      <c r="F27" s="8" t="str">
        <f>IFERROR(__xludf.DUMMYFUNCTION("""COMPUTED_VALUE"""),"a")</f>
        <v>a</v>
      </c>
      <c r="G27" s="8" t="str">
        <f t="shared" si="3"/>
        <v>1</v>
      </c>
      <c r="H27" s="9">
        <f t="shared" si="4"/>
        <v>1</v>
      </c>
      <c r="I27" s="10">
        <f>IFERROR(__xludf.DUMMYFUNCTION("MAX(FILTER($H$2:$H466,$E$2:$E466=F27))"),12.0)</f>
        <v>12</v>
      </c>
    </row>
    <row r="28">
      <c r="A28" s="4"/>
      <c r="C28" s="4" t="s">
        <v>3697</v>
      </c>
      <c r="D28" s="4" t="str">
        <f t="shared" si="1"/>
        <v>{"valorA":"usufruindo","valorB":1}</v>
      </c>
      <c r="E28" s="8" t="str">
        <f t="shared" si="2"/>
        <v>usufruindo</v>
      </c>
      <c r="F28" s="8" t="str">
        <f>IFERROR(__xludf.DUMMYFUNCTION("""COMPUTED_VALUE"""),"compra")</f>
        <v>compra</v>
      </c>
      <c r="G28" s="8" t="str">
        <f t="shared" si="3"/>
        <v>1</v>
      </c>
      <c r="H28" s="9">
        <f t="shared" si="4"/>
        <v>1</v>
      </c>
      <c r="I28" s="10">
        <f>IFERROR(__xludf.DUMMYFUNCTION("MAX(FILTER($H$2:$H466,$E$2:$E466=F28))"),4.0)</f>
        <v>4</v>
      </c>
    </row>
    <row r="29">
      <c r="A29" s="4"/>
      <c r="C29" s="4" t="s">
        <v>3698</v>
      </c>
      <c r="D29" s="4" t="str">
        <f t="shared" si="1"/>
        <v>{"valorA":"senti","valorB":1}</v>
      </c>
      <c r="E29" s="8" t="str">
        <f t="shared" si="2"/>
        <v>senti</v>
      </c>
      <c r="F29" s="8" t="str">
        <f>IFERROR(__xludf.DUMMYFUNCTION("""COMPUTED_VALUE"""),"ótima")</f>
        <v>ótima</v>
      </c>
      <c r="G29" s="8" t="str">
        <f t="shared" si="3"/>
        <v>1</v>
      </c>
      <c r="H29" s="9">
        <f t="shared" si="4"/>
        <v>1</v>
      </c>
      <c r="I29" s="10">
        <f>IFERROR(__xludf.DUMMYFUNCTION("MAX(FILTER($H$2:$H466,$E$2:$E466=F29))"),2.0)</f>
        <v>2</v>
      </c>
    </row>
    <row r="30">
      <c r="A30" s="4"/>
      <c r="C30" s="4" t="s">
        <v>2657</v>
      </c>
      <c r="D30" s="4" t="str">
        <f t="shared" si="1"/>
        <v>{"valorA":"ótimo","valorB":4}</v>
      </c>
      <c r="E30" s="8" t="str">
        <f t="shared" si="2"/>
        <v>ótimo</v>
      </c>
      <c r="F30" s="8" t="str">
        <f>IFERROR(__xludf.DUMMYFUNCTION("""COMPUTED_VALUE"""),"não")</f>
        <v>não</v>
      </c>
      <c r="G30" s="8" t="str">
        <f t="shared" si="3"/>
        <v>4</v>
      </c>
      <c r="H30" s="9">
        <f t="shared" si="4"/>
        <v>4</v>
      </c>
      <c r="I30" s="10">
        <f>IFERROR(__xludf.DUMMYFUNCTION("MAX(FILTER($H$2:$H466,$E$2:$E466=F30))"),2.0)</f>
        <v>2</v>
      </c>
    </row>
    <row r="31">
      <c r="A31" s="4"/>
      <c r="C31" s="4" t="s">
        <v>2727</v>
      </c>
      <c r="D31" s="4" t="str">
        <f t="shared" si="1"/>
        <v>{"valorA":"para","valorB":2}</v>
      </c>
      <c r="E31" s="8" t="str">
        <f t="shared" si="2"/>
        <v>para</v>
      </c>
      <c r="F31" s="8" t="str">
        <f>IFERROR(__xludf.DUMMYFUNCTION("""COMPUTED_VALUE"""),"valeu")</f>
        <v>valeu</v>
      </c>
      <c r="G31" s="8" t="str">
        <f t="shared" si="3"/>
        <v>2</v>
      </c>
      <c r="H31" s="9">
        <f t="shared" si="4"/>
        <v>2</v>
      </c>
      <c r="I31" s="10">
        <f>IFERROR(__xludf.DUMMYFUNCTION("MAX(FILTER($H$2:$H466,$E$2:$E466=F31))"),6.0)</f>
        <v>6</v>
      </c>
    </row>
    <row r="32">
      <c r="A32" s="4"/>
      <c r="C32" s="4" t="s">
        <v>2719</v>
      </c>
      <c r="D32" s="4" t="str">
        <f t="shared" si="1"/>
        <v>{"valorA":"é","valorB":2}</v>
      </c>
      <c r="E32" s="8" t="str">
        <f t="shared" si="2"/>
        <v>é</v>
      </c>
      <c r="F32" s="8" t="str">
        <f>IFERROR(__xludf.DUMMYFUNCTION("""COMPUTED_VALUE"""),"mas")</f>
        <v>mas</v>
      </c>
      <c r="G32" s="8" t="str">
        <f t="shared" si="3"/>
        <v>2</v>
      </c>
      <c r="H32" s="9">
        <f t="shared" si="4"/>
        <v>2</v>
      </c>
      <c r="I32" s="10">
        <f>IFERROR(__xludf.DUMMYFUNCTION("MAX(FILTER($H$2:$H466,$E$2:$E466=F32))"),5.0)</f>
        <v>5</v>
      </c>
    </row>
    <row r="33">
      <c r="A33" s="4"/>
      <c r="C33" s="4" t="s">
        <v>2667</v>
      </c>
      <c r="D33" s="4" t="str">
        <f t="shared" si="1"/>
        <v>{"valorA":"produto","valorB":4}</v>
      </c>
      <c r="E33" s="8" t="str">
        <f t="shared" si="2"/>
        <v>produto</v>
      </c>
      <c r="F33" s="8" t="str">
        <f>IFERROR(__xludf.DUMMYFUNCTION("""COMPUTED_VALUE"""),"muito")</f>
        <v>muito</v>
      </c>
      <c r="G33" s="8" t="str">
        <f t="shared" si="3"/>
        <v>4</v>
      </c>
      <c r="H33" s="9">
        <f t="shared" si="4"/>
        <v>4</v>
      </c>
      <c r="I33" s="10">
        <f>IFERROR(__xludf.DUMMYFUNCTION("MAX(FILTER($H$2:$H466,$E$2:$E466=F33))"),17.0)</f>
        <v>17</v>
      </c>
    </row>
    <row r="34">
      <c r="A34" s="4"/>
      <c r="C34" s="4" t="s">
        <v>3090</v>
      </c>
      <c r="D34" s="4" t="str">
        <f t="shared" si="1"/>
        <v>{"valorA":"uma","valorB":1}</v>
      </c>
      <c r="E34" s="8" t="str">
        <f t="shared" si="2"/>
        <v>uma</v>
      </c>
      <c r="F34" s="8" t="str">
        <f>IFERROR(__xludf.DUMMYFUNCTION("""COMPUTED_VALUE"""),"câmera")</f>
        <v>câmera</v>
      </c>
      <c r="G34" s="8" t="str">
        <f t="shared" si="3"/>
        <v>1</v>
      </c>
      <c r="H34" s="9">
        <f t="shared" si="4"/>
        <v>1</v>
      </c>
      <c r="I34" s="10">
        <f>IFERROR(__xludf.DUMMYFUNCTION("MAX(FILTER($H$2:$H466,$E$2:$E466=F34))"),4.0)</f>
        <v>4</v>
      </c>
    </row>
    <row r="35">
      <c r="A35" s="4"/>
      <c r="C35" s="4" t="s">
        <v>3184</v>
      </c>
      <c r="D35" s="4" t="str">
        <f t="shared" si="1"/>
        <v>{"valorA":"casa","valorB":1}</v>
      </c>
      <c r="E35" s="8" t="str">
        <f t="shared" si="2"/>
        <v>casa</v>
      </c>
      <c r="F35" s="8" t="str">
        <f>IFERROR(__xludf.DUMMYFUNCTION("""COMPUTED_VALUE"""),"dela")</f>
        <v>dela</v>
      </c>
      <c r="G35" s="8" t="str">
        <f t="shared" si="3"/>
        <v>1</v>
      </c>
      <c r="H35" s="9">
        <f t="shared" si="4"/>
        <v>1</v>
      </c>
      <c r="I35" s="10">
        <f>IFERROR(__xludf.DUMMYFUNCTION("MAX(FILTER($H$2:$H466,$E$2:$E466=F35))"),1.0)</f>
        <v>1</v>
      </c>
    </row>
    <row r="36">
      <c r="A36" s="4"/>
      <c r="C36" s="4" t="s">
        <v>2647</v>
      </c>
      <c r="D36" s="4" t="str">
        <f t="shared" si="1"/>
        <v>{"valorA":"a","valorB":1}</v>
      </c>
      <c r="E36" s="8" t="str">
        <f t="shared" si="2"/>
        <v>a</v>
      </c>
      <c r="F36" s="8" t="str">
        <f>IFERROR(__xludf.DUMMYFUNCTION("""COMPUTED_VALUE"""),"gosto")</f>
        <v>gosto</v>
      </c>
      <c r="G36" s="8" t="str">
        <f t="shared" si="3"/>
        <v>1</v>
      </c>
      <c r="H36" s="9">
        <f t="shared" si="4"/>
        <v>1</v>
      </c>
      <c r="I36" s="10">
        <f>IFERROR(__xludf.DUMMYFUNCTION("MAX(FILTER($H$2:$H466,$E$2:$E466=F36))"),3.0)</f>
        <v>3</v>
      </c>
    </row>
    <row r="37">
      <c r="A37" s="4"/>
      <c r="C37" s="4" t="s">
        <v>2664</v>
      </c>
      <c r="D37" s="4" t="str">
        <f t="shared" si="1"/>
        <v>{"valorA":"compra","valorB":1}</v>
      </c>
      <c r="E37" s="8" t="str">
        <f t="shared" si="2"/>
        <v>compra</v>
      </c>
      <c r="F37" s="8" t="str">
        <f>IFERROR(__xludf.DUMMYFUNCTION("""COMPUTED_VALUE"""),"fotos")</f>
        <v>fotos</v>
      </c>
      <c r="G37" s="8" t="str">
        <f t="shared" si="3"/>
        <v>1</v>
      </c>
      <c r="H37" s="9">
        <f t="shared" si="4"/>
        <v>1</v>
      </c>
      <c r="I37" s="10">
        <f>IFERROR(__xludf.DUMMYFUNCTION("MAX(FILTER($H$2:$H466,$E$2:$E466=F37))"),1.0)</f>
        <v>1</v>
      </c>
    </row>
    <row r="38">
      <c r="A38" s="4"/>
      <c r="C38" s="4" t="s">
        <v>3093</v>
      </c>
      <c r="D38" s="4" t="str">
        <f t="shared" si="1"/>
        <v>{"valorA":"ótima","valorB":1}</v>
      </c>
      <c r="E38" s="8" t="str">
        <f t="shared" si="2"/>
        <v>ótima</v>
      </c>
      <c r="F38" s="8" t="str">
        <f>IFERROR(__xludf.DUMMYFUNCTION("""COMPUTED_VALUE"""),"incríveis")</f>
        <v>incríveis</v>
      </c>
      <c r="G38" s="8" t="str">
        <f t="shared" si="3"/>
        <v>1</v>
      </c>
      <c r="H38" s="9">
        <f t="shared" si="4"/>
        <v>1</v>
      </c>
      <c r="I38" s="10">
        <f>IFERROR(__xludf.DUMMYFUNCTION("MAX(FILTER($H$2:$H466,$E$2:$E466=F38))"),1.0)</f>
        <v>1</v>
      </c>
    </row>
    <row r="39">
      <c r="A39" s="4"/>
      <c r="C39" s="4" t="s">
        <v>2659</v>
      </c>
      <c r="D39" s="4" t="str">
        <f t="shared" si="1"/>
        <v>{"valorA":"ótimo","valorB":5}</v>
      </c>
      <c r="E39" s="8" t="str">
        <f t="shared" si="2"/>
        <v>ótimo</v>
      </c>
      <c r="F39" s="8" t="str">
        <f>IFERROR(__xludf.DUMMYFUNCTION("""COMPUTED_VALUE"""),"você")</f>
        <v>você</v>
      </c>
      <c r="G39" s="8" t="str">
        <f t="shared" si="3"/>
        <v>5</v>
      </c>
      <c r="H39" s="9">
        <f t="shared" si="4"/>
        <v>5</v>
      </c>
      <c r="I39" s="10">
        <f>IFERROR(__xludf.DUMMYFUNCTION("MAX(FILTER($H$2:$H466,$E$2:$E466=F39))"),1.0)</f>
        <v>1</v>
      </c>
    </row>
    <row r="40">
      <c r="A40" s="4"/>
      <c r="C40" s="4" t="s">
        <v>2744</v>
      </c>
      <c r="D40" s="4" t="str">
        <f t="shared" si="1"/>
        <v>{"valorA":"para","valorB":3}</v>
      </c>
      <c r="E40" s="8" t="str">
        <f t="shared" si="2"/>
        <v>para</v>
      </c>
      <c r="F40" s="8" t="str">
        <f>IFERROR(__xludf.DUMMYFUNCTION("""COMPUTED_VALUE"""),"boa")</f>
        <v>boa</v>
      </c>
      <c r="G40" s="8" t="str">
        <f t="shared" si="3"/>
        <v>3</v>
      </c>
      <c r="H40" s="9">
        <f t="shared" si="4"/>
        <v>3</v>
      </c>
      <c r="I40" s="10">
        <f>IFERROR(__xludf.DUMMYFUNCTION("MAX(FILTER($H$2:$H466,$E$2:$E466=F40))"),2.0)</f>
        <v>2</v>
      </c>
    </row>
    <row r="41">
      <c r="A41" s="4"/>
      <c r="C41" s="4" t="s">
        <v>2674</v>
      </c>
      <c r="D41" s="4" t="str">
        <f t="shared" si="1"/>
        <v>{"valorA":"produto","valorB":5}</v>
      </c>
      <c r="E41" s="8" t="str">
        <f t="shared" si="2"/>
        <v>produto</v>
      </c>
      <c r="F41" s="8" t="str">
        <f>IFERROR(__xludf.DUMMYFUNCTION("""COMPUTED_VALUE"""),"tenha")</f>
        <v>tenha</v>
      </c>
      <c r="G41" s="8" t="str">
        <f t="shared" si="3"/>
        <v>5</v>
      </c>
      <c r="H41" s="9">
        <f t="shared" si="4"/>
        <v>5</v>
      </c>
      <c r="I41" s="10">
        <f>IFERROR(__xludf.DUMMYFUNCTION("MAX(FILTER($H$2:$H466,$E$2:$E466=F41))"),1.0)</f>
        <v>1</v>
      </c>
    </row>
    <row r="42">
      <c r="A42" s="4"/>
      <c r="C42" s="4" t="s">
        <v>2691</v>
      </c>
      <c r="D42" s="4" t="str">
        <f t="shared" si="1"/>
        <v>{"valorA":"o","valorB":2}</v>
      </c>
      <c r="E42" s="8" t="str">
        <f t="shared" si="2"/>
        <v>o</v>
      </c>
      <c r="F42" s="8" t="str">
        <f>IFERROR(__xludf.DUMMYFUNCTION("""COMPUTED_VALUE"""),"espero")</f>
        <v>espero</v>
      </c>
      <c r="G42" s="8" t="str">
        <f t="shared" si="3"/>
        <v>2</v>
      </c>
      <c r="H42" s="9">
        <f t="shared" si="4"/>
        <v>2</v>
      </c>
      <c r="I42" s="10">
        <f>IFERROR(__xludf.DUMMYFUNCTION("MAX(FILTER($H$2:$H466,$E$2:$E466=F42))"),1.0)</f>
        <v>1</v>
      </c>
    </row>
    <row r="43">
      <c r="A43" s="4"/>
      <c r="C43" s="4" t="s">
        <v>3038</v>
      </c>
      <c r="D43" s="4" t="str">
        <f t="shared" si="1"/>
        <v>{"valorA":"não","valorB":1}</v>
      </c>
      <c r="E43" s="8" t="str">
        <f t="shared" si="2"/>
        <v>não</v>
      </c>
      <c r="F43" s="8" t="str">
        <f>IFERROR(__xludf.DUMMYFUNCTION("""COMPUTED_VALUE"""),"qualidade")</f>
        <v>qualidade</v>
      </c>
      <c r="G43" s="8" t="str">
        <f t="shared" si="3"/>
        <v>1</v>
      </c>
      <c r="H43" s="9">
        <f t="shared" si="4"/>
        <v>1</v>
      </c>
      <c r="I43" s="10">
        <f>IFERROR(__xludf.DUMMYFUNCTION("MAX(FILTER($H$2:$H466,$E$2:$E466=F43))"),6.0)</f>
        <v>6</v>
      </c>
    </row>
    <row r="44">
      <c r="A44" s="4"/>
      <c r="C44" s="4" t="s">
        <v>2808</v>
      </c>
      <c r="D44" s="4" t="str">
        <f t="shared" si="1"/>
        <v>{"valorA":"preço","valorB":2}</v>
      </c>
      <c r="E44" s="8" t="str">
        <f t="shared" si="2"/>
        <v>preço</v>
      </c>
      <c r="F44" s="8" t="str">
        <f>IFERROR(__xludf.DUMMYFUNCTION("""COMPUTED_VALUE"""),"excelente")</f>
        <v>excelente</v>
      </c>
      <c r="G44" s="8" t="str">
        <f t="shared" si="3"/>
        <v>2</v>
      </c>
      <c r="H44" s="9">
        <f t="shared" si="4"/>
        <v>2</v>
      </c>
      <c r="I44" s="10">
        <f>IFERROR(__xludf.DUMMYFUNCTION("MAX(FILTER($H$2:$H466,$E$2:$E466=F44))"),1.0)</f>
        <v>1</v>
      </c>
    </row>
    <row r="45">
      <c r="A45" s="4"/>
      <c r="C45" s="4" t="s">
        <v>3037</v>
      </c>
      <c r="D45" s="4" t="str">
        <f t="shared" si="1"/>
        <v>{"valorA":"valeu","valorB":1}</v>
      </c>
      <c r="E45" s="8" t="str">
        <f t="shared" si="2"/>
        <v>valeu</v>
      </c>
      <c r="F45" s="8" t="str">
        <f>IFERROR(__xludf.DUMMYFUNCTION("""COMPUTED_VALUE"""),"resumo")</f>
        <v>resumo</v>
      </c>
      <c r="G45" s="8" t="str">
        <f t="shared" si="3"/>
        <v>1</v>
      </c>
      <c r="H45" s="9">
        <f t="shared" si="4"/>
        <v>1</v>
      </c>
      <c r="I45" s="10">
        <f>IFERROR(__xludf.DUMMYFUNCTION("MAX(FILTER($H$2:$H466,$E$2:$E466=F45))"),3.0)</f>
        <v>3</v>
      </c>
    </row>
    <row r="46">
      <c r="A46" s="4"/>
      <c r="C46" s="4" t="s">
        <v>3036</v>
      </c>
      <c r="D46" s="4" t="str">
        <f t="shared" si="1"/>
        <v>{"valorA":"mas","valorB":1}</v>
      </c>
      <c r="E46" s="8" t="str">
        <f t="shared" si="2"/>
        <v>mas</v>
      </c>
      <c r="F46" s="8" t="str">
        <f>IFERROR(__xludf.DUMMYFUNCTION("""COMPUTED_VALUE"""),"frigorífico")</f>
        <v>frigorífico</v>
      </c>
      <c r="G46" s="8" t="str">
        <f t="shared" si="3"/>
        <v>1</v>
      </c>
      <c r="H46" s="9">
        <f t="shared" si="4"/>
        <v>1</v>
      </c>
      <c r="I46" s="10">
        <f>IFERROR(__xludf.DUMMYFUNCTION("MAX(FILTER($H$2:$H466,$E$2:$E466=F46))"),1.0)</f>
        <v>1</v>
      </c>
    </row>
    <row r="47">
      <c r="A47" s="4"/>
      <c r="C47" s="4" t="s">
        <v>2660</v>
      </c>
      <c r="D47" s="4" t="str">
        <f t="shared" si="1"/>
        <v>{"valorA":"a","valorB":2}</v>
      </c>
      <c r="E47" s="8" t="str">
        <f t="shared" si="2"/>
        <v>a</v>
      </c>
      <c r="F47" s="8" t="str">
        <f>IFERROR(__xludf.DUMMYFUNCTION("""COMPUTED_VALUE"""),"espaçoso")</f>
        <v>espaçoso</v>
      </c>
      <c r="G47" s="8" t="str">
        <f t="shared" si="3"/>
        <v>2</v>
      </c>
      <c r="H47" s="9">
        <f t="shared" si="4"/>
        <v>2</v>
      </c>
      <c r="I47" s="10">
        <f>IFERROR(__xludf.DUMMYFUNCTION("MAX(FILTER($H$2:$H466,$E$2:$E466=F47))"),1.0)</f>
        <v>1</v>
      </c>
    </row>
    <row r="48">
      <c r="A48" s="4"/>
      <c r="C48" s="4" t="s">
        <v>2687</v>
      </c>
      <c r="D48" s="4" t="str">
        <f t="shared" si="1"/>
        <v>{"valorA":"compra","valorB":2}</v>
      </c>
      <c r="E48" s="8" t="str">
        <f t="shared" si="2"/>
        <v>compra</v>
      </c>
      <c r="F48" s="8" t="str">
        <f>IFERROR(__xludf.DUMMYFUNCTION("""COMPUTED_VALUE"""),"comprar")</f>
        <v>comprar</v>
      </c>
      <c r="G48" s="8" t="str">
        <f t="shared" si="3"/>
        <v>2</v>
      </c>
      <c r="H48" s="9">
        <f t="shared" si="4"/>
        <v>2</v>
      </c>
      <c r="I48" s="10">
        <f>IFERROR(__xludf.DUMMYFUNCTION("MAX(FILTER($H$2:$H466,$E$2:$E466=F48))"),1.0)</f>
        <v>1</v>
      </c>
    </row>
    <row r="49">
      <c r="A49" s="4"/>
      <c r="C49" s="4" t="s">
        <v>2678</v>
      </c>
      <c r="D49" s="4" t="str">
        <f t="shared" si="1"/>
        <v>{"valorA":"funciona","valorB":2}</v>
      </c>
      <c r="E49" s="8" t="str">
        <f t="shared" si="2"/>
        <v>funciona</v>
      </c>
      <c r="F49" s="8" t="str">
        <f>IFERROR(__xludf.DUMMYFUNCTION("""COMPUTED_VALUE"""),"monitor")</f>
        <v>monitor</v>
      </c>
      <c r="G49" s="8" t="str">
        <f t="shared" si="3"/>
        <v>2</v>
      </c>
      <c r="H49" s="9">
        <f t="shared" si="4"/>
        <v>2</v>
      </c>
      <c r="I49" s="10">
        <f>IFERROR(__xludf.DUMMYFUNCTION("MAX(FILTER($H$2:$H466,$E$2:$E466=F49))"),2.0)</f>
        <v>2</v>
      </c>
    </row>
    <row r="50">
      <c r="A50" s="4"/>
      <c r="C50" s="4" t="s">
        <v>2662</v>
      </c>
      <c r="D50" s="4" t="str">
        <f t="shared" si="1"/>
        <v>{"valorA":"ótimo","valorB":6}</v>
      </c>
      <c r="E50" s="8" t="str">
        <f t="shared" si="2"/>
        <v>ótimo</v>
      </c>
      <c r="F50" s="8" t="str">
        <f>IFERROR(__xludf.DUMMYFUNCTION("""COMPUTED_VALUE"""),"do")</f>
        <v>do</v>
      </c>
      <c r="G50" s="8" t="str">
        <f t="shared" si="3"/>
        <v>6</v>
      </c>
      <c r="H50" s="9">
        <f t="shared" si="4"/>
        <v>6</v>
      </c>
      <c r="I50" s="10">
        <f>IFERROR(__xludf.DUMMYFUNCTION("MAX(FILTER($H$2:$H466,$E$2:$E466=F50))"),8.0)</f>
        <v>8</v>
      </c>
    </row>
    <row r="51">
      <c r="A51" s="4"/>
      <c r="C51" s="4" t="s">
        <v>2637</v>
      </c>
      <c r="D51" s="4" t="str">
        <f t="shared" si="1"/>
        <v>{"valorA":"muito","valorB":1}</v>
      </c>
      <c r="E51" s="8" t="str">
        <f t="shared" si="2"/>
        <v>muito</v>
      </c>
      <c r="F51" s="8" t="str">
        <f>IFERROR(__xludf.DUMMYFUNCTION("""COMPUTED_VALUE"""),"novamente")</f>
        <v>novamente</v>
      </c>
      <c r="G51" s="8" t="str">
        <f t="shared" si="3"/>
        <v>1</v>
      </c>
      <c r="H51" s="9">
        <f t="shared" si="4"/>
        <v>1</v>
      </c>
      <c r="I51" s="10">
        <f>IFERROR(__xludf.DUMMYFUNCTION("MAX(FILTER($H$2:$H466,$E$2:$E466=F51))"),1.0)</f>
        <v>1</v>
      </c>
    </row>
    <row r="52">
      <c r="A52" s="4"/>
      <c r="C52" s="4" t="s">
        <v>2799</v>
      </c>
      <c r="D52" s="4" t="str">
        <f t="shared" si="1"/>
        <v>{"valorA":"câmera","valorB":1}</v>
      </c>
      <c r="E52" s="8" t="str">
        <f t="shared" si="2"/>
        <v>câmera</v>
      </c>
      <c r="F52" s="8" t="str">
        <f>IFERROR(__xludf.DUMMYFUNCTION("""COMPUTED_VALUE"""),"gostaria")</f>
        <v>gostaria</v>
      </c>
      <c r="G52" s="8" t="str">
        <f t="shared" si="3"/>
        <v>1</v>
      </c>
      <c r="H52" s="9">
        <f t="shared" si="4"/>
        <v>1</v>
      </c>
      <c r="I52" s="10">
        <f>IFERROR(__xludf.DUMMYFUNCTION("MAX(FILTER($H$2:$H466,$E$2:$E466=F52))"),2.0)</f>
        <v>2</v>
      </c>
    </row>
    <row r="53">
      <c r="A53" s="4"/>
      <c r="C53" s="4" t="s">
        <v>3699</v>
      </c>
      <c r="D53" s="4" t="str">
        <f t="shared" si="1"/>
        <v>{"valorA":"dela","valorB":1}</v>
      </c>
      <c r="E53" s="8" t="str">
        <f t="shared" si="2"/>
        <v>dela</v>
      </c>
      <c r="F53" s="8" t="str">
        <f>IFERROR(__xludf.DUMMYFUNCTION("""COMPUTED_VALUE"""),"perfeitamente")</f>
        <v>perfeitamente</v>
      </c>
      <c r="G53" s="8" t="str">
        <f t="shared" si="3"/>
        <v>1</v>
      </c>
      <c r="H53" s="9">
        <f t="shared" si="4"/>
        <v>1</v>
      </c>
      <c r="I53" s="10">
        <f>IFERROR(__xludf.DUMMYFUNCTION("MAX(FILTER($H$2:$H466,$E$2:$E466=F53))"),5.0)</f>
        <v>5</v>
      </c>
    </row>
    <row r="54">
      <c r="A54" s="4"/>
      <c r="C54" s="4" t="s">
        <v>2663</v>
      </c>
      <c r="D54" s="4" t="str">
        <f t="shared" si="1"/>
        <v>{"valorA":"muito","valorB":2}</v>
      </c>
      <c r="E54" s="8" t="str">
        <f t="shared" si="2"/>
        <v>muito</v>
      </c>
      <c r="F54" s="8" t="str">
        <f>IFERROR(__xludf.DUMMYFUNCTION("""COMPUTED_VALUE"""),"espera")</f>
        <v>espera</v>
      </c>
      <c r="G54" s="8" t="str">
        <f t="shared" si="3"/>
        <v>2</v>
      </c>
      <c r="H54" s="9">
        <f t="shared" si="4"/>
        <v>2</v>
      </c>
      <c r="I54" s="10">
        <f>IFERROR(__xludf.DUMMYFUNCTION("MAX(FILTER($H$2:$H466,$E$2:$E466=F54))"),5.0)</f>
        <v>5</v>
      </c>
    </row>
    <row r="55">
      <c r="A55" s="4"/>
      <c r="C55" s="4" t="s">
        <v>2895</v>
      </c>
      <c r="D55" s="4" t="str">
        <f t="shared" si="1"/>
        <v>{"valorA":"gosto","valorB":1}</v>
      </c>
      <c r="E55" s="8" t="str">
        <f t="shared" si="2"/>
        <v>gosto</v>
      </c>
      <c r="F55" s="8" t="str">
        <f>IFERROR(__xludf.DUMMYFUNCTION("""COMPUTED_VALUE"""),"quem")</f>
        <v>quem</v>
      </c>
      <c r="G55" s="8" t="str">
        <f t="shared" si="3"/>
        <v>1</v>
      </c>
      <c r="H55" s="9">
        <f t="shared" si="4"/>
        <v>1</v>
      </c>
      <c r="I55" s="10">
        <f>IFERROR(__xludf.DUMMYFUNCTION("MAX(FILTER($H$2:$H466,$E$2:$E466=F55))"),6.0)</f>
        <v>6</v>
      </c>
    </row>
    <row r="56">
      <c r="A56" s="4"/>
      <c r="C56" s="4" t="s">
        <v>2782</v>
      </c>
      <c r="D56" s="4" t="str">
        <f t="shared" si="1"/>
        <v>{"valorA":"bem","valorB":3}</v>
      </c>
      <c r="E56" s="8" t="str">
        <f t="shared" si="2"/>
        <v>bem</v>
      </c>
      <c r="F56" s="8" t="str">
        <f>IFERROR(__xludf.DUMMYFUNCTION("""COMPUTED_VALUE"""),"gostei")</f>
        <v>gostei</v>
      </c>
      <c r="G56" s="8" t="str">
        <f t="shared" si="3"/>
        <v>3</v>
      </c>
      <c r="H56" s="9">
        <f t="shared" si="4"/>
        <v>3</v>
      </c>
      <c r="I56" s="10">
        <f>IFERROR(__xludf.DUMMYFUNCTION("MAX(FILTER($H$2:$H466,$E$2:$E466=F56))"),9.0)</f>
        <v>9</v>
      </c>
    </row>
    <row r="57">
      <c r="A57" s="4"/>
      <c r="C57" s="4" t="s">
        <v>2671</v>
      </c>
      <c r="D57" s="4" t="str">
        <f t="shared" si="1"/>
        <v>{"valorA":"ótimo","valorB":7}</v>
      </c>
      <c r="E57" s="8" t="str">
        <f t="shared" si="2"/>
        <v>ótimo</v>
      </c>
      <c r="F57" s="8" t="str">
        <f>IFERROR(__xludf.DUMMYFUNCTION("""COMPUTED_VALUE"""),"busca")</f>
        <v>busca</v>
      </c>
      <c r="G57" s="8" t="str">
        <f t="shared" si="3"/>
        <v>7</v>
      </c>
      <c r="H57" s="9">
        <f t="shared" si="4"/>
        <v>7</v>
      </c>
      <c r="I57" s="10">
        <f>IFERROR(__xludf.DUMMYFUNCTION("MAX(FILTER($H$2:$H466,$E$2:$E466=F57))"),4.0)</f>
        <v>4</v>
      </c>
    </row>
    <row r="58">
      <c r="A58" s="4"/>
      <c r="C58" s="4" t="s">
        <v>2941</v>
      </c>
      <c r="D58" s="4" t="str">
        <f t="shared" si="1"/>
        <v>{"valorA":"gosto","valorB":2}</v>
      </c>
      <c r="E58" s="8" t="str">
        <f t="shared" si="2"/>
        <v>gosto</v>
      </c>
      <c r="F58" s="8" t="str">
        <f>IFERROR(__xludf.DUMMYFUNCTION("""COMPUTED_VALUE"""),"bateria")</f>
        <v>bateria</v>
      </c>
      <c r="G58" s="8" t="str">
        <f t="shared" si="3"/>
        <v>2</v>
      </c>
      <c r="H58" s="9">
        <f t="shared" si="4"/>
        <v>2</v>
      </c>
      <c r="I58" s="10">
        <f>IFERROR(__xludf.DUMMYFUNCTION("MAX(FILTER($H$2:$H466,$E$2:$E466=F58))"),1.0)</f>
        <v>1</v>
      </c>
    </row>
    <row r="59">
      <c r="A59" s="4"/>
      <c r="C59" s="4" t="s">
        <v>3039</v>
      </c>
      <c r="D59" s="4" t="str">
        <f t="shared" si="1"/>
        <v>{"valorA":"fotos","valorB":1}</v>
      </c>
      <c r="E59" s="8" t="str">
        <f t="shared" si="2"/>
        <v>fotos</v>
      </c>
      <c r="F59" s="8" t="str">
        <f>IFERROR(__xludf.DUMMYFUNCTION("""COMPUTED_VALUE"""),"tão")</f>
        <v>tão</v>
      </c>
      <c r="G59" s="8" t="str">
        <f t="shared" si="3"/>
        <v>1</v>
      </c>
      <c r="H59" s="9">
        <f t="shared" si="4"/>
        <v>1</v>
      </c>
      <c r="I59" s="10">
        <f>IFERROR(__xludf.DUMMYFUNCTION("MAX(FILTER($H$2:$H466,$E$2:$E466=F59))"),3.0)</f>
        <v>3</v>
      </c>
    </row>
    <row r="60">
      <c r="A60" s="4"/>
      <c r="C60" s="4" t="s">
        <v>3371</v>
      </c>
      <c r="D60" s="4" t="str">
        <f t="shared" si="1"/>
        <v>{"valorA":"câmera","valorB":2}</v>
      </c>
      <c r="E60" s="8" t="str">
        <f t="shared" si="2"/>
        <v>câmera</v>
      </c>
      <c r="F60" s="8" t="str">
        <f>IFERROR(__xludf.DUMMYFUNCTION("""COMPUTED_VALUE"""),"um")</f>
        <v>um</v>
      </c>
      <c r="G60" s="8" t="str">
        <f t="shared" si="3"/>
        <v>2</v>
      </c>
      <c r="H60" s="9">
        <f t="shared" si="4"/>
        <v>2</v>
      </c>
      <c r="I60" s="10">
        <f>IFERROR(__xludf.DUMMYFUNCTION("MAX(FILTER($H$2:$H466,$E$2:$E466=F60))"),5.0)</f>
        <v>5</v>
      </c>
    </row>
    <row r="61">
      <c r="A61" s="4"/>
      <c r="C61" s="4" t="s">
        <v>2705</v>
      </c>
      <c r="D61" s="4" t="str">
        <f t="shared" si="1"/>
        <v>{"valorA":"muito","valorB":3}</v>
      </c>
      <c r="E61" s="8" t="str">
        <f t="shared" si="2"/>
        <v>muito</v>
      </c>
      <c r="F61" s="8" t="str">
        <f>IFERROR(__xludf.DUMMYFUNCTION("""COMPUTED_VALUE"""),"blender")</f>
        <v>blender</v>
      </c>
      <c r="G61" s="8" t="str">
        <f t="shared" si="3"/>
        <v>3</v>
      </c>
      <c r="H61" s="9">
        <f t="shared" si="4"/>
        <v>3</v>
      </c>
      <c r="I61" s="10">
        <f>IFERROR(__xludf.DUMMYFUNCTION("MAX(FILTER($H$2:$H466,$E$2:$E466=F61))"),2.0)</f>
        <v>2</v>
      </c>
    </row>
    <row r="62">
      <c r="A62" s="4"/>
      <c r="C62" s="4" t="s">
        <v>3610</v>
      </c>
      <c r="D62" s="4" t="str">
        <f t="shared" si="1"/>
        <v>{"valorA":"incríveis","valorB":1}</v>
      </c>
      <c r="E62" s="8" t="str">
        <f t="shared" si="2"/>
        <v>incríveis</v>
      </c>
      <c r="F62" s="8" t="str">
        <f>IFERROR(__xludf.DUMMYFUNCTION("""COMPUTED_VALUE"""),"bom")</f>
        <v>bom</v>
      </c>
      <c r="G62" s="8" t="str">
        <f t="shared" si="3"/>
        <v>1</v>
      </c>
      <c r="H62" s="9">
        <f t="shared" si="4"/>
        <v>1</v>
      </c>
      <c r="I62" s="10">
        <f>IFERROR(__xludf.DUMMYFUNCTION("MAX(FILTER($H$2:$H466,$E$2:$E466=F62))"),3.0)</f>
        <v>3</v>
      </c>
    </row>
    <row r="63">
      <c r="A63" s="4"/>
      <c r="C63" s="4" t="s">
        <v>2673</v>
      </c>
      <c r="D63" s="4" t="str">
        <f t="shared" si="1"/>
        <v>{"valorA":"ótimo","valorB":8}</v>
      </c>
      <c r="E63" s="8" t="str">
        <f t="shared" si="2"/>
        <v>ótimo</v>
      </c>
      <c r="F63" s="8" t="str">
        <f>IFERROR(__xludf.DUMMYFUNCTION("""COMPUTED_VALUE"""),"smartwatch")</f>
        <v>smartwatch</v>
      </c>
      <c r="G63" s="8" t="str">
        <f t="shared" si="3"/>
        <v>8</v>
      </c>
      <c r="H63" s="9">
        <f t="shared" si="4"/>
        <v>8</v>
      </c>
      <c r="I63" s="10">
        <f>IFERROR(__xludf.DUMMYFUNCTION("MAX(FILTER($H$2:$H466,$E$2:$E466=F63))"),2.0)</f>
        <v>2</v>
      </c>
    </row>
    <row r="64">
      <c r="A64" s="4"/>
      <c r="C64" s="4" t="s">
        <v>2682</v>
      </c>
      <c r="D64" s="4" t="str">
        <f t="shared" si="1"/>
        <v>{"valorA":"produto","valorB":6}</v>
      </c>
      <c r="E64" s="8" t="str">
        <f t="shared" si="2"/>
        <v>produto</v>
      </c>
      <c r="F64" s="8" t="str">
        <f>IFERROR(__xludf.DUMMYFUNCTION("""COMPUTED_VALUE"""),"também")</f>
        <v>também</v>
      </c>
      <c r="G64" s="8" t="str">
        <f t="shared" si="3"/>
        <v>6</v>
      </c>
      <c r="H64" s="9">
        <f t="shared" si="4"/>
        <v>6</v>
      </c>
      <c r="I64" s="10">
        <f>IFERROR(__xludf.DUMMYFUNCTION("MAX(FILTER($H$2:$H466,$E$2:$E466=F64))"),2.0)</f>
        <v>2</v>
      </c>
    </row>
    <row r="65">
      <c r="A65" s="4"/>
      <c r="C65" s="4" t="s">
        <v>2785</v>
      </c>
      <c r="D65" s="4" t="str">
        <f t="shared" si="1"/>
        <v>{"valorA":"muito","valorB":4}</v>
      </c>
      <c r="E65" s="8" t="str">
        <f t="shared" si="2"/>
        <v>muito</v>
      </c>
      <c r="F65" s="8" t="str">
        <f>IFERROR(__xludf.DUMMYFUNCTION("""COMPUTED_VALUE"""),"recomendo")</f>
        <v>recomendo</v>
      </c>
      <c r="G65" s="8" t="str">
        <f t="shared" si="3"/>
        <v>4</v>
      </c>
      <c r="H65" s="9">
        <f t="shared" si="4"/>
        <v>4</v>
      </c>
      <c r="I65" s="10">
        <f>IFERROR(__xludf.DUMMYFUNCTION("MAX(FILTER($H$2:$H466,$E$2:$E466=F65))"),6.0)</f>
        <v>6</v>
      </c>
    </row>
    <row r="66">
      <c r="A66" s="4"/>
      <c r="C66" s="4" t="s">
        <v>2695</v>
      </c>
      <c r="D66" s="4" t="str">
        <f t="shared" si="1"/>
        <v>{"valorA":"que","valorB":2}</v>
      </c>
      <c r="E66" s="8" t="str">
        <f t="shared" si="2"/>
        <v>que</v>
      </c>
      <c r="F66" s="8" t="str">
        <f>IFERROR(__xludf.DUMMYFUNCTION("""COMPUTED_VALUE"""),"laptop")</f>
        <v>laptop</v>
      </c>
      <c r="G66" s="8" t="str">
        <f t="shared" si="3"/>
        <v>2</v>
      </c>
      <c r="H66" s="9">
        <f t="shared" si="4"/>
        <v>2</v>
      </c>
      <c r="I66" s="10">
        <f>IFERROR(__xludf.DUMMYFUNCTION("MAX(FILTER($H$2:$H466,$E$2:$E466=F66))"),1.0)</f>
        <v>1</v>
      </c>
    </row>
    <row r="67">
      <c r="A67" s="4"/>
      <c r="C67" s="4" t="s">
        <v>2886</v>
      </c>
      <c r="D67" s="4" t="str">
        <f t="shared" si="1"/>
        <v>{"valorA":"preço","valorB":3}</v>
      </c>
      <c r="E67" s="8" t="str">
        <f t="shared" si="2"/>
        <v>preço</v>
      </c>
      <c r="F67" s="8" t="str">
        <f>IFERROR(__xludf.DUMMYFUNCTION("""COMPUTED_VALUE"""),"seguir")</f>
        <v>seguir</v>
      </c>
      <c r="G67" s="8" t="str">
        <f t="shared" si="3"/>
        <v>3</v>
      </c>
      <c r="H67" s="9">
        <f t="shared" si="4"/>
        <v>3</v>
      </c>
      <c r="I67" s="10">
        <f>IFERROR(__xludf.DUMMYFUNCTION("MAX(FILTER($H$2:$H466,$E$2:$E466=F67))"),1.0)</f>
        <v>1</v>
      </c>
    </row>
    <row r="68">
      <c r="A68" s="4"/>
      <c r="C68" s="4" t="s">
        <v>3700</v>
      </c>
      <c r="D68" s="4" t="str">
        <f t="shared" si="1"/>
        <v>{"valorA":"você","valorB":1}</v>
      </c>
      <c r="E68" s="8" t="str">
        <f t="shared" si="2"/>
        <v>você</v>
      </c>
      <c r="F68" s="8" t="str">
        <f>IFERROR(__xludf.DUMMYFUNCTION("""COMPUTED_VALUE"""),"estão")</f>
        <v>estão</v>
      </c>
      <c r="G68" s="8" t="str">
        <f t="shared" si="3"/>
        <v>1</v>
      </c>
      <c r="H68" s="9">
        <f t="shared" si="4"/>
        <v>1</v>
      </c>
      <c r="I68" s="10">
        <f>IFERROR(__xludf.DUMMYFUNCTION("MAX(FILTER($H$2:$H466,$E$2:$E466=F68))"),1.0)</f>
        <v>1</v>
      </c>
    </row>
    <row r="69">
      <c r="A69" s="4"/>
      <c r="C69" s="4" t="s">
        <v>3092</v>
      </c>
      <c r="D69" s="4" t="str">
        <f t="shared" si="1"/>
        <v>{"valorA":"boa","valorB":1}</v>
      </c>
      <c r="E69" s="8" t="str">
        <f t="shared" si="2"/>
        <v>boa</v>
      </c>
      <c r="F69" s="8" t="str">
        <f>IFERROR(__xludf.DUMMYFUNCTION("""COMPUTED_VALUE"""),"exemplos")</f>
        <v>exemplos</v>
      </c>
      <c r="G69" s="8" t="str">
        <f t="shared" si="3"/>
        <v>1</v>
      </c>
      <c r="H69" s="9">
        <f t="shared" si="4"/>
        <v>1</v>
      </c>
      <c r="I69" s="10">
        <f>IFERROR(__xludf.DUMMYFUNCTION("MAX(FILTER($H$2:$H466,$E$2:$E466=F69))"),1.0)</f>
        <v>1</v>
      </c>
    </row>
    <row r="70">
      <c r="A70" s="4"/>
      <c r="C70" s="4" t="s">
        <v>3701</v>
      </c>
      <c r="D70" s="4" t="str">
        <f t="shared" si="1"/>
        <v>{"valorA":"tenha","valorB":1}</v>
      </c>
      <c r="E70" s="8" t="str">
        <f t="shared" si="2"/>
        <v>tenha</v>
      </c>
      <c r="F70" s="8" t="str">
        <f>IFERROR(__xludf.DUMMYFUNCTION("""COMPUTED_VALUE"""),"produtos")</f>
        <v>produtos</v>
      </c>
      <c r="G70" s="8" t="str">
        <f t="shared" si="3"/>
        <v>1</v>
      </c>
      <c r="H70" s="9">
        <f t="shared" si="4"/>
        <v>1</v>
      </c>
      <c r="I70" s="10">
        <f>IFERROR(__xludf.DUMMYFUNCTION("MAX(FILTER($H$2:$H466,$E$2:$E466=F70))"),1.0)</f>
        <v>1</v>
      </c>
    </row>
    <row r="71">
      <c r="A71" s="4"/>
      <c r="C71" s="4" t="s">
        <v>3702</v>
      </c>
      <c r="D71" s="4" t="str">
        <f t="shared" si="1"/>
        <v>{"valorA":"espero","valorB":1}</v>
      </c>
      <c r="E71" s="8" t="str">
        <f t="shared" si="2"/>
        <v>espero</v>
      </c>
      <c r="F71" s="8" t="str">
        <f>IFERROR(__xludf.DUMMYFUNCTION("""COMPUTED_VALUE"""),"alguns")</f>
        <v>alguns</v>
      </c>
      <c r="G71" s="8" t="str">
        <f t="shared" si="3"/>
        <v>1</v>
      </c>
      <c r="H71" s="9">
        <f t="shared" si="4"/>
        <v>1</v>
      </c>
      <c r="I71" s="10">
        <f>IFERROR(__xludf.DUMMYFUNCTION("MAX(FILTER($H$2:$H466,$E$2:$E466=F71))"),1.0)</f>
        <v>1</v>
      </c>
    </row>
    <row r="72">
      <c r="A72" s="4"/>
      <c r="C72" s="4" t="s">
        <v>2878</v>
      </c>
      <c r="D72" s="4" t="str">
        <f t="shared" si="1"/>
        <v>{"valorA":"qualidade","valorB":1}</v>
      </c>
      <c r="E72" s="8" t="str">
        <f t="shared" si="2"/>
        <v>qualidade</v>
      </c>
      <c r="F72" s="8" t="str">
        <f>IFERROR(__xludf.DUMMYFUNCTION("""COMPUTED_VALUE"""),"sobre")</f>
        <v>sobre</v>
      </c>
      <c r="G72" s="8" t="str">
        <f t="shared" si="3"/>
        <v>1</v>
      </c>
      <c r="H72" s="9">
        <f t="shared" si="4"/>
        <v>1</v>
      </c>
      <c r="I72" s="10">
        <f>IFERROR(__xludf.DUMMYFUNCTION("MAX(FILTER($H$2:$H466,$E$2:$E466=F72))"),1.0)</f>
        <v>1</v>
      </c>
    </row>
    <row r="73">
      <c r="A73" s="4"/>
      <c r="C73" s="4" t="s">
        <v>3034</v>
      </c>
      <c r="D73" s="4" t="str">
        <f t="shared" si="1"/>
        <v>{"valorA":"excelente","valorB":1}</v>
      </c>
      <c r="E73" s="8" t="str">
        <f t="shared" si="2"/>
        <v>excelente</v>
      </c>
      <c r="F73" s="8" t="str">
        <f>IFERROR(__xludf.DUMMYFUNCTION("""COMPUTED_VALUE"""),"comentários")</f>
        <v>comentários</v>
      </c>
      <c r="G73" s="8" t="str">
        <f t="shared" si="3"/>
        <v>1</v>
      </c>
      <c r="H73" s="9">
        <f t="shared" si="4"/>
        <v>1</v>
      </c>
      <c r="I73" s="10">
        <f>IFERROR(__xludf.DUMMYFUNCTION("MAX(FILTER($H$2:$H466,$E$2:$E466=F73))"),1.0)</f>
        <v>1</v>
      </c>
    </row>
    <row r="74">
      <c r="A74" s="4"/>
      <c r="C74" s="4" t="s">
        <v>3041</v>
      </c>
      <c r="D74" s="4" t="str">
        <f t="shared" si="1"/>
        <v>{"valorA":"resumo","valorB":1}</v>
      </c>
      <c r="E74" s="8" t="str">
        <f t="shared" si="2"/>
        <v>resumo</v>
      </c>
      <c r="F74" s="8" t="str">
        <f>IFERROR(__xludf.DUMMYFUNCTION("""COMPUTED_VALUE"""),"voc")</f>
        <v>voc</v>
      </c>
      <c r="G74" s="8" t="str">
        <f t="shared" si="3"/>
        <v>1</v>
      </c>
      <c r="H74" s="9">
        <f t="shared" si="4"/>
        <v>1</v>
      </c>
      <c r="I74" s="10">
        <f>IFERROR(__xludf.DUMMYFUNCTION("MAX(FILTER($H$2:$H466,$E$2:$E466=F74))"),1.0)</f>
        <v>1</v>
      </c>
    </row>
    <row r="75">
      <c r="A75" s="4"/>
      <c r="C75" s="4" t="s">
        <v>2684</v>
      </c>
      <c r="D75" s="4" t="str">
        <f t="shared" si="1"/>
        <v>{"valorA":"ótimo","valorB":9}</v>
      </c>
      <c r="E75" s="8" t="str">
        <f t="shared" si="2"/>
        <v>ótimo</v>
      </c>
      <c r="F75" s="8" t="str">
        <f>IFERROR(__xludf.DUMMYFUNCTION("""COMPUTED_VALUE"""),"precisava")</f>
        <v>precisava</v>
      </c>
      <c r="G75" s="8" t="str">
        <f t="shared" si="3"/>
        <v>9</v>
      </c>
      <c r="H75" s="9">
        <f t="shared" si="4"/>
        <v>9</v>
      </c>
      <c r="I75" s="10">
        <f>IFERROR(__xludf.DUMMYFUNCTION("MAX(FILTER($H$2:$H466,$E$2:$E466=F75))"),1.0)</f>
        <v>1</v>
      </c>
    </row>
    <row r="76">
      <c r="A76" s="4"/>
      <c r="C76" s="4" t="s">
        <v>2626</v>
      </c>
      <c r="D76" s="4" t="str">
        <f t="shared" si="1"/>
        <v>{"valorA":"frigorífico","valorB":1}</v>
      </c>
      <c r="E76" s="8" t="str">
        <f t="shared" si="2"/>
        <v>frigorífico</v>
      </c>
      <c r="F76" s="8" t="str">
        <f>IFERROR(__xludf.DUMMYFUNCTION("""COMPUTED_VALUE"""),"televisor")</f>
        <v>televisor</v>
      </c>
      <c r="G76" s="8" t="str">
        <f t="shared" si="3"/>
        <v>1</v>
      </c>
      <c r="H76" s="9">
        <f t="shared" si="4"/>
        <v>1</v>
      </c>
      <c r="I76" s="10">
        <f>IFERROR(__xludf.DUMMYFUNCTION("MAX(FILTER($H$2:$H466,$E$2:$E466=F76))"),2.0)</f>
        <v>2</v>
      </c>
    </row>
    <row r="77">
      <c r="A77" s="4"/>
      <c r="C77" s="4" t="s">
        <v>2792</v>
      </c>
      <c r="D77" s="4" t="str">
        <f t="shared" si="1"/>
        <v>{"valorA":"muito","valorB":5}</v>
      </c>
      <c r="E77" s="8" t="str">
        <f t="shared" si="2"/>
        <v>muito</v>
      </c>
      <c r="F77" s="8" t="str">
        <f>IFERROR(__xludf.DUMMYFUNCTION("""COMPUTED_VALUE"""),"precisamente")</f>
        <v>precisamente</v>
      </c>
      <c r="G77" s="8" t="str">
        <f t="shared" si="3"/>
        <v>5</v>
      </c>
      <c r="H77" s="9">
        <f t="shared" si="4"/>
        <v>5</v>
      </c>
      <c r="I77" s="10">
        <f>IFERROR(__xludf.DUMMYFUNCTION("MAX(FILTER($H$2:$H466,$E$2:$E466=F77))"),1.0)</f>
        <v>1</v>
      </c>
    </row>
    <row r="78">
      <c r="A78" s="4"/>
      <c r="C78" s="4" t="s">
        <v>3703</v>
      </c>
      <c r="D78" s="4" t="str">
        <f t="shared" si="1"/>
        <v>{"valorA":"espaçoso","valorB":1}</v>
      </c>
      <c r="E78" s="8" t="str">
        <f t="shared" si="2"/>
        <v>espaçoso</v>
      </c>
      <c r="F78" s="8" t="str">
        <f>IFERROR(__xludf.DUMMYFUNCTION("""COMPUTED_VALUE"""),"achei")</f>
        <v>achei</v>
      </c>
      <c r="G78" s="8" t="str">
        <f t="shared" si="3"/>
        <v>1</v>
      </c>
      <c r="H78" s="9">
        <f t="shared" si="4"/>
        <v>1</v>
      </c>
      <c r="I78" s="10">
        <f>IFERROR(__xludf.DUMMYFUNCTION("MAX(FILTER($H$2:$H466,$E$2:$E466=F78))"),1.0)</f>
        <v>1</v>
      </c>
    </row>
    <row r="79">
      <c r="A79" s="4"/>
      <c r="C79" s="4" t="s">
        <v>2767</v>
      </c>
      <c r="D79" s="4" t="str">
        <f t="shared" si="1"/>
        <v>{"valorA":"é","valorB":3}</v>
      </c>
      <c r="E79" s="8" t="str">
        <f t="shared" si="2"/>
        <v>é</v>
      </c>
      <c r="F79" s="8" t="str">
        <f>IFERROR(__xludf.DUMMYFUNCTION("""COMPUTED_VALUE"""),"valeria")</f>
        <v>valeria</v>
      </c>
      <c r="G79" s="8" t="str">
        <f t="shared" si="3"/>
        <v>3</v>
      </c>
      <c r="H79" s="9">
        <f t="shared" si="4"/>
        <v>3</v>
      </c>
      <c r="I79" s="10">
        <f>IFERROR(__xludf.DUMMYFUNCTION("MAX(FILTER($H$2:$H466,$E$2:$E466=F79))"),1.0)</f>
        <v>1</v>
      </c>
    </row>
    <row r="80">
      <c r="A80" s="4"/>
      <c r="C80" s="4" t="s">
        <v>2777</v>
      </c>
      <c r="D80" s="4" t="str">
        <f t="shared" si="1"/>
        <v>{"valorA":"meu","valorB":2}</v>
      </c>
      <c r="E80" s="8" t="str">
        <f t="shared" si="2"/>
        <v>meu</v>
      </c>
      <c r="F80" s="8" t="str">
        <f>IFERROR(__xludf.DUMMYFUNCTION("""COMPUTED_VALUE"""),"obs")</f>
        <v>obs</v>
      </c>
      <c r="G80" s="8" t="str">
        <f t="shared" si="3"/>
        <v>2</v>
      </c>
      <c r="H80" s="9">
        <f t="shared" si="4"/>
        <v>2</v>
      </c>
      <c r="I80" s="10">
        <f>IFERROR(__xludf.DUMMYFUNCTION("MAX(FILTER($H$2:$H466,$E$2:$E466=F80))"),1.0)</f>
        <v>1</v>
      </c>
    </row>
    <row r="81">
      <c r="A81" s="4"/>
      <c r="C81" s="4" t="s">
        <v>2690</v>
      </c>
      <c r="D81" s="4" t="str">
        <f t="shared" si="1"/>
        <v>{"valorA":"ótimo","valorB":10}</v>
      </c>
      <c r="E81" s="8" t="str">
        <f t="shared" si="2"/>
        <v>ótimo</v>
      </c>
      <c r="F81" s="8" t="str">
        <f>IFERROR(__xludf.DUMMYFUNCTION("""COMPUTED_VALUE"""),"tablet")</f>
        <v>tablet</v>
      </c>
      <c r="G81" s="8" t="str">
        <f t="shared" si="3"/>
        <v>10</v>
      </c>
      <c r="H81" s="9">
        <f t="shared" si="4"/>
        <v>10</v>
      </c>
      <c r="I81" s="10">
        <f>IFERROR(__xludf.DUMMYFUNCTION("MAX(FILTER($H$2:$H466,$E$2:$E466=F81))"),2.0)</f>
        <v>2</v>
      </c>
    </row>
    <row r="82">
      <c r="A82" s="4"/>
      <c r="C82" s="4" t="s">
        <v>2781</v>
      </c>
      <c r="D82" s="4" t="str">
        <f t="shared" si="1"/>
        <v>{"valorA":"o","valorB":3}</v>
      </c>
      <c r="E82" s="8" t="str">
        <f t="shared" si="2"/>
        <v>o</v>
      </c>
      <c r="F82" s="8" t="str">
        <f>IFERROR(__xludf.DUMMYFUNCTION("""COMPUTED_VALUE"""),"acessível")</f>
        <v>acessível</v>
      </c>
      <c r="G82" s="8" t="str">
        <f t="shared" si="3"/>
        <v>3</v>
      </c>
      <c r="H82" s="9">
        <f t="shared" si="4"/>
        <v>3</v>
      </c>
      <c r="I82" s="10">
        <f>IFERROR(__xludf.DUMMYFUNCTION("MAX(FILTER($H$2:$H466,$E$2:$E466=F82))"),2.0)</f>
        <v>2</v>
      </c>
    </row>
    <row r="83">
      <c r="A83" s="4"/>
      <c r="C83" s="4" t="s">
        <v>2910</v>
      </c>
      <c r="D83" s="4" t="str">
        <f t="shared" si="1"/>
        <v>{"valorA":"comprar","valorB":1}</v>
      </c>
      <c r="E83" s="8" t="str">
        <f t="shared" si="2"/>
        <v>comprar</v>
      </c>
      <c r="F83" s="8" t="str">
        <f>IFERROR(__xludf.DUMMYFUNCTION("""COMPUTED_VALUE"""),"very")</f>
        <v>very</v>
      </c>
      <c r="G83" s="8" t="str">
        <f t="shared" si="3"/>
        <v>1</v>
      </c>
      <c r="H83" s="9">
        <f t="shared" si="4"/>
        <v>1</v>
      </c>
      <c r="I83" s="10">
        <f>IFERROR(__xludf.DUMMYFUNCTION("MAX(FILTER($H$2:$H466,$E$2:$E466=F83))"),1.0)</f>
        <v>1</v>
      </c>
    </row>
    <row r="84">
      <c r="A84" s="4"/>
      <c r="C84" s="4" t="s">
        <v>3704</v>
      </c>
      <c r="D84" s="4" t="str">
        <f t="shared" si="1"/>
        <v>{"valorA":"monitor","valorB":1}</v>
      </c>
      <c r="E84" s="8" t="str">
        <f t="shared" si="2"/>
        <v>monitor</v>
      </c>
      <c r="F84" s="8" t="str">
        <f>IFERROR(__xludf.DUMMYFUNCTION("""COMPUTED_VALUE"""),"resultado")</f>
        <v>resultado</v>
      </c>
      <c r="G84" s="8" t="str">
        <f t="shared" si="3"/>
        <v>1</v>
      </c>
      <c r="H84" s="9">
        <f t="shared" si="4"/>
        <v>1</v>
      </c>
      <c r="I84" s="10">
        <f>IFERROR(__xludf.DUMMYFUNCTION("MAX(FILTER($H$2:$H466,$E$2:$E466=F84))"),2.0)</f>
        <v>2</v>
      </c>
    </row>
    <row r="85">
      <c r="A85" s="4"/>
      <c r="C85" s="4" t="s">
        <v>3054</v>
      </c>
      <c r="D85" s="4" t="str">
        <f t="shared" si="1"/>
        <v>{"valorA":"preço","valorB":4}</v>
      </c>
      <c r="E85" s="8" t="str">
        <f t="shared" si="2"/>
        <v>preço</v>
      </c>
      <c r="F85" s="8" t="str">
        <f>IFERROR(__xludf.DUMMYFUNCTION("""COMPUTED_VALUE"""),"comprei")</f>
        <v>comprei</v>
      </c>
      <c r="G85" s="8" t="str">
        <f t="shared" si="3"/>
        <v>4</v>
      </c>
      <c r="H85" s="9">
        <f t="shared" si="4"/>
        <v>4</v>
      </c>
      <c r="I85" s="10">
        <f>IFERROR(__xludf.DUMMYFUNCTION("MAX(FILTER($H$2:$H466,$E$2:$E466=F85))"),3.0)</f>
        <v>3</v>
      </c>
    </row>
    <row r="86">
      <c r="A86" s="4"/>
      <c r="C86" s="4" t="s">
        <v>2720</v>
      </c>
      <c r="D86" s="4" t="str">
        <f t="shared" si="1"/>
        <v>{"valorA":"de","valorB":2}</v>
      </c>
      <c r="E86" s="8" t="str">
        <f t="shared" si="2"/>
        <v>de</v>
      </c>
      <c r="F86" s="8" t="str">
        <f>IFERROR(__xludf.DUMMYFUNCTION("""COMPUTED_VALUE"""),"feliz")</f>
        <v>feliz</v>
      </c>
      <c r="G86" s="8" t="str">
        <f t="shared" si="3"/>
        <v>2</v>
      </c>
      <c r="H86" s="9">
        <f t="shared" si="4"/>
        <v>2</v>
      </c>
      <c r="I86" s="10">
        <f>IFERROR(__xludf.DUMMYFUNCTION("MAX(FILTER($H$2:$H466,$E$2:$E466=F86))"),2.0)</f>
        <v>2</v>
      </c>
    </row>
    <row r="87">
      <c r="A87" s="4"/>
      <c r="C87" s="4" t="s">
        <v>2676</v>
      </c>
      <c r="D87" s="4" t="str">
        <f t="shared" si="1"/>
        <v>{"valorA":"e","valorB":2}</v>
      </c>
      <c r="E87" s="8" t="str">
        <f t="shared" si="2"/>
        <v>e</v>
      </c>
      <c r="F87" s="8" t="str">
        <f>IFERROR(__xludf.DUMMYFUNCTION("""COMPUTED_VALUE"""),"pai")</f>
        <v>pai</v>
      </c>
      <c r="G87" s="8" t="str">
        <f t="shared" si="3"/>
        <v>2</v>
      </c>
      <c r="H87" s="9">
        <f t="shared" si="4"/>
        <v>2</v>
      </c>
      <c r="I87" s="10">
        <f>IFERROR(__xludf.DUMMYFUNCTION("MAX(FILTER($H$2:$H466,$E$2:$E466=F87))"),2.0)</f>
        <v>2</v>
      </c>
    </row>
    <row r="88">
      <c r="A88" s="4"/>
      <c r="C88" s="4" t="s">
        <v>2654</v>
      </c>
      <c r="D88" s="4" t="str">
        <f t="shared" si="1"/>
        <v>{"valorA":"do","valorB":1}</v>
      </c>
      <c r="E88" s="8" t="str">
        <f t="shared" si="2"/>
        <v>do</v>
      </c>
      <c r="F88" s="8" t="str">
        <f>IFERROR(__xludf.DUMMYFUNCTION("""COMPUTED_VALUE"""),"está")</f>
        <v>está</v>
      </c>
      <c r="G88" s="8" t="str">
        <f t="shared" si="3"/>
        <v>1</v>
      </c>
      <c r="H88" s="9">
        <f t="shared" si="4"/>
        <v>1</v>
      </c>
      <c r="I88" s="10">
        <f>IFERROR(__xludf.DUMMYFUNCTION("MAX(FILTER($H$2:$H466,$E$2:$E466=F88))"),1.0)</f>
        <v>1</v>
      </c>
    </row>
    <row r="89">
      <c r="A89" s="4"/>
      <c r="C89" s="4" t="s">
        <v>3705</v>
      </c>
      <c r="D89" s="4" t="str">
        <f t="shared" si="1"/>
        <v>{"valorA":"novamente","valorB":1}</v>
      </c>
      <c r="E89" s="8" t="str">
        <f t="shared" si="2"/>
        <v>novamente</v>
      </c>
      <c r="F89" s="8" t="str">
        <f>IFERROR(__xludf.DUMMYFUNCTION("""COMPUTED_VALUE"""),"satisfeito")</f>
        <v>satisfeito</v>
      </c>
      <c r="G89" s="8" t="str">
        <f t="shared" si="3"/>
        <v>1</v>
      </c>
      <c r="H89" s="9">
        <f t="shared" si="4"/>
        <v>1</v>
      </c>
      <c r="I89" s="10">
        <f>IFERROR(__xludf.DUMMYFUNCTION("MAX(FILTER($H$2:$H466,$E$2:$E466=F89))"),1.0)</f>
        <v>1</v>
      </c>
    </row>
    <row r="90">
      <c r="A90" s="4"/>
      <c r="C90" s="4" t="s">
        <v>2814</v>
      </c>
      <c r="D90" s="4" t="str">
        <f t="shared" si="1"/>
        <v>{"valorA":"com","valorB":2}</v>
      </c>
      <c r="E90" s="8" t="str">
        <f t="shared" si="2"/>
        <v>com</v>
      </c>
      <c r="F90" s="8" t="str">
        <f>IFERROR(__xludf.DUMMYFUNCTION("""COMPUTED_VALUE"""),"tv")</f>
        <v>tv</v>
      </c>
      <c r="G90" s="8" t="str">
        <f t="shared" si="3"/>
        <v>2</v>
      </c>
      <c r="H90" s="9">
        <f t="shared" si="4"/>
        <v>2</v>
      </c>
      <c r="I90" s="10">
        <f>IFERROR(__xludf.DUMMYFUNCTION("MAX(FILTER($H$2:$H466,$E$2:$E466=F90))"),1.0)</f>
        <v>1</v>
      </c>
    </row>
    <row r="91">
      <c r="A91" s="4"/>
      <c r="C91" s="4" t="s">
        <v>3706</v>
      </c>
      <c r="D91" s="4" t="str">
        <f t="shared" si="1"/>
        <v>{"valorA":"gostaria","valorB":1}</v>
      </c>
      <c r="E91" s="8" t="str">
        <f t="shared" si="2"/>
        <v>gostaria</v>
      </c>
      <c r="F91" s="8" t="str">
        <f>IFERROR(__xludf.DUMMYFUNCTION("""COMPUTED_VALUE"""),"led")</f>
        <v>led</v>
      </c>
      <c r="G91" s="8" t="str">
        <f t="shared" si="3"/>
        <v>1</v>
      </c>
      <c r="H91" s="9">
        <f t="shared" si="4"/>
        <v>1</v>
      </c>
      <c r="I91" s="10">
        <f>IFERROR(__xludf.DUMMYFUNCTION("MAX(FILTER($H$2:$H466,$E$2:$E466=F91))"),1.0)</f>
        <v>1</v>
      </c>
    </row>
    <row r="92">
      <c r="A92" s="4"/>
      <c r="C92" s="4" t="s">
        <v>2920</v>
      </c>
      <c r="D92" s="4" t="str">
        <f t="shared" si="1"/>
        <v>{"valorA":"qualidade","valorB":2}</v>
      </c>
      <c r="E92" s="8" t="str">
        <f t="shared" si="2"/>
        <v>qualidade</v>
      </c>
      <c r="F92" s="8" t="str">
        <f>IFERROR(__xludf.DUMMYFUNCTION("""COMPUTED_VALUE"""),"super")</f>
        <v>super</v>
      </c>
      <c r="G92" s="8" t="str">
        <f t="shared" si="3"/>
        <v>2</v>
      </c>
      <c r="H92" s="9">
        <f t="shared" si="4"/>
        <v>2</v>
      </c>
      <c r="I92" s="10">
        <f>IFERROR(__xludf.DUMMYFUNCTION("MAX(FILTER($H$2:$H466,$E$2:$E466=F92))"),1.0)</f>
        <v>1</v>
      </c>
    </row>
    <row r="93">
      <c r="A93" s="4"/>
      <c r="C93" s="4" t="s">
        <v>2897</v>
      </c>
      <c r="D93" s="4" t="str">
        <f t="shared" si="1"/>
        <v>{"valorA":"meu","valorB":3}</v>
      </c>
      <c r="E93" s="8" t="str">
        <f t="shared" si="2"/>
        <v>meu</v>
      </c>
      <c r="F93" s="8" t="str">
        <f>IFERROR(__xludf.DUMMYFUNCTION("""COMPUTED_VALUE"""),"durável")</f>
        <v>durável</v>
      </c>
      <c r="G93" s="8" t="str">
        <f t="shared" si="3"/>
        <v>3</v>
      </c>
      <c r="H93" s="9">
        <f t="shared" si="4"/>
        <v>3</v>
      </c>
      <c r="I93" s="10">
        <f>IFERROR(__xludf.DUMMYFUNCTION("MAX(FILTER($H$2:$H466,$E$2:$E466=F93))"),1.0)</f>
        <v>1</v>
      </c>
    </row>
    <row r="94">
      <c r="A94" s="4"/>
      <c r="C94" s="4" t="s">
        <v>3049</v>
      </c>
      <c r="D94" s="4" t="str">
        <f t="shared" si="1"/>
        <v>{"valorA":"resumo","valorB":2}</v>
      </c>
      <c r="E94" s="8" t="str">
        <f t="shared" si="2"/>
        <v>resumo</v>
      </c>
      <c r="F94" s="8" t="str">
        <f>IFERROR(__xludf.DUMMYFUNCTION("""COMPUTED_VALUE"""),"faltando")</f>
        <v>faltando</v>
      </c>
      <c r="G94" s="8" t="str">
        <f t="shared" si="3"/>
        <v>2</v>
      </c>
      <c r="H94" s="9">
        <f t="shared" si="4"/>
        <v>2</v>
      </c>
      <c r="I94" s="10">
        <f>IFERROR(__xludf.DUMMYFUNCTION("MAX(FILTER($H$2:$H466,$E$2:$E466=F94))"),1.0)</f>
        <v>1</v>
      </c>
    </row>
    <row r="95">
      <c r="A95" s="4"/>
      <c r="C95" s="4" t="s">
        <v>2698</v>
      </c>
      <c r="D95" s="4" t="str">
        <f t="shared" si="1"/>
        <v>{"valorA":"ótimo","valorB":11}</v>
      </c>
      <c r="E95" s="8" t="str">
        <f t="shared" si="2"/>
        <v>ótimo</v>
      </c>
      <c r="F95" s="8" t="str">
        <f>IFERROR(__xludf.DUMMYFUNCTION("""COMPUTED_VALUE"""),"funcionalidades")</f>
        <v>funcionalidades</v>
      </c>
      <c r="G95" s="8" t="str">
        <f t="shared" si="3"/>
        <v>11</v>
      </c>
      <c r="H95" s="9">
        <f t="shared" si="4"/>
        <v>11</v>
      </c>
      <c r="I95" s="10">
        <f>IFERROR(__xludf.DUMMYFUNCTION("MAX(FILTER($H$2:$H466,$E$2:$E466=F95))"),2.0)</f>
        <v>2</v>
      </c>
    </row>
    <row r="96">
      <c r="A96" s="4"/>
      <c r="C96" s="4" t="s">
        <v>2693</v>
      </c>
      <c r="D96" s="4" t="str">
        <f t="shared" si="1"/>
        <v>{"valorA":"produto","valorB":7}</v>
      </c>
      <c r="E96" s="8" t="str">
        <f t="shared" si="2"/>
        <v>produto</v>
      </c>
      <c r="F96" s="8" t="str">
        <f>IFERROR(__xludf.DUMMYFUNCTION("""COMPUTED_VALUE"""),"redução")</f>
        <v>redução</v>
      </c>
      <c r="G96" s="8" t="str">
        <f t="shared" si="3"/>
        <v>7</v>
      </c>
      <c r="H96" s="9">
        <f t="shared" si="4"/>
        <v>7</v>
      </c>
      <c r="I96" s="10">
        <f>IFERROR(__xludf.DUMMYFUNCTION("MAX(FILTER($H$2:$H466,$E$2:$E466=F96))"),1.0)</f>
        <v>1</v>
      </c>
    </row>
    <row r="97">
      <c r="A97" s="4"/>
      <c r="C97" s="4" t="s">
        <v>3108</v>
      </c>
      <c r="D97" s="4" t="str">
        <f t="shared" si="1"/>
        <v>{"valorA":"valeu","valorB":2}</v>
      </c>
      <c r="E97" s="8" t="str">
        <f t="shared" si="2"/>
        <v>valeu</v>
      </c>
      <c r="F97" s="8" t="str">
        <f>IFERROR(__xludf.DUMMYFUNCTION("""COMPUTED_VALUE"""),"alto")</f>
        <v>alto</v>
      </c>
      <c r="G97" s="8" t="str">
        <f t="shared" si="3"/>
        <v>2</v>
      </c>
      <c r="H97" s="9">
        <f t="shared" si="4"/>
        <v>2</v>
      </c>
      <c r="I97" s="10">
        <f>IFERROR(__xludf.DUMMYFUNCTION("MAX(FILTER($H$2:$H466,$E$2:$E466=F97))"),1.0)</f>
        <v>1</v>
      </c>
    </row>
    <row r="98">
      <c r="A98" s="4"/>
      <c r="C98" s="4" t="s">
        <v>2686</v>
      </c>
      <c r="D98" s="4" t="str">
        <f t="shared" si="1"/>
        <v>{"valorA":"a","valorB":3}</v>
      </c>
      <c r="E98" s="8" t="str">
        <f t="shared" si="2"/>
        <v>a</v>
      </c>
      <c r="F98" s="8" t="str">
        <f>IFERROR(__xludf.DUMMYFUNCTION("""COMPUTED_VALUE"""),"ver")</f>
        <v>ver</v>
      </c>
      <c r="G98" s="8" t="str">
        <f t="shared" si="3"/>
        <v>3</v>
      </c>
      <c r="H98" s="9">
        <f t="shared" si="4"/>
        <v>3</v>
      </c>
      <c r="I98" s="10">
        <f>IFERROR(__xludf.DUMMYFUNCTION("MAX(FILTER($H$2:$H466,$E$2:$E466=F98))"),1.0)</f>
        <v>1</v>
      </c>
    </row>
    <row r="99">
      <c r="A99" s="4"/>
      <c r="C99" s="4" t="s">
        <v>2646</v>
      </c>
      <c r="D99" s="4" t="str">
        <f t="shared" si="1"/>
        <v>{"valorA":"perfeitamente","valorB":1}</v>
      </c>
      <c r="E99" s="8" t="str">
        <f t="shared" si="2"/>
        <v>perfeitamente</v>
      </c>
      <c r="F99" s="8" t="str">
        <f>IFERROR(__xludf.DUMMYFUNCTION("""COMPUTED_VALUE"""),"preços")</f>
        <v>preços</v>
      </c>
      <c r="G99" s="8" t="str">
        <f t="shared" si="3"/>
        <v>1</v>
      </c>
      <c r="H99" s="9">
        <f t="shared" si="4"/>
        <v>1</v>
      </c>
      <c r="I99" s="10">
        <f>IFERROR(__xludf.DUMMYFUNCTION("MAX(FILTER($H$2:$H466,$E$2:$E466=F99))"),1.0)</f>
        <v>1</v>
      </c>
    </row>
    <row r="100">
      <c r="A100" s="4"/>
      <c r="C100" s="4" t="s">
        <v>2712</v>
      </c>
      <c r="D100" s="4" t="str">
        <f t="shared" si="1"/>
        <v>{"valorA":"funciona","valorB":3}</v>
      </c>
      <c r="E100" s="8" t="str">
        <f t="shared" si="2"/>
        <v>funciona</v>
      </c>
      <c r="F100" s="8" t="str">
        <f>IFERROR(__xludf.DUMMYFUNCTION("""COMPUTED_VALUE"""),"nos")</f>
        <v>nos</v>
      </c>
      <c r="G100" s="8" t="str">
        <f t="shared" si="3"/>
        <v>3</v>
      </c>
      <c r="H100" s="9">
        <f t="shared" si="4"/>
        <v>3</v>
      </c>
      <c r="I100" s="10">
        <f>IFERROR(__xludf.DUMMYFUNCTION("MAX(FILTER($H$2:$H466,$E$2:$E466=F100))"),1.0)</f>
        <v>1</v>
      </c>
    </row>
    <row r="101">
      <c r="A101" s="4"/>
      <c r="C101" s="4" t="s">
        <v>3161</v>
      </c>
      <c r="D101" s="4" t="str">
        <f t="shared" si="1"/>
        <v>{"valorA":"espera","valorB":1}</v>
      </c>
      <c r="E101" s="8" t="str">
        <f t="shared" si="2"/>
        <v>espera</v>
      </c>
      <c r="F101" s="8" t="str">
        <f>IFERROR(__xludf.DUMMYFUNCTION("""COMPUTED_VALUE"""),"coment")</f>
        <v>coment</v>
      </c>
      <c r="G101" s="8" t="str">
        <f t="shared" si="3"/>
        <v>1</v>
      </c>
      <c r="H101" s="9">
        <f t="shared" si="4"/>
        <v>1</v>
      </c>
      <c r="I101" s="10">
        <f>IFERROR(__xludf.DUMMYFUNCTION("MAX(FILTER($H$2:$H466,$E$2:$E466=F101))"),1.0)</f>
        <v>1</v>
      </c>
    </row>
    <row r="102">
      <c r="A102" s="4"/>
      <c r="C102" s="4" t="s">
        <v>2702</v>
      </c>
      <c r="D102" s="4" t="str">
        <f t="shared" si="1"/>
        <v>{"valorA":"ótimo","valorB":12}</v>
      </c>
      <c r="E102" s="8" t="str">
        <f t="shared" si="2"/>
        <v>ótimo</v>
      </c>
      <c r="F102" s="8" t="str">
        <f>IFERROR(__xludf.DUMMYFUNCTION("""COMPUTED_VALUE"""),"confiabilidade")</f>
        <v>confiabilidade</v>
      </c>
      <c r="G102" s="8" t="str">
        <f t="shared" si="3"/>
        <v>12</v>
      </c>
      <c r="H102" s="9">
        <f t="shared" si="4"/>
        <v>12</v>
      </c>
      <c r="I102" s="10">
        <f>IFERROR(__xludf.DUMMYFUNCTION("MAX(FILTER($H$2:$H466,$E$2:$E466=F102))"),1.0)</f>
        <v>1</v>
      </c>
    </row>
    <row r="103">
      <c r="A103" s="4"/>
      <c r="C103" s="4" t="s">
        <v>2759</v>
      </c>
      <c r="D103" s="4" t="str">
        <f t="shared" si="1"/>
        <v>{"valorA":"para","valorB":4}</v>
      </c>
      <c r="E103" s="8" t="str">
        <f t="shared" si="2"/>
        <v>para</v>
      </c>
      <c r="F103" s="8" t="str">
        <f>IFERROR(__xludf.DUMMYFUNCTION("""COMPUTED_VALUE"""),"facilidade")</f>
        <v>facilidade</v>
      </c>
      <c r="G103" s="8" t="str">
        <f t="shared" si="3"/>
        <v>4</v>
      </c>
      <c r="H103" s="9">
        <f t="shared" si="4"/>
        <v>4</v>
      </c>
      <c r="I103" s="10">
        <f>IFERROR(__xludf.DUMMYFUNCTION("MAX(FILTER($H$2:$H466,$E$2:$E466=F103))"),1.0)</f>
        <v>1</v>
      </c>
    </row>
    <row r="104">
      <c r="A104" s="4"/>
      <c r="C104" s="4" t="s">
        <v>2733</v>
      </c>
      <c r="D104" s="4" t="str">
        <f t="shared" si="1"/>
        <v>{"valorA":"quem","valorB":1}</v>
      </c>
      <c r="E104" s="8" t="str">
        <f t="shared" si="2"/>
        <v>quem</v>
      </c>
      <c r="F104" s="8" t="str">
        <f>IFERROR(__xludf.DUMMYFUNCTION("""COMPUTED_VALUE"""),"limpa")</f>
        <v>limpa</v>
      </c>
      <c r="G104" s="8" t="str">
        <f t="shared" si="3"/>
        <v>1</v>
      </c>
      <c r="H104" s="9">
        <f t="shared" si="4"/>
        <v>1</v>
      </c>
      <c r="I104" s="10">
        <f>IFERROR(__xludf.DUMMYFUNCTION("MAX(FILTER($H$2:$H466,$E$2:$E466=F104))"),1.0)</f>
        <v>1</v>
      </c>
    </row>
    <row r="105">
      <c r="A105" s="4"/>
      <c r="C105" s="4" t="s">
        <v>2704</v>
      </c>
      <c r="D105" s="4" t="str">
        <f t="shared" si="1"/>
        <v>{"valorA":"produto","valorB":8}</v>
      </c>
      <c r="E105" s="8" t="str">
        <f t="shared" si="2"/>
        <v>produto</v>
      </c>
      <c r="F105" s="8" t="str">
        <f>IFERROR(__xludf.DUMMYFUNCTION("""COMPUTED_VALUE"""),"telesscope")</f>
        <v>telesscope</v>
      </c>
      <c r="G105" s="8" t="str">
        <f t="shared" si="3"/>
        <v>8</v>
      </c>
      <c r="H105" s="9">
        <f t="shared" si="4"/>
        <v>8</v>
      </c>
      <c r="I105" s="10">
        <f>IFERROR(__xludf.DUMMYFUNCTION("MAX(FILTER($H$2:$H466,$E$2:$E466=F105))"),1.0)</f>
        <v>1</v>
      </c>
    </row>
    <row r="106">
      <c r="A106" s="4"/>
      <c r="C106" s="4" t="s">
        <v>2628</v>
      </c>
      <c r="D106" s="4" t="str">
        <f t="shared" si="1"/>
        <v>{"valorA":"gostei","valorB":1}</v>
      </c>
      <c r="E106" s="8" t="str">
        <f t="shared" si="2"/>
        <v>gostei</v>
      </c>
      <c r="F106" s="8" t="str">
        <f>IFERROR(__xludf.DUMMYFUNCTION("""COMPUTED_VALUE"""),"esse")</f>
        <v>esse</v>
      </c>
      <c r="G106" s="8" t="str">
        <f t="shared" si="3"/>
        <v>1</v>
      </c>
      <c r="H106" s="9">
        <f t="shared" si="4"/>
        <v>1</v>
      </c>
      <c r="I106" s="10">
        <f>IFERROR(__xludf.DUMMYFUNCTION("MAX(FILTER($H$2:$H466,$E$2:$E466=F106))"),2.0)</f>
        <v>2</v>
      </c>
    </row>
    <row r="107">
      <c r="A107" s="4"/>
      <c r="C107" s="4" t="s">
        <v>2736</v>
      </c>
      <c r="D107" s="4" t="str">
        <f t="shared" si="1"/>
        <v>{"valorA":"de","valorB":3}</v>
      </c>
      <c r="E107" s="8" t="str">
        <f t="shared" si="2"/>
        <v>de</v>
      </c>
      <c r="F107" s="8" t="str">
        <f>IFERROR(__xludf.DUMMYFUNCTION("""COMPUTED_VALUE"""),"bonito")</f>
        <v>bonito</v>
      </c>
      <c r="G107" s="8" t="str">
        <f t="shared" si="3"/>
        <v>3</v>
      </c>
      <c r="H107" s="9">
        <f t="shared" si="4"/>
        <v>3</v>
      </c>
      <c r="I107" s="10">
        <f>IFERROR(__xludf.DUMMYFUNCTION("MAX(FILTER($H$2:$H466,$E$2:$E466=F107))"),1.0)</f>
        <v>1</v>
      </c>
    </row>
    <row r="108">
      <c r="A108" s="4"/>
      <c r="C108" s="4" t="s">
        <v>2811</v>
      </c>
      <c r="D108" s="4" t="str">
        <f t="shared" si="1"/>
        <v>{"valorA":"muito","valorB":6}</v>
      </c>
      <c r="E108" s="8" t="str">
        <f t="shared" si="2"/>
        <v>muito</v>
      </c>
      <c r="F108" s="8" t="str">
        <f>IFERROR(__xludf.DUMMYFUNCTION("""COMPUTED_VALUE"""),"funcional")</f>
        <v>funcional</v>
      </c>
      <c r="G108" s="8" t="str">
        <f t="shared" si="3"/>
        <v>6</v>
      </c>
      <c r="H108" s="9">
        <f t="shared" si="4"/>
        <v>6</v>
      </c>
      <c r="I108" s="10">
        <f>IFERROR(__xludf.DUMMYFUNCTION("MAX(FILTER($H$2:$H466,$E$2:$E466=F108))"),1.0)</f>
        <v>1</v>
      </c>
    </row>
    <row r="109">
      <c r="A109" s="4"/>
      <c r="C109" s="4" t="s">
        <v>3373</v>
      </c>
      <c r="D109" s="4" t="str">
        <f t="shared" si="1"/>
        <v>{"valorA":"uma","valorB":2}</v>
      </c>
      <c r="E109" s="8" t="str">
        <f t="shared" si="2"/>
        <v>uma</v>
      </c>
      <c r="F109" s="8" t="str">
        <f>IFERROR(__xludf.DUMMYFUNCTION("""COMPUTED_VALUE"""),"relógio")</f>
        <v>relógio</v>
      </c>
      <c r="G109" s="8" t="str">
        <f t="shared" si="3"/>
        <v>2</v>
      </c>
      <c r="H109" s="9">
        <f t="shared" si="4"/>
        <v>2</v>
      </c>
      <c r="I109" s="10">
        <f>IFERROR(__xludf.DUMMYFUNCTION("MAX(FILTER($H$2:$H466,$E$2:$E466=F109))"),1.0)</f>
        <v>1</v>
      </c>
    </row>
    <row r="110">
      <c r="A110" s="4"/>
      <c r="C110" s="4" t="s">
        <v>3089</v>
      </c>
      <c r="D110" s="4" t="str">
        <f t="shared" si="1"/>
        <v>{"valorA":"busca","valorB":1}</v>
      </c>
      <c r="E110" s="8" t="str">
        <f t="shared" si="2"/>
        <v>busca</v>
      </c>
      <c r="F110" s="8" t="str">
        <f>IFERROR(__xludf.DUMMYFUNCTION("""COMPUTED_VALUE"""),"eu")</f>
        <v>eu</v>
      </c>
      <c r="G110" s="8" t="str">
        <f t="shared" si="3"/>
        <v>1</v>
      </c>
      <c r="H110" s="9">
        <f t="shared" si="4"/>
        <v>1</v>
      </c>
      <c r="I110" s="10">
        <f>IFERROR(__xludf.DUMMYFUNCTION("MAX(FILTER($H$2:$H466,$E$2:$E466=F110))"),1.0)</f>
        <v>1</v>
      </c>
    </row>
    <row r="111">
      <c r="A111" s="4"/>
      <c r="C111" s="4" t="s">
        <v>3127</v>
      </c>
      <c r="D111" s="4" t="str">
        <f t="shared" si="1"/>
        <v>{"valorA":"qualidade","valorB":3}</v>
      </c>
      <c r="E111" s="8" t="str">
        <f t="shared" si="2"/>
        <v>qualidade</v>
      </c>
      <c r="F111" s="8" t="str">
        <f>IFERROR(__xludf.DUMMYFUNCTION("""COMPUTED_VALUE"""),"amo")</f>
        <v>amo</v>
      </c>
      <c r="G111" s="8" t="str">
        <f t="shared" si="3"/>
        <v>3</v>
      </c>
      <c r="H111" s="9">
        <f t="shared" si="4"/>
        <v>3</v>
      </c>
      <c r="I111" s="10">
        <f>IFERROR(__xludf.DUMMYFUNCTION("MAX(FILTER($H$2:$H466,$E$2:$E466=F111))"),1.0)</f>
        <v>1</v>
      </c>
    </row>
    <row r="112">
      <c r="A112" s="4"/>
      <c r="C112" s="4" t="s">
        <v>3707</v>
      </c>
      <c r="D112" s="4" t="str">
        <f t="shared" si="1"/>
        <v>{"valorA":"bateria","valorB":1}</v>
      </c>
      <c r="E112" s="8" t="str">
        <f t="shared" si="2"/>
        <v>bateria</v>
      </c>
      <c r="F112" s="8" t="str">
        <f>IFERROR(__xludf.DUMMYFUNCTION("""COMPUTED_VALUE"""),"precisa")</f>
        <v>precisa</v>
      </c>
      <c r="G112" s="8" t="str">
        <f t="shared" si="3"/>
        <v>1</v>
      </c>
      <c r="H112" s="9">
        <f t="shared" si="4"/>
        <v>1</v>
      </c>
      <c r="I112" s="10">
        <f>IFERROR(__xludf.DUMMYFUNCTION("MAX(FILTER($H$2:$H466,$E$2:$E466=F112))"),2.0)</f>
        <v>2</v>
      </c>
    </row>
    <row r="113">
      <c r="A113" s="4"/>
      <c r="C113" s="4" t="s">
        <v>2710</v>
      </c>
      <c r="D113" s="4" t="str">
        <f t="shared" si="1"/>
        <v>{"valorA":"ótimo","valorB":13}</v>
      </c>
      <c r="E113" s="8" t="str">
        <f t="shared" si="2"/>
        <v>ótimo</v>
      </c>
      <c r="F113" s="8" t="str">
        <f>IFERROR(__xludf.DUMMYFUNCTION("""COMPUTED_VALUE"""),"computador")</f>
        <v>computador</v>
      </c>
      <c r="G113" s="8" t="str">
        <f t="shared" si="3"/>
        <v>13</v>
      </c>
      <c r="H113" s="9">
        <f t="shared" si="4"/>
        <v>13</v>
      </c>
      <c r="I113" s="10">
        <f>IFERROR(__xludf.DUMMYFUNCTION("MAX(FILTER($H$2:$H466,$E$2:$E466=F113))"),2.0)</f>
        <v>2</v>
      </c>
    </row>
    <row r="114">
      <c r="A114" s="4"/>
      <c r="C114" s="4" t="s">
        <v>3086</v>
      </c>
      <c r="D114" s="4" t="str">
        <f t="shared" si="1"/>
        <v>{"valorA":"preço","valorB":5}</v>
      </c>
      <c r="E114" s="8" t="str">
        <f t="shared" si="2"/>
        <v>preço</v>
      </c>
      <c r="F114" s="8" t="str">
        <f>IFERROR(__xludf.DUMMYFUNCTION("""COMPUTED_VALUE"""),"portátil")</f>
        <v>portátil</v>
      </c>
      <c r="G114" s="8" t="str">
        <f t="shared" si="3"/>
        <v>5</v>
      </c>
      <c r="H114" s="9">
        <f t="shared" si="4"/>
        <v>5</v>
      </c>
      <c r="I114" s="10">
        <f>IFERROR(__xludf.DUMMYFUNCTION("MAX(FILTER($H$2:$H466,$E$2:$E466=F114))"),2.0)</f>
        <v>2</v>
      </c>
    </row>
    <row r="115">
      <c r="A115" s="4"/>
      <c r="C115" s="4" t="s">
        <v>3024</v>
      </c>
      <c r="D115" s="4" t="str">
        <f t="shared" si="1"/>
        <v>{"valorA":"tão","valorB":1}</v>
      </c>
      <c r="E115" s="8" t="str">
        <f t="shared" si="2"/>
        <v>tão</v>
      </c>
      <c r="F115" s="8" t="str">
        <f>IFERROR(__xludf.DUMMYFUNCTION("""COMPUTED_VALUE"""),"barato")</f>
        <v>barato</v>
      </c>
      <c r="G115" s="8" t="str">
        <f t="shared" si="3"/>
        <v>1</v>
      </c>
      <c r="H115" s="9">
        <f t="shared" si="4"/>
        <v>1</v>
      </c>
      <c r="I115" s="10">
        <f>IFERROR(__xludf.DUMMYFUNCTION("MAX(FILTER($H$2:$H466,$E$2:$E466=F115))"),1.0)</f>
        <v>1</v>
      </c>
    </row>
    <row r="116">
      <c r="A116" s="4"/>
      <c r="C116" s="4" t="s">
        <v>3025</v>
      </c>
      <c r="D116" s="4" t="str">
        <f t="shared" si="1"/>
        <v>{"valorA":"um","valorB":1}</v>
      </c>
      <c r="E116" s="8" t="str">
        <f t="shared" si="2"/>
        <v>um</v>
      </c>
      <c r="F116" s="8" t="str">
        <f>IFERROR(__xludf.DUMMYFUNCTION("""COMPUTED_VALUE"""),"todos")</f>
        <v>todos</v>
      </c>
      <c r="G116" s="8" t="str">
        <f t="shared" si="3"/>
        <v>1</v>
      </c>
      <c r="H116" s="9">
        <f t="shared" si="4"/>
        <v>1</v>
      </c>
      <c r="I116" s="10">
        <f>IFERROR(__xludf.DUMMYFUNCTION("MAX(FILTER($H$2:$H466,$E$2:$E466=F116))"),2.0)</f>
        <v>2</v>
      </c>
    </row>
    <row r="117">
      <c r="A117" s="4"/>
      <c r="C117" s="4" t="s">
        <v>2835</v>
      </c>
      <c r="D117" s="4" t="str">
        <f t="shared" si="1"/>
        <v>{"valorA":"muito","valorB":7}</v>
      </c>
      <c r="E117" s="8" t="str">
        <f t="shared" si="2"/>
        <v>muito</v>
      </c>
      <c r="F117" s="8" t="str">
        <f>IFERROR(__xludf.DUMMYFUNCTION("""COMPUTED_VALUE"""),"resposta")</f>
        <v>resposta</v>
      </c>
      <c r="G117" s="8" t="str">
        <f t="shared" si="3"/>
        <v>7</v>
      </c>
      <c r="H117" s="9">
        <f t="shared" si="4"/>
        <v>7</v>
      </c>
      <c r="I117" s="10">
        <f>IFERROR(__xludf.DUMMYFUNCTION("MAX(FILTER($H$2:$H466,$E$2:$E466=F117))"),1.0)</f>
        <v>1</v>
      </c>
    </row>
    <row r="118">
      <c r="A118" s="4"/>
      <c r="C118" s="4" t="s">
        <v>2717</v>
      </c>
      <c r="D118" s="4" t="str">
        <f t="shared" si="1"/>
        <v>{"valorA":"produto","valorB":9}</v>
      </c>
      <c r="E118" s="8" t="str">
        <f t="shared" si="2"/>
        <v>produto</v>
      </c>
      <c r="F118" s="8" t="str">
        <f>IFERROR(__xludf.DUMMYFUNCTION("""COMPUTED_VALUE"""),"caro")</f>
        <v>caro</v>
      </c>
      <c r="G118" s="8" t="str">
        <f t="shared" si="3"/>
        <v>9</v>
      </c>
      <c r="H118" s="9">
        <f t="shared" si="4"/>
        <v>9</v>
      </c>
      <c r="I118" s="10">
        <f>IFERROR(__xludf.DUMMYFUNCTION("MAX(FILTER($H$2:$H466,$E$2:$E466=F118))"),1.0)</f>
        <v>1</v>
      </c>
    </row>
    <row r="119">
      <c r="A119" s="4"/>
      <c r="C119" s="4" t="s">
        <v>2805</v>
      </c>
      <c r="D119" s="4" t="str">
        <f t="shared" si="1"/>
        <v>{"valorA":"para","valorB":5}</v>
      </c>
      <c r="E119" s="8" t="str">
        <f t="shared" si="2"/>
        <v>para</v>
      </c>
      <c r="F119" s="8" t="str">
        <f>IFERROR(__xludf.DUMMYFUNCTION("""COMPUTED_VALUE"""),"das")</f>
        <v>das</v>
      </c>
      <c r="G119" s="8" t="str">
        <f t="shared" si="3"/>
        <v>5</v>
      </c>
      <c r="H119" s="9">
        <f t="shared" si="4"/>
        <v>5</v>
      </c>
      <c r="I119" s="10">
        <f>IFERROR(__xludf.DUMMYFUNCTION("MAX(FILTER($H$2:$H466,$E$2:$E466=F119))"),1.0)</f>
        <v>1</v>
      </c>
    </row>
    <row r="120">
      <c r="A120" s="4"/>
      <c r="C120" s="4" t="s">
        <v>3087</v>
      </c>
      <c r="D120" s="4" t="str">
        <f t="shared" si="1"/>
        <v>{"valorA":"blender","valorB":1}</v>
      </c>
      <c r="E120" s="8" t="str">
        <f t="shared" si="2"/>
        <v>blender</v>
      </c>
      <c r="F120" s="8" t="str">
        <f>IFERROR(__xludf.DUMMYFUNCTION("""COMPUTED_VALUE"""),"sem")</f>
        <v>sem</v>
      </c>
      <c r="G120" s="8" t="str">
        <f t="shared" si="3"/>
        <v>1</v>
      </c>
      <c r="H120" s="9">
        <f t="shared" si="4"/>
        <v>1</v>
      </c>
      <c r="I120" s="10">
        <f>IFERROR(__xludf.DUMMYFUNCTION("MAX(FILTER($H$2:$H466,$E$2:$E466=F120))"),1.0)</f>
        <v>1</v>
      </c>
    </row>
    <row r="121">
      <c r="A121" s="4"/>
      <c r="C121" s="4" t="s">
        <v>3023</v>
      </c>
      <c r="D121" s="4" t="str">
        <f t="shared" si="1"/>
        <v>{"valorA":"bom","valorB":1}</v>
      </c>
      <c r="E121" s="8" t="str">
        <f t="shared" si="2"/>
        <v>bom</v>
      </c>
      <c r="F121" s="8" t="str">
        <f>IFERROR(__xludf.DUMMYFUNCTION("""COMPUTED_VALUE"""),"defeitos")</f>
        <v>defeitos</v>
      </c>
      <c r="G121" s="8" t="str">
        <f t="shared" si="3"/>
        <v>1</v>
      </c>
      <c r="H121" s="9">
        <f t="shared" si="4"/>
        <v>1</v>
      </c>
      <c r="I121" s="10">
        <f>IFERROR(__xludf.DUMMYFUNCTION("MAX(FILTER($H$2:$H466,$E$2:$E466=F121))"),1.0)</f>
        <v>1</v>
      </c>
    </row>
    <row r="122">
      <c r="A122" s="4"/>
      <c r="C122" s="4" t="s">
        <v>2707</v>
      </c>
      <c r="D122" s="4" t="str">
        <f t="shared" si="1"/>
        <v>{"valorA":"do","valorB":2}</v>
      </c>
      <c r="E122" s="8" t="str">
        <f t="shared" si="2"/>
        <v>do</v>
      </c>
      <c r="F122" s="8" t="str">
        <f>IFERROR(__xludf.DUMMYFUNCTION("""COMPUTED_VALUE"""),"descri")</f>
        <v>descri</v>
      </c>
      <c r="G122" s="8" t="str">
        <f t="shared" si="3"/>
        <v>2</v>
      </c>
      <c r="H122" s="9">
        <f t="shared" si="4"/>
        <v>2</v>
      </c>
      <c r="I122" s="10">
        <f>IFERROR(__xludf.DUMMYFUNCTION("MAX(FILTER($H$2:$H466,$E$2:$E466=F122))"),1.0)</f>
        <v>1</v>
      </c>
    </row>
    <row r="123">
      <c r="A123" s="4"/>
      <c r="C123" s="4" t="s">
        <v>2703</v>
      </c>
      <c r="D123" s="4" t="str">
        <f t="shared" si="1"/>
        <v>{"valorA":"gostei","valorB":2}</v>
      </c>
      <c r="E123" s="8" t="str">
        <f t="shared" si="2"/>
        <v>gostei</v>
      </c>
      <c r="F123" s="8" t="str">
        <f>IFERROR(__xludf.DUMMYFUNCTION("""COMPUTED_VALUE"""),"use")</f>
        <v>use</v>
      </c>
      <c r="G123" s="8" t="str">
        <f t="shared" si="3"/>
        <v>2</v>
      </c>
      <c r="H123" s="9">
        <f t="shared" si="4"/>
        <v>2</v>
      </c>
      <c r="I123" s="10">
        <f>IFERROR(__xludf.DUMMYFUNCTION("MAX(FILTER($H$2:$H466,$E$2:$E466=F123))"),1.0)</f>
        <v>1</v>
      </c>
    </row>
    <row r="124">
      <c r="A124" s="4"/>
      <c r="C124" s="4" t="s">
        <v>2950</v>
      </c>
      <c r="D124" s="4" t="str">
        <f t="shared" si="1"/>
        <v>{"valorA":"meu","valorB":4}</v>
      </c>
      <c r="E124" s="8" t="str">
        <f t="shared" si="2"/>
        <v>meu</v>
      </c>
      <c r="F124" s="8" t="str">
        <f>IFERROR(__xludf.DUMMYFUNCTION("""COMPUTED_VALUE"""),"notes")</f>
        <v>notes</v>
      </c>
      <c r="G124" s="8" t="str">
        <f t="shared" si="3"/>
        <v>4</v>
      </c>
      <c r="H124" s="9">
        <f t="shared" si="4"/>
        <v>4</v>
      </c>
      <c r="I124" s="10">
        <f>IFERROR(__xludf.DUMMYFUNCTION("MAX(FILTER($H$2:$H466,$E$2:$E466=F124))"),1.0)</f>
        <v>1</v>
      </c>
    </row>
    <row r="125">
      <c r="A125" s="4"/>
      <c r="C125" s="4" t="s">
        <v>2715</v>
      </c>
      <c r="D125" s="4" t="str">
        <f t="shared" si="1"/>
        <v>{"valorA":"funciona","valorB":4}</v>
      </c>
      <c r="E125" s="8" t="str">
        <f t="shared" si="2"/>
        <v>funciona</v>
      </c>
      <c r="F125" s="8"/>
      <c r="G125" s="8" t="str">
        <f t="shared" si="3"/>
        <v>4</v>
      </c>
      <c r="H125" s="9">
        <f t="shared" si="4"/>
        <v>4</v>
      </c>
      <c r="I125" s="6" t="str">
        <f>IFERROR(__xludf.DUMMYFUNCTION("MAX(FILTER($H$2:$H466,$E$2:$E466=F125))"),"#N/A")</f>
        <v>#N/A</v>
      </c>
    </row>
    <row r="126">
      <c r="A126" s="4"/>
      <c r="C126" s="4" t="s">
        <v>3708</v>
      </c>
      <c r="D126" s="4" t="str">
        <f t="shared" si="1"/>
        <v>{"valorA":"smartwatch","valorB":1}</v>
      </c>
      <c r="E126" s="8" t="str">
        <f t="shared" si="2"/>
        <v>smartwatch</v>
      </c>
      <c r="F126" s="8"/>
      <c r="G126" s="8" t="str">
        <f t="shared" si="3"/>
        <v>1</v>
      </c>
      <c r="H126" s="9">
        <f t="shared" si="4"/>
        <v>1</v>
      </c>
      <c r="I126" s="6" t="str">
        <f>IFERROR(__xludf.DUMMYFUNCTION("MAX(FILTER($H$2:$H466,$E$2:$E466=F126))"),"#N/A")</f>
        <v>#N/A</v>
      </c>
    </row>
    <row r="127">
      <c r="A127" s="4"/>
      <c r="C127" s="4" t="s">
        <v>2718</v>
      </c>
      <c r="D127" s="4" t="str">
        <f t="shared" si="1"/>
        <v>{"valorA":"ótimo","valorB":14}</v>
      </c>
      <c r="E127" s="8" t="str">
        <f t="shared" si="2"/>
        <v>ótimo</v>
      </c>
      <c r="F127" s="8"/>
      <c r="G127" s="8" t="str">
        <f t="shared" si="3"/>
        <v>14</v>
      </c>
      <c r="H127" s="9">
        <f t="shared" si="4"/>
        <v>14</v>
      </c>
      <c r="I127" s="6" t="str">
        <f>IFERROR(__xludf.DUMMYFUNCTION("MAX(FILTER($H$2:$H466,$E$2:$E466=F127))"),"#N/A")</f>
        <v>#N/A</v>
      </c>
    </row>
    <row r="128">
      <c r="A128" s="4"/>
      <c r="C128" s="4" t="s">
        <v>2967</v>
      </c>
      <c r="D128" s="4" t="str">
        <f t="shared" si="1"/>
        <v>{"valorA":"meu","valorB":5}</v>
      </c>
      <c r="E128" s="8" t="str">
        <f t="shared" si="2"/>
        <v>meu</v>
      </c>
      <c r="F128" s="8"/>
      <c r="G128" s="8" t="str">
        <f t="shared" si="3"/>
        <v>5</v>
      </c>
      <c r="H128" s="9">
        <f t="shared" si="4"/>
        <v>5</v>
      </c>
      <c r="I128" s="6" t="str">
        <f>IFERROR(__xludf.DUMMYFUNCTION("MAX(FILTER($H$2:$H466,$E$2:$E466=F128))"),"#N/A")</f>
        <v>#N/A</v>
      </c>
    </row>
    <row r="129">
      <c r="A129" s="4"/>
      <c r="C129" s="4" t="s">
        <v>2714</v>
      </c>
      <c r="D129" s="4" t="str">
        <f t="shared" si="1"/>
        <v>{"valorA":"perfeitamente","valorB":2}</v>
      </c>
      <c r="E129" s="8" t="str">
        <f t="shared" si="2"/>
        <v>perfeitamente</v>
      </c>
      <c r="F129" s="8"/>
      <c r="G129" s="8" t="str">
        <f t="shared" si="3"/>
        <v>2</v>
      </c>
      <c r="H129" s="9">
        <f t="shared" si="4"/>
        <v>2</v>
      </c>
      <c r="I129" s="6" t="str">
        <f>IFERROR(__xludf.DUMMYFUNCTION("MAX(FILTER($H$2:$H466,$E$2:$E466=F129))"),"#N/A")</f>
        <v>#N/A</v>
      </c>
    </row>
    <row r="130">
      <c r="A130" s="4"/>
      <c r="C130" s="4" t="s">
        <v>2726</v>
      </c>
      <c r="D130" s="4" t="str">
        <f t="shared" si="1"/>
        <v>{"valorA":"ótimo","valorB":15}</v>
      </c>
      <c r="E130" s="8" t="str">
        <f t="shared" si="2"/>
        <v>ótimo</v>
      </c>
      <c r="F130" s="8"/>
      <c r="G130" s="8" t="str">
        <f t="shared" si="3"/>
        <v>15</v>
      </c>
      <c r="H130" s="9">
        <f t="shared" si="4"/>
        <v>15</v>
      </c>
      <c r="I130" s="6" t="str">
        <f>IFERROR(__xludf.DUMMYFUNCTION("MAX(FILTER($H$2:$H466,$E$2:$E466=F130))"),"#N/A")</f>
        <v>#N/A</v>
      </c>
    </row>
    <row r="131">
      <c r="A131" s="4"/>
      <c r="C131" s="4" t="s">
        <v>3152</v>
      </c>
      <c r="D131" s="4" t="str">
        <f t="shared" si="1"/>
        <v>{"valorA":"valeu","valorB":3}</v>
      </c>
      <c r="E131" s="8" t="str">
        <f t="shared" si="2"/>
        <v>valeu</v>
      </c>
      <c r="F131" s="8"/>
      <c r="G131" s="8" t="str">
        <f t="shared" si="3"/>
        <v>3</v>
      </c>
      <c r="H131" s="9">
        <f t="shared" si="4"/>
        <v>3</v>
      </c>
      <c r="I131" s="6" t="str">
        <f>IFERROR(__xludf.DUMMYFUNCTION("MAX(FILTER($H$2:$H466,$E$2:$E466=F131))"),"#N/A")</f>
        <v>#N/A</v>
      </c>
    </row>
    <row r="132">
      <c r="A132" s="4"/>
      <c r="C132" s="4" t="s">
        <v>2725</v>
      </c>
      <c r="D132" s="4" t="str">
        <f t="shared" si="1"/>
        <v>{"valorA":"produto","valorB":10}</v>
      </c>
      <c r="E132" s="8" t="str">
        <f t="shared" si="2"/>
        <v>produto</v>
      </c>
      <c r="F132" s="8"/>
      <c r="G132" s="8" t="str">
        <f t="shared" si="3"/>
        <v>10</v>
      </c>
      <c r="H132" s="9">
        <f t="shared" si="4"/>
        <v>10</v>
      </c>
      <c r="I132" s="6" t="str">
        <f>IFERROR(__xludf.DUMMYFUNCTION("MAX(FILTER($H$2:$H466,$E$2:$E466=F132))"),"#N/A")</f>
        <v>#N/A</v>
      </c>
    </row>
    <row r="133">
      <c r="A133" s="4"/>
      <c r="C133" s="4" t="s">
        <v>3097</v>
      </c>
      <c r="D133" s="4" t="str">
        <f t="shared" si="1"/>
        <v>{"valorA":"preço","valorB":6}</v>
      </c>
      <c r="E133" s="8" t="str">
        <f t="shared" si="2"/>
        <v>preço</v>
      </c>
      <c r="F133" s="8"/>
      <c r="G133" s="8" t="str">
        <f t="shared" si="3"/>
        <v>6</v>
      </c>
      <c r="H133" s="9">
        <f t="shared" si="4"/>
        <v>6</v>
      </c>
      <c r="I133" s="6" t="str">
        <f>IFERROR(__xludf.DUMMYFUNCTION("MAX(FILTER($H$2:$H466,$E$2:$E466=F133))"),"#N/A")</f>
        <v>#N/A</v>
      </c>
    </row>
    <row r="134">
      <c r="A134" s="4"/>
      <c r="C134" s="4" t="s">
        <v>2850</v>
      </c>
      <c r="D134" s="4" t="str">
        <f t="shared" si="1"/>
        <v>{"valorA":"a","valorB":4}</v>
      </c>
      <c r="E134" s="8" t="str">
        <f t="shared" si="2"/>
        <v>a</v>
      </c>
      <c r="F134" s="8"/>
      <c r="G134" s="8" t="str">
        <f t="shared" si="3"/>
        <v>4</v>
      </c>
      <c r="H134" s="9">
        <f t="shared" si="4"/>
        <v>4</v>
      </c>
      <c r="I134" s="6" t="str">
        <f>IFERROR(__xludf.DUMMYFUNCTION("MAX(FILTER($H$2:$H466,$E$2:$E466=F134))"),"#N/A")</f>
        <v>#N/A</v>
      </c>
    </row>
    <row r="135">
      <c r="A135" s="4"/>
      <c r="C135" s="4" t="s">
        <v>2786</v>
      </c>
      <c r="D135" s="4" t="str">
        <f t="shared" si="1"/>
        <v>{"valorA":"gostei","valorB":3}</v>
      </c>
      <c r="E135" s="8" t="str">
        <f t="shared" si="2"/>
        <v>gostei</v>
      </c>
      <c r="F135" s="8"/>
      <c r="G135" s="8" t="str">
        <f t="shared" si="3"/>
        <v>3</v>
      </c>
      <c r="H135" s="9">
        <f t="shared" si="4"/>
        <v>3</v>
      </c>
      <c r="I135" s="6" t="str">
        <f>IFERROR(__xludf.DUMMYFUNCTION("MAX(FILTER($H$2:$H466,$E$2:$E466=F135))"),"#N/A")</f>
        <v>#N/A</v>
      </c>
    </row>
    <row r="136">
      <c r="A136" s="4"/>
      <c r="C136" s="4" t="s">
        <v>3709</v>
      </c>
      <c r="D136" s="4" t="str">
        <f t="shared" si="1"/>
        <v>{"valorA":"espera","valorB":2}</v>
      </c>
      <c r="E136" s="8" t="str">
        <f t="shared" si="2"/>
        <v>espera</v>
      </c>
      <c r="F136" s="8"/>
      <c r="G136" s="8" t="str">
        <f t="shared" si="3"/>
        <v>2</v>
      </c>
      <c r="H136" s="9">
        <f t="shared" si="4"/>
        <v>2</v>
      </c>
      <c r="I136" s="6" t="str">
        <f>IFERROR(__xludf.DUMMYFUNCTION("MAX(FILTER($H$2:$H466,$E$2:$E466=F136))"),"#N/A")</f>
        <v>#N/A</v>
      </c>
    </row>
    <row r="137">
      <c r="A137" s="4"/>
      <c r="C137" s="4" t="s">
        <v>2783</v>
      </c>
      <c r="D137" s="4" t="str">
        <f t="shared" si="1"/>
        <v>{"valorA":"do","valorB":3}</v>
      </c>
      <c r="E137" s="8" t="str">
        <f t="shared" si="2"/>
        <v>do</v>
      </c>
      <c r="F137" s="8"/>
      <c r="G137" s="8" t="str">
        <f t="shared" si="3"/>
        <v>3</v>
      </c>
      <c r="H137" s="9">
        <f t="shared" si="4"/>
        <v>3</v>
      </c>
      <c r="I137" s="6" t="str">
        <f>IFERROR(__xludf.DUMMYFUNCTION("MAX(FILTER($H$2:$H466,$E$2:$E466=F137))"),"#N/A")</f>
        <v>#N/A</v>
      </c>
    </row>
    <row r="138">
      <c r="A138" s="4"/>
      <c r="C138" s="4" t="s">
        <v>2822</v>
      </c>
      <c r="D138" s="4" t="str">
        <f t="shared" si="1"/>
        <v>{"valorA":"também","valorB":1}</v>
      </c>
      <c r="E138" s="8" t="str">
        <f t="shared" si="2"/>
        <v>também</v>
      </c>
      <c r="F138" s="8"/>
      <c r="G138" s="8" t="str">
        <f t="shared" si="3"/>
        <v>1</v>
      </c>
      <c r="H138" s="9">
        <f t="shared" si="4"/>
        <v>1</v>
      </c>
      <c r="I138" s="6" t="str">
        <f>IFERROR(__xludf.DUMMYFUNCTION("MAX(FILTER($H$2:$H466,$E$2:$E466=F138))"),"#N/A")</f>
        <v>#N/A</v>
      </c>
    </row>
    <row r="139">
      <c r="A139" s="4"/>
      <c r="C139" s="4" t="s">
        <v>2729</v>
      </c>
      <c r="D139" s="4" t="str">
        <f t="shared" si="1"/>
        <v>{"valorA":"ótimo","valorB":16}</v>
      </c>
      <c r="E139" s="8" t="str">
        <f t="shared" si="2"/>
        <v>ótimo</v>
      </c>
      <c r="F139" s="8"/>
      <c r="G139" s="8" t="str">
        <f t="shared" si="3"/>
        <v>16</v>
      </c>
      <c r="H139" s="9">
        <f t="shared" si="4"/>
        <v>16</v>
      </c>
      <c r="I139" s="6" t="str">
        <f>IFERROR(__xludf.DUMMYFUNCTION("MAX(FILTER($H$2:$H466,$E$2:$E466=F139))"),"#N/A")</f>
        <v>#N/A</v>
      </c>
    </row>
    <row r="140">
      <c r="A140" s="4"/>
      <c r="C140" s="4" t="s">
        <v>2724</v>
      </c>
      <c r="D140" s="4" t="str">
        <f t="shared" si="1"/>
        <v>{"valorA":"recomendo","valorB":1}</v>
      </c>
      <c r="E140" s="8" t="str">
        <f t="shared" si="2"/>
        <v>recomendo</v>
      </c>
      <c r="F140" s="8"/>
      <c r="G140" s="8" t="str">
        <f t="shared" si="3"/>
        <v>1</v>
      </c>
      <c r="H140" s="9">
        <f t="shared" si="4"/>
        <v>1</v>
      </c>
      <c r="I140" s="6" t="str">
        <f>IFERROR(__xludf.DUMMYFUNCTION("MAX(FILTER($H$2:$H466,$E$2:$E466=F140))"),"#N/A")</f>
        <v>#N/A</v>
      </c>
    </row>
    <row r="141">
      <c r="A141" s="4"/>
      <c r="C141" s="4" t="s">
        <v>3026</v>
      </c>
      <c r="D141" s="4" t="str">
        <f t="shared" si="1"/>
        <v>{"valorA":"laptop","valorB":1}</v>
      </c>
      <c r="E141" s="8" t="str">
        <f t="shared" si="2"/>
        <v>laptop</v>
      </c>
      <c r="F141" s="8"/>
      <c r="G141" s="8" t="str">
        <f t="shared" si="3"/>
        <v>1</v>
      </c>
      <c r="H141" s="9">
        <f t="shared" si="4"/>
        <v>1</v>
      </c>
      <c r="I141" s="6" t="str">
        <f>IFERROR(__xludf.DUMMYFUNCTION("MAX(FILTER($H$2:$H466,$E$2:$E466=F141))"),"#N/A")</f>
        <v>#N/A</v>
      </c>
    </row>
    <row r="142">
      <c r="A142" s="4"/>
      <c r="C142" s="4" t="s">
        <v>3710</v>
      </c>
      <c r="D142" s="4" t="str">
        <f t="shared" si="1"/>
        <v>{"valorA":"seguir","valorB":1}</v>
      </c>
      <c r="E142" s="8" t="str">
        <f t="shared" si="2"/>
        <v>seguir</v>
      </c>
      <c r="F142" s="8"/>
      <c r="G142" s="8" t="str">
        <f t="shared" si="3"/>
        <v>1</v>
      </c>
      <c r="H142" s="9">
        <f t="shared" si="4"/>
        <v>1</v>
      </c>
      <c r="I142" s="6" t="str">
        <f>IFERROR(__xludf.DUMMYFUNCTION("MAX(FILTER($H$2:$H466,$E$2:$E466=F142))"),"#N/A")</f>
        <v>#N/A</v>
      </c>
    </row>
    <row r="143">
      <c r="A143" s="4"/>
      <c r="C143" s="4" t="s">
        <v>2888</v>
      </c>
      <c r="D143" s="4" t="str">
        <f t="shared" si="1"/>
        <v>{"valorA":"a","valorB":5}</v>
      </c>
      <c r="E143" s="8" t="str">
        <f t="shared" si="2"/>
        <v>a</v>
      </c>
      <c r="F143" s="8"/>
      <c r="G143" s="8" t="str">
        <f t="shared" si="3"/>
        <v>5</v>
      </c>
      <c r="H143" s="9">
        <f t="shared" si="4"/>
        <v>5</v>
      </c>
      <c r="I143" s="6" t="str">
        <f>IFERROR(__xludf.DUMMYFUNCTION("MAX(FILTER($H$2:$H466,$E$2:$E466=F143))"),"#N/A")</f>
        <v>#N/A</v>
      </c>
    </row>
    <row r="144">
      <c r="A144" s="4"/>
      <c r="C144" s="4" t="s">
        <v>3711</v>
      </c>
      <c r="D144" s="4" t="str">
        <f t="shared" si="1"/>
        <v>{"valorA":"estão","valorB":1}</v>
      </c>
      <c r="E144" s="8" t="str">
        <f t="shared" si="2"/>
        <v>estão</v>
      </c>
      <c r="F144" s="8"/>
      <c r="G144" s="8" t="str">
        <f t="shared" si="3"/>
        <v>1</v>
      </c>
      <c r="H144" s="9">
        <f t="shared" si="4"/>
        <v>1</v>
      </c>
      <c r="I144" s="6" t="str">
        <f>IFERROR(__xludf.DUMMYFUNCTION("MAX(FILTER($H$2:$H466,$E$2:$E466=F144))"),"#N/A")</f>
        <v>#N/A</v>
      </c>
    </row>
    <row r="145">
      <c r="A145" s="4"/>
      <c r="C145" s="4" t="s">
        <v>2738</v>
      </c>
      <c r="D145" s="4" t="str">
        <f t="shared" si="1"/>
        <v>{"valorA":"de","valorB":4}</v>
      </c>
      <c r="E145" s="8" t="str">
        <f t="shared" si="2"/>
        <v>de</v>
      </c>
      <c r="F145" s="8"/>
      <c r="G145" s="8" t="str">
        <f t="shared" si="3"/>
        <v>4</v>
      </c>
      <c r="H145" s="9">
        <f t="shared" si="4"/>
        <v>4</v>
      </c>
      <c r="I145" s="6" t="str">
        <f>IFERROR(__xludf.DUMMYFUNCTION("MAX(FILTER($H$2:$H466,$E$2:$E466=F145))"),"#N/A")</f>
        <v>#N/A</v>
      </c>
    </row>
    <row r="146">
      <c r="A146" s="4"/>
      <c r="C146" s="4" t="s">
        <v>3712</v>
      </c>
      <c r="D146" s="4" t="str">
        <f t="shared" si="1"/>
        <v>{"valorA":"exemplos","valorB":1}</v>
      </c>
      <c r="E146" s="8" t="str">
        <f t="shared" si="2"/>
        <v>exemplos</v>
      </c>
      <c r="F146" s="8"/>
      <c r="G146" s="8" t="str">
        <f t="shared" si="3"/>
        <v>1</v>
      </c>
      <c r="H146" s="9">
        <f t="shared" si="4"/>
        <v>1</v>
      </c>
      <c r="I146" s="6" t="str">
        <f>IFERROR(__xludf.DUMMYFUNCTION("MAX(FILTER($H$2:$H466,$E$2:$E466=F146))"),"#N/A")</f>
        <v>#N/A</v>
      </c>
    </row>
    <row r="147">
      <c r="A147" s="4"/>
      <c r="C147" s="4" t="s">
        <v>3713</v>
      </c>
      <c r="D147" s="4" t="str">
        <f t="shared" si="1"/>
        <v>{"valorA":"produtos","valorB":1}</v>
      </c>
      <c r="E147" s="8" t="str">
        <f t="shared" si="2"/>
        <v>produtos</v>
      </c>
      <c r="F147" s="8"/>
      <c r="G147" s="8" t="str">
        <f t="shared" si="3"/>
        <v>1</v>
      </c>
      <c r="H147" s="9">
        <f t="shared" si="4"/>
        <v>1</v>
      </c>
      <c r="I147" s="6" t="str">
        <f>IFERROR(__xludf.DUMMYFUNCTION("MAX(FILTER($H$2:$H466,$E$2:$E466=F147))"),"#N/A")</f>
        <v>#N/A</v>
      </c>
    </row>
    <row r="148">
      <c r="A148" s="4"/>
      <c r="C148" s="4" t="s">
        <v>3714</v>
      </c>
      <c r="D148" s="4" t="str">
        <f t="shared" si="1"/>
        <v>{"valorA":"alguns","valorB":1}</v>
      </c>
      <c r="E148" s="8" t="str">
        <f t="shared" si="2"/>
        <v>alguns</v>
      </c>
      <c r="F148" s="8"/>
      <c r="G148" s="8" t="str">
        <f t="shared" si="3"/>
        <v>1</v>
      </c>
      <c r="H148" s="9">
        <f t="shared" si="4"/>
        <v>1</v>
      </c>
      <c r="I148" s="6" t="str">
        <f>IFERROR(__xludf.DUMMYFUNCTION("MAX(FILTER($H$2:$H466,$E$2:$E466=F148))"),"#N/A")</f>
        <v>#N/A</v>
      </c>
    </row>
    <row r="149">
      <c r="A149" s="4"/>
      <c r="C149" s="4" t="s">
        <v>3715</v>
      </c>
      <c r="D149" s="4" t="str">
        <f t="shared" si="1"/>
        <v>{"valorA":"sobre","valorB":1}</v>
      </c>
      <c r="E149" s="8" t="str">
        <f t="shared" si="2"/>
        <v>sobre</v>
      </c>
      <c r="F149" s="8"/>
      <c r="G149" s="8" t="str">
        <f t="shared" si="3"/>
        <v>1</v>
      </c>
      <c r="H149" s="9">
        <f t="shared" si="4"/>
        <v>1</v>
      </c>
      <c r="I149" s="6" t="str">
        <f>IFERROR(__xludf.DUMMYFUNCTION("MAX(FILTER($H$2:$H466,$E$2:$E466=F149))"),"#N/A")</f>
        <v>#N/A</v>
      </c>
    </row>
    <row r="150">
      <c r="A150" s="4"/>
      <c r="C150" s="4" t="s">
        <v>3716</v>
      </c>
      <c r="D150" s="4" t="str">
        <f t="shared" si="1"/>
        <v>{"valorA":"comentários","valorB":1}</v>
      </c>
      <c r="E150" s="8" t="str">
        <f t="shared" si="2"/>
        <v>comentários</v>
      </c>
      <c r="F150" s="8"/>
      <c r="G150" s="8" t="str">
        <f t="shared" si="3"/>
        <v>1</v>
      </c>
      <c r="H150" s="9">
        <f t="shared" si="4"/>
        <v>1</v>
      </c>
      <c r="I150" s="6" t="str">
        <f>IFERROR(__xludf.DUMMYFUNCTION("MAX(FILTER($H$2:$H466,$E$2:$E466=F150))"),"#N/A")</f>
        <v>#N/A</v>
      </c>
    </row>
    <row r="151">
      <c r="A151" s="4"/>
      <c r="C151" s="4" t="s">
        <v>2708</v>
      </c>
      <c r="D151" s="4" t="str">
        <f t="shared" si="1"/>
        <v>{"valorA":"que","valorB":3}</v>
      </c>
      <c r="E151" s="8" t="str">
        <f t="shared" si="2"/>
        <v>que</v>
      </c>
      <c r="F151" s="8"/>
      <c r="G151" s="8" t="str">
        <f t="shared" si="3"/>
        <v>3</v>
      </c>
      <c r="H151" s="9">
        <f t="shared" si="4"/>
        <v>3</v>
      </c>
      <c r="I151" s="6" t="str">
        <f>IFERROR(__xludf.DUMMYFUNCTION("MAX(FILTER($H$2:$H466,$E$2:$E466=F151))"),"#N/A")</f>
        <v>#N/A</v>
      </c>
    </row>
    <row r="152">
      <c r="A152" s="4"/>
      <c r="C152" s="4" t="s">
        <v>3717</v>
      </c>
      <c r="D152" s="4" t="str">
        <f t="shared" si="1"/>
        <v>{"valorA":"voc","valorB":1}</v>
      </c>
      <c r="E152" s="8" t="str">
        <f t="shared" si="2"/>
        <v>voc</v>
      </c>
      <c r="F152" s="8"/>
      <c r="G152" s="8" t="str">
        <f t="shared" si="3"/>
        <v>1</v>
      </c>
      <c r="H152" s="9">
        <f t="shared" si="4"/>
        <v>1</v>
      </c>
      <c r="I152" s="6" t="str">
        <f>IFERROR(__xludf.DUMMYFUNCTION("MAX(FILTER($H$2:$H466,$E$2:$E466=F152))"),"#N/A")</f>
        <v>#N/A</v>
      </c>
    </row>
    <row r="153">
      <c r="A153" s="4"/>
      <c r="C153" s="4" t="s">
        <v>2754</v>
      </c>
      <c r="D153" s="4" t="str">
        <f t="shared" si="1"/>
        <v>{"valorA":"que","valorB":4}</v>
      </c>
      <c r="E153" s="8" t="str">
        <f t="shared" si="2"/>
        <v>que</v>
      </c>
      <c r="F153" s="8"/>
      <c r="G153" s="8" t="str">
        <f t="shared" si="3"/>
        <v>4</v>
      </c>
      <c r="H153" s="9">
        <f t="shared" si="4"/>
        <v>4</v>
      </c>
      <c r="I153" s="6" t="str">
        <f>IFERROR(__xludf.DUMMYFUNCTION("MAX(FILTER($H$2:$H466,$E$2:$E466=F153))"),"#N/A")</f>
        <v>#N/A</v>
      </c>
    </row>
    <row r="154">
      <c r="A154" s="4"/>
      <c r="C154" s="4" t="s">
        <v>3718</v>
      </c>
      <c r="D154" s="4" t="str">
        <f t="shared" si="1"/>
        <v>{"valorA":"precisava","valorB":1}</v>
      </c>
      <c r="E154" s="8" t="str">
        <f t="shared" si="2"/>
        <v>precisava</v>
      </c>
      <c r="F154" s="8"/>
      <c r="G154" s="8" t="str">
        <f t="shared" si="3"/>
        <v>1</v>
      </c>
      <c r="H154" s="9">
        <f t="shared" si="4"/>
        <v>1</v>
      </c>
      <c r="I154" s="6" t="str">
        <f>IFERROR(__xludf.DUMMYFUNCTION("MAX(FILTER($H$2:$H466,$E$2:$E466=F154))"),"#N/A")</f>
        <v>#N/A</v>
      </c>
    </row>
    <row r="155">
      <c r="A155" s="4"/>
      <c r="C155" s="4" t="s">
        <v>3031</v>
      </c>
      <c r="D155" s="4" t="str">
        <f t="shared" si="1"/>
        <v>{"valorA":"televisor","valorB":1}</v>
      </c>
      <c r="E155" s="8" t="str">
        <f t="shared" si="2"/>
        <v>televisor</v>
      </c>
      <c r="F155" s="8"/>
      <c r="G155" s="8" t="str">
        <f t="shared" si="3"/>
        <v>1</v>
      </c>
      <c r="H155" s="9">
        <f t="shared" si="4"/>
        <v>1</v>
      </c>
      <c r="I155" s="6" t="str">
        <f>IFERROR(__xludf.DUMMYFUNCTION("MAX(FILTER($H$2:$H466,$E$2:$E466=F155))"),"#N/A")</f>
        <v>#N/A</v>
      </c>
    </row>
    <row r="156">
      <c r="A156" s="4"/>
      <c r="C156" s="4" t="s">
        <v>2810</v>
      </c>
      <c r="D156" s="4" t="str">
        <f t="shared" si="1"/>
        <v>{"valorA":"o","valorB":4}</v>
      </c>
      <c r="E156" s="8" t="str">
        <f t="shared" si="2"/>
        <v>o</v>
      </c>
      <c r="F156" s="8"/>
      <c r="G156" s="8" t="str">
        <f t="shared" si="3"/>
        <v>4</v>
      </c>
      <c r="H156" s="9">
        <f t="shared" si="4"/>
        <v>4</v>
      </c>
      <c r="I156" s="6" t="str">
        <f>IFERROR(__xludf.DUMMYFUNCTION("MAX(FILTER($H$2:$H466,$E$2:$E466=F156))"),"#N/A")</f>
        <v>#N/A</v>
      </c>
    </row>
    <row r="157">
      <c r="A157" s="4"/>
      <c r="C157" s="4" t="s">
        <v>2735</v>
      </c>
      <c r="D157" s="4" t="str">
        <f t="shared" si="1"/>
        <v>{"valorA":"ótimo","valorB":17}</v>
      </c>
      <c r="E157" s="8" t="str">
        <f t="shared" si="2"/>
        <v>ótimo</v>
      </c>
      <c r="F157" s="8"/>
      <c r="G157" s="8" t="str">
        <f t="shared" si="3"/>
        <v>17</v>
      </c>
      <c r="H157" s="9">
        <f t="shared" si="4"/>
        <v>17</v>
      </c>
      <c r="I157" s="6" t="str">
        <f>IFERROR(__xludf.DUMMYFUNCTION("MAX(FILTER($H$2:$H466,$E$2:$E466=F157))"),"#N/A")</f>
        <v>#N/A</v>
      </c>
    </row>
    <row r="158">
      <c r="A158" s="4"/>
      <c r="C158" s="4" t="s">
        <v>3719</v>
      </c>
      <c r="D158" s="4" t="str">
        <f t="shared" si="1"/>
        <v>{"valorA":"precisamente","valorB":1}</v>
      </c>
      <c r="E158" s="8" t="str">
        <f t="shared" si="2"/>
        <v>precisamente</v>
      </c>
      <c r="F158" s="8"/>
      <c r="G158" s="8" t="str">
        <f t="shared" si="3"/>
        <v>1</v>
      </c>
      <c r="H158" s="9">
        <f t="shared" si="4"/>
        <v>1</v>
      </c>
      <c r="I158" s="6" t="str">
        <f>IFERROR(__xludf.DUMMYFUNCTION("MAX(FILTER($H$2:$H466,$E$2:$E466=F158))"),"#N/A")</f>
        <v>#N/A</v>
      </c>
    </row>
    <row r="159">
      <c r="A159" s="4"/>
      <c r="C159" s="4" t="s">
        <v>2728</v>
      </c>
      <c r="D159" s="4" t="str">
        <f t="shared" si="1"/>
        <v>{"valorA":"produto","valorB":11}</v>
      </c>
      <c r="E159" s="8" t="str">
        <f t="shared" si="2"/>
        <v>produto</v>
      </c>
      <c r="F159" s="8"/>
      <c r="G159" s="8" t="str">
        <f t="shared" si="3"/>
        <v>11</v>
      </c>
      <c r="H159" s="9">
        <f t="shared" si="4"/>
        <v>11</v>
      </c>
      <c r="I159" s="6" t="str">
        <f>IFERROR(__xludf.DUMMYFUNCTION("MAX(FILTER($H$2:$H466,$E$2:$E466=F159))"),"#N/A")</f>
        <v>#N/A</v>
      </c>
    </row>
    <row r="160">
      <c r="A160" s="4"/>
      <c r="C160" s="4" t="s">
        <v>2746</v>
      </c>
      <c r="D160" s="4" t="str">
        <f t="shared" si="1"/>
        <v>{"valorA":"ótimo","valorB":18}</v>
      </c>
      <c r="E160" s="8" t="str">
        <f t="shared" si="2"/>
        <v>ótimo</v>
      </c>
      <c r="F160" s="8"/>
      <c r="G160" s="8" t="str">
        <f t="shared" si="3"/>
        <v>18</v>
      </c>
      <c r="H160" s="9">
        <f t="shared" si="4"/>
        <v>18</v>
      </c>
      <c r="I160" s="6" t="str">
        <f>IFERROR(__xludf.DUMMYFUNCTION("MAX(FILTER($H$2:$H466,$E$2:$E466=F160))"),"#N/A")</f>
        <v>#N/A</v>
      </c>
    </row>
    <row r="161">
      <c r="A161" s="4"/>
      <c r="C161" s="4" t="s">
        <v>2756</v>
      </c>
      <c r="D161" s="4" t="str">
        <f t="shared" si="1"/>
        <v>{"valorA":"funciona","valorB":5}</v>
      </c>
      <c r="E161" s="8" t="str">
        <f t="shared" si="2"/>
        <v>funciona</v>
      </c>
      <c r="F161" s="8"/>
      <c r="G161" s="8" t="str">
        <f t="shared" si="3"/>
        <v>5</v>
      </c>
      <c r="H161" s="9">
        <f t="shared" si="4"/>
        <v>5</v>
      </c>
      <c r="I161" s="6" t="str">
        <f>IFERROR(__xludf.DUMMYFUNCTION("MAX(FILTER($H$2:$H466,$E$2:$E466=F161))"),"#N/A")</f>
        <v>#N/A</v>
      </c>
    </row>
    <row r="162">
      <c r="A162" s="4"/>
      <c r="C162" s="4" t="s">
        <v>3374</v>
      </c>
      <c r="D162" s="4" t="str">
        <f t="shared" si="1"/>
        <v>{"valorA":"achei","valorB":1}</v>
      </c>
      <c r="E162" s="8" t="str">
        <f t="shared" si="2"/>
        <v>achei</v>
      </c>
      <c r="F162" s="8"/>
      <c r="G162" s="8" t="str">
        <f t="shared" si="3"/>
        <v>1</v>
      </c>
      <c r="H162" s="9">
        <f t="shared" si="4"/>
        <v>1</v>
      </c>
      <c r="I162" s="6" t="str">
        <f>IFERROR(__xludf.DUMMYFUNCTION("MAX(FILTER($H$2:$H466,$E$2:$E466=F162))"),"#N/A")</f>
        <v>#N/A</v>
      </c>
    </row>
    <row r="163">
      <c r="A163" s="4"/>
      <c r="C163" s="4" t="s">
        <v>2879</v>
      </c>
      <c r="D163" s="4" t="str">
        <f t="shared" si="1"/>
        <v>{"valorA":"bem","valorB":4}</v>
      </c>
      <c r="E163" s="8" t="str">
        <f t="shared" si="2"/>
        <v>bem</v>
      </c>
      <c r="F163" s="8"/>
      <c r="G163" s="8" t="str">
        <f t="shared" si="3"/>
        <v>4</v>
      </c>
      <c r="H163" s="9">
        <f t="shared" si="4"/>
        <v>4</v>
      </c>
      <c r="I163" s="6" t="str">
        <f>IFERROR(__xludf.DUMMYFUNCTION("MAX(FILTER($H$2:$H466,$E$2:$E466=F163))"),"#N/A")</f>
        <v>#N/A</v>
      </c>
    </row>
    <row r="164">
      <c r="A164" s="4"/>
      <c r="C164" s="4" t="s">
        <v>2773</v>
      </c>
      <c r="D164" s="4" t="str">
        <f t="shared" si="1"/>
        <v>{"valorA":"que","valorB":5}</v>
      </c>
      <c r="E164" s="8" t="str">
        <f t="shared" si="2"/>
        <v>que</v>
      </c>
      <c r="F164" s="8"/>
      <c r="G164" s="8" t="str">
        <f t="shared" si="3"/>
        <v>5</v>
      </c>
      <c r="H164" s="9">
        <f t="shared" si="4"/>
        <v>5</v>
      </c>
      <c r="I164" s="6" t="str">
        <f>IFERROR(__xludf.DUMMYFUNCTION("MAX(FILTER($H$2:$H466,$E$2:$E466=F164))"),"#N/A")</f>
        <v>#N/A</v>
      </c>
    </row>
    <row r="165">
      <c r="A165" s="4"/>
      <c r="C165" s="4" t="s">
        <v>3720</v>
      </c>
      <c r="D165" s="4" t="str">
        <f t="shared" si="1"/>
        <v>{"valorA":"valeria","valorB":1}</v>
      </c>
      <c r="E165" s="8" t="str">
        <f t="shared" si="2"/>
        <v>valeria</v>
      </c>
      <c r="F165" s="8"/>
      <c r="G165" s="8" t="str">
        <f t="shared" si="3"/>
        <v>1</v>
      </c>
      <c r="H165" s="9">
        <f t="shared" si="4"/>
        <v>1</v>
      </c>
      <c r="I165" s="6" t="str">
        <f>IFERROR(__xludf.DUMMYFUNCTION("MAX(FILTER($H$2:$H466,$E$2:$E466=F165))"),"#N/A")</f>
        <v>#N/A</v>
      </c>
    </row>
    <row r="166">
      <c r="A166" s="4"/>
      <c r="C166" s="4" t="s">
        <v>3148</v>
      </c>
      <c r="D166" s="4" t="str">
        <f t="shared" si="1"/>
        <v>{"valorA":"resumo","valorB":3}</v>
      </c>
      <c r="E166" s="8" t="str">
        <f t="shared" si="2"/>
        <v>resumo</v>
      </c>
      <c r="F166" s="8"/>
      <c r="G166" s="8" t="str">
        <f t="shared" si="3"/>
        <v>3</v>
      </c>
      <c r="H166" s="9">
        <f t="shared" si="4"/>
        <v>3</v>
      </c>
      <c r="I166" s="6" t="str">
        <f>IFERROR(__xludf.DUMMYFUNCTION("MAX(FILTER($H$2:$H466,$E$2:$E466=F166))"),"#N/A")</f>
        <v>#N/A</v>
      </c>
    </row>
    <row r="167">
      <c r="A167" s="4"/>
      <c r="C167" s="4" t="s">
        <v>2911</v>
      </c>
      <c r="D167" s="4" t="str">
        <f t="shared" si="1"/>
        <v>{"valorA":"a","valorB":6}</v>
      </c>
      <c r="E167" s="8" t="str">
        <f t="shared" si="2"/>
        <v>a</v>
      </c>
      <c r="F167" s="8"/>
      <c r="G167" s="8" t="str">
        <f t="shared" si="3"/>
        <v>6</v>
      </c>
      <c r="H167" s="9">
        <f t="shared" si="4"/>
        <v>6</v>
      </c>
      <c r="I167" s="6" t="str">
        <f>IFERROR(__xludf.DUMMYFUNCTION("MAX(FILTER($H$2:$H466,$E$2:$E466=F167))"),"#N/A")</f>
        <v>#N/A</v>
      </c>
    </row>
    <row r="168">
      <c r="A168" s="4"/>
      <c r="C168" s="4" t="s">
        <v>2928</v>
      </c>
      <c r="D168" s="4" t="str">
        <f t="shared" si="1"/>
        <v>{"valorA":"compra","valorB":3}</v>
      </c>
      <c r="E168" s="8" t="str">
        <f t="shared" si="2"/>
        <v>compra</v>
      </c>
      <c r="F168" s="8"/>
      <c r="G168" s="8" t="str">
        <f t="shared" si="3"/>
        <v>3</v>
      </c>
      <c r="H168" s="9">
        <f t="shared" si="4"/>
        <v>3</v>
      </c>
      <c r="I168" s="6" t="str">
        <f>IFERROR(__xludf.DUMMYFUNCTION("MAX(FILTER($H$2:$H466,$E$2:$E466=F168))"),"#N/A")</f>
        <v>#N/A</v>
      </c>
    </row>
    <row r="169">
      <c r="A169" s="4"/>
      <c r="C169" s="4" t="s">
        <v>3721</v>
      </c>
      <c r="D169" s="4" t="str">
        <f t="shared" si="1"/>
        <v>{"valorA":"obs","valorB":1}</v>
      </c>
      <c r="E169" s="8" t="str">
        <f t="shared" si="2"/>
        <v>obs</v>
      </c>
      <c r="F169" s="8"/>
      <c r="G169" s="8" t="str">
        <f t="shared" si="3"/>
        <v>1</v>
      </c>
      <c r="H169" s="9">
        <f t="shared" si="4"/>
        <v>1</v>
      </c>
      <c r="I169" s="6" t="str">
        <f>IFERROR(__xludf.DUMMYFUNCTION("MAX(FILTER($H$2:$H466,$E$2:$E466=F169))"),"#N/A")</f>
        <v>#N/A</v>
      </c>
    </row>
    <row r="170">
      <c r="A170" s="4"/>
      <c r="C170" s="4" t="s">
        <v>2761</v>
      </c>
      <c r="D170" s="4" t="str">
        <f t="shared" si="1"/>
        <v>{"valorA":"ótimo","valorB":19}</v>
      </c>
      <c r="E170" s="8" t="str">
        <f t="shared" si="2"/>
        <v>ótimo</v>
      </c>
      <c r="F170" s="8"/>
      <c r="G170" s="8" t="str">
        <f t="shared" si="3"/>
        <v>19</v>
      </c>
      <c r="H170" s="9">
        <f t="shared" si="4"/>
        <v>19</v>
      </c>
      <c r="I170" s="6" t="str">
        <f>IFERROR(__xludf.DUMMYFUNCTION("MAX(FILTER($H$2:$H466,$E$2:$E466=F170))"),"#N/A")</f>
        <v>#N/A</v>
      </c>
    </row>
    <row r="171">
      <c r="A171" s="4"/>
      <c r="C171" s="4" t="s">
        <v>3104</v>
      </c>
      <c r="D171" s="4" t="str">
        <f t="shared" si="1"/>
        <v>{"valorA":"preço","valorB":7}</v>
      </c>
      <c r="E171" s="8" t="str">
        <f t="shared" si="2"/>
        <v>preço</v>
      </c>
      <c r="F171" s="8"/>
      <c r="G171" s="8" t="str">
        <f t="shared" si="3"/>
        <v>7</v>
      </c>
      <c r="H171" s="9">
        <f t="shared" si="4"/>
        <v>7</v>
      </c>
      <c r="I171" s="6" t="str">
        <f>IFERROR(__xludf.DUMMYFUNCTION("MAX(FILTER($H$2:$H466,$E$2:$E466=F171))"),"#N/A")</f>
        <v>#N/A</v>
      </c>
    </row>
    <row r="172">
      <c r="A172" s="4"/>
      <c r="C172" s="4" t="s">
        <v>2765</v>
      </c>
      <c r="D172" s="4" t="str">
        <f t="shared" si="1"/>
        <v>{"valorA":"funciona","valorB":6}</v>
      </c>
      <c r="E172" s="8" t="str">
        <f t="shared" si="2"/>
        <v>funciona</v>
      </c>
      <c r="F172" s="8"/>
      <c r="G172" s="8" t="str">
        <f t="shared" si="3"/>
        <v>6</v>
      </c>
      <c r="H172" s="9">
        <f t="shared" si="4"/>
        <v>6</v>
      </c>
      <c r="I172" s="6" t="str">
        <f>IFERROR(__xludf.DUMMYFUNCTION("MAX(FILTER($H$2:$H466,$E$2:$E466=F172))"),"#N/A")</f>
        <v>#N/A</v>
      </c>
    </row>
    <row r="173">
      <c r="A173" s="4"/>
      <c r="C173" s="4" t="s">
        <v>3028</v>
      </c>
      <c r="D173" s="4" t="str">
        <f t="shared" si="1"/>
        <v>{"valorA":"tablet","valorB":1}</v>
      </c>
      <c r="E173" s="8" t="str">
        <f t="shared" si="2"/>
        <v>tablet</v>
      </c>
      <c r="F173" s="8"/>
      <c r="G173" s="8" t="str">
        <f t="shared" si="3"/>
        <v>1</v>
      </c>
      <c r="H173" s="9">
        <f t="shared" si="4"/>
        <v>1</v>
      </c>
      <c r="I173" s="6" t="str">
        <f>IFERROR(__xludf.DUMMYFUNCTION("MAX(FILTER($H$2:$H466,$E$2:$E466=F173))"),"#N/A")</f>
        <v>#N/A</v>
      </c>
    </row>
    <row r="174">
      <c r="A174" s="4"/>
      <c r="C174" s="4" t="s">
        <v>2927</v>
      </c>
      <c r="D174" s="4" t="str">
        <f t="shared" si="1"/>
        <v>{"valorA":"com","valorB":3}</v>
      </c>
      <c r="E174" s="8" t="str">
        <f t="shared" si="2"/>
        <v>com</v>
      </c>
      <c r="F174" s="8"/>
      <c r="G174" s="8" t="str">
        <f t="shared" si="3"/>
        <v>3</v>
      </c>
      <c r="H174" s="9">
        <f t="shared" si="4"/>
        <v>3</v>
      </c>
      <c r="I174" s="6" t="str">
        <f>IFERROR(__xludf.DUMMYFUNCTION("MAX(FILTER($H$2:$H466,$E$2:$E466=F174))"),"#N/A")</f>
        <v>#N/A</v>
      </c>
    </row>
    <row r="175">
      <c r="A175" s="4"/>
      <c r="C175" s="4" t="s">
        <v>2902</v>
      </c>
      <c r="D175" s="4" t="str">
        <f t="shared" si="1"/>
        <v>{"valorA":"bem","valorB":5}</v>
      </c>
      <c r="E175" s="8" t="str">
        <f t="shared" si="2"/>
        <v>bem</v>
      </c>
      <c r="F175" s="8"/>
      <c r="G175" s="8" t="str">
        <f t="shared" si="3"/>
        <v>5</v>
      </c>
      <c r="H175" s="9">
        <f t="shared" si="4"/>
        <v>5</v>
      </c>
      <c r="I175" s="6" t="str">
        <f>IFERROR(__xludf.DUMMYFUNCTION("MAX(FILTER($H$2:$H466,$E$2:$E466=F175))"),"#N/A")</f>
        <v>#N/A</v>
      </c>
    </row>
    <row r="176">
      <c r="A176" s="4"/>
      <c r="C176" s="4" t="s">
        <v>3599</v>
      </c>
      <c r="D176" s="4" t="str">
        <f t="shared" si="1"/>
        <v>{"valorA":"acessível","valorB":1}</v>
      </c>
      <c r="E176" s="8" t="str">
        <f t="shared" si="2"/>
        <v>acessível</v>
      </c>
      <c r="F176" s="8"/>
      <c r="G176" s="8" t="str">
        <f t="shared" si="3"/>
        <v>1</v>
      </c>
      <c r="H176" s="9">
        <f t="shared" si="4"/>
        <v>1</v>
      </c>
      <c r="I176" s="6" t="str">
        <f>IFERROR(__xludf.DUMMYFUNCTION("MAX(FILTER($H$2:$H466,$E$2:$E466=F176))"),"#N/A")</f>
        <v>#N/A</v>
      </c>
    </row>
    <row r="177">
      <c r="A177" s="4"/>
      <c r="C177" s="4" t="s">
        <v>3722</v>
      </c>
      <c r="D177" s="4" t="str">
        <f t="shared" si="1"/>
        <v>{"valorA":"very","valorB":1}</v>
      </c>
      <c r="E177" s="8" t="str">
        <f t="shared" si="2"/>
        <v>very</v>
      </c>
      <c r="F177" s="8"/>
      <c r="G177" s="8" t="str">
        <f t="shared" si="3"/>
        <v>1</v>
      </c>
      <c r="H177" s="9">
        <f t="shared" si="4"/>
        <v>1</v>
      </c>
      <c r="I177" s="6" t="str">
        <f>IFERROR(__xludf.DUMMYFUNCTION("MAX(FILTER($H$2:$H466,$E$2:$E466=F177))"),"#N/A")</f>
        <v>#N/A</v>
      </c>
    </row>
    <row r="178">
      <c r="A178" s="4"/>
      <c r="C178" s="4" t="s">
        <v>2758</v>
      </c>
      <c r="D178" s="4" t="str">
        <f t="shared" si="1"/>
        <v>{"valorA":"produto","valorB":12}</v>
      </c>
      <c r="E178" s="8" t="str">
        <f t="shared" si="2"/>
        <v>produto</v>
      </c>
      <c r="F178" s="8"/>
      <c r="G178" s="8" t="str">
        <f t="shared" si="3"/>
        <v>12</v>
      </c>
      <c r="H178" s="9">
        <f t="shared" si="4"/>
        <v>12</v>
      </c>
      <c r="I178" s="6" t="str">
        <f>IFERROR(__xludf.DUMMYFUNCTION("MAX(FILTER($H$2:$H466,$E$2:$E466=F178))"),"#N/A")</f>
        <v>#N/A</v>
      </c>
    </row>
    <row r="179">
      <c r="A179" s="4"/>
      <c r="C179" s="4" t="s">
        <v>2827</v>
      </c>
      <c r="D179" s="4" t="str">
        <f t="shared" si="1"/>
        <v>{"valorA":"para","valorB":6}</v>
      </c>
      <c r="E179" s="8" t="str">
        <f t="shared" si="2"/>
        <v>para</v>
      </c>
      <c r="F179" s="8"/>
      <c r="G179" s="8" t="str">
        <f t="shared" si="3"/>
        <v>6</v>
      </c>
      <c r="H179" s="9">
        <f t="shared" si="4"/>
        <v>6</v>
      </c>
      <c r="I179" s="6" t="str">
        <f>IFERROR(__xludf.DUMMYFUNCTION("MAX(FILTER($H$2:$H466,$E$2:$E466=F179))"),"#N/A")</f>
        <v>#N/A</v>
      </c>
    </row>
    <row r="180">
      <c r="A180" s="4"/>
      <c r="C180" s="4" t="s">
        <v>2766</v>
      </c>
      <c r="D180" s="4" t="str">
        <f t="shared" si="1"/>
        <v>{"valorA":"ótimo","valorB":20}</v>
      </c>
      <c r="E180" s="8" t="str">
        <f t="shared" si="2"/>
        <v>ótimo</v>
      </c>
      <c r="F180" s="8"/>
      <c r="G180" s="8" t="str">
        <f t="shared" si="3"/>
        <v>20</v>
      </c>
      <c r="H180" s="9">
        <f t="shared" si="4"/>
        <v>20</v>
      </c>
      <c r="I180" s="6" t="str">
        <f>IFERROR(__xludf.DUMMYFUNCTION("MAX(FILTER($H$2:$H466,$E$2:$E466=F180))"),"#N/A")</f>
        <v>#N/A</v>
      </c>
    </row>
    <row r="181">
      <c r="A181" s="4"/>
      <c r="C181" s="4" t="s">
        <v>2836</v>
      </c>
      <c r="D181" s="4" t="str">
        <f t="shared" si="1"/>
        <v>{"valorA":"do","valorB":4}</v>
      </c>
      <c r="E181" s="8" t="str">
        <f t="shared" si="2"/>
        <v>do</v>
      </c>
      <c r="F181" s="8"/>
      <c r="G181" s="8" t="str">
        <f t="shared" si="3"/>
        <v>4</v>
      </c>
      <c r="H181" s="9">
        <f t="shared" si="4"/>
        <v>4</v>
      </c>
      <c r="I181" s="6" t="str">
        <f>IFERROR(__xludf.DUMMYFUNCTION("MAX(FILTER($H$2:$H466,$E$2:$E466=F181))"),"#N/A")</f>
        <v>#N/A</v>
      </c>
    </row>
    <row r="182">
      <c r="A182" s="4"/>
      <c r="C182" s="4" t="s">
        <v>3107</v>
      </c>
      <c r="D182" s="4" t="str">
        <f t="shared" si="1"/>
        <v>{"valorA":"preço","valorB":8}</v>
      </c>
      <c r="E182" s="8" t="str">
        <f t="shared" si="2"/>
        <v>preço</v>
      </c>
      <c r="F182" s="8"/>
      <c r="G182" s="8" t="str">
        <f t="shared" si="3"/>
        <v>8</v>
      </c>
      <c r="H182" s="9">
        <f t="shared" si="4"/>
        <v>8</v>
      </c>
      <c r="I182" s="6" t="str">
        <f>IFERROR(__xludf.DUMMYFUNCTION("MAX(FILTER($H$2:$H466,$E$2:$E466=F182))"),"#N/A")</f>
        <v>#N/A</v>
      </c>
    </row>
    <row r="183">
      <c r="A183" s="4"/>
      <c r="C183" s="4" t="s">
        <v>3046</v>
      </c>
      <c r="D183" s="4" t="str">
        <f t="shared" si="1"/>
        <v>{"valorA":"um","valorB":2}</v>
      </c>
      <c r="E183" s="8" t="str">
        <f t="shared" si="2"/>
        <v>um</v>
      </c>
      <c r="F183" s="8"/>
      <c r="G183" s="8" t="str">
        <f t="shared" si="3"/>
        <v>2</v>
      </c>
      <c r="H183" s="9">
        <f t="shared" si="4"/>
        <v>2</v>
      </c>
      <c r="I183" s="6" t="str">
        <f>IFERROR(__xludf.DUMMYFUNCTION("MAX(FILTER($H$2:$H466,$E$2:$E466=F183))"),"#N/A")</f>
        <v>#N/A</v>
      </c>
    </row>
    <row r="184">
      <c r="A184" s="4"/>
      <c r="C184" s="4" t="s">
        <v>3045</v>
      </c>
      <c r="D184" s="4" t="str">
        <f t="shared" si="1"/>
        <v>{"valorA":"tão","valorB":2}</v>
      </c>
      <c r="E184" s="8" t="str">
        <f t="shared" si="2"/>
        <v>tão</v>
      </c>
      <c r="F184" s="8"/>
      <c r="G184" s="8" t="str">
        <f t="shared" si="3"/>
        <v>2</v>
      </c>
      <c r="H184" s="9">
        <f t="shared" si="4"/>
        <v>2</v>
      </c>
      <c r="I184" s="6" t="str">
        <f>IFERROR(__xludf.DUMMYFUNCTION("MAX(FILTER($H$2:$H466,$E$2:$E466=F184))"),"#N/A")</f>
        <v>#N/A</v>
      </c>
    </row>
    <row r="185">
      <c r="A185" s="4"/>
      <c r="C185" s="4" t="s">
        <v>2834</v>
      </c>
      <c r="D185" s="4" t="str">
        <f t="shared" si="1"/>
        <v>{"valorA":"gostei","valorB":4}</v>
      </c>
      <c r="E185" s="8" t="str">
        <f t="shared" si="2"/>
        <v>gostei</v>
      </c>
      <c r="F185" s="8"/>
      <c r="G185" s="8" t="str">
        <f t="shared" si="3"/>
        <v>4</v>
      </c>
      <c r="H185" s="9">
        <f t="shared" si="4"/>
        <v>4</v>
      </c>
      <c r="I185" s="6" t="str">
        <f>IFERROR(__xludf.DUMMYFUNCTION("MAX(FILTER($H$2:$H466,$E$2:$E466=F185))"),"#N/A")</f>
        <v>#N/A</v>
      </c>
    </row>
    <row r="186">
      <c r="A186" s="4"/>
      <c r="C186" s="4" t="s">
        <v>3044</v>
      </c>
      <c r="D186" s="4" t="str">
        <f t="shared" si="1"/>
        <v>{"valorA":"bom","valorB":2}</v>
      </c>
      <c r="E186" s="8" t="str">
        <f t="shared" si="2"/>
        <v>bom</v>
      </c>
      <c r="F186" s="8"/>
      <c r="G186" s="8" t="str">
        <f t="shared" si="3"/>
        <v>2</v>
      </c>
      <c r="H186" s="9">
        <f t="shared" si="4"/>
        <v>2</v>
      </c>
      <c r="I186" s="6" t="str">
        <f>IFERROR(__xludf.DUMMYFUNCTION("MAX(FILTER($H$2:$H466,$E$2:$E466=F186))"),"#N/A")</f>
        <v>#N/A</v>
      </c>
    </row>
    <row r="187">
      <c r="A187" s="4"/>
      <c r="C187" s="4" t="s">
        <v>2648</v>
      </c>
      <c r="D187" s="4" t="str">
        <f t="shared" si="1"/>
        <v>{"valorA":"resultado","valorB":1}</v>
      </c>
      <c r="E187" s="8" t="str">
        <f t="shared" si="2"/>
        <v>resultado</v>
      </c>
      <c r="F187" s="8"/>
      <c r="G187" s="8" t="str">
        <f t="shared" si="3"/>
        <v>1</v>
      </c>
      <c r="H187" s="9">
        <f t="shared" si="4"/>
        <v>1</v>
      </c>
      <c r="I187" s="6" t="str">
        <f>IFERROR(__xludf.DUMMYFUNCTION("MAX(FILTER($H$2:$H466,$E$2:$E466=F187))"),"#N/A")</f>
        <v>#N/A</v>
      </c>
    </row>
    <row r="188">
      <c r="A188" s="4"/>
      <c r="C188" s="4" t="s">
        <v>2774</v>
      </c>
      <c r="D188" s="4" t="str">
        <f t="shared" si="1"/>
        <v>{"valorA":"produto","valorB":13}</v>
      </c>
      <c r="E188" s="8" t="str">
        <f t="shared" si="2"/>
        <v>produto</v>
      </c>
      <c r="F188" s="8"/>
      <c r="G188" s="8" t="str">
        <f t="shared" si="3"/>
        <v>13</v>
      </c>
      <c r="H188" s="9">
        <f t="shared" si="4"/>
        <v>13</v>
      </c>
      <c r="I188" s="6" t="str">
        <f>IFERROR(__xludf.DUMMYFUNCTION("MAX(FILTER($H$2:$H466,$E$2:$E466=F188))"),"#N/A")</f>
        <v>#N/A</v>
      </c>
    </row>
    <row r="189">
      <c r="A189" s="4"/>
      <c r="C189" s="4" t="s">
        <v>2840</v>
      </c>
      <c r="D189" s="4" t="str">
        <f t="shared" si="1"/>
        <v>{"valorA":"para","valorB":7}</v>
      </c>
      <c r="E189" s="8" t="str">
        <f t="shared" si="2"/>
        <v>para</v>
      </c>
      <c r="F189" s="8"/>
      <c r="G189" s="8" t="str">
        <f t="shared" si="3"/>
        <v>7</v>
      </c>
      <c r="H189" s="9">
        <f t="shared" si="4"/>
        <v>7</v>
      </c>
      <c r="I189" s="6" t="str">
        <f>IFERROR(__xludf.DUMMYFUNCTION("MAX(FILTER($H$2:$H466,$E$2:$E466=F189))"),"#N/A")</f>
        <v>#N/A</v>
      </c>
    </row>
    <row r="190">
      <c r="A190" s="4"/>
      <c r="C190" s="4" t="s">
        <v>2779</v>
      </c>
      <c r="D190" s="4" t="str">
        <f t="shared" si="1"/>
        <v>{"valorA":"ótimo","valorB":21}</v>
      </c>
      <c r="E190" s="8" t="str">
        <f t="shared" si="2"/>
        <v>ótimo</v>
      </c>
      <c r="F190" s="8"/>
      <c r="G190" s="8" t="str">
        <f t="shared" si="3"/>
        <v>21</v>
      </c>
      <c r="H190" s="9">
        <f t="shared" si="4"/>
        <v>21</v>
      </c>
      <c r="I190" s="6" t="str">
        <f>IFERROR(__xludf.DUMMYFUNCTION("MAX(FILTER($H$2:$H466,$E$2:$E466=F190))"),"#N/A")</f>
        <v>#N/A</v>
      </c>
    </row>
    <row r="191">
      <c r="A191" s="4"/>
      <c r="C191" s="4" t="s">
        <v>2819</v>
      </c>
      <c r="D191" s="4" t="str">
        <f t="shared" si="1"/>
        <v>{"valorA":"é","valorB":4}</v>
      </c>
      <c r="E191" s="8" t="str">
        <f t="shared" si="2"/>
        <v>é</v>
      </c>
      <c r="F191" s="8"/>
      <c r="G191" s="8" t="str">
        <f t="shared" si="3"/>
        <v>4</v>
      </c>
      <c r="H191" s="9">
        <f t="shared" si="4"/>
        <v>4</v>
      </c>
      <c r="I191" s="6" t="str">
        <f>IFERROR(__xludf.DUMMYFUNCTION("MAX(FILTER($H$2:$H466,$E$2:$E466=F191))"),"#N/A")</f>
        <v>#N/A</v>
      </c>
    </row>
    <row r="192">
      <c r="A192" s="4"/>
      <c r="C192" s="4" t="s">
        <v>2700</v>
      </c>
      <c r="D192" s="4" t="str">
        <f t="shared" si="1"/>
        <v>{"valorA":"comprei","valorB":1}</v>
      </c>
      <c r="E192" s="8" t="str">
        <f t="shared" si="2"/>
        <v>comprei</v>
      </c>
      <c r="F192" s="8"/>
      <c r="G192" s="8" t="str">
        <f t="shared" si="3"/>
        <v>1</v>
      </c>
      <c r="H192" s="9">
        <f t="shared" si="4"/>
        <v>1</v>
      </c>
      <c r="I192" s="6" t="str">
        <f>IFERROR(__xludf.DUMMYFUNCTION("MAX(FILTER($H$2:$H466,$E$2:$E466=F192))"),"#N/A")</f>
        <v>#N/A</v>
      </c>
    </row>
    <row r="193">
      <c r="A193" s="4"/>
      <c r="C193" s="4" t="s">
        <v>2701</v>
      </c>
      <c r="D193" s="4" t="str">
        <f t="shared" si="1"/>
        <v>{"valorA":"e","valorB":3}</v>
      </c>
      <c r="E193" s="8" t="str">
        <f t="shared" si="2"/>
        <v>e</v>
      </c>
      <c r="F193" s="8"/>
      <c r="G193" s="8" t="str">
        <f t="shared" si="3"/>
        <v>3</v>
      </c>
      <c r="H193" s="9">
        <f t="shared" si="4"/>
        <v>3</v>
      </c>
      <c r="I193" s="6" t="str">
        <f>IFERROR(__xludf.DUMMYFUNCTION("MAX(FILTER($H$2:$H466,$E$2:$E466=F193))"),"#N/A")</f>
        <v>#N/A</v>
      </c>
    </row>
    <row r="194">
      <c r="A194" s="4"/>
      <c r="C194" s="4" t="s">
        <v>2926</v>
      </c>
      <c r="D194" s="4" t="str">
        <f t="shared" si="1"/>
        <v>{"valorA":"feliz","valorB":1}</v>
      </c>
      <c r="E194" s="8" t="str">
        <f t="shared" si="2"/>
        <v>feliz</v>
      </c>
      <c r="F194" s="8"/>
      <c r="G194" s="8" t="str">
        <f t="shared" si="3"/>
        <v>1</v>
      </c>
      <c r="H194" s="9">
        <f t="shared" si="4"/>
        <v>1</v>
      </c>
      <c r="I194" s="6" t="str">
        <f>IFERROR(__xludf.DUMMYFUNCTION("MAX(FILTER($H$2:$H466,$E$2:$E466=F194))"),"#N/A")</f>
        <v>#N/A</v>
      </c>
    </row>
    <row r="195">
      <c r="A195" s="4"/>
      <c r="C195" s="4" t="s">
        <v>2883</v>
      </c>
      <c r="D195" s="4" t="str">
        <f t="shared" si="1"/>
        <v>{"valorA":"o","valorB":5}</v>
      </c>
      <c r="E195" s="8" t="str">
        <f t="shared" si="2"/>
        <v>o</v>
      </c>
      <c r="F195" s="8"/>
      <c r="G195" s="8" t="str">
        <f t="shared" si="3"/>
        <v>5</v>
      </c>
      <c r="H195" s="9">
        <f t="shared" si="4"/>
        <v>5</v>
      </c>
      <c r="I195" s="6" t="str">
        <f>IFERROR(__xludf.DUMMYFUNCTION("MAX(FILTER($H$2:$H466,$E$2:$E466=F195))"),"#N/A")</f>
        <v>#N/A</v>
      </c>
    </row>
    <row r="196">
      <c r="A196" s="4"/>
      <c r="C196" s="4" t="s">
        <v>2844</v>
      </c>
      <c r="D196" s="4" t="str">
        <f t="shared" si="1"/>
        <v>{"valorA":"ele","valorB":2}</v>
      </c>
      <c r="E196" s="8" t="str">
        <f t="shared" si="2"/>
        <v>ele</v>
      </c>
      <c r="F196" s="8"/>
      <c r="G196" s="8" t="str">
        <f t="shared" si="3"/>
        <v>2</v>
      </c>
      <c r="H196" s="9">
        <f t="shared" si="4"/>
        <v>2</v>
      </c>
      <c r="I196" s="6" t="str">
        <f>IFERROR(__xludf.DUMMYFUNCTION("MAX(FILTER($H$2:$H466,$E$2:$E466=F196))"),"#N/A")</f>
        <v>#N/A</v>
      </c>
    </row>
    <row r="197">
      <c r="A197" s="4"/>
      <c r="C197" s="4" t="s">
        <v>2981</v>
      </c>
      <c r="D197" s="4" t="str">
        <f t="shared" si="1"/>
        <v>{"valorA":"meu","valorB":6}</v>
      </c>
      <c r="E197" s="8" t="str">
        <f t="shared" si="2"/>
        <v>meu</v>
      </c>
      <c r="F197" s="8"/>
      <c r="G197" s="8" t="str">
        <f t="shared" si="3"/>
        <v>6</v>
      </c>
      <c r="H197" s="9">
        <f t="shared" si="4"/>
        <v>6</v>
      </c>
      <c r="I197" s="6" t="str">
        <f>IFERROR(__xludf.DUMMYFUNCTION("MAX(FILTER($H$2:$H466,$E$2:$E466=F197))"),"#N/A")</f>
        <v>#N/A</v>
      </c>
    </row>
    <row r="198">
      <c r="A198" s="4"/>
      <c r="C198" s="4" t="s">
        <v>3723</v>
      </c>
      <c r="D198" s="4" t="str">
        <f t="shared" si="1"/>
        <v>{"valorA":"pai","valorB":1}</v>
      </c>
      <c r="E198" s="8" t="str">
        <f t="shared" si="2"/>
        <v>pai</v>
      </c>
      <c r="F198" s="8"/>
      <c r="G198" s="8" t="str">
        <f t="shared" si="3"/>
        <v>1</v>
      </c>
      <c r="H198" s="9">
        <f t="shared" si="4"/>
        <v>1</v>
      </c>
      <c r="I198" s="6" t="str">
        <f>IFERROR(__xludf.DUMMYFUNCTION("MAX(FILTER($H$2:$H466,$E$2:$E466=F198))"),"#N/A")</f>
        <v>#N/A</v>
      </c>
    </row>
    <row r="199">
      <c r="A199" s="4"/>
      <c r="C199" s="4" t="s">
        <v>2956</v>
      </c>
      <c r="D199" s="4" t="str">
        <f t="shared" si="1"/>
        <v>{"valorA":"com","valorB":4}</v>
      </c>
      <c r="E199" s="8" t="str">
        <f t="shared" si="2"/>
        <v>com</v>
      </c>
      <c r="F199" s="8"/>
      <c r="G199" s="8" t="str">
        <f t="shared" si="3"/>
        <v>4</v>
      </c>
      <c r="H199" s="9">
        <f t="shared" si="4"/>
        <v>4</v>
      </c>
      <c r="I199" s="6" t="str">
        <f>IFERROR(__xludf.DUMMYFUNCTION("MAX(FILTER($H$2:$H466,$E$2:$E466=F199))"),"#N/A")</f>
        <v>#N/A</v>
      </c>
    </row>
    <row r="200">
      <c r="A200" s="4"/>
      <c r="C200" s="4" t="s">
        <v>3724</v>
      </c>
      <c r="D200" s="4" t="str">
        <f t="shared" si="1"/>
        <v>{"valorA":"ele","valorB":3}</v>
      </c>
      <c r="E200" s="8" t="str">
        <f t="shared" si="2"/>
        <v>ele</v>
      </c>
      <c r="F200" s="8"/>
      <c r="G200" s="8" t="str">
        <f t="shared" si="3"/>
        <v>3</v>
      </c>
      <c r="H200" s="9">
        <f t="shared" si="4"/>
        <v>3</v>
      </c>
      <c r="I200" s="6" t="str">
        <f>IFERROR(__xludf.DUMMYFUNCTION("MAX(FILTER($H$2:$H466,$E$2:$E466=F200))"),"#N/A")</f>
        <v>#N/A</v>
      </c>
    </row>
    <row r="201">
      <c r="A201" s="4"/>
      <c r="C201" s="4" t="s">
        <v>2793</v>
      </c>
      <c r="D201" s="4" t="str">
        <f t="shared" si="1"/>
        <v>{"valorA":"produto","valorB":14}</v>
      </c>
      <c r="E201" s="8" t="str">
        <f t="shared" si="2"/>
        <v>produto</v>
      </c>
      <c r="F201" s="8"/>
      <c r="G201" s="8" t="str">
        <f t="shared" si="3"/>
        <v>14</v>
      </c>
      <c r="H201" s="9">
        <f t="shared" si="4"/>
        <v>14</v>
      </c>
      <c r="I201" s="6" t="str">
        <f>IFERROR(__xludf.DUMMYFUNCTION("MAX(FILTER($H$2:$H466,$E$2:$E466=F201))"),"#N/A")</f>
        <v>#N/A</v>
      </c>
    </row>
    <row r="202">
      <c r="A202" s="4"/>
      <c r="C202" s="4" t="s">
        <v>2894</v>
      </c>
      <c r="D202" s="4" t="str">
        <f t="shared" si="1"/>
        <v>{"valorA":"muito","valorB":8}</v>
      </c>
      <c r="E202" s="8" t="str">
        <f t="shared" si="2"/>
        <v>muito</v>
      </c>
      <c r="F202" s="8"/>
      <c r="G202" s="8" t="str">
        <f t="shared" si="3"/>
        <v>8</v>
      </c>
      <c r="H202" s="9">
        <f t="shared" si="4"/>
        <v>8</v>
      </c>
      <c r="I202" s="6" t="str">
        <f>IFERROR(__xludf.DUMMYFUNCTION("MAX(FILTER($H$2:$H466,$E$2:$E466=F202))"),"#N/A")</f>
        <v>#N/A</v>
      </c>
    </row>
    <row r="203">
      <c r="A203" s="4"/>
      <c r="C203" s="4" t="s">
        <v>2788</v>
      </c>
      <c r="D203" s="4" t="str">
        <f t="shared" si="1"/>
        <v>{"valorA":"ótimo","valorB":22}</v>
      </c>
      <c r="E203" s="8" t="str">
        <f t="shared" si="2"/>
        <v>ótimo</v>
      </c>
      <c r="F203" s="8"/>
      <c r="G203" s="8" t="str">
        <f t="shared" si="3"/>
        <v>22</v>
      </c>
      <c r="H203" s="9">
        <f t="shared" si="4"/>
        <v>22</v>
      </c>
      <c r="I203" s="6" t="str">
        <f>IFERROR(__xludf.DUMMYFUNCTION("MAX(FILTER($H$2:$H466,$E$2:$E466=F203))"),"#N/A")</f>
        <v>#N/A</v>
      </c>
    </row>
    <row r="204">
      <c r="A204" s="4"/>
      <c r="C204" s="4" t="s">
        <v>2854</v>
      </c>
      <c r="D204" s="4" t="str">
        <f t="shared" si="1"/>
        <v>{"valorA":"para","valorB":8}</v>
      </c>
      <c r="E204" s="8" t="str">
        <f t="shared" si="2"/>
        <v>para</v>
      </c>
      <c r="F204" s="8"/>
      <c r="G204" s="8" t="str">
        <f t="shared" si="3"/>
        <v>8</v>
      </c>
      <c r="H204" s="9">
        <f t="shared" si="4"/>
        <v>8</v>
      </c>
      <c r="I204" s="6" t="str">
        <f>IFERROR(__xludf.DUMMYFUNCTION("MAX(FILTER($H$2:$H466,$E$2:$E466=F204))"),"#N/A")</f>
        <v>#N/A</v>
      </c>
    </row>
    <row r="205">
      <c r="A205" s="4"/>
      <c r="C205" s="4" t="s">
        <v>2857</v>
      </c>
      <c r="D205" s="4" t="str">
        <f t="shared" si="1"/>
        <v>{"valorA":"está","valorB":1}</v>
      </c>
      <c r="E205" s="8" t="str">
        <f t="shared" si="2"/>
        <v>está</v>
      </c>
      <c r="F205" s="8"/>
      <c r="G205" s="8" t="str">
        <f t="shared" si="3"/>
        <v>1</v>
      </c>
      <c r="H205" s="9">
        <f t="shared" si="4"/>
        <v>1</v>
      </c>
      <c r="I205" s="6" t="str">
        <f>IFERROR(__xludf.DUMMYFUNCTION("MAX(FILTER($H$2:$H466,$E$2:$E466=F205))"),"#N/A")</f>
        <v>#N/A</v>
      </c>
    </row>
    <row r="206">
      <c r="A206" s="4"/>
      <c r="C206" s="4" t="s">
        <v>2711</v>
      </c>
      <c r="D206" s="4" t="str">
        <f t="shared" si="1"/>
        <v>{"valorA":"comprei","valorB":2}</v>
      </c>
      <c r="E206" s="8" t="str">
        <f t="shared" si="2"/>
        <v>comprei</v>
      </c>
      <c r="F206" s="8"/>
      <c r="G206" s="8" t="str">
        <f t="shared" si="3"/>
        <v>2</v>
      </c>
      <c r="H206" s="9">
        <f t="shared" si="4"/>
        <v>2</v>
      </c>
      <c r="I206" s="6" t="str">
        <f>IFERROR(__xludf.DUMMYFUNCTION("MAX(FILTER($H$2:$H466,$E$2:$E466=F206))"),"#N/A")</f>
        <v>#N/A</v>
      </c>
    </row>
    <row r="207">
      <c r="A207" s="4"/>
      <c r="C207" s="4" t="s">
        <v>2721</v>
      </c>
      <c r="D207" s="4" t="str">
        <f t="shared" si="1"/>
        <v>{"valorA":"e","valorB":4}</v>
      </c>
      <c r="E207" s="8" t="str">
        <f t="shared" si="2"/>
        <v>e</v>
      </c>
      <c r="F207" s="8"/>
      <c r="G207" s="8" t="str">
        <f t="shared" si="3"/>
        <v>4</v>
      </c>
      <c r="H207" s="9">
        <f t="shared" si="4"/>
        <v>4</v>
      </c>
      <c r="I207" s="6" t="str">
        <f>IFERROR(__xludf.DUMMYFUNCTION("MAX(FILTER($H$2:$H466,$E$2:$E466=F207))"),"#N/A")</f>
        <v>#N/A</v>
      </c>
    </row>
    <row r="208">
      <c r="A208" s="4"/>
      <c r="C208" s="4" t="s">
        <v>2665</v>
      </c>
      <c r="D208" s="4" t="str">
        <f t="shared" si="1"/>
        <v>{"valorA":"satisfeito","valorB":1}</v>
      </c>
      <c r="E208" s="8" t="str">
        <f t="shared" si="2"/>
        <v>satisfeito</v>
      </c>
      <c r="F208" s="8"/>
      <c r="G208" s="8" t="str">
        <f t="shared" si="3"/>
        <v>1</v>
      </c>
      <c r="H208" s="9">
        <f t="shared" si="4"/>
        <v>1</v>
      </c>
      <c r="I208" s="6" t="str">
        <f>IFERROR(__xludf.DUMMYFUNCTION("MAX(FILTER($H$2:$H466,$E$2:$E466=F208))"),"#N/A")</f>
        <v>#N/A</v>
      </c>
    </row>
    <row r="209">
      <c r="A209" s="4"/>
      <c r="C209" s="4" t="s">
        <v>3629</v>
      </c>
      <c r="D209" s="4" t="str">
        <f t="shared" si="1"/>
        <v>{"valorA":"meu","valorB":7}</v>
      </c>
      <c r="E209" s="8" t="str">
        <f t="shared" si="2"/>
        <v>meu</v>
      </c>
      <c r="F209" s="8"/>
      <c r="G209" s="8" t="str">
        <f t="shared" si="3"/>
        <v>7</v>
      </c>
      <c r="H209" s="9">
        <f t="shared" si="4"/>
        <v>7</v>
      </c>
      <c r="I209" s="6" t="str">
        <f>IFERROR(__xludf.DUMMYFUNCTION("MAX(FILTER($H$2:$H466,$E$2:$E466=F209))"),"#N/A")</f>
        <v>#N/A</v>
      </c>
    </row>
    <row r="210">
      <c r="A210" s="4"/>
      <c r="C210" s="4" t="s">
        <v>2898</v>
      </c>
      <c r="D210" s="4" t="str">
        <f t="shared" si="1"/>
        <v>{"valorA":"o","valorB":6}</v>
      </c>
      <c r="E210" s="8" t="str">
        <f t="shared" si="2"/>
        <v>o</v>
      </c>
      <c r="F210" s="8"/>
      <c r="G210" s="8" t="str">
        <f t="shared" si="3"/>
        <v>6</v>
      </c>
      <c r="H210" s="9">
        <f t="shared" si="4"/>
        <v>6</v>
      </c>
      <c r="I210" s="6" t="str">
        <f>IFERROR(__xludf.DUMMYFUNCTION("MAX(FILTER($H$2:$H466,$E$2:$E466=F210))"),"#N/A")</f>
        <v>#N/A</v>
      </c>
    </row>
    <row r="211">
      <c r="A211" s="4"/>
      <c r="C211" s="4" t="s">
        <v>3725</v>
      </c>
      <c r="D211" s="4" t="str">
        <f t="shared" si="1"/>
        <v>{"valorA":"pai","valorB":2}</v>
      </c>
      <c r="E211" s="8" t="str">
        <f t="shared" si="2"/>
        <v>pai</v>
      </c>
      <c r="F211" s="8"/>
      <c r="G211" s="8" t="str">
        <f t="shared" si="3"/>
        <v>2</v>
      </c>
      <c r="H211" s="9">
        <f t="shared" si="4"/>
        <v>2</v>
      </c>
      <c r="I211" s="6" t="str">
        <f>IFERROR(__xludf.DUMMYFUNCTION("MAX(FILTER($H$2:$H466,$E$2:$E466=F211))"),"#N/A")</f>
        <v>#N/A</v>
      </c>
    </row>
    <row r="212">
      <c r="A212" s="4"/>
      <c r="C212" s="4" t="s">
        <v>3726</v>
      </c>
      <c r="D212" s="4" t="str">
        <f t="shared" si="1"/>
        <v>{"valorA":"ele","valorB":4}</v>
      </c>
      <c r="E212" s="8" t="str">
        <f t="shared" si="2"/>
        <v>ele</v>
      </c>
      <c r="F212" s="8"/>
      <c r="G212" s="8" t="str">
        <f t="shared" si="3"/>
        <v>4</v>
      </c>
      <c r="H212" s="9">
        <f t="shared" si="4"/>
        <v>4</v>
      </c>
      <c r="I212" s="6" t="str">
        <f>IFERROR(__xludf.DUMMYFUNCTION("MAX(FILTER($H$2:$H466,$E$2:$E466=F212))"),"#N/A")</f>
        <v>#N/A</v>
      </c>
    </row>
    <row r="213">
      <c r="A213" s="4"/>
      <c r="C213" s="4" t="s">
        <v>2824</v>
      </c>
      <c r="D213" s="4" t="str">
        <f t="shared" si="1"/>
        <v>{"valorA":"que","valorB":6}</v>
      </c>
      <c r="E213" s="8" t="str">
        <f t="shared" si="2"/>
        <v>que</v>
      </c>
      <c r="F213" s="8"/>
      <c r="G213" s="8" t="str">
        <f t="shared" si="3"/>
        <v>6</v>
      </c>
      <c r="H213" s="9">
        <f t="shared" si="4"/>
        <v>6</v>
      </c>
      <c r="I213" s="6" t="str">
        <f>IFERROR(__xludf.DUMMYFUNCTION("MAX(FILTER($H$2:$H466,$E$2:$E466=F213))"),"#N/A")</f>
        <v>#N/A</v>
      </c>
    </row>
    <row r="214">
      <c r="A214" s="4"/>
      <c r="C214" s="4" t="s">
        <v>3131</v>
      </c>
      <c r="D214" s="4" t="str">
        <f t="shared" si="1"/>
        <v>{"valorA":"tv","valorB":1}</v>
      </c>
      <c r="E214" s="8" t="str">
        <f t="shared" si="2"/>
        <v>tv</v>
      </c>
      <c r="F214" s="8"/>
      <c r="G214" s="8" t="str">
        <f t="shared" si="3"/>
        <v>1</v>
      </c>
      <c r="H214" s="9">
        <f t="shared" si="4"/>
        <v>1</v>
      </c>
      <c r="I214" s="6" t="str">
        <f>IFERROR(__xludf.DUMMYFUNCTION("MAX(FILTER($H$2:$H466,$E$2:$E466=F214))"),"#N/A")</f>
        <v>#N/A</v>
      </c>
    </row>
    <row r="215">
      <c r="A215" s="4"/>
      <c r="C215" s="4" t="s">
        <v>2791</v>
      </c>
      <c r="D215" s="4" t="str">
        <f t="shared" si="1"/>
        <v>{"valorA":"ótimo","valorB":23}</v>
      </c>
      <c r="E215" s="8" t="str">
        <f t="shared" si="2"/>
        <v>ótimo</v>
      </c>
      <c r="F215" s="8"/>
      <c r="G215" s="8" t="str">
        <f t="shared" si="3"/>
        <v>23</v>
      </c>
      <c r="H215" s="9">
        <f t="shared" si="4"/>
        <v>23</v>
      </c>
      <c r="I215" s="6" t="str">
        <f>IFERROR(__xludf.DUMMYFUNCTION("MAX(FILTER($H$2:$H466,$E$2:$E466=F215))"),"#N/A")</f>
        <v>#N/A</v>
      </c>
    </row>
    <row r="216">
      <c r="A216" s="4"/>
      <c r="C216" s="4" t="s">
        <v>3396</v>
      </c>
      <c r="D216" s="4" t="str">
        <f t="shared" si="1"/>
        <v>{"valorA":"led","valorB":1}</v>
      </c>
      <c r="E216" s="8" t="str">
        <f t="shared" si="2"/>
        <v>led</v>
      </c>
      <c r="F216" s="8"/>
      <c r="G216" s="8" t="str">
        <f t="shared" si="3"/>
        <v>1</v>
      </c>
      <c r="H216" s="9">
        <f t="shared" si="4"/>
        <v>1</v>
      </c>
      <c r="I216" s="6" t="str">
        <f>IFERROR(__xludf.DUMMYFUNCTION("MAX(FILTER($H$2:$H466,$E$2:$E466=F216))"),"#N/A")</f>
        <v>#N/A</v>
      </c>
    </row>
    <row r="217">
      <c r="A217" s="4"/>
      <c r="C217" s="4" t="s">
        <v>2752</v>
      </c>
      <c r="D217" s="4" t="str">
        <f t="shared" si="1"/>
        <v>{"valorA":"comprei","valorB":3}</v>
      </c>
      <c r="E217" s="8" t="str">
        <f t="shared" si="2"/>
        <v>comprei</v>
      </c>
      <c r="F217" s="8"/>
      <c r="G217" s="8" t="str">
        <f t="shared" si="3"/>
        <v>3</v>
      </c>
      <c r="H217" s="9">
        <f t="shared" si="4"/>
        <v>3</v>
      </c>
      <c r="I217" s="6" t="str">
        <f>IFERROR(__xludf.DUMMYFUNCTION("MAX(FILTER($H$2:$H466,$E$2:$E466=F217))"),"#N/A")</f>
        <v>#N/A</v>
      </c>
    </row>
    <row r="218">
      <c r="A218" s="4"/>
      <c r="C218" s="4" t="s">
        <v>3356</v>
      </c>
      <c r="D218" s="4" t="str">
        <f t="shared" si="1"/>
        <v>{"valorA":"com","valorB":5}</v>
      </c>
      <c r="E218" s="8" t="str">
        <f t="shared" si="2"/>
        <v>com</v>
      </c>
      <c r="F218" s="8"/>
      <c r="G218" s="8" t="str">
        <f t="shared" si="3"/>
        <v>5</v>
      </c>
      <c r="H218" s="9">
        <f t="shared" si="4"/>
        <v>5</v>
      </c>
      <c r="I218" s="6" t="str">
        <f>IFERROR(__xludf.DUMMYFUNCTION("MAX(FILTER($H$2:$H466,$E$2:$E466=F218))"),"#N/A")</f>
        <v>#N/A</v>
      </c>
    </row>
    <row r="219">
      <c r="A219" s="4"/>
      <c r="C219" s="4" t="s">
        <v>3727</v>
      </c>
      <c r="D219" s="4" t="str">
        <f t="shared" si="1"/>
        <v>{"valorA":"feliz","valorB":2}</v>
      </c>
      <c r="E219" s="8" t="str">
        <f t="shared" si="2"/>
        <v>feliz</v>
      </c>
      <c r="F219" s="8"/>
      <c r="G219" s="8" t="str">
        <f t="shared" si="3"/>
        <v>2</v>
      </c>
      <c r="H219" s="9">
        <f t="shared" si="4"/>
        <v>2</v>
      </c>
      <c r="I219" s="6" t="str">
        <f>IFERROR(__xludf.DUMMYFUNCTION("MAX(FILTER($H$2:$H466,$E$2:$E466=F219))"),"#N/A")</f>
        <v>#N/A</v>
      </c>
    </row>
    <row r="220">
      <c r="A220" s="4"/>
      <c r="C220" s="4" t="s">
        <v>2922</v>
      </c>
      <c r="D220" s="4" t="str">
        <f t="shared" si="1"/>
        <v>{"valorA":"a","valorB":7}</v>
      </c>
      <c r="E220" s="8" t="str">
        <f t="shared" si="2"/>
        <v>a</v>
      </c>
      <c r="F220" s="8"/>
      <c r="G220" s="8" t="str">
        <f t="shared" si="3"/>
        <v>7</v>
      </c>
      <c r="H220" s="9">
        <f t="shared" si="4"/>
        <v>7</v>
      </c>
      <c r="I220" s="6" t="str">
        <f>IFERROR(__xludf.DUMMYFUNCTION("MAX(FILTER($H$2:$H466,$E$2:$E466=F220))"),"#N/A")</f>
        <v>#N/A</v>
      </c>
    </row>
    <row r="221">
      <c r="A221" s="4"/>
      <c r="C221" s="4" t="s">
        <v>3056</v>
      </c>
      <c r="D221" s="4" t="str">
        <f t="shared" si="1"/>
        <v>{"valorA":"super","valorB":1}</v>
      </c>
      <c r="E221" s="8" t="str">
        <f t="shared" si="2"/>
        <v>super</v>
      </c>
      <c r="F221" s="8"/>
      <c r="G221" s="8" t="str">
        <f t="shared" si="3"/>
        <v>1</v>
      </c>
      <c r="H221" s="9">
        <f t="shared" si="4"/>
        <v>1</v>
      </c>
      <c r="I221" s="6" t="str">
        <f>IFERROR(__xludf.DUMMYFUNCTION("MAX(FILTER($H$2:$H466,$E$2:$E466=F221))"),"#N/A")</f>
        <v>#N/A</v>
      </c>
    </row>
    <row r="222">
      <c r="A222" s="4"/>
      <c r="C222" s="4" t="s">
        <v>2958</v>
      </c>
      <c r="D222" s="4" t="str">
        <f t="shared" si="1"/>
        <v>{"valorA":"compra","valorB":4}</v>
      </c>
      <c r="E222" s="8" t="str">
        <f t="shared" si="2"/>
        <v>compra</v>
      </c>
      <c r="F222" s="8"/>
      <c r="G222" s="8" t="str">
        <f t="shared" si="3"/>
        <v>4</v>
      </c>
      <c r="H222" s="9">
        <f t="shared" si="4"/>
        <v>4</v>
      </c>
      <c r="I222" s="6" t="str">
        <f>IFERROR(__xludf.DUMMYFUNCTION("MAX(FILTER($H$2:$H466,$E$2:$E466=F222))"),"#N/A")</f>
        <v>#N/A</v>
      </c>
    </row>
    <row r="223">
      <c r="A223" s="4"/>
      <c r="C223" s="4" t="s">
        <v>2796</v>
      </c>
      <c r="D223" s="4" t="str">
        <f t="shared" si="1"/>
        <v>{"valorA":"produto","valorB":15}</v>
      </c>
      <c r="E223" s="8" t="str">
        <f t="shared" si="2"/>
        <v>produto</v>
      </c>
      <c r="F223" s="8"/>
      <c r="G223" s="8" t="str">
        <f t="shared" si="3"/>
        <v>15</v>
      </c>
      <c r="H223" s="9">
        <f t="shared" si="4"/>
        <v>15</v>
      </c>
      <c r="I223" s="6" t="str">
        <f>IFERROR(__xludf.DUMMYFUNCTION("MAX(FILTER($H$2:$H466,$E$2:$E466=F223))"),"#N/A")</f>
        <v>#N/A</v>
      </c>
    </row>
    <row r="224">
      <c r="A224" s="4"/>
      <c r="C224" s="4" t="s">
        <v>2798</v>
      </c>
      <c r="D224" s="4" t="str">
        <f t="shared" si="1"/>
        <v>{"valorA":"ótimo","valorB":24}</v>
      </c>
      <c r="E224" s="8" t="str">
        <f t="shared" si="2"/>
        <v>ótimo</v>
      </c>
      <c r="F224" s="8"/>
      <c r="G224" s="8" t="str">
        <f t="shared" si="3"/>
        <v>24</v>
      </c>
      <c r="H224" s="9">
        <f t="shared" si="4"/>
        <v>24</v>
      </c>
      <c r="I224" s="6" t="str">
        <f>IFERROR(__xludf.DUMMYFUNCTION("MAX(FILTER($H$2:$H466,$E$2:$E466=F224))"),"#N/A")</f>
        <v>#N/A</v>
      </c>
    </row>
    <row r="225">
      <c r="A225" s="4"/>
      <c r="C225" s="4" t="s">
        <v>2722</v>
      </c>
      <c r="D225" s="4" t="str">
        <f t="shared" si="1"/>
        <v>{"valorA":"fácil","valorB":2}</v>
      </c>
      <c r="E225" s="8" t="str">
        <f t="shared" si="2"/>
        <v>fácil</v>
      </c>
      <c r="F225" s="8"/>
      <c r="G225" s="8" t="str">
        <f t="shared" si="3"/>
        <v>2</v>
      </c>
      <c r="H225" s="9">
        <f t="shared" si="4"/>
        <v>2</v>
      </c>
      <c r="I225" s="6" t="str">
        <f>IFERROR(__xludf.DUMMYFUNCTION("MAX(FILTER($H$2:$H466,$E$2:$E466=F225))"),"#N/A")</f>
        <v>#N/A</v>
      </c>
    </row>
    <row r="226">
      <c r="A226" s="4"/>
      <c r="C226" s="4" t="s">
        <v>3728</v>
      </c>
      <c r="D226" s="4" t="str">
        <f t="shared" si="1"/>
        <v>{"valorA":"durável","valorB":1}</v>
      </c>
      <c r="E226" s="8" t="str">
        <f t="shared" si="2"/>
        <v>durável</v>
      </c>
      <c r="F226" s="8"/>
      <c r="G226" s="8" t="str">
        <f t="shared" si="3"/>
        <v>1</v>
      </c>
      <c r="H226" s="9">
        <f t="shared" si="4"/>
        <v>1</v>
      </c>
      <c r="I226" s="6" t="str">
        <f>IFERROR(__xludf.DUMMYFUNCTION("MAX(FILTER($H$2:$H466,$E$2:$E466=F226))"),"#N/A")</f>
        <v>#N/A</v>
      </c>
    </row>
    <row r="227">
      <c r="A227" s="4"/>
      <c r="C227" s="4" t="s">
        <v>2748</v>
      </c>
      <c r="D227" s="4" t="str">
        <f t="shared" si="1"/>
        <v>{"valorA":"de","valorB":5}</v>
      </c>
      <c r="E227" s="8" t="str">
        <f t="shared" si="2"/>
        <v>de</v>
      </c>
      <c r="F227" s="8"/>
      <c r="G227" s="8" t="str">
        <f t="shared" si="3"/>
        <v>5</v>
      </c>
      <c r="H227" s="9">
        <f t="shared" si="4"/>
        <v>5</v>
      </c>
      <c r="I227" s="6" t="str">
        <f>IFERROR(__xludf.DUMMYFUNCTION("MAX(FILTER($H$2:$H466,$E$2:$E466=F227))"),"#N/A")</f>
        <v>#N/A</v>
      </c>
    </row>
    <row r="228">
      <c r="A228" s="4"/>
      <c r="C228" s="4" t="s">
        <v>2740</v>
      </c>
      <c r="D228" s="4" t="str">
        <f t="shared" si="1"/>
        <v>{"valorA":"e","valorB":5}</v>
      </c>
      <c r="E228" s="8" t="str">
        <f t="shared" si="2"/>
        <v>e</v>
      </c>
      <c r="F228" s="8"/>
      <c r="G228" s="8" t="str">
        <f t="shared" si="3"/>
        <v>5</v>
      </c>
      <c r="H228" s="9">
        <f t="shared" si="4"/>
        <v>5</v>
      </c>
      <c r="I228" s="6" t="str">
        <f>IFERROR(__xludf.DUMMYFUNCTION("MAX(FILTER($H$2:$H466,$E$2:$E466=F228))"),"#N/A")</f>
        <v>#N/A</v>
      </c>
    </row>
    <row r="229">
      <c r="A229" s="4"/>
      <c r="C229" s="4" t="s">
        <v>2723</v>
      </c>
      <c r="D229" s="4" t="str">
        <f t="shared" si="1"/>
        <v>{"valorA":"usar","valorB":2}</v>
      </c>
      <c r="E229" s="8" t="str">
        <f t="shared" si="2"/>
        <v>usar</v>
      </c>
      <c r="F229" s="8"/>
      <c r="G229" s="8" t="str">
        <f t="shared" si="3"/>
        <v>2</v>
      </c>
      <c r="H229" s="9">
        <f t="shared" si="4"/>
        <v>2</v>
      </c>
      <c r="I229" s="6" t="str">
        <f>IFERROR(__xludf.DUMMYFUNCTION("MAX(FILTER($H$2:$H466,$E$2:$E466=F229))"),"#N/A")</f>
        <v>#N/A</v>
      </c>
    </row>
    <row r="230">
      <c r="A230" s="4"/>
      <c r="C230" s="4" t="s">
        <v>2915</v>
      </c>
      <c r="D230" s="4" t="str">
        <f t="shared" si="1"/>
        <v>{"valorA":"muito","valorB":9}</v>
      </c>
      <c r="E230" s="8" t="str">
        <f t="shared" si="2"/>
        <v>muito</v>
      </c>
      <c r="F230" s="8"/>
      <c r="G230" s="8" t="str">
        <f t="shared" si="3"/>
        <v>9</v>
      </c>
      <c r="H230" s="9">
        <f t="shared" si="4"/>
        <v>9</v>
      </c>
      <c r="I230" s="6" t="str">
        <f>IFERROR(__xludf.DUMMYFUNCTION("MAX(FILTER($H$2:$H466,$E$2:$E466=F230))"),"#N/A")</f>
        <v>#N/A</v>
      </c>
    </row>
    <row r="231">
      <c r="A231" s="4"/>
      <c r="C231" s="4" t="s">
        <v>2918</v>
      </c>
      <c r="D231" s="4" t="str">
        <f t="shared" si="1"/>
        <v>{"valorA":"gostei","valorB":5}</v>
      </c>
      <c r="E231" s="8" t="str">
        <f t="shared" si="2"/>
        <v>gostei</v>
      </c>
      <c r="F231" s="8"/>
      <c r="G231" s="8" t="str">
        <f t="shared" si="3"/>
        <v>5</v>
      </c>
      <c r="H231" s="9">
        <f t="shared" si="4"/>
        <v>5</v>
      </c>
      <c r="I231" s="6" t="str">
        <f>IFERROR(__xludf.DUMMYFUNCTION("MAX(FILTER($H$2:$H466,$E$2:$E466=F231))"),"#N/A")</f>
        <v>#N/A</v>
      </c>
    </row>
    <row r="232">
      <c r="A232" s="4"/>
      <c r="C232" s="4" t="s">
        <v>3729</v>
      </c>
      <c r="D232" s="4" t="str">
        <f t="shared" si="1"/>
        <v>{"valorA":"smartwatch","valorB":2}</v>
      </c>
      <c r="E232" s="8" t="str">
        <f t="shared" si="2"/>
        <v>smartwatch</v>
      </c>
      <c r="F232" s="8"/>
      <c r="G232" s="8" t="str">
        <f t="shared" si="3"/>
        <v>2</v>
      </c>
      <c r="H232" s="9">
        <f t="shared" si="4"/>
        <v>2</v>
      </c>
      <c r="I232" s="6" t="str">
        <f>IFERROR(__xludf.DUMMYFUNCTION("MAX(FILTER($H$2:$H466,$E$2:$E466=F232))"),"#N/A")</f>
        <v>#N/A</v>
      </c>
    </row>
    <row r="233">
      <c r="A233" s="4"/>
      <c r="C233" s="4" t="s">
        <v>3117</v>
      </c>
      <c r="D233" s="4" t="str">
        <f t="shared" si="1"/>
        <v>{"valorA":"preço","valorB":9}</v>
      </c>
      <c r="E233" s="8" t="str">
        <f t="shared" si="2"/>
        <v>preço</v>
      </c>
      <c r="F233" s="8"/>
      <c r="G233" s="8" t="str">
        <f t="shared" si="3"/>
        <v>9</v>
      </c>
      <c r="H233" s="9">
        <f t="shared" si="4"/>
        <v>9</v>
      </c>
      <c r="I233" s="6" t="str">
        <f>IFERROR(__xludf.DUMMYFUNCTION("MAX(FILTER($H$2:$H466,$E$2:$E466=F233))"),"#N/A")</f>
        <v>#N/A</v>
      </c>
    </row>
    <row r="234">
      <c r="A234" s="4"/>
      <c r="C234" s="4" t="s">
        <v>2806</v>
      </c>
      <c r="D234" s="4" t="str">
        <f t="shared" si="1"/>
        <v>{"valorA":"ótimo","valorB":25}</v>
      </c>
      <c r="E234" s="8" t="str">
        <f t="shared" si="2"/>
        <v>ótimo</v>
      </c>
      <c r="F234" s="8"/>
      <c r="G234" s="8" t="str">
        <f t="shared" si="3"/>
        <v>25</v>
      </c>
      <c r="H234" s="9">
        <f t="shared" si="4"/>
        <v>25</v>
      </c>
      <c r="I234" s="6" t="str">
        <f>IFERROR(__xludf.DUMMYFUNCTION("MAX(FILTER($H$2:$H466,$E$2:$E466=F234))"),"#N/A")</f>
        <v>#N/A</v>
      </c>
    </row>
    <row r="235">
      <c r="A235" s="4"/>
      <c r="C235" s="4" t="s">
        <v>3631</v>
      </c>
      <c r="D235" s="4" t="str">
        <f t="shared" si="1"/>
        <v>{"valorA":"meu","valorB":8}</v>
      </c>
      <c r="E235" s="8" t="str">
        <f t="shared" si="2"/>
        <v>meu</v>
      </c>
      <c r="F235" s="8"/>
      <c r="G235" s="8" t="str">
        <f t="shared" si="3"/>
        <v>8</v>
      </c>
      <c r="H235" s="9">
        <f t="shared" si="4"/>
        <v>8</v>
      </c>
      <c r="I235" s="6" t="str">
        <f>IFERROR(__xludf.DUMMYFUNCTION("MAX(FILTER($H$2:$H466,$E$2:$E466=F235))"),"#N/A")</f>
        <v>#N/A</v>
      </c>
    </row>
    <row r="236">
      <c r="A236" s="4"/>
      <c r="C236" s="4" t="s">
        <v>2903</v>
      </c>
      <c r="D236" s="4" t="str">
        <f t="shared" si="1"/>
        <v>{"valorA":"do","valorB":5}</v>
      </c>
      <c r="E236" s="8" t="str">
        <f t="shared" si="2"/>
        <v>do</v>
      </c>
      <c r="F236" s="8"/>
      <c r="G236" s="8" t="str">
        <f t="shared" si="3"/>
        <v>5</v>
      </c>
      <c r="H236" s="9">
        <f t="shared" si="4"/>
        <v>5</v>
      </c>
      <c r="I236" s="6" t="str">
        <f>IFERROR(__xludf.DUMMYFUNCTION("MAX(FILTER($H$2:$H466,$E$2:$E466=F236))"),"#N/A")</f>
        <v>#N/A</v>
      </c>
    </row>
    <row r="237">
      <c r="A237" s="4"/>
      <c r="C237" s="4" t="s">
        <v>3730</v>
      </c>
      <c r="D237" s="4" t="str">
        <f t="shared" si="1"/>
        <v>{"valorA":"também","valorB":2}</v>
      </c>
      <c r="E237" s="8" t="str">
        <f t="shared" si="2"/>
        <v>também</v>
      </c>
      <c r="F237" s="8"/>
      <c r="G237" s="8" t="str">
        <f t="shared" si="3"/>
        <v>2</v>
      </c>
      <c r="H237" s="9">
        <f t="shared" si="4"/>
        <v>2</v>
      </c>
      <c r="I237" s="6" t="str">
        <f>IFERROR(__xludf.DUMMYFUNCTION("MAX(FILTER($H$2:$H466,$E$2:$E466=F237))"),"#N/A")</f>
        <v>#N/A</v>
      </c>
    </row>
    <row r="238">
      <c r="A238" s="4"/>
      <c r="C238" s="4" t="s">
        <v>2801</v>
      </c>
      <c r="D238" s="4" t="str">
        <f t="shared" si="1"/>
        <v>{"valorA":"produto","valorB":16}</v>
      </c>
      <c r="E238" s="8" t="str">
        <f t="shared" si="2"/>
        <v>produto</v>
      </c>
      <c r="F238" s="8"/>
      <c r="G238" s="8" t="str">
        <f t="shared" si="3"/>
        <v>16</v>
      </c>
      <c r="H238" s="9">
        <f t="shared" si="4"/>
        <v>16</v>
      </c>
      <c r="I238" s="6" t="str">
        <f>IFERROR(__xludf.DUMMYFUNCTION("MAX(FILTER($H$2:$H466,$E$2:$E466=F238))"),"#N/A")</f>
        <v>#N/A</v>
      </c>
    </row>
    <row r="239">
      <c r="A239" s="4"/>
      <c r="C239" s="4" t="s">
        <v>3731</v>
      </c>
      <c r="D239" s="4" t="str">
        <f t="shared" si="1"/>
        <v>{"valorA":"faltando","valorB":1}</v>
      </c>
      <c r="E239" s="8" t="str">
        <f t="shared" si="2"/>
        <v>faltando</v>
      </c>
      <c r="F239" s="8"/>
      <c r="G239" s="8" t="str">
        <f t="shared" si="3"/>
        <v>1</v>
      </c>
      <c r="H239" s="9">
        <f t="shared" si="4"/>
        <v>1</v>
      </c>
      <c r="I239" s="6" t="str">
        <f>IFERROR(__xludf.DUMMYFUNCTION("MAX(FILTER($H$2:$H466,$E$2:$E466=F239))"),"#N/A")</f>
        <v>#N/A</v>
      </c>
    </row>
    <row r="240">
      <c r="A240" s="4"/>
      <c r="C240" s="4" t="s">
        <v>2809</v>
      </c>
      <c r="D240" s="4" t="str">
        <f t="shared" si="1"/>
        <v>{"valorA":"ótimo","valorB":26}</v>
      </c>
      <c r="E240" s="8" t="str">
        <f t="shared" si="2"/>
        <v>ótimo</v>
      </c>
      <c r="F240" s="8"/>
      <c r="G240" s="8" t="str">
        <f t="shared" si="3"/>
        <v>26</v>
      </c>
      <c r="H240" s="9">
        <f t="shared" si="4"/>
        <v>26</v>
      </c>
      <c r="I240" s="6" t="str">
        <f>IFERROR(__xludf.DUMMYFUNCTION("MAX(FILTER($H$2:$H466,$E$2:$E466=F240))"),"#N/A")</f>
        <v>#N/A</v>
      </c>
    </row>
    <row r="241">
      <c r="A241" s="4"/>
      <c r="C241" s="4" t="s">
        <v>3106</v>
      </c>
      <c r="D241" s="4" t="str">
        <f t="shared" si="1"/>
        <v>{"valorA":"mas","valorB":2}</v>
      </c>
      <c r="E241" s="8" t="str">
        <f t="shared" si="2"/>
        <v>mas</v>
      </c>
      <c r="F241" s="8"/>
      <c r="G241" s="8" t="str">
        <f t="shared" si="3"/>
        <v>2</v>
      </c>
      <c r="H241" s="9">
        <f t="shared" si="4"/>
        <v>2</v>
      </c>
      <c r="I241" s="6" t="str">
        <f>IFERROR(__xludf.DUMMYFUNCTION("MAX(FILTER($H$2:$H466,$E$2:$E466=F241))"),"#N/A")</f>
        <v>#N/A</v>
      </c>
    </row>
    <row r="242">
      <c r="A242" s="4"/>
      <c r="C242" s="4" t="s">
        <v>3732</v>
      </c>
      <c r="D242" s="4" t="str">
        <f t="shared" si="1"/>
        <v>{"valorA":"funcionalidades","valorB":1}</v>
      </c>
      <c r="E242" s="8" t="str">
        <f t="shared" si="2"/>
        <v>funcionalidades</v>
      </c>
      <c r="F242" s="8"/>
      <c r="G242" s="8" t="str">
        <f t="shared" si="3"/>
        <v>1</v>
      </c>
      <c r="H242" s="9">
        <f t="shared" si="4"/>
        <v>1</v>
      </c>
      <c r="I242" s="6" t="str">
        <f>IFERROR(__xludf.DUMMYFUNCTION("MAX(FILTER($H$2:$H466,$E$2:$E466=F242))"),"#N/A")</f>
        <v>#N/A</v>
      </c>
    </row>
    <row r="243">
      <c r="A243" s="4"/>
      <c r="C243" s="4" t="s">
        <v>2812</v>
      </c>
      <c r="D243" s="4" t="str">
        <f t="shared" si="1"/>
        <v>{"valorA":"produto","valorB":17}</v>
      </c>
      <c r="E243" s="8" t="str">
        <f t="shared" si="2"/>
        <v>produto</v>
      </c>
      <c r="F243" s="8"/>
      <c r="G243" s="8" t="str">
        <f t="shared" si="3"/>
        <v>17</v>
      </c>
      <c r="H243" s="9">
        <f t="shared" si="4"/>
        <v>17</v>
      </c>
      <c r="I243" s="6" t="str">
        <f>IFERROR(__xludf.DUMMYFUNCTION("MAX(FILTER($H$2:$H466,$E$2:$E466=F243))"),"#N/A")</f>
        <v>#N/A</v>
      </c>
    </row>
    <row r="244">
      <c r="A244" s="4"/>
      <c r="C244" s="4" t="s">
        <v>3733</v>
      </c>
      <c r="D244" s="4" t="str">
        <f t="shared" si="1"/>
        <v>{"valorA":"redução","valorB":1}</v>
      </c>
      <c r="E244" s="8" t="str">
        <f t="shared" si="2"/>
        <v>redução</v>
      </c>
      <c r="F244" s="8"/>
      <c r="G244" s="8" t="str">
        <f t="shared" si="3"/>
        <v>1</v>
      </c>
      <c r="H244" s="9">
        <f t="shared" si="4"/>
        <v>1</v>
      </c>
      <c r="I244" s="6" t="str">
        <f>IFERROR(__xludf.DUMMYFUNCTION("MAX(FILTER($H$2:$H466,$E$2:$E466=F244))"),"#N/A")</f>
        <v>#N/A</v>
      </c>
    </row>
    <row r="245">
      <c r="A245" s="4"/>
      <c r="C245" s="4" t="s">
        <v>3122</v>
      </c>
      <c r="D245" s="4" t="str">
        <f t="shared" si="1"/>
        <v>{"valorA":"preço","valorB":10}</v>
      </c>
      <c r="E245" s="8" t="str">
        <f t="shared" si="2"/>
        <v>preço</v>
      </c>
      <c r="F245" s="8"/>
      <c r="G245" s="8" t="str">
        <f t="shared" si="3"/>
        <v>10</v>
      </c>
      <c r="H245" s="9">
        <f t="shared" si="4"/>
        <v>10</v>
      </c>
      <c r="I245" s="6" t="str">
        <f>IFERROR(__xludf.DUMMYFUNCTION("MAX(FILTER($H$2:$H466,$E$2:$E466=F245))"),"#N/A")</f>
        <v>#N/A</v>
      </c>
    </row>
    <row r="246">
      <c r="A246" s="4"/>
      <c r="C246" s="4" t="s">
        <v>2934</v>
      </c>
      <c r="D246" s="4" t="str">
        <f t="shared" si="1"/>
        <v>{"valorA":"muito","valorB":10}</v>
      </c>
      <c r="E246" s="8" t="str">
        <f t="shared" si="2"/>
        <v>muito</v>
      </c>
      <c r="F246" s="8"/>
      <c r="G246" s="8" t="str">
        <f t="shared" si="3"/>
        <v>10</v>
      </c>
      <c r="H246" s="9">
        <f t="shared" si="4"/>
        <v>10</v>
      </c>
      <c r="I246" s="6" t="str">
        <f>IFERROR(__xludf.DUMMYFUNCTION("MAX(FILTER($H$2:$H466,$E$2:$E466=F246))"),"#N/A")</f>
        <v>#N/A</v>
      </c>
    </row>
    <row r="247">
      <c r="A247" s="4"/>
      <c r="C247" s="4" t="s">
        <v>2942</v>
      </c>
      <c r="D247" s="4" t="str">
        <f t="shared" si="1"/>
        <v>{"valorA":"o","valorB":7}</v>
      </c>
      <c r="E247" s="8" t="str">
        <f t="shared" si="2"/>
        <v>o</v>
      </c>
      <c r="F247" s="8"/>
      <c r="G247" s="8" t="str">
        <f t="shared" si="3"/>
        <v>7</v>
      </c>
      <c r="H247" s="9">
        <f t="shared" si="4"/>
        <v>7</v>
      </c>
      <c r="I247" s="6" t="str">
        <f>IFERROR(__xludf.DUMMYFUNCTION("MAX(FILTER($H$2:$H466,$E$2:$E466=F247))"),"#N/A")</f>
        <v>#N/A</v>
      </c>
    </row>
    <row r="248">
      <c r="A248" s="4"/>
      <c r="C248" s="4" t="s">
        <v>2818</v>
      </c>
      <c r="D248" s="4" t="str">
        <f t="shared" si="1"/>
        <v>{"valorA":"ótimo","valorB":27}</v>
      </c>
      <c r="E248" s="8" t="str">
        <f t="shared" si="2"/>
        <v>ótimo</v>
      </c>
      <c r="F248" s="8"/>
      <c r="G248" s="8" t="str">
        <f t="shared" si="3"/>
        <v>27</v>
      </c>
      <c r="H248" s="9">
        <f t="shared" si="4"/>
        <v>27</v>
      </c>
      <c r="I248" s="6" t="str">
        <f>IFERROR(__xludf.DUMMYFUNCTION("MAX(FILTER($H$2:$H466,$E$2:$E466=F248))"),"#N/A")</f>
        <v>#N/A</v>
      </c>
    </row>
    <row r="249">
      <c r="A249" s="4"/>
      <c r="C249" s="4" t="s">
        <v>2862</v>
      </c>
      <c r="D249" s="4" t="str">
        <f t="shared" si="1"/>
        <v>{"valorA":"é","valorB":5}</v>
      </c>
      <c r="E249" s="8" t="str">
        <f t="shared" si="2"/>
        <v>é</v>
      </c>
      <c r="F249" s="8"/>
      <c r="G249" s="8" t="str">
        <f t="shared" si="3"/>
        <v>5</v>
      </c>
      <c r="H249" s="9">
        <f t="shared" si="4"/>
        <v>5</v>
      </c>
      <c r="I249" s="6" t="str">
        <f>IFERROR(__xludf.DUMMYFUNCTION("MAX(FILTER($H$2:$H466,$E$2:$E466=F249))"),"#N/A")</f>
        <v>#N/A</v>
      </c>
    </row>
    <row r="250">
      <c r="A250" s="4"/>
      <c r="C250" s="4" t="s">
        <v>3734</v>
      </c>
      <c r="D250" s="4" t="str">
        <f t="shared" si="1"/>
        <v>{"valorA":"gostaria","valorB":2}</v>
      </c>
      <c r="E250" s="8" t="str">
        <f t="shared" si="2"/>
        <v>gostaria</v>
      </c>
      <c r="F250" s="8"/>
      <c r="G250" s="8" t="str">
        <f t="shared" si="3"/>
        <v>2</v>
      </c>
      <c r="H250" s="9">
        <f t="shared" si="4"/>
        <v>2</v>
      </c>
      <c r="I250" s="6" t="str">
        <f>IFERROR(__xludf.DUMMYFUNCTION("MAX(FILTER($H$2:$H466,$E$2:$E466=F250))"),"#N/A")</f>
        <v>#N/A</v>
      </c>
    </row>
    <row r="251">
      <c r="A251" s="4"/>
      <c r="C251" s="4" t="s">
        <v>3735</v>
      </c>
      <c r="D251" s="4" t="str">
        <f t="shared" si="1"/>
        <v>{"valorA":"alto","valorB":1}</v>
      </c>
      <c r="E251" s="8" t="str">
        <f t="shared" si="2"/>
        <v>alto</v>
      </c>
      <c r="F251" s="8"/>
      <c r="G251" s="8" t="str">
        <f t="shared" si="3"/>
        <v>1</v>
      </c>
      <c r="H251" s="9">
        <f t="shared" si="4"/>
        <v>1</v>
      </c>
      <c r="I251" s="6" t="str">
        <f>IFERROR(__xludf.DUMMYFUNCTION("MAX(FILTER($H$2:$H466,$E$2:$E466=F251))"),"#N/A")</f>
        <v>#N/A</v>
      </c>
    </row>
    <row r="252">
      <c r="A252" s="4"/>
      <c r="C252" s="4" t="s">
        <v>3736</v>
      </c>
      <c r="D252" s="4" t="str">
        <f t="shared" si="1"/>
        <v>{"valorA":"ver","valorB":1}</v>
      </c>
      <c r="E252" s="8" t="str">
        <f t="shared" si="2"/>
        <v>ver</v>
      </c>
      <c r="F252" s="8"/>
      <c r="G252" s="8" t="str">
        <f t="shared" si="3"/>
        <v>1</v>
      </c>
      <c r="H252" s="9">
        <f t="shared" si="4"/>
        <v>1</v>
      </c>
      <c r="I252" s="6" t="str">
        <f>IFERROR(__xludf.DUMMYFUNCTION("MAX(FILTER($H$2:$H466,$E$2:$E466=F252))"),"#N/A")</f>
        <v>#N/A</v>
      </c>
    </row>
    <row r="253">
      <c r="A253" s="4"/>
      <c r="C253" s="4" t="s">
        <v>2876</v>
      </c>
      <c r="D253" s="4" t="str">
        <f t="shared" si="1"/>
        <v>{"valorA":"de","valorB":6}</v>
      </c>
      <c r="E253" s="8" t="str">
        <f t="shared" si="2"/>
        <v>de</v>
      </c>
      <c r="F253" s="8"/>
      <c r="G253" s="8" t="str">
        <f t="shared" si="3"/>
        <v>6</v>
      </c>
      <c r="H253" s="9">
        <f t="shared" si="4"/>
        <v>6</v>
      </c>
      <c r="I253" s="6" t="str">
        <f>IFERROR(__xludf.DUMMYFUNCTION("MAX(FILTER($H$2:$H466,$E$2:$E466=F253))"),"#N/A")</f>
        <v>#N/A</v>
      </c>
    </row>
    <row r="254">
      <c r="A254" s="4"/>
      <c r="C254" s="4" t="s">
        <v>3737</v>
      </c>
      <c r="D254" s="4" t="str">
        <f t="shared" si="1"/>
        <v>{"valorA":"uma","valorB":3}</v>
      </c>
      <c r="E254" s="8" t="str">
        <f t="shared" si="2"/>
        <v>uma</v>
      </c>
      <c r="F254" s="8"/>
      <c r="G254" s="8" t="str">
        <f t="shared" si="3"/>
        <v>3</v>
      </c>
      <c r="H254" s="9">
        <f t="shared" si="4"/>
        <v>3</v>
      </c>
      <c r="I254" s="6" t="str">
        <f>IFERROR(__xludf.DUMMYFUNCTION("MAX(FILTER($H$2:$H466,$E$2:$E466=F254))"),"#N/A")</f>
        <v>#N/A</v>
      </c>
    </row>
    <row r="255">
      <c r="A255" s="4"/>
      <c r="C255" s="4" t="s">
        <v>3133</v>
      </c>
      <c r="D255" s="4" t="str">
        <f t="shared" si="1"/>
        <v>{"valorA":"mas","valorB":3}</v>
      </c>
      <c r="E255" s="8" t="str">
        <f t="shared" si="2"/>
        <v>mas</v>
      </c>
      <c r="F255" s="8"/>
      <c r="G255" s="8" t="str">
        <f t="shared" si="3"/>
        <v>3</v>
      </c>
      <c r="H255" s="9">
        <f t="shared" si="4"/>
        <v>3</v>
      </c>
      <c r="I255" s="6" t="str">
        <f>IFERROR(__xludf.DUMMYFUNCTION("MAX(FILTER($H$2:$H466,$E$2:$E466=F255))"),"#N/A")</f>
        <v>#N/A</v>
      </c>
    </row>
    <row r="256">
      <c r="A256" s="4"/>
      <c r="C256" s="4" t="s">
        <v>3738</v>
      </c>
      <c r="D256" s="4" t="str">
        <f t="shared" si="1"/>
        <v>{"valorA":"preços","valorB":1}</v>
      </c>
      <c r="E256" s="8" t="str">
        <f t="shared" si="2"/>
        <v>preços</v>
      </c>
      <c r="F256" s="8"/>
      <c r="G256" s="8" t="str">
        <f t="shared" si="3"/>
        <v>1</v>
      </c>
      <c r="H256" s="9">
        <f t="shared" si="4"/>
        <v>1</v>
      </c>
      <c r="I256" s="6" t="str">
        <f>IFERROR(__xludf.DUMMYFUNCTION("MAX(FILTER($H$2:$H466,$E$2:$E466=F256))"),"#N/A")</f>
        <v>#N/A</v>
      </c>
    </row>
    <row r="257">
      <c r="A257" s="4"/>
      <c r="C257" s="4" t="s">
        <v>3739</v>
      </c>
      <c r="D257" s="4" t="str">
        <f t="shared" si="1"/>
        <v>{"valorA":"nos","valorB":1}</v>
      </c>
      <c r="E257" s="8" t="str">
        <f t="shared" si="2"/>
        <v>nos</v>
      </c>
      <c r="F257" s="8"/>
      <c r="G257" s="8" t="str">
        <f t="shared" si="3"/>
        <v>1</v>
      </c>
      <c r="H257" s="9">
        <f t="shared" si="4"/>
        <v>1</v>
      </c>
      <c r="I257" s="6" t="str">
        <f>IFERROR(__xludf.DUMMYFUNCTION("MAX(FILTER($H$2:$H466,$E$2:$E466=F257))"),"#N/A")</f>
        <v>#N/A</v>
      </c>
    </row>
    <row r="258">
      <c r="A258" s="4"/>
      <c r="C258" s="4" t="s">
        <v>3341</v>
      </c>
      <c r="D258" s="4" t="str">
        <f t="shared" si="1"/>
        <v>{"valorA":"coment","valorB":1}</v>
      </c>
      <c r="E258" s="8" t="str">
        <f t="shared" si="2"/>
        <v>coment</v>
      </c>
      <c r="F258" s="8"/>
      <c r="G258" s="8" t="str">
        <f t="shared" si="3"/>
        <v>1</v>
      </c>
      <c r="H258" s="9">
        <f t="shared" si="4"/>
        <v>1</v>
      </c>
      <c r="I258" s="6" t="str">
        <f>IFERROR(__xludf.DUMMYFUNCTION("MAX(FILTER($H$2:$H466,$E$2:$E466=F258))"),"#N/A")</f>
        <v>#N/A</v>
      </c>
    </row>
    <row r="259">
      <c r="A259" s="4"/>
      <c r="C259" s="4" t="s">
        <v>3176</v>
      </c>
      <c r="D259" s="4" t="str">
        <f t="shared" si="1"/>
        <v>{"valorA":"busca","valorB":2}</v>
      </c>
      <c r="E259" s="8" t="str">
        <f t="shared" si="2"/>
        <v>busca</v>
      </c>
      <c r="F259" s="8"/>
      <c r="G259" s="8" t="str">
        <f t="shared" si="3"/>
        <v>2</v>
      </c>
      <c r="H259" s="9">
        <f t="shared" si="4"/>
        <v>2</v>
      </c>
      <c r="I259" s="6" t="str">
        <f>IFERROR(__xludf.DUMMYFUNCTION("MAX(FILTER($H$2:$H466,$E$2:$E466=F259))"),"#N/A")</f>
        <v>#N/A</v>
      </c>
    </row>
    <row r="260">
      <c r="A260" s="4"/>
      <c r="C260" s="4" t="s">
        <v>3740</v>
      </c>
      <c r="D260" s="4" t="str">
        <f t="shared" si="1"/>
        <v>{"valorA":"confiabilidade","valorB":1}</v>
      </c>
      <c r="E260" s="8" t="str">
        <f t="shared" si="2"/>
        <v>confiabilidade</v>
      </c>
      <c r="F260" s="8"/>
      <c r="G260" s="8" t="str">
        <f t="shared" si="3"/>
        <v>1</v>
      </c>
      <c r="H260" s="9">
        <f t="shared" si="4"/>
        <v>1</v>
      </c>
      <c r="I260" s="6" t="str">
        <f>IFERROR(__xludf.DUMMYFUNCTION("MAX(FILTER($H$2:$H466,$E$2:$E466=F260))"),"#N/A")</f>
        <v>#N/A</v>
      </c>
    </row>
    <row r="261">
      <c r="A261" s="4"/>
      <c r="C261" s="4" t="s">
        <v>2856</v>
      </c>
      <c r="D261" s="4" t="str">
        <f t="shared" si="1"/>
        <v>{"valorA":"quem","valorB":2}</v>
      </c>
      <c r="E261" s="8" t="str">
        <f t="shared" si="2"/>
        <v>quem</v>
      </c>
      <c r="F261" s="8"/>
      <c r="G261" s="8" t="str">
        <f t="shared" si="3"/>
        <v>2</v>
      </c>
      <c r="H261" s="9">
        <f t="shared" si="4"/>
        <v>2</v>
      </c>
      <c r="I261" s="6" t="str">
        <f>IFERROR(__xludf.DUMMYFUNCTION("MAX(FILTER($H$2:$H466,$E$2:$E466=F261))"),"#N/A")</f>
        <v>#N/A</v>
      </c>
    </row>
    <row r="262">
      <c r="A262" s="4"/>
      <c r="C262" s="4" t="s">
        <v>2832</v>
      </c>
      <c r="D262" s="4" t="str">
        <f t="shared" si="1"/>
        <v>{"valorA":"produto","valorB":18}</v>
      </c>
      <c r="E262" s="8" t="str">
        <f t="shared" si="2"/>
        <v>produto</v>
      </c>
      <c r="F262" s="8"/>
      <c r="G262" s="8" t="str">
        <f t="shared" si="3"/>
        <v>18</v>
      </c>
      <c r="H262" s="9">
        <f t="shared" si="4"/>
        <v>18</v>
      </c>
      <c r="I262" s="6" t="str">
        <f>IFERROR(__xludf.DUMMYFUNCTION("MAX(FILTER($H$2:$H466,$E$2:$E466=F262))"),"#N/A")</f>
        <v>#N/A</v>
      </c>
    </row>
    <row r="263">
      <c r="A263" s="4"/>
      <c r="C263" s="4" t="s">
        <v>2828</v>
      </c>
      <c r="D263" s="4" t="str">
        <f t="shared" si="1"/>
        <v>{"valorA":"ótimo","valorB":28}</v>
      </c>
      <c r="E263" s="8" t="str">
        <f t="shared" si="2"/>
        <v>ótimo</v>
      </c>
      <c r="F263" s="8"/>
      <c r="G263" s="8" t="str">
        <f t="shared" si="3"/>
        <v>28</v>
      </c>
      <c r="H263" s="9">
        <f t="shared" si="4"/>
        <v>28</v>
      </c>
      <c r="I263" s="6" t="str">
        <f>IFERROR(__xludf.DUMMYFUNCTION("MAX(FILTER($H$2:$H466,$E$2:$E466=F263))"),"#N/A")</f>
        <v>#N/A</v>
      </c>
    </row>
    <row r="264">
      <c r="A264" s="4"/>
      <c r="C264" s="4" t="s">
        <v>2863</v>
      </c>
      <c r="D264" s="4" t="str">
        <f t="shared" si="1"/>
        <v>{"valorA":"para","valorB":9}</v>
      </c>
      <c r="E264" s="8" t="str">
        <f t="shared" si="2"/>
        <v>para</v>
      </c>
      <c r="F264" s="8"/>
      <c r="G264" s="8" t="str">
        <f t="shared" si="3"/>
        <v>9</v>
      </c>
      <c r="H264" s="9">
        <f t="shared" si="4"/>
        <v>9</v>
      </c>
      <c r="I264" s="6" t="str">
        <f>IFERROR(__xludf.DUMMYFUNCTION("MAX(FILTER($H$2:$H466,$E$2:$E466=F264))"),"#N/A")</f>
        <v>#N/A</v>
      </c>
    </row>
    <row r="265">
      <c r="A265" s="4"/>
      <c r="C265" s="4" t="s">
        <v>3167</v>
      </c>
      <c r="D265" s="4" t="str">
        <f t="shared" si="1"/>
        <v>{"valorA":"qualidade","valorB":4}</v>
      </c>
      <c r="E265" s="8" t="str">
        <f t="shared" si="2"/>
        <v>qualidade</v>
      </c>
      <c r="F265" s="8"/>
      <c r="G265" s="8" t="str">
        <f t="shared" si="3"/>
        <v>4</v>
      </c>
      <c r="H265" s="9">
        <f t="shared" si="4"/>
        <v>4</v>
      </c>
      <c r="I265" s="6" t="str">
        <f>IFERROR(__xludf.DUMMYFUNCTION("MAX(FILTER($H$2:$H466,$E$2:$E466=F265))"),"#N/A")</f>
        <v>#N/A</v>
      </c>
    </row>
    <row r="266">
      <c r="A266" s="4"/>
      <c r="C266" s="4" t="s">
        <v>2750</v>
      </c>
      <c r="D266" s="4" t="str">
        <f t="shared" si="1"/>
        <v>{"valorA":"e","valorB":6}</v>
      </c>
      <c r="E266" s="8" t="str">
        <f t="shared" si="2"/>
        <v>e</v>
      </c>
      <c r="F266" s="8"/>
      <c r="G266" s="8" t="str">
        <f t="shared" si="3"/>
        <v>6</v>
      </c>
      <c r="H266" s="9">
        <f t="shared" si="4"/>
        <v>6</v>
      </c>
      <c r="I266" s="6" t="str">
        <f>IFERROR(__xludf.DUMMYFUNCTION("MAX(FILTER($H$2:$H466,$E$2:$E466=F266))"),"#N/A")</f>
        <v>#N/A</v>
      </c>
    </row>
    <row r="267">
      <c r="A267" s="4"/>
      <c r="C267" s="4" t="s">
        <v>2831</v>
      </c>
      <c r="D267" s="4" t="str">
        <f t="shared" si="1"/>
        <v>{"valorA":"ótimo","valorB":29}</v>
      </c>
      <c r="E267" s="8" t="str">
        <f t="shared" si="2"/>
        <v>ótimo</v>
      </c>
      <c r="F267" s="8"/>
      <c r="G267" s="8" t="str">
        <f t="shared" si="3"/>
        <v>29</v>
      </c>
      <c r="H267" s="9">
        <f t="shared" si="4"/>
        <v>29</v>
      </c>
      <c r="I267" s="6" t="str">
        <f>IFERROR(__xludf.DUMMYFUNCTION("MAX(FILTER($H$2:$H466,$E$2:$E466=F267))"),"#N/A")</f>
        <v>#N/A</v>
      </c>
    </row>
    <row r="268">
      <c r="A268" s="4"/>
      <c r="C268" s="4" t="s">
        <v>2867</v>
      </c>
      <c r="D268" s="4" t="str">
        <f t="shared" si="1"/>
        <v>{"valorA":"produto","valorB":19}</v>
      </c>
      <c r="E268" s="8" t="str">
        <f t="shared" si="2"/>
        <v>produto</v>
      </c>
      <c r="F268" s="8"/>
      <c r="G268" s="8" t="str">
        <f t="shared" si="3"/>
        <v>19</v>
      </c>
      <c r="H268" s="9">
        <f t="shared" si="4"/>
        <v>19</v>
      </c>
      <c r="I268" s="6" t="str">
        <f>IFERROR(__xludf.DUMMYFUNCTION("MAX(FILTER($H$2:$H466,$E$2:$E466=F268))"),"#N/A")</f>
        <v>#N/A</v>
      </c>
    </row>
    <row r="269">
      <c r="A269" s="4"/>
      <c r="C269" s="4" t="s">
        <v>2940</v>
      </c>
      <c r="D269" s="4" t="str">
        <f t="shared" si="1"/>
        <v>{"valorA":"muito","valorB":11}</v>
      </c>
      <c r="E269" s="8" t="str">
        <f t="shared" si="2"/>
        <v>muito</v>
      </c>
      <c r="F269" s="8"/>
      <c r="G269" s="8" t="str">
        <f t="shared" si="3"/>
        <v>11</v>
      </c>
      <c r="H269" s="9">
        <f t="shared" si="4"/>
        <v>11</v>
      </c>
      <c r="I269" s="6" t="str">
        <f>IFERROR(__xludf.DUMMYFUNCTION("MAX(FILTER($H$2:$H466,$E$2:$E466=F269))"),"#N/A")</f>
        <v>#N/A</v>
      </c>
    </row>
    <row r="270">
      <c r="A270" s="4"/>
      <c r="C270" s="4" t="s">
        <v>3135</v>
      </c>
      <c r="D270" s="4" t="str">
        <f t="shared" si="1"/>
        <v>{"valorA":"preço","valorB":11}</v>
      </c>
      <c r="E270" s="8" t="str">
        <f t="shared" si="2"/>
        <v>preço</v>
      </c>
      <c r="F270" s="8"/>
      <c r="G270" s="8" t="str">
        <f t="shared" si="3"/>
        <v>11</v>
      </c>
      <c r="H270" s="9">
        <f t="shared" si="4"/>
        <v>11</v>
      </c>
      <c r="I270" s="6" t="str">
        <f>IFERROR(__xludf.DUMMYFUNCTION("MAX(FILTER($H$2:$H466,$E$2:$E466=F270))"),"#N/A")</f>
        <v>#N/A</v>
      </c>
    </row>
    <row r="271">
      <c r="A271" s="4"/>
      <c r="C271" s="4" t="s">
        <v>2969</v>
      </c>
      <c r="D271" s="4" t="str">
        <f t="shared" si="1"/>
        <v>{"valorA":"para","valorB":10}</v>
      </c>
      <c r="E271" s="8" t="str">
        <f t="shared" si="2"/>
        <v>para</v>
      </c>
      <c r="F271" s="8"/>
      <c r="G271" s="8" t="str">
        <f t="shared" si="3"/>
        <v>10</v>
      </c>
      <c r="H271" s="9">
        <f t="shared" si="4"/>
        <v>10</v>
      </c>
      <c r="I271" s="6" t="str">
        <f>IFERROR(__xludf.DUMMYFUNCTION("MAX(FILTER($H$2:$H466,$E$2:$E466=F271))"),"#N/A")</f>
        <v>#N/A</v>
      </c>
    </row>
    <row r="272">
      <c r="A272" s="4"/>
      <c r="C272" s="4" t="s">
        <v>2887</v>
      </c>
      <c r="D272" s="4" t="str">
        <f t="shared" si="1"/>
        <v>{"valorA":"que","valorB":7}</v>
      </c>
      <c r="E272" s="8" t="str">
        <f t="shared" si="2"/>
        <v>que</v>
      </c>
      <c r="F272" s="8"/>
      <c r="G272" s="8" t="str">
        <f t="shared" si="3"/>
        <v>7</v>
      </c>
      <c r="H272" s="9">
        <f t="shared" si="4"/>
        <v>7</v>
      </c>
      <c r="I272" s="6" t="str">
        <f>IFERROR(__xludf.DUMMYFUNCTION("MAX(FILTER($H$2:$H466,$E$2:$E466=F272))"),"#N/A")</f>
        <v>#N/A</v>
      </c>
    </row>
    <row r="273">
      <c r="A273" s="4"/>
      <c r="C273" s="4" t="s">
        <v>2983</v>
      </c>
      <c r="D273" s="4" t="str">
        <f t="shared" si="1"/>
        <v>{"valorA":"o","valorB":8}</v>
      </c>
      <c r="E273" s="8" t="str">
        <f t="shared" si="2"/>
        <v>o</v>
      </c>
      <c r="F273" s="8"/>
      <c r="G273" s="8" t="str">
        <f t="shared" si="3"/>
        <v>8</v>
      </c>
      <c r="H273" s="9">
        <f t="shared" si="4"/>
        <v>8</v>
      </c>
      <c r="I273" s="6" t="str">
        <f>IFERROR(__xludf.DUMMYFUNCTION("MAX(FILTER($H$2:$H466,$E$2:$E466=F273))"),"#N/A")</f>
        <v>#N/A</v>
      </c>
    </row>
    <row r="274">
      <c r="A274" s="4"/>
      <c r="C274" s="4" t="s">
        <v>2932</v>
      </c>
      <c r="D274" s="4" t="str">
        <f t="shared" si="1"/>
        <v>{"valorA":"gostei","valorB":6}</v>
      </c>
      <c r="E274" s="8" t="str">
        <f t="shared" si="2"/>
        <v>gostei</v>
      </c>
      <c r="F274" s="8"/>
      <c r="G274" s="8" t="str">
        <f t="shared" si="3"/>
        <v>6</v>
      </c>
      <c r="H274" s="9">
        <f t="shared" si="4"/>
        <v>6</v>
      </c>
      <c r="I274" s="6" t="str">
        <f>IFERROR(__xludf.DUMMYFUNCTION("MAX(FILTER($H$2:$H466,$E$2:$E466=F274))"),"#N/A")</f>
        <v>#N/A</v>
      </c>
    </row>
    <row r="275">
      <c r="A275" s="4"/>
      <c r="C275" s="4" t="s">
        <v>2885</v>
      </c>
      <c r="D275" s="4" t="str">
        <f t="shared" si="1"/>
        <v>{"valorA":"paguei","valorB":2}</v>
      </c>
      <c r="E275" s="8" t="str">
        <f t="shared" si="2"/>
        <v>paguei</v>
      </c>
      <c r="F275" s="8"/>
      <c r="G275" s="8" t="str">
        <f t="shared" si="3"/>
        <v>2</v>
      </c>
      <c r="H275" s="9">
        <f t="shared" si="4"/>
        <v>2</v>
      </c>
      <c r="I275" s="6" t="str">
        <f>IFERROR(__xludf.DUMMYFUNCTION("MAX(FILTER($H$2:$H466,$E$2:$E466=F275))"),"#N/A")</f>
        <v>#N/A</v>
      </c>
    </row>
    <row r="276">
      <c r="A276" s="4"/>
      <c r="C276" s="4" t="s">
        <v>3199</v>
      </c>
      <c r="D276" s="4" t="str">
        <f t="shared" si="1"/>
        <v>{"valorA":"mas","valorB":4}</v>
      </c>
      <c r="E276" s="8" t="str">
        <f t="shared" si="2"/>
        <v>mas</v>
      </c>
      <c r="F276" s="8"/>
      <c r="G276" s="8" t="str">
        <f t="shared" si="3"/>
        <v>4</v>
      </c>
      <c r="H276" s="9">
        <f t="shared" si="4"/>
        <v>4</v>
      </c>
      <c r="I276" s="6" t="str">
        <f>IFERROR(__xludf.DUMMYFUNCTION("MAX(FILTER($H$2:$H466,$E$2:$E466=F276))"),"#N/A")</f>
        <v>#N/A</v>
      </c>
    </row>
    <row r="277">
      <c r="A277" s="4"/>
      <c r="C277" s="4" t="s">
        <v>2872</v>
      </c>
      <c r="D277" s="4" t="str">
        <f t="shared" si="1"/>
        <v>{"valorA":"produto","valorB":20}</v>
      </c>
      <c r="E277" s="8" t="str">
        <f t="shared" si="2"/>
        <v>produto</v>
      </c>
      <c r="F277" s="8"/>
      <c r="G277" s="8" t="str">
        <f t="shared" si="3"/>
        <v>20</v>
      </c>
      <c r="H277" s="9">
        <f t="shared" si="4"/>
        <v>20</v>
      </c>
      <c r="I277" s="6" t="str">
        <f>IFERROR(__xludf.DUMMYFUNCTION("MAX(FILTER($H$2:$H466,$E$2:$E466=F277))"),"#N/A")</f>
        <v>#N/A</v>
      </c>
    </row>
    <row r="278">
      <c r="A278" s="4"/>
      <c r="C278" s="4" t="s">
        <v>3172</v>
      </c>
      <c r="D278" s="4" t="str">
        <f t="shared" si="1"/>
        <v>{"valorA":"preço","valorB":12}</v>
      </c>
      <c r="E278" s="8" t="str">
        <f t="shared" si="2"/>
        <v>preço</v>
      </c>
      <c r="F278" s="8"/>
      <c r="G278" s="8" t="str">
        <f t="shared" si="3"/>
        <v>12</v>
      </c>
      <c r="H278" s="9">
        <f t="shared" si="4"/>
        <v>12</v>
      </c>
      <c r="I278" s="6" t="str">
        <f>IFERROR(__xludf.DUMMYFUNCTION("MAX(FILTER($H$2:$H466,$E$2:$E466=F278))"),"#N/A")</f>
        <v>#N/A</v>
      </c>
    </row>
    <row r="279">
      <c r="A279" s="4"/>
      <c r="C279" s="4" t="s">
        <v>3109</v>
      </c>
      <c r="D279" s="4" t="str">
        <f t="shared" si="1"/>
        <v>{"valorA":"não","valorB":2}</v>
      </c>
      <c r="E279" s="8" t="str">
        <f t="shared" si="2"/>
        <v>não</v>
      </c>
      <c r="F279" s="8"/>
      <c r="G279" s="8" t="str">
        <f t="shared" si="3"/>
        <v>2</v>
      </c>
      <c r="H279" s="9">
        <f t="shared" si="4"/>
        <v>2</v>
      </c>
      <c r="I279" s="6" t="str">
        <f>IFERROR(__xludf.DUMMYFUNCTION("MAX(FILTER($H$2:$H466,$E$2:$E466=F279))"),"#N/A")</f>
        <v>#N/A</v>
      </c>
    </row>
    <row r="280">
      <c r="A280" s="4"/>
      <c r="C280" s="4" t="s">
        <v>2841</v>
      </c>
      <c r="D280" s="4" t="str">
        <f t="shared" si="1"/>
        <v>{"valorA":"ótimo","valorB":30}</v>
      </c>
      <c r="E280" s="8" t="str">
        <f t="shared" si="2"/>
        <v>ótimo</v>
      </c>
      <c r="F280" s="8"/>
      <c r="G280" s="8" t="str">
        <f t="shared" si="3"/>
        <v>30</v>
      </c>
      <c r="H280" s="9">
        <f t="shared" si="4"/>
        <v>30</v>
      </c>
      <c r="I280" s="6" t="str">
        <f>IFERROR(__xludf.DUMMYFUNCTION("MAX(FILTER($H$2:$H466,$E$2:$E466=F280))"),"#N/A")</f>
        <v>#N/A</v>
      </c>
    </row>
    <row r="281">
      <c r="A281" s="4"/>
      <c r="C281" s="4" t="s">
        <v>3741</v>
      </c>
      <c r="D281" s="4" t="str">
        <f t="shared" si="1"/>
        <v>{"valorA":"gostei","valorB":7}</v>
      </c>
      <c r="E281" s="8" t="str">
        <f t="shared" si="2"/>
        <v>gostei</v>
      </c>
      <c r="F281" s="8"/>
      <c r="G281" s="8" t="str">
        <f t="shared" si="3"/>
        <v>7</v>
      </c>
      <c r="H281" s="9">
        <f t="shared" si="4"/>
        <v>7</v>
      </c>
      <c r="I281" s="6" t="str">
        <f>IFERROR(__xludf.DUMMYFUNCTION("MAX(FILTER($H$2:$H466,$E$2:$E466=F281))"),"#N/A")</f>
        <v>#N/A</v>
      </c>
    </row>
    <row r="282">
      <c r="A282" s="4"/>
      <c r="C282" s="4" t="s">
        <v>3742</v>
      </c>
      <c r="D282" s="4" t="str">
        <f t="shared" si="1"/>
        <v>{"valorA":"do","valorB":6}</v>
      </c>
      <c r="E282" s="8" t="str">
        <f t="shared" si="2"/>
        <v>do</v>
      </c>
      <c r="F282" s="8"/>
      <c r="G282" s="8" t="str">
        <f t="shared" si="3"/>
        <v>6</v>
      </c>
      <c r="H282" s="9">
        <f t="shared" si="4"/>
        <v>6</v>
      </c>
      <c r="I282" s="6" t="str">
        <f>IFERROR(__xludf.DUMMYFUNCTION("MAX(FILTER($H$2:$H466,$E$2:$E466=F282))"),"#N/A")</f>
        <v>#N/A</v>
      </c>
    </row>
    <row r="283">
      <c r="A283" s="4"/>
      <c r="C283" s="4" t="s">
        <v>2845</v>
      </c>
      <c r="D283" s="4" t="str">
        <f t="shared" si="1"/>
        <v>{"valorA":"ótimo","valorB":31}</v>
      </c>
      <c r="E283" s="8" t="str">
        <f t="shared" si="2"/>
        <v>ótimo</v>
      </c>
      <c r="F283" s="8"/>
      <c r="G283" s="8" t="str">
        <f t="shared" si="3"/>
        <v>31</v>
      </c>
      <c r="H283" s="9">
        <f t="shared" si="4"/>
        <v>31</v>
      </c>
      <c r="I283" s="6" t="str">
        <f>IFERROR(__xludf.DUMMYFUNCTION("MAX(FILTER($H$2:$H466,$E$2:$E466=F283))"),"#N/A")</f>
        <v>#N/A</v>
      </c>
    </row>
    <row r="284">
      <c r="A284" s="4"/>
      <c r="C284" s="4" t="s">
        <v>2776</v>
      </c>
      <c r="D284" s="4" t="str">
        <f t="shared" si="1"/>
        <v>{"valorA":"funciona","valorB":7}</v>
      </c>
      <c r="E284" s="8" t="str">
        <f t="shared" si="2"/>
        <v>funciona</v>
      </c>
      <c r="F284" s="8"/>
      <c r="G284" s="8" t="str">
        <f t="shared" si="3"/>
        <v>7</v>
      </c>
      <c r="H284" s="9">
        <f t="shared" si="4"/>
        <v>7</v>
      </c>
      <c r="I284" s="6" t="str">
        <f>IFERROR(__xludf.DUMMYFUNCTION("MAX(FILTER($H$2:$H466,$E$2:$E466=F284))"),"#N/A")</f>
        <v>#N/A</v>
      </c>
    </row>
    <row r="285">
      <c r="A285" s="4"/>
      <c r="C285" s="4" t="s">
        <v>3743</v>
      </c>
      <c r="D285" s="4" t="str">
        <f t="shared" si="1"/>
        <v>{"valorA":"câmera","valorB":3}</v>
      </c>
      <c r="E285" s="8" t="str">
        <f t="shared" si="2"/>
        <v>câmera</v>
      </c>
      <c r="F285" s="8"/>
      <c r="G285" s="8" t="str">
        <f t="shared" si="3"/>
        <v>3</v>
      </c>
      <c r="H285" s="9">
        <f t="shared" si="4"/>
        <v>3</v>
      </c>
      <c r="I285" s="6" t="str">
        <f>IFERROR(__xludf.DUMMYFUNCTION("MAX(FILTER($H$2:$H466,$E$2:$E466=F285))"),"#N/A")</f>
        <v>#N/A</v>
      </c>
    </row>
    <row r="286">
      <c r="A286" s="4"/>
      <c r="C286" s="4" t="s">
        <v>2770</v>
      </c>
      <c r="D286" s="4" t="str">
        <f t="shared" si="1"/>
        <v>{"valorA":"e","valorB":7}</v>
      </c>
      <c r="E286" s="8" t="str">
        <f t="shared" si="2"/>
        <v>e</v>
      </c>
      <c r="F286" s="8"/>
      <c r="G286" s="8" t="str">
        <f t="shared" si="3"/>
        <v>7</v>
      </c>
      <c r="H286" s="9">
        <f t="shared" si="4"/>
        <v>7</v>
      </c>
      <c r="I286" s="6" t="str">
        <f>IFERROR(__xludf.DUMMYFUNCTION("MAX(FILTER($H$2:$H466,$E$2:$E466=F286))"),"#N/A")</f>
        <v>#N/A</v>
      </c>
    </row>
    <row r="287">
      <c r="A287" s="4"/>
      <c r="C287" s="4" t="s">
        <v>2716</v>
      </c>
      <c r="D287" s="4" t="str">
        <f t="shared" si="1"/>
        <v>{"valorA":"perfeitamente","valorB":3}</v>
      </c>
      <c r="E287" s="8" t="str">
        <f t="shared" si="2"/>
        <v>perfeitamente</v>
      </c>
      <c r="F287" s="8"/>
      <c r="G287" s="8" t="str">
        <f t="shared" si="3"/>
        <v>3</v>
      </c>
      <c r="H287" s="9">
        <f t="shared" si="4"/>
        <v>3</v>
      </c>
      <c r="I287" s="6" t="str">
        <f>IFERROR(__xludf.DUMMYFUNCTION("MAX(FILTER($H$2:$H466,$E$2:$E466=F287))"),"#N/A")</f>
        <v>#N/A</v>
      </c>
    </row>
    <row r="288">
      <c r="A288" s="4"/>
      <c r="C288" s="4" t="s">
        <v>2870</v>
      </c>
      <c r="D288" s="4" t="str">
        <f t="shared" si="1"/>
        <v>{"valorA":"é","valorB":6}</v>
      </c>
      <c r="E288" s="8" t="str">
        <f t="shared" si="2"/>
        <v>é</v>
      </c>
      <c r="F288" s="8"/>
      <c r="G288" s="8" t="str">
        <f t="shared" si="3"/>
        <v>6</v>
      </c>
      <c r="H288" s="9">
        <f t="shared" si="4"/>
        <v>6</v>
      </c>
      <c r="I288" s="6" t="str">
        <f>IFERROR(__xludf.DUMMYFUNCTION("MAX(FILTER($H$2:$H466,$E$2:$E466=F288))"),"#N/A")</f>
        <v>#N/A</v>
      </c>
    </row>
    <row r="289">
      <c r="A289" s="4"/>
      <c r="C289" s="4" t="s">
        <v>2953</v>
      </c>
      <c r="D289" s="4" t="str">
        <f t="shared" si="1"/>
        <v>{"valorA":"muito","valorB":12}</v>
      </c>
      <c r="E289" s="8" t="str">
        <f t="shared" si="2"/>
        <v>muito</v>
      </c>
      <c r="F289" s="8"/>
      <c r="G289" s="8" t="str">
        <f t="shared" si="3"/>
        <v>12</v>
      </c>
      <c r="H289" s="9">
        <f t="shared" si="4"/>
        <v>12</v>
      </c>
      <c r="I289" s="6" t="str">
        <f>IFERROR(__xludf.DUMMYFUNCTION("MAX(FILTER($H$2:$H466,$E$2:$E466=F289))"),"#N/A")</f>
        <v>#N/A</v>
      </c>
    </row>
    <row r="290">
      <c r="A290" s="4"/>
      <c r="C290" s="4" t="s">
        <v>2741</v>
      </c>
      <c r="D290" s="4" t="str">
        <f t="shared" si="1"/>
        <v>{"valorA":"fácil","valorB":3}</v>
      </c>
      <c r="E290" s="8" t="str">
        <f t="shared" si="2"/>
        <v>fácil</v>
      </c>
      <c r="F290" s="8"/>
      <c r="G290" s="8" t="str">
        <f t="shared" si="3"/>
        <v>3</v>
      </c>
      <c r="H290" s="9">
        <f t="shared" si="4"/>
        <v>3</v>
      </c>
      <c r="I290" s="6" t="str">
        <f>IFERROR(__xludf.DUMMYFUNCTION("MAX(FILTER($H$2:$H466,$E$2:$E466=F290))"),"#N/A")</f>
        <v>#N/A</v>
      </c>
    </row>
    <row r="291">
      <c r="A291" s="4"/>
      <c r="C291" s="4" t="s">
        <v>2984</v>
      </c>
      <c r="D291" s="4" t="str">
        <f t="shared" si="1"/>
        <v>{"valorA":"de","valorB":7}</v>
      </c>
      <c r="E291" s="8" t="str">
        <f t="shared" si="2"/>
        <v>de</v>
      </c>
      <c r="F291" s="8"/>
      <c r="G291" s="8" t="str">
        <f t="shared" si="3"/>
        <v>7</v>
      </c>
      <c r="H291" s="9">
        <f t="shared" si="4"/>
        <v>7</v>
      </c>
      <c r="I291" s="6" t="str">
        <f>IFERROR(__xludf.DUMMYFUNCTION("MAX(FILTER($H$2:$H466,$E$2:$E466=F291))"),"#N/A")</f>
        <v>#N/A</v>
      </c>
    </row>
    <row r="292">
      <c r="A292" s="4"/>
      <c r="C292" s="4" t="s">
        <v>2739</v>
      </c>
      <c r="D292" s="4" t="str">
        <f t="shared" si="1"/>
        <v>{"valorA":"usar","valorB":3}</v>
      </c>
      <c r="E292" s="8" t="str">
        <f t="shared" si="2"/>
        <v>usar</v>
      </c>
      <c r="F292" s="8"/>
      <c r="G292" s="8" t="str">
        <f t="shared" si="3"/>
        <v>3</v>
      </c>
      <c r="H292" s="9">
        <f t="shared" si="4"/>
        <v>3</v>
      </c>
      <c r="I292" s="6" t="str">
        <f>IFERROR(__xludf.DUMMYFUNCTION("MAX(FILTER($H$2:$H466,$E$2:$E466=F292))"),"#N/A")</f>
        <v>#N/A</v>
      </c>
    </row>
    <row r="293">
      <c r="A293" s="4"/>
      <c r="C293" s="4" t="s">
        <v>2989</v>
      </c>
      <c r="D293" s="4" t="str">
        <f t="shared" si="1"/>
        <v>{"valorA":"muito","valorB":13}</v>
      </c>
      <c r="E293" s="8" t="str">
        <f t="shared" si="2"/>
        <v>muito</v>
      </c>
      <c r="F293" s="8"/>
      <c r="G293" s="8" t="str">
        <f t="shared" si="3"/>
        <v>13</v>
      </c>
      <c r="H293" s="9">
        <f t="shared" si="4"/>
        <v>13</v>
      </c>
      <c r="I293" s="6" t="str">
        <f>IFERROR(__xludf.DUMMYFUNCTION("MAX(FILTER($H$2:$H466,$E$2:$E466=F293))"),"#N/A")</f>
        <v>#N/A</v>
      </c>
    </row>
    <row r="294">
      <c r="A294" s="4"/>
      <c r="C294" s="4" t="s">
        <v>2855</v>
      </c>
      <c r="D294" s="4" t="str">
        <f t="shared" si="1"/>
        <v>{"valorA":"ótimo","valorB":32}</v>
      </c>
      <c r="E294" s="8" t="str">
        <f t="shared" si="2"/>
        <v>ótimo</v>
      </c>
      <c r="F294" s="8"/>
      <c r="G294" s="8" t="str">
        <f t="shared" si="3"/>
        <v>32</v>
      </c>
      <c r="H294" s="9">
        <f t="shared" si="4"/>
        <v>32</v>
      </c>
      <c r="I294" s="6" t="str">
        <f>IFERROR(__xludf.DUMMYFUNCTION("MAX(FILTER($H$2:$H466,$E$2:$E466=F294))"),"#N/A")</f>
        <v>#N/A</v>
      </c>
    </row>
    <row r="295">
      <c r="A295" s="4"/>
      <c r="C295" s="4" t="s">
        <v>2955</v>
      </c>
      <c r="D295" s="4" t="str">
        <f t="shared" si="1"/>
        <v>{"valorA":"a","valorB":8}</v>
      </c>
      <c r="E295" s="8" t="str">
        <f t="shared" si="2"/>
        <v>a</v>
      </c>
      <c r="F295" s="8"/>
      <c r="G295" s="8" t="str">
        <f t="shared" si="3"/>
        <v>8</v>
      </c>
      <c r="H295" s="9">
        <f t="shared" si="4"/>
        <v>8</v>
      </c>
      <c r="I295" s="6" t="str">
        <f>IFERROR(__xludf.DUMMYFUNCTION("MAX(FILTER($H$2:$H466,$E$2:$E466=F295))"),"#N/A")</f>
        <v>#N/A</v>
      </c>
    </row>
    <row r="296">
      <c r="A296" s="4"/>
      <c r="C296" s="4" t="s">
        <v>3163</v>
      </c>
      <c r="D296" s="4" t="str">
        <f t="shared" si="1"/>
        <v>{"valorA":"valeu","valorB":4}</v>
      </c>
      <c r="E296" s="8" t="str">
        <f t="shared" si="2"/>
        <v>valeu</v>
      </c>
      <c r="F296" s="8"/>
      <c r="G296" s="8" t="str">
        <f t="shared" si="3"/>
        <v>4</v>
      </c>
      <c r="H296" s="9">
        <f t="shared" si="4"/>
        <v>4</v>
      </c>
      <c r="I296" s="6" t="str">
        <f>IFERROR(__xludf.DUMMYFUNCTION("MAX(FILTER($H$2:$H466,$E$2:$E466=F296))"),"#N/A")</f>
        <v>#N/A</v>
      </c>
    </row>
    <row r="297">
      <c r="A297" s="4"/>
      <c r="C297" s="4" t="s">
        <v>2890</v>
      </c>
      <c r="D297" s="4" t="str">
        <f t="shared" si="1"/>
        <v>{"valorA":"produto","valorB":21}</v>
      </c>
      <c r="E297" s="8" t="str">
        <f t="shared" si="2"/>
        <v>produto</v>
      </c>
      <c r="F297" s="8"/>
      <c r="G297" s="8" t="str">
        <f t="shared" si="3"/>
        <v>21</v>
      </c>
      <c r="H297" s="9">
        <f t="shared" si="4"/>
        <v>21</v>
      </c>
      <c r="I297" s="6" t="str">
        <f>IFERROR(__xludf.DUMMYFUNCTION("MAX(FILTER($H$2:$H466,$E$2:$E466=F297))"),"#N/A")</f>
        <v>#N/A</v>
      </c>
    </row>
    <row r="298">
      <c r="A298" s="4"/>
      <c r="C298" s="4" t="s">
        <v>3744</v>
      </c>
      <c r="D298" s="4" t="str">
        <f t="shared" si="1"/>
        <v>{"valorA":"gostei","valorB":8}</v>
      </c>
      <c r="E298" s="8" t="str">
        <f t="shared" si="2"/>
        <v>gostei</v>
      </c>
      <c r="F298" s="8"/>
      <c r="G298" s="8" t="str">
        <f t="shared" si="3"/>
        <v>8</v>
      </c>
      <c r="H298" s="9">
        <f t="shared" si="4"/>
        <v>8</v>
      </c>
      <c r="I298" s="6" t="str">
        <f>IFERROR(__xludf.DUMMYFUNCTION("MAX(FILTER($H$2:$H466,$E$2:$E466=F298))"),"#N/A")</f>
        <v>#N/A</v>
      </c>
    </row>
    <row r="299">
      <c r="A299" s="4"/>
      <c r="C299" s="4" t="s">
        <v>3745</v>
      </c>
      <c r="D299" s="4" t="str">
        <f t="shared" si="1"/>
        <v>{"valorA":"espera","valorB":3}</v>
      </c>
      <c r="E299" s="8" t="str">
        <f t="shared" si="2"/>
        <v>espera</v>
      </c>
      <c r="F299" s="8"/>
      <c r="G299" s="8" t="str">
        <f t="shared" si="3"/>
        <v>3</v>
      </c>
      <c r="H299" s="9">
        <f t="shared" si="4"/>
        <v>3</v>
      </c>
      <c r="I299" s="6" t="str">
        <f>IFERROR(__xludf.DUMMYFUNCTION("MAX(FILTER($H$2:$H466,$E$2:$E466=F299))"),"#N/A")</f>
        <v>#N/A</v>
      </c>
    </row>
    <row r="300">
      <c r="A300" s="4"/>
      <c r="C300" s="4" t="s">
        <v>2892</v>
      </c>
      <c r="D300" s="4" t="str">
        <f t="shared" si="1"/>
        <v>{"valorA":"produto","valorB":22}</v>
      </c>
      <c r="E300" s="8" t="str">
        <f t="shared" si="2"/>
        <v>produto</v>
      </c>
      <c r="F300" s="8"/>
      <c r="G300" s="8" t="str">
        <f t="shared" si="3"/>
        <v>22</v>
      </c>
      <c r="H300" s="9">
        <f t="shared" si="4"/>
        <v>22</v>
      </c>
      <c r="I300" s="6" t="str">
        <f>IFERROR(__xludf.DUMMYFUNCTION("MAX(FILTER($H$2:$H466,$E$2:$E466=F300))"),"#N/A")</f>
        <v>#N/A</v>
      </c>
    </row>
    <row r="301">
      <c r="A301" s="4"/>
      <c r="C301" s="4" t="s">
        <v>2859</v>
      </c>
      <c r="D301" s="4" t="str">
        <f t="shared" si="1"/>
        <v>{"valorA":"ótimo","valorB":33}</v>
      </c>
      <c r="E301" s="8" t="str">
        <f t="shared" si="2"/>
        <v>ótimo</v>
      </c>
      <c r="F301" s="8"/>
      <c r="G301" s="8" t="str">
        <f t="shared" si="3"/>
        <v>33</v>
      </c>
      <c r="H301" s="9">
        <f t="shared" si="4"/>
        <v>33</v>
      </c>
      <c r="I301" s="6" t="str">
        <f>IFERROR(__xludf.DUMMYFUNCTION("MAX(FILTER($H$2:$H466,$E$2:$E466=F301))"),"#N/A")</f>
        <v>#N/A</v>
      </c>
    </row>
    <row r="302">
      <c r="A302" s="4"/>
      <c r="C302" s="4" t="s">
        <v>3120</v>
      </c>
      <c r="D302" s="4" t="str">
        <f t="shared" si="1"/>
        <v>{"valorA":"para","valorB":11}</v>
      </c>
      <c r="E302" s="8" t="str">
        <f t="shared" si="2"/>
        <v>para</v>
      </c>
      <c r="F302" s="8"/>
      <c r="G302" s="8" t="str">
        <f t="shared" si="3"/>
        <v>11</v>
      </c>
      <c r="H302" s="9">
        <f t="shared" si="4"/>
        <v>11</v>
      </c>
      <c r="I302" s="6" t="str">
        <f>IFERROR(__xludf.DUMMYFUNCTION("MAX(FILTER($H$2:$H466,$E$2:$E466=F302))"),"#N/A")</f>
        <v>#N/A</v>
      </c>
    </row>
    <row r="303">
      <c r="A303" s="4"/>
      <c r="C303" s="4" t="s">
        <v>3210</v>
      </c>
      <c r="D303" s="4" t="str">
        <f t="shared" si="1"/>
        <v>{"valorA":"preço","valorB":13}</v>
      </c>
      <c r="E303" s="8" t="str">
        <f t="shared" si="2"/>
        <v>preço</v>
      </c>
      <c r="F303" s="8"/>
      <c r="G303" s="8" t="str">
        <f t="shared" si="3"/>
        <v>13</v>
      </c>
      <c r="H303" s="9">
        <f t="shared" si="4"/>
        <v>13</v>
      </c>
      <c r="I303" s="6" t="str">
        <f>IFERROR(__xludf.DUMMYFUNCTION("MAX(FILTER($H$2:$H466,$E$2:$E466=F303))"),"#N/A")</f>
        <v>#N/A</v>
      </c>
    </row>
    <row r="304">
      <c r="A304" s="4"/>
      <c r="C304" s="4" t="s">
        <v>2896</v>
      </c>
      <c r="D304" s="4" t="str">
        <f t="shared" si="1"/>
        <v>{"valorA":"que","valorB":8}</v>
      </c>
      <c r="E304" s="8" t="str">
        <f t="shared" si="2"/>
        <v>que</v>
      </c>
      <c r="F304" s="8"/>
      <c r="G304" s="8" t="str">
        <f t="shared" si="3"/>
        <v>8</v>
      </c>
      <c r="H304" s="9">
        <f t="shared" si="4"/>
        <v>8</v>
      </c>
      <c r="I304" s="6" t="str">
        <f>IFERROR(__xludf.DUMMYFUNCTION("MAX(FILTER($H$2:$H466,$E$2:$E466=F304))"),"#N/A")</f>
        <v>#N/A</v>
      </c>
    </row>
    <row r="305">
      <c r="A305" s="4"/>
      <c r="C305" s="4" t="s">
        <v>2816</v>
      </c>
      <c r="D305" s="4" t="str">
        <f t="shared" si="1"/>
        <v>{"valorA":"funciona","valorB":8}</v>
      </c>
      <c r="E305" s="8" t="str">
        <f t="shared" si="2"/>
        <v>funciona</v>
      </c>
      <c r="F305" s="8"/>
      <c r="G305" s="8" t="str">
        <f t="shared" si="3"/>
        <v>8</v>
      </c>
      <c r="H305" s="9">
        <f t="shared" si="4"/>
        <v>8</v>
      </c>
      <c r="I305" s="6" t="str">
        <f>IFERROR(__xludf.DUMMYFUNCTION("MAX(FILTER($H$2:$H466,$E$2:$E466=F305))"),"#N/A")</f>
        <v>#N/A</v>
      </c>
    </row>
    <row r="306">
      <c r="A306" s="4"/>
      <c r="C306" s="4" t="s">
        <v>3407</v>
      </c>
      <c r="D306" s="4" t="str">
        <f t="shared" si="1"/>
        <v>{"valorA":"o","valorB":9}</v>
      </c>
      <c r="E306" s="8" t="str">
        <f t="shared" si="2"/>
        <v>o</v>
      </c>
      <c r="F306" s="8"/>
      <c r="G306" s="8" t="str">
        <f t="shared" si="3"/>
        <v>9</v>
      </c>
      <c r="H306" s="9">
        <f t="shared" si="4"/>
        <v>9</v>
      </c>
      <c r="I306" s="6" t="str">
        <f>IFERROR(__xludf.DUMMYFUNCTION("MAX(FILTER($H$2:$H466,$E$2:$E466=F306))"),"#N/A")</f>
        <v>#N/A</v>
      </c>
    </row>
    <row r="307">
      <c r="A307" s="4"/>
      <c r="C307" s="4" t="s">
        <v>3115</v>
      </c>
      <c r="D307" s="4" t="str">
        <f t="shared" si="1"/>
        <v>{"valorA":"paguei","valorB":3}</v>
      </c>
      <c r="E307" s="8" t="str">
        <f t="shared" si="2"/>
        <v>paguei</v>
      </c>
      <c r="F307" s="8"/>
      <c r="G307" s="8" t="str">
        <f t="shared" si="3"/>
        <v>3</v>
      </c>
      <c r="H307" s="9">
        <f t="shared" si="4"/>
        <v>3</v>
      </c>
      <c r="I307" s="6" t="str">
        <f>IFERROR(__xludf.DUMMYFUNCTION("MAX(FILTER($H$2:$H466,$E$2:$E466=F307))"),"#N/A")</f>
        <v>#N/A</v>
      </c>
    </row>
    <row r="308">
      <c r="A308" s="4"/>
      <c r="C308" s="4" t="s">
        <v>2757</v>
      </c>
      <c r="D308" s="4" t="str">
        <f t="shared" si="1"/>
        <v>{"valorA":"perfeitamente","valorB":4}</v>
      </c>
      <c r="E308" s="8" t="str">
        <f t="shared" si="2"/>
        <v>perfeitamente</v>
      </c>
      <c r="F308" s="8"/>
      <c r="G308" s="8" t="str">
        <f t="shared" si="3"/>
        <v>4</v>
      </c>
      <c r="H308" s="9">
        <f t="shared" si="4"/>
        <v>4</v>
      </c>
      <c r="I308" s="6" t="str">
        <f>IFERROR(__xludf.DUMMYFUNCTION("MAX(FILTER($H$2:$H466,$E$2:$E466=F308))"),"#N/A")</f>
        <v>#N/A</v>
      </c>
    </row>
    <row r="309">
      <c r="A309" s="4"/>
      <c r="C309" s="4" t="s">
        <v>3413</v>
      </c>
      <c r="D309" s="4" t="str">
        <f t="shared" si="1"/>
        <v>{"valorA":"o","valorB":10}</v>
      </c>
      <c r="E309" s="8" t="str">
        <f t="shared" si="2"/>
        <v>o</v>
      </c>
      <c r="F309" s="8"/>
      <c r="G309" s="8" t="str">
        <f t="shared" si="3"/>
        <v>10</v>
      </c>
      <c r="H309" s="9">
        <f t="shared" si="4"/>
        <v>10</v>
      </c>
      <c r="I309" s="6" t="str">
        <f>IFERROR(__xludf.DUMMYFUNCTION("MAX(FILTER($H$2:$H466,$E$2:$E466=F309))"),"#N/A")</f>
        <v>#N/A</v>
      </c>
    </row>
    <row r="310">
      <c r="A310" s="4"/>
      <c r="C310" s="4" t="s">
        <v>2866</v>
      </c>
      <c r="D310" s="4" t="str">
        <f t="shared" si="1"/>
        <v>{"valorA":"ótimo","valorB":34}</v>
      </c>
      <c r="E310" s="8" t="str">
        <f t="shared" si="2"/>
        <v>ótimo</v>
      </c>
      <c r="F310" s="8"/>
      <c r="G310" s="8" t="str">
        <f t="shared" si="3"/>
        <v>34</v>
      </c>
      <c r="H310" s="9">
        <f t="shared" si="4"/>
        <v>34</v>
      </c>
      <c r="I310" s="6" t="str">
        <f>IFERROR(__xludf.DUMMYFUNCTION("MAX(FILTER($H$2:$H466,$E$2:$E466=F310))"),"#N/A")</f>
        <v>#N/A</v>
      </c>
    </row>
    <row r="311">
      <c r="A311" s="4"/>
      <c r="C311" s="4" t="s">
        <v>3105</v>
      </c>
      <c r="D311" s="4" t="str">
        <f t="shared" si="1"/>
        <v>{"valorA":"blender","valorB":2}</v>
      </c>
      <c r="E311" s="8" t="str">
        <f t="shared" si="2"/>
        <v>blender</v>
      </c>
      <c r="F311" s="8"/>
      <c r="G311" s="8" t="str">
        <f t="shared" si="3"/>
        <v>2</v>
      </c>
      <c r="H311" s="9">
        <f t="shared" si="4"/>
        <v>2</v>
      </c>
      <c r="I311" s="6" t="str">
        <f>IFERROR(__xludf.DUMMYFUNCTION("MAX(FILTER($H$2:$H466,$E$2:$E466=F311))"),"#N/A")</f>
        <v>#N/A</v>
      </c>
    </row>
    <row r="312">
      <c r="A312" s="4"/>
      <c r="C312" s="4" t="s">
        <v>2880</v>
      </c>
      <c r="D312" s="4" t="str">
        <f t="shared" si="1"/>
        <v>{"valorA":"é","valorB":7}</v>
      </c>
      <c r="E312" s="8" t="str">
        <f t="shared" si="2"/>
        <v>é</v>
      </c>
      <c r="F312" s="8"/>
      <c r="G312" s="8" t="str">
        <f t="shared" si="3"/>
        <v>7</v>
      </c>
      <c r="H312" s="9">
        <f t="shared" si="4"/>
        <v>7</v>
      </c>
      <c r="I312" s="6" t="str">
        <f>IFERROR(__xludf.DUMMYFUNCTION("MAX(FILTER($H$2:$H466,$E$2:$E466=F312))"),"#N/A")</f>
        <v>#N/A</v>
      </c>
    </row>
    <row r="313">
      <c r="A313" s="4"/>
      <c r="C313" s="4" t="s">
        <v>3051</v>
      </c>
      <c r="D313" s="4" t="str">
        <f t="shared" si="1"/>
        <v>{"valorA":"fácil","valorB":4}</v>
      </c>
      <c r="E313" s="8" t="str">
        <f t="shared" si="2"/>
        <v>fácil</v>
      </c>
      <c r="F313" s="8"/>
      <c r="G313" s="8" t="str">
        <f t="shared" si="3"/>
        <v>4</v>
      </c>
      <c r="H313" s="9">
        <f t="shared" si="4"/>
        <v>4</v>
      </c>
      <c r="I313" s="6" t="str">
        <f>IFERROR(__xludf.DUMMYFUNCTION("MAX(FILTER($H$2:$H466,$E$2:$E466=F313))"),"#N/A")</f>
        <v>#N/A</v>
      </c>
    </row>
    <row r="314">
      <c r="A314" s="4"/>
      <c r="C314" s="4" t="s">
        <v>3634</v>
      </c>
      <c r="D314" s="4" t="str">
        <f t="shared" si="1"/>
        <v>{"valorA":"meu","valorB":9}</v>
      </c>
      <c r="E314" s="8" t="str">
        <f t="shared" si="2"/>
        <v>meu</v>
      </c>
      <c r="F314" s="8"/>
      <c r="G314" s="8" t="str">
        <f t="shared" si="3"/>
        <v>9</v>
      </c>
      <c r="H314" s="9">
        <f t="shared" si="4"/>
        <v>9</v>
      </c>
      <c r="I314" s="6" t="str">
        <f>IFERROR(__xludf.DUMMYFUNCTION("MAX(FILTER($H$2:$H466,$E$2:$E466=F314))"),"#N/A")</f>
        <v>#N/A</v>
      </c>
    </row>
    <row r="315">
      <c r="A315" s="4"/>
      <c r="C315" s="4" t="s">
        <v>2784</v>
      </c>
      <c r="D315" s="4" t="str">
        <f t="shared" si="1"/>
        <v>{"valorA":"e","valorB":8}</v>
      </c>
      <c r="E315" s="8" t="str">
        <f t="shared" si="2"/>
        <v>e</v>
      </c>
      <c r="F315" s="8"/>
      <c r="G315" s="8" t="str">
        <f t="shared" si="3"/>
        <v>8</v>
      </c>
      <c r="H315" s="9">
        <f t="shared" si="4"/>
        <v>8</v>
      </c>
      <c r="I315" s="6" t="str">
        <f>IFERROR(__xludf.DUMMYFUNCTION("MAX(FILTER($H$2:$H466,$E$2:$E466=F315))"),"#N/A")</f>
        <v>#N/A</v>
      </c>
    </row>
    <row r="316">
      <c r="A316" s="4"/>
      <c r="C316" s="4" t="s">
        <v>3069</v>
      </c>
      <c r="D316" s="4" t="str">
        <f t="shared" si="1"/>
        <v>{"valorA":"de","valorB":8}</v>
      </c>
      <c r="E316" s="8" t="str">
        <f t="shared" si="2"/>
        <v>de</v>
      </c>
      <c r="F316" s="8"/>
      <c r="G316" s="8" t="str">
        <f t="shared" si="3"/>
        <v>8</v>
      </c>
      <c r="H316" s="9">
        <f t="shared" si="4"/>
        <v>8</v>
      </c>
      <c r="I316" s="6" t="str">
        <f>IFERROR(__xludf.DUMMYFUNCTION("MAX(FILTER($H$2:$H466,$E$2:$E466=F316))"),"#N/A")</f>
        <v>#N/A</v>
      </c>
    </row>
    <row r="317">
      <c r="A317" s="4"/>
      <c r="C317" s="4" t="s">
        <v>3352</v>
      </c>
      <c r="D317" s="4" t="str">
        <f t="shared" si="1"/>
        <v>{"valorA":"facilidade","valorB":1}</v>
      </c>
      <c r="E317" s="8" t="str">
        <f t="shared" si="2"/>
        <v>facilidade</v>
      </c>
      <c r="F317" s="8"/>
      <c r="G317" s="8" t="str">
        <f t="shared" si="3"/>
        <v>1</v>
      </c>
      <c r="H317" s="9">
        <f t="shared" si="4"/>
        <v>1</v>
      </c>
      <c r="I317" s="6" t="str">
        <f>IFERROR(__xludf.DUMMYFUNCTION("MAX(FILTER($H$2:$H466,$E$2:$E466=F317))"),"#N/A")</f>
        <v>#N/A</v>
      </c>
    </row>
    <row r="318">
      <c r="A318" s="4"/>
      <c r="C318" s="4" t="s">
        <v>3323</v>
      </c>
      <c r="D318" s="4" t="str">
        <f t="shared" si="1"/>
        <v>{"valorA":"limpa","valorB":1}</v>
      </c>
      <c r="E318" s="8" t="str">
        <f t="shared" si="2"/>
        <v>limpa</v>
      </c>
      <c r="F318" s="8"/>
      <c r="G318" s="8" t="str">
        <f t="shared" si="3"/>
        <v>1</v>
      </c>
      <c r="H318" s="9">
        <f t="shared" si="4"/>
        <v>1</v>
      </c>
      <c r="I318" s="6" t="str">
        <f>IFERROR(__xludf.DUMMYFUNCTION("MAX(FILTER($H$2:$H466,$E$2:$E466=F318))"),"#N/A")</f>
        <v>#N/A</v>
      </c>
    </row>
    <row r="319">
      <c r="A319" s="4"/>
      <c r="C319" s="4" t="s">
        <v>3375</v>
      </c>
      <c r="D319" s="4" t="str">
        <f t="shared" si="1"/>
        <v>{"valorA":"com","valorB":6}</v>
      </c>
      <c r="E319" s="8" t="str">
        <f t="shared" si="2"/>
        <v>com</v>
      </c>
      <c r="F319" s="8"/>
      <c r="G319" s="8" t="str">
        <f t="shared" si="3"/>
        <v>6</v>
      </c>
      <c r="H319" s="9">
        <f t="shared" si="4"/>
        <v>6</v>
      </c>
      <c r="I319" s="6" t="str">
        <f>IFERROR(__xludf.DUMMYFUNCTION("MAX(FILTER($H$2:$H466,$E$2:$E466=F319))"),"#N/A")</f>
        <v>#N/A</v>
      </c>
    </row>
    <row r="320">
      <c r="A320" s="4"/>
      <c r="C320" s="4" t="s">
        <v>3052</v>
      </c>
      <c r="D320" s="4" t="str">
        <f t="shared" si="1"/>
        <v>{"valorA":"usar","valorB":4}</v>
      </c>
      <c r="E320" s="8" t="str">
        <f t="shared" si="2"/>
        <v>usar</v>
      </c>
      <c r="F320" s="8"/>
      <c r="G320" s="8" t="str">
        <f t="shared" si="3"/>
        <v>4</v>
      </c>
      <c r="H320" s="9">
        <f t="shared" si="4"/>
        <v>4</v>
      </c>
      <c r="I320" s="6" t="str">
        <f>IFERROR(__xludf.DUMMYFUNCTION("MAX(FILTER($H$2:$H466,$E$2:$E466=F320))"),"#N/A")</f>
        <v>#N/A</v>
      </c>
    </row>
    <row r="321">
      <c r="A321" s="4"/>
      <c r="C321" s="4" t="s">
        <v>2899</v>
      </c>
      <c r="D321" s="4" t="str">
        <f t="shared" si="1"/>
        <v>{"valorA":"produto","valorB":23}</v>
      </c>
      <c r="E321" s="8" t="str">
        <f t="shared" si="2"/>
        <v>produto</v>
      </c>
      <c r="F321" s="8"/>
      <c r="G321" s="8" t="str">
        <f t="shared" si="3"/>
        <v>23</v>
      </c>
      <c r="H321" s="9">
        <f t="shared" si="4"/>
        <v>23</v>
      </c>
      <c r="I321" s="6" t="str">
        <f>IFERROR(__xludf.DUMMYFUNCTION("MAX(FILTER($H$2:$H466,$E$2:$E466=F321))"),"#N/A")</f>
        <v>#N/A</v>
      </c>
    </row>
    <row r="322">
      <c r="A322" s="4"/>
      <c r="C322" s="4" t="s">
        <v>3746</v>
      </c>
      <c r="D322" s="4" t="str">
        <f t="shared" si="1"/>
        <v>{"valorA":"uma","valorB":4}</v>
      </c>
      <c r="E322" s="8" t="str">
        <f t="shared" si="2"/>
        <v>uma</v>
      </c>
      <c r="F322" s="8"/>
      <c r="G322" s="8" t="str">
        <f t="shared" si="3"/>
        <v>4</v>
      </c>
      <c r="H322" s="9">
        <f t="shared" si="4"/>
        <v>4</v>
      </c>
      <c r="I322" s="6" t="str">
        <f>IFERROR(__xludf.DUMMYFUNCTION("MAX(FILTER($H$2:$H466,$E$2:$E466=F322))"),"#N/A")</f>
        <v>#N/A</v>
      </c>
    </row>
    <row r="323">
      <c r="A323" s="4"/>
      <c r="C323" s="4" t="s">
        <v>3174</v>
      </c>
      <c r="D323" s="4" t="str">
        <f t="shared" si="1"/>
        <v>{"valorA":"para","valorB":12}</v>
      </c>
      <c r="E323" s="8" t="str">
        <f t="shared" si="2"/>
        <v>para</v>
      </c>
      <c r="F323" s="8"/>
      <c r="G323" s="8" t="str">
        <f t="shared" si="3"/>
        <v>12</v>
      </c>
      <c r="H323" s="9">
        <f t="shared" si="4"/>
        <v>12</v>
      </c>
      <c r="I323" s="6" t="str">
        <f>IFERROR(__xludf.DUMMYFUNCTION("MAX(FILTER($H$2:$H466,$E$2:$E466=F323))"),"#N/A")</f>
        <v>#N/A</v>
      </c>
    </row>
    <row r="324">
      <c r="A324" s="4"/>
      <c r="C324" s="4" t="s">
        <v>2871</v>
      </c>
      <c r="D324" s="4" t="str">
        <f t="shared" si="1"/>
        <v>{"valorA":"ótimo","valorB":35}</v>
      </c>
      <c r="E324" s="8" t="str">
        <f t="shared" si="2"/>
        <v>ótimo</v>
      </c>
      <c r="F324" s="8"/>
      <c r="G324" s="8" t="str">
        <f t="shared" si="3"/>
        <v>35</v>
      </c>
      <c r="H324" s="9">
        <f t="shared" si="4"/>
        <v>35</v>
      </c>
      <c r="I324" s="6" t="str">
        <f>IFERROR(__xludf.DUMMYFUNCTION("MAX(FILTER($H$2:$H466,$E$2:$E466=F324))"),"#N/A")</f>
        <v>#N/A</v>
      </c>
    </row>
    <row r="325">
      <c r="A325" s="4"/>
      <c r="C325" s="4" t="s">
        <v>3181</v>
      </c>
      <c r="D325" s="4" t="str">
        <f t="shared" si="1"/>
        <v>{"valorA":"quem","valorB":3}</v>
      </c>
      <c r="E325" s="8" t="str">
        <f t="shared" si="2"/>
        <v>quem</v>
      </c>
      <c r="F325" s="8"/>
      <c r="G325" s="8" t="str">
        <f t="shared" si="3"/>
        <v>3</v>
      </c>
      <c r="H325" s="9">
        <f t="shared" si="4"/>
        <v>3</v>
      </c>
      <c r="I325" s="6" t="str">
        <f>IFERROR(__xludf.DUMMYFUNCTION("MAX(FILTER($H$2:$H466,$E$2:$E466=F325))"),"#N/A")</f>
        <v>#N/A</v>
      </c>
    </row>
    <row r="326">
      <c r="A326" s="4"/>
      <c r="C326" s="4" t="s">
        <v>3747</v>
      </c>
      <c r="D326" s="4" t="str">
        <f t="shared" si="1"/>
        <v>{"valorA":"boa","valorB":2}</v>
      </c>
      <c r="E326" s="8" t="str">
        <f t="shared" si="2"/>
        <v>boa</v>
      </c>
      <c r="F326" s="8"/>
      <c r="G326" s="8" t="str">
        <f t="shared" si="3"/>
        <v>2</v>
      </c>
      <c r="H326" s="9">
        <f t="shared" si="4"/>
        <v>2</v>
      </c>
      <c r="I326" s="6" t="str">
        <f>IFERROR(__xludf.DUMMYFUNCTION("MAX(FILTER($H$2:$H466,$E$2:$E466=F326))"),"#N/A")</f>
        <v>#N/A</v>
      </c>
    </row>
    <row r="327">
      <c r="A327" s="4"/>
      <c r="C327" s="4" t="s">
        <v>3217</v>
      </c>
      <c r="D327" s="4" t="str">
        <f t="shared" si="1"/>
        <v>{"valorA":"preço","valorB":14}</v>
      </c>
      <c r="E327" s="8" t="str">
        <f t="shared" si="2"/>
        <v>preço</v>
      </c>
      <c r="F327" s="8"/>
      <c r="G327" s="8" t="str">
        <f t="shared" si="3"/>
        <v>14</v>
      </c>
      <c r="H327" s="9">
        <f t="shared" si="4"/>
        <v>14</v>
      </c>
      <c r="I327" s="6" t="str">
        <f>IFERROR(__xludf.DUMMYFUNCTION("MAX(FILTER($H$2:$H466,$E$2:$E466=F327))"),"#N/A")</f>
        <v>#N/A</v>
      </c>
    </row>
    <row r="328">
      <c r="A328" s="4"/>
      <c r="C328" s="4" t="s">
        <v>2821</v>
      </c>
      <c r="D328" s="4" t="str">
        <f t="shared" si="1"/>
        <v>{"valorA":"e","valorB":9}</v>
      </c>
      <c r="E328" s="8" t="str">
        <f t="shared" si="2"/>
        <v>e</v>
      </c>
      <c r="F328" s="8"/>
      <c r="G328" s="8" t="str">
        <f t="shared" si="3"/>
        <v>9</v>
      </c>
      <c r="H328" s="9">
        <f t="shared" si="4"/>
        <v>9</v>
      </c>
      <c r="I328" s="6" t="str">
        <f>IFERROR(__xludf.DUMMYFUNCTION("MAX(FILTER($H$2:$H466,$E$2:$E466=F328))"),"#N/A")</f>
        <v>#N/A</v>
      </c>
    </row>
    <row r="329">
      <c r="A329" s="4"/>
      <c r="C329" s="4" t="s">
        <v>3194</v>
      </c>
      <c r="D329" s="4" t="str">
        <f t="shared" si="1"/>
        <v>{"valorA":"busca","valorB":3}</v>
      </c>
      <c r="E329" s="8" t="str">
        <f t="shared" si="2"/>
        <v>busca</v>
      </c>
      <c r="F329" s="8"/>
      <c r="G329" s="8" t="str">
        <f t="shared" si="3"/>
        <v>3</v>
      </c>
      <c r="H329" s="9">
        <f t="shared" si="4"/>
        <v>3</v>
      </c>
      <c r="I329" s="6" t="str">
        <f>IFERROR(__xludf.DUMMYFUNCTION("MAX(FILTER($H$2:$H466,$E$2:$E466=F329))"),"#N/A")</f>
        <v>#N/A</v>
      </c>
    </row>
    <row r="330">
      <c r="A330" s="4"/>
      <c r="C330" s="4" t="s">
        <v>3234</v>
      </c>
      <c r="D330" s="4" t="str">
        <f t="shared" si="1"/>
        <v>{"valorA":"qualidade","valorB":5}</v>
      </c>
      <c r="E330" s="8" t="str">
        <f t="shared" si="2"/>
        <v>qualidade</v>
      </c>
      <c r="F330" s="8"/>
      <c r="G330" s="8" t="str">
        <f t="shared" si="3"/>
        <v>5</v>
      </c>
      <c r="H330" s="9">
        <f t="shared" si="4"/>
        <v>5</v>
      </c>
      <c r="I330" s="6" t="str">
        <f>IFERROR(__xludf.DUMMYFUNCTION("MAX(FILTER($H$2:$H466,$E$2:$E466=F330))"),"#N/A")</f>
        <v>#N/A</v>
      </c>
    </row>
    <row r="331">
      <c r="A331" s="4"/>
      <c r="C331" s="4" t="s">
        <v>3748</v>
      </c>
      <c r="D331" s="4" t="str">
        <f t="shared" si="1"/>
        <v>{"valorA":"acessível","valorB":2}</v>
      </c>
      <c r="E331" s="8" t="str">
        <f t="shared" si="2"/>
        <v>acessível</v>
      </c>
      <c r="F331" s="8"/>
      <c r="G331" s="8" t="str">
        <f t="shared" si="3"/>
        <v>2</v>
      </c>
      <c r="H331" s="9">
        <f t="shared" si="4"/>
        <v>2</v>
      </c>
      <c r="I331" s="6" t="str">
        <f>IFERROR(__xludf.DUMMYFUNCTION("MAX(FILTER($H$2:$H466,$E$2:$E466=F331))"),"#N/A")</f>
        <v>#N/A</v>
      </c>
    </row>
    <row r="332">
      <c r="A332" s="4"/>
      <c r="C332" s="4" t="s">
        <v>2877</v>
      </c>
      <c r="D332" s="4" t="str">
        <f t="shared" si="1"/>
        <v>{"valorA":"funciona","valorB":9}</v>
      </c>
      <c r="E332" s="8" t="str">
        <f t="shared" si="2"/>
        <v>funciona</v>
      </c>
      <c r="F332" s="8"/>
      <c r="G332" s="8" t="str">
        <f t="shared" si="3"/>
        <v>9</v>
      </c>
      <c r="H332" s="9">
        <f t="shared" si="4"/>
        <v>9</v>
      </c>
      <c r="I332" s="6" t="str">
        <f>IFERROR(__xludf.DUMMYFUNCTION("MAX(FILTER($H$2:$H466,$E$2:$E466=F332))"),"#N/A")</f>
        <v>#N/A</v>
      </c>
    </row>
    <row r="333">
      <c r="A333" s="4"/>
      <c r="C333" s="4" t="s">
        <v>2884</v>
      </c>
      <c r="D333" s="4" t="str">
        <f t="shared" si="1"/>
        <v>{"valorA":"ótimo","valorB":36}</v>
      </c>
      <c r="E333" s="8" t="str">
        <f t="shared" si="2"/>
        <v>ótimo</v>
      </c>
      <c r="F333" s="8"/>
      <c r="G333" s="8" t="str">
        <f t="shared" si="3"/>
        <v>36</v>
      </c>
      <c r="H333" s="9">
        <f t="shared" si="4"/>
        <v>36</v>
      </c>
      <c r="I333" s="6" t="str">
        <f>IFERROR(__xludf.DUMMYFUNCTION("MAX(FILTER($H$2:$H466,$E$2:$E466=F333))"),"#N/A")</f>
        <v>#N/A</v>
      </c>
    </row>
    <row r="334">
      <c r="A334" s="4"/>
      <c r="C334" s="4" t="s">
        <v>3749</v>
      </c>
      <c r="D334" s="4" t="str">
        <f t="shared" si="1"/>
        <v>{"valorA":"preço","valorB":15}</v>
      </c>
      <c r="E334" s="8" t="str">
        <f t="shared" si="2"/>
        <v>preço</v>
      </c>
      <c r="F334" s="8"/>
      <c r="G334" s="8" t="str">
        <f t="shared" si="3"/>
        <v>15</v>
      </c>
      <c r="H334" s="9">
        <f t="shared" si="4"/>
        <v>15</v>
      </c>
      <c r="I334" s="6" t="str">
        <f>IFERROR(__xludf.DUMMYFUNCTION("MAX(FILTER($H$2:$H466,$E$2:$E466=F334))"),"#N/A")</f>
        <v>#N/A</v>
      </c>
    </row>
    <row r="335">
      <c r="A335" s="4"/>
      <c r="C335" s="4" t="s">
        <v>3114</v>
      </c>
      <c r="D335" s="4" t="str">
        <f t="shared" si="1"/>
        <v>{"valorA":"bem","valorB":6}</v>
      </c>
      <c r="E335" s="8" t="str">
        <f t="shared" si="2"/>
        <v>bem</v>
      </c>
      <c r="F335" s="8"/>
      <c r="G335" s="8" t="str">
        <f t="shared" si="3"/>
        <v>6</v>
      </c>
      <c r="H335" s="9">
        <f t="shared" si="4"/>
        <v>6</v>
      </c>
      <c r="I335" s="6" t="str">
        <f>IFERROR(__xludf.DUMMYFUNCTION("MAX(FILTER($H$2:$H466,$E$2:$E466=F335))"),"#N/A")</f>
        <v>#N/A</v>
      </c>
    </row>
    <row r="336">
      <c r="A336" s="4"/>
      <c r="C336" s="4" t="s">
        <v>3750</v>
      </c>
      <c r="D336" s="4" t="str">
        <f t="shared" si="1"/>
        <v>{"valorA":"telesscope","valorB":1}</v>
      </c>
      <c r="E336" s="8" t="str">
        <f t="shared" si="2"/>
        <v>telesscope</v>
      </c>
      <c r="F336" s="8"/>
      <c r="G336" s="8" t="str">
        <f t="shared" si="3"/>
        <v>1</v>
      </c>
      <c r="H336" s="9">
        <f t="shared" si="4"/>
        <v>1</v>
      </c>
      <c r="I336" s="6" t="str">
        <f>IFERROR(__xludf.DUMMYFUNCTION("MAX(FILTER($H$2:$H466,$E$2:$E466=F336))"),"#N/A")</f>
        <v>#N/A</v>
      </c>
    </row>
    <row r="337">
      <c r="A337" s="4"/>
      <c r="C337" s="4" t="s">
        <v>2630</v>
      </c>
      <c r="D337" s="4" t="str">
        <f t="shared" si="1"/>
        <v>{"valorA":"esse","valorB":1}</v>
      </c>
      <c r="E337" s="8" t="str">
        <f t="shared" si="2"/>
        <v>esse</v>
      </c>
      <c r="F337" s="8"/>
      <c r="G337" s="8" t="str">
        <f t="shared" si="3"/>
        <v>1</v>
      </c>
      <c r="H337" s="9">
        <f t="shared" si="4"/>
        <v>1</v>
      </c>
      <c r="I337" s="6" t="str">
        <f>IFERROR(__xludf.DUMMYFUNCTION("MAX(FILTER($H$2:$H466,$E$2:$E466=F337))"),"#N/A")</f>
        <v>#N/A</v>
      </c>
    </row>
    <row r="338">
      <c r="A338" s="4"/>
      <c r="C338" s="4" t="s">
        <v>2893</v>
      </c>
      <c r="D338" s="4" t="str">
        <f t="shared" si="1"/>
        <v>{"valorA":"ótimo","valorB":37}</v>
      </c>
      <c r="E338" s="8" t="str">
        <f t="shared" si="2"/>
        <v>ótimo</v>
      </c>
      <c r="F338" s="8"/>
      <c r="G338" s="8" t="str">
        <f t="shared" si="3"/>
        <v>37</v>
      </c>
      <c r="H338" s="9">
        <f t="shared" si="4"/>
        <v>37</v>
      </c>
      <c r="I338" s="6" t="str">
        <f>IFERROR(__xludf.DUMMYFUNCTION("MAX(FILTER($H$2:$H466,$E$2:$E466=F338))"),"#N/A")</f>
        <v>#N/A</v>
      </c>
    </row>
    <row r="339">
      <c r="A339" s="4"/>
      <c r="C339" s="4" t="s">
        <v>3185</v>
      </c>
      <c r="D339" s="4" t="str">
        <f t="shared" si="1"/>
        <v>{"valorA":"para","valorB":13}</v>
      </c>
      <c r="E339" s="8" t="str">
        <f t="shared" si="2"/>
        <v>para</v>
      </c>
      <c r="F339" s="8"/>
      <c r="G339" s="8" t="str">
        <f t="shared" si="3"/>
        <v>13</v>
      </c>
      <c r="H339" s="9">
        <f t="shared" si="4"/>
        <v>13</v>
      </c>
      <c r="I339" s="6" t="str">
        <f>IFERROR(__xludf.DUMMYFUNCTION("MAX(FILTER($H$2:$H466,$E$2:$E466=F339))"),"#N/A")</f>
        <v>#N/A</v>
      </c>
    </row>
    <row r="340">
      <c r="A340" s="4"/>
      <c r="C340" s="4" t="s">
        <v>2907</v>
      </c>
      <c r="D340" s="4" t="str">
        <f t="shared" si="1"/>
        <v>{"valorA":"produto","valorB":24}</v>
      </c>
      <c r="E340" s="8" t="str">
        <f t="shared" si="2"/>
        <v>produto</v>
      </c>
      <c r="F340" s="8"/>
      <c r="G340" s="8" t="str">
        <f t="shared" si="3"/>
        <v>24</v>
      </c>
      <c r="H340" s="9">
        <f t="shared" si="4"/>
        <v>24</v>
      </c>
      <c r="I340" s="6" t="str">
        <f>IFERROR(__xludf.DUMMYFUNCTION("MAX(FILTER($H$2:$H466,$E$2:$E466=F340))"),"#N/A")</f>
        <v>#N/A</v>
      </c>
    </row>
    <row r="341">
      <c r="A341" s="4"/>
      <c r="C341" s="4" t="s">
        <v>3192</v>
      </c>
      <c r="D341" s="4" t="str">
        <f t="shared" si="1"/>
        <v>{"valorA":"quem","valorB":4}</v>
      </c>
      <c r="E341" s="8" t="str">
        <f t="shared" si="2"/>
        <v>quem</v>
      </c>
      <c r="F341" s="8"/>
      <c r="G341" s="8" t="str">
        <f t="shared" si="3"/>
        <v>4</v>
      </c>
      <c r="H341" s="9">
        <f t="shared" si="4"/>
        <v>4</v>
      </c>
      <c r="I341" s="6" t="str">
        <f>IFERROR(__xludf.DUMMYFUNCTION("MAX(FILTER($H$2:$H466,$E$2:$E466=F341))"),"#N/A")</f>
        <v>#N/A</v>
      </c>
    </row>
    <row r="342">
      <c r="A342" s="4"/>
      <c r="C342" s="4" t="s">
        <v>3751</v>
      </c>
      <c r="D342" s="4" t="str">
        <f t="shared" si="1"/>
        <v>{"valorA":"bonito","valorB":1}</v>
      </c>
      <c r="E342" s="8" t="str">
        <f t="shared" si="2"/>
        <v>bonito</v>
      </c>
      <c r="F342" s="8"/>
      <c r="G342" s="8" t="str">
        <f t="shared" si="3"/>
        <v>1</v>
      </c>
      <c r="H342" s="9">
        <f t="shared" si="4"/>
        <v>1</v>
      </c>
      <c r="I342" s="6" t="str">
        <f>IFERROR(__xludf.DUMMYFUNCTION("MAX(FILTER($H$2:$H466,$E$2:$E466=F342))"),"#N/A")</f>
        <v>#N/A</v>
      </c>
    </row>
    <row r="343">
      <c r="A343" s="4"/>
      <c r="C343" s="4" t="s">
        <v>3055</v>
      </c>
      <c r="D343" s="4" t="str">
        <f t="shared" si="1"/>
        <v>{"valorA":"um","valorB":3}</v>
      </c>
      <c r="E343" s="8" t="str">
        <f t="shared" si="2"/>
        <v>um</v>
      </c>
      <c r="F343" s="8"/>
      <c r="G343" s="8" t="str">
        <f t="shared" si="3"/>
        <v>3</v>
      </c>
      <c r="H343" s="9">
        <f t="shared" si="4"/>
        <v>3</v>
      </c>
      <c r="I343" s="6" t="str">
        <f>IFERROR(__xludf.DUMMYFUNCTION("MAX(FILTER($H$2:$H466,$E$2:$E466=F343))"),"#N/A")</f>
        <v>#N/A</v>
      </c>
    </row>
    <row r="344">
      <c r="A344" s="4"/>
      <c r="C344" s="4" t="s">
        <v>2881</v>
      </c>
      <c r="D344" s="4" t="str">
        <f t="shared" si="1"/>
        <v>{"valorA":"e","valorB":10}</v>
      </c>
      <c r="E344" s="8" t="str">
        <f t="shared" si="2"/>
        <v>e</v>
      </c>
      <c r="F344" s="8"/>
      <c r="G344" s="8" t="str">
        <f t="shared" si="3"/>
        <v>10</v>
      </c>
      <c r="H344" s="9">
        <f t="shared" si="4"/>
        <v>10</v>
      </c>
      <c r="I344" s="6" t="str">
        <f>IFERROR(__xludf.DUMMYFUNCTION("MAX(FILTER($H$2:$H466,$E$2:$E466=F344))"),"#N/A")</f>
        <v>#N/A</v>
      </c>
    </row>
    <row r="345">
      <c r="A345" s="4"/>
      <c r="C345" s="4" t="s">
        <v>3752</v>
      </c>
      <c r="D345" s="4" t="str">
        <f t="shared" si="1"/>
        <v>{"valorA":"funcional","valorB":1}</v>
      </c>
      <c r="E345" s="8" t="str">
        <f t="shared" si="2"/>
        <v>funcional</v>
      </c>
      <c r="F345" s="8"/>
      <c r="G345" s="8" t="str">
        <f t="shared" si="3"/>
        <v>1</v>
      </c>
      <c r="H345" s="9">
        <f t="shared" si="4"/>
        <v>1</v>
      </c>
      <c r="I345" s="6" t="str">
        <f>IFERROR(__xludf.DUMMYFUNCTION("MAX(FILTER($H$2:$H466,$E$2:$E466=F345))"),"#N/A")</f>
        <v>#N/A</v>
      </c>
    </row>
    <row r="346">
      <c r="A346" s="4"/>
      <c r="C346" s="4" t="s">
        <v>3753</v>
      </c>
      <c r="D346" s="4" t="str">
        <f t="shared" si="1"/>
        <v>{"valorA":"busca","valorB":4}</v>
      </c>
      <c r="E346" s="8" t="str">
        <f t="shared" si="2"/>
        <v>busca</v>
      </c>
      <c r="F346" s="8"/>
      <c r="G346" s="8" t="str">
        <f t="shared" si="3"/>
        <v>4</v>
      </c>
      <c r="H346" s="9">
        <f t="shared" si="4"/>
        <v>4</v>
      </c>
      <c r="I346" s="6" t="str">
        <f>IFERROR(__xludf.DUMMYFUNCTION("MAX(FILTER($H$2:$H466,$E$2:$E466=F346))"),"#N/A")</f>
        <v>#N/A</v>
      </c>
    </row>
    <row r="347">
      <c r="A347" s="4"/>
      <c r="C347" s="4" t="s">
        <v>2177</v>
      </c>
      <c r="D347" s="4" t="str">
        <f t="shared" si="1"/>
        <v>{"valorA":"relógio","valorB":1}</v>
      </c>
      <c r="E347" s="8" t="str">
        <f t="shared" si="2"/>
        <v>relógio</v>
      </c>
      <c r="F347" s="8"/>
      <c r="G347" s="8" t="str">
        <f t="shared" si="3"/>
        <v>1</v>
      </c>
      <c r="H347" s="9">
        <f t="shared" si="4"/>
        <v>1</v>
      </c>
      <c r="I347" s="6" t="str">
        <f>IFERROR(__xludf.DUMMYFUNCTION("MAX(FILTER($H$2:$H466,$E$2:$E466=F347))"),"#N/A")</f>
        <v>#N/A</v>
      </c>
    </row>
    <row r="348">
      <c r="A348" s="4"/>
      <c r="C348" s="4" t="s">
        <v>2916</v>
      </c>
      <c r="D348" s="4" t="str">
        <f t="shared" si="1"/>
        <v>{"valorA":"produto","valorB":25}</v>
      </c>
      <c r="E348" s="8" t="str">
        <f t="shared" si="2"/>
        <v>produto</v>
      </c>
      <c r="F348" s="8"/>
      <c r="G348" s="8" t="str">
        <f t="shared" si="3"/>
        <v>25</v>
      </c>
      <c r="H348" s="9">
        <f t="shared" si="4"/>
        <v>25</v>
      </c>
      <c r="I348" s="6" t="str">
        <f>IFERROR(__xludf.DUMMYFUNCTION("MAX(FILTER($H$2:$H466,$E$2:$E466=F348))"),"#N/A")</f>
        <v>#N/A</v>
      </c>
    </row>
    <row r="349">
      <c r="A349" s="4"/>
      <c r="C349" s="4" t="s">
        <v>2901</v>
      </c>
      <c r="D349" s="4" t="str">
        <f t="shared" si="1"/>
        <v>{"valorA":"ótimo","valorB":38}</v>
      </c>
      <c r="E349" s="8" t="str">
        <f t="shared" si="2"/>
        <v>ótimo</v>
      </c>
      <c r="F349" s="8"/>
      <c r="G349" s="8" t="str">
        <f t="shared" si="3"/>
        <v>38</v>
      </c>
      <c r="H349" s="9">
        <f t="shared" si="4"/>
        <v>38</v>
      </c>
      <c r="I349" s="6" t="str">
        <f>IFERROR(__xludf.DUMMYFUNCTION("MAX(FILTER($H$2:$H466,$E$2:$E466=F349))"),"#N/A")</f>
        <v>#N/A</v>
      </c>
    </row>
    <row r="350">
      <c r="A350" s="4"/>
      <c r="C350" s="4" t="s">
        <v>3193</v>
      </c>
      <c r="D350" s="4" t="str">
        <f t="shared" si="1"/>
        <v>{"valorA":"para","valorB":14}</v>
      </c>
      <c r="E350" s="8" t="str">
        <f t="shared" si="2"/>
        <v>para</v>
      </c>
      <c r="F350" s="8"/>
      <c r="G350" s="8" t="str">
        <f t="shared" si="3"/>
        <v>14</v>
      </c>
      <c r="H350" s="9">
        <f t="shared" si="4"/>
        <v>14</v>
      </c>
      <c r="I350" s="6" t="str">
        <f>IFERROR(__xludf.DUMMYFUNCTION("MAX(FILTER($H$2:$H466,$E$2:$E466=F350))"),"#N/A")</f>
        <v>#N/A</v>
      </c>
    </row>
    <row r="351">
      <c r="A351" s="4"/>
      <c r="C351" s="4" t="s">
        <v>3123</v>
      </c>
      <c r="D351" s="4" t="str">
        <f t="shared" si="1"/>
        <v>{"valorA":"um","valorB":4}</v>
      </c>
      <c r="E351" s="8" t="str">
        <f t="shared" si="2"/>
        <v>um</v>
      </c>
      <c r="F351" s="8"/>
      <c r="G351" s="8" t="str">
        <f t="shared" si="3"/>
        <v>4</v>
      </c>
      <c r="H351" s="9">
        <f t="shared" si="4"/>
        <v>4</v>
      </c>
      <c r="I351" s="6" t="str">
        <f>IFERROR(__xludf.DUMMYFUNCTION("MAX(FILTER($H$2:$H466,$E$2:$E466=F351))"),"#N/A")</f>
        <v>#N/A</v>
      </c>
    </row>
    <row r="352">
      <c r="A352" s="4"/>
      <c r="C352" s="4" t="s">
        <v>3053</v>
      </c>
      <c r="D352" s="4" t="str">
        <f t="shared" si="1"/>
        <v>{"valorA":"tão","valorB":3}</v>
      </c>
      <c r="E352" s="8" t="str">
        <f t="shared" si="2"/>
        <v>tão</v>
      </c>
      <c r="F352" s="8"/>
      <c r="G352" s="8" t="str">
        <f t="shared" si="3"/>
        <v>3</v>
      </c>
      <c r="H352" s="9">
        <f t="shared" si="4"/>
        <v>3</v>
      </c>
      <c r="I352" s="6" t="str">
        <f>IFERROR(__xludf.DUMMYFUNCTION("MAX(FILTER($H$2:$H466,$E$2:$E466=F352))"),"#N/A")</f>
        <v>#N/A</v>
      </c>
    </row>
    <row r="353">
      <c r="A353" s="4"/>
      <c r="C353" s="4" t="s">
        <v>3754</v>
      </c>
      <c r="D353" s="4" t="str">
        <f t="shared" si="1"/>
        <v>{"valorA":"preço","valorB":16}</v>
      </c>
      <c r="E353" s="8" t="str">
        <f t="shared" si="2"/>
        <v>preço</v>
      </c>
      <c r="F353" s="8"/>
      <c r="G353" s="8" t="str">
        <f t="shared" si="3"/>
        <v>16</v>
      </c>
      <c r="H353" s="9">
        <f t="shared" si="4"/>
        <v>16</v>
      </c>
      <c r="I353" s="6" t="str">
        <f>IFERROR(__xludf.DUMMYFUNCTION("MAX(FILTER($H$2:$H466,$E$2:$E466=F353))"),"#N/A")</f>
        <v>#N/A</v>
      </c>
    </row>
    <row r="354">
      <c r="A354" s="4"/>
      <c r="C354" s="4" t="s">
        <v>3424</v>
      </c>
      <c r="D354" s="4" t="str">
        <f t="shared" si="1"/>
        <v>{"valorA":"o","valorB":11}</v>
      </c>
      <c r="E354" s="8" t="str">
        <f t="shared" si="2"/>
        <v>o</v>
      </c>
      <c r="F354" s="8"/>
      <c r="G354" s="8" t="str">
        <f t="shared" si="3"/>
        <v>11</v>
      </c>
      <c r="H354" s="9">
        <f t="shared" si="4"/>
        <v>11</v>
      </c>
      <c r="I354" s="6" t="str">
        <f>IFERROR(__xludf.DUMMYFUNCTION("MAX(FILTER($H$2:$H466,$E$2:$E466=F354))"),"#N/A")</f>
        <v>#N/A</v>
      </c>
    </row>
    <row r="355">
      <c r="A355" s="4"/>
      <c r="C355" s="4" t="s">
        <v>3146</v>
      </c>
      <c r="D355" s="4" t="str">
        <f t="shared" si="1"/>
        <v>{"valorA":"eu","valorB":1}</v>
      </c>
      <c r="E355" s="8" t="str">
        <f t="shared" si="2"/>
        <v>eu</v>
      </c>
      <c r="F355" s="8"/>
      <c r="G355" s="8" t="str">
        <f t="shared" si="3"/>
        <v>1</v>
      </c>
      <c r="H355" s="9">
        <f t="shared" si="4"/>
        <v>1</v>
      </c>
      <c r="I355" s="6" t="str">
        <f>IFERROR(__xludf.DUMMYFUNCTION("MAX(FILTER($H$2:$H466,$E$2:$E466=F355))"),"#N/A")</f>
        <v>#N/A</v>
      </c>
    </row>
    <row r="356">
      <c r="A356" s="4"/>
      <c r="C356" s="4" t="s">
        <v>3057</v>
      </c>
      <c r="D356" s="4" t="str">
        <f t="shared" si="1"/>
        <v>{"valorA":"bom","valorB":3}</v>
      </c>
      <c r="E356" s="8" t="str">
        <f t="shared" si="2"/>
        <v>bom</v>
      </c>
      <c r="F356" s="8"/>
      <c r="G356" s="8" t="str">
        <f t="shared" si="3"/>
        <v>3</v>
      </c>
      <c r="H356" s="9">
        <f t="shared" si="4"/>
        <v>3</v>
      </c>
      <c r="I356" s="6" t="str">
        <f>IFERROR(__xludf.DUMMYFUNCTION("MAX(FILTER($H$2:$H466,$E$2:$E466=F356))"),"#N/A")</f>
        <v>#N/A</v>
      </c>
    </row>
    <row r="357">
      <c r="A357" s="4"/>
      <c r="C357" s="4" t="s">
        <v>3059</v>
      </c>
      <c r="D357" s="4" t="str">
        <f t="shared" si="1"/>
        <v>{"valorA":"televisor","valorB":2}</v>
      </c>
      <c r="E357" s="8" t="str">
        <f t="shared" si="2"/>
        <v>televisor</v>
      </c>
      <c r="F357" s="8"/>
      <c r="G357" s="8" t="str">
        <f t="shared" si="3"/>
        <v>2</v>
      </c>
      <c r="H357" s="9">
        <f t="shared" si="4"/>
        <v>2</v>
      </c>
      <c r="I357" s="6" t="str">
        <f>IFERROR(__xludf.DUMMYFUNCTION("MAX(FILTER($H$2:$H466,$E$2:$E466=F357))"),"#N/A")</f>
        <v>#N/A</v>
      </c>
    </row>
    <row r="358">
      <c r="A358" s="4"/>
      <c r="C358" s="4" t="s">
        <v>3329</v>
      </c>
      <c r="D358" s="4" t="str">
        <f t="shared" si="1"/>
        <v>{"valorA":"amo","valorB":1}</v>
      </c>
      <c r="E358" s="8" t="str">
        <f t="shared" si="2"/>
        <v>amo</v>
      </c>
      <c r="F358" s="8"/>
      <c r="G358" s="8" t="str">
        <f t="shared" si="3"/>
        <v>1</v>
      </c>
      <c r="H358" s="9">
        <f t="shared" si="4"/>
        <v>1</v>
      </c>
      <c r="I358" s="6" t="str">
        <f>IFERROR(__xludf.DUMMYFUNCTION("MAX(FILTER($H$2:$H466,$E$2:$E466=F358))"),"#N/A")</f>
        <v>#N/A</v>
      </c>
    </row>
    <row r="359">
      <c r="A359" s="4"/>
      <c r="C359" s="4" t="s">
        <v>3637</v>
      </c>
      <c r="D359" s="4" t="str">
        <f t="shared" si="1"/>
        <v>{"valorA":"meu","valorB":10}</v>
      </c>
      <c r="E359" s="8" t="str">
        <f t="shared" si="2"/>
        <v>meu</v>
      </c>
      <c r="F359" s="8"/>
      <c r="G359" s="8" t="str">
        <f t="shared" si="3"/>
        <v>10</v>
      </c>
      <c r="H359" s="9">
        <f t="shared" si="4"/>
        <v>10</v>
      </c>
      <c r="I359" s="6" t="str">
        <f>IFERROR(__xludf.DUMMYFUNCTION("MAX(FILTER($H$2:$H466,$E$2:$E466=F359))"),"#N/A")</f>
        <v>#N/A</v>
      </c>
    </row>
    <row r="360">
      <c r="A360" s="4"/>
      <c r="C360" s="4" t="s">
        <v>2905</v>
      </c>
      <c r="D360" s="4" t="str">
        <f t="shared" si="1"/>
        <v>{"valorA":"ótimo","valorB":39}</v>
      </c>
      <c r="E360" s="8" t="str">
        <f t="shared" si="2"/>
        <v>ótimo</v>
      </c>
      <c r="F360" s="8"/>
      <c r="G360" s="8" t="str">
        <f t="shared" si="3"/>
        <v>39</v>
      </c>
      <c r="H360" s="9">
        <f t="shared" si="4"/>
        <v>39</v>
      </c>
      <c r="I360" s="6" t="str">
        <f>IFERROR(__xludf.DUMMYFUNCTION("MAX(FILTER($H$2:$H466,$E$2:$E466=F360))"),"#N/A")</f>
        <v>#N/A</v>
      </c>
    </row>
    <row r="361">
      <c r="A361" s="4"/>
      <c r="C361" s="4" t="s">
        <v>2924</v>
      </c>
      <c r="D361" s="4" t="str">
        <f t="shared" si="1"/>
        <v>{"valorA":"produto","valorB":26}</v>
      </c>
      <c r="E361" s="8" t="str">
        <f t="shared" si="2"/>
        <v>produto</v>
      </c>
      <c r="F361" s="8"/>
      <c r="G361" s="8" t="str">
        <f t="shared" si="3"/>
        <v>26</v>
      </c>
      <c r="H361" s="9">
        <f t="shared" si="4"/>
        <v>26</v>
      </c>
      <c r="I361" s="6" t="str">
        <f>IFERROR(__xludf.DUMMYFUNCTION("MAX(FILTER($H$2:$H466,$E$2:$E466=F361))"),"#N/A")</f>
        <v>#N/A</v>
      </c>
    </row>
    <row r="362">
      <c r="A362" s="4"/>
      <c r="C362" s="4" t="s">
        <v>3237</v>
      </c>
      <c r="D362" s="4" t="str">
        <f t="shared" si="1"/>
        <v>{"valorA":"para","valorB":15}</v>
      </c>
      <c r="E362" s="8" t="str">
        <f t="shared" si="2"/>
        <v>para</v>
      </c>
      <c r="F362" s="8"/>
      <c r="G362" s="8" t="str">
        <f t="shared" si="3"/>
        <v>15</v>
      </c>
      <c r="H362" s="9">
        <f t="shared" si="4"/>
        <v>15</v>
      </c>
      <c r="I362" s="6" t="str">
        <f>IFERROR(__xludf.DUMMYFUNCTION("MAX(FILTER($H$2:$H466,$E$2:$E466=F362))"),"#N/A")</f>
        <v>#N/A</v>
      </c>
    </row>
    <row r="363">
      <c r="A363" s="4"/>
      <c r="C363" s="4" t="s">
        <v>3048</v>
      </c>
      <c r="D363" s="4" t="str">
        <f t="shared" si="1"/>
        <v>{"valorA":"recomendo","valorB":2}</v>
      </c>
      <c r="E363" s="8" t="str">
        <f t="shared" si="2"/>
        <v>recomendo</v>
      </c>
      <c r="F363" s="8"/>
      <c r="G363" s="8" t="str">
        <f t="shared" si="3"/>
        <v>2</v>
      </c>
      <c r="H363" s="9">
        <f t="shared" si="4"/>
        <v>2</v>
      </c>
      <c r="I363" s="6" t="str">
        <f>IFERROR(__xludf.DUMMYFUNCTION("MAX(FILTER($H$2:$H466,$E$2:$E466=F363))"),"#N/A")</f>
        <v>#N/A</v>
      </c>
    </row>
    <row r="364">
      <c r="A364" s="4"/>
      <c r="C364" s="4" t="s">
        <v>2745</v>
      </c>
      <c r="D364" s="4" t="str">
        <f t="shared" si="1"/>
        <v>{"valorA":"precisa","valorB":1}</v>
      </c>
      <c r="E364" s="8" t="str">
        <f t="shared" si="2"/>
        <v>precisa</v>
      </c>
      <c r="F364" s="8"/>
      <c r="G364" s="8" t="str">
        <f t="shared" si="3"/>
        <v>1</v>
      </c>
      <c r="H364" s="9">
        <f t="shared" si="4"/>
        <v>1</v>
      </c>
      <c r="I364" s="6" t="str">
        <f>IFERROR(__xludf.DUMMYFUNCTION("MAX(FILTER($H$2:$H466,$E$2:$E466=F364))"),"#N/A")</f>
        <v>#N/A</v>
      </c>
    </row>
    <row r="365">
      <c r="A365" s="4"/>
      <c r="C365" s="4" t="s">
        <v>2180</v>
      </c>
      <c r="D365" s="4" t="str">
        <f t="shared" si="1"/>
        <v>{"valorA":"computador","valorB":1}</v>
      </c>
      <c r="E365" s="8" t="str">
        <f t="shared" si="2"/>
        <v>computador</v>
      </c>
      <c r="F365" s="8"/>
      <c r="G365" s="8" t="str">
        <f t="shared" si="3"/>
        <v>1</v>
      </c>
      <c r="H365" s="9">
        <f t="shared" si="4"/>
        <v>1</v>
      </c>
      <c r="I365" s="6" t="str">
        <f>IFERROR(__xludf.DUMMYFUNCTION("MAX(FILTER($H$2:$H466,$E$2:$E466=F365))"),"#N/A")</f>
        <v>#N/A</v>
      </c>
    </row>
    <row r="366">
      <c r="A366" s="4"/>
      <c r="C366" s="4" t="s">
        <v>3238</v>
      </c>
      <c r="D366" s="4" t="str">
        <f t="shared" si="1"/>
        <v>{"valorA":"quem","valorB":5}</v>
      </c>
      <c r="E366" s="8" t="str">
        <f t="shared" si="2"/>
        <v>quem</v>
      </c>
      <c r="F366" s="8"/>
      <c r="G366" s="8" t="str">
        <f t="shared" si="3"/>
        <v>5</v>
      </c>
      <c r="H366" s="9">
        <f t="shared" si="4"/>
        <v>5</v>
      </c>
      <c r="I366" s="6" t="str">
        <f>IFERROR(__xludf.DUMMYFUNCTION("MAX(FILTER($H$2:$H466,$E$2:$E466=F366))"),"#N/A")</f>
        <v>#N/A</v>
      </c>
    </row>
    <row r="367">
      <c r="A367" s="4"/>
      <c r="C367" s="4" t="s">
        <v>3072</v>
      </c>
      <c r="D367" s="4" t="str">
        <f t="shared" si="1"/>
        <v>{"valorA":"de","valorB":9}</v>
      </c>
      <c r="E367" s="8" t="str">
        <f t="shared" si="2"/>
        <v>de</v>
      </c>
      <c r="F367" s="8"/>
      <c r="G367" s="8" t="str">
        <f t="shared" si="3"/>
        <v>9</v>
      </c>
      <c r="H367" s="9">
        <f t="shared" si="4"/>
        <v>9</v>
      </c>
      <c r="I367" s="6" t="str">
        <f>IFERROR(__xludf.DUMMYFUNCTION("MAX(FILTER($H$2:$H466,$E$2:$E466=F367))"),"#N/A")</f>
        <v>#N/A</v>
      </c>
    </row>
    <row r="368">
      <c r="A368" s="4"/>
      <c r="C368" s="4" t="s">
        <v>3179</v>
      </c>
      <c r="D368" s="4" t="str">
        <f t="shared" si="1"/>
        <v>{"valorA":"um","valorB":5}</v>
      </c>
      <c r="E368" s="8" t="str">
        <f t="shared" si="2"/>
        <v>um</v>
      </c>
      <c r="F368" s="8"/>
      <c r="G368" s="8" t="str">
        <f t="shared" si="3"/>
        <v>5</v>
      </c>
      <c r="H368" s="9">
        <f t="shared" si="4"/>
        <v>5</v>
      </c>
      <c r="I368" s="6" t="str">
        <f>IFERROR(__xludf.DUMMYFUNCTION("MAX(FILTER($H$2:$H466,$E$2:$E466=F368))"),"#N/A")</f>
        <v>#N/A</v>
      </c>
    </row>
    <row r="369">
      <c r="A369" s="4"/>
      <c r="C369" s="4" t="s">
        <v>3197</v>
      </c>
      <c r="D369" s="4" t="str">
        <f t="shared" si="1"/>
        <v>{"valorA":"portátil","valorB":1}</v>
      </c>
      <c r="E369" s="8" t="str">
        <f t="shared" si="2"/>
        <v>portátil</v>
      </c>
      <c r="F369" s="8"/>
      <c r="G369" s="8" t="str">
        <f t="shared" si="3"/>
        <v>1</v>
      </c>
      <c r="H369" s="9">
        <f t="shared" si="4"/>
        <v>1</v>
      </c>
      <c r="I369" s="6" t="str">
        <f>IFERROR(__xludf.DUMMYFUNCTION("MAX(FILTER($H$2:$H466,$E$2:$E466=F369))"),"#N/A")</f>
        <v>#N/A</v>
      </c>
    </row>
    <row r="370">
      <c r="A370" s="4"/>
      <c r="C370" s="4" t="s">
        <v>2775</v>
      </c>
      <c r="D370" s="4" t="str">
        <f t="shared" si="1"/>
        <v>{"valorA":"barato","valorB":1}</v>
      </c>
      <c r="E370" s="8" t="str">
        <f t="shared" si="2"/>
        <v>barato</v>
      </c>
      <c r="F370" s="8"/>
      <c r="G370" s="8" t="str">
        <f t="shared" si="3"/>
        <v>1</v>
      </c>
      <c r="H370" s="9">
        <f t="shared" si="4"/>
        <v>1</v>
      </c>
      <c r="I370" s="6" t="str">
        <f>IFERROR(__xludf.DUMMYFUNCTION("MAX(FILTER($H$2:$H466,$E$2:$E466=F370))"),"#N/A")</f>
        <v>#N/A</v>
      </c>
    </row>
    <row r="371">
      <c r="A371" s="4"/>
      <c r="C371" s="4" t="s">
        <v>2914</v>
      </c>
      <c r="D371" s="4" t="str">
        <f t="shared" si="1"/>
        <v>{"valorA":"ótimo","valorB":40}</v>
      </c>
      <c r="E371" s="8" t="str">
        <f t="shared" si="2"/>
        <v>ótimo</v>
      </c>
      <c r="F371" s="8"/>
      <c r="G371" s="8" t="str">
        <f t="shared" si="3"/>
        <v>40</v>
      </c>
      <c r="H371" s="9">
        <f t="shared" si="4"/>
        <v>40</v>
      </c>
      <c r="I371" s="6" t="str">
        <f>IFERROR(__xludf.DUMMYFUNCTION("MAX(FILTER($H$2:$H466,$E$2:$E466=F371))"),"#N/A")</f>
        <v>#N/A</v>
      </c>
    </row>
    <row r="372">
      <c r="A372" s="4"/>
      <c r="C372" s="4" t="s">
        <v>3061</v>
      </c>
      <c r="D372" s="4" t="str">
        <f t="shared" si="1"/>
        <v>{"valorA":"fácil","valorB":5}</v>
      </c>
      <c r="E372" s="8" t="str">
        <f t="shared" si="2"/>
        <v>fácil</v>
      </c>
      <c r="F372" s="8"/>
      <c r="G372" s="8" t="str">
        <f t="shared" si="3"/>
        <v>5</v>
      </c>
      <c r="H372" s="9">
        <f t="shared" si="4"/>
        <v>5</v>
      </c>
      <c r="I372" s="6" t="str">
        <f>IFERROR(__xludf.DUMMYFUNCTION("MAX(FILTER($H$2:$H466,$E$2:$E466=F372))"),"#N/A")</f>
        <v>#N/A</v>
      </c>
    </row>
    <row r="373">
      <c r="A373" s="4"/>
      <c r="C373" s="4" t="s">
        <v>3103</v>
      </c>
      <c r="D373" s="4" t="str">
        <f t="shared" si="1"/>
        <v>{"valorA":"e","valorB":11}</v>
      </c>
      <c r="E373" s="8" t="str">
        <f t="shared" si="2"/>
        <v>e</v>
      </c>
      <c r="F373" s="8"/>
      <c r="G373" s="8" t="str">
        <f t="shared" si="3"/>
        <v>11</v>
      </c>
      <c r="H373" s="9">
        <f t="shared" si="4"/>
        <v>11</v>
      </c>
      <c r="I373" s="6" t="str">
        <f>IFERROR(__xludf.DUMMYFUNCTION("MAX(FILTER($H$2:$H466,$E$2:$E466=F373))"),"#N/A")</f>
        <v>#N/A</v>
      </c>
    </row>
    <row r="374">
      <c r="A374" s="4"/>
      <c r="C374" s="4" t="s">
        <v>3755</v>
      </c>
      <c r="D374" s="4" t="str">
        <f t="shared" si="1"/>
        <v>{"valorA":"do","valorB":7}</v>
      </c>
      <c r="E374" s="8" t="str">
        <f t="shared" si="2"/>
        <v>do</v>
      </c>
      <c r="F374" s="8"/>
      <c r="G374" s="8" t="str">
        <f t="shared" si="3"/>
        <v>7</v>
      </c>
      <c r="H374" s="9">
        <f t="shared" si="4"/>
        <v>7</v>
      </c>
      <c r="I374" s="6" t="str">
        <f>IFERROR(__xludf.DUMMYFUNCTION("MAX(FILTER($H$2:$H466,$E$2:$E466=F374))"),"#N/A")</f>
        <v>#N/A</v>
      </c>
    </row>
    <row r="375">
      <c r="A375" s="4"/>
      <c r="C375" s="4" t="s">
        <v>2933</v>
      </c>
      <c r="D375" s="4" t="str">
        <f t="shared" si="1"/>
        <v>{"valorA":"produto","valorB":27}</v>
      </c>
      <c r="E375" s="8" t="str">
        <f t="shared" si="2"/>
        <v>produto</v>
      </c>
      <c r="F375" s="8"/>
      <c r="G375" s="8" t="str">
        <f t="shared" si="3"/>
        <v>27</v>
      </c>
      <c r="H375" s="9">
        <f t="shared" si="4"/>
        <v>27</v>
      </c>
      <c r="I375" s="6" t="str">
        <f>IFERROR(__xludf.DUMMYFUNCTION("MAX(FILTER($H$2:$H466,$E$2:$E466=F375))"),"#N/A")</f>
        <v>#N/A</v>
      </c>
    </row>
    <row r="376">
      <c r="A376" s="4"/>
      <c r="C376" s="4" t="s">
        <v>3076</v>
      </c>
      <c r="D376" s="4" t="str">
        <f t="shared" si="1"/>
        <v>{"valorA":"de","valorB":10}</v>
      </c>
      <c r="E376" s="8" t="str">
        <f t="shared" si="2"/>
        <v>de</v>
      </c>
      <c r="F376" s="8"/>
      <c r="G376" s="8" t="str">
        <f t="shared" si="3"/>
        <v>10</v>
      </c>
      <c r="H376" s="9">
        <f t="shared" si="4"/>
        <v>10</v>
      </c>
      <c r="I376" s="6" t="str">
        <f>IFERROR(__xludf.DUMMYFUNCTION("MAX(FILTER($H$2:$H466,$E$2:$E466=F376))"),"#N/A")</f>
        <v>#N/A</v>
      </c>
    </row>
    <row r="377">
      <c r="A377" s="4"/>
      <c r="C377" s="4" t="s">
        <v>3166</v>
      </c>
      <c r="D377" s="4" t="str">
        <f t="shared" si="1"/>
        <v>{"valorA":"muito","valorB":14}</v>
      </c>
      <c r="E377" s="8" t="str">
        <f t="shared" si="2"/>
        <v>muito</v>
      </c>
      <c r="F377" s="8"/>
      <c r="G377" s="8" t="str">
        <f t="shared" si="3"/>
        <v>14</v>
      </c>
      <c r="H377" s="9">
        <f t="shared" si="4"/>
        <v>14</v>
      </c>
      <c r="I377" s="6" t="str">
        <f>IFERROR(__xludf.DUMMYFUNCTION("MAX(FILTER($H$2:$H466,$E$2:$E466=F377))"),"#N/A")</f>
        <v>#N/A</v>
      </c>
    </row>
    <row r="378">
      <c r="A378" s="4"/>
      <c r="C378" s="4" t="s">
        <v>3062</v>
      </c>
      <c r="D378" s="4" t="str">
        <f t="shared" si="1"/>
        <v>{"valorA":"usar","valorB":5}</v>
      </c>
      <c r="E378" s="8" t="str">
        <f t="shared" si="2"/>
        <v>usar</v>
      </c>
      <c r="F378" s="8"/>
      <c r="G378" s="8" t="str">
        <f t="shared" si="3"/>
        <v>5</v>
      </c>
      <c r="H378" s="9">
        <f t="shared" si="4"/>
        <v>5</v>
      </c>
      <c r="I378" s="6" t="str">
        <f>IFERROR(__xludf.DUMMYFUNCTION("MAX(FILTER($H$2:$H466,$E$2:$E466=F378))"),"#N/A")</f>
        <v>#N/A</v>
      </c>
    </row>
    <row r="379">
      <c r="A379" s="4"/>
      <c r="C379" s="4" t="s">
        <v>3382</v>
      </c>
      <c r="D379" s="4" t="str">
        <f t="shared" si="1"/>
        <v>{"valorA":"gosto","valorB":3}</v>
      </c>
      <c r="E379" s="8" t="str">
        <f t="shared" si="2"/>
        <v>gosto</v>
      </c>
      <c r="F379" s="8"/>
      <c r="G379" s="8" t="str">
        <f t="shared" si="3"/>
        <v>3</v>
      </c>
      <c r="H379" s="9">
        <f t="shared" si="4"/>
        <v>3</v>
      </c>
      <c r="I379" s="6" t="str">
        <f>IFERROR(__xludf.DUMMYFUNCTION("MAX(FILTER($H$2:$H466,$E$2:$E466=F379))"),"#N/A")</f>
        <v>#N/A</v>
      </c>
    </row>
    <row r="380">
      <c r="A380" s="4"/>
      <c r="C380" s="4" t="s">
        <v>2694</v>
      </c>
      <c r="D380" s="4" t="str">
        <f t="shared" si="1"/>
        <v>{"valorA":"resultado","valorB":2}</v>
      </c>
      <c r="E380" s="8" t="str">
        <f t="shared" si="2"/>
        <v>resultado</v>
      </c>
      <c r="F380" s="8"/>
      <c r="G380" s="8" t="str">
        <f t="shared" si="3"/>
        <v>2</v>
      </c>
      <c r="H380" s="9">
        <f t="shared" si="4"/>
        <v>2</v>
      </c>
      <c r="I380" s="6" t="str">
        <f>IFERROR(__xludf.DUMMYFUNCTION("MAX(FILTER($H$2:$H466,$E$2:$E466=F380))"),"#N/A")</f>
        <v>#N/A</v>
      </c>
    </row>
    <row r="381">
      <c r="A381" s="4"/>
      <c r="C381" s="4" t="s">
        <v>2925</v>
      </c>
      <c r="D381" s="4" t="str">
        <f t="shared" si="1"/>
        <v>{"valorA":"ótimo","valorB":41}</v>
      </c>
      <c r="E381" s="8" t="str">
        <f t="shared" si="2"/>
        <v>ótimo</v>
      </c>
      <c r="F381" s="8"/>
      <c r="G381" s="8" t="str">
        <f t="shared" si="3"/>
        <v>41</v>
      </c>
      <c r="H381" s="9">
        <f t="shared" si="4"/>
        <v>41</v>
      </c>
      <c r="I381" s="6" t="str">
        <f>IFERROR(__xludf.DUMMYFUNCTION("MAX(FILTER($H$2:$H466,$E$2:$E466=F381))"),"#N/A")</f>
        <v>#N/A</v>
      </c>
    </row>
    <row r="382">
      <c r="A382" s="4"/>
      <c r="C382" s="4" t="s">
        <v>3116</v>
      </c>
      <c r="D382" s="4" t="str">
        <f t="shared" si="1"/>
        <v>{"valorA":"bem","valorB":7}</v>
      </c>
      <c r="E382" s="8" t="str">
        <f t="shared" si="2"/>
        <v>bem</v>
      </c>
      <c r="F382" s="8"/>
      <c r="G382" s="8" t="str">
        <f t="shared" si="3"/>
        <v>7</v>
      </c>
      <c r="H382" s="9">
        <f t="shared" si="4"/>
        <v>7</v>
      </c>
      <c r="I382" s="6" t="str">
        <f>IFERROR(__xludf.DUMMYFUNCTION("MAX(FILTER($H$2:$H466,$E$2:$E466=F382))"),"#N/A")</f>
        <v>#N/A</v>
      </c>
    </row>
    <row r="383">
      <c r="A383" s="4"/>
      <c r="C383" s="4" t="s">
        <v>3113</v>
      </c>
      <c r="D383" s="4" t="str">
        <f t="shared" si="1"/>
        <v>{"valorA":"e","valorB":12}</v>
      </c>
      <c r="E383" s="8" t="str">
        <f t="shared" si="2"/>
        <v>e</v>
      </c>
      <c r="F383" s="8"/>
      <c r="G383" s="8" t="str">
        <f t="shared" si="3"/>
        <v>12</v>
      </c>
      <c r="H383" s="9">
        <f t="shared" si="4"/>
        <v>12</v>
      </c>
      <c r="I383" s="6" t="str">
        <f>IFERROR(__xludf.DUMMYFUNCTION("MAX(FILTER($H$2:$H466,$E$2:$E466=F383))"),"#N/A")</f>
        <v>#N/A</v>
      </c>
    </row>
    <row r="384">
      <c r="A384" s="4"/>
      <c r="C384" s="4" t="s">
        <v>2938</v>
      </c>
      <c r="D384" s="4" t="str">
        <f t="shared" si="1"/>
        <v>{"valorA":"produto","valorB":28}</v>
      </c>
      <c r="E384" s="8" t="str">
        <f t="shared" si="2"/>
        <v>produto</v>
      </c>
      <c r="F384" s="8"/>
      <c r="G384" s="8" t="str">
        <f t="shared" si="3"/>
        <v>28</v>
      </c>
      <c r="H384" s="9">
        <f t="shared" si="4"/>
        <v>28</v>
      </c>
      <c r="I384" s="6" t="str">
        <f>IFERROR(__xludf.DUMMYFUNCTION("MAX(FILTER($H$2:$H466,$E$2:$E466=F384))"),"#N/A")</f>
        <v>#N/A</v>
      </c>
    </row>
    <row r="385">
      <c r="A385" s="4"/>
      <c r="C385" s="4" t="s">
        <v>3195</v>
      </c>
      <c r="D385" s="4" t="str">
        <f t="shared" si="1"/>
        <v>{"valorA":"funciona","valorB":10}</v>
      </c>
      <c r="E385" s="8" t="str">
        <f t="shared" si="2"/>
        <v>funciona</v>
      </c>
      <c r="F385" s="8"/>
      <c r="G385" s="8" t="str">
        <f t="shared" si="3"/>
        <v>10</v>
      </c>
      <c r="H385" s="9">
        <f t="shared" si="4"/>
        <v>10</v>
      </c>
      <c r="I385" s="6" t="str">
        <f>IFERROR(__xludf.DUMMYFUNCTION("MAX(FILTER($H$2:$H466,$E$2:$E466=F385))"),"#N/A")</f>
        <v>#N/A</v>
      </c>
    </row>
    <row r="386">
      <c r="A386" s="4"/>
      <c r="C386" s="4" t="s">
        <v>3066</v>
      </c>
      <c r="D386" s="4" t="str">
        <f t="shared" si="1"/>
        <v>{"valorA":"fácil","valorB":6}</v>
      </c>
      <c r="E386" s="8" t="str">
        <f t="shared" si="2"/>
        <v>fácil</v>
      </c>
      <c r="F386" s="8"/>
      <c r="G386" s="8" t="str">
        <f t="shared" si="3"/>
        <v>6</v>
      </c>
      <c r="H386" s="9">
        <f t="shared" si="4"/>
        <v>6</v>
      </c>
      <c r="I386" s="6" t="str">
        <f>IFERROR(__xludf.DUMMYFUNCTION("MAX(FILTER($H$2:$H466,$E$2:$E466=F386))"),"#N/A")</f>
        <v>#N/A</v>
      </c>
    </row>
    <row r="387">
      <c r="A387" s="4"/>
      <c r="C387" s="4" t="s">
        <v>2908</v>
      </c>
      <c r="D387" s="4" t="str">
        <f t="shared" si="1"/>
        <v>{"valorA":"é","valorB":8}</v>
      </c>
      <c r="E387" s="8" t="str">
        <f t="shared" si="2"/>
        <v>é</v>
      </c>
      <c r="F387" s="8"/>
      <c r="G387" s="8" t="str">
        <f t="shared" si="3"/>
        <v>8</v>
      </c>
      <c r="H387" s="9">
        <f t="shared" si="4"/>
        <v>8</v>
      </c>
      <c r="I387" s="6" t="str">
        <f>IFERROR(__xludf.DUMMYFUNCTION("MAX(FILTER($H$2:$H466,$E$2:$E466=F387))"),"#N/A")</f>
        <v>#N/A</v>
      </c>
    </row>
    <row r="388">
      <c r="A388" s="4"/>
      <c r="C388" s="4" t="s">
        <v>3058</v>
      </c>
      <c r="D388" s="4" t="str">
        <f t="shared" si="1"/>
        <v>{"valorA":"recomendo","valorB":3}</v>
      </c>
      <c r="E388" s="8" t="str">
        <f t="shared" si="2"/>
        <v>recomendo</v>
      </c>
      <c r="F388" s="8"/>
      <c r="G388" s="8" t="str">
        <f t="shared" si="3"/>
        <v>3</v>
      </c>
      <c r="H388" s="9">
        <f t="shared" si="4"/>
        <v>3</v>
      </c>
      <c r="I388" s="6" t="str">
        <f>IFERROR(__xludf.DUMMYFUNCTION("MAX(FILTER($H$2:$H466,$E$2:$E466=F388))"),"#N/A")</f>
        <v>#N/A</v>
      </c>
    </row>
    <row r="389">
      <c r="A389" s="4"/>
      <c r="C389" s="4" t="s">
        <v>3756</v>
      </c>
      <c r="D389" s="4" t="str">
        <f t="shared" si="1"/>
        <v>{"valorA":"para","valorB":16}</v>
      </c>
      <c r="E389" s="8" t="str">
        <f t="shared" si="2"/>
        <v>para</v>
      </c>
      <c r="F389" s="8"/>
      <c r="G389" s="8" t="str">
        <f t="shared" si="3"/>
        <v>16</v>
      </c>
      <c r="H389" s="9">
        <f t="shared" si="4"/>
        <v>16</v>
      </c>
      <c r="I389" s="6" t="str">
        <f>IFERROR(__xludf.DUMMYFUNCTION("MAX(FILTER($H$2:$H466,$E$2:$E466=F389))"),"#N/A")</f>
        <v>#N/A</v>
      </c>
    </row>
    <row r="390">
      <c r="A390" s="4"/>
      <c r="C390" s="4" t="s">
        <v>3100</v>
      </c>
      <c r="D390" s="4" t="str">
        <f t="shared" si="1"/>
        <v>{"valorA":"todos","valorB":1}</v>
      </c>
      <c r="E390" s="8" t="str">
        <f t="shared" si="2"/>
        <v>todos</v>
      </c>
      <c r="F390" s="8"/>
      <c r="G390" s="8" t="str">
        <f t="shared" si="3"/>
        <v>1</v>
      </c>
      <c r="H390" s="9">
        <f t="shared" si="4"/>
        <v>1</v>
      </c>
      <c r="I390" s="6" t="str">
        <f>IFERROR(__xludf.DUMMYFUNCTION("MAX(FILTER($H$2:$H466,$E$2:$E466=F390))"),"#N/A")</f>
        <v>#N/A</v>
      </c>
    </row>
    <row r="391">
      <c r="A391" s="4"/>
      <c r="C391" s="4" t="s">
        <v>3081</v>
      </c>
      <c r="D391" s="4" t="str">
        <f t="shared" si="1"/>
        <v>{"valorA":"de","valorB":11}</v>
      </c>
      <c r="E391" s="8" t="str">
        <f t="shared" si="2"/>
        <v>de</v>
      </c>
      <c r="F391" s="8"/>
      <c r="G391" s="8" t="str">
        <f t="shared" si="3"/>
        <v>11</v>
      </c>
      <c r="H391" s="9">
        <f t="shared" si="4"/>
        <v>11</v>
      </c>
      <c r="I391" s="6" t="str">
        <f>IFERROR(__xludf.DUMMYFUNCTION("MAX(FILTER($H$2:$H466,$E$2:$E466=F391))"),"#N/A")</f>
        <v>#N/A</v>
      </c>
    </row>
    <row r="392">
      <c r="A392" s="4"/>
      <c r="C392" s="4" t="s">
        <v>3070</v>
      </c>
      <c r="D392" s="4" t="str">
        <f t="shared" si="1"/>
        <v>{"valorA":"usar","valorB":6}</v>
      </c>
      <c r="E392" s="8" t="str">
        <f t="shared" si="2"/>
        <v>usar</v>
      </c>
      <c r="F392" s="8"/>
      <c r="G392" s="8" t="str">
        <f t="shared" si="3"/>
        <v>6</v>
      </c>
      <c r="H392" s="9">
        <f t="shared" si="4"/>
        <v>6</v>
      </c>
      <c r="I392" s="6" t="str">
        <f>IFERROR(__xludf.DUMMYFUNCTION("MAX(FILTER($H$2:$H466,$E$2:$E466=F392))"),"#N/A")</f>
        <v>#N/A</v>
      </c>
    </row>
    <row r="393">
      <c r="A393" s="4"/>
      <c r="C393" s="4" t="s">
        <v>3068</v>
      </c>
      <c r="D393" s="4" t="str">
        <f t="shared" si="1"/>
        <v>{"valorA":"resposta","valorB":1}</v>
      </c>
      <c r="E393" s="8" t="str">
        <f t="shared" si="2"/>
        <v>resposta</v>
      </c>
      <c r="F393" s="8"/>
      <c r="G393" s="8" t="str">
        <f t="shared" si="3"/>
        <v>1</v>
      </c>
      <c r="H393" s="9">
        <f t="shared" si="4"/>
        <v>1</v>
      </c>
      <c r="I393" s="6" t="str">
        <f>IFERROR(__xludf.DUMMYFUNCTION("MAX(FILTER($H$2:$H466,$E$2:$E466=F393))"),"#N/A")</f>
        <v>#N/A</v>
      </c>
    </row>
    <row r="394">
      <c r="A394" s="4"/>
      <c r="C394" s="4" t="s">
        <v>2929</v>
      </c>
      <c r="D394" s="4" t="str">
        <f t="shared" si="1"/>
        <v>{"valorA":"ótimo","valorB":42}</v>
      </c>
      <c r="E394" s="8" t="str">
        <f t="shared" si="2"/>
        <v>ótimo</v>
      </c>
      <c r="F394" s="8"/>
      <c r="G394" s="8" t="str">
        <f t="shared" si="3"/>
        <v>42</v>
      </c>
      <c r="H394" s="9">
        <f t="shared" si="4"/>
        <v>42</v>
      </c>
      <c r="I394" s="6" t="str">
        <f>IFERROR(__xludf.DUMMYFUNCTION("MAX(FILTER($H$2:$H466,$E$2:$E466=F394))"),"#N/A")</f>
        <v>#N/A</v>
      </c>
    </row>
    <row r="395">
      <c r="A395" s="4"/>
      <c r="C395" s="4" t="s">
        <v>2944</v>
      </c>
      <c r="D395" s="4" t="str">
        <f t="shared" si="1"/>
        <v>{"valorA":"produto","valorB":29}</v>
      </c>
      <c r="E395" s="8" t="str">
        <f t="shared" si="2"/>
        <v>produto</v>
      </c>
      <c r="F395" s="8"/>
      <c r="G395" s="8" t="str">
        <f t="shared" si="3"/>
        <v>29</v>
      </c>
      <c r="H395" s="9">
        <f t="shared" si="4"/>
        <v>29</v>
      </c>
      <c r="I395" s="6" t="str">
        <f>IFERROR(__xludf.DUMMYFUNCTION("MAX(FILTER($H$2:$H466,$E$2:$E466=F395))"),"#N/A")</f>
        <v>#N/A</v>
      </c>
    </row>
    <row r="396">
      <c r="A396" s="4"/>
      <c r="C396" s="4" t="s">
        <v>3202</v>
      </c>
      <c r="D396" s="4" t="str">
        <f t="shared" si="1"/>
        <v>{"valorA":"valeu","valorB":5}</v>
      </c>
      <c r="E396" s="8" t="str">
        <f t="shared" si="2"/>
        <v>valeu</v>
      </c>
      <c r="F396" s="8"/>
      <c r="G396" s="8" t="str">
        <f t="shared" si="3"/>
        <v>5</v>
      </c>
      <c r="H396" s="9">
        <f t="shared" si="4"/>
        <v>5</v>
      </c>
      <c r="I396" s="6" t="str">
        <f>IFERROR(__xludf.DUMMYFUNCTION("MAX(FILTER($H$2:$H466,$E$2:$E466=F396))"),"#N/A")</f>
        <v>#N/A</v>
      </c>
    </row>
    <row r="397">
      <c r="A397" s="4"/>
      <c r="C397" s="4" t="s">
        <v>3226</v>
      </c>
      <c r="D397" s="4" t="str">
        <f t="shared" si="1"/>
        <v>{"valorA":"a","valorB":9}</v>
      </c>
      <c r="E397" s="8" t="str">
        <f t="shared" si="2"/>
        <v>a</v>
      </c>
      <c r="F397" s="8"/>
      <c r="G397" s="8" t="str">
        <f t="shared" si="3"/>
        <v>9</v>
      </c>
      <c r="H397" s="9">
        <f t="shared" si="4"/>
        <v>9</v>
      </c>
      <c r="I397" s="6" t="str">
        <f>IFERROR(__xludf.DUMMYFUNCTION("MAX(FILTER($H$2:$H466,$E$2:$E466=F397))"),"#N/A")</f>
        <v>#N/A</v>
      </c>
    </row>
    <row r="398">
      <c r="A398" s="4"/>
      <c r="C398" s="4" t="s">
        <v>3757</v>
      </c>
      <c r="D398" s="4" t="str">
        <f t="shared" si="1"/>
        <v>{"valorA":"espera","valorB":4}</v>
      </c>
      <c r="E398" s="8" t="str">
        <f t="shared" si="2"/>
        <v>espera</v>
      </c>
      <c r="F398" s="8"/>
      <c r="G398" s="8" t="str">
        <f t="shared" si="3"/>
        <v>4</v>
      </c>
      <c r="H398" s="9">
        <f t="shared" si="4"/>
        <v>4</v>
      </c>
      <c r="I398" s="6" t="str">
        <f>IFERROR(__xludf.DUMMYFUNCTION("MAX(FILTER($H$2:$H466,$E$2:$E466=F398))"),"#N/A")</f>
        <v>#N/A</v>
      </c>
    </row>
    <row r="399">
      <c r="A399" s="4"/>
      <c r="C399" s="4" t="s">
        <v>2935</v>
      </c>
      <c r="D399" s="4" t="str">
        <f t="shared" si="1"/>
        <v>{"valorA":"ótimo","valorB":43}</v>
      </c>
      <c r="E399" s="8" t="str">
        <f t="shared" si="2"/>
        <v>ótimo</v>
      </c>
      <c r="F399" s="8"/>
      <c r="G399" s="8" t="str">
        <f t="shared" si="3"/>
        <v>43</v>
      </c>
      <c r="H399" s="9">
        <f t="shared" si="4"/>
        <v>43</v>
      </c>
      <c r="I399" s="6" t="str">
        <f>IFERROR(__xludf.DUMMYFUNCTION("MAX(FILTER($H$2:$H466,$E$2:$E466=F399))"),"#N/A")</f>
        <v>#N/A</v>
      </c>
    </row>
    <row r="400">
      <c r="A400" s="4"/>
      <c r="C400" s="4" t="s">
        <v>3758</v>
      </c>
      <c r="D400" s="4" t="str">
        <f t="shared" si="1"/>
        <v>{"valorA":"para","valorB":17}</v>
      </c>
      <c r="E400" s="8" t="str">
        <f t="shared" si="2"/>
        <v>para</v>
      </c>
      <c r="F400" s="8"/>
      <c r="G400" s="8" t="str">
        <f t="shared" si="3"/>
        <v>17</v>
      </c>
      <c r="H400" s="9">
        <f t="shared" si="4"/>
        <v>17</v>
      </c>
      <c r="I400" s="6" t="str">
        <f>IFERROR(__xludf.DUMMYFUNCTION("MAX(FILTER($H$2:$H466,$E$2:$E466=F400))"),"#N/A")</f>
        <v>#N/A</v>
      </c>
    </row>
    <row r="401">
      <c r="A401" s="4"/>
      <c r="C401" s="4" t="s">
        <v>3759</v>
      </c>
      <c r="D401" s="4" t="str">
        <f t="shared" si="1"/>
        <v>{"valorA":"câmera","valorB":4}</v>
      </c>
      <c r="E401" s="8" t="str">
        <f t="shared" si="2"/>
        <v>câmera</v>
      </c>
      <c r="F401" s="8"/>
      <c r="G401" s="8" t="str">
        <f t="shared" si="3"/>
        <v>4</v>
      </c>
      <c r="H401" s="9">
        <f t="shared" si="4"/>
        <v>4</v>
      </c>
      <c r="I401" s="6" t="str">
        <f>IFERROR(__xludf.DUMMYFUNCTION("MAX(FILTER($H$2:$H466,$E$2:$E466=F401))"),"#N/A")</f>
        <v>#N/A</v>
      </c>
    </row>
    <row r="402">
      <c r="A402" s="4"/>
      <c r="C402" s="4" t="s">
        <v>2959</v>
      </c>
      <c r="D402" s="4" t="str">
        <f t="shared" si="1"/>
        <v>{"valorA":"produto","valorB":30}</v>
      </c>
      <c r="E402" s="8" t="str">
        <f t="shared" si="2"/>
        <v>produto</v>
      </c>
      <c r="F402" s="8"/>
      <c r="G402" s="8" t="str">
        <f t="shared" si="3"/>
        <v>30</v>
      </c>
      <c r="H402" s="9">
        <f t="shared" si="4"/>
        <v>30</v>
      </c>
      <c r="I402" s="6" t="str">
        <f>IFERROR(__xludf.DUMMYFUNCTION("MAX(FILTER($H$2:$H466,$E$2:$E466=F402))"),"#N/A")</f>
        <v>#N/A</v>
      </c>
    </row>
    <row r="403">
      <c r="A403" s="4"/>
      <c r="C403" s="4" t="s">
        <v>3110</v>
      </c>
      <c r="D403" s="4" t="str">
        <f t="shared" si="1"/>
        <v>{"valorA":"de","valorB":12}</v>
      </c>
      <c r="E403" s="8" t="str">
        <f t="shared" si="2"/>
        <v>de</v>
      </c>
      <c r="F403" s="8"/>
      <c r="G403" s="8" t="str">
        <f t="shared" si="3"/>
        <v>12</v>
      </c>
      <c r="H403" s="9">
        <f t="shared" si="4"/>
        <v>12</v>
      </c>
      <c r="I403" s="6" t="str">
        <f>IFERROR(__xludf.DUMMYFUNCTION("MAX(FILTER($H$2:$H466,$E$2:$E466=F403))"),"#N/A")</f>
        <v>#N/A</v>
      </c>
    </row>
    <row r="404">
      <c r="A404" s="4"/>
      <c r="C404" s="4" t="s">
        <v>3760</v>
      </c>
      <c r="D404" s="4" t="str">
        <f t="shared" si="1"/>
        <v>{"valorA":"quem","valorB":6}</v>
      </c>
      <c r="E404" s="8" t="str">
        <f t="shared" si="2"/>
        <v>quem</v>
      </c>
      <c r="F404" s="8"/>
      <c r="G404" s="8" t="str">
        <f t="shared" si="3"/>
        <v>6</v>
      </c>
      <c r="H404" s="9">
        <f t="shared" si="4"/>
        <v>6</v>
      </c>
      <c r="I404" s="6" t="str">
        <f>IFERROR(__xludf.DUMMYFUNCTION("MAX(FILTER($H$2:$H466,$E$2:$E466=F404))"),"#N/A")</f>
        <v>#N/A</v>
      </c>
    </row>
    <row r="405">
      <c r="A405" s="4"/>
      <c r="C405" s="4" t="s">
        <v>3761</v>
      </c>
      <c r="D405" s="4" t="str">
        <f t="shared" si="1"/>
        <v>{"valorA":"uma","valorB":5}</v>
      </c>
      <c r="E405" s="8" t="str">
        <f t="shared" si="2"/>
        <v>uma</v>
      </c>
      <c r="F405" s="8"/>
      <c r="G405" s="8" t="str">
        <f t="shared" si="3"/>
        <v>5</v>
      </c>
      <c r="H405" s="9">
        <f t="shared" si="4"/>
        <v>5</v>
      </c>
      <c r="I405" s="6" t="str">
        <f>IFERROR(__xludf.DUMMYFUNCTION("MAX(FILTER($H$2:$H466,$E$2:$E466=F405))"),"#N/A")</f>
        <v>#N/A</v>
      </c>
    </row>
    <row r="406">
      <c r="A406" s="4"/>
      <c r="C406" s="4" t="s">
        <v>3211</v>
      </c>
      <c r="D406" s="4" t="str">
        <f t="shared" si="1"/>
        <v>{"valorA":"funciona","valorB":11}</v>
      </c>
      <c r="E406" s="8" t="str">
        <f t="shared" si="2"/>
        <v>funciona</v>
      </c>
      <c r="F406" s="8"/>
      <c r="G406" s="8" t="str">
        <f t="shared" si="3"/>
        <v>11</v>
      </c>
      <c r="H406" s="9">
        <f t="shared" si="4"/>
        <v>11</v>
      </c>
      <c r="I406" s="6" t="str">
        <f>IFERROR(__xludf.DUMMYFUNCTION("MAX(FILTER($H$2:$H466,$E$2:$E466=F406))"),"#N/A")</f>
        <v>#N/A</v>
      </c>
    </row>
    <row r="407">
      <c r="A407" s="4"/>
      <c r="C407" s="4" t="s">
        <v>3141</v>
      </c>
      <c r="D407" s="4" t="str">
        <f t="shared" si="1"/>
        <v>{"valorA":"precisa","valorB":2}</v>
      </c>
      <c r="E407" s="8" t="str">
        <f t="shared" si="2"/>
        <v>precisa</v>
      </c>
      <c r="F407" s="8"/>
      <c r="G407" s="8" t="str">
        <f t="shared" si="3"/>
        <v>2</v>
      </c>
      <c r="H407" s="9">
        <f t="shared" si="4"/>
        <v>2</v>
      </c>
      <c r="I407" s="6" t="str">
        <f>IFERROR(__xludf.DUMMYFUNCTION("MAX(FILTER($H$2:$H466,$E$2:$E466=F407))"),"#N/A")</f>
        <v>#N/A</v>
      </c>
    </row>
    <row r="408">
      <c r="A408" s="4"/>
      <c r="C408" s="4" t="s">
        <v>3232</v>
      </c>
      <c r="D408" s="4" t="str">
        <f t="shared" si="1"/>
        <v>{"valorA":"portátil","valorB":2}</v>
      </c>
      <c r="E408" s="8" t="str">
        <f t="shared" si="2"/>
        <v>portátil</v>
      </c>
      <c r="F408" s="8"/>
      <c r="G408" s="8" t="str">
        <f t="shared" si="3"/>
        <v>2</v>
      </c>
      <c r="H408" s="9">
        <f t="shared" si="4"/>
        <v>2</v>
      </c>
      <c r="I408" s="6" t="str">
        <f>IFERROR(__xludf.DUMMYFUNCTION("MAX(FILTER($H$2:$H466,$E$2:$E466=F408))"),"#N/A")</f>
        <v>#N/A</v>
      </c>
    </row>
    <row r="409">
      <c r="A409" s="4"/>
      <c r="C409" s="4" t="s">
        <v>2764</v>
      </c>
      <c r="D409" s="4" t="str">
        <f t="shared" si="1"/>
        <v>{"valorA":"perfeitamente","valorB":5}</v>
      </c>
      <c r="E409" s="8" t="str">
        <f t="shared" si="2"/>
        <v>perfeitamente</v>
      </c>
      <c r="F409" s="8"/>
      <c r="G409" s="8" t="str">
        <f t="shared" si="3"/>
        <v>5</v>
      </c>
      <c r="H409" s="9">
        <f t="shared" si="4"/>
        <v>5</v>
      </c>
      <c r="I409" s="6" t="str">
        <f>IFERROR(__xludf.DUMMYFUNCTION("MAX(FILTER($H$2:$H466,$E$2:$E466=F409))"),"#N/A")</f>
        <v>#N/A</v>
      </c>
    </row>
    <row r="410">
      <c r="A410" s="4"/>
      <c r="C410" s="4" t="s">
        <v>3060</v>
      </c>
      <c r="D410" s="4" t="str">
        <f t="shared" si="1"/>
        <v>{"valorA":"recomendo","valorB":4}</v>
      </c>
      <c r="E410" s="8" t="str">
        <f t="shared" si="2"/>
        <v>recomendo</v>
      </c>
      <c r="F410" s="8"/>
      <c r="G410" s="8" t="str">
        <f t="shared" si="3"/>
        <v>4</v>
      </c>
      <c r="H410" s="9">
        <f t="shared" si="4"/>
        <v>4</v>
      </c>
      <c r="I410" s="6" t="str">
        <f>IFERROR(__xludf.DUMMYFUNCTION("MAX(FILTER($H$2:$H466,$E$2:$E466=F410))"),"#N/A")</f>
        <v>#N/A</v>
      </c>
    </row>
    <row r="411">
      <c r="A411" s="4"/>
      <c r="C411" s="4" t="s">
        <v>3198</v>
      </c>
      <c r="D411" s="4" t="str">
        <f t="shared" si="1"/>
        <v>{"valorA":"muito","valorB":15}</v>
      </c>
      <c r="E411" s="8" t="str">
        <f t="shared" si="2"/>
        <v>muito</v>
      </c>
      <c r="F411" s="8"/>
      <c r="G411" s="8" t="str">
        <f t="shared" si="3"/>
        <v>15</v>
      </c>
      <c r="H411" s="9">
        <f t="shared" si="4"/>
        <v>15</v>
      </c>
      <c r="I411" s="6" t="str">
        <f>IFERROR(__xludf.DUMMYFUNCTION("MAX(FILTER($H$2:$H466,$E$2:$E466=F411))"),"#N/A")</f>
        <v>#N/A</v>
      </c>
    </row>
    <row r="412">
      <c r="A412" s="4"/>
      <c r="C412" s="4" t="s">
        <v>2945</v>
      </c>
      <c r="D412" s="4" t="str">
        <f t="shared" si="1"/>
        <v>{"valorA":"ótimo","valorB":44}</v>
      </c>
      <c r="E412" s="8" t="str">
        <f t="shared" si="2"/>
        <v>ótimo</v>
      </c>
      <c r="F412" s="8"/>
      <c r="G412" s="8" t="str">
        <f t="shared" si="3"/>
        <v>44</v>
      </c>
      <c r="H412" s="9">
        <f t="shared" si="4"/>
        <v>44</v>
      </c>
      <c r="I412" s="6" t="str">
        <f>IFERROR(__xludf.DUMMYFUNCTION("MAX(FILTER($H$2:$H466,$E$2:$E466=F412))"),"#N/A")</f>
        <v>#N/A</v>
      </c>
    </row>
    <row r="413">
      <c r="A413" s="4"/>
      <c r="C413" s="4" t="s">
        <v>2974</v>
      </c>
      <c r="D413" s="4" t="str">
        <f t="shared" si="1"/>
        <v>{"valorA":"produto","valorB":31}</v>
      </c>
      <c r="E413" s="8" t="str">
        <f t="shared" si="2"/>
        <v>produto</v>
      </c>
      <c r="F413" s="8"/>
      <c r="G413" s="8" t="str">
        <f t="shared" si="3"/>
        <v>31</v>
      </c>
      <c r="H413" s="9">
        <f t="shared" si="4"/>
        <v>31</v>
      </c>
      <c r="I413" s="6" t="str">
        <f>IFERROR(__xludf.DUMMYFUNCTION("MAX(FILTER($H$2:$H466,$E$2:$E466=F413))"),"#N/A")</f>
        <v>#N/A</v>
      </c>
    </row>
    <row r="414">
      <c r="A414" s="4"/>
      <c r="C414" s="4" t="s">
        <v>3233</v>
      </c>
      <c r="D414" s="4" t="str">
        <f t="shared" si="1"/>
        <v>{"valorA":"produto","valorB":32}</v>
      </c>
      <c r="E414" s="8" t="str">
        <f t="shared" si="2"/>
        <v>produto</v>
      </c>
      <c r="F414" s="8"/>
      <c r="G414" s="8" t="str">
        <f t="shared" si="3"/>
        <v>32</v>
      </c>
      <c r="H414" s="9">
        <f t="shared" si="4"/>
        <v>32</v>
      </c>
      <c r="I414" s="6" t="str">
        <f>IFERROR(__xludf.DUMMYFUNCTION("MAX(FILTER($H$2:$H466,$E$2:$E466=F414))"),"#N/A")</f>
        <v>#N/A</v>
      </c>
    </row>
    <row r="415">
      <c r="A415" s="4"/>
      <c r="C415" s="4" t="s">
        <v>2943</v>
      </c>
      <c r="D415" s="4" t="str">
        <f t="shared" si="1"/>
        <v>{"valorA":"é","valorB":9}</v>
      </c>
      <c r="E415" s="8" t="str">
        <f t="shared" si="2"/>
        <v>é</v>
      </c>
      <c r="F415" s="8"/>
      <c r="G415" s="8" t="str">
        <f t="shared" si="3"/>
        <v>9</v>
      </c>
      <c r="H415" s="9">
        <f t="shared" si="4"/>
        <v>9</v>
      </c>
      <c r="I415" s="6" t="str">
        <f>IFERROR(__xludf.DUMMYFUNCTION("MAX(FILTER($H$2:$H466,$E$2:$E466=F415))"),"#N/A")</f>
        <v>#N/A</v>
      </c>
    </row>
    <row r="416">
      <c r="A416" s="4"/>
      <c r="C416" s="4" t="s">
        <v>3215</v>
      </c>
      <c r="D416" s="4" t="str">
        <f t="shared" si="1"/>
        <v>{"valorA":"muito","valorB":16}</v>
      </c>
      <c r="E416" s="8" t="str">
        <f t="shared" si="2"/>
        <v>muito</v>
      </c>
      <c r="F416" s="8"/>
      <c r="G416" s="8" t="str">
        <f t="shared" si="3"/>
        <v>16</v>
      </c>
      <c r="H416" s="9">
        <f t="shared" si="4"/>
        <v>16</v>
      </c>
      <c r="I416" s="6" t="str">
        <f>IFERROR(__xludf.DUMMYFUNCTION("MAX(FILTER($H$2:$H466,$E$2:$E466=F416))"),"#N/A")</f>
        <v>#N/A</v>
      </c>
    </row>
    <row r="417">
      <c r="A417" s="4"/>
      <c r="C417" s="4" t="s">
        <v>3134</v>
      </c>
      <c r="D417" s="4" t="str">
        <f t="shared" si="1"/>
        <v>{"valorA":"caro","valorB":1}</v>
      </c>
      <c r="E417" s="8" t="str">
        <f t="shared" si="2"/>
        <v>caro</v>
      </c>
      <c r="F417" s="8"/>
      <c r="G417" s="8" t="str">
        <f t="shared" si="3"/>
        <v>1</v>
      </c>
      <c r="H417" s="9">
        <f t="shared" si="4"/>
        <v>1</v>
      </c>
      <c r="I417" s="6" t="str">
        <f>IFERROR(__xludf.DUMMYFUNCTION("MAX(FILTER($H$2:$H466,$E$2:$E466=F417))"),"#N/A")</f>
        <v>#N/A</v>
      </c>
    </row>
    <row r="418">
      <c r="A418" s="4"/>
      <c r="C418" s="4" t="s">
        <v>2961</v>
      </c>
      <c r="D418" s="4" t="str">
        <f t="shared" si="1"/>
        <v>{"valorA":"ótimo","valorB":45}</v>
      </c>
      <c r="E418" s="8" t="str">
        <f t="shared" si="2"/>
        <v>ótimo</v>
      </c>
      <c r="F418" s="8"/>
      <c r="G418" s="8" t="str">
        <f t="shared" si="3"/>
        <v>45</v>
      </c>
      <c r="H418" s="9">
        <f t="shared" si="4"/>
        <v>45</v>
      </c>
      <c r="I418" s="6" t="str">
        <f>IFERROR(__xludf.DUMMYFUNCTION("MAX(FILTER($H$2:$H466,$E$2:$E466=F418))"),"#N/A")</f>
        <v>#N/A</v>
      </c>
    </row>
    <row r="419">
      <c r="A419" s="4"/>
      <c r="C419" s="4" t="s">
        <v>3223</v>
      </c>
      <c r="D419" s="4" t="str">
        <f t="shared" si="1"/>
        <v>{"valorA":"mas","valorB":5}</v>
      </c>
      <c r="E419" s="8" t="str">
        <f t="shared" si="2"/>
        <v>mas</v>
      </c>
      <c r="F419" s="8"/>
      <c r="G419" s="8" t="str">
        <f t="shared" si="3"/>
        <v>5</v>
      </c>
      <c r="H419" s="9">
        <f t="shared" si="4"/>
        <v>5</v>
      </c>
      <c r="I419" s="6" t="str">
        <f>IFERROR(__xludf.DUMMYFUNCTION("MAX(FILTER($H$2:$H466,$E$2:$E466=F419))"),"#N/A")</f>
        <v>#N/A</v>
      </c>
    </row>
    <row r="420">
      <c r="A420" s="4"/>
      <c r="C420" s="4" t="s">
        <v>3065</v>
      </c>
      <c r="D420" s="4" t="str">
        <f t="shared" si="1"/>
        <v>{"valorA":"tablet","valorB":2}</v>
      </c>
      <c r="E420" s="8" t="str">
        <f t="shared" si="2"/>
        <v>tablet</v>
      </c>
      <c r="F420" s="8"/>
      <c r="G420" s="8" t="str">
        <f t="shared" si="3"/>
        <v>2</v>
      </c>
      <c r="H420" s="9">
        <f t="shared" si="4"/>
        <v>2</v>
      </c>
      <c r="I420" s="6" t="str">
        <f>IFERROR(__xludf.DUMMYFUNCTION("MAX(FILTER($H$2:$H466,$E$2:$E466=F420))"),"#N/A")</f>
        <v>#N/A</v>
      </c>
    </row>
    <row r="421">
      <c r="A421" s="4"/>
      <c r="C421" s="4" t="s">
        <v>2971</v>
      </c>
      <c r="D421" s="4" t="str">
        <f t="shared" si="1"/>
        <v>{"valorA":"ótimo","valorB":46}</v>
      </c>
      <c r="E421" s="8" t="str">
        <f t="shared" si="2"/>
        <v>ótimo</v>
      </c>
      <c r="F421" s="8"/>
      <c r="G421" s="8" t="str">
        <f t="shared" si="3"/>
        <v>46</v>
      </c>
      <c r="H421" s="9">
        <f t="shared" si="4"/>
        <v>46</v>
      </c>
      <c r="I421" s="6" t="str">
        <f>IFERROR(__xludf.DUMMYFUNCTION("MAX(FILTER($H$2:$H466,$E$2:$E466=F421))"),"#N/A")</f>
        <v>#N/A</v>
      </c>
    </row>
    <row r="422">
      <c r="A422" s="4"/>
      <c r="C422" s="4" t="s">
        <v>3224</v>
      </c>
      <c r="D422" s="4" t="str">
        <f t="shared" si="1"/>
        <v>{"valorA":"muito","valorB":17}</v>
      </c>
      <c r="E422" s="8" t="str">
        <f t="shared" si="2"/>
        <v>muito</v>
      </c>
      <c r="F422" s="8"/>
      <c r="G422" s="8" t="str">
        <f t="shared" si="3"/>
        <v>17</v>
      </c>
      <c r="H422" s="9">
        <f t="shared" si="4"/>
        <v>17</v>
      </c>
      <c r="I422" s="6" t="str">
        <f>IFERROR(__xludf.DUMMYFUNCTION("MAX(FILTER($H$2:$H466,$E$2:$E466=F422))"),"#N/A")</f>
        <v>#N/A</v>
      </c>
    </row>
    <row r="423">
      <c r="A423" s="4"/>
      <c r="C423" s="4" t="s">
        <v>3762</v>
      </c>
      <c r="D423" s="4" t="str">
        <f t="shared" si="1"/>
        <v>{"valorA":"gostei","valorB":9}</v>
      </c>
      <c r="E423" s="8" t="str">
        <f t="shared" si="2"/>
        <v>gostei</v>
      </c>
      <c r="F423" s="8"/>
      <c r="G423" s="8" t="str">
        <f t="shared" si="3"/>
        <v>9</v>
      </c>
      <c r="H423" s="9">
        <f t="shared" si="4"/>
        <v>9</v>
      </c>
      <c r="I423" s="6" t="str">
        <f>IFERROR(__xludf.DUMMYFUNCTION("MAX(FILTER($H$2:$H466,$E$2:$E466=F423))"),"#N/A")</f>
        <v>#N/A</v>
      </c>
    </row>
    <row r="424">
      <c r="A424" s="4"/>
      <c r="C424" s="4" t="s">
        <v>3763</v>
      </c>
      <c r="D424" s="4" t="str">
        <f t="shared" si="1"/>
        <v>{"valorA":"do","valorB":8}</v>
      </c>
      <c r="E424" s="8" t="str">
        <f t="shared" si="2"/>
        <v>do</v>
      </c>
      <c r="F424" s="8"/>
      <c r="G424" s="8" t="str">
        <f t="shared" si="3"/>
        <v>8</v>
      </c>
      <c r="H424" s="9">
        <f t="shared" si="4"/>
        <v>8</v>
      </c>
      <c r="I424" s="6" t="str">
        <f>IFERROR(__xludf.DUMMYFUNCTION("MAX(FILTER($H$2:$H466,$E$2:$E466=F424))"),"#N/A")</f>
        <v>#N/A</v>
      </c>
    </row>
    <row r="425">
      <c r="A425" s="4"/>
      <c r="C425" s="4" t="s">
        <v>3130</v>
      </c>
      <c r="D425" s="4" t="str">
        <f t="shared" si="1"/>
        <v>{"valorA":"e","valorB":13}</v>
      </c>
      <c r="E425" s="8" t="str">
        <f t="shared" si="2"/>
        <v>e</v>
      </c>
      <c r="F425" s="8"/>
      <c r="G425" s="8" t="str">
        <f t="shared" si="3"/>
        <v>13</v>
      </c>
      <c r="H425" s="9">
        <f t="shared" si="4"/>
        <v>13</v>
      </c>
      <c r="I425" s="6" t="str">
        <f>IFERROR(__xludf.DUMMYFUNCTION("MAX(FILTER($H$2:$H466,$E$2:$E466=F425))"),"#N/A")</f>
        <v>#N/A</v>
      </c>
    </row>
    <row r="426">
      <c r="A426" s="4"/>
      <c r="C426" s="4" t="s">
        <v>3764</v>
      </c>
      <c r="D426" s="4" t="str">
        <f t="shared" si="1"/>
        <v>{"valorA":"funcionalidades","valorB":2}</v>
      </c>
      <c r="E426" s="8" t="str">
        <f t="shared" si="2"/>
        <v>funcionalidades</v>
      </c>
      <c r="F426" s="8"/>
      <c r="G426" s="8" t="str">
        <f t="shared" si="3"/>
        <v>2</v>
      </c>
      <c r="H426" s="9">
        <f t="shared" si="4"/>
        <v>2</v>
      </c>
      <c r="I426" s="6" t="str">
        <f>IFERROR(__xludf.DUMMYFUNCTION("MAX(FILTER($H$2:$H466,$E$2:$E466=F426))"),"#N/A")</f>
        <v>#N/A</v>
      </c>
    </row>
    <row r="427">
      <c r="A427" s="4"/>
      <c r="C427" s="4" t="s">
        <v>3765</v>
      </c>
      <c r="D427" s="4" t="str">
        <f t="shared" si="1"/>
        <v>{"valorA":"preço","valorB":17}</v>
      </c>
      <c r="E427" s="8" t="str">
        <f t="shared" si="2"/>
        <v>preço</v>
      </c>
      <c r="F427" s="8"/>
      <c r="G427" s="8" t="str">
        <f t="shared" si="3"/>
        <v>17</v>
      </c>
      <c r="H427" s="9">
        <f t="shared" si="4"/>
        <v>17</v>
      </c>
      <c r="I427" s="6" t="str">
        <f>IFERROR(__xludf.DUMMYFUNCTION("MAX(FILTER($H$2:$H466,$E$2:$E466=F427))"),"#N/A")</f>
        <v>#N/A</v>
      </c>
    </row>
    <row r="428">
      <c r="A428" s="4"/>
      <c r="C428" s="4" t="s">
        <v>3766</v>
      </c>
      <c r="D428" s="4" t="str">
        <f t="shared" si="1"/>
        <v>{"valorA":"das","valorB":1}</v>
      </c>
      <c r="E428" s="8" t="str">
        <f t="shared" si="2"/>
        <v>das</v>
      </c>
      <c r="F428" s="8"/>
      <c r="G428" s="8" t="str">
        <f t="shared" si="3"/>
        <v>1</v>
      </c>
      <c r="H428" s="9">
        <f t="shared" si="4"/>
        <v>1</v>
      </c>
      <c r="I428" s="6" t="str">
        <f>IFERROR(__xludf.DUMMYFUNCTION("MAX(FILTER($H$2:$H466,$E$2:$E466=F428))"),"#N/A")</f>
        <v>#N/A</v>
      </c>
    </row>
    <row r="429">
      <c r="A429" s="4"/>
      <c r="C429" s="4" t="s">
        <v>3064</v>
      </c>
      <c r="D429" s="4" t="str">
        <f t="shared" si="1"/>
        <v>{"valorA":"recomendo","valorB":5}</v>
      </c>
      <c r="E429" s="8" t="str">
        <f t="shared" si="2"/>
        <v>recomendo</v>
      </c>
      <c r="F429" s="8"/>
      <c r="G429" s="8" t="str">
        <f t="shared" si="3"/>
        <v>5</v>
      </c>
      <c r="H429" s="9">
        <f t="shared" si="4"/>
        <v>5</v>
      </c>
      <c r="I429" s="6" t="str">
        <f>IFERROR(__xludf.DUMMYFUNCTION("MAX(FILTER($H$2:$H466,$E$2:$E466=F429))"),"#N/A")</f>
        <v>#N/A</v>
      </c>
    </row>
    <row r="430">
      <c r="A430" s="4"/>
      <c r="C430" s="4" t="s">
        <v>3493</v>
      </c>
      <c r="D430" s="4" t="str">
        <f t="shared" si="1"/>
        <v>{"valorA":"sem","valorB":1}</v>
      </c>
      <c r="E430" s="8" t="str">
        <f t="shared" si="2"/>
        <v>sem</v>
      </c>
      <c r="F430" s="8"/>
      <c r="G430" s="8" t="str">
        <f t="shared" si="3"/>
        <v>1</v>
      </c>
      <c r="H430" s="9">
        <f t="shared" si="4"/>
        <v>1</v>
      </c>
      <c r="I430" s="6" t="str">
        <f>IFERROR(__xludf.DUMMYFUNCTION("MAX(FILTER($H$2:$H466,$E$2:$E466=F430))"),"#N/A")</f>
        <v>#N/A</v>
      </c>
    </row>
    <row r="431">
      <c r="A431" s="4"/>
      <c r="C431" s="4" t="s">
        <v>3767</v>
      </c>
      <c r="D431" s="4" t="str">
        <f t="shared" si="1"/>
        <v>{"valorA":"produto","valorB":33}</v>
      </c>
      <c r="E431" s="8" t="str">
        <f t="shared" si="2"/>
        <v>produto</v>
      </c>
      <c r="F431" s="8"/>
      <c r="G431" s="8" t="str">
        <f t="shared" si="3"/>
        <v>33</v>
      </c>
      <c r="H431" s="9">
        <f t="shared" si="4"/>
        <v>33</v>
      </c>
      <c r="I431" s="6" t="str">
        <f>IFERROR(__xludf.DUMMYFUNCTION("MAX(FILTER($H$2:$H466,$E$2:$E466=F431))"),"#N/A")</f>
        <v>#N/A</v>
      </c>
    </row>
    <row r="432">
      <c r="A432" s="4"/>
      <c r="C432" s="4" t="s">
        <v>2977</v>
      </c>
      <c r="D432" s="4" t="str">
        <f t="shared" si="1"/>
        <v>{"valorA":"ótimo","valorB":47}</v>
      </c>
      <c r="E432" s="8" t="str">
        <f t="shared" si="2"/>
        <v>ótimo</v>
      </c>
      <c r="F432" s="8"/>
      <c r="G432" s="8" t="str">
        <f t="shared" si="3"/>
        <v>47</v>
      </c>
      <c r="H432" s="9">
        <f t="shared" si="4"/>
        <v>47</v>
      </c>
      <c r="I432" s="6" t="str">
        <f>IFERROR(__xludf.DUMMYFUNCTION("MAX(FILTER($H$2:$H466,$E$2:$E466=F432))"),"#N/A")</f>
        <v>#N/A</v>
      </c>
    </row>
    <row r="433">
      <c r="A433" s="4"/>
      <c r="C433" s="4" t="s">
        <v>3320</v>
      </c>
      <c r="D433" s="4" t="str">
        <f t="shared" si="1"/>
        <v>{"valorA":"defeitos","valorB":1}</v>
      </c>
      <c r="E433" s="8" t="str">
        <f t="shared" si="2"/>
        <v>defeitos</v>
      </c>
      <c r="F433" s="8"/>
      <c r="G433" s="8" t="str">
        <f t="shared" si="3"/>
        <v>1</v>
      </c>
      <c r="H433" s="9">
        <f t="shared" si="4"/>
        <v>1</v>
      </c>
      <c r="I433" s="6" t="str">
        <f>IFERROR(__xludf.DUMMYFUNCTION("MAX(FILTER($H$2:$H466,$E$2:$E466=F433))"),"#N/A")</f>
        <v>#N/A</v>
      </c>
    </row>
    <row r="434">
      <c r="A434" s="4"/>
      <c r="C434" s="4" t="s">
        <v>3218</v>
      </c>
      <c r="D434" s="4" t="str">
        <f t="shared" si="1"/>
        <v>{"valorA":"todos","valorB":2}</v>
      </c>
      <c r="E434" s="8" t="str">
        <f t="shared" si="2"/>
        <v>todos</v>
      </c>
      <c r="F434" s="8"/>
      <c r="G434" s="8" t="str">
        <f t="shared" si="3"/>
        <v>2</v>
      </c>
      <c r="H434" s="9">
        <f t="shared" si="4"/>
        <v>2</v>
      </c>
      <c r="I434" s="6" t="str">
        <f>IFERROR(__xludf.DUMMYFUNCTION("MAX(FILTER($H$2:$H466,$E$2:$E466=F434))"),"#N/A")</f>
        <v>#N/A</v>
      </c>
    </row>
    <row r="435">
      <c r="A435" s="4"/>
      <c r="C435" s="4" t="s">
        <v>3768</v>
      </c>
      <c r="D435" s="4" t="str">
        <f t="shared" si="1"/>
        <v>{"valorA":"a","valorB":10}</v>
      </c>
      <c r="E435" s="8" t="str">
        <f t="shared" si="2"/>
        <v>a</v>
      </c>
      <c r="F435" s="8"/>
      <c r="G435" s="8" t="str">
        <f t="shared" si="3"/>
        <v>10</v>
      </c>
      <c r="H435" s="9">
        <f t="shared" si="4"/>
        <v>10</v>
      </c>
      <c r="I435" s="6" t="str">
        <f>IFERROR(__xludf.DUMMYFUNCTION("MAX(FILTER($H$2:$H466,$E$2:$E466=F435))"),"#N/A")</f>
        <v>#N/A</v>
      </c>
    </row>
    <row r="436">
      <c r="A436" s="4"/>
      <c r="C436" s="4" t="s">
        <v>3769</v>
      </c>
      <c r="D436" s="4" t="str">
        <f t="shared" si="1"/>
        <v>{"valorA":"produto","valorB":34}</v>
      </c>
      <c r="E436" s="8" t="str">
        <f t="shared" si="2"/>
        <v>produto</v>
      </c>
      <c r="F436" s="8"/>
      <c r="G436" s="8" t="str">
        <f t="shared" si="3"/>
        <v>34</v>
      </c>
      <c r="H436" s="9">
        <f t="shared" si="4"/>
        <v>34</v>
      </c>
      <c r="I436" s="6" t="str">
        <f>IFERROR(__xludf.DUMMYFUNCTION("MAX(FILTER($H$2:$H466,$E$2:$E466=F436))"),"#N/A")</f>
        <v>#N/A</v>
      </c>
    </row>
    <row r="437">
      <c r="A437" s="4"/>
      <c r="C437" s="4" t="s">
        <v>3770</v>
      </c>
      <c r="D437" s="4" t="str">
        <f t="shared" si="1"/>
        <v>{"valorA":"preço","valorB":18}</v>
      </c>
      <c r="E437" s="8" t="str">
        <f t="shared" si="2"/>
        <v>preço</v>
      </c>
      <c r="F437" s="8"/>
      <c r="G437" s="8" t="str">
        <f t="shared" si="3"/>
        <v>18</v>
      </c>
      <c r="H437" s="9">
        <f t="shared" si="4"/>
        <v>18</v>
      </c>
      <c r="I437" s="6" t="str">
        <f>IFERROR(__xludf.DUMMYFUNCTION("MAX(FILTER($H$2:$H466,$E$2:$E466=F437))"),"#N/A")</f>
        <v>#N/A</v>
      </c>
    </row>
    <row r="438">
      <c r="A438" s="4"/>
      <c r="C438" s="4" t="s">
        <v>2986</v>
      </c>
      <c r="D438" s="4" t="str">
        <f t="shared" si="1"/>
        <v>{"valorA":"ótimo","valorB":48}</v>
      </c>
      <c r="E438" s="8" t="str">
        <f t="shared" si="2"/>
        <v>ótimo</v>
      </c>
      <c r="F438" s="8"/>
      <c r="G438" s="8" t="str">
        <f t="shared" si="3"/>
        <v>48</v>
      </c>
      <c r="H438" s="9">
        <f t="shared" si="4"/>
        <v>48</v>
      </c>
      <c r="I438" s="6" t="str">
        <f>IFERROR(__xludf.DUMMYFUNCTION("MAX(FILTER($H$2:$H466,$E$2:$E466=F438))"),"#N/A")</f>
        <v>#N/A</v>
      </c>
    </row>
    <row r="439">
      <c r="A439" s="4"/>
      <c r="C439" s="4" t="s">
        <v>3229</v>
      </c>
      <c r="D439" s="4" t="str">
        <f t="shared" si="1"/>
        <v>{"valorA":"valeu","valorB":6}</v>
      </c>
      <c r="E439" s="8" t="str">
        <f t="shared" si="2"/>
        <v>valeu</v>
      </c>
      <c r="F439" s="8"/>
      <c r="G439" s="8" t="str">
        <f t="shared" si="3"/>
        <v>6</v>
      </c>
      <c r="H439" s="9">
        <f t="shared" si="4"/>
        <v>6</v>
      </c>
      <c r="I439" s="6" t="str">
        <f>IFERROR(__xludf.DUMMYFUNCTION("MAX(FILTER($H$2:$H466,$E$2:$E466=F439))"),"#N/A")</f>
        <v>#N/A</v>
      </c>
    </row>
    <row r="440">
      <c r="A440" s="4"/>
      <c r="C440" s="4" t="s">
        <v>3771</v>
      </c>
      <c r="D440" s="4" t="str">
        <f t="shared" si="1"/>
        <v>{"valorA":"descri","valorB":1}</v>
      </c>
      <c r="E440" s="8" t="str">
        <f t="shared" si="2"/>
        <v>descri</v>
      </c>
      <c r="F440" s="8"/>
      <c r="G440" s="8" t="str">
        <f t="shared" si="3"/>
        <v>1</v>
      </c>
      <c r="H440" s="9">
        <f t="shared" si="4"/>
        <v>1</v>
      </c>
      <c r="I440" s="6" t="str">
        <f>IFERROR(__xludf.DUMMYFUNCTION("MAX(FILTER($H$2:$H466,$E$2:$E466=F440))"),"#N/A")</f>
        <v>#N/A</v>
      </c>
    </row>
    <row r="441">
      <c r="A441" s="4"/>
      <c r="C441" s="4" t="s">
        <v>3140</v>
      </c>
      <c r="D441" s="4" t="str">
        <f t="shared" si="1"/>
        <v>{"valorA":"e","valorB":14}</v>
      </c>
      <c r="E441" s="8" t="str">
        <f t="shared" si="2"/>
        <v>e</v>
      </c>
      <c r="F441" s="8"/>
      <c r="G441" s="8" t="str">
        <f t="shared" si="3"/>
        <v>14</v>
      </c>
      <c r="H441" s="9">
        <f t="shared" si="4"/>
        <v>14</v>
      </c>
      <c r="I441" s="6" t="str">
        <f>IFERROR(__xludf.DUMMYFUNCTION("MAX(FILTER($H$2:$H466,$E$2:$E466=F441))"),"#N/A")</f>
        <v>#N/A</v>
      </c>
    </row>
    <row r="442">
      <c r="A442" s="4"/>
      <c r="C442" s="4" t="s">
        <v>3452</v>
      </c>
      <c r="D442" s="4" t="str">
        <f t="shared" si="1"/>
        <v>{"valorA":"o","valorB":12}</v>
      </c>
      <c r="E442" s="8" t="str">
        <f t="shared" si="2"/>
        <v>o</v>
      </c>
      <c r="F442" s="8"/>
      <c r="G442" s="8" t="str">
        <f t="shared" si="3"/>
        <v>12</v>
      </c>
      <c r="H442" s="9">
        <f t="shared" si="4"/>
        <v>12</v>
      </c>
      <c r="I442" s="6" t="str">
        <f>IFERROR(__xludf.DUMMYFUNCTION("MAX(FILTER($H$2:$H466,$E$2:$E466=F442))"),"#N/A")</f>
        <v>#N/A</v>
      </c>
    </row>
    <row r="443">
      <c r="A443" s="4"/>
      <c r="C443" s="4" t="s">
        <v>3772</v>
      </c>
      <c r="D443" s="4" t="str">
        <f t="shared" si="1"/>
        <v>{"valorA":"que","valorB":9}</v>
      </c>
      <c r="E443" s="8" t="str">
        <f t="shared" si="2"/>
        <v>que</v>
      </c>
      <c r="F443" s="8"/>
      <c r="G443" s="8" t="str">
        <f t="shared" si="3"/>
        <v>9</v>
      </c>
      <c r="H443" s="9">
        <f t="shared" si="4"/>
        <v>9</v>
      </c>
      <c r="I443" s="6" t="str">
        <f>IFERROR(__xludf.DUMMYFUNCTION("MAX(FILTER($H$2:$H466,$E$2:$E466=F443))"),"#N/A")</f>
        <v>#N/A</v>
      </c>
    </row>
    <row r="444">
      <c r="A444" s="4"/>
      <c r="C444" s="4" t="s">
        <v>3040</v>
      </c>
      <c r="D444" s="4" t="str">
        <f t="shared" si="1"/>
        <v>{"valorA":"use","valorB":1}</v>
      </c>
      <c r="E444" s="8" t="str">
        <f t="shared" si="2"/>
        <v>use</v>
      </c>
      <c r="F444" s="8"/>
      <c r="G444" s="8" t="str">
        <f t="shared" si="3"/>
        <v>1</v>
      </c>
      <c r="H444" s="9">
        <f t="shared" si="4"/>
        <v>1</v>
      </c>
      <c r="I444" s="6" t="str">
        <f>IFERROR(__xludf.DUMMYFUNCTION("MAX(FILTER($H$2:$H466,$E$2:$E466=F444))"),"#N/A")</f>
        <v>#N/A</v>
      </c>
    </row>
    <row r="445">
      <c r="A445" s="4"/>
      <c r="C445" s="4" t="s">
        <v>3773</v>
      </c>
      <c r="D445" s="4" t="str">
        <f t="shared" si="1"/>
        <v>{"valorA":"notes","valorB":1}</v>
      </c>
      <c r="E445" s="8" t="str">
        <f t="shared" si="2"/>
        <v>notes</v>
      </c>
      <c r="F445" s="8"/>
      <c r="G445" s="8" t="str">
        <f t="shared" si="3"/>
        <v>1</v>
      </c>
      <c r="H445" s="9">
        <f t="shared" si="4"/>
        <v>1</v>
      </c>
      <c r="I445" s="6" t="str">
        <f>IFERROR(__xludf.DUMMYFUNCTION("MAX(FILTER($H$2:$H466,$E$2:$E466=F445))"),"#N/A")</f>
        <v>#N/A</v>
      </c>
    </row>
    <row r="446">
      <c r="A446" s="4"/>
      <c r="C446" s="4" t="s">
        <v>3150</v>
      </c>
      <c r="D446" s="4" t="str">
        <f t="shared" si="1"/>
        <v>{"valorA":"paguei","valorB":4}</v>
      </c>
      <c r="E446" s="8" t="str">
        <f t="shared" si="2"/>
        <v>paguei</v>
      </c>
      <c r="F446" s="8"/>
      <c r="G446" s="8" t="str">
        <f t="shared" si="3"/>
        <v>4</v>
      </c>
      <c r="H446" s="9">
        <f t="shared" si="4"/>
        <v>4</v>
      </c>
      <c r="I446" s="6" t="str">
        <f>IFERROR(__xludf.DUMMYFUNCTION("MAX(FILTER($H$2:$H466,$E$2:$E466=F446))"),"#N/A")</f>
        <v>#N/A</v>
      </c>
    </row>
    <row r="447">
      <c r="A447" s="4"/>
      <c r="C447" s="4" t="s">
        <v>3774</v>
      </c>
      <c r="D447" s="4" t="str">
        <f t="shared" si="1"/>
        <v>{"valorA":"a","valorB":11}</v>
      </c>
      <c r="E447" s="8" t="str">
        <f t="shared" si="2"/>
        <v>a</v>
      </c>
      <c r="F447" s="8"/>
      <c r="G447" s="8" t="str">
        <f t="shared" si="3"/>
        <v>11</v>
      </c>
      <c r="H447" s="9">
        <f t="shared" si="4"/>
        <v>11</v>
      </c>
      <c r="I447" s="6" t="str">
        <f>IFERROR(__xludf.DUMMYFUNCTION("MAX(FILTER($H$2:$H466,$E$2:$E466=F447))"),"#N/A")</f>
        <v>#N/A</v>
      </c>
    </row>
    <row r="448">
      <c r="A448" s="4"/>
      <c r="C448" s="4" t="s">
        <v>3775</v>
      </c>
      <c r="D448" s="4" t="str">
        <f t="shared" si="1"/>
        <v>{"valorA":"a","valorB":12}</v>
      </c>
      <c r="E448" s="8" t="str">
        <f t="shared" si="2"/>
        <v>a</v>
      </c>
      <c r="F448" s="8"/>
      <c r="G448" s="8" t="str">
        <f t="shared" si="3"/>
        <v>12</v>
      </c>
      <c r="H448" s="9">
        <f t="shared" si="4"/>
        <v>12</v>
      </c>
      <c r="I448" s="6" t="str">
        <f>IFERROR(__xludf.DUMMYFUNCTION("MAX(FILTER($H$2:$H466,$E$2:$E466=F448))"),"#N/A")</f>
        <v>#N/A</v>
      </c>
    </row>
    <row r="449">
      <c r="A449" s="4"/>
      <c r="C449" s="4" t="s">
        <v>3776</v>
      </c>
      <c r="D449" s="4" t="str">
        <f t="shared" si="1"/>
        <v>{"valorA":"espera","valorB":5}</v>
      </c>
      <c r="E449" s="8" t="str">
        <f t="shared" si="2"/>
        <v>espera</v>
      </c>
      <c r="F449" s="8"/>
      <c r="G449" s="8" t="str">
        <f t="shared" si="3"/>
        <v>5</v>
      </c>
      <c r="H449" s="9">
        <f t="shared" si="4"/>
        <v>5</v>
      </c>
      <c r="I449" s="6" t="str">
        <f>IFERROR(__xludf.DUMMYFUNCTION("MAX(FILTER($H$2:$H466,$E$2:$E466=F449))"),"#N/A")</f>
        <v>#N/A</v>
      </c>
    </row>
    <row r="450">
      <c r="A450" s="4"/>
      <c r="C450" s="4" t="s">
        <v>3777</v>
      </c>
      <c r="D450" s="4" t="str">
        <f t="shared" si="1"/>
        <v>{"valorA":"que","valorB":10}</v>
      </c>
      <c r="E450" s="8" t="str">
        <f t="shared" si="2"/>
        <v>que</v>
      </c>
      <c r="F450" s="8"/>
      <c r="G450" s="8" t="str">
        <f t="shared" si="3"/>
        <v>10</v>
      </c>
      <c r="H450" s="9">
        <f t="shared" si="4"/>
        <v>10</v>
      </c>
      <c r="I450" s="6" t="str">
        <f>IFERROR(__xludf.DUMMYFUNCTION("MAX(FILTER($H$2:$H466,$E$2:$E466=F450))"),"#N/A")</f>
        <v>#N/A</v>
      </c>
    </row>
    <row r="451">
      <c r="A451" s="4"/>
      <c r="C451" s="4" t="s">
        <v>3778</v>
      </c>
      <c r="D451" s="4" t="str">
        <f t="shared" si="1"/>
        <v>{"valorA":"para","valorB":18}</v>
      </c>
      <c r="E451" s="8" t="str">
        <f t="shared" si="2"/>
        <v>para</v>
      </c>
      <c r="F451" s="8"/>
      <c r="G451" s="8" t="str">
        <f t="shared" si="3"/>
        <v>18</v>
      </c>
      <c r="H451" s="9">
        <f t="shared" si="4"/>
        <v>18</v>
      </c>
      <c r="I451" s="6" t="str">
        <f>IFERROR(__xludf.DUMMYFUNCTION("MAX(FILTER($H$2:$H466,$E$2:$E466=F451))"),"#N/A")</f>
        <v>#N/A</v>
      </c>
    </row>
    <row r="452">
      <c r="A452" s="4"/>
      <c r="C452" s="4" t="s">
        <v>3091</v>
      </c>
      <c r="D452" s="4" t="str">
        <f t="shared" si="1"/>
        <v>{"valorA":"recomendo","valorB":6}</v>
      </c>
      <c r="E452" s="8" t="str">
        <f t="shared" si="2"/>
        <v>recomendo</v>
      </c>
      <c r="F452" s="8"/>
      <c r="G452" s="8" t="str">
        <f t="shared" si="3"/>
        <v>6</v>
      </c>
      <c r="H452" s="9">
        <f t="shared" si="4"/>
        <v>6</v>
      </c>
      <c r="I452" s="6" t="str">
        <f>IFERROR(__xludf.DUMMYFUNCTION("MAX(FILTER($H$2:$H466,$E$2:$E466=F452))"),"#N/A")</f>
        <v>#N/A</v>
      </c>
    </row>
    <row r="453">
      <c r="A453" s="4"/>
      <c r="C453" s="4" t="s">
        <v>3314</v>
      </c>
      <c r="D453" s="4" t="str">
        <f t="shared" si="1"/>
        <v>{"valorA":"ótima","valorB":2}</v>
      </c>
      <c r="E453" s="8" t="str">
        <f t="shared" si="2"/>
        <v>ótima</v>
      </c>
      <c r="F453" s="8"/>
      <c r="G453" s="8" t="str">
        <f t="shared" si="3"/>
        <v>2</v>
      </c>
      <c r="H453" s="9">
        <f t="shared" si="4"/>
        <v>2</v>
      </c>
      <c r="I453" s="6" t="str">
        <f>IFERROR(__xludf.DUMMYFUNCTION("MAX(FILTER($H$2:$H466,$E$2:$E466=F453))"),"#N/A")</f>
        <v>#N/A</v>
      </c>
    </row>
    <row r="454">
      <c r="A454" s="4"/>
      <c r="C454" s="4" t="s">
        <v>3779</v>
      </c>
      <c r="D454" s="4" t="str">
        <f t="shared" si="1"/>
        <v>{"valorA":"preço","valorB":19}</v>
      </c>
      <c r="E454" s="8" t="str">
        <f t="shared" si="2"/>
        <v>preço</v>
      </c>
      <c r="F454" s="8"/>
      <c r="G454" s="8" t="str">
        <f t="shared" si="3"/>
        <v>19</v>
      </c>
      <c r="H454" s="9">
        <f t="shared" si="4"/>
        <v>19</v>
      </c>
      <c r="I454" s="6" t="str">
        <f>IFERROR(__xludf.DUMMYFUNCTION("MAX(FILTER($H$2:$H466,$E$2:$E466=F454))"),"#N/A")</f>
        <v>#N/A</v>
      </c>
    </row>
    <row r="455">
      <c r="A455" s="4"/>
      <c r="C455" s="4" t="s">
        <v>3502</v>
      </c>
      <c r="D455" s="4" t="str">
        <f t="shared" si="1"/>
        <v>{"valorA":"o","valorB":13}</v>
      </c>
      <c r="E455" s="8" t="str">
        <f t="shared" si="2"/>
        <v>o</v>
      </c>
      <c r="F455" s="8"/>
      <c r="G455" s="8" t="str">
        <f t="shared" si="3"/>
        <v>13</v>
      </c>
      <c r="H455" s="9">
        <f t="shared" si="4"/>
        <v>13</v>
      </c>
      <c r="I455" s="6" t="str">
        <f>IFERROR(__xludf.DUMMYFUNCTION("MAX(FILTER($H$2:$H466,$E$2:$E466=F455))"),"#N/A")</f>
        <v>#N/A</v>
      </c>
    </row>
    <row r="456">
      <c r="A456" s="4"/>
      <c r="C456" s="4" t="s">
        <v>3242</v>
      </c>
      <c r="D456" s="4" t="str">
        <f t="shared" si="1"/>
        <v>{"valorA":"qualidade","valorB":6}</v>
      </c>
      <c r="E456" s="8" t="str">
        <f t="shared" si="2"/>
        <v>qualidade</v>
      </c>
      <c r="F456" s="8"/>
      <c r="G456" s="8" t="str">
        <f t="shared" si="3"/>
        <v>6</v>
      </c>
      <c r="H456" s="9">
        <f t="shared" si="4"/>
        <v>6</v>
      </c>
      <c r="I456" s="6" t="str">
        <f>IFERROR(__xludf.DUMMYFUNCTION("MAX(FILTER($H$2:$H466,$E$2:$E466=F456))"),"#N/A")</f>
        <v>#N/A</v>
      </c>
    </row>
    <row r="457">
      <c r="A457" s="4"/>
      <c r="C457" s="4" t="s">
        <v>3780</v>
      </c>
      <c r="D457" s="4" t="str">
        <f t="shared" si="1"/>
        <v>{"valorA":"paguei","valorB":5}</v>
      </c>
      <c r="E457" s="8" t="str">
        <f t="shared" si="2"/>
        <v>paguei</v>
      </c>
      <c r="F457" s="8"/>
      <c r="G457" s="8" t="str">
        <f t="shared" si="3"/>
        <v>5</v>
      </c>
      <c r="H457" s="9">
        <f t="shared" si="4"/>
        <v>5</v>
      </c>
      <c r="I457" s="6" t="str">
        <f>IFERROR(__xludf.DUMMYFUNCTION("MAX(FILTER($H$2:$H466,$E$2:$E466=F457))"),"#N/A")</f>
        <v>#N/A</v>
      </c>
    </row>
    <row r="458">
      <c r="A458" s="4"/>
      <c r="C458" s="4" t="s">
        <v>3781</v>
      </c>
      <c r="D458" s="4" t="str">
        <f t="shared" si="1"/>
        <v>{"valorA":"preço","valorB":20}</v>
      </c>
      <c r="E458" s="8" t="str">
        <f t="shared" si="2"/>
        <v>preço</v>
      </c>
      <c r="F458" s="8"/>
      <c r="G458" s="8" t="str">
        <f t="shared" si="3"/>
        <v>20</v>
      </c>
      <c r="H458" s="9">
        <f t="shared" si="4"/>
        <v>20</v>
      </c>
      <c r="I458" s="6" t="str">
        <f>IFERROR(__xludf.DUMMYFUNCTION("MAX(FILTER($H$2:$H466,$E$2:$E466=F458))"),"#N/A")</f>
        <v>#N/A</v>
      </c>
    </row>
    <row r="459">
      <c r="A459" s="4"/>
      <c r="C459" s="4" t="s">
        <v>3782</v>
      </c>
      <c r="D459" s="4" t="str">
        <f t="shared" si="1"/>
        <v>{"valorA":"para","valorB":19}</v>
      </c>
      <c r="E459" s="8" t="str">
        <f t="shared" si="2"/>
        <v>para</v>
      </c>
      <c r="F459" s="8"/>
      <c r="G459" s="8" t="str">
        <f t="shared" si="3"/>
        <v>19</v>
      </c>
      <c r="H459" s="9">
        <f t="shared" si="4"/>
        <v>19</v>
      </c>
      <c r="I459" s="6" t="str">
        <f>IFERROR(__xludf.DUMMYFUNCTION("MAX(FILTER($H$2:$H466,$E$2:$E466=F459))"),"#N/A")</f>
        <v>#N/A</v>
      </c>
    </row>
    <row r="460">
      <c r="A460" s="4"/>
      <c r="C460" s="4" t="s">
        <v>3244</v>
      </c>
      <c r="D460" s="4" t="str">
        <f t="shared" si="1"/>
        <v>{"valorA":"ótimo","valorB":49}</v>
      </c>
      <c r="E460" s="8" t="str">
        <f t="shared" si="2"/>
        <v>ótimo</v>
      </c>
      <c r="F460" s="8"/>
      <c r="G460" s="8" t="str">
        <f t="shared" si="3"/>
        <v>49</v>
      </c>
      <c r="H460" s="9">
        <f t="shared" si="4"/>
        <v>49</v>
      </c>
      <c r="I460" s="6" t="str">
        <f>IFERROR(__xludf.DUMMYFUNCTION("MAX(FILTER($H$2:$H466,$E$2:$E466=F460))"),"#N/A")</f>
        <v>#N/A</v>
      </c>
    </row>
    <row r="461">
      <c r="A461" s="4"/>
      <c r="C461" s="4" t="s">
        <v>2651</v>
      </c>
      <c r="D461" s="4" t="str">
        <f t="shared" si="1"/>
        <v>{"valorA":"esse","valorB":2}</v>
      </c>
      <c r="E461" s="8" t="str">
        <f t="shared" si="2"/>
        <v>esse</v>
      </c>
      <c r="F461" s="8"/>
      <c r="G461" s="8" t="str">
        <f t="shared" si="3"/>
        <v>2</v>
      </c>
      <c r="H461" s="9">
        <f t="shared" si="4"/>
        <v>2</v>
      </c>
      <c r="I461" s="6" t="str">
        <f>IFERROR(__xludf.DUMMYFUNCTION("MAX(FILTER($H$2:$H466,$E$2:$E466=F461))"),"#N/A")</f>
        <v>#N/A</v>
      </c>
    </row>
    <row r="462">
      <c r="A462" s="4"/>
      <c r="C462" s="4" t="s">
        <v>3128</v>
      </c>
      <c r="D462" s="4" t="str">
        <f t="shared" si="1"/>
        <v>{"valorA":"de","valorB":13}</v>
      </c>
      <c r="E462" s="8" t="str">
        <f t="shared" si="2"/>
        <v>de</v>
      </c>
      <c r="F462" s="8"/>
      <c r="G462" s="8" t="str">
        <f t="shared" si="3"/>
        <v>13</v>
      </c>
      <c r="H462" s="9">
        <f t="shared" si="4"/>
        <v>13</v>
      </c>
      <c r="I462" s="6" t="str">
        <f>IFERROR(__xludf.DUMMYFUNCTION("MAX(FILTER($H$2:$H466,$E$2:$E466=F462))"),"#N/A")</f>
        <v>#N/A</v>
      </c>
    </row>
    <row r="463">
      <c r="A463" s="4"/>
      <c r="C463" s="4" t="s">
        <v>3783</v>
      </c>
      <c r="D463" s="4" t="str">
        <f t="shared" si="1"/>
        <v>{"valorA":"monitor","valorB":2}</v>
      </c>
      <c r="E463" s="8" t="str">
        <f t="shared" si="2"/>
        <v>monitor</v>
      </c>
      <c r="F463" s="8"/>
      <c r="G463" s="8" t="str">
        <f t="shared" si="3"/>
        <v>2</v>
      </c>
      <c r="H463" s="9">
        <f t="shared" si="4"/>
        <v>2</v>
      </c>
      <c r="I463" s="6" t="str">
        <f>IFERROR(__xludf.DUMMYFUNCTION("MAX(FILTER($H$2:$H466,$E$2:$E466=F463))"),"#N/A")</f>
        <v>#N/A</v>
      </c>
    </row>
    <row r="464">
      <c r="A464" s="4"/>
      <c r="C464" s="4" t="s">
        <v>3124</v>
      </c>
      <c r="D464" s="4" t="str">
        <f t="shared" si="1"/>
        <v>{"valorA":"bem","valorB":8}</v>
      </c>
      <c r="E464" s="8" t="str">
        <f t="shared" si="2"/>
        <v>bem</v>
      </c>
      <c r="F464" s="8"/>
      <c r="G464" s="8" t="str">
        <f t="shared" si="3"/>
        <v>8</v>
      </c>
      <c r="H464" s="9">
        <f t="shared" si="4"/>
        <v>8</v>
      </c>
      <c r="I464" s="6" t="str">
        <f>IFERROR(__xludf.DUMMYFUNCTION("MAX(FILTER($H$2:$H466,$E$2:$E466=F464))"),"#N/A")</f>
        <v>#N/A</v>
      </c>
    </row>
    <row r="465">
      <c r="A465" s="4"/>
      <c r="C465" s="4" t="s">
        <v>2198</v>
      </c>
      <c r="D465" s="4" t="str">
        <f t="shared" si="1"/>
        <v>{"valorA":"computador","valorB":2}</v>
      </c>
      <c r="E465" s="8" t="str">
        <f t="shared" si="2"/>
        <v>computador</v>
      </c>
      <c r="F465" s="8"/>
      <c r="G465" s="8" t="str">
        <f t="shared" si="3"/>
        <v>2</v>
      </c>
      <c r="H465" s="9">
        <f t="shared" si="4"/>
        <v>2</v>
      </c>
      <c r="I465" s="6" t="str">
        <f>IFERROR(__xludf.DUMMYFUNCTION("MAX(FILTER($H$2:$H466,$E$2:$E466=F465))"),"#N/A")</f>
        <v>#N/A</v>
      </c>
    </row>
    <row r="466">
      <c r="A466" s="4"/>
      <c r="C466" s="4" t="s">
        <v>3471</v>
      </c>
      <c r="D466" s="4" t="str">
        <f t="shared" si="1"/>
        <v>{"valorA":"funciona","valorB":12}</v>
      </c>
      <c r="E466" s="8" t="str">
        <f t="shared" si="2"/>
        <v>funciona</v>
      </c>
      <c r="F466" s="8"/>
      <c r="G466" s="8" t="str">
        <f t="shared" si="3"/>
        <v>12</v>
      </c>
      <c r="H466" s="9">
        <f t="shared" si="4"/>
        <v>12</v>
      </c>
      <c r="I466" s="6" t="str">
        <f>IFERROR(__xludf.DUMMYFUNCTION("MAX(FILTER($H$2:$H466,$E$2:$E466=F466))"),"#N/A")</f>
        <v>#N/A</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3561</v>
      </c>
    </row>
    <row r="2">
      <c r="A2" s="4" t="s">
        <v>3784</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3561</v>
      </c>
    </row>
    <row r="2">
      <c r="A2" s="4" t="s">
        <v>33</v>
      </c>
    </row>
    <row r="3">
      <c r="A3" s="4" t="s">
        <v>48</v>
      </c>
    </row>
    <row r="4">
      <c r="A4" s="4" t="s">
        <v>101</v>
      </c>
    </row>
    <row r="5">
      <c r="A5" s="4" t="s">
        <v>119</v>
      </c>
    </row>
    <row r="6">
      <c r="A6" s="4" t="s">
        <v>62</v>
      </c>
    </row>
    <row r="7">
      <c r="A7" s="4" t="s">
        <v>63</v>
      </c>
    </row>
    <row r="8">
      <c r="A8" s="4" t="s">
        <v>3785</v>
      </c>
    </row>
    <row r="9">
      <c r="A9" s="4" t="s">
        <v>3786</v>
      </c>
    </row>
    <row r="10">
      <c r="A10" s="4" t="s">
        <v>90</v>
      </c>
    </row>
    <row r="11">
      <c r="A11" s="4" t="s">
        <v>33</v>
      </c>
    </row>
    <row r="12">
      <c r="A12" s="4" t="s">
        <v>891</v>
      </c>
    </row>
    <row r="13">
      <c r="A13" s="4" t="s">
        <v>41</v>
      </c>
    </row>
    <row r="14">
      <c r="A14" s="4" t="s">
        <v>971</v>
      </c>
    </row>
    <row r="15">
      <c r="A15" s="4" t="s">
        <v>75</v>
      </c>
    </row>
    <row r="16">
      <c r="A16" s="4" t="s">
        <v>128</v>
      </c>
    </row>
    <row r="17">
      <c r="A17" s="4" t="s">
        <v>3292</v>
      </c>
    </row>
    <row r="18">
      <c r="A18" s="4" t="s">
        <v>129</v>
      </c>
    </row>
    <row r="19">
      <c r="A19" s="4" t="s">
        <v>109</v>
      </c>
    </row>
    <row r="20">
      <c r="A20" s="4" t="s">
        <v>92</v>
      </c>
    </row>
    <row r="21">
      <c r="A21" s="4" t="s">
        <v>98</v>
      </c>
    </row>
    <row r="22">
      <c r="A22" s="4" t="s">
        <v>3787</v>
      </c>
    </row>
    <row r="23">
      <c r="A23" s="4" t="s">
        <v>57</v>
      </c>
    </row>
    <row r="24">
      <c r="A24" s="4" t="s">
        <v>33</v>
      </c>
    </row>
    <row r="25">
      <c r="A25" s="4" t="s">
        <v>113</v>
      </c>
    </row>
    <row r="26">
      <c r="A26" s="4" t="s">
        <v>3278</v>
      </c>
    </row>
    <row r="27">
      <c r="A27" s="4" t="s">
        <v>44</v>
      </c>
    </row>
    <row r="28">
      <c r="A28" s="4" t="s">
        <v>119</v>
      </c>
    </row>
    <row r="29">
      <c r="A29" s="4" t="s">
        <v>62</v>
      </c>
    </row>
    <row r="30">
      <c r="A30" s="4" t="s">
        <v>113</v>
      </c>
    </row>
    <row r="31">
      <c r="A31" s="4" t="s">
        <v>3788</v>
      </c>
    </row>
    <row r="32">
      <c r="A32" s="4" t="s">
        <v>33</v>
      </c>
    </row>
    <row r="33">
      <c r="A33" s="4" t="s">
        <v>887</v>
      </c>
    </row>
    <row r="34">
      <c r="A34" s="4" t="s">
        <v>3789</v>
      </c>
    </row>
    <row r="35">
      <c r="A35" s="4" t="s">
        <v>39</v>
      </c>
    </row>
    <row r="36">
      <c r="A36" s="4" t="s">
        <v>40</v>
      </c>
    </row>
    <row r="37">
      <c r="A37" s="4" t="s">
        <v>51</v>
      </c>
    </row>
    <row r="38">
      <c r="A38" s="4" t="s">
        <v>34</v>
      </c>
    </row>
    <row r="39">
      <c r="A39" s="4" t="s">
        <v>33</v>
      </c>
    </row>
    <row r="40">
      <c r="A40" s="4" t="s">
        <v>567</v>
      </c>
    </row>
    <row r="41">
      <c r="A41" s="4" t="s">
        <v>41</v>
      </c>
    </row>
    <row r="42">
      <c r="A42" s="4" t="s">
        <v>3790</v>
      </c>
    </row>
    <row r="43">
      <c r="A43" s="4" t="s">
        <v>88</v>
      </c>
    </row>
    <row r="44">
      <c r="A44" s="4" t="s">
        <v>40</v>
      </c>
    </row>
    <row r="45">
      <c r="A45" s="4" t="s">
        <v>75</v>
      </c>
    </row>
    <row r="46">
      <c r="A46" s="4" t="s">
        <v>160</v>
      </c>
    </row>
    <row r="47">
      <c r="A47" s="4" t="s">
        <v>3791</v>
      </c>
    </row>
    <row r="48">
      <c r="A48" s="4" t="s">
        <v>81</v>
      </c>
    </row>
    <row r="49">
      <c r="A49" s="4" t="s">
        <v>84</v>
      </c>
    </row>
    <row r="50">
      <c r="A50" s="4" t="s">
        <v>3792</v>
      </c>
    </row>
    <row r="51">
      <c r="A51" s="4" t="s">
        <v>33</v>
      </c>
    </row>
    <row r="52">
      <c r="A52" s="4" t="s">
        <v>113</v>
      </c>
    </row>
    <row r="53">
      <c r="A53" s="4" t="s">
        <v>3278</v>
      </c>
    </row>
    <row r="54">
      <c r="A54" s="4" t="s">
        <v>44</v>
      </c>
    </row>
    <row r="55">
      <c r="A55" s="4" t="s">
        <v>119</v>
      </c>
    </row>
    <row r="56">
      <c r="A56" s="4" t="s">
        <v>62</v>
      </c>
    </row>
    <row r="57">
      <c r="A57" s="4" t="s">
        <v>113</v>
      </c>
    </row>
    <row r="58">
      <c r="A58" s="4" t="s">
        <v>3793</v>
      </c>
    </row>
    <row r="59">
      <c r="A59" s="4" t="s">
        <v>3794</v>
      </c>
    </row>
    <row r="60">
      <c r="A60" s="4" t="s">
        <v>65</v>
      </c>
    </row>
    <row r="61">
      <c r="A61" s="4" t="s">
        <v>549</v>
      </c>
    </row>
    <row r="62">
      <c r="A62" s="4" t="s">
        <v>3258</v>
      </c>
    </row>
    <row r="63">
      <c r="A63" s="4" t="s">
        <v>33</v>
      </c>
    </row>
    <row r="64">
      <c r="A64" s="4" t="s">
        <v>3795</v>
      </c>
    </row>
    <row r="65">
      <c r="A65" s="4" t="s">
        <v>44</v>
      </c>
    </row>
    <row r="66">
      <c r="A66" s="4" t="s">
        <v>92</v>
      </c>
    </row>
    <row r="67">
      <c r="A67" s="4" t="s">
        <v>3796</v>
      </c>
    </row>
    <row r="68">
      <c r="A68" s="4" t="s">
        <v>126</v>
      </c>
    </row>
    <row r="69">
      <c r="A69" s="4" t="s">
        <v>3797</v>
      </c>
    </row>
    <row r="70">
      <c r="A70" s="4" t="s">
        <v>39</v>
      </c>
    </row>
    <row r="71">
      <c r="A71" s="4" t="s">
        <v>40</v>
      </c>
    </row>
    <row r="72">
      <c r="A72" s="4" t="s">
        <v>553</v>
      </c>
    </row>
    <row r="73">
      <c r="A73" s="4" t="s">
        <v>3798</v>
      </c>
    </row>
    <row r="74">
      <c r="A74" s="4" t="s">
        <v>88</v>
      </c>
    </row>
    <row r="75">
      <c r="A75" s="4" t="s">
        <v>89</v>
      </c>
    </row>
    <row r="76">
      <c r="A76" s="4" t="s">
        <v>877</v>
      </c>
    </row>
    <row r="77">
      <c r="A77" s="4" t="s">
        <v>119</v>
      </c>
    </row>
    <row r="78">
      <c r="A78" s="4" t="s">
        <v>879</v>
      </c>
    </row>
    <row r="79">
      <c r="A79" s="4" t="s">
        <v>160</v>
      </c>
    </row>
    <row r="80">
      <c r="A80" s="4" t="s">
        <v>109</v>
      </c>
    </row>
    <row r="81">
      <c r="A81" s="4" t="s">
        <v>110</v>
      </c>
    </row>
    <row r="82">
      <c r="A82" s="4" t="s">
        <v>115</v>
      </c>
    </row>
    <row r="83">
      <c r="A83" s="4" t="s">
        <v>553</v>
      </c>
    </row>
    <row r="84">
      <c r="A84" s="4" t="s">
        <v>1378</v>
      </c>
    </row>
    <row r="85">
      <c r="A85" s="4" t="s">
        <v>41</v>
      </c>
    </row>
    <row r="86">
      <c r="A86" s="4" t="s">
        <v>912</v>
      </c>
    </row>
    <row r="87">
      <c r="A87" s="4" t="s">
        <v>896</v>
      </c>
    </row>
    <row r="88">
      <c r="A88" s="4" t="s">
        <v>107</v>
      </c>
    </row>
    <row r="89">
      <c r="A89" s="4" t="s">
        <v>41</v>
      </c>
    </row>
    <row r="90">
      <c r="A90" s="4" t="s">
        <v>42</v>
      </c>
    </row>
    <row r="91">
      <c r="A91" s="4" t="s">
        <v>48</v>
      </c>
    </row>
    <row r="92">
      <c r="A92" s="4" t="s">
        <v>899</v>
      </c>
    </row>
    <row r="93">
      <c r="A93" s="4" t="s">
        <v>973</v>
      </c>
    </row>
    <row r="94">
      <c r="A94" s="4" t="s">
        <v>974</v>
      </c>
    </row>
    <row r="95">
      <c r="A95" s="4" t="s">
        <v>115</v>
      </c>
    </row>
    <row r="96">
      <c r="A96" s="4" t="s">
        <v>919</v>
      </c>
    </row>
    <row r="97">
      <c r="A97" s="4" t="s">
        <v>139</v>
      </c>
    </row>
    <row r="98">
      <c r="A98" s="4" t="s">
        <v>553</v>
      </c>
    </row>
    <row r="99">
      <c r="A99" s="4" t="s">
        <v>866</v>
      </c>
    </row>
    <row r="100">
      <c r="A100" s="4" t="s">
        <v>3799</v>
      </c>
    </row>
    <row r="101">
      <c r="A101" s="4" t="s">
        <v>3800</v>
      </c>
    </row>
    <row r="102">
      <c r="A102" s="4" t="s">
        <v>48</v>
      </c>
    </row>
    <row r="103">
      <c r="A103" s="4" t="s">
        <v>147</v>
      </c>
    </row>
    <row r="104">
      <c r="A104" s="4" t="s">
        <v>553</v>
      </c>
    </row>
    <row r="105">
      <c r="A105" s="4" t="s">
        <v>866</v>
      </c>
    </row>
    <row r="106">
      <c r="A106" s="4" t="s">
        <v>3801</v>
      </c>
    </row>
    <row r="107">
      <c r="A107" s="4" t="s">
        <v>509</v>
      </c>
    </row>
    <row r="108">
      <c r="A108" s="4" t="s">
        <v>92</v>
      </c>
    </row>
    <row r="109">
      <c r="A109" s="4" t="s">
        <v>122</v>
      </c>
    </row>
    <row r="110">
      <c r="A110" s="4" t="s">
        <v>119</v>
      </c>
    </row>
    <row r="111">
      <c r="A111" s="4" t="s">
        <v>166</v>
      </c>
    </row>
    <row r="112">
      <c r="A112" s="4" t="s">
        <v>33</v>
      </c>
    </row>
    <row r="113">
      <c r="A113" s="4" t="s">
        <v>3289</v>
      </c>
    </row>
    <row r="114">
      <c r="A114" s="4" t="s">
        <v>3802</v>
      </c>
    </row>
    <row r="115">
      <c r="A115" s="4" t="s">
        <v>947</v>
      </c>
    </row>
    <row r="116">
      <c r="A116" s="4" t="s">
        <v>92</v>
      </c>
    </row>
    <row r="117">
      <c r="A117" s="4" t="s">
        <v>1505</v>
      </c>
    </row>
    <row r="118">
      <c r="A118" s="4" t="s">
        <v>93</v>
      </c>
    </row>
    <row r="119">
      <c r="A119" s="4" t="s">
        <v>109</v>
      </c>
    </row>
    <row r="120">
      <c r="A120" s="4" t="s">
        <v>3803</v>
      </c>
    </row>
    <row r="121">
      <c r="A121" s="4" t="s">
        <v>1504</v>
      </c>
    </row>
    <row r="122">
      <c r="A122" s="4" t="s">
        <v>553</v>
      </c>
    </row>
    <row r="123">
      <c r="A123" s="4" t="s">
        <v>3019</v>
      </c>
    </row>
    <row r="124">
      <c r="A124" s="4" t="s">
        <v>41</v>
      </c>
    </row>
    <row r="125">
      <c r="A125" s="4" t="s">
        <v>867</v>
      </c>
    </row>
    <row r="126">
      <c r="A126" s="4" t="s">
        <v>969</v>
      </c>
    </row>
    <row r="127">
      <c r="A127" s="4" t="s">
        <v>40</v>
      </c>
    </row>
    <row r="128">
      <c r="A128" s="4" t="s">
        <v>921</v>
      </c>
    </row>
    <row r="129">
      <c r="A129" s="4" t="s">
        <v>115</v>
      </c>
    </row>
    <row r="130">
      <c r="A130" s="4" t="s">
        <v>62</v>
      </c>
    </row>
    <row r="131">
      <c r="A131" s="4" t="s">
        <v>93</v>
      </c>
    </row>
    <row r="132">
      <c r="A132" s="4" t="s">
        <v>33</v>
      </c>
    </row>
    <row r="133">
      <c r="A133" s="4" t="s">
        <v>908</v>
      </c>
    </row>
    <row r="134">
      <c r="A134" s="4" t="s">
        <v>909</v>
      </c>
    </row>
    <row r="135">
      <c r="A135" s="4" t="s">
        <v>929</v>
      </c>
    </row>
    <row r="136">
      <c r="A136" s="4" t="s">
        <v>871</v>
      </c>
    </row>
    <row r="137">
      <c r="A137" s="4" t="s">
        <v>3804</v>
      </c>
    </row>
    <row r="138">
      <c r="A138" s="4" t="s">
        <v>1367</v>
      </c>
    </row>
    <row r="139">
      <c r="A139" s="4" t="s">
        <v>527</v>
      </c>
    </row>
    <row r="140">
      <c r="A140" s="4" t="s">
        <v>33</v>
      </c>
    </row>
    <row r="141">
      <c r="A141" s="4" t="s">
        <v>34</v>
      </c>
    </row>
    <row r="142">
      <c r="A142" s="4" t="s">
        <v>140</v>
      </c>
    </row>
    <row r="143">
      <c r="A143" s="4" t="s">
        <v>500</v>
      </c>
    </row>
    <row r="144">
      <c r="A144" s="4" t="s">
        <v>90</v>
      </c>
    </row>
    <row r="145">
      <c r="A145" s="4" t="s">
        <v>553</v>
      </c>
    </row>
    <row r="146">
      <c r="A146" s="4" t="s">
        <v>3019</v>
      </c>
    </row>
    <row r="147">
      <c r="A147" s="4" t="s">
        <v>41</v>
      </c>
    </row>
    <row r="148">
      <c r="A148" s="4" t="s">
        <v>1514</v>
      </c>
    </row>
    <row r="149">
      <c r="A149" s="4" t="s">
        <v>44</v>
      </c>
    </row>
    <row r="150">
      <c r="A150" s="4" t="s">
        <v>92</v>
      </c>
    </row>
    <row r="151">
      <c r="A151" s="4" t="s">
        <v>3805</v>
      </c>
    </row>
    <row r="152">
      <c r="A152" s="4" t="s">
        <v>3806</v>
      </c>
    </row>
    <row r="153">
      <c r="A153" s="4" t="s">
        <v>3807</v>
      </c>
    </row>
    <row r="154">
      <c r="A154" s="4" t="s">
        <v>3808</v>
      </c>
    </row>
    <row r="155">
      <c r="A155" s="4" t="s">
        <v>3809</v>
      </c>
    </row>
    <row r="156">
      <c r="A156" s="4" t="s">
        <v>3281</v>
      </c>
    </row>
    <row r="157">
      <c r="A157" s="4">
        <v>6.0</v>
      </c>
    </row>
    <row r="158">
      <c r="A158" s="4" t="s">
        <v>3810</v>
      </c>
    </row>
    <row r="159">
      <c r="A159" s="4" t="s">
        <v>33</v>
      </c>
    </row>
    <row r="160">
      <c r="A160" s="4" t="s">
        <v>869</v>
      </c>
    </row>
    <row r="161">
      <c r="A161" s="4" t="s">
        <v>929</v>
      </c>
    </row>
    <row r="162">
      <c r="A162" s="4" t="s">
        <v>115</v>
      </c>
    </row>
    <row r="163">
      <c r="A163" s="4" t="s">
        <v>99</v>
      </c>
    </row>
    <row r="164">
      <c r="A164" s="4" t="s">
        <v>1509</v>
      </c>
    </row>
    <row r="165">
      <c r="A165" s="4" t="s">
        <v>40</v>
      </c>
    </row>
    <row r="166">
      <c r="A166" s="4" t="s">
        <v>520</v>
      </c>
    </row>
    <row r="167">
      <c r="A167" s="4" t="s">
        <v>33</v>
      </c>
    </row>
    <row r="168">
      <c r="A168" s="4" t="s">
        <v>891</v>
      </c>
    </row>
    <row r="169">
      <c r="A169" s="4" t="s">
        <v>3811</v>
      </c>
    </row>
    <row r="170">
      <c r="A170" s="4" t="s">
        <v>969</v>
      </c>
    </row>
    <row r="171">
      <c r="A171" s="4" t="s">
        <v>40</v>
      </c>
    </row>
    <row r="172">
      <c r="A172" s="4" t="s">
        <v>921</v>
      </c>
    </row>
    <row r="173">
      <c r="A173" s="4" t="s">
        <v>115</v>
      </c>
    </row>
    <row r="174">
      <c r="A174" s="4" t="s">
        <v>970</v>
      </c>
    </row>
    <row r="175">
      <c r="A175" s="4" t="s">
        <v>33</v>
      </c>
    </row>
    <row r="176">
      <c r="A176" s="4" t="s">
        <v>108</v>
      </c>
    </row>
    <row r="177">
      <c r="A177" s="4" t="s">
        <v>88</v>
      </c>
    </row>
    <row r="178">
      <c r="A178" s="4" t="s">
        <v>40</v>
      </c>
    </row>
    <row r="179">
      <c r="A179" s="4" t="s">
        <v>75</v>
      </c>
    </row>
    <row r="180">
      <c r="A180" s="4" t="s">
        <v>877</v>
      </c>
    </row>
    <row r="181">
      <c r="A181" s="4" t="s">
        <v>119</v>
      </c>
    </row>
    <row r="182">
      <c r="A182" s="4" t="s">
        <v>923</v>
      </c>
    </row>
    <row r="183">
      <c r="A183" s="4" t="s">
        <v>160</v>
      </c>
    </row>
    <row r="184">
      <c r="A184" s="4" t="s">
        <v>109</v>
      </c>
    </row>
    <row r="185">
      <c r="A185" s="4" t="s">
        <v>110</v>
      </c>
    </row>
    <row r="186">
      <c r="A186" s="4" t="s">
        <v>33</v>
      </c>
    </row>
    <row r="187">
      <c r="A187" s="4" t="s">
        <v>3812</v>
      </c>
    </row>
    <row r="188">
      <c r="A188" s="4" t="s">
        <v>88</v>
      </c>
    </row>
    <row r="189">
      <c r="A189" s="4" t="s">
        <v>89</v>
      </c>
    </row>
    <row r="190">
      <c r="A190" s="4" t="s">
        <v>877</v>
      </c>
    </row>
    <row r="191">
      <c r="A191" s="4" t="s">
        <v>119</v>
      </c>
    </row>
    <row r="192">
      <c r="A192" s="4" t="s">
        <v>879</v>
      </c>
    </row>
    <row r="193">
      <c r="A193" s="4" t="s">
        <v>160</v>
      </c>
    </row>
    <row r="194">
      <c r="A194" s="4" t="s">
        <v>109</v>
      </c>
    </row>
    <row r="195">
      <c r="A195" s="4" t="s">
        <v>110</v>
      </c>
    </row>
    <row r="196">
      <c r="A196" s="4" t="s">
        <v>57</v>
      </c>
    </row>
    <row r="197">
      <c r="A197" s="4" t="s">
        <v>33</v>
      </c>
    </row>
    <row r="198">
      <c r="A198" s="4" t="s">
        <v>897</v>
      </c>
    </row>
    <row r="199">
      <c r="A199" s="4" t="s">
        <v>41</v>
      </c>
    </row>
    <row r="200">
      <c r="A200" s="4" t="s">
        <v>971</v>
      </c>
    </row>
    <row r="201">
      <c r="A201" s="4" t="s">
        <v>35</v>
      </c>
    </row>
    <row r="202">
      <c r="A202" s="4" t="s">
        <v>49</v>
      </c>
    </row>
    <row r="203">
      <c r="A203" s="4" t="s">
        <v>107</v>
      </c>
    </row>
    <row r="204">
      <c r="A204" s="4" t="s">
        <v>48</v>
      </c>
    </row>
    <row r="205">
      <c r="A205" s="4" t="s">
        <v>88</v>
      </c>
    </row>
    <row r="206">
      <c r="A206" s="4" t="s">
        <v>40</v>
      </c>
    </row>
    <row r="207">
      <c r="A207" s="4" t="s">
        <v>75</v>
      </c>
    </row>
    <row r="208">
      <c r="A208" s="4" t="s">
        <v>115</v>
      </c>
    </row>
    <row r="209">
      <c r="A209" s="4" t="s">
        <v>553</v>
      </c>
    </row>
    <row r="210">
      <c r="A210" s="4" t="s">
        <v>3813</v>
      </c>
    </row>
    <row r="211">
      <c r="A211" s="4" t="s">
        <v>525</v>
      </c>
    </row>
    <row r="212">
      <c r="A212" s="4" t="s">
        <v>39</v>
      </c>
    </row>
    <row r="213">
      <c r="A213" s="4" t="s">
        <v>159</v>
      </c>
    </row>
    <row r="214">
      <c r="A214" s="4" t="s">
        <v>33</v>
      </c>
    </row>
    <row r="215">
      <c r="A215" s="4" t="s">
        <v>113</v>
      </c>
    </row>
    <row r="216">
      <c r="A216" s="4" t="s">
        <v>41</v>
      </c>
    </row>
    <row r="217">
      <c r="A217" s="4" t="s">
        <v>3814</v>
      </c>
    </row>
    <row r="218">
      <c r="A218" s="4" t="s">
        <v>44</v>
      </c>
    </row>
    <row r="219">
      <c r="A219" s="4" t="s">
        <v>1547</v>
      </c>
    </row>
    <row r="220">
      <c r="A220" s="4" t="s">
        <v>88</v>
      </c>
    </row>
    <row r="221">
      <c r="A221" s="4" t="s">
        <v>40</v>
      </c>
    </row>
    <row r="222">
      <c r="A222" s="4" t="s">
        <v>75</v>
      </c>
    </row>
    <row r="223">
      <c r="A223" s="4" t="s">
        <v>33</v>
      </c>
    </row>
    <row r="224">
      <c r="A224" s="4" t="s">
        <v>113</v>
      </c>
    </row>
    <row r="225">
      <c r="A225" s="4" t="s">
        <v>41</v>
      </c>
    </row>
    <row r="226">
      <c r="A226" s="4" t="s">
        <v>3815</v>
      </c>
    </row>
    <row r="227">
      <c r="A227" s="4" t="s">
        <v>44</v>
      </c>
    </row>
    <row r="228">
      <c r="A228" s="4" t="s">
        <v>119</v>
      </c>
    </row>
    <row r="229">
      <c r="A229" s="4" t="s">
        <v>62</v>
      </c>
    </row>
    <row r="230">
      <c r="A230" s="4" t="s">
        <v>1237</v>
      </c>
    </row>
    <row r="231">
      <c r="A231" s="4" t="s">
        <v>90</v>
      </c>
    </row>
    <row r="232">
      <c r="A232" s="4" t="s">
        <v>553</v>
      </c>
    </row>
    <row r="233">
      <c r="A233" s="4" t="s">
        <v>925</v>
      </c>
    </row>
    <row r="234">
      <c r="A234" s="4" t="s">
        <v>44</v>
      </c>
    </row>
    <row r="235">
      <c r="A235" s="4" t="s">
        <v>888</v>
      </c>
    </row>
    <row r="236">
      <c r="A236" s="4" t="s">
        <v>90</v>
      </c>
    </row>
    <row r="237">
      <c r="A237" s="4" t="s">
        <v>40</v>
      </c>
    </row>
    <row r="238">
      <c r="A238" s="4" t="s">
        <v>33</v>
      </c>
    </row>
    <row r="239">
      <c r="A239" s="4" t="s">
        <v>876</v>
      </c>
    </row>
    <row r="240">
      <c r="A240" s="4" t="s">
        <v>871</v>
      </c>
    </row>
    <row r="241">
      <c r="A241" s="4" t="s">
        <v>119</v>
      </c>
    </row>
    <row r="242">
      <c r="A242" s="4" t="s">
        <v>109</v>
      </c>
    </row>
    <row r="243">
      <c r="A243" s="4" t="s">
        <v>549</v>
      </c>
    </row>
    <row r="244">
      <c r="A244" s="4" t="s">
        <v>872</v>
      </c>
    </row>
    <row r="245">
      <c r="A245" s="4" t="s">
        <v>3816</v>
      </c>
    </row>
    <row r="246">
      <c r="A246" s="4" t="s">
        <v>3817</v>
      </c>
    </row>
    <row r="247">
      <c r="A247" s="4" t="s">
        <v>3818</v>
      </c>
    </row>
    <row r="248">
      <c r="A248" s="4" t="s">
        <v>33</v>
      </c>
    </row>
    <row r="249">
      <c r="A249" s="4" t="s">
        <v>897</v>
      </c>
    </row>
    <row r="250">
      <c r="A250" s="4" t="s">
        <v>41</v>
      </c>
    </row>
    <row r="251">
      <c r="A251" s="4" t="s">
        <v>913</v>
      </c>
    </row>
    <row r="252">
      <c r="A252" s="4" t="s">
        <v>96</v>
      </c>
    </row>
    <row r="253">
      <c r="A253" s="4" t="s">
        <v>107</v>
      </c>
    </row>
    <row r="254">
      <c r="A254" s="4" t="s">
        <v>41</v>
      </c>
    </row>
    <row r="255">
      <c r="A255" s="4" t="s">
        <v>892</v>
      </c>
    </row>
    <row r="256">
      <c r="A256" s="4" t="s">
        <v>33</v>
      </c>
    </row>
    <row r="257">
      <c r="A257" s="4" t="s">
        <v>34</v>
      </c>
    </row>
    <row r="258">
      <c r="A258" s="4" t="s">
        <v>39</v>
      </c>
    </row>
    <row r="259">
      <c r="A259" s="4" t="s">
        <v>40</v>
      </c>
    </row>
    <row r="260">
      <c r="A260" s="4" t="s">
        <v>51</v>
      </c>
    </row>
    <row r="261">
      <c r="A261" s="4" t="s">
        <v>3003</v>
      </c>
    </row>
    <row r="262">
      <c r="A262" s="4" t="s">
        <v>33</v>
      </c>
    </row>
    <row r="263">
      <c r="A263" s="4" t="s">
        <v>893</v>
      </c>
    </row>
    <row r="264">
      <c r="A264" s="4" t="s">
        <v>894</v>
      </c>
    </row>
    <row r="265">
      <c r="A265" s="4" t="s">
        <v>88</v>
      </c>
    </row>
    <row r="266">
      <c r="A266" s="4" t="s">
        <v>89</v>
      </c>
    </row>
    <row r="267">
      <c r="A267" s="4" t="s">
        <v>33</v>
      </c>
    </row>
    <row r="268">
      <c r="A268" s="4" t="s">
        <v>978</v>
      </c>
    </row>
    <row r="269">
      <c r="A269" s="4" t="s">
        <v>115</v>
      </c>
    </row>
    <row r="270">
      <c r="A270" s="4" t="s">
        <v>3819</v>
      </c>
    </row>
    <row r="271">
      <c r="A271" s="4" t="s">
        <v>3820</v>
      </c>
    </row>
    <row r="272">
      <c r="A272" s="4" t="s">
        <v>953</v>
      </c>
    </row>
    <row r="273">
      <c r="A273" s="4" t="s">
        <v>39</v>
      </c>
    </row>
    <row r="274">
      <c r="A274" s="4" t="s">
        <v>40</v>
      </c>
    </row>
    <row r="275">
      <c r="A275" s="4" t="s">
        <v>33</v>
      </c>
    </row>
    <row r="276">
      <c r="A276" s="4" t="s">
        <v>529</v>
      </c>
    </row>
    <row r="277">
      <c r="A277" s="4" t="s">
        <v>80</v>
      </c>
    </row>
    <row r="278">
      <c r="A278" s="4" t="s">
        <v>925</v>
      </c>
    </row>
    <row r="279">
      <c r="A279" s="4" t="s">
        <v>525</v>
      </c>
    </row>
    <row r="280">
      <c r="A280" s="4" t="s">
        <v>3821</v>
      </c>
    </row>
    <row r="281">
      <c r="A281" s="4" t="s">
        <v>40</v>
      </c>
    </row>
    <row r="282">
      <c r="A282" s="4" t="s">
        <v>115</v>
      </c>
    </row>
    <row r="283">
      <c r="A283" s="4" t="s">
        <v>1228</v>
      </c>
    </row>
    <row r="284">
      <c r="A284" s="4" t="s">
        <v>115</v>
      </c>
    </row>
    <row r="285">
      <c r="A285" s="4" t="s">
        <v>33</v>
      </c>
    </row>
    <row r="286">
      <c r="A286" s="4" t="s">
        <v>44</v>
      </c>
    </row>
    <row r="287">
      <c r="A287" s="4" t="s">
        <v>513</v>
      </c>
    </row>
    <row r="288">
      <c r="A288" s="4" t="s">
        <v>902</v>
      </c>
    </row>
    <row r="289">
      <c r="A289" s="4" t="s">
        <v>919</v>
      </c>
    </row>
    <row r="290">
      <c r="A290" s="4" t="s">
        <v>3822</v>
      </c>
    </row>
    <row r="291">
      <c r="A291" s="4" t="s">
        <v>3823</v>
      </c>
    </row>
    <row r="292">
      <c r="A292" s="4" t="s">
        <v>3824</v>
      </c>
    </row>
    <row r="293">
      <c r="A293" s="4" t="s">
        <v>900</v>
      </c>
    </row>
    <row r="294">
      <c r="A294" s="4" t="s">
        <v>947</v>
      </c>
    </row>
    <row r="295">
      <c r="A295" s="4" t="s">
        <v>518</v>
      </c>
    </row>
    <row r="296">
      <c r="A296" s="4" t="s">
        <v>93</v>
      </c>
    </row>
    <row r="297">
      <c r="A297" s="4" t="s">
        <v>65</v>
      </c>
    </row>
    <row r="298">
      <c r="A298" s="4" t="s">
        <v>33</v>
      </c>
    </row>
    <row r="299">
      <c r="A299" s="4" t="s">
        <v>978</v>
      </c>
    </row>
    <row r="300">
      <c r="A300" s="4" t="s">
        <v>41</v>
      </c>
    </row>
    <row r="301">
      <c r="A301" s="4" t="s">
        <v>3825</v>
      </c>
    </row>
    <row r="302">
      <c r="A302" s="4" t="s">
        <v>115</v>
      </c>
    </row>
    <row r="303">
      <c r="A303" s="4" t="s">
        <v>500</v>
      </c>
    </row>
    <row r="304">
      <c r="A304" s="4" t="s">
        <v>1218</v>
      </c>
    </row>
    <row r="305">
      <c r="A305" s="4" t="s">
        <v>90</v>
      </c>
    </row>
    <row r="306">
      <c r="A306" s="4" t="s">
        <v>33</v>
      </c>
    </row>
    <row r="307">
      <c r="A307" s="4" t="s">
        <v>3826</v>
      </c>
    </row>
    <row r="308">
      <c r="A308" s="4" t="s">
        <v>44</v>
      </c>
    </row>
    <row r="309">
      <c r="A309" s="4" t="s">
        <v>939</v>
      </c>
    </row>
    <row r="310">
      <c r="A310" s="4" t="s">
        <v>960</v>
      </c>
    </row>
    <row r="311">
      <c r="A311" s="4" t="s">
        <v>40</v>
      </c>
    </row>
    <row r="312">
      <c r="A312" s="4" t="s">
        <v>520</v>
      </c>
    </row>
    <row r="313">
      <c r="A313" s="4" t="s">
        <v>33</v>
      </c>
    </row>
    <row r="314">
      <c r="A314" s="4" t="s">
        <v>44</v>
      </c>
    </row>
    <row r="315">
      <c r="A315" s="4" t="s">
        <v>888</v>
      </c>
    </row>
    <row r="316">
      <c r="A316" s="4" t="s">
        <v>966</v>
      </c>
    </row>
    <row r="317">
      <c r="A317" s="4" t="s">
        <v>3286</v>
      </c>
    </row>
    <row r="318">
      <c r="A318" s="4" t="s">
        <v>3827</v>
      </c>
    </row>
    <row r="319">
      <c r="A319" s="4" t="s">
        <v>919</v>
      </c>
    </row>
    <row r="320">
      <c r="A320" s="4" t="s">
        <v>1518</v>
      </c>
    </row>
    <row r="321">
      <c r="A321" s="4" t="s">
        <v>33</v>
      </c>
    </row>
    <row r="322">
      <c r="A322" s="4" t="s">
        <v>534</v>
      </c>
    </row>
    <row r="323">
      <c r="A323" s="4" t="s">
        <v>41</v>
      </c>
    </row>
    <row r="324">
      <c r="A324" s="4" t="s">
        <v>917</v>
      </c>
    </row>
    <row r="325">
      <c r="A325" s="4" t="s">
        <v>3828</v>
      </c>
    </row>
    <row r="326">
      <c r="A326" s="4" t="s">
        <v>44</v>
      </c>
    </row>
    <row r="327">
      <c r="A327" s="4" t="s">
        <v>98</v>
      </c>
    </row>
    <row r="328">
      <c r="A328" s="4" t="s">
        <v>527</v>
      </c>
    </row>
    <row r="329">
      <c r="A329" s="4" t="s">
        <v>90</v>
      </c>
    </row>
    <row r="330">
      <c r="A330" s="4" t="s">
        <v>910</v>
      </c>
    </row>
    <row r="331">
      <c r="A331" s="4" t="s">
        <v>33</v>
      </c>
    </row>
    <row r="332">
      <c r="A332" s="4" t="s">
        <v>876</v>
      </c>
    </row>
    <row r="333">
      <c r="A333" s="4" t="s">
        <v>41</v>
      </c>
    </row>
    <row r="334">
      <c r="A334" s="4" t="s">
        <v>1503</v>
      </c>
    </row>
    <row r="335">
      <c r="A335" s="4" t="s">
        <v>107</v>
      </c>
    </row>
    <row r="336">
      <c r="A336" s="4" t="s">
        <v>41</v>
      </c>
    </row>
    <row r="337">
      <c r="A337" s="4" t="s">
        <v>42</v>
      </c>
    </row>
    <row r="338">
      <c r="A338" s="4" t="s">
        <v>48</v>
      </c>
    </row>
    <row r="339">
      <c r="A339" s="4" t="s">
        <v>88</v>
      </c>
    </row>
    <row r="340">
      <c r="A340" s="4" t="s">
        <v>40</v>
      </c>
    </row>
    <row r="341">
      <c r="A341" s="4" t="s">
        <v>75</v>
      </c>
    </row>
    <row r="342">
      <c r="A342" s="4" t="s">
        <v>57</v>
      </c>
    </row>
    <row r="343">
      <c r="A343" s="4" t="s">
        <v>553</v>
      </c>
    </row>
    <row r="344">
      <c r="A344" s="4" t="s">
        <v>925</v>
      </c>
    </row>
    <row r="345">
      <c r="A345" s="4" t="s">
        <v>525</v>
      </c>
    </row>
    <row r="346">
      <c r="A346" s="4" t="s">
        <v>88</v>
      </c>
    </row>
    <row r="347">
      <c r="A347" s="4" t="s">
        <v>40</v>
      </c>
    </row>
    <row r="348">
      <c r="A348" s="4" t="s">
        <v>75</v>
      </c>
    </row>
    <row r="349">
      <c r="A349" s="4" t="s">
        <v>48</v>
      </c>
    </row>
    <row r="350">
      <c r="A350" s="4" t="s">
        <v>1365</v>
      </c>
    </row>
    <row r="351">
      <c r="A351" s="4" t="s">
        <v>40</v>
      </c>
    </row>
    <row r="352">
      <c r="A352" s="4" t="s">
        <v>115</v>
      </c>
    </row>
    <row r="353">
      <c r="A353" s="4" t="s">
        <v>92</v>
      </c>
    </row>
    <row r="354">
      <c r="A354" s="4" t="s">
        <v>3829</v>
      </c>
    </row>
    <row r="355">
      <c r="A355" s="4" t="s">
        <v>3830</v>
      </c>
    </row>
    <row r="356">
      <c r="A356" s="4" t="s">
        <v>33</v>
      </c>
    </row>
    <row r="357">
      <c r="A357" s="4" t="s">
        <v>876</v>
      </c>
    </row>
    <row r="358">
      <c r="A358" s="4" t="s">
        <v>90</v>
      </c>
    </row>
    <row r="359">
      <c r="A359" s="4" t="s">
        <v>1510</v>
      </c>
    </row>
    <row r="360">
      <c r="A360" s="4" t="s">
        <v>873</v>
      </c>
    </row>
    <row r="361">
      <c r="A361" s="4" t="s">
        <v>48</v>
      </c>
    </row>
    <row r="362">
      <c r="A362" s="4" t="s">
        <v>49</v>
      </c>
    </row>
    <row r="363">
      <c r="A363" s="4" t="s">
        <v>119</v>
      </c>
    </row>
    <row r="364">
      <c r="A364" s="4" t="s">
        <v>880</v>
      </c>
    </row>
    <row r="365">
      <c r="A365" s="4" t="s">
        <v>46</v>
      </c>
    </row>
    <row r="366">
      <c r="A366" s="4" t="s">
        <v>933</v>
      </c>
    </row>
    <row r="367">
      <c r="A367" s="4" t="s">
        <v>3831</v>
      </c>
    </row>
    <row r="368">
      <c r="A368" s="4" t="s">
        <v>33</v>
      </c>
    </row>
    <row r="369">
      <c r="A369" s="4" t="s">
        <v>3832</v>
      </c>
    </row>
    <row r="370">
      <c r="A370" s="4" t="s">
        <v>44</v>
      </c>
    </row>
    <row r="371">
      <c r="A371" s="4" t="s">
        <v>3833</v>
      </c>
    </row>
    <row r="372">
      <c r="A372" s="4" t="s">
        <v>121</v>
      </c>
    </row>
    <row r="373">
      <c r="A373" s="4" t="s">
        <v>92</v>
      </c>
    </row>
    <row r="374">
      <c r="A374" s="4" t="s">
        <v>122</v>
      </c>
    </row>
    <row r="375">
      <c r="A375" s="4" t="s">
        <v>119</v>
      </c>
    </row>
    <row r="376">
      <c r="A376" s="4" t="s">
        <v>500</v>
      </c>
    </row>
    <row r="377">
      <c r="A377" s="4" t="s">
        <v>553</v>
      </c>
    </row>
    <row r="378">
      <c r="A378" s="4" t="s">
        <v>1378</v>
      </c>
    </row>
    <row r="379">
      <c r="A379" s="4" t="s">
        <v>41</v>
      </c>
    </row>
    <row r="380">
      <c r="A380" s="4" t="s">
        <v>912</v>
      </c>
    </row>
    <row r="381">
      <c r="A381" s="4" t="s">
        <v>896</v>
      </c>
    </row>
    <row r="382">
      <c r="A382" s="4" t="s">
        <v>88</v>
      </c>
    </row>
    <row r="383">
      <c r="A383" s="4" t="s">
        <v>40</v>
      </c>
    </row>
    <row r="384">
      <c r="A384" s="4" t="s">
        <v>75</v>
      </c>
    </row>
    <row r="385">
      <c r="A385" s="4" t="s">
        <v>877</v>
      </c>
    </row>
    <row r="386">
      <c r="A386" s="4" t="s">
        <v>119</v>
      </c>
    </row>
    <row r="387">
      <c r="A387" s="4" t="s">
        <v>878</v>
      </c>
    </row>
    <row r="388">
      <c r="A388" s="4" t="s">
        <v>923</v>
      </c>
    </row>
    <row r="389">
      <c r="A389" s="4" t="s">
        <v>57</v>
      </c>
    </row>
    <row r="390">
      <c r="A390" s="4" t="s">
        <v>33</v>
      </c>
    </row>
    <row r="391">
      <c r="A391" s="4" t="s">
        <v>897</v>
      </c>
    </row>
    <row r="392">
      <c r="A392" s="4" t="s">
        <v>41</v>
      </c>
    </row>
    <row r="393">
      <c r="A393" s="4" t="s">
        <v>898</v>
      </c>
    </row>
    <row r="394">
      <c r="A394" s="4" t="s">
        <v>88</v>
      </c>
    </row>
    <row r="395">
      <c r="A395" s="4" t="s">
        <v>75</v>
      </c>
    </row>
    <row r="396">
      <c r="A396" s="4" t="s">
        <v>48</v>
      </c>
    </row>
    <row r="397">
      <c r="A397" s="4" t="s">
        <v>1365</v>
      </c>
    </row>
    <row r="398">
      <c r="A398" s="4" t="s">
        <v>3834</v>
      </c>
    </row>
    <row r="399">
      <c r="A399" s="4" t="s">
        <v>33</v>
      </c>
    </row>
    <row r="400">
      <c r="A400" s="4" t="s">
        <v>3292</v>
      </c>
    </row>
    <row r="401">
      <c r="A401" s="4" t="s">
        <v>36</v>
      </c>
    </row>
    <row r="402">
      <c r="A402" s="4" t="s">
        <v>108</v>
      </c>
    </row>
    <row r="403">
      <c r="A403" s="4" t="s">
        <v>33</v>
      </c>
    </row>
    <row r="404">
      <c r="A404" s="4" t="s">
        <v>946</v>
      </c>
    </row>
    <row r="405">
      <c r="A405" s="4" t="s">
        <v>41</v>
      </c>
    </row>
    <row r="406">
      <c r="A406" s="4" t="s">
        <v>891</v>
      </c>
    </row>
    <row r="407">
      <c r="A407" s="4" t="s">
        <v>1238</v>
      </c>
    </row>
    <row r="408">
      <c r="A408" s="4" t="s">
        <v>871</v>
      </c>
    </row>
    <row r="409">
      <c r="A409" s="4" t="s">
        <v>40</v>
      </c>
    </row>
    <row r="410">
      <c r="A410" s="4" t="s">
        <v>75</v>
      </c>
    </row>
    <row r="411">
      <c r="A411" s="4" t="s">
        <v>33</v>
      </c>
    </row>
    <row r="412">
      <c r="A412" s="4" t="s">
        <v>3835</v>
      </c>
    </row>
    <row r="413">
      <c r="A413" s="4" t="s">
        <v>44</v>
      </c>
    </row>
    <row r="414">
      <c r="A414" s="4" t="s">
        <v>119</v>
      </c>
    </row>
    <row r="415">
      <c r="A415" s="4" t="s">
        <v>3286</v>
      </c>
    </row>
    <row r="416">
      <c r="A416" s="4" t="s">
        <v>126</v>
      </c>
    </row>
    <row r="417">
      <c r="A417" s="4" t="s">
        <v>3836</v>
      </c>
    </row>
    <row r="418">
      <c r="A418" s="4" t="s">
        <v>960</v>
      </c>
    </row>
    <row r="419">
      <c r="A419" s="4" t="s">
        <v>40</v>
      </c>
    </row>
    <row r="420">
      <c r="A420" s="4" t="s">
        <v>520</v>
      </c>
    </row>
    <row r="421">
      <c r="A421" s="4" t="s">
        <v>33</v>
      </c>
    </row>
    <row r="422">
      <c r="A422" s="4" t="s">
        <v>869</v>
      </c>
    </row>
    <row r="423">
      <c r="A423" s="4" t="s">
        <v>88</v>
      </c>
    </row>
    <row r="424">
      <c r="A424" s="4" t="s">
        <v>40</v>
      </c>
    </row>
    <row r="425">
      <c r="A425" s="4" t="s">
        <v>75</v>
      </c>
    </row>
    <row r="426">
      <c r="A426" s="4" t="s">
        <v>94</v>
      </c>
    </row>
    <row r="427">
      <c r="A427" s="4" t="s">
        <v>3837</v>
      </c>
    </row>
    <row r="428">
      <c r="A428" s="4" t="s">
        <v>3838</v>
      </c>
    </row>
    <row r="429">
      <c r="A429" s="4" t="s">
        <v>3839</v>
      </c>
    </row>
    <row r="430">
      <c r="A430" s="4" t="s">
        <v>160</v>
      </c>
    </row>
    <row r="431">
      <c r="A431" s="4" t="s">
        <v>3840</v>
      </c>
    </row>
    <row r="432">
      <c r="A432" s="4" t="s">
        <v>3841</v>
      </c>
    </row>
    <row r="433">
      <c r="A433" s="4" t="s">
        <v>553</v>
      </c>
    </row>
    <row r="434">
      <c r="A434" s="4" t="s">
        <v>1501</v>
      </c>
    </row>
    <row r="435">
      <c r="A435" s="4" t="s">
        <v>44</v>
      </c>
    </row>
    <row r="436">
      <c r="A436" s="4" t="s">
        <v>1508</v>
      </c>
    </row>
    <row r="437">
      <c r="A437" s="4" t="s">
        <v>3842</v>
      </c>
    </row>
    <row r="438">
      <c r="A438" s="4" t="s">
        <v>94</v>
      </c>
    </row>
    <row r="439">
      <c r="A439" s="4" t="s">
        <v>3834</v>
      </c>
    </row>
    <row r="440">
      <c r="A440" s="4" t="s">
        <v>3843</v>
      </c>
    </row>
    <row r="441">
      <c r="A441" s="4" t="s">
        <v>3844</v>
      </c>
    </row>
    <row r="442">
      <c r="A442" s="4" t="s">
        <v>873</v>
      </c>
    </row>
    <row r="443">
      <c r="A443" s="4" t="s">
        <v>119</v>
      </c>
    </row>
    <row r="444">
      <c r="A444" s="4" t="s">
        <v>567</v>
      </c>
    </row>
    <row r="445">
      <c r="A445" s="4" t="s">
        <v>41</v>
      </c>
    </row>
    <row r="446">
      <c r="A446" s="4" t="s">
        <v>3845</v>
      </c>
    </row>
    <row r="447">
      <c r="A447" s="4" t="s">
        <v>964</v>
      </c>
    </row>
    <row r="448">
      <c r="A448" s="4" t="s">
        <v>109</v>
      </c>
    </row>
    <row r="449">
      <c r="A449" s="4" t="s">
        <v>110</v>
      </c>
    </row>
    <row r="450">
      <c r="A450" s="4" t="s">
        <v>111</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63"/>
    <col customWidth="1" min="4" max="4" width="29.0"/>
  </cols>
  <sheetData>
    <row r="1">
      <c r="C1" s="5" t="s">
        <v>168</v>
      </c>
      <c r="D1" s="5" t="s">
        <v>169</v>
      </c>
      <c r="E1" s="5" t="s">
        <v>170</v>
      </c>
      <c r="F1" s="5" t="s">
        <v>171</v>
      </c>
      <c r="G1" s="5" t="s">
        <v>172</v>
      </c>
      <c r="H1" s="7" t="s">
        <v>173</v>
      </c>
      <c r="I1" s="5" t="s">
        <v>174</v>
      </c>
    </row>
    <row r="2">
      <c r="A2" s="4"/>
      <c r="C2" s="4" t="s">
        <v>3451</v>
      </c>
      <c r="D2" s="4" t="str">
        <f t="shared" ref="D2:D450" si="1">C2</f>
        <v>{"valorA":"eficiente","valorB":1}</v>
      </c>
      <c r="E2" s="8" t="str">
        <f t="shared" ref="E2:E450" si="2">SUBSTITUTE(MID(C2,FIND(":",C2)+1,FIND(",",C2)-FIND(":",C2)-1),"""","")</f>
        <v>eficiente</v>
      </c>
      <c r="F2" s="8" t="str">
        <f>IFERROR(__xludf.DUMMYFUNCTION("UNIQUE(E2:E450)"),"eficiente")</f>
        <v>eficiente</v>
      </c>
      <c r="G2" s="8" t="str">
        <f t="shared" ref="G2:G450" si="3">MID(C2,FIND("valorB",C2)+8,FIND("}",C2)-FIND("valorB",C2)-8)</f>
        <v>1</v>
      </c>
      <c r="H2" s="9">
        <f t="shared" ref="H2:H450" si="4">VALUE(SUBSTITUTE(G2,".",","))</f>
        <v>1</v>
      </c>
      <c r="I2" s="10">
        <f>IFERROR(__xludf.DUMMYFUNCTION("MAX(FILTER($H$2:$H450,$E$2:$E450=F2))"),2.0)</f>
        <v>2</v>
      </c>
    </row>
    <row r="3">
      <c r="A3" s="4"/>
      <c r="C3" s="4" t="s">
        <v>3846</v>
      </c>
      <c r="D3" s="4" t="str">
        <f t="shared" si="1"/>
        <v>{"valorA":"fininho","valorB":1}</v>
      </c>
      <c r="E3" s="8" t="str">
        <f t="shared" si="2"/>
        <v>fininho</v>
      </c>
      <c r="F3" s="8" t="str">
        <f>IFERROR(__xludf.DUMMYFUNCTION("""COMPUTED_VALUE"""),"fininho")</f>
        <v>fininho</v>
      </c>
      <c r="G3" s="8" t="str">
        <f t="shared" si="3"/>
        <v>1</v>
      </c>
      <c r="H3" s="9">
        <f t="shared" si="4"/>
        <v>1</v>
      </c>
      <c r="I3" s="10">
        <f>IFERROR(__xludf.DUMMYFUNCTION("MAX(FILTER($H$2:$H450,$E$2:$E450=F3))"),1.0)</f>
        <v>1</v>
      </c>
    </row>
    <row r="4">
      <c r="A4" s="4"/>
      <c r="C4" s="4" t="s">
        <v>2639</v>
      </c>
      <c r="D4" s="4" t="str">
        <f t="shared" si="1"/>
        <v>{"valorA":"ótimo","valorB":1}</v>
      </c>
      <c r="E4" s="8" t="str">
        <f t="shared" si="2"/>
        <v>ótimo</v>
      </c>
      <c r="F4" s="8" t="str">
        <f>IFERROR(__xludf.DUMMYFUNCTION("""COMPUTED_VALUE"""),"ótimo")</f>
        <v>ótimo</v>
      </c>
      <c r="G4" s="8" t="str">
        <f t="shared" si="3"/>
        <v>1</v>
      </c>
      <c r="H4" s="9">
        <f t="shared" si="4"/>
        <v>1</v>
      </c>
      <c r="I4" s="10">
        <f>IFERROR(__xludf.DUMMYFUNCTION("MAX(FILTER($H$2:$H450,$E$2:$E450=F4))"),36.0)</f>
        <v>36</v>
      </c>
    </row>
    <row r="5">
      <c r="A5" s="4"/>
      <c r="C5" s="4" t="s">
        <v>2658</v>
      </c>
      <c r="D5" s="4" t="str">
        <f t="shared" si="1"/>
        <v>{"valorA":"e","valorB":1}</v>
      </c>
      <c r="E5" s="8" t="str">
        <f t="shared" si="2"/>
        <v>e</v>
      </c>
      <c r="F5" s="8" t="str">
        <f>IFERROR(__xludf.DUMMYFUNCTION("""COMPUTED_VALUE"""),"e")</f>
        <v>e</v>
      </c>
      <c r="G5" s="8" t="str">
        <f t="shared" si="3"/>
        <v>1</v>
      </c>
      <c r="H5" s="9">
        <f t="shared" si="4"/>
        <v>1</v>
      </c>
      <c r="I5" s="10">
        <f>IFERROR(__xludf.DUMMYFUNCTION("MAX(FILTER($H$2:$H450,$E$2:$E450=F5))"),8.0)</f>
        <v>8</v>
      </c>
    </row>
    <row r="6">
      <c r="A6" s="4"/>
      <c r="C6" s="4" t="s">
        <v>2652</v>
      </c>
      <c r="D6" s="4" t="str">
        <f t="shared" si="1"/>
        <v>{"valorA":"ótimo","valorB":2}</v>
      </c>
      <c r="E6" s="8" t="str">
        <f t="shared" si="2"/>
        <v>ótimo</v>
      </c>
      <c r="F6" s="8" t="str">
        <f>IFERROR(__xludf.DUMMYFUNCTION("""COMPUTED_VALUE"""),"lavadora")</f>
        <v>lavadora</v>
      </c>
      <c r="G6" s="8" t="str">
        <f t="shared" si="3"/>
        <v>2</v>
      </c>
      <c r="H6" s="9">
        <f t="shared" si="4"/>
        <v>2</v>
      </c>
      <c r="I6" s="10">
        <f>IFERROR(__xludf.DUMMYFUNCTION("MAX(FILTER($H$2:$H450,$E$2:$E450=F6))"),3.0)</f>
        <v>3</v>
      </c>
    </row>
    <row r="7">
      <c r="A7" s="4"/>
      <c r="C7" s="4" t="s">
        <v>3450</v>
      </c>
      <c r="D7" s="4" t="str">
        <f t="shared" si="1"/>
        <v>{"valorA":"lavadora","valorB":1}</v>
      </c>
      <c r="E7" s="8" t="str">
        <f t="shared" si="2"/>
        <v>lavadora</v>
      </c>
      <c r="F7" s="8" t="str">
        <f>IFERROR(__xludf.DUMMYFUNCTION("""COMPUTED_VALUE"""),"bem")</f>
        <v>bem</v>
      </c>
      <c r="G7" s="8" t="str">
        <f t="shared" si="3"/>
        <v>1</v>
      </c>
      <c r="H7" s="9">
        <f t="shared" si="4"/>
        <v>1</v>
      </c>
      <c r="I7" s="10">
        <f>IFERROR(__xludf.DUMMYFUNCTION("MAX(FILTER($H$2:$H450,$E$2:$E450=F7))"),11.0)</f>
        <v>11</v>
      </c>
    </row>
    <row r="8">
      <c r="A8" s="4"/>
      <c r="C8" s="4" t="s">
        <v>2675</v>
      </c>
      <c r="D8" s="4" t="str">
        <f t="shared" si="1"/>
        <v>{"valorA":"bem","valorB":1}</v>
      </c>
      <c r="E8" s="8" t="str">
        <f t="shared" si="2"/>
        <v>bem</v>
      </c>
      <c r="F8" s="8" t="str">
        <f>IFERROR(__xludf.DUMMYFUNCTION("""COMPUTED_VALUE"""),"do")</f>
        <v>do</v>
      </c>
      <c r="G8" s="8" t="str">
        <f t="shared" si="3"/>
        <v>1</v>
      </c>
      <c r="H8" s="9">
        <f t="shared" si="4"/>
        <v>1</v>
      </c>
      <c r="I8" s="10">
        <f>IFERROR(__xludf.DUMMYFUNCTION("MAX(FILTER($H$2:$H450,$E$2:$E450=F8))"),1.0)</f>
        <v>1</v>
      </c>
    </row>
    <row r="9">
      <c r="A9" s="4"/>
      <c r="C9" s="4" t="s">
        <v>2654</v>
      </c>
      <c r="D9" s="4" t="str">
        <f t="shared" si="1"/>
        <v>{"valorA":"do","valorB":1}</v>
      </c>
      <c r="E9" s="8" t="str">
        <f t="shared" si="2"/>
        <v>do</v>
      </c>
      <c r="F9" s="8" t="str">
        <f>IFERROR(__xludf.DUMMYFUNCTION("""COMPUTED_VALUE"""),"de")</f>
        <v>de</v>
      </c>
      <c r="G9" s="8" t="str">
        <f t="shared" si="3"/>
        <v>1</v>
      </c>
      <c r="H9" s="9">
        <f t="shared" si="4"/>
        <v>1</v>
      </c>
      <c r="I9" s="10">
        <f>IFERROR(__xludf.DUMMYFUNCTION("MAX(FILTER($H$2:$H450,$E$2:$E450=F9))"),19.0)</f>
        <v>19</v>
      </c>
    </row>
    <row r="10">
      <c r="A10" s="4"/>
      <c r="C10" s="4" t="s">
        <v>2653</v>
      </c>
      <c r="D10" s="4" t="str">
        <f t="shared" si="1"/>
        <v>{"valorA":"ótimo","valorB":3}</v>
      </c>
      <c r="E10" s="8" t="str">
        <f t="shared" si="2"/>
        <v>ótimo</v>
      </c>
      <c r="F10" s="8" t="str">
        <f>IFERROR(__xludf.DUMMYFUNCTION("""COMPUTED_VALUE"""),"mais")</f>
        <v>mais</v>
      </c>
      <c r="G10" s="8" t="str">
        <f t="shared" si="3"/>
        <v>3</v>
      </c>
      <c r="H10" s="9">
        <f t="shared" si="4"/>
        <v>3</v>
      </c>
      <c r="I10" s="10">
        <f>IFERROR(__xludf.DUMMYFUNCTION("MAX(FILTER($H$2:$H450,$E$2:$E450=F10))"),1.0)</f>
        <v>1</v>
      </c>
    </row>
    <row r="11">
      <c r="A11" s="4"/>
      <c r="C11" s="4" t="s">
        <v>2680</v>
      </c>
      <c r="D11" s="4" t="str">
        <f t="shared" si="1"/>
        <v>{"valorA":"de","valorB":1}</v>
      </c>
      <c r="E11" s="8" t="str">
        <f t="shared" si="2"/>
        <v>de</v>
      </c>
      <c r="F11" s="8" t="str">
        <f>IFERROR(__xludf.DUMMYFUNCTION("""COMPUTED_VALUE"""),"prataria")</f>
        <v>prataria</v>
      </c>
      <c r="G11" s="8" t="str">
        <f t="shared" si="3"/>
        <v>1</v>
      </c>
      <c r="H11" s="9">
        <f t="shared" si="4"/>
        <v>1</v>
      </c>
      <c r="I11" s="10">
        <f>IFERROR(__xludf.DUMMYFUNCTION("MAX(FILTER($H$2:$H450,$E$2:$E450=F11))"),2.0)</f>
        <v>2</v>
      </c>
    </row>
    <row r="12">
      <c r="A12" s="4"/>
      <c r="C12" s="4" t="s">
        <v>2772</v>
      </c>
      <c r="D12" s="4" t="str">
        <f t="shared" si="1"/>
        <v>{"valorA":"mais","valorB":1}</v>
      </c>
      <c r="E12" s="8" t="str">
        <f t="shared" si="2"/>
        <v>mais</v>
      </c>
      <c r="F12" s="8" t="str">
        <f>IFERROR(__xludf.DUMMYFUNCTION("""COMPUTED_VALUE"""),"novo")</f>
        <v>novo</v>
      </c>
      <c r="G12" s="8" t="str">
        <f t="shared" si="3"/>
        <v>1</v>
      </c>
      <c r="H12" s="9">
        <f t="shared" si="4"/>
        <v>1</v>
      </c>
      <c r="I12" s="10">
        <f>IFERROR(__xludf.DUMMYFUNCTION("MAX(FILTER($H$2:$H450,$E$2:$E450=F12))"),1.0)</f>
        <v>1</v>
      </c>
    </row>
    <row r="13">
      <c r="A13" s="4"/>
      <c r="C13" s="4" t="s">
        <v>3847</v>
      </c>
      <c r="D13" s="4" t="str">
        <f t="shared" si="1"/>
        <v>{"valorA":"prataria","valorB":1}</v>
      </c>
      <c r="E13" s="8" t="str">
        <f t="shared" si="2"/>
        <v>prataria</v>
      </c>
      <c r="F13" s="8" t="str">
        <f>IFERROR(__xludf.DUMMYFUNCTION("""COMPUTED_VALUE"""),"digital")</f>
        <v>digital</v>
      </c>
      <c r="G13" s="8" t="str">
        <f t="shared" si="3"/>
        <v>1</v>
      </c>
      <c r="H13" s="9">
        <f t="shared" si="4"/>
        <v>1</v>
      </c>
      <c r="I13" s="10">
        <f>IFERROR(__xludf.DUMMYFUNCTION("MAX(FILTER($H$2:$H450,$E$2:$E450=F13))"),1.0)</f>
        <v>1</v>
      </c>
    </row>
    <row r="14">
      <c r="A14" s="4"/>
      <c r="C14" s="4" t="s">
        <v>2952</v>
      </c>
      <c r="D14" s="4" t="str">
        <f t="shared" si="1"/>
        <v>{"valorA":"novo","valorB":1}</v>
      </c>
      <c r="E14" s="8" t="str">
        <f t="shared" si="2"/>
        <v>novo</v>
      </c>
      <c r="F14" s="8" t="str">
        <f>IFERROR(__xludf.DUMMYFUNCTION("""COMPUTED_VALUE"""),"antiga")</f>
        <v>antiga</v>
      </c>
      <c r="G14" s="8" t="str">
        <f t="shared" si="3"/>
        <v>1</v>
      </c>
      <c r="H14" s="9">
        <f t="shared" si="4"/>
        <v>1</v>
      </c>
      <c r="I14" s="10">
        <f>IFERROR(__xludf.DUMMYFUNCTION("MAX(FILTER($H$2:$H450,$E$2:$E450=F14))"),1.0)</f>
        <v>1</v>
      </c>
    </row>
    <row r="15">
      <c r="A15" s="4"/>
      <c r="C15" s="4" t="s">
        <v>3848</v>
      </c>
      <c r="D15" s="4" t="str">
        <f t="shared" si="1"/>
        <v>{"valorA":"digital","valorB":1}</v>
      </c>
      <c r="E15" s="8" t="str">
        <f t="shared" si="2"/>
        <v>digital</v>
      </c>
      <c r="F15" s="8" t="str">
        <f>IFERROR(__xludf.DUMMYFUNCTION("""COMPUTED_VALUE"""),"cabelo")</f>
        <v>cabelo</v>
      </c>
      <c r="G15" s="8" t="str">
        <f t="shared" si="3"/>
        <v>1</v>
      </c>
      <c r="H15" s="9">
        <f t="shared" si="4"/>
        <v>1</v>
      </c>
      <c r="I15" s="10">
        <f>IFERROR(__xludf.DUMMYFUNCTION("MAX(FILTER($H$2:$H450,$E$2:$E450=F15))"),6.0)</f>
        <v>6</v>
      </c>
    </row>
    <row r="16">
      <c r="A16" s="4"/>
      <c r="C16" s="4" t="s">
        <v>3849</v>
      </c>
      <c r="D16" s="4" t="str">
        <f t="shared" si="1"/>
        <v>{"valorA":"antiga","valorB":1}</v>
      </c>
      <c r="E16" s="8" t="str">
        <f t="shared" si="2"/>
        <v>antiga</v>
      </c>
      <c r="F16" s="8" t="str">
        <f>IFERROR(__xludf.DUMMYFUNCTION("""COMPUTED_VALUE"""),"o")</f>
        <v>o</v>
      </c>
      <c r="G16" s="8" t="str">
        <f t="shared" si="3"/>
        <v>1</v>
      </c>
      <c r="H16" s="9">
        <f t="shared" si="4"/>
        <v>1</v>
      </c>
      <c r="I16" s="10">
        <f>IFERROR(__xludf.DUMMYFUNCTION("MAX(FILTER($H$2:$H450,$E$2:$E450=F16))"),14.0)</f>
        <v>14</v>
      </c>
    </row>
    <row r="17">
      <c r="A17" s="4"/>
      <c r="C17" s="4" t="s">
        <v>3462</v>
      </c>
      <c r="D17" s="4" t="str">
        <f t="shared" si="1"/>
        <v>{"valorA":"cabelo","valorB":1}</v>
      </c>
      <c r="E17" s="8" t="str">
        <f t="shared" si="2"/>
        <v>cabelo</v>
      </c>
      <c r="F17" s="8" t="str">
        <f>IFERROR(__xludf.DUMMYFUNCTION("""COMPUTED_VALUE"""),"comentário")</f>
        <v>comentário</v>
      </c>
      <c r="G17" s="8" t="str">
        <f t="shared" si="3"/>
        <v>1</v>
      </c>
      <c r="H17" s="9">
        <f t="shared" si="4"/>
        <v>1</v>
      </c>
      <c r="I17" s="10">
        <f>IFERROR(__xludf.DUMMYFUNCTION("MAX(FILTER($H$2:$H450,$E$2:$E450=F17))"),4.0)</f>
        <v>4</v>
      </c>
    </row>
    <row r="18">
      <c r="A18" s="4"/>
      <c r="C18" s="4" t="s">
        <v>3850</v>
      </c>
      <c r="D18" s="4" t="str">
        <f t="shared" si="1"/>
        <v>{"valorA":"cabelo","valorB":2}</v>
      </c>
      <c r="E18" s="8" t="str">
        <f t="shared" si="2"/>
        <v>cabelo</v>
      </c>
      <c r="F18" s="8" t="str">
        <f>IFERROR(__xludf.DUMMYFUNCTION("""COMPUTED_VALUE"""),"certo")</f>
        <v>certo</v>
      </c>
      <c r="G18" s="8" t="str">
        <f t="shared" si="3"/>
        <v>2</v>
      </c>
      <c r="H18" s="9">
        <f t="shared" si="4"/>
        <v>2</v>
      </c>
      <c r="I18" s="10">
        <f>IFERROR(__xludf.DUMMYFUNCTION("MAX(FILTER($H$2:$H450,$E$2:$E450=F18))"),2.0)</f>
        <v>2</v>
      </c>
    </row>
    <row r="19">
      <c r="A19" s="4"/>
      <c r="C19" s="4" t="s">
        <v>2638</v>
      </c>
      <c r="D19" s="4" t="str">
        <f t="shared" si="1"/>
        <v>{"valorA":"o","valorB":1}</v>
      </c>
      <c r="E19" s="8" t="str">
        <f t="shared" si="2"/>
        <v>o</v>
      </c>
      <c r="F19" s="8" t="str">
        <f>IFERROR(__xludf.DUMMYFUNCTION("""COMPUTED_VALUE"""),"para")</f>
        <v>para</v>
      </c>
      <c r="G19" s="8" t="str">
        <f t="shared" si="3"/>
        <v>1</v>
      </c>
      <c r="H19" s="9">
        <f t="shared" si="4"/>
        <v>1</v>
      </c>
      <c r="I19" s="10">
        <f>IFERROR(__xludf.DUMMYFUNCTION("MAX(FILTER($H$2:$H450,$E$2:$E450=F19))"),14.0)</f>
        <v>14</v>
      </c>
    </row>
    <row r="20">
      <c r="A20" s="4"/>
      <c r="C20" s="4" t="s">
        <v>3416</v>
      </c>
      <c r="D20" s="4" t="str">
        <f t="shared" si="1"/>
        <v>{"valorA":"comentário","valorB":1}</v>
      </c>
      <c r="E20" s="8" t="str">
        <f t="shared" si="2"/>
        <v>comentário</v>
      </c>
      <c r="F20" s="8" t="str">
        <f>IFERROR(__xludf.DUMMYFUNCTION("""COMPUTED_VALUE"""),"meu")</f>
        <v>meu</v>
      </c>
      <c r="G20" s="8" t="str">
        <f t="shared" si="3"/>
        <v>1</v>
      </c>
      <c r="H20" s="9">
        <f t="shared" si="4"/>
        <v>1</v>
      </c>
      <c r="I20" s="10">
        <f>IFERROR(__xludf.DUMMYFUNCTION("MAX(FILTER($H$2:$H450,$E$2:$E450=F20))"),5.0)</f>
        <v>5</v>
      </c>
    </row>
    <row r="21">
      <c r="A21" s="4"/>
      <c r="C21" s="4" t="s">
        <v>3389</v>
      </c>
      <c r="D21" s="4" t="str">
        <f t="shared" si="1"/>
        <v>{"valorA":"certo","valorB":1}</v>
      </c>
      <c r="E21" s="8" t="str">
        <f t="shared" si="2"/>
        <v>certo</v>
      </c>
      <c r="F21" s="8" t="str">
        <f>IFERROR(__xludf.DUMMYFUNCTION("""COMPUTED_VALUE"""),"relogió")</f>
        <v>relogió</v>
      </c>
      <c r="G21" s="8" t="str">
        <f t="shared" si="3"/>
        <v>1</v>
      </c>
      <c r="H21" s="9">
        <f t="shared" si="4"/>
        <v>1</v>
      </c>
      <c r="I21" s="10">
        <f>IFERROR(__xludf.DUMMYFUNCTION("MAX(FILTER($H$2:$H450,$E$2:$E450=F21))"),1.0)</f>
        <v>1</v>
      </c>
    </row>
    <row r="22">
      <c r="A22" s="4"/>
      <c r="C22" s="4" t="s">
        <v>2627</v>
      </c>
      <c r="D22" s="4" t="str">
        <f t="shared" si="1"/>
        <v>{"valorA":"para","valorB":1}</v>
      </c>
      <c r="E22" s="8" t="str">
        <f t="shared" si="2"/>
        <v>para</v>
      </c>
      <c r="F22" s="8" t="str">
        <f>IFERROR(__xludf.DUMMYFUNCTION("""COMPUTED_VALUE"""),"a")</f>
        <v>a</v>
      </c>
      <c r="G22" s="8" t="str">
        <f t="shared" si="3"/>
        <v>1</v>
      </c>
      <c r="H22" s="9">
        <f t="shared" si="4"/>
        <v>1</v>
      </c>
      <c r="I22" s="10">
        <f>IFERROR(__xludf.DUMMYFUNCTION("MAX(FILTER($H$2:$H450,$E$2:$E450=F22))"),7.0)</f>
        <v>7</v>
      </c>
    </row>
    <row r="23">
      <c r="A23" s="4"/>
      <c r="C23" s="4" t="s">
        <v>2691</v>
      </c>
      <c r="D23" s="4" t="str">
        <f t="shared" si="1"/>
        <v>{"valorA":"o","valorB":2}</v>
      </c>
      <c r="E23" s="8" t="str">
        <f t="shared" si="2"/>
        <v>o</v>
      </c>
      <c r="F23" s="8" t="str">
        <f>IFERROR(__xludf.DUMMYFUNCTION("""COMPUTED_VALUE"""),"barato")</f>
        <v>barato</v>
      </c>
      <c r="G23" s="8" t="str">
        <f t="shared" si="3"/>
        <v>2</v>
      </c>
      <c r="H23" s="9">
        <f t="shared" si="4"/>
        <v>2</v>
      </c>
      <c r="I23" s="10">
        <f>IFERROR(__xludf.DUMMYFUNCTION("MAX(FILTER($H$2:$H450,$E$2:$E450=F23))"),1.0)</f>
        <v>1</v>
      </c>
    </row>
    <row r="24">
      <c r="A24" s="4"/>
      <c r="C24" s="4" t="s">
        <v>2670</v>
      </c>
      <c r="D24" s="4" t="str">
        <f t="shared" si="1"/>
        <v>{"valorA":"meu","valorB":1}</v>
      </c>
      <c r="E24" s="8" t="str">
        <f t="shared" si="2"/>
        <v>meu</v>
      </c>
      <c r="F24" s="8" t="str">
        <f>IFERROR(__xludf.DUMMYFUNCTION("""COMPUTED_VALUE"""),"produto")</f>
        <v>produto</v>
      </c>
      <c r="G24" s="8" t="str">
        <f t="shared" si="3"/>
        <v>1</v>
      </c>
      <c r="H24" s="9">
        <f t="shared" si="4"/>
        <v>1</v>
      </c>
      <c r="I24" s="10">
        <f>IFERROR(__xludf.DUMMYFUNCTION("MAX(FILTER($H$2:$H450,$E$2:$E450=F24))"),3.0)</f>
        <v>3</v>
      </c>
    </row>
    <row r="25">
      <c r="A25" s="4"/>
      <c r="C25" s="4" t="s">
        <v>3851</v>
      </c>
      <c r="D25" s="4" t="str">
        <f t="shared" si="1"/>
        <v>{"valorA":"relogió","valorB":1}</v>
      </c>
      <c r="E25" s="8" t="str">
        <f t="shared" si="2"/>
        <v>relogió</v>
      </c>
      <c r="F25" s="8" t="str">
        <f>IFERROR(__xludf.DUMMYFUNCTION("""COMPUTED_VALUE"""),"que")</f>
        <v>que</v>
      </c>
      <c r="G25" s="8" t="str">
        <f t="shared" si="3"/>
        <v>1</v>
      </c>
      <c r="H25" s="9">
        <f t="shared" si="4"/>
        <v>1</v>
      </c>
      <c r="I25" s="10">
        <f>IFERROR(__xludf.DUMMYFUNCTION("MAX(FILTER($H$2:$H450,$E$2:$E450=F25))"),7.0)</f>
        <v>7</v>
      </c>
    </row>
    <row r="26">
      <c r="A26" s="4"/>
      <c r="C26" s="4" t="s">
        <v>2647</v>
      </c>
      <c r="D26" s="4" t="str">
        <f t="shared" si="1"/>
        <v>{"valorA":"a","valorB":1}</v>
      </c>
      <c r="E26" s="8" t="str">
        <f t="shared" si="2"/>
        <v>a</v>
      </c>
      <c r="F26" s="8" t="str">
        <f>IFERROR(__xludf.DUMMYFUNCTION("""COMPUTED_VALUE"""),"amfm")</f>
        <v>amfm</v>
      </c>
      <c r="G26" s="8" t="str">
        <f t="shared" si="3"/>
        <v>1</v>
      </c>
      <c r="H26" s="9">
        <f t="shared" si="4"/>
        <v>1</v>
      </c>
      <c r="I26" s="10">
        <f>IFERROR(__xludf.DUMMYFUNCTION("MAX(FILTER($H$2:$H450,$E$2:$E450=F26))"),1.0)</f>
        <v>1</v>
      </c>
    </row>
    <row r="27">
      <c r="A27" s="4"/>
      <c r="C27" s="4" t="s">
        <v>2777</v>
      </c>
      <c r="D27" s="4" t="str">
        <f t="shared" si="1"/>
        <v>{"valorA":"meu","valorB":2}</v>
      </c>
      <c r="E27" s="8" t="str">
        <f t="shared" si="2"/>
        <v>meu</v>
      </c>
      <c r="F27" s="8" t="str">
        <f>IFERROR(__xludf.DUMMYFUNCTION("""COMPUTED_VALUE"""),"recomendo")</f>
        <v>recomendo</v>
      </c>
      <c r="G27" s="8" t="str">
        <f t="shared" si="3"/>
        <v>2</v>
      </c>
      <c r="H27" s="9">
        <f t="shared" si="4"/>
        <v>2</v>
      </c>
      <c r="I27" s="10">
        <f>IFERROR(__xludf.DUMMYFUNCTION("MAX(FILTER($H$2:$H450,$E$2:$E450=F27))"),7.0)</f>
        <v>7</v>
      </c>
    </row>
    <row r="28">
      <c r="A28" s="4"/>
      <c r="C28" s="4" t="s">
        <v>2775</v>
      </c>
      <c r="D28" s="4" t="str">
        <f t="shared" si="1"/>
        <v>{"valorA":"barato","valorB":1}</v>
      </c>
      <c r="E28" s="8" t="str">
        <f t="shared" si="2"/>
        <v>barato</v>
      </c>
      <c r="F28" s="8" t="str">
        <f>IFERROR(__xludf.DUMMYFUNCTION("""COMPUTED_VALUE"""),"minha")</f>
        <v>minha</v>
      </c>
      <c r="G28" s="8" t="str">
        <f t="shared" si="3"/>
        <v>1</v>
      </c>
      <c r="H28" s="9">
        <f t="shared" si="4"/>
        <v>1</v>
      </c>
      <c r="I28" s="10">
        <f>IFERROR(__xludf.DUMMYFUNCTION("MAX(FILTER($H$2:$H450,$E$2:$E450=F28))"),2.0)</f>
        <v>2</v>
      </c>
    </row>
    <row r="29">
      <c r="A29" s="4"/>
      <c r="C29" s="4" t="s">
        <v>2657</v>
      </c>
      <c r="D29" s="4" t="str">
        <f t="shared" si="1"/>
        <v>{"valorA":"ótimo","valorB":4}</v>
      </c>
      <c r="E29" s="8" t="str">
        <f t="shared" si="2"/>
        <v>ótimo</v>
      </c>
      <c r="F29" s="8" t="str">
        <f>IFERROR(__xludf.DUMMYFUNCTION("""COMPUTED_VALUE"""),"gosto")</f>
        <v>gosto</v>
      </c>
      <c r="G29" s="8" t="str">
        <f t="shared" si="3"/>
        <v>4</v>
      </c>
      <c r="H29" s="9">
        <f t="shared" si="4"/>
        <v>4</v>
      </c>
      <c r="I29" s="10">
        <f>IFERROR(__xludf.DUMMYFUNCTION("MAX(FILTER($H$2:$H450,$E$2:$E450=F29))"),5.0)</f>
        <v>5</v>
      </c>
    </row>
    <row r="30">
      <c r="A30" s="4"/>
      <c r="C30" s="4" t="s">
        <v>2634</v>
      </c>
      <c r="D30" s="4" t="str">
        <f t="shared" si="1"/>
        <v>{"valorA":"produto","valorB":1}</v>
      </c>
      <c r="E30" s="8" t="str">
        <f t="shared" si="2"/>
        <v>produto</v>
      </c>
      <c r="F30" s="8" t="str">
        <f>IFERROR(__xludf.DUMMYFUNCTION("""COMPUTED_VALUE"""),"rádio")</f>
        <v>rádio</v>
      </c>
      <c r="G30" s="8" t="str">
        <f t="shared" si="3"/>
        <v>1</v>
      </c>
      <c r="H30" s="9">
        <f t="shared" si="4"/>
        <v>1</v>
      </c>
      <c r="I30" s="10">
        <f>IFERROR(__xludf.DUMMYFUNCTION("MAX(FILTER($H$2:$H450,$E$2:$E450=F30))"),1.0)</f>
        <v>1</v>
      </c>
    </row>
    <row r="31">
      <c r="A31" s="4"/>
      <c r="C31" s="4" t="s">
        <v>2642</v>
      </c>
      <c r="D31" s="4" t="str">
        <f t="shared" si="1"/>
        <v>{"valorA":"que","valorB":1}</v>
      </c>
      <c r="E31" s="8" t="str">
        <f t="shared" si="2"/>
        <v>que</v>
      </c>
      <c r="F31" s="8" t="str">
        <f>IFERROR(__xludf.DUMMYFUNCTION("""COMPUTED_VALUE"""),"muito")</f>
        <v>muito</v>
      </c>
      <c r="G31" s="8" t="str">
        <f t="shared" si="3"/>
        <v>1</v>
      </c>
      <c r="H31" s="9">
        <f t="shared" si="4"/>
        <v>1</v>
      </c>
      <c r="I31" s="10">
        <f>IFERROR(__xludf.DUMMYFUNCTION("MAX(FILTER($H$2:$H450,$E$2:$E450=F31))"),21.0)</f>
        <v>21</v>
      </c>
    </row>
    <row r="32">
      <c r="A32" s="4"/>
      <c r="C32" s="4" t="s">
        <v>3852</v>
      </c>
      <c r="D32" s="4" t="str">
        <f t="shared" si="1"/>
        <v>{"valorA":"amfm","valorB":1}</v>
      </c>
      <c r="E32" s="8" t="str">
        <f t="shared" si="2"/>
        <v>amfm</v>
      </c>
      <c r="F32" s="8" t="str">
        <f>IFERROR(__xludf.DUMMYFUNCTION("""COMPUTED_VALUE"""),"desse")</f>
        <v>desse</v>
      </c>
      <c r="G32" s="8" t="str">
        <f t="shared" si="3"/>
        <v>1</v>
      </c>
      <c r="H32" s="9">
        <f t="shared" si="4"/>
        <v>1</v>
      </c>
      <c r="I32" s="10">
        <f>IFERROR(__xludf.DUMMYFUNCTION("MAX(FILTER($H$2:$H450,$E$2:$E450=F32))"),2.0)</f>
        <v>2</v>
      </c>
    </row>
    <row r="33">
      <c r="A33" s="4"/>
      <c r="C33" s="4" t="s">
        <v>2724</v>
      </c>
      <c r="D33" s="4" t="str">
        <f t="shared" si="1"/>
        <v>{"valorA":"recomendo","valorB":1}</v>
      </c>
      <c r="E33" s="8" t="str">
        <f t="shared" si="2"/>
        <v>recomendo</v>
      </c>
      <c r="F33" s="8" t="str">
        <f>IFERROR(__xludf.DUMMYFUNCTION("""COMPUTED_VALUE"""),"leitor")</f>
        <v>leitor</v>
      </c>
      <c r="G33" s="8" t="str">
        <f t="shared" si="3"/>
        <v>1</v>
      </c>
      <c r="H33" s="9">
        <f t="shared" si="4"/>
        <v>1</v>
      </c>
      <c r="I33" s="10">
        <f>IFERROR(__xludf.DUMMYFUNCTION("MAX(FILTER($H$2:$H450,$E$2:$E450=F33))"),2.0)</f>
        <v>2</v>
      </c>
    </row>
    <row r="34">
      <c r="A34" s="4"/>
      <c r="C34" s="4" t="s">
        <v>3853</v>
      </c>
      <c r="D34" s="4" t="str">
        <f t="shared" si="1"/>
        <v>{"valorA":"minha","valorB":1}</v>
      </c>
      <c r="E34" s="8" t="str">
        <f t="shared" si="2"/>
        <v>minha</v>
      </c>
      <c r="F34" s="8" t="str">
        <f>IFERROR(__xludf.DUMMYFUNCTION("""COMPUTED_VALUE"""),"funciona")</f>
        <v>funciona</v>
      </c>
      <c r="G34" s="8" t="str">
        <f t="shared" si="3"/>
        <v>1</v>
      </c>
      <c r="H34" s="9">
        <f t="shared" si="4"/>
        <v>1</v>
      </c>
      <c r="I34" s="10">
        <f>IFERROR(__xludf.DUMMYFUNCTION("MAX(FILTER($H$2:$H450,$E$2:$E450=F34))"),12.0)</f>
        <v>12</v>
      </c>
    </row>
    <row r="35">
      <c r="A35" s="4"/>
      <c r="C35" s="4" t="s">
        <v>2895</v>
      </c>
      <c r="D35" s="4" t="str">
        <f t="shared" si="1"/>
        <v>{"valorA":"gosto","valorB":1}</v>
      </c>
      <c r="E35" s="8" t="str">
        <f t="shared" si="2"/>
        <v>gosto</v>
      </c>
      <c r="F35" s="8" t="str">
        <f>IFERROR(__xludf.DUMMYFUNCTION("""COMPUTED_VALUE"""),"ebooks")</f>
        <v>ebooks</v>
      </c>
      <c r="G35" s="8" t="str">
        <f t="shared" si="3"/>
        <v>1</v>
      </c>
      <c r="H35" s="9">
        <f t="shared" si="4"/>
        <v>1</v>
      </c>
      <c r="I35" s="10">
        <f>IFERROR(__xludf.DUMMYFUNCTION("MAX(FILTER($H$2:$H450,$E$2:$E450=F35))"),1.0)</f>
        <v>1</v>
      </c>
    </row>
    <row r="36">
      <c r="A36" s="4"/>
      <c r="C36" s="4" t="s">
        <v>3854</v>
      </c>
      <c r="D36" s="4" t="str">
        <f t="shared" si="1"/>
        <v>{"valorA":"rádio","valorB":1}</v>
      </c>
      <c r="E36" s="8" t="str">
        <f t="shared" si="2"/>
        <v>rádio</v>
      </c>
      <c r="F36" s="8" t="str">
        <f>IFERROR(__xludf.DUMMYFUNCTION("""COMPUTED_VALUE"""),"minhas")</f>
        <v>minhas</v>
      </c>
      <c r="G36" s="8" t="str">
        <f t="shared" si="3"/>
        <v>1</v>
      </c>
      <c r="H36" s="9">
        <f t="shared" si="4"/>
        <v>1</v>
      </c>
      <c r="I36" s="10">
        <f>IFERROR(__xludf.DUMMYFUNCTION("MAX(FILTER($H$2:$H450,$E$2:$E450=F36))"),1.0)</f>
        <v>1</v>
      </c>
    </row>
    <row r="37">
      <c r="A37" s="4"/>
      <c r="C37" s="4" t="s">
        <v>2637</v>
      </c>
      <c r="D37" s="4" t="str">
        <f t="shared" si="1"/>
        <v>{"valorA":"muito","valorB":1}</v>
      </c>
      <c r="E37" s="8" t="str">
        <f t="shared" si="2"/>
        <v>muito</v>
      </c>
      <c r="F37" s="8" t="str">
        <f>IFERROR(__xludf.DUMMYFUNCTION("""COMPUTED_VALUE"""),"em")</f>
        <v>em</v>
      </c>
      <c r="G37" s="8" t="str">
        <f t="shared" si="3"/>
        <v>1</v>
      </c>
      <c r="H37" s="9">
        <f t="shared" si="4"/>
        <v>1</v>
      </c>
      <c r="I37" s="10">
        <f>IFERROR(__xludf.DUMMYFUNCTION("MAX(FILTER($H$2:$H450,$E$2:$E450=F37))"),5.0)</f>
        <v>5</v>
      </c>
    </row>
    <row r="38">
      <c r="A38" s="4"/>
      <c r="C38" s="4" t="s">
        <v>2632</v>
      </c>
      <c r="D38" s="4" t="str">
        <f t="shared" si="1"/>
        <v>{"valorA":"desse","valorB":1}</v>
      </c>
      <c r="E38" s="8" t="str">
        <f t="shared" si="2"/>
        <v>desse</v>
      </c>
      <c r="F38" s="8" t="str">
        <f>IFERROR(__xludf.DUMMYFUNCTION("""COMPUTED_VALUE"""),"as")</f>
        <v>as</v>
      </c>
      <c r="G38" s="8" t="str">
        <f t="shared" si="3"/>
        <v>1</v>
      </c>
      <c r="H38" s="9">
        <f t="shared" si="4"/>
        <v>1</v>
      </c>
      <c r="I38" s="10">
        <f>IFERROR(__xludf.DUMMYFUNCTION("MAX(FILTER($H$2:$H450,$E$2:$E450=F38))"),1.0)</f>
        <v>1</v>
      </c>
    </row>
    <row r="39">
      <c r="A39" s="4"/>
      <c r="C39" s="4" t="s">
        <v>2659</v>
      </c>
      <c r="D39" s="4" t="str">
        <f t="shared" si="1"/>
        <v>{"valorA":"ótimo","valorB":5}</v>
      </c>
      <c r="E39" s="8" t="str">
        <f t="shared" si="2"/>
        <v>ótimo</v>
      </c>
      <c r="F39" s="8" t="str">
        <f>IFERROR(__xludf.DUMMYFUNCTION("""COMPUTED_VALUE"""),"devices")</f>
        <v>devices</v>
      </c>
      <c r="G39" s="8" t="str">
        <f t="shared" si="3"/>
        <v>5</v>
      </c>
      <c r="H39" s="9">
        <f t="shared" si="4"/>
        <v>5</v>
      </c>
      <c r="I39" s="10">
        <f>IFERROR(__xludf.DUMMYFUNCTION("MAX(FILTER($H$2:$H450,$E$2:$E450=F39))"),1.0)</f>
        <v>1</v>
      </c>
    </row>
    <row r="40">
      <c r="A40" s="4"/>
      <c r="C40" s="4" t="s">
        <v>3206</v>
      </c>
      <c r="D40" s="4" t="str">
        <f t="shared" si="1"/>
        <v>{"valorA":"leitor","valorB":1}</v>
      </c>
      <c r="E40" s="8" t="str">
        <f t="shared" si="2"/>
        <v>leitor</v>
      </c>
      <c r="F40" s="8" t="str">
        <f>IFERROR(__xludf.DUMMYFUNCTION("""COMPUTED_VALUE"""),"todas")</f>
        <v>todas</v>
      </c>
      <c r="G40" s="8" t="str">
        <f t="shared" si="3"/>
        <v>1</v>
      </c>
      <c r="H40" s="9">
        <f t="shared" si="4"/>
        <v>1</v>
      </c>
      <c r="I40" s="10">
        <f>IFERROR(__xludf.DUMMYFUNCTION("MAX(FILTER($H$2:$H450,$E$2:$E450=F40))"),1.0)</f>
        <v>1</v>
      </c>
    </row>
    <row r="41">
      <c r="A41" s="4"/>
      <c r="C41" s="4" t="s">
        <v>2720</v>
      </c>
      <c r="D41" s="4" t="str">
        <f t="shared" si="1"/>
        <v>{"valorA":"de","valorB":2}</v>
      </c>
      <c r="E41" s="8" t="str">
        <f t="shared" si="2"/>
        <v>de</v>
      </c>
      <c r="F41" s="8" t="str">
        <f>IFERROR(__xludf.DUMMYFUNCTION("""COMPUTED_VALUE"""),"franzido")</f>
        <v>franzido</v>
      </c>
      <c r="G41" s="8" t="str">
        <f t="shared" si="3"/>
        <v>2</v>
      </c>
      <c r="H41" s="9">
        <f t="shared" si="4"/>
        <v>2</v>
      </c>
      <c r="I41" s="10">
        <f>IFERROR(__xludf.DUMMYFUNCTION("MAX(FILTER($H$2:$H450,$E$2:$E450=F41))"),1.0)</f>
        <v>1</v>
      </c>
    </row>
    <row r="42">
      <c r="A42" s="4"/>
      <c r="C42" s="4" t="s">
        <v>2624</v>
      </c>
      <c r="D42" s="4" t="str">
        <f t="shared" si="1"/>
        <v>{"valorA":"funciona","valorB":1}</v>
      </c>
      <c r="E42" s="8" t="str">
        <f t="shared" si="2"/>
        <v>funciona</v>
      </c>
      <c r="F42" s="8" t="str">
        <f>IFERROR(__xludf.DUMMYFUNCTION("""COMPUTED_VALUE"""),"óptico")</f>
        <v>óptico</v>
      </c>
      <c r="G42" s="8" t="str">
        <f t="shared" si="3"/>
        <v>1</v>
      </c>
      <c r="H42" s="9">
        <f t="shared" si="4"/>
        <v>1</v>
      </c>
      <c r="I42" s="10">
        <f>IFERROR(__xludf.DUMMYFUNCTION("MAX(FILTER($H$2:$H450,$E$2:$E450=F42))"),1.0)</f>
        <v>1</v>
      </c>
    </row>
    <row r="43">
      <c r="A43" s="4"/>
      <c r="C43" s="4" t="s">
        <v>3855</v>
      </c>
      <c r="D43" s="4" t="str">
        <f t="shared" si="1"/>
        <v>{"valorA":"ebooks","valorB":1}</v>
      </c>
      <c r="E43" s="8" t="str">
        <f t="shared" si="2"/>
        <v>ebooks</v>
      </c>
      <c r="F43" s="8" t="str">
        <f>IFERROR(__xludf.DUMMYFUNCTION("""COMPUTED_VALUE"""),"incrível")</f>
        <v>incrível</v>
      </c>
      <c r="G43" s="8" t="str">
        <f t="shared" si="3"/>
        <v>1</v>
      </c>
      <c r="H43" s="9">
        <f t="shared" si="4"/>
        <v>1</v>
      </c>
      <c r="I43" s="10">
        <f>IFERROR(__xludf.DUMMYFUNCTION("MAX(FILTER($H$2:$H450,$E$2:$E450=F43))"),2.0)</f>
        <v>2</v>
      </c>
    </row>
    <row r="44">
      <c r="A44" s="4"/>
      <c r="C44" s="4" t="s">
        <v>2803</v>
      </c>
      <c r="D44" s="4" t="str">
        <f t="shared" si="1"/>
        <v>{"valorA":"minhas","valorB":1}</v>
      </c>
      <c r="E44" s="8" t="str">
        <f t="shared" si="2"/>
        <v>minhas</v>
      </c>
      <c r="F44" s="8" t="str">
        <f>IFERROR(__xludf.DUMMYFUNCTION("""COMPUTED_VALUE"""),"amo")</f>
        <v>amo</v>
      </c>
      <c r="G44" s="8" t="str">
        <f t="shared" si="3"/>
        <v>1</v>
      </c>
      <c r="H44" s="9">
        <f t="shared" si="4"/>
        <v>1</v>
      </c>
      <c r="I44" s="10">
        <f>IFERROR(__xludf.DUMMYFUNCTION("MAX(FILTER($H$2:$H450,$E$2:$E450=F44))"),1.0)</f>
        <v>1</v>
      </c>
    </row>
    <row r="45">
      <c r="A45" s="4"/>
      <c r="C45" s="4" t="s">
        <v>3189</v>
      </c>
      <c r="D45" s="4" t="str">
        <f t="shared" si="1"/>
        <v>{"valorA":"em","valorB":1}</v>
      </c>
      <c r="E45" s="8" t="str">
        <f t="shared" si="2"/>
        <v>em</v>
      </c>
      <c r="F45" s="8" t="str">
        <f>IFERROR(__xludf.DUMMYFUNCTION("""COMPUTED_VALUE"""),"eu")</f>
        <v>eu</v>
      </c>
      <c r="G45" s="8" t="str">
        <f t="shared" si="3"/>
        <v>1</v>
      </c>
      <c r="H45" s="9">
        <f t="shared" si="4"/>
        <v>1</v>
      </c>
      <c r="I45" s="10">
        <f>IFERROR(__xludf.DUMMYFUNCTION("MAX(FILTER($H$2:$H450,$E$2:$E450=F45))"),2.0)</f>
        <v>2</v>
      </c>
    </row>
    <row r="46">
      <c r="A46" s="4"/>
      <c r="C46" s="4" t="s">
        <v>2763</v>
      </c>
      <c r="D46" s="4" t="str">
        <f t="shared" si="1"/>
        <v>{"valorA":"as","valorB":1}</v>
      </c>
      <c r="E46" s="8" t="str">
        <f t="shared" si="2"/>
        <v>as</v>
      </c>
      <c r="F46" s="8" t="str">
        <f>IFERROR(__xludf.DUMMYFUNCTION("""COMPUTED_VALUE"""),"cadeado")</f>
        <v>cadeado</v>
      </c>
      <c r="G46" s="8" t="str">
        <f t="shared" si="3"/>
        <v>1</v>
      </c>
      <c r="H46" s="9">
        <f t="shared" si="4"/>
        <v>1</v>
      </c>
      <c r="I46" s="10">
        <f>IFERROR(__xludf.DUMMYFUNCTION("MAX(FILTER($H$2:$H450,$E$2:$E450=F46))"),1.0)</f>
        <v>1</v>
      </c>
    </row>
    <row r="47">
      <c r="A47" s="4"/>
      <c r="C47" s="4" t="s">
        <v>2663</v>
      </c>
      <c r="D47" s="4" t="str">
        <f t="shared" si="1"/>
        <v>{"valorA":"muito","valorB":2}</v>
      </c>
      <c r="E47" s="8" t="str">
        <f t="shared" si="2"/>
        <v>muito</v>
      </c>
      <c r="F47" s="8" t="str">
        <f>IFERROR(__xludf.DUMMYFUNCTION("""COMPUTED_VALUE"""),"da")</f>
        <v>da</v>
      </c>
      <c r="G47" s="8" t="str">
        <f t="shared" si="3"/>
        <v>2</v>
      </c>
      <c r="H47" s="9">
        <f t="shared" si="4"/>
        <v>2</v>
      </c>
      <c r="I47" s="10">
        <f>IFERROR(__xludf.DUMMYFUNCTION("MAX(FILTER($H$2:$H450,$E$2:$E450=F47))"),2.0)</f>
        <v>2</v>
      </c>
    </row>
    <row r="48">
      <c r="A48" s="4"/>
      <c r="C48" s="4" t="s">
        <v>2731</v>
      </c>
      <c r="D48" s="4" t="str">
        <f t="shared" si="1"/>
        <v>{"valorA":"bem","valorB":2}</v>
      </c>
      <c r="E48" s="8" t="str">
        <f t="shared" si="2"/>
        <v>bem</v>
      </c>
      <c r="F48" s="8" t="str">
        <f>IFERROR(__xludf.DUMMYFUNCTION("""COMPUTED_VALUE"""),"porta")</f>
        <v>porta</v>
      </c>
      <c r="G48" s="8" t="str">
        <f t="shared" si="3"/>
        <v>2</v>
      </c>
      <c r="H48" s="9">
        <f t="shared" si="4"/>
        <v>2</v>
      </c>
      <c r="I48" s="10">
        <f>IFERROR(__xludf.DUMMYFUNCTION("MAX(FILTER($H$2:$H450,$E$2:$E450=F48))"),1.0)</f>
        <v>1</v>
      </c>
    </row>
    <row r="49">
      <c r="A49" s="4"/>
      <c r="C49" s="4" t="s">
        <v>3856</v>
      </c>
      <c r="D49" s="4" t="str">
        <f t="shared" si="1"/>
        <v>{"valorA":"devices","valorB":1}</v>
      </c>
      <c r="E49" s="8" t="str">
        <f t="shared" si="2"/>
        <v>devices</v>
      </c>
      <c r="F49" s="8" t="str">
        <f>IFERROR(__xludf.DUMMYFUNCTION("""COMPUTED_VALUE"""),"garagem")</f>
        <v>garagem</v>
      </c>
      <c r="G49" s="8" t="str">
        <f t="shared" si="3"/>
        <v>1</v>
      </c>
      <c r="H49" s="9">
        <f t="shared" si="4"/>
        <v>1</v>
      </c>
      <c r="I49" s="10">
        <f>IFERROR(__xludf.DUMMYFUNCTION("MAX(FILTER($H$2:$H450,$E$2:$E450=F49))"),1.0)</f>
        <v>1</v>
      </c>
    </row>
    <row r="50">
      <c r="A50" s="4"/>
      <c r="C50" s="4" t="s">
        <v>3857</v>
      </c>
      <c r="D50" s="4" t="str">
        <f t="shared" si="1"/>
        <v>{"valorA":"todas","valorB":1}</v>
      </c>
      <c r="E50" s="8" t="str">
        <f t="shared" si="2"/>
        <v>todas</v>
      </c>
      <c r="F50" s="8" t="str">
        <f>IFERROR(__xludf.DUMMYFUNCTION("""COMPUTED_VALUE"""),"momento")</f>
        <v>momento</v>
      </c>
      <c r="G50" s="8" t="str">
        <f t="shared" si="3"/>
        <v>1</v>
      </c>
      <c r="H50" s="9">
        <f t="shared" si="4"/>
        <v>1</v>
      </c>
      <c r="I50" s="10">
        <f>IFERROR(__xludf.DUMMYFUNCTION("MAX(FILTER($H$2:$H450,$E$2:$E450=F50))"),2.0)</f>
        <v>2</v>
      </c>
    </row>
    <row r="51">
      <c r="A51" s="4"/>
      <c r="C51" s="4" t="s">
        <v>2662</v>
      </c>
      <c r="D51" s="4" t="str">
        <f t="shared" si="1"/>
        <v>{"valorA":"ótimo","valorB":6}</v>
      </c>
      <c r="E51" s="8" t="str">
        <f t="shared" si="2"/>
        <v>ótimo</v>
      </c>
      <c r="F51" s="8" t="str">
        <f>IFERROR(__xludf.DUMMYFUNCTION("""COMPUTED_VALUE"""),"ótima")</f>
        <v>ótima</v>
      </c>
      <c r="G51" s="8" t="str">
        <f t="shared" si="3"/>
        <v>6</v>
      </c>
      <c r="H51" s="9">
        <f t="shared" si="4"/>
        <v>6</v>
      </c>
      <c r="I51" s="10">
        <f>IFERROR(__xludf.DUMMYFUNCTION("MAX(FILTER($H$2:$H450,$E$2:$E450=F51))"),11.0)</f>
        <v>11</v>
      </c>
    </row>
    <row r="52">
      <c r="A52" s="4"/>
      <c r="C52" s="4" t="s">
        <v>3858</v>
      </c>
      <c r="D52" s="4" t="str">
        <f t="shared" si="1"/>
        <v>{"valorA":"certo","valorB":2}</v>
      </c>
      <c r="E52" s="8" t="str">
        <f t="shared" si="2"/>
        <v>certo</v>
      </c>
      <c r="F52" s="8" t="str">
        <f>IFERROR(__xludf.DUMMYFUNCTION("""COMPUTED_VALUE"""),"comprei")</f>
        <v>comprei</v>
      </c>
      <c r="G52" s="8" t="str">
        <f t="shared" si="3"/>
        <v>2</v>
      </c>
      <c r="H52" s="9">
        <f t="shared" si="4"/>
        <v>2</v>
      </c>
      <c r="I52" s="10">
        <f>IFERROR(__xludf.DUMMYFUNCTION("MAX(FILTER($H$2:$H450,$E$2:$E450=F52))"),4.0)</f>
        <v>4</v>
      </c>
    </row>
    <row r="53">
      <c r="A53" s="4"/>
      <c r="C53" s="4" t="s">
        <v>2897</v>
      </c>
      <c r="D53" s="4" t="str">
        <f t="shared" si="1"/>
        <v>{"valorA":"meu","valorB":3}</v>
      </c>
      <c r="E53" s="8" t="str">
        <f t="shared" si="2"/>
        <v>meu</v>
      </c>
      <c r="F53" s="8" t="str">
        <f>IFERROR(__xludf.DUMMYFUNCTION("""COMPUTED_VALUE"""),"com")</f>
        <v>com</v>
      </c>
      <c r="G53" s="8" t="str">
        <f t="shared" si="3"/>
        <v>3</v>
      </c>
      <c r="H53" s="9">
        <f t="shared" si="4"/>
        <v>3</v>
      </c>
      <c r="I53" s="10">
        <f>IFERROR(__xludf.DUMMYFUNCTION("MAX(FILTER($H$2:$H450,$E$2:$E450=F53))"),11.0)</f>
        <v>11</v>
      </c>
    </row>
    <row r="54">
      <c r="A54" s="4"/>
      <c r="C54" s="4" t="s">
        <v>3859</v>
      </c>
      <c r="D54" s="4" t="str">
        <f t="shared" si="1"/>
        <v>{"valorA":"cabelo","valorB":3}</v>
      </c>
      <c r="E54" s="8" t="str">
        <f t="shared" si="2"/>
        <v>cabelo</v>
      </c>
      <c r="F54" s="8" t="str">
        <f>IFERROR(__xludf.DUMMYFUNCTION("""COMPUTED_VALUE"""),"limpavassoura")</f>
        <v>limpavassoura</v>
      </c>
      <c r="G54" s="8" t="str">
        <f t="shared" si="3"/>
        <v>3</v>
      </c>
      <c r="H54" s="9">
        <f t="shared" si="4"/>
        <v>3</v>
      </c>
      <c r="I54" s="10">
        <f>IFERROR(__xludf.DUMMYFUNCTION("MAX(FILTER($H$2:$H450,$E$2:$E450=F54))"),1.0)</f>
        <v>1</v>
      </c>
    </row>
    <row r="55">
      <c r="A55" s="4"/>
      <c r="C55" s="4" t="s">
        <v>3860</v>
      </c>
      <c r="D55" s="4" t="str">
        <f t="shared" si="1"/>
        <v>{"valorA":"franzido","valorB":1}</v>
      </c>
      <c r="E55" s="8" t="str">
        <f t="shared" si="2"/>
        <v>franzido</v>
      </c>
      <c r="F55" s="8" t="str">
        <f>IFERROR(__xludf.DUMMYFUNCTION("""COMPUTED_VALUE"""),"perfeitamente")</f>
        <v>perfeitamente</v>
      </c>
      <c r="G55" s="8" t="str">
        <f t="shared" si="3"/>
        <v>1</v>
      </c>
      <c r="H55" s="9">
        <f t="shared" si="4"/>
        <v>1</v>
      </c>
      <c r="I55" s="10">
        <f>IFERROR(__xludf.DUMMYFUNCTION("MAX(FILTER($H$2:$H450,$E$2:$E450=F55))"),3.0)</f>
        <v>3</v>
      </c>
    </row>
    <row r="56">
      <c r="A56" s="4"/>
      <c r="C56" s="4" t="s">
        <v>3861</v>
      </c>
      <c r="D56" s="4" t="str">
        <f t="shared" si="1"/>
        <v>{"valorA":"cabelo","valorB":4}</v>
      </c>
      <c r="E56" s="8" t="str">
        <f t="shared" si="2"/>
        <v>cabelo</v>
      </c>
      <c r="F56" s="8" t="str">
        <f>IFERROR(__xludf.DUMMYFUNCTION("""COMPUTED_VALUE"""),"desde")</f>
        <v>desde</v>
      </c>
      <c r="G56" s="8" t="str">
        <f t="shared" si="3"/>
        <v>4</v>
      </c>
      <c r="H56" s="9">
        <f t="shared" si="4"/>
        <v>4</v>
      </c>
      <c r="I56" s="10">
        <f>IFERROR(__xludf.DUMMYFUNCTION("MAX(FILTER($H$2:$H450,$E$2:$E450=F56))"),4.0)</f>
        <v>4</v>
      </c>
    </row>
    <row r="57">
      <c r="A57" s="4"/>
      <c r="C57" s="4" t="s">
        <v>2727</v>
      </c>
      <c r="D57" s="4" t="str">
        <f t="shared" si="1"/>
        <v>{"valorA":"para","valorB":2}</v>
      </c>
      <c r="E57" s="8" t="str">
        <f t="shared" si="2"/>
        <v>para</v>
      </c>
      <c r="F57" s="8" t="str">
        <f>IFERROR(__xludf.DUMMYFUNCTION("""COMPUTED_VALUE"""),"qualidade")</f>
        <v>qualidade</v>
      </c>
      <c r="G57" s="8" t="str">
        <f t="shared" si="3"/>
        <v>2</v>
      </c>
      <c r="H57" s="9">
        <f t="shared" si="4"/>
        <v>2</v>
      </c>
      <c r="I57" s="10">
        <f>IFERROR(__xludf.DUMMYFUNCTION("MAX(FILTER($H$2:$H450,$E$2:$E450=F57))"),1.0)</f>
        <v>1</v>
      </c>
    </row>
    <row r="58">
      <c r="A58" s="4"/>
      <c r="C58" s="4" t="s">
        <v>2781</v>
      </c>
      <c r="D58" s="4" t="str">
        <f t="shared" si="1"/>
        <v>{"valorA":"o","valorB":3}</v>
      </c>
      <c r="E58" s="8" t="str">
        <f t="shared" si="2"/>
        <v>o</v>
      </c>
      <c r="F58" s="8" t="str">
        <f>IFERROR(__xludf.DUMMYFUNCTION("""COMPUTED_VALUE"""),"lavar")</f>
        <v>lavar</v>
      </c>
      <c r="G58" s="8" t="str">
        <f t="shared" si="3"/>
        <v>3</v>
      </c>
      <c r="H58" s="9">
        <f t="shared" si="4"/>
        <v>3</v>
      </c>
      <c r="I58" s="10">
        <f>IFERROR(__xludf.DUMMYFUNCTION("MAX(FILTER($H$2:$H450,$E$2:$E450=F58))"),2.0)</f>
        <v>2</v>
      </c>
    </row>
    <row r="59">
      <c r="A59" s="4"/>
      <c r="C59" s="4" t="s">
        <v>3862</v>
      </c>
      <c r="D59" s="4" t="str">
        <f t="shared" si="1"/>
        <v>{"valorA":"óptico","valorB":1}</v>
      </c>
      <c r="E59" s="8" t="str">
        <f t="shared" si="2"/>
        <v>óptico</v>
      </c>
      <c r="F59" s="8" t="str">
        <f>IFERROR(__xludf.DUMMYFUNCTION("""COMPUTED_VALUE"""),"máquina")</f>
        <v>máquina</v>
      </c>
      <c r="G59" s="8" t="str">
        <f t="shared" si="3"/>
        <v>1</v>
      </c>
      <c r="H59" s="9">
        <f t="shared" si="4"/>
        <v>1</v>
      </c>
      <c r="I59" s="10">
        <f>IFERROR(__xludf.DUMMYFUNCTION("MAX(FILTER($H$2:$H450,$E$2:$E450=F59))"),2.0)</f>
        <v>2</v>
      </c>
    </row>
    <row r="60">
      <c r="A60" s="4"/>
      <c r="C60" s="4" t="s">
        <v>2868</v>
      </c>
      <c r="D60" s="4" t="str">
        <f t="shared" si="1"/>
        <v>{"valorA":"incrível","valorB":1}</v>
      </c>
      <c r="E60" s="8" t="str">
        <f t="shared" si="2"/>
        <v>incrível</v>
      </c>
      <c r="F60" s="8" t="str">
        <f>IFERROR(__xludf.DUMMYFUNCTION("""COMPUTED_VALUE"""),"roupa")</f>
        <v>roupa</v>
      </c>
      <c r="G60" s="8" t="str">
        <f t="shared" si="3"/>
        <v>1</v>
      </c>
      <c r="H60" s="9">
        <f t="shared" si="4"/>
        <v>1</v>
      </c>
      <c r="I60" s="10">
        <f>IFERROR(__xludf.DUMMYFUNCTION("MAX(FILTER($H$2:$H450,$E$2:$E450=F60))"),2.0)</f>
        <v>2</v>
      </c>
    </row>
    <row r="61">
      <c r="A61" s="4"/>
      <c r="C61" s="4" t="s">
        <v>3329</v>
      </c>
      <c r="D61" s="4" t="str">
        <f t="shared" si="1"/>
        <v>{"valorA":"amo","valorB":1}</v>
      </c>
      <c r="E61" s="8" t="str">
        <f t="shared" si="2"/>
        <v>amo</v>
      </c>
      <c r="F61" s="8" t="str">
        <f>IFERROR(__xludf.DUMMYFUNCTION("""COMPUTED_VALUE"""),"limpo")</f>
        <v>limpo</v>
      </c>
      <c r="G61" s="8" t="str">
        <f t="shared" si="3"/>
        <v>1</v>
      </c>
      <c r="H61" s="9">
        <f t="shared" si="4"/>
        <v>1</v>
      </c>
      <c r="I61" s="10">
        <f>IFERROR(__xludf.DUMMYFUNCTION("MAX(FILTER($H$2:$H450,$E$2:$E450=F61))"),1.0)</f>
        <v>1</v>
      </c>
    </row>
    <row r="62">
      <c r="A62" s="4"/>
      <c r="C62" s="4" t="s">
        <v>3146</v>
      </c>
      <c r="D62" s="4" t="str">
        <f t="shared" si="1"/>
        <v>{"valorA":"eu","valorB":1}</v>
      </c>
      <c r="E62" s="8" t="str">
        <f t="shared" si="2"/>
        <v>eu</v>
      </c>
      <c r="F62" s="8" t="str">
        <f>IFERROR(__xludf.DUMMYFUNCTION("""COMPUTED_VALUE"""),"roupões")</f>
        <v>roupões</v>
      </c>
      <c r="G62" s="8" t="str">
        <f t="shared" si="3"/>
        <v>1</v>
      </c>
      <c r="H62" s="9">
        <f t="shared" si="4"/>
        <v>1</v>
      </c>
      <c r="I62" s="10">
        <f>IFERROR(__xludf.DUMMYFUNCTION("MAX(FILTER($H$2:$H450,$E$2:$E450=F62))"),1.0)</f>
        <v>1</v>
      </c>
    </row>
    <row r="63">
      <c r="A63" s="4"/>
      <c r="C63" s="4" t="s">
        <v>3863</v>
      </c>
      <c r="D63" s="4" t="str">
        <f t="shared" si="1"/>
        <v>{"valorA":"cadeado","valorB":1}</v>
      </c>
      <c r="E63" s="8" t="str">
        <f t="shared" si="2"/>
        <v>cadeado</v>
      </c>
      <c r="F63" s="8" t="str">
        <f>IFERROR(__xludf.DUMMYFUNCTION("""COMPUTED_VALUE"""),"os")</f>
        <v>os</v>
      </c>
      <c r="G63" s="8" t="str">
        <f t="shared" si="3"/>
        <v>1</v>
      </c>
      <c r="H63" s="9">
        <f t="shared" si="4"/>
        <v>1</v>
      </c>
      <c r="I63" s="10">
        <f>IFERROR(__xludf.DUMMYFUNCTION("MAX(FILTER($H$2:$H450,$E$2:$E450=F63))"),1.0)</f>
        <v>1</v>
      </c>
    </row>
    <row r="64">
      <c r="A64" s="4"/>
      <c r="C64" s="4" t="s">
        <v>2705</v>
      </c>
      <c r="D64" s="4" t="str">
        <f t="shared" si="1"/>
        <v>{"valorA":"muito","valorB":3}</v>
      </c>
      <c r="E64" s="8" t="str">
        <f t="shared" si="2"/>
        <v>muito</v>
      </c>
      <c r="F64" s="8" t="str">
        <f>IFERROR(__xludf.DUMMYFUNCTION("""COMPUTED_VALUE"""),"fácil")</f>
        <v>fácil</v>
      </c>
      <c r="G64" s="8" t="str">
        <f t="shared" si="3"/>
        <v>3</v>
      </c>
      <c r="H64" s="9">
        <f t="shared" si="4"/>
        <v>3</v>
      </c>
      <c r="I64" s="10">
        <f>IFERROR(__xludf.DUMMYFUNCTION("MAX(FILTER($H$2:$H450,$E$2:$E450=F64))"),4.0)</f>
        <v>4</v>
      </c>
    </row>
    <row r="65">
      <c r="A65" s="4"/>
      <c r="C65" s="4" t="s">
        <v>2744</v>
      </c>
      <c r="D65" s="4" t="str">
        <f t="shared" si="1"/>
        <v>{"valorA":"para","valorB":3}</v>
      </c>
      <c r="E65" s="8" t="str">
        <f t="shared" si="2"/>
        <v>para</v>
      </c>
      <c r="F65" s="8" t="str">
        <f>IFERROR(__xludf.DUMMYFUNCTION("""COMPUTED_VALUE"""),"usar")</f>
        <v>usar</v>
      </c>
      <c r="G65" s="8" t="str">
        <f t="shared" si="3"/>
        <v>3</v>
      </c>
      <c r="H65" s="9">
        <f t="shared" si="4"/>
        <v>3</v>
      </c>
      <c r="I65" s="10">
        <f>IFERROR(__xludf.DUMMYFUNCTION("MAX(FILTER($H$2:$H450,$E$2:$E450=F65))"),2.0)</f>
        <v>2</v>
      </c>
    </row>
    <row r="66">
      <c r="A66" s="4"/>
      <c r="C66" s="4" t="s">
        <v>2671</v>
      </c>
      <c r="D66" s="4" t="str">
        <f t="shared" si="1"/>
        <v>{"valorA":"ótimo","valorB":7}</v>
      </c>
      <c r="E66" s="8" t="str">
        <f t="shared" si="2"/>
        <v>ótimo</v>
      </c>
      <c r="F66" s="8" t="str">
        <f>IFERROR(__xludf.DUMMYFUNCTION("""COMPUTED_VALUE"""),"muita")</f>
        <v>muita</v>
      </c>
      <c r="G66" s="8" t="str">
        <f t="shared" si="3"/>
        <v>7</v>
      </c>
      <c r="H66" s="9">
        <f t="shared" si="4"/>
        <v>7</v>
      </c>
      <c r="I66" s="10">
        <f>IFERROR(__xludf.DUMMYFUNCTION("MAX(FILTER($H$2:$H450,$E$2:$E450=F66))"),3.0)</f>
        <v>3</v>
      </c>
    </row>
    <row r="67">
      <c r="A67" s="4"/>
      <c r="C67" s="4" t="s">
        <v>2919</v>
      </c>
      <c r="D67" s="4" t="str">
        <f t="shared" si="1"/>
        <v>{"valorA":"da","valorB":1}</v>
      </c>
      <c r="E67" s="8" t="str">
        <f t="shared" si="2"/>
        <v>da</v>
      </c>
      <c r="F67" s="8" t="str">
        <f>IFERROR(__xludf.DUMMYFUNCTION("""COMPUTED_VALUE"""),"cadeira")</f>
        <v>cadeira</v>
      </c>
      <c r="G67" s="8" t="str">
        <f t="shared" si="3"/>
        <v>1</v>
      </c>
      <c r="H67" s="9">
        <f t="shared" si="4"/>
        <v>1</v>
      </c>
      <c r="I67" s="10">
        <f>IFERROR(__xludf.DUMMYFUNCTION("MAX(FILTER($H$2:$H450,$E$2:$E450=F67))"),2.0)</f>
        <v>2</v>
      </c>
    </row>
    <row r="68">
      <c r="A68" s="4"/>
      <c r="C68" s="4" t="s">
        <v>2660</v>
      </c>
      <c r="D68" s="4" t="str">
        <f t="shared" si="1"/>
        <v>{"valorA":"a","valorB":2}</v>
      </c>
      <c r="E68" s="8" t="str">
        <f t="shared" si="2"/>
        <v>a</v>
      </c>
      <c r="F68" s="8" t="str">
        <f>IFERROR(__xludf.DUMMYFUNCTION("""COMPUTED_VALUE"""),"confortável")</f>
        <v>confortável</v>
      </c>
      <c r="G68" s="8" t="str">
        <f t="shared" si="3"/>
        <v>2</v>
      </c>
      <c r="H68" s="9">
        <f t="shared" si="4"/>
        <v>2</v>
      </c>
      <c r="I68" s="10">
        <f>IFERROR(__xludf.DUMMYFUNCTION("MAX(FILTER($H$2:$H450,$E$2:$E450=F68))"),1.0)</f>
        <v>1</v>
      </c>
    </row>
    <row r="69">
      <c r="A69" s="4"/>
      <c r="C69" s="4" t="s">
        <v>3864</v>
      </c>
      <c r="D69" s="4" t="str">
        <f t="shared" si="1"/>
        <v>{"valorA":"porta","valorB":1}</v>
      </c>
      <c r="E69" s="8" t="str">
        <f t="shared" si="2"/>
        <v>porta</v>
      </c>
      <c r="F69" s="8" t="str">
        <f>IFERROR(__xludf.DUMMYFUNCTION("""COMPUTED_VALUE"""),"tranquilo")</f>
        <v>tranquilo</v>
      </c>
      <c r="G69" s="8" t="str">
        <f t="shared" si="3"/>
        <v>1</v>
      </c>
      <c r="H69" s="9">
        <f t="shared" si="4"/>
        <v>1</v>
      </c>
      <c r="I69" s="10">
        <f>IFERROR(__xludf.DUMMYFUNCTION("MAX(FILTER($H$2:$H450,$E$2:$E450=F69))"),1.0)</f>
        <v>1</v>
      </c>
    </row>
    <row r="70">
      <c r="A70" s="4"/>
      <c r="C70" s="4" t="s">
        <v>3865</v>
      </c>
      <c r="D70" s="4" t="str">
        <f t="shared" si="1"/>
        <v>{"valorA":"garagem","valorB":1}</v>
      </c>
      <c r="E70" s="8" t="str">
        <f t="shared" si="2"/>
        <v>garagem</v>
      </c>
      <c r="F70" s="8" t="str">
        <f>IFERROR(__xludf.DUMMYFUNCTION("""COMPUTED_VALUE"""),"ergonomica")</f>
        <v>ergonomica</v>
      </c>
      <c r="G70" s="8" t="str">
        <f t="shared" si="3"/>
        <v>1</v>
      </c>
      <c r="H70" s="9">
        <f t="shared" si="4"/>
        <v>1</v>
      </c>
      <c r="I70" s="10">
        <f>IFERROR(__xludf.DUMMYFUNCTION("MAX(FILTER($H$2:$H450,$E$2:$E450=F70))"),1.0)</f>
        <v>1</v>
      </c>
    </row>
    <row r="71">
      <c r="A71" s="4"/>
      <c r="C71" s="4" t="s">
        <v>2941</v>
      </c>
      <c r="D71" s="4" t="str">
        <f t="shared" si="1"/>
        <v>{"valorA":"gosto","valorB":2}</v>
      </c>
      <c r="E71" s="8" t="str">
        <f t="shared" si="2"/>
        <v>gosto</v>
      </c>
      <c r="F71" s="8" t="str">
        <f>IFERROR(__xludf.DUMMYFUNCTION("""COMPUTED_VALUE"""),"reclinável")</f>
        <v>reclinável</v>
      </c>
      <c r="G71" s="8" t="str">
        <f t="shared" si="3"/>
        <v>2</v>
      </c>
      <c r="H71" s="9">
        <f t="shared" si="4"/>
        <v>2</v>
      </c>
      <c r="I71" s="10">
        <f>IFERROR(__xludf.DUMMYFUNCTION("MAX(FILTER($H$2:$H450,$E$2:$E450=F71))"),1.0)</f>
        <v>1</v>
      </c>
    </row>
    <row r="72">
      <c r="A72" s="4"/>
      <c r="C72" s="4" t="s">
        <v>3391</v>
      </c>
      <c r="D72" s="4" t="str">
        <f t="shared" si="1"/>
        <v>{"valorA":"momento","valorB":1}</v>
      </c>
      <c r="E72" s="8" t="str">
        <f t="shared" si="2"/>
        <v>momento</v>
      </c>
      <c r="F72" s="8" t="str">
        <f>IFERROR(__xludf.DUMMYFUNCTION("""COMPUTED_VALUE"""),"valeu")</f>
        <v>valeu</v>
      </c>
      <c r="G72" s="8" t="str">
        <f t="shared" si="3"/>
        <v>1</v>
      </c>
      <c r="H72" s="9">
        <f t="shared" si="4"/>
        <v>1</v>
      </c>
      <c r="I72" s="10">
        <f>IFERROR(__xludf.DUMMYFUNCTION("MAX(FILTER($H$2:$H450,$E$2:$E450=F72))"),1.0)</f>
        <v>1</v>
      </c>
    </row>
    <row r="73">
      <c r="A73" s="4"/>
      <c r="C73" s="4" t="s">
        <v>2810</v>
      </c>
      <c r="D73" s="4" t="str">
        <f t="shared" si="1"/>
        <v>{"valorA":"o","valorB":4}</v>
      </c>
      <c r="E73" s="8" t="str">
        <f t="shared" si="2"/>
        <v>o</v>
      </c>
      <c r="F73" s="8" t="str">
        <f>IFERROR(__xludf.DUMMYFUNCTION("""COMPUTED_VALUE"""),"pena")</f>
        <v>pena</v>
      </c>
      <c r="G73" s="8" t="str">
        <f t="shared" si="3"/>
        <v>4</v>
      </c>
      <c r="H73" s="9">
        <f t="shared" si="4"/>
        <v>4</v>
      </c>
      <c r="I73" s="10">
        <f>IFERROR(__xludf.DUMMYFUNCTION("MAX(FILTER($H$2:$H450,$E$2:$E450=F73))"),2.0)</f>
        <v>2</v>
      </c>
    </row>
    <row r="74">
      <c r="A74" s="4"/>
      <c r="C74" s="4" t="s">
        <v>3093</v>
      </c>
      <c r="D74" s="4" t="str">
        <f t="shared" si="1"/>
        <v>{"valorA":"ótima","valorB":1}</v>
      </c>
      <c r="E74" s="8" t="str">
        <f t="shared" si="2"/>
        <v>ótima</v>
      </c>
      <c r="F74" s="8" t="str">
        <f>IFERROR(__xludf.DUMMYFUNCTION("""COMPUTED_VALUE"""),"dinheiro")</f>
        <v>dinheiro</v>
      </c>
      <c r="G74" s="8" t="str">
        <f t="shared" si="3"/>
        <v>1</v>
      </c>
      <c r="H74" s="9">
        <f t="shared" si="4"/>
        <v>1</v>
      </c>
      <c r="I74" s="10">
        <f>IFERROR(__xludf.DUMMYFUNCTION("MAX(FILTER($H$2:$H450,$E$2:$E450=F74))"),1.0)</f>
        <v>1</v>
      </c>
    </row>
    <row r="75">
      <c r="A75" s="4"/>
      <c r="C75" s="4" t="s">
        <v>2700</v>
      </c>
      <c r="D75" s="4" t="str">
        <f t="shared" si="1"/>
        <v>{"valorA":"comprei","valorB":1}</v>
      </c>
      <c r="E75" s="8" t="str">
        <f t="shared" si="2"/>
        <v>comprei</v>
      </c>
      <c r="F75" s="8" t="str">
        <f>IFERROR(__xludf.DUMMYFUNCTION("""COMPUTED_VALUE"""),"fiz")</f>
        <v>fiz</v>
      </c>
      <c r="G75" s="8" t="str">
        <f t="shared" si="3"/>
        <v>1</v>
      </c>
      <c r="H75" s="9">
        <f t="shared" si="4"/>
        <v>1</v>
      </c>
      <c r="I75" s="10">
        <f>IFERROR(__xludf.DUMMYFUNCTION("MAX(FILTER($H$2:$H450,$E$2:$E450=F75))"),1.0)</f>
        <v>1</v>
      </c>
    </row>
    <row r="76">
      <c r="A76" s="4"/>
      <c r="C76" s="4" t="s">
        <v>2666</v>
      </c>
      <c r="D76" s="4" t="str">
        <f t="shared" si="1"/>
        <v>{"valorA":"com","valorB":1}</v>
      </c>
      <c r="E76" s="8" t="str">
        <f t="shared" si="2"/>
        <v>com</v>
      </c>
      <c r="F76" s="8" t="str">
        <f>IFERROR(__xludf.DUMMYFUNCTION("""COMPUTED_VALUE"""),"cadeirante")</f>
        <v>cadeirante</v>
      </c>
      <c r="G76" s="8" t="str">
        <f t="shared" si="3"/>
        <v>1</v>
      </c>
      <c r="H76" s="9">
        <f t="shared" si="4"/>
        <v>1</v>
      </c>
      <c r="I76" s="10">
        <f>IFERROR(__xludf.DUMMYFUNCTION("MAX(FILTER($H$2:$H450,$E$2:$E450=F76))"),1.0)</f>
        <v>1</v>
      </c>
    </row>
    <row r="77">
      <c r="A77" s="4"/>
      <c r="C77" s="4" t="s">
        <v>3866</v>
      </c>
      <c r="D77" s="4" t="str">
        <f t="shared" si="1"/>
        <v>{"valorA":"limpavassoura","valorB":1}</v>
      </c>
      <c r="E77" s="8" t="str">
        <f t="shared" si="2"/>
        <v>limpavassoura</v>
      </c>
      <c r="F77" s="8" t="str">
        <f>IFERROR(__xludf.DUMMYFUNCTION("""COMPUTED_VALUE"""),"melhor")</f>
        <v>melhor</v>
      </c>
      <c r="G77" s="8" t="str">
        <f t="shared" si="3"/>
        <v>1</v>
      </c>
      <c r="H77" s="9">
        <f t="shared" si="4"/>
        <v>1</v>
      </c>
      <c r="I77" s="10">
        <f>IFERROR(__xludf.DUMMYFUNCTION("MAX(FILTER($H$2:$H450,$E$2:$E450=F77))"),1.0)</f>
        <v>1</v>
      </c>
    </row>
    <row r="78">
      <c r="A78" s="4"/>
      <c r="C78" s="4" t="s">
        <v>2646</v>
      </c>
      <c r="D78" s="4" t="str">
        <f t="shared" si="1"/>
        <v>{"valorA":"perfeitamente","valorB":1}</v>
      </c>
      <c r="E78" s="8" t="str">
        <f t="shared" si="2"/>
        <v>perfeitamente</v>
      </c>
      <c r="F78" s="8" t="str">
        <f>IFERROR(__xludf.DUMMYFUNCTION("""COMPUTED_VALUE"""),"hoje")</f>
        <v>hoje</v>
      </c>
      <c r="G78" s="8" t="str">
        <f t="shared" si="3"/>
        <v>1</v>
      </c>
      <c r="H78" s="9">
        <f t="shared" si="4"/>
        <v>1</v>
      </c>
      <c r="I78" s="10">
        <f>IFERROR(__xludf.DUMMYFUNCTION("MAX(FILTER($H$2:$H450,$E$2:$E450=F78))"),1.0)</f>
        <v>1</v>
      </c>
    </row>
    <row r="79">
      <c r="A79" s="4"/>
      <c r="C79" s="4" t="s">
        <v>2678</v>
      </c>
      <c r="D79" s="4" t="str">
        <f t="shared" si="1"/>
        <v>{"valorA":"funciona","valorB":2}</v>
      </c>
      <c r="E79" s="8" t="str">
        <f t="shared" si="2"/>
        <v>funciona</v>
      </c>
      <c r="F79" s="8" t="str">
        <f>IFERROR(__xludf.DUMMYFUNCTION("""COMPUTED_VALUE"""),"foi")</f>
        <v>foi</v>
      </c>
      <c r="G79" s="8" t="str">
        <f t="shared" si="3"/>
        <v>2</v>
      </c>
      <c r="H79" s="9">
        <f t="shared" si="4"/>
        <v>2</v>
      </c>
      <c r="I79" s="10">
        <f>IFERROR(__xludf.DUMMYFUNCTION("MAX(FILTER($H$2:$H450,$E$2:$E450=F79))"),2.0)</f>
        <v>2</v>
      </c>
    </row>
    <row r="80">
      <c r="A80" s="4"/>
      <c r="C80" s="4" t="s">
        <v>3392</v>
      </c>
      <c r="D80" s="4" t="str">
        <f t="shared" si="1"/>
        <v>{"valorA":"desde","valorB":1}</v>
      </c>
      <c r="E80" s="8" t="str">
        <f t="shared" si="2"/>
        <v>desde</v>
      </c>
      <c r="F80" s="8" t="str">
        <f>IFERROR(__xludf.DUMMYFUNCTION("""COMPUTED_VALUE"""),"motorizado")</f>
        <v>motorizado</v>
      </c>
      <c r="G80" s="8" t="str">
        <f t="shared" si="3"/>
        <v>1</v>
      </c>
      <c r="H80" s="9">
        <f t="shared" si="4"/>
        <v>1</v>
      </c>
      <c r="I80" s="10">
        <f>IFERROR(__xludf.DUMMYFUNCTION("MAX(FILTER($H$2:$H450,$E$2:$E450=F80))"),1.0)</f>
        <v>1</v>
      </c>
    </row>
    <row r="81">
      <c r="A81" s="4"/>
      <c r="C81" s="4" t="s">
        <v>3394</v>
      </c>
      <c r="D81" s="4" t="str">
        <f t="shared" si="1"/>
        <v>{"valorA":"em","valorB":2}</v>
      </c>
      <c r="E81" s="8" t="str">
        <f t="shared" si="2"/>
        <v>em</v>
      </c>
      <c r="F81" s="8" t="str">
        <f>IFERROR(__xludf.DUMMYFUNCTION("""COMPUTED_VALUE"""),"compra")</f>
        <v>compra</v>
      </c>
      <c r="G81" s="8" t="str">
        <f t="shared" si="3"/>
        <v>2</v>
      </c>
      <c r="H81" s="9">
        <f t="shared" si="4"/>
        <v>2</v>
      </c>
      <c r="I81" s="10">
        <f>IFERROR(__xludf.DUMMYFUNCTION("MAX(FILTER($H$2:$H450,$E$2:$E450=F81))"),3.0)</f>
        <v>3</v>
      </c>
    </row>
    <row r="82">
      <c r="A82" s="4"/>
      <c r="C82" s="4" t="s">
        <v>2695</v>
      </c>
      <c r="D82" s="4" t="str">
        <f t="shared" si="1"/>
        <v>{"valorA":"que","valorB":2}</v>
      </c>
      <c r="E82" s="8" t="str">
        <f t="shared" si="2"/>
        <v>que</v>
      </c>
      <c r="F82" s="8" t="str">
        <f>IFERROR(__xludf.DUMMYFUNCTION("""COMPUTED_VALUE"""),"mesa")</f>
        <v>mesa</v>
      </c>
      <c r="G82" s="8" t="str">
        <f t="shared" si="3"/>
        <v>2</v>
      </c>
      <c r="H82" s="9">
        <f t="shared" si="4"/>
        <v>2</v>
      </c>
      <c r="I82" s="10">
        <f>IFERROR(__xludf.DUMMYFUNCTION("MAX(FILTER($H$2:$H450,$E$2:$E450=F82))"),2.0)</f>
        <v>2</v>
      </c>
    </row>
    <row r="83">
      <c r="A83" s="4"/>
      <c r="C83" s="4" t="s">
        <v>2878</v>
      </c>
      <c r="D83" s="4" t="str">
        <f t="shared" si="1"/>
        <v>{"valorA":"qualidade","valorB":1}</v>
      </c>
      <c r="E83" s="8" t="str">
        <f t="shared" si="2"/>
        <v>qualidade</v>
      </c>
      <c r="F83" s="8" t="str">
        <f>IFERROR(__xludf.DUMMYFUNCTION("""COMPUTED_VALUE"""),"escritório")</f>
        <v>escritório</v>
      </c>
      <c r="G83" s="8" t="str">
        <f t="shared" si="3"/>
        <v>1</v>
      </c>
      <c r="H83" s="9">
        <f t="shared" si="4"/>
        <v>1</v>
      </c>
      <c r="I83" s="10">
        <f>IFERROR(__xludf.DUMMYFUNCTION("MAX(FILTER($H$2:$H450,$E$2:$E450=F83))"),1.0)</f>
        <v>1</v>
      </c>
    </row>
    <row r="84">
      <c r="A84" s="4"/>
      <c r="C84" s="4" t="s">
        <v>3867</v>
      </c>
      <c r="D84" s="4" t="str">
        <f t="shared" si="1"/>
        <v>{"valorA":"lavar","valorB":1}</v>
      </c>
      <c r="E84" s="8" t="str">
        <f t="shared" si="2"/>
        <v>lavar</v>
      </c>
      <c r="F84" s="8" t="str">
        <f>IFERROR(__xludf.DUMMYFUNCTION("""COMPUTED_VALUE"""),"estou")</f>
        <v>estou</v>
      </c>
      <c r="G84" s="8" t="str">
        <f t="shared" si="3"/>
        <v>1</v>
      </c>
      <c r="H84" s="9">
        <f t="shared" si="4"/>
        <v>1</v>
      </c>
      <c r="I84" s="10">
        <f>IFERROR(__xludf.DUMMYFUNCTION("MAX(FILTER($H$2:$H450,$E$2:$E450=F84))"),2.0)</f>
        <v>2</v>
      </c>
    </row>
    <row r="85">
      <c r="A85" s="4"/>
      <c r="C85" s="4" t="s">
        <v>3363</v>
      </c>
      <c r="D85" s="4" t="str">
        <f t="shared" si="1"/>
        <v>{"valorA":"máquina","valorB":1}</v>
      </c>
      <c r="E85" s="8" t="str">
        <f t="shared" si="2"/>
        <v>máquina</v>
      </c>
      <c r="F85" s="8" t="str">
        <f>IFERROR(__xludf.DUMMYFUNCTION("""COMPUTED_VALUE"""),"satisfeita")</f>
        <v>satisfeita</v>
      </c>
      <c r="G85" s="8" t="str">
        <f t="shared" si="3"/>
        <v>1</v>
      </c>
      <c r="H85" s="9">
        <f t="shared" si="4"/>
        <v>1</v>
      </c>
      <c r="I85" s="10">
        <f>IFERROR(__xludf.DUMMYFUNCTION("MAX(FILTER($H$2:$H450,$E$2:$E450=F85))"),2.0)</f>
        <v>2</v>
      </c>
    </row>
    <row r="86">
      <c r="A86" s="4"/>
      <c r="C86" s="4" t="s">
        <v>3314</v>
      </c>
      <c r="D86" s="4" t="str">
        <f t="shared" si="1"/>
        <v>{"valorA":"ótima","valorB":2}</v>
      </c>
      <c r="E86" s="8" t="str">
        <f t="shared" si="2"/>
        <v>ótima</v>
      </c>
      <c r="F86" s="8" t="str">
        <f>IFERROR(__xludf.DUMMYFUNCTION("""COMPUTED_VALUE"""),"tudo")</f>
        <v>tudo</v>
      </c>
      <c r="G86" s="8" t="str">
        <f t="shared" si="3"/>
        <v>2</v>
      </c>
      <c r="H86" s="9">
        <f t="shared" si="4"/>
        <v>2</v>
      </c>
      <c r="I86" s="10">
        <f>IFERROR(__xludf.DUMMYFUNCTION("MAX(FILTER($H$2:$H450,$E$2:$E450=F86))"),3.0)</f>
        <v>3</v>
      </c>
    </row>
    <row r="87">
      <c r="A87" s="4"/>
      <c r="C87" s="4" t="s">
        <v>3868</v>
      </c>
      <c r="D87" s="4" t="str">
        <f t="shared" si="1"/>
        <v>{"valorA":"roupa","valorB":1}</v>
      </c>
      <c r="E87" s="8" t="str">
        <f t="shared" si="2"/>
        <v>roupa</v>
      </c>
      <c r="F87" s="8" t="str">
        <f>IFERROR(__xludf.DUMMYFUNCTION("""COMPUTED_VALUE"""),"fica")</f>
        <v>fica</v>
      </c>
      <c r="G87" s="8" t="str">
        <f t="shared" si="3"/>
        <v>1</v>
      </c>
      <c r="H87" s="9">
        <f t="shared" si="4"/>
        <v>1</v>
      </c>
      <c r="I87" s="10">
        <f>IFERROR(__xludf.DUMMYFUNCTION("MAX(FILTER($H$2:$H450,$E$2:$E450=F87))"),2.0)</f>
        <v>2</v>
      </c>
    </row>
    <row r="88">
      <c r="A88" s="4"/>
      <c r="C88" s="4" t="s">
        <v>3869</v>
      </c>
      <c r="D88" s="4" t="str">
        <f t="shared" si="1"/>
        <v>{"valorA":"limpo","valorB":1}</v>
      </c>
      <c r="E88" s="8" t="str">
        <f t="shared" si="2"/>
        <v>limpo</v>
      </c>
      <c r="F88" s="8" t="str">
        <f>IFERROR(__xludf.DUMMYFUNCTION("""COMPUTED_VALUE"""),"casa")</f>
        <v>casa</v>
      </c>
      <c r="G88" s="8" t="str">
        <f t="shared" si="3"/>
        <v>1</v>
      </c>
      <c r="H88" s="9">
        <f t="shared" si="4"/>
        <v>1</v>
      </c>
      <c r="I88" s="10">
        <f>IFERROR(__xludf.DUMMYFUNCTION("MAX(FILTER($H$2:$H450,$E$2:$E450=F88))"),2.0)</f>
        <v>2</v>
      </c>
    </row>
    <row r="89">
      <c r="A89" s="4"/>
      <c r="C89" s="4" t="s">
        <v>3870</v>
      </c>
      <c r="D89" s="4" t="str">
        <f t="shared" si="1"/>
        <v>{"valorA":"roupões","valorB":1}</v>
      </c>
      <c r="E89" s="8" t="str">
        <f t="shared" si="2"/>
        <v>roupões</v>
      </c>
      <c r="F89" s="8" t="str">
        <f>IFERROR(__xludf.DUMMYFUNCTION("""COMPUTED_VALUE"""),"frio")</f>
        <v>frio</v>
      </c>
      <c r="G89" s="8" t="str">
        <f t="shared" si="3"/>
        <v>1</v>
      </c>
      <c r="H89" s="9">
        <f t="shared" si="4"/>
        <v>1</v>
      </c>
      <c r="I89" s="10">
        <f>IFERROR(__xludf.DUMMYFUNCTION("MAX(FILTER($H$2:$H450,$E$2:$E450=F89))"),1.0)</f>
        <v>1</v>
      </c>
    </row>
    <row r="90">
      <c r="A90" s="4"/>
      <c r="C90" s="4" t="s">
        <v>2736</v>
      </c>
      <c r="D90" s="4" t="str">
        <f t="shared" si="1"/>
        <v>{"valorA":"de","valorB":3}</v>
      </c>
      <c r="E90" s="8" t="str">
        <f t="shared" si="2"/>
        <v>de</v>
      </c>
      <c r="F90" s="8" t="str">
        <f>IFERROR(__xludf.DUMMYFUNCTION("""COMPUTED_VALUE"""),"condicionado")</f>
        <v>condicionado</v>
      </c>
      <c r="G90" s="8" t="str">
        <f t="shared" si="3"/>
        <v>3</v>
      </c>
      <c r="H90" s="9">
        <f t="shared" si="4"/>
        <v>3</v>
      </c>
      <c r="I90" s="10">
        <f>IFERROR(__xludf.DUMMYFUNCTION("MAX(FILTER($H$2:$H450,$E$2:$E450=F90))"),1.0)</f>
        <v>1</v>
      </c>
    </row>
    <row r="91">
      <c r="A91" s="4"/>
      <c r="C91" s="4" t="s">
        <v>2738</v>
      </c>
      <c r="D91" s="4" t="str">
        <f t="shared" si="1"/>
        <v>{"valorA":"de","valorB":4}</v>
      </c>
      <c r="E91" s="8" t="str">
        <f t="shared" si="2"/>
        <v>de</v>
      </c>
      <c r="F91" s="8" t="str">
        <f>IFERROR(__xludf.DUMMYFUNCTION("""COMPUTED_VALUE"""),"ar")</f>
        <v>ar</v>
      </c>
      <c r="G91" s="8" t="str">
        <f t="shared" si="3"/>
        <v>4</v>
      </c>
      <c r="H91" s="9">
        <f t="shared" si="4"/>
        <v>4</v>
      </c>
      <c r="I91" s="10">
        <f>IFERROR(__xludf.DUMMYFUNCTION("MAX(FILTER($H$2:$H450,$E$2:$E450=F91))"),1.0)</f>
        <v>1</v>
      </c>
    </row>
    <row r="92">
      <c r="A92" s="4"/>
      <c r="C92" s="4" t="s">
        <v>3220</v>
      </c>
      <c r="D92" s="4" t="str">
        <f t="shared" si="1"/>
        <v>{"valorA":"os","valorB":1}</v>
      </c>
      <c r="E92" s="8" t="str">
        <f t="shared" si="2"/>
        <v>os</v>
      </c>
      <c r="F92" s="8" t="str">
        <f>IFERROR(__xludf.DUMMYFUNCTION("""COMPUTED_VALUE"""),"na")</f>
        <v>na</v>
      </c>
      <c r="G92" s="8" t="str">
        <f t="shared" si="3"/>
        <v>1</v>
      </c>
      <c r="H92" s="9">
        <f t="shared" si="4"/>
        <v>1</v>
      </c>
      <c r="I92" s="10">
        <f>IFERROR(__xludf.DUMMYFUNCTION("MAX(FILTER($H$2:$H450,$E$2:$E450=F92))"),1.0)</f>
        <v>1</v>
      </c>
    </row>
    <row r="93">
      <c r="A93" s="4"/>
      <c r="C93" s="4" t="s">
        <v>2677</v>
      </c>
      <c r="D93" s="4" t="str">
        <f t="shared" si="1"/>
        <v>{"valorA":"fácil","valorB":1}</v>
      </c>
      <c r="E93" s="8" t="str">
        <f t="shared" si="2"/>
        <v>fácil</v>
      </c>
      <c r="F93" s="8" t="str">
        <f>IFERROR(__xludf.DUMMYFUNCTION("""COMPUTED_VALUE"""),"excelente")</f>
        <v>excelente</v>
      </c>
      <c r="G93" s="8" t="str">
        <f t="shared" si="3"/>
        <v>1</v>
      </c>
      <c r="H93" s="9">
        <f t="shared" si="4"/>
        <v>1</v>
      </c>
      <c r="I93" s="10">
        <f>IFERROR(__xludf.DUMMYFUNCTION("MAX(FILTER($H$2:$H450,$E$2:$E450=F93))"),1.0)</f>
        <v>1</v>
      </c>
    </row>
    <row r="94">
      <c r="A94" s="4"/>
      <c r="C94" s="4" t="s">
        <v>2676</v>
      </c>
      <c r="D94" s="4" t="str">
        <f t="shared" si="1"/>
        <v>{"valorA":"e","valorB":2}</v>
      </c>
      <c r="E94" s="8" t="str">
        <f t="shared" si="2"/>
        <v>e</v>
      </c>
      <c r="F94" s="8" t="str">
        <f>IFERROR(__xludf.DUMMYFUNCTION("""COMPUTED_VALUE"""),"preço")</f>
        <v>preço</v>
      </c>
      <c r="G94" s="8" t="str">
        <f t="shared" si="3"/>
        <v>2</v>
      </c>
      <c r="H94" s="9">
        <f t="shared" si="4"/>
        <v>2</v>
      </c>
      <c r="I94" s="10">
        <f>IFERROR(__xludf.DUMMYFUNCTION("MAX(FILTER($H$2:$H450,$E$2:$E450=F94))"),3.0)</f>
        <v>3</v>
      </c>
    </row>
    <row r="95">
      <c r="A95" s="4"/>
      <c r="C95" s="4" t="s">
        <v>2814</v>
      </c>
      <c r="D95" s="4" t="str">
        <f t="shared" si="1"/>
        <v>{"valorA":"com","valorB":2}</v>
      </c>
      <c r="E95" s="8" t="str">
        <f t="shared" si="2"/>
        <v>com</v>
      </c>
      <c r="F95" s="8" t="str">
        <f>IFERROR(__xludf.DUMMYFUNCTION("""COMPUTED_VALUE"""),"tranquilamente")</f>
        <v>tranquilamente</v>
      </c>
      <c r="G95" s="8" t="str">
        <f t="shared" si="3"/>
        <v>2</v>
      </c>
      <c r="H95" s="9">
        <f t="shared" si="4"/>
        <v>2</v>
      </c>
      <c r="I95" s="10">
        <f>IFERROR(__xludf.DUMMYFUNCTION("MAX(FILTER($H$2:$H450,$E$2:$E450=F95))"),1.0)</f>
        <v>1</v>
      </c>
    </row>
    <row r="96">
      <c r="A96" s="4"/>
      <c r="C96" s="4" t="s">
        <v>2681</v>
      </c>
      <c r="D96" s="4" t="str">
        <f t="shared" si="1"/>
        <v>{"valorA":"usar","valorB":1}</v>
      </c>
      <c r="E96" s="8" t="str">
        <f t="shared" si="2"/>
        <v>usar</v>
      </c>
      <c r="F96" s="8" t="str">
        <f>IFERROR(__xludf.DUMMYFUNCTION("""COMPUTED_VALUE"""),"sediar")</f>
        <v>sediar</v>
      </c>
      <c r="G96" s="8" t="str">
        <f t="shared" si="3"/>
        <v>1</v>
      </c>
      <c r="H96" s="9">
        <f t="shared" si="4"/>
        <v>1</v>
      </c>
      <c r="I96" s="10">
        <f>IFERROR(__xludf.DUMMYFUNCTION("MAX(FILTER($H$2:$H450,$E$2:$E450=F96))"),1.0)</f>
        <v>1</v>
      </c>
    </row>
    <row r="97">
      <c r="A97" s="4"/>
      <c r="C97" s="4" t="s">
        <v>3143</v>
      </c>
      <c r="D97" s="4" t="str">
        <f t="shared" si="1"/>
        <v>{"valorA":"muita","valorB":1}</v>
      </c>
      <c r="E97" s="8" t="str">
        <f t="shared" si="2"/>
        <v>muita</v>
      </c>
      <c r="F97" s="8" t="str">
        <f>IFERROR(__xludf.DUMMYFUNCTION("""COMPUTED_VALUE"""),"pode")</f>
        <v>pode</v>
      </c>
      <c r="G97" s="8" t="str">
        <f t="shared" si="3"/>
        <v>1</v>
      </c>
      <c r="H97" s="9">
        <f t="shared" si="4"/>
        <v>1</v>
      </c>
      <c r="I97" s="10">
        <f>IFERROR(__xludf.DUMMYFUNCTION("MAX(FILTER($H$2:$H450,$E$2:$E450=F97))"),1.0)</f>
        <v>1</v>
      </c>
    </row>
    <row r="98">
      <c r="A98" s="4"/>
      <c r="C98" s="4" t="s">
        <v>2697</v>
      </c>
      <c r="D98" s="4" t="str">
        <f t="shared" si="1"/>
        <v>{"valorA":"cadeira","valorB":1}</v>
      </c>
      <c r="E98" s="8" t="str">
        <f t="shared" si="2"/>
        <v>cadeira</v>
      </c>
      <c r="F98" s="8" t="str">
        <f>IFERROR(__xludf.DUMMYFUNCTION("""COMPUTED_VALUE"""),"nossa")</f>
        <v>nossa</v>
      </c>
      <c r="G98" s="8" t="str">
        <f t="shared" si="3"/>
        <v>1</v>
      </c>
      <c r="H98" s="9">
        <f t="shared" si="4"/>
        <v>1</v>
      </c>
      <c r="I98" s="10">
        <f>IFERROR(__xludf.DUMMYFUNCTION("MAX(FILTER($H$2:$H450,$E$2:$E450=F98))"),1.0)</f>
        <v>1</v>
      </c>
    </row>
    <row r="99">
      <c r="A99" s="4"/>
      <c r="C99" s="4" t="s">
        <v>2699</v>
      </c>
      <c r="D99" s="4" t="str">
        <f t="shared" si="1"/>
        <v>{"valorA":"confortável","valorB":1}</v>
      </c>
      <c r="E99" s="8" t="str">
        <f t="shared" si="2"/>
        <v>confortável</v>
      </c>
      <c r="F99" s="8" t="str">
        <f>IFERROR(__xludf.DUMMYFUNCTION("""COMPUTED_VALUE"""),"6")</f>
        <v>6</v>
      </c>
      <c r="G99" s="8" t="str">
        <f t="shared" si="3"/>
        <v>1</v>
      </c>
      <c r="H99" s="9">
        <f t="shared" si="4"/>
        <v>1</v>
      </c>
      <c r="I99" s="10">
        <f>IFERROR(__xludf.DUMMYFUNCTION("MAX(FILTER($H$2:$H450,$E$2:$E450=F99))"),1.0)</f>
        <v>1</v>
      </c>
    </row>
    <row r="100">
      <c r="A100" s="4"/>
      <c r="C100" s="4" t="s">
        <v>3871</v>
      </c>
      <c r="D100" s="4" t="str">
        <f t="shared" si="1"/>
        <v>{"valorA":"tranquilo","valorB":1}</v>
      </c>
      <c r="E100" s="8" t="str">
        <f t="shared" si="2"/>
        <v>tranquilo</v>
      </c>
      <c r="F100" s="8" t="str">
        <f>IFERROR(__xludf.DUMMYFUNCTION("""COMPUTED_VALUE"""),"pessoas")</f>
        <v>pessoas</v>
      </c>
      <c r="G100" s="8" t="str">
        <f t="shared" si="3"/>
        <v>1</v>
      </c>
      <c r="H100" s="9">
        <f t="shared" si="4"/>
        <v>1</v>
      </c>
      <c r="I100" s="10">
        <f>IFERROR(__xludf.DUMMYFUNCTION("MAX(FILTER($H$2:$H450,$E$2:$E450=F100))"),1.0)</f>
        <v>1</v>
      </c>
    </row>
    <row r="101">
      <c r="A101" s="4"/>
      <c r="C101" s="4" t="s">
        <v>3359</v>
      </c>
      <c r="D101" s="4" t="str">
        <f t="shared" si="1"/>
        <v>{"valorA":"ótima","valorB":3}</v>
      </c>
      <c r="E101" s="8" t="str">
        <f t="shared" si="2"/>
        <v>ótima</v>
      </c>
      <c r="F101" s="8" t="str">
        <f>IFERROR(__xludf.DUMMYFUNCTION("""COMPUTED_VALUE"""),"família")</f>
        <v>família</v>
      </c>
      <c r="G101" s="8" t="str">
        <f t="shared" si="3"/>
        <v>3</v>
      </c>
      <c r="H101" s="9">
        <f t="shared" si="4"/>
        <v>3</v>
      </c>
      <c r="I101" s="10">
        <f>IFERROR(__xludf.DUMMYFUNCTION("MAX(FILTER($H$2:$H450,$E$2:$E450=F101))"),1.0)</f>
        <v>1</v>
      </c>
    </row>
    <row r="102">
      <c r="A102" s="4"/>
      <c r="C102" s="4" t="s">
        <v>3872</v>
      </c>
      <c r="D102" s="4" t="str">
        <f t="shared" si="1"/>
        <v>{"valorA":"ergonomica","valorB":1}</v>
      </c>
      <c r="E102" s="8" t="str">
        <f t="shared" si="2"/>
        <v>ergonomica</v>
      </c>
      <c r="F102" s="8" t="str">
        <f>IFERROR(__xludf.DUMMYFUNCTION("""COMPUTED_VALUE"""),"jantar")</f>
        <v>jantar</v>
      </c>
      <c r="G102" s="8" t="str">
        <f t="shared" si="3"/>
        <v>1</v>
      </c>
      <c r="H102" s="9">
        <f t="shared" si="4"/>
        <v>1</v>
      </c>
      <c r="I102" s="10">
        <f>IFERROR(__xludf.DUMMYFUNCTION("MAX(FILTER($H$2:$H450,$E$2:$E450=F102))"),1.0)</f>
        <v>1</v>
      </c>
    </row>
    <row r="103">
      <c r="A103" s="4"/>
      <c r="C103" s="4" t="s">
        <v>2701</v>
      </c>
      <c r="D103" s="4" t="str">
        <f t="shared" si="1"/>
        <v>{"valorA":"e","valorB":3}</v>
      </c>
      <c r="E103" s="8" t="str">
        <f t="shared" si="2"/>
        <v>e</v>
      </c>
      <c r="F103" s="8" t="str">
        <f>IFERROR(__xludf.DUMMYFUNCTION("""COMPUTED_VALUE"""),"até")</f>
        <v>até</v>
      </c>
      <c r="G103" s="8" t="str">
        <f t="shared" si="3"/>
        <v>3</v>
      </c>
      <c r="H103" s="9">
        <f t="shared" si="4"/>
        <v>3</v>
      </c>
      <c r="I103" s="10">
        <f>IFERROR(__xludf.DUMMYFUNCTION("MAX(FILTER($H$2:$H450,$E$2:$E450=F103))"),1.0)</f>
        <v>1</v>
      </c>
    </row>
    <row r="104">
      <c r="A104" s="4"/>
      <c r="C104" s="4" t="s">
        <v>3873</v>
      </c>
      <c r="D104" s="4" t="str">
        <f t="shared" si="1"/>
        <v>{"valorA":"reclinável","valorB":1}</v>
      </c>
      <c r="E104" s="8" t="str">
        <f t="shared" si="2"/>
        <v>reclinável</v>
      </c>
      <c r="F104" s="8" t="str">
        <f>IFERROR(__xludf.DUMMYFUNCTION("""COMPUTED_VALUE"""),"celular")</f>
        <v>celular</v>
      </c>
      <c r="G104" s="8" t="str">
        <f t="shared" si="3"/>
        <v>1</v>
      </c>
      <c r="H104" s="9">
        <f t="shared" si="4"/>
        <v>1</v>
      </c>
      <c r="I104" s="10">
        <f>IFERROR(__xludf.DUMMYFUNCTION("MAX(FILTER($H$2:$H450,$E$2:$E450=F104))"),2.0)</f>
        <v>2</v>
      </c>
    </row>
    <row r="105">
      <c r="A105" s="4"/>
      <c r="C105" s="4" t="s">
        <v>3037</v>
      </c>
      <c r="D105" s="4" t="str">
        <f t="shared" si="1"/>
        <v>{"valorA":"valeu","valorB":1}</v>
      </c>
      <c r="E105" s="8" t="str">
        <f t="shared" si="2"/>
        <v>valeu</v>
      </c>
      <c r="F105" s="8" t="str">
        <f>IFERROR(__xludf.DUMMYFUNCTION("""COMPUTED_VALUE"""),"bom")</f>
        <v>bom</v>
      </c>
      <c r="G105" s="8" t="str">
        <f t="shared" si="3"/>
        <v>1</v>
      </c>
      <c r="H105" s="9">
        <f t="shared" si="4"/>
        <v>1</v>
      </c>
      <c r="I105" s="10">
        <f>IFERROR(__xludf.DUMMYFUNCTION("MAX(FILTER($H$2:$H450,$E$2:$E450=F105))"),3.0)</f>
        <v>3</v>
      </c>
    </row>
    <row r="106">
      <c r="A106" s="4"/>
      <c r="C106" s="4" t="s">
        <v>3366</v>
      </c>
      <c r="D106" s="4" t="str">
        <f t="shared" si="1"/>
        <v>{"valorA":"ótima","valorB":4}</v>
      </c>
      <c r="E106" s="8" t="str">
        <f t="shared" si="2"/>
        <v>ótima</v>
      </c>
      <c r="F106" s="8" t="str">
        <f>IFERROR(__xludf.DUMMYFUNCTION("""COMPUTED_VALUE"""),"útil")</f>
        <v>útil</v>
      </c>
      <c r="G106" s="8" t="str">
        <f t="shared" si="3"/>
        <v>4</v>
      </c>
      <c r="H106" s="9">
        <f t="shared" si="4"/>
        <v>4</v>
      </c>
      <c r="I106" s="10">
        <f>IFERROR(__xludf.DUMMYFUNCTION("MAX(FILTER($H$2:$H450,$E$2:$E450=F106))"),1.0)</f>
        <v>1</v>
      </c>
    </row>
    <row r="107">
      <c r="A107" s="4"/>
      <c r="C107" s="4" t="s">
        <v>2751</v>
      </c>
      <c r="D107" s="4" t="str">
        <f t="shared" si="1"/>
        <v>{"valorA":"cadeira","valorB":2}</v>
      </c>
      <c r="E107" s="8" t="str">
        <f t="shared" si="2"/>
        <v>cadeira</v>
      </c>
      <c r="F107" s="8" t="str">
        <f>IFERROR(__xludf.DUMMYFUNCTION("""COMPUTED_VALUE"""),"vida")</f>
        <v>vida</v>
      </c>
      <c r="G107" s="8" t="str">
        <f t="shared" si="3"/>
        <v>2</v>
      </c>
      <c r="H107" s="9">
        <f t="shared" si="4"/>
        <v>2</v>
      </c>
      <c r="I107" s="10">
        <f>IFERROR(__xludf.DUMMYFUNCTION("MAX(FILTER($H$2:$H450,$E$2:$E450=F107))"),1.0)</f>
        <v>1</v>
      </c>
    </row>
    <row r="108">
      <c r="A108" s="4"/>
      <c r="C108" s="4" t="s">
        <v>2686</v>
      </c>
      <c r="D108" s="4" t="str">
        <f t="shared" si="1"/>
        <v>{"valorA":"a","valorB":3}</v>
      </c>
      <c r="E108" s="8" t="str">
        <f t="shared" si="2"/>
        <v>a</v>
      </c>
      <c r="F108" s="8" t="str">
        <f>IFERROR(__xludf.DUMMYFUNCTION("""COMPUTED_VALUE"""),"escondera")</f>
        <v>escondera</v>
      </c>
      <c r="G108" s="8" t="str">
        <f t="shared" si="3"/>
        <v>3</v>
      </c>
      <c r="H108" s="9">
        <f t="shared" si="4"/>
        <v>3</v>
      </c>
      <c r="I108" s="10">
        <f>IFERROR(__xludf.DUMMYFUNCTION("MAX(FILTER($H$2:$H450,$E$2:$E450=F108))"),1.0)</f>
        <v>1</v>
      </c>
    </row>
    <row r="109">
      <c r="A109" s="4"/>
      <c r="C109" s="4" t="s">
        <v>2649</v>
      </c>
      <c r="D109" s="4" t="str">
        <f t="shared" si="1"/>
        <v>{"valorA":"pena","valorB":1}</v>
      </c>
      <c r="E109" s="8" t="str">
        <f t="shared" si="2"/>
        <v>pena</v>
      </c>
      <c r="F109" s="8" t="str">
        <f>IFERROR(__xludf.DUMMYFUNCTION("""COMPUTED_VALUE"""),"ele")</f>
        <v>ele</v>
      </c>
      <c r="G109" s="8" t="str">
        <f t="shared" si="3"/>
        <v>1</v>
      </c>
      <c r="H109" s="9">
        <f t="shared" si="4"/>
        <v>1</v>
      </c>
      <c r="I109" s="10">
        <f>IFERROR(__xludf.DUMMYFUNCTION("MAX(FILTER($H$2:$H450,$E$2:$E450=F109))"),1.0)</f>
        <v>1</v>
      </c>
    </row>
    <row r="110">
      <c r="A110" s="4"/>
      <c r="C110" s="4" t="s">
        <v>2883</v>
      </c>
      <c r="D110" s="4" t="str">
        <f t="shared" si="1"/>
        <v>{"valorA":"o","valorB":5}</v>
      </c>
      <c r="E110" s="8" t="str">
        <f t="shared" si="2"/>
        <v>o</v>
      </c>
      <c r="F110" s="8" t="str">
        <f>IFERROR(__xludf.DUMMYFUNCTION("""COMPUTED_VALUE"""),"refrigerador")</f>
        <v>refrigerador</v>
      </c>
      <c r="G110" s="8" t="str">
        <f t="shared" si="3"/>
        <v>5</v>
      </c>
      <c r="H110" s="9">
        <f t="shared" si="4"/>
        <v>5</v>
      </c>
      <c r="I110" s="10">
        <f>IFERROR(__xludf.DUMMYFUNCTION("MAX(FILTER($H$2:$H450,$E$2:$E450=F110))"),2.0)</f>
        <v>2</v>
      </c>
    </row>
    <row r="111">
      <c r="A111" s="4"/>
      <c r="C111" s="4" t="s">
        <v>3200</v>
      </c>
      <c r="D111" s="4" t="str">
        <f t="shared" si="1"/>
        <v>{"valorA":"dinheiro","valorB":1}</v>
      </c>
      <c r="E111" s="8" t="str">
        <f t="shared" si="2"/>
        <v>dinheiro</v>
      </c>
      <c r="F111" s="8" t="str">
        <f>IFERROR(__xludf.DUMMYFUNCTION("""COMPUTED_VALUE"""),"dia")</f>
        <v>dia</v>
      </c>
      <c r="G111" s="8" t="str">
        <f t="shared" si="3"/>
        <v>1</v>
      </c>
      <c r="H111" s="9">
        <f t="shared" si="4"/>
        <v>1</v>
      </c>
      <c r="I111" s="10">
        <f>IFERROR(__xludf.DUMMYFUNCTION("MAX(FILTER($H$2:$H450,$E$2:$E450=F111))"),2.0)</f>
        <v>2</v>
      </c>
    </row>
    <row r="112">
      <c r="A112" s="4"/>
      <c r="C112" s="4" t="s">
        <v>3874</v>
      </c>
      <c r="D112" s="4" t="str">
        <f t="shared" si="1"/>
        <v>{"valorA":"fiz","valorB":1}</v>
      </c>
      <c r="E112" s="8" t="str">
        <f t="shared" si="2"/>
        <v>fiz</v>
      </c>
      <c r="F112" s="8" t="str">
        <f>IFERROR(__xludf.DUMMYFUNCTION("""COMPUTED_VALUE"""),"arcondicionado")</f>
        <v>arcondicionado</v>
      </c>
      <c r="G112" s="8" t="str">
        <f t="shared" si="3"/>
        <v>1</v>
      </c>
      <c r="H112" s="9">
        <f t="shared" si="4"/>
        <v>1</v>
      </c>
      <c r="I112" s="10">
        <f>IFERROR(__xludf.DUMMYFUNCTION("MAX(FILTER($H$2:$H450,$E$2:$E450=F112))"),1.0)</f>
        <v>1</v>
      </c>
    </row>
    <row r="113">
      <c r="A113" s="4"/>
      <c r="C113" s="4" t="s">
        <v>3432</v>
      </c>
      <c r="D113" s="4" t="str">
        <f t="shared" si="1"/>
        <v>{"valorA":"cadeirante","valorB":1}</v>
      </c>
      <c r="E113" s="8" t="str">
        <f t="shared" si="2"/>
        <v>cadeirante</v>
      </c>
      <c r="F113" s="8" t="str">
        <f>IFERROR(__xludf.DUMMYFUNCTION("""COMPUTED_VALUE"""),"rápido")</f>
        <v>rápido</v>
      </c>
      <c r="G113" s="8" t="str">
        <f t="shared" si="3"/>
        <v>1</v>
      </c>
      <c r="H113" s="9">
        <f t="shared" si="4"/>
        <v>1</v>
      </c>
      <c r="I113" s="10">
        <f>IFERROR(__xludf.DUMMYFUNCTION("MAX(FILTER($H$2:$H450,$E$2:$E450=F113))"),2.0)</f>
        <v>2</v>
      </c>
    </row>
    <row r="114">
      <c r="A114" s="4"/>
      <c r="C114" s="4" t="s">
        <v>2673</v>
      </c>
      <c r="D114" s="4" t="str">
        <f t="shared" si="1"/>
        <v>{"valorA":"ótimo","valorB":8}</v>
      </c>
      <c r="E114" s="8" t="str">
        <f t="shared" si="2"/>
        <v>ótimo</v>
      </c>
      <c r="F114" s="8" t="str">
        <f>IFERROR(__xludf.DUMMYFUNCTION("""COMPUTED_VALUE"""),"lavador")</f>
        <v>lavador</v>
      </c>
      <c r="G114" s="8" t="str">
        <f t="shared" si="3"/>
        <v>8</v>
      </c>
      <c r="H114" s="9">
        <f t="shared" si="4"/>
        <v>8</v>
      </c>
      <c r="I114" s="10">
        <f>IFERROR(__xludf.DUMMYFUNCTION("MAX(FILTER($H$2:$H450,$E$2:$E450=F114))"),3.0)</f>
        <v>3</v>
      </c>
    </row>
    <row r="115">
      <c r="A115" s="4"/>
      <c r="C115" s="4" t="s">
        <v>2900</v>
      </c>
      <c r="D115" s="4" t="str">
        <f t="shared" si="1"/>
        <v>{"valorA":"melhor","valorB":1}</v>
      </c>
      <c r="E115" s="8" t="str">
        <f t="shared" si="2"/>
        <v>melhor</v>
      </c>
      <c r="F115" s="8" t="str">
        <f>IFERROR(__xludf.DUMMYFUNCTION("""COMPUTED_VALUE"""),"é")</f>
        <v>é</v>
      </c>
      <c r="G115" s="8" t="str">
        <f t="shared" si="3"/>
        <v>1</v>
      </c>
      <c r="H115" s="9">
        <f t="shared" si="4"/>
        <v>1</v>
      </c>
      <c r="I115" s="10">
        <f>IFERROR(__xludf.DUMMYFUNCTION("MAX(FILTER($H$2:$H450,$E$2:$E450=F115))"),1.0)</f>
        <v>1</v>
      </c>
    </row>
    <row r="116">
      <c r="A116" s="4"/>
      <c r="C116" s="4" t="s">
        <v>3875</v>
      </c>
      <c r="D116" s="4" t="str">
        <f t="shared" si="1"/>
        <v>{"valorA":"hoje","valorB":1}</v>
      </c>
      <c r="E116" s="8" t="str">
        <f t="shared" si="2"/>
        <v>hoje</v>
      </c>
      <c r="F116" s="8" t="str">
        <f>IFERROR(__xludf.DUMMYFUNCTION("""COMPUTED_VALUE"""),"lampada")</f>
        <v>lampada</v>
      </c>
      <c r="G116" s="8" t="str">
        <f t="shared" si="3"/>
        <v>1</v>
      </c>
      <c r="H116" s="9">
        <f t="shared" si="4"/>
        <v>1</v>
      </c>
      <c r="I116" s="10">
        <f>IFERROR(__xludf.DUMMYFUNCTION("MAX(FILTER($H$2:$H450,$E$2:$E450=F116))"),1.0)</f>
        <v>1</v>
      </c>
    </row>
    <row r="117">
      <c r="A117" s="4"/>
      <c r="C117" s="4" t="s">
        <v>3409</v>
      </c>
      <c r="D117" s="4" t="str">
        <f t="shared" si="1"/>
        <v>{"valorA":"foi","valorB":1}</v>
      </c>
      <c r="E117" s="8" t="str">
        <f t="shared" si="2"/>
        <v>foi</v>
      </c>
      <c r="F117" s="8" t="str">
        <f>IFERROR(__xludf.DUMMYFUNCTION("""COMPUTED_VALUE"""),"led")</f>
        <v>led</v>
      </c>
      <c r="G117" s="8" t="str">
        <f t="shared" si="3"/>
        <v>1</v>
      </c>
      <c r="H117" s="9">
        <f t="shared" si="4"/>
        <v>1</v>
      </c>
      <c r="I117" s="10">
        <f>IFERROR(__xludf.DUMMYFUNCTION("MAX(FILTER($H$2:$H450,$E$2:$E450=F117))"),3.0)</f>
        <v>3</v>
      </c>
    </row>
    <row r="118">
      <c r="A118" s="4"/>
      <c r="C118" s="4" t="s">
        <v>3876</v>
      </c>
      <c r="D118" s="4" t="str">
        <f t="shared" si="1"/>
        <v>{"valorA":"motorizado","valorB":1}</v>
      </c>
      <c r="E118" s="8" t="str">
        <f t="shared" si="2"/>
        <v>motorizado</v>
      </c>
      <c r="F118" s="8" t="str">
        <f>IFERROR(__xludf.DUMMYFUNCTION("""COMPUTED_VALUE"""),"bastante")</f>
        <v>bastante</v>
      </c>
      <c r="G118" s="8" t="str">
        <f t="shared" si="3"/>
        <v>1</v>
      </c>
      <c r="H118" s="9">
        <f t="shared" si="4"/>
        <v>1</v>
      </c>
      <c r="I118" s="10">
        <f>IFERROR(__xludf.DUMMYFUNCTION("MAX(FILTER($H$2:$H450,$E$2:$E450=F118))"),1.0)</f>
        <v>1</v>
      </c>
    </row>
    <row r="119">
      <c r="A119" s="4"/>
      <c r="C119" s="4" t="s">
        <v>2708</v>
      </c>
      <c r="D119" s="4" t="str">
        <f t="shared" si="1"/>
        <v>{"valorA":"que","valorB":3}</v>
      </c>
      <c r="E119" s="8" t="str">
        <f t="shared" si="2"/>
        <v>que</v>
      </c>
      <c r="F119" s="8" t="str">
        <f>IFERROR(__xludf.DUMMYFUNCTION("""COMPUTED_VALUE"""),"cozinha")</f>
        <v>cozinha</v>
      </c>
      <c r="G119" s="8" t="str">
        <f t="shared" si="3"/>
        <v>3</v>
      </c>
      <c r="H119" s="9">
        <f t="shared" si="4"/>
        <v>3</v>
      </c>
      <c r="I119" s="10">
        <f>IFERROR(__xludf.DUMMYFUNCTION("MAX(FILTER($H$2:$H450,$E$2:$E450=F119))"),1.0)</f>
        <v>1</v>
      </c>
    </row>
    <row r="120">
      <c r="A120" s="4"/>
      <c r="C120" s="4" t="s">
        <v>2850</v>
      </c>
      <c r="D120" s="4" t="str">
        <f t="shared" si="1"/>
        <v>{"valorA":"a","valorB":4}</v>
      </c>
      <c r="E120" s="8" t="str">
        <f t="shared" si="2"/>
        <v>a</v>
      </c>
      <c r="F120" s="8" t="str">
        <f>IFERROR(__xludf.DUMMYFUNCTION("""COMPUTED_VALUE"""),"arame")</f>
        <v>arame</v>
      </c>
      <c r="G120" s="8" t="str">
        <f t="shared" si="3"/>
        <v>4</v>
      </c>
      <c r="H120" s="9">
        <f t="shared" si="4"/>
        <v>4</v>
      </c>
      <c r="I120" s="10">
        <f>IFERROR(__xludf.DUMMYFUNCTION("MAX(FILTER($H$2:$H450,$E$2:$E450=F120))"),1.0)</f>
        <v>1</v>
      </c>
    </row>
    <row r="121">
      <c r="A121" s="4"/>
      <c r="C121" s="4" t="s">
        <v>2664</v>
      </c>
      <c r="D121" s="4" t="str">
        <f t="shared" si="1"/>
        <v>{"valorA":"compra","valorB":1}</v>
      </c>
      <c r="E121" s="8" t="str">
        <f t="shared" si="2"/>
        <v>compra</v>
      </c>
      <c r="F121" s="8" t="str">
        <f>IFERROR(__xludf.DUMMYFUNCTION("""COMPUTED_VALUE"""),"pelúcia")</f>
        <v>pelúcia</v>
      </c>
      <c r="G121" s="8" t="str">
        <f t="shared" si="3"/>
        <v>1</v>
      </c>
      <c r="H121" s="9">
        <f t="shared" si="4"/>
        <v>1</v>
      </c>
      <c r="I121" s="10">
        <f>IFERROR(__xludf.DUMMYFUNCTION("MAX(FILTER($H$2:$H450,$E$2:$E450=F121))"),1.0)</f>
        <v>1</v>
      </c>
    </row>
    <row r="122">
      <c r="A122" s="4"/>
      <c r="C122" s="4" t="s">
        <v>3204</v>
      </c>
      <c r="D122" s="4" t="str">
        <f t="shared" si="1"/>
        <v>{"valorA":"mesa","valorB":1}</v>
      </c>
      <c r="E122" s="8" t="str">
        <f t="shared" si="2"/>
        <v>mesa</v>
      </c>
      <c r="F122" s="8" t="str">
        <f>IFERROR(__xludf.DUMMYFUNCTION("""COMPUTED_VALUE"""),"sofá")</f>
        <v>sofá</v>
      </c>
      <c r="G122" s="8" t="str">
        <f t="shared" si="3"/>
        <v>1</v>
      </c>
      <c r="H122" s="9">
        <f t="shared" si="4"/>
        <v>1</v>
      </c>
      <c r="I122" s="10">
        <f>IFERROR(__xludf.DUMMYFUNCTION("MAX(FILTER($H$2:$H450,$E$2:$E450=F122))"),1.0)</f>
        <v>1</v>
      </c>
    </row>
    <row r="123">
      <c r="A123" s="4"/>
      <c r="C123" s="4" t="s">
        <v>3369</v>
      </c>
      <c r="D123" s="4" t="str">
        <f t="shared" si="1"/>
        <v>{"valorA":"ótima","valorB":5}</v>
      </c>
      <c r="E123" s="8" t="str">
        <f t="shared" si="2"/>
        <v>ótima</v>
      </c>
      <c r="F123" s="8" t="str">
        <f>IFERROR(__xludf.DUMMYFUNCTION("""COMPUTED_VALUE"""),"lâmpada")</f>
        <v>lâmpada</v>
      </c>
      <c r="G123" s="8" t="str">
        <f t="shared" si="3"/>
        <v>5</v>
      </c>
      <c r="H123" s="9">
        <f t="shared" si="4"/>
        <v>5</v>
      </c>
      <c r="I123" s="10">
        <f>IFERROR(__xludf.DUMMYFUNCTION("MAX(FILTER($H$2:$H450,$E$2:$E450=F123))"),3.0)</f>
        <v>3</v>
      </c>
    </row>
    <row r="124">
      <c r="A124" s="4"/>
      <c r="C124" s="4" t="s">
        <v>2753</v>
      </c>
      <c r="D124" s="4" t="str">
        <f t="shared" si="1"/>
        <v>{"valorA":"escritório","valorB":1}</v>
      </c>
      <c r="E124" s="8" t="str">
        <f t="shared" si="2"/>
        <v>escritório</v>
      </c>
      <c r="F124" s="8" t="str">
        <f>IFERROR(__xludf.DUMMYFUNCTION("""COMPUTED_VALUE"""),"dormir")</f>
        <v>dormir</v>
      </c>
      <c r="G124" s="8" t="str">
        <f t="shared" si="3"/>
        <v>1</v>
      </c>
      <c r="H124" s="9">
        <f t="shared" si="4"/>
        <v>1</v>
      </c>
      <c r="I124" s="10">
        <f>IFERROR(__xludf.DUMMYFUNCTION("MAX(FILTER($H$2:$H450,$E$2:$E450=F124))"),2.0)</f>
        <v>2</v>
      </c>
    </row>
    <row r="125">
      <c r="A125" s="4"/>
      <c r="C125" s="4" t="s">
        <v>2748</v>
      </c>
      <c r="D125" s="4" t="str">
        <f t="shared" si="1"/>
        <v>{"valorA":"de","valorB":5}</v>
      </c>
      <c r="E125" s="8" t="str">
        <f t="shared" si="2"/>
        <v>de</v>
      </c>
      <c r="F125" s="8" t="str">
        <f>IFERROR(__xludf.DUMMYFUNCTION("""COMPUTED_VALUE"""),"aparelho")</f>
        <v>aparelho</v>
      </c>
      <c r="G125" s="8" t="str">
        <f t="shared" si="3"/>
        <v>5</v>
      </c>
      <c r="H125" s="9">
        <f t="shared" si="4"/>
        <v>5</v>
      </c>
      <c r="I125" s="10">
        <f>IFERROR(__xludf.DUMMYFUNCTION("MAX(FILTER($H$2:$H450,$E$2:$E450=F125))"),3.0)</f>
        <v>3</v>
      </c>
    </row>
    <row r="126">
      <c r="A126" s="4"/>
      <c r="C126" s="4" t="s">
        <v>2785</v>
      </c>
      <c r="D126" s="4" t="str">
        <f t="shared" si="1"/>
        <v>{"valorA":"muito","valorB":4}</v>
      </c>
      <c r="E126" s="8" t="str">
        <f t="shared" si="2"/>
        <v>muito</v>
      </c>
      <c r="F126" s="8" t="str">
        <f>IFERROR(__xludf.DUMMYFUNCTION("""COMPUTED_VALUE"""),"preciso")</f>
        <v>preciso</v>
      </c>
      <c r="G126" s="8" t="str">
        <f t="shared" si="3"/>
        <v>4</v>
      </c>
      <c r="H126" s="9">
        <f t="shared" si="4"/>
        <v>4</v>
      </c>
      <c r="I126" s="10">
        <f>IFERROR(__xludf.DUMMYFUNCTION("MAX(FILTER($H$2:$H450,$E$2:$E450=F126))"),1.0)</f>
        <v>1</v>
      </c>
    </row>
    <row r="127">
      <c r="A127" s="4"/>
      <c r="C127" s="4" t="s">
        <v>3877</v>
      </c>
      <c r="D127" s="4" t="str">
        <f t="shared" si="1"/>
        <v>{"valorA":"estou","valorB":1}</v>
      </c>
      <c r="E127" s="8" t="str">
        <f t="shared" si="2"/>
        <v>estou</v>
      </c>
      <c r="F127" s="8" t="str">
        <f>IFERROR(__xludf.DUMMYFUNCTION("""COMPUTED_VALUE"""),"num")</f>
        <v>num</v>
      </c>
      <c r="G127" s="8" t="str">
        <f t="shared" si="3"/>
        <v>1</v>
      </c>
      <c r="H127" s="9">
        <f t="shared" si="4"/>
        <v>1</v>
      </c>
      <c r="I127" s="10">
        <f>IFERROR(__xludf.DUMMYFUNCTION("MAX(FILTER($H$2:$H450,$E$2:$E450=F127))"),1.0)</f>
        <v>1</v>
      </c>
    </row>
    <row r="128">
      <c r="A128" s="4"/>
      <c r="C128" s="4" t="s">
        <v>2927</v>
      </c>
      <c r="D128" s="4" t="str">
        <f t="shared" si="1"/>
        <v>{"valorA":"com","valorB":3}</v>
      </c>
      <c r="E128" s="8" t="str">
        <f t="shared" si="2"/>
        <v>com</v>
      </c>
      <c r="F128" s="8" t="str">
        <f>IFERROR(__xludf.DUMMYFUNCTION("""COMPUTED_VALUE"""),"único")</f>
        <v>único</v>
      </c>
      <c r="G128" s="8" t="str">
        <f t="shared" si="3"/>
        <v>3</v>
      </c>
      <c r="H128" s="9">
        <f t="shared" si="4"/>
        <v>3</v>
      </c>
      <c r="I128" s="10">
        <f>IFERROR(__xludf.DUMMYFUNCTION("MAX(FILTER($H$2:$H450,$E$2:$E450=F128))"),1.0)</f>
        <v>1</v>
      </c>
    </row>
    <row r="129">
      <c r="A129" s="4"/>
      <c r="C129" s="4" t="s">
        <v>3357</v>
      </c>
      <c r="D129" s="4" t="str">
        <f t="shared" si="1"/>
        <v>{"valorA":"satisfeita","valorB":1}</v>
      </c>
      <c r="E129" s="8" t="str">
        <f t="shared" si="2"/>
        <v>satisfeita</v>
      </c>
      <c r="F129" s="8" t="str">
        <f>IFERROR(__xludf.DUMMYFUNCTION("""COMPUTED_VALUE"""),"dispositivo")</f>
        <v>dispositivo</v>
      </c>
      <c r="G129" s="8" t="str">
        <f t="shared" si="3"/>
        <v>1</v>
      </c>
      <c r="H129" s="9">
        <f t="shared" si="4"/>
        <v>1</v>
      </c>
      <c r="I129" s="10">
        <f>IFERROR(__xludf.DUMMYFUNCTION("MAX(FILTER($H$2:$H450,$E$2:$E450=F129))"),1.0)</f>
        <v>1</v>
      </c>
    </row>
    <row r="130">
      <c r="A130" s="4"/>
      <c r="C130" s="4" t="s">
        <v>2950</v>
      </c>
      <c r="D130" s="4" t="str">
        <f t="shared" si="1"/>
        <v>{"valorA":"meu","valorB":4}</v>
      </c>
      <c r="E130" s="8" t="str">
        <f t="shared" si="2"/>
        <v>meu</v>
      </c>
      <c r="F130" s="8" t="str">
        <f>IFERROR(__xludf.DUMMYFUNCTION("""COMPUTED_VALUE"""),"realmente")</f>
        <v>realmente</v>
      </c>
      <c r="G130" s="8" t="str">
        <f t="shared" si="3"/>
        <v>4</v>
      </c>
      <c r="H130" s="9">
        <f t="shared" si="4"/>
        <v>4</v>
      </c>
      <c r="I130" s="10">
        <f>IFERROR(__xludf.DUMMYFUNCTION("MAX(FILTER($H$2:$H450,$E$2:$E450=F130))"),1.0)</f>
        <v>1</v>
      </c>
    </row>
    <row r="131">
      <c r="A131" s="4"/>
      <c r="C131" s="4" t="s">
        <v>2687</v>
      </c>
      <c r="D131" s="4" t="str">
        <f t="shared" si="1"/>
        <v>{"valorA":"compra","valorB":2}</v>
      </c>
      <c r="E131" s="8" t="str">
        <f t="shared" si="2"/>
        <v>compra</v>
      </c>
      <c r="F131" s="8" t="str">
        <f>IFERROR(__xludf.DUMMYFUNCTION("""COMPUTED_VALUE"""),"limpar")</f>
        <v>limpar</v>
      </c>
      <c r="G131" s="8" t="str">
        <f t="shared" si="3"/>
        <v>2</v>
      </c>
      <c r="H131" s="9">
        <f t="shared" si="4"/>
        <v>2</v>
      </c>
      <c r="I131" s="10">
        <f>IFERROR(__xludf.DUMMYFUNCTION("MAX(FILTER($H$2:$H450,$E$2:$E450=F131))"),1.0)</f>
        <v>1</v>
      </c>
    </row>
    <row r="132">
      <c r="A132" s="4"/>
      <c r="C132" s="4" t="s">
        <v>3079</v>
      </c>
      <c r="D132" s="4" t="str">
        <f t="shared" si="1"/>
        <v>{"valorA":"tudo","valorB":1}</v>
      </c>
      <c r="E132" s="8" t="str">
        <f t="shared" si="2"/>
        <v>tudo</v>
      </c>
      <c r="F132" s="8" t="str">
        <f>IFERROR(__xludf.DUMMYFUNCTION("""COMPUTED_VALUE"""),"pratos")</f>
        <v>pratos</v>
      </c>
      <c r="G132" s="8" t="str">
        <f t="shared" si="3"/>
        <v>1</v>
      </c>
      <c r="H132" s="9">
        <f t="shared" si="4"/>
        <v>1</v>
      </c>
      <c r="I132" s="10">
        <f>IFERROR(__xludf.DUMMYFUNCTION("MAX(FILTER($H$2:$H450,$E$2:$E450=F132))"),1.0)</f>
        <v>1</v>
      </c>
    </row>
    <row r="133">
      <c r="A133" s="4"/>
      <c r="C133" s="4" t="s">
        <v>3361</v>
      </c>
      <c r="D133" s="4" t="str">
        <f t="shared" si="1"/>
        <v>{"valorA":"fica","valorB":1}</v>
      </c>
      <c r="E133" s="8" t="str">
        <f t="shared" si="2"/>
        <v>fica</v>
      </c>
      <c r="F133" s="8" t="str">
        <f>IFERROR(__xludf.DUMMYFUNCTION("""COMPUTED_VALUE"""),"blender")</f>
        <v>blender</v>
      </c>
      <c r="G133" s="8" t="str">
        <f t="shared" si="3"/>
        <v>1</v>
      </c>
      <c r="H133" s="9">
        <f t="shared" si="4"/>
        <v>1</v>
      </c>
      <c r="I133" s="10">
        <f>IFERROR(__xludf.DUMMYFUNCTION("MAX(FILTER($H$2:$H450,$E$2:$E450=F133))"),1.0)</f>
        <v>1</v>
      </c>
    </row>
    <row r="134">
      <c r="A134" s="4"/>
      <c r="C134" s="4" t="s">
        <v>3184</v>
      </c>
      <c r="D134" s="4" t="str">
        <f t="shared" si="1"/>
        <v>{"valorA":"casa","valorB":1}</v>
      </c>
      <c r="E134" s="8" t="str">
        <f t="shared" si="2"/>
        <v>casa</v>
      </c>
      <c r="F134" s="8" t="str">
        <f>IFERROR(__xludf.DUMMYFUNCTION("""COMPUTED_VALUE"""),"player")</f>
        <v>player</v>
      </c>
      <c r="G134" s="8" t="str">
        <f t="shared" si="3"/>
        <v>1</v>
      </c>
      <c r="H134" s="9">
        <f t="shared" si="4"/>
        <v>1</v>
      </c>
      <c r="I134" s="10">
        <f>IFERROR(__xludf.DUMMYFUNCTION("MAX(FILTER($H$2:$H450,$E$2:$E450=F134))"),1.0)</f>
        <v>1</v>
      </c>
    </row>
    <row r="135">
      <c r="A135" s="4"/>
      <c r="C135" s="4" t="s">
        <v>2684</v>
      </c>
      <c r="D135" s="4" t="str">
        <f t="shared" si="1"/>
        <v>{"valorA":"ótimo","valorB":9}</v>
      </c>
      <c r="E135" s="8" t="str">
        <f t="shared" si="2"/>
        <v>ótimo</v>
      </c>
      <c r="F135" s="8" t="str">
        <f>IFERROR(__xludf.DUMMYFUNCTION("""COMPUTED_VALUE"""),"bluray")</f>
        <v>bluray</v>
      </c>
      <c r="G135" s="8" t="str">
        <f t="shared" si="3"/>
        <v>9</v>
      </c>
      <c r="H135" s="9">
        <f t="shared" si="4"/>
        <v>9</v>
      </c>
      <c r="I135" s="10">
        <f>IFERROR(__xludf.DUMMYFUNCTION("MAX(FILTER($H$2:$H450,$E$2:$E450=F135))"),1.0)</f>
        <v>1</v>
      </c>
    </row>
    <row r="136">
      <c r="A136" s="4"/>
      <c r="C136" s="4" t="s">
        <v>3878</v>
      </c>
      <c r="D136" s="4" t="str">
        <f t="shared" si="1"/>
        <v>{"valorA":"frio","valorB":1}</v>
      </c>
      <c r="E136" s="8" t="str">
        <f t="shared" si="2"/>
        <v>frio</v>
      </c>
      <c r="F136" s="8" t="str">
        <f>IFERROR(__xludf.DUMMYFUNCTION("""COMPUTED_VALUE"""),"consumo")</f>
        <v>consumo</v>
      </c>
      <c r="G136" s="8" t="str">
        <f t="shared" si="3"/>
        <v>1</v>
      </c>
      <c r="H136" s="9">
        <f t="shared" si="4"/>
        <v>1</v>
      </c>
      <c r="I136" s="10">
        <f>IFERROR(__xludf.DUMMYFUNCTION("MAX(FILTER($H$2:$H450,$E$2:$E450=F136))"),1.0)</f>
        <v>1</v>
      </c>
    </row>
    <row r="137">
      <c r="A137" s="4"/>
      <c r="C137" s="4" t="s">
        <v>3441</v>
      </c>
      <c r="D137" s="4" t="str">
        <f t="shared" si="1"/>
        <v>{"valorA":"condicionado","valorB":1}</v>
      </c>
      <c r="E137" s="8" t="str">
        <f t="shared" si="2"/>
        <v>condicionado</v>
      </c>
      <c r="F137" s="8" t="str">
        <f>IFERROR(__xludf.DUMMYFUNCTION("""COMPUTED_VALUE"""),"baixo")</f>
        <v>baixo</v>
      </c>
      <c r="G137" s="8" t="str">
        <f t="shared" si="3"/>
        <v>1</v>
      </c>
      <c r="H137" s="9">
        <f t="shared" si="4"/>
        <v>1</v>
      </c>
      <c r="I137" s="10">
        <f>IFERROR(__xludf.DUMMYFUNCTION("MAX(FILTER($H$2:$H450,$E$2:$E450=F137))"),1.0)</f>
        <v>1</v>
      </c>
    </row>
    <row r="138">
      <c r="A138" s="4"/>
      <c r="C138" s="4" t="s">
        <v>3444</v>
      </c>
      <c r="D138" s="4" t="str">
        <f t="shared" si="1"/>
        <v>{"valorA":"ar","valorB":1}</v>
      </c>
      <c r="E138" s="8" t="str">
        <f t="shared" si="2"/>
        <v>ar</v>
      </c>
      <c r="F138" s="8" t="str">
        <f>IFERROR(__xludf.DUMMYFUNCTION("""COMPUTED_VALUE"""),"elétrico")</f>
        <v>elétrico</v>
      </c>
      <c r="G138" s="8" t="str">
        <f t="shared" si="3"/>
        <v>1</v>
      </c>
      <c r="H138" s="9">
        <f t="shared" si="4"/>
        <v>1</v>
      </c>
      <c r="I138" s="10">
        <f>IFERROR(__xludf.DUMMYFUNCTION("MAX(FILTER($H$2:$H450,$E$2:$E450=F138))"),1.0)</f>
        <v>1</v>
      </c>
    </row>
    <row r="139">
      <c r="A139" s="4"/>
      <c r="C139" s="4" t="s">
        <v>3399</v>
      </c>
      <c r="D139" s="4" t="str">
        <f t="shared" si="1"/>
        <v>{"valorA":"na","valorB":1}</v>
      </c>
      <c r="E139" s="8" t="str">
        <f t="shared" si="2"/>
        <v>na</v>
      </c>
      <c r="F139" s="8" t="str">
        <f>IFERROR(__xludf.DUMMYFUNCTION("""COMPUTED_VALUE"""),"geladeira")</f>
        <v>geladeira</v>
      </c>
      <c r="G139" s="8" t="str">
        <f t="shared" si="3"/>
        <v>1</v>
      </c>
      <c r="H139" s="9">
        <f t="shared" si="4"/>
        <v>1</v>
      </c>
      <c r="I139" s="10">
        <f>IFERROR(__xludf.DUMMYFUNCTION("MAX(FILTER($H$2:$H450,$E$2:$E450=F139))"),2.0)</f>
        <v>2</v>
      </c>
    </row>
    <row r="140">
      <c r="A140" s="4"/>
      <c r="C140" s="4" t="s">
        <v>2690</v>
      </c>
      <c r="D140" s="4" t="str">
        <f t="shared" si="1"/>
        <v>{"valorA":"ótimo","valorB":10}</v>
      </c>
      <c r="E140" s="8" t="str">
        <f t="shared" si="2"/>
        <v>ótimo</v>
      </c>
      <c r="F140" s="8" t="str">
        <f>IFERROR(__xludf.DUMMYFUNCTION("""COMPUTED_VALUE"""),"essa")</f>
        <v>essa</v>
      </c>
      <c r="G140" s="8" t="str">
        <f t="shared" si="3"/>
        <v>10</v>
      </c>
      <c r="H140" s="9">
        <f t="shared" si="4"/>
        <v>10</v>
      </c>
      <c r="I140" s="10">
        <f>IFERROR(__xludf.DUMMYFUNCTION("MAX(FILTER($H$2:$H450,$E$2:$E450=F140))"),1.0)</f>
        <v>1</v>
      </c>
    </row>
    <row r="141">
      <c r="A141" s="4"/>
      <c r="C141" s="4" t="s">
        <v>2650</v>
      </c>
      <c r="D141" s="4" t="str">
        <f t="shared" si="1"/>
        <v>{"valorA":"produto","valorB":2}</v>
      </c>
      <c r="E141" s="8" t="str">
        <f t="shared" si="2"/>
        <v>produto</v>
      </c>
      <c r="F141" s="8" t="str">
        <f>IFERROR(__xludf.DUMMYFUNCTION("""COMPUTED_VALUE"""),"ganhei")</f>
        <v>ganhei</v>
      </c>
      <c r="G141" s="8" t="str">
        <f t="shared" si="3"/>
        <v>2</v>
      </c>
      <c r="H141" s="9">
        <f t="shared" si="4"/>
        <v>2</v>
      </c>
      <c r="I141" s="10">
        <f>IFERROR(__xludf.DUMMYFUNCTION("MAX(FILTER($H$2:$H450,$E$2:$E450=F141))"),1.0)</f>
        <v>1</v>
      </c>
    </row>
    <row r="142">
      <c r="A142" s="4"/>
      <c r="C142" s="4" t="s">
        <v>3034</v>
      </c>
      <c r="D142" s="4" t="str">
        <f t="shared" si="1"/>
        <v>{"valorA":"excelente","valorB":1}</v>
      </c>
      <c r="E142" s="8" t="str">
        <f t="shared" si="2"/>
        <v>excelente</v>
      </c>
      <c r="F142" s="8" t="str">
        <f>IFERROR(__xludf.DUMMYFUNCTION("""COMPUTED_VALUE"""),"isso")</f>
        <v>isso</v>
      </c>
      <c r="G142" s="8" t="str">
        <f t="shared" si="3"/>
        <v>1</v>
      </c>
      <c r="H142" s="9">
        <f t="shared" si="4"/>
        <v>1</v>
      </c>
      <c r="I142" s="10">
        <f>IFERROR(__xludf.DUMMYFUNCTION("MAX(FILTER($H$2:$H450,$E$2:$E450=F142))"),1.0)</f>
        <v>1</v>
      </c>
    </row>
    <row r="143">
      <c r="A143" s="4"/>
      <c r="C143" s="4" t="s">
        <v>2655</v>
      </c>
      <c r="D143" s="4" t="str">
        <f t="shared" si="1"/>
        <v>{"valorA":"preço","valorB":1}</v>
      </c>
      <c r="E143" s="8" t="str">
        <f t="shared" si="2"/>
        <v>preço</v>
      </c>
      <c r="F143" s="8" t="str">
        <f>IFERROR(__xludf.DUMMYFUNCTION("""COMPUTED_VALUE"""),"econômico")</f>
        <v>econômico</v>
      </c>
      <c r="G143" s="8" t="str">
        <f t="shared" si="3"/>
        <v>1</v>
      </c>
      <c r="H143" s="9">
        <f t="shared" si="4"/>
        <v>1</v>
      </c>
      <c r="I143" s="10">
        <f>IFERROR(__xludf.DUMMYFUNCTION("MAX(FILTER($H$2:$H450,$E$2:$E450=F143))"),1.0)</f>
        <v>1</v>
      </c>
    </row>
    <row r="144">
      <c r="A144" s="4"/>
      <c r="C144" s="4" t="s">
        <v>3048</v>
      </c>
      <c r="D144" s="4" t="str">
        <f t="shared" si="1"/>
        <v>{"valorA":"recomendo","valorB":2}</v>
      </c>
      <c r="E144" s="8" t="str">
        <f t="shared" si="2"/>
        <v>recomendo</v>
      </c>
      <c r="F144" s="8" t="str">
        <f>IFERROR(__xludf.DUMMYFUNCTION("""COMPUTED_VALUE"""),"tem")</f>
        <v>tem</v>
      </c>
      <c r="G144" s="8" t="str">
        <f t="shared" si="3"/>
        <v>2</v>
      </c>
      <c r="H144" s="9">
        <f t="shared" si="4"/>
        <v>2</v>
      </c>
      <c r="I144" s="10">
        <f>IFERROR(__xludf.DUMMYFUNCTION("MAX(FILTER($H$2:$H450,$E$2:$E450=F144))"),1.0)</f>
        <v>1</v>
      </c>
    </row>
    <row r="145">
      <c r="A145" s="4"/>
      <c r="C145" s="4" t="s">
        <v>3879</v>
      </c>
      <c r="D145" s="4" t="str">
        <f t="shared" si="1"/>
        <v>{"valorA":"tranquilamente","valorB":1}</v>
      </c>
      <c r="E145" s="8" t="str">
        <f t="shared" si="2"/>
        <v>tranquilamente</v>
      </c>
      <c r="F145" s="8" t="str">
        <f>IFERROR(__xludf.DUMMYFUNCTION("""COMPUTED_VALUE"""),"quem")</f>
        <v>quem</v>
      </c>
      <c r="G145" s="8" t="str">
        <f t="shared" si="3"/>
        <v>1</v>
      </c>
      <c r="H145" s="9">
        <f t="shared" si="4"/>
        <v>1</v>
      </c>
      <c r="I145" s="10">
        <f>IFERROR(__xludf.DUMMYFUNCTION("MAX(FILTER($H$2:$H450,$E$2:$E450=F145))"),1.0)</f>
        <v>1</v>
      </c>
    </row>
    <row r="146">
      <c r="A146" s="4"/>
      <c r="C146" s="4" t="s">
        <v>3880</v>
      </c>
      <c r="D146" s="4" t="str">
        <f t="shared" si="1"/>
        <v>{"valorA":"mesa","valorB":2}</v>
      </c>
      <c r="E146" s="8" t="str">
        <f t="shared" si="2"/>
        <v>mesa</v>
      </c>
      <c r="F146" s="8" t="str">
        <f>IFERROR(__xludf.DUMMYFUNCTION("""COMPUTED_VALUE"""),"folha")</f>
        <v>folha</v>
      </c>
      <c r="G146" s="8" t="str">
        <f t="shared" si="3"/>
        <v>2</v>
      </c>
      <c r="H146" s="9">
        <f t="shared" si="4"/>
        <v>2</v>
      </c>
      <c r="I146" s="10">
        <f>IFERROR(__xludf.DUMMYFUNCTION("MAX(FILTER($H$2:$H450,$E$2:$E450=F146))"),1.0)</f>
        <v>1</v>
      </c>
    </row>
    <row r="147">
      <c r="A147" s="4"/>
      <c r="C147" s="4" t="s">
        <v>2759</v>
      </c>
      <c r="D147" s="4" t="str">
        <f t="shared" si="1"/>
        <v>{"valorA":"para","valorB":4}</v>
      </c>
      <c r="E147" s="8" t="str">
        <f t="shared" si="2"/>
        <v>para</v>
      </c>
      <c r="F147" s="8" t="str">
        <f>IFERROR(__xludf.DUMMYFUNCTION("""COMPUTED_VALUE"""),"poucos")</f>
        <v>poucos</v>
      </c>
      <c r="G147" s="8" t="str">
        <f t="shared" si="3"/>
        <v>4</v>
      </c>
      <c r="H147" s="9">
        <f t="shared" si="4"/>
        <v>4</v>
      </c>
      <c r="I147" s="10">
        <f>IFERROR(__xludf.DUMMYFUNCTION("MAX(FILTER($H$2:$H450,$E$2:$E450=F147))"),1.0)</f>
        <v>1</v>
      </c>
    </row>
    <row r="148">
      <c r="A148" s="4"/>
      <c r="C148" s="4" t="s">
        <v>3384</v>
      </c>
      <c r="D148" s="4" t="str">
        <f t="shared" si="1"/>
        <v>{"valorA":"ótima","valorB":6}</v>
      </c>
      <c r="E148" s="8" t="str">
        <f t="shared" si="2"/>
        <v>ótima</v>
      </c>
      <c r="F148" s="8" t="str">
        <f>IFERROR(__xludf.DUMMYFUNCTION("""COMPUTED_VALUE"""),"seca")</f>
        <v>seca</v>
      </c>
      <c r="G148" s="8" t="str">
        <f t="shared" si="3"/>
        <v>6</v>
      </c>
      <c r="H148" s="9">
        <f t="shared" si="4"/>
        <v>6</v>
      </c>
      <c r="I148" s="10">
        <f>IFERROR(__xludf.DUMMYFUNCTION("MAX(FILTER($H$2:$H450,$E$2:$E450=F148))"),1.0)</f>
        <v>1</v>
      </c>
    </row>
    <row r="149">
      <c r="A149" s="4"/>
      <c r="C149" s="4" t="s">
        <v>2888</v>
      </c>
      <c r="D149" s="4" t="str">
        <f t="shared" si="1"/>
        <v>{"valorA":"a","valorB":5}</v>
      </c>
      <c r="E149" s="8" t="str">
        <f t="shared" si="2"/>
        <v>a</v>
      </c>
      <c r="F149" s="8" t="str">
        <f>IFERROR(__xludf.DUMMYFUNCTION("""COMPUTED_VALUE"""),"aos")</f>
        <v>aos</v>
      </c>
      <c r="G149" s="8" t="str">
        <f t="shared" si="3"/>
        <v>5</v>
      </c>
      <c r="H149" s="9">
        <f t="shared" si="4"/>
        <v>5</v>
      </c>
      <c r="I149" s="10">
        <f>IFERROR(__xludf.DUMMYFUNCTION("MAX(FILTER($H$2:$H450,$E$2:$E450=F149))"),1.0)</f>
        <v>1</v>
      </c>
    </row>
    <row r="150">
      <c r="A150" s="4"/>
      <c r="C150" s="4" t="s">
        <v>3881</v>
      </c>
      <c r="D150" s="4" t="str">
        <f t="shared" si="1"/>
        <v>{"valorA":"sediar","valorB":1}</v>
      </c>
      <c r="E150" s="8" t="str">
        <f t="shared" si="2"/>
        <v>sediar</v>
      </c>
      <c r="F150" s="8" t="str">
        <f>IFERROR(__xludf.DUMMYFUNCTION("""COMPUTED_VALUE"""),"um")</f>
        <v>um</v>
      </c>
      <c r="G150" s="8" t="str">
        <f t="shared" si="3"/>
        <v>1</v>
      </c>
      <c r="H150" s="9">
        <f t="shared" si="4"/>
        <v>1</v>
      </c>
      <c r="I150" s="10">
        <f>IFERROR(__xludf.DUMMYFUNCTION("MAX(FILTER($H$2:$H450,$E$2:$E450=F150))"),1.0)</f>
        <v>1</v>
      </c>
    </row>
    <row r="151">
      <c r="A151" s="4"/>
      <c r="C151" s="4" t="s">
        <v>3882</v>
      </c>
      <c r="D151" s="4" t="str">
        <f t="shared" si="1"/>
        <v>{"valorA":"pode","valorB":1}</v>
      </c>
      <c r="E151" s="8" t="str">
        <f t="shared" si="2"/>
        <v>pode</v>
      </c>
      <c r="F151" s="8" t="str">
        <f>IFERROR(__xludf.DUMMYFUNCTION("""COMPUTED_VALUE"""),"acessível")</f>
        <v>acessível</v>
      </c>
      <c r="G151" s="8" t="str">
        <f t="shared" si="3"/>
        <v>1</v>
      </c>
      <c r="H151" s="9">
        <f t="shared" si="4"/>
        <v>1</v>
      </c>
      <c r="I151" s="10">
        <f>IFERROR(__xludf.DUMMYFUNCTION("MAX(FILTER($H$2:$H450,$E$2:$E450=F151))"),1.0)</f>
        <v>1</v>
      </c>
    </row>
    <row r="152">
      <c r="A152" s="4"/>
      <c r="C152" s="4" t="s">
        <v>3883</v>
      </c>
      <c r="D152" s="4" t="str">
        <f t="shared" si="1"/>
        <v>{"valorA":"nossa","valorB":1}</v>
      </c>
      <c r="E152" s="8" t="str">
        <f t="shared" si="2"/>
        <v>nossa</v>
      </c>
      <c r="F152" s="8" t="str">
        <f>IFERROR(__xludf.DUMMYFUNCTION("""COMPUTED_VALUE"""),"caminho")</f>
        <v>caminho</v>
      </c>
      <c r="G152" s="8" t="str">
        <f t="shared" si="3"/>
        <v>1</v>
      </c>
      <c r="H152" s="9">
        <f t="shared" si="4"/>
        <v>1</v>
      </c>
      <c r="I152" s="10">
        <f>IFERROR(__xludf.DUMMYFUNCTION("MAX(FILTER($H$2:$H450,$E$2:$E450=F152))"),1.0)</f>
        <v>1</v>
      </c>
    </row>
    <row r="153">
      <c r="A153" s="4"/>
      <c r="C153" s="4" t="s">
        <v>2876</v>
      </c>
      <c r="D153" s="4" t="str">
        <f t="shared" si="1"/>
        <v>{"valorA":"de","valorB":6}</v>
      </c>
      <c r="E153" s="8" t="str">
        <f t="shared" si="2"/>
        <v>de</v>
      </c>
      <c r="F153" s="8" t="str">
        <f>IFERROR(__xludf.DUMMYFUNCTION("""COMPUTED_VALUE"""),"cabeçalho")</f>
        <v>cabeçalho</v>
      </c>
      <c r="G153" s="8" t="str">
        <f t="shared" si="3"/>
        <v>6</v>
      </c>
      <c r="H153" s="9">
        <f t="shared" si="4"/>
        <v>6</v>
      </c>
      <c r="I153" s="10">
        <f>IFERROR(__xludf.DUMMYFUNCTION("MAX(FILTER($H$2:$H450,$E$2:$E450=F153))"),1.0)</f>
        <v>1</v>
      </c>
    </row>
    <row r="154">
      <c r="A154" s="4"/>
      <c r="C154" s="4" t="s">
        <v>3884</v>
      </c>
      <c r="D154" s="4" t="str">
        <f t="shared" si="1"/>
        <v>{"valorA":"6","valorB":1}</v>
      </c>
      <c r="E154" s="8" t="str">
        <f t="shared" si="2"/>
        <v>6</v>
      </c>
      <c r="F154" s="8" t="str">
        <f>IFERROR(__xludf.DUMMYFUNCTION("""COMPUTED_VALUE"""),"achei")</f>
        <v>achei</v>
      </c>
      <c r="G154" s="8" t="str">
        <f t="shared" si="3"/>
        <v>1</v>
      </c>
      <c r="H154" s="9">
        <f t="shared" si="4"/>
        <v>1</v>
      </c>
      <c r="I154" s="10">
        <f>IFERROR(__xludf.DUMMYFUNCTION("MAX(FILTER($H$2:$H450,$E$2:$E450=F154))"),2.0)</f>
        <v>2</v>
      </c>
    </row>
    <row r="155">
      <c r="A155" s="4"/>
      <c r="C155" s="4" t="s">
        <v>3885</v>
      </c>
      <c r="D155" s="4" t="str">
        <f t="shared" si="1"/>
        <v>{"valorA":"pessoas","valorB":1}</v>
      </c>
      <c r="E155" s="8" t="str">
        <f t="shared" si="2"/>
        <v>pessoas</v>
      </c>
      <c r="F155" s="8" t="str">
        <f>IFERROR(__xludf.DUMMYFUNCTION("""COMPUTED_VALUE"""),"computador")</f>
        <v>computador</v>
      </c>
      <c r="G155" s="8" t="str">
        <f t="shared" si="3"/>
        <v>1</v>
      </c>
      <c r="H155" s="9">
        <f t="shared" si="4"/>
        <v>1</v>
      </c>
      <c r="I155" s="10">
        <f>IFERROR(__xludf.DUMMYFUNCTION("MAX(FILTER($H$2:$H450,$E$2:$E450=F155))"),1.0)</f>
        <v>1</v>
      </c>
    </row>
    <row r="156">
      <c r="A156" s="4"/>
      <c r="C156" s="4" t="s">
        <v>3886</v>
      </c>
      <c r="D156" s="4" t="str">
        <f t="shared" si="1"/>
        <v>{"valorA":"família","valorB":1}</v>
      </c>
      <c r="E156" s="8" t="str">
        <f t="shared" si="2"/>
        <v>família</v>
      </c>
      <c r="F156" s="8" t="str">
        <f>IFERROR(__xludf.DUMMYFUNCTION("""COMPUTED_VALUE"""),"no")</f>
        <v>no</v>
      </c>
      <c r="G156" s="8" t="str">
        <f t="shared" si="3"/>
        <v>1</v>
      </c>
      <c r="H156" s="9">
        <f t="shared" si="4"/>
        <v>1</v>
      </c>
      <c r="I156" s="10">
        <f>IFERROR(__xludf.DUMMYFUNCTION("MAX(FILTER($H$2:$H450,$E$2:$E450=F156))"),1.0)</f>
        <v>1</v>
      </c>
    </row>
    <row r="157">
      <c r="A157" s="4"/>
      <c r="C157" s="4" t="s">
        <v>3887</v>
      </c>
      <c r="D157" s="4" t="str">
        <f t="shared" si="1"/>
        <v>{"valorA":"jantar","valorB":1}</v>
      </c>
      <c r="E157" s="8" t="str">
        <f t="shared" si="2"/>
        <v>jantar</v>
      </c>
      <c r="F157" s="8" t="str">
        <f>IFERROR(__xludf.DUMMYFUNCTION("""COMPUTED_VALUE"""),"quarto")</f>
        <v>quarto</v>
      </c>
      <c r="G157" s="8" t="str">
        <f t="shared" si="3"/>
        <v>1</v>
      </c>
      <c r="H157" s="9">
        <f t="shared" si="4"/>
        <v>1</v>
      </c>
      <c r="I157" s="10">
        <f>IFERROR(__xludf.DUMMYFUNCTION("MAX(FILTER($H$2:$H450,$E$2:$E450=F157))"),2.0)</f>
        <v>2</v>
      </c>
    </row>
    <row r="158">
      <c r="A158" s="4"/>
      <c r="C158" s="4" t="s">
        <v>3411</v>
      </c>
      <c r="D158" s="4" t="str">
        <f t="shared" si="1"/>
        <v>{"valorA":"até","valorB":1}</v>
      </c>
      <c r="E158" s="8" t="str">
        <f t="shared" si="2"/>
        <v>até</v>
      </c>
      <c r="F158" s="8" t="str">
        <f>IFERROR(__xludf.DUMMYFUNCTION("""COMPUTED_VALUE"""),"coisa")</f>
        <v>coisa</v>
      </c>
      <c r="G158" s="8" t="str">
        <f t="shared" si="3"/>
        <v>1</v>
      </c>
      <c r="H158" s="9">
        <f t="shared" si="4"/>
        <v>1</v>
      </c>
      <c r="I158" s="10">
        <f>IFERROR(__xludf.DUMMYFUNCTION("MAX(FILTER($H$2:$H450,$E$2:$E450=F158))"),1.0)</f>
        <v>1</v>
      </c>
    </row>
    <row r="159">
      <c r="A159" s="4"/>
      <c r="C159" s="4" t="s">
        <v>2698</v>
      </c>
      <c r="D159" s="4" t="str">
        <f t="shared" si="1"/>
        <v>{"valorA":"ótimo","valorB":11}</v>
      </c>
      <c r="E159" s="8" t="str">
        <f t="shared" si="2"/>
        <v>ótimo</v>
      </c>
      <c r="F159" s="8" t="str">
        <f>IFERROR(__xludf.DUMMYFUNCTION("""COMPUTED_VALUE"""),"ouça")</f>
        <v>ouça</v>
      </c>
      <c r="G159" s="8" t="str">
        <f t="shared" si="3"/>
        <v>11</v>
      </c>
      <c r="H159" s="9">
        <f t="shared" si="4"/>
        <v>11</v>
      </c>
      <c r="I159" s="10">
        <f>IFERROR(__xludf.DUMMYFUNCTION("MAX(FILTER($H$2:$H450,$E$2:$E450=F159))"),1.0)</f>
        <v>1</v>
      </c>
    </row>
    <row r="160">
      <c r="A160" s="4"/>
      <c r="C160" s="4" t="s">
        <v>2171</v>
      </c>
      <c r="D160" s="4" t="str">
        <f t="shared" si="1"/>
        <v>{"valorA":"celular","valorB":1}</v>
      </c>
      <c r="E160" s="8" t="str">
        <f t="shared" si="2"/>
        <v>celular</v>
      </c>
      <c r="F160" s="8" t="str">
        <f>IFERROR(__xludf.DUMMYFUNCTION("""COMPUTED_VALUE"""),"totalmente")</f>
        <v>totalmente</v>
      </c>
      <c r="G160" s="8" t="str">
        <f t="shared" si="3"/>
        <v>1</v>
      </c>
      <c r="H160" s="9">
        <f t="shared" si="4"/>
        <v>1</v>
      </c>
      <c r="I160" s="10">
        <f>IFERROR(__xludf.DUMMYFUNCTION("MAX(FILTER($H$2:$H450,$E$2:$E450=F160))"),1.0)</f>
        <v>1</v>
      </c>
    </row>
    <row r="161">
      <c r="A161" s="4"/>
      <c r="C161" s="4" t="s">
        <v>3023</v>
      </c>
      <c r="D161" s="4" t="str">
        <f t="shared" si="1"/>
        <v>{"valorA":"bom","valorB":1}</v>
      </c>
      <c r="E161" s="8" t="str">
        <f t="shared" si="2"/>
        <v>bom</v>
      </c>
      <c r="F161" s="8" t="str">
        <f>IFERROR(__xludf.DUMMYFUNCTION("""COMPUTED_VALUE"""),"sistema")</f>
        <v>sistema</v>
      </c>
      <c r="G161" s="8" t="str">
        <f t="shared" si="3"/>
        <v>1</v>
      </c>
      <c r="H161" s="9">
        <f t="shared" si="4"/>
        <v>1</v>
      </c>
      <c r="I161" s="10">
        <f>IFERROR(__xludf.DUMMYFUNCTION("MAX(FILTER($H$2:$H450,$E$2:$E450=F161))"),1.0)</f>
        <v>1</v>
      </c>
    </row>
    <row r="162">
      <c r="A162" s="4"/>
      <c r="C162" s="4" t="s">
        <v>2792</v>
      </c>
      <c r="D162" s="4" t="str">
        <f t="shared" si="1"/>
        <v>{"valorA":"muito","valorB":5}</v>
      </c>
      <c r="E162" s="8" t="str">
        <f t="shared" si="2"/>
        <v>muito</v>
      </c>
      <c r="F162" s="8" t="str">
        <f>IFERROR(__xludf.DUMMYFUNCTION("""COMPUTED_VALUE"""),"aquecimento")</f>
        <v>aquecimento</v>
      </c>
      <c r="G162" s="8" t="str">
        <f t="shared" si="3"/>
        <v>5</v>
      </c>
      <c r="H162" s="9">
        <f t="shared" si="4"/>
        <v>5</v>
      </c>
      <c r="I162" s="10">
        <f>IFERROR(__xludf.DUMMYFUNCTION("MAX(FILTER($H$2:$H450,$E$2:$E450=F162))"),1.0)</f>
        <v>1</v>
      </c>
    </row>
    <row r="163">
      <c r="A163" s="4"/>
      <c r="C163" s="4" t="s">
        <v>2963</v>
      </c>
      <c r="D163" s="4" t="str">
        <f t="shared" si="1"/>
        <v>{"valorA":"útil","valorB":1}</v>
      </c>
      <c r="E163" s="8" t="str">
        <f t="shared" si="2"/>
        <v>útil</v>
      </c>
      <c r="F163" s="8" t="str">
        <f>IFERROR(__xludf.DUMMYFUNCTION("""COMPUTED_VALUE"""),"central")</f>
        <v>central</v>
      </c>
      <c r="G163" s="8" t="str">
        <f t="shared" si="3"/>
        <v>1</v>
      </c>
      <c r="H163" s="9">
        <f t="shared" si="4"/>
        <v>1</v>
      </c>
      <c r="I163" s="10">
        <f>IFERROR(__xludf.DUMMYFUNCTION("MAX(FILTER($H$2:$H450,$E$2:$E450=F163))"),1.0)</f>
        <v>1</v>
      </c>
    </row>
    <row r="164">
      <c r="A164" s="4"/>
      <c r="C164" s="4" t="s">
        <v>3888</v>
      </c>
      <c r="D164" s="4" t="str">
        <f t="shared" si="1"/>
        <v>{"valorA":"fica","valorB":2}</v>
      </c>
      <c r="E164" s="8" t="str">
        <f t="shared" si="2"/>
        <v>fica</v>
      </c>
      <c r="F164" s="8" t="str">
        <f>IFERROR(__xludf.DUMMYFUNCTION("""COMPUTED_VALUE"""),"limpeza")</f>
        <v>limpeza</v>
      </c>
      <c r="G164" s="8" t="str">
        <f t="shared" si="3"/>
        <v>2</v>
      </c>
      <c r="H164" s="9">
        <f t="shared" si="4"/>
        <v>2</v>
      </c>
      <c r="I164" s="10">
        <f>IFERROR(__xludf.DUMMYFUNCTION("MAX(FILTER($H$2:$H450,$E$2:$E450=F164))"),1.0)</f>
        <v>1</v>
      </c>
    </row>
    <row r="165">
      <c r="A165" s="4"/>
      <c r="C165" s="4" t="s">
        <v>3889</v>
      </c>
      <c r="D165" s="4" t="str">
        <f t="shared" si="1"/>
        <v>{"valorA":"vida","valorB":1}</v>
      </c>
      <c r="E165" s="8" t="str">
        <f t="shared" si="2"/>
        <v>vida</v>
      </c>
      <c r="F165" s="8" t="str">
        <f>IFERROR(__xludf.DUMMYFUNCTION("""COMPUTED_VALUE"""),"energia")</f>
        <v>energia</v>
      </c>
      <c r="G165" s="8" t="str">
        <f t="shared" si="3"/>
        <v>1</v>
      </c>
      <c r="H165" s="9">
        <f t="shared" si="4"/>
        <v>1</v>
      </c>
      <c r="I165" s="10">
        <f>IFERROR(__xludf.DUMMYFUNCTION("MAX(FILTER($H$2:$H450,$E$2:$E450=F165))"),1.0)</f>
        <v>1</v>
      </c>
    </row>
    <row r="166">
      <c r="A166" s="4"/>
      <c r="C166" s="4" t="s">
        <v>2956</v>
      </c>
      <c r="D166" s="4" t="str">
        <f t="shared" si="1"/>
        <v>{"valorA":"com","valorB":4}</v>
      </c>
      <c r="E166" s="8" t="str">
        <f t="shared" si="2"/>
        <v>com</v>
      </c>
      <c r="F166" s="8" t="str">
        <f>IFERROR(__xludf.DUMMYFUNCTION("""COMPUTED_VALUE"""),"economiza")</f>
        <v>economiza</v>
      </c>
      <c r="G166" s="8" t="str">
        <f t="shared" si="3"/>
        <v>4</v>
      </c>
      <c r="H166" s="9">
        <f t="shared" si="4"/>
        <v>4</v>
      </c>
      <c r="I166" s="10">
        <f>IFERROR(__xludf.DUMMYFUNCTION("MAX(FILTER($H$2:$H450,$E$2:$E450=F166))"),2.0)</f>
        <v>2</v>
      </c>
    </row>
    <row r="167">
      <c r="A167" s="4"/>
      <c r="C167" s="4" t="s">
        <v>2702</v>
      </c>
      <c r="D167" s="4" t="str">
        <f t="shared" si="1"/>
        <v>{"valorA":"ótimo","valorB":12}</v>
      </c>
      <c r="E167" s="8" t="str">
        <f t="shared" si="2"/>
        <v>ótimo</v>
      </c>
      <c r="F167" s="8" t="str">
        <f>IFERROR(__xludf.DUMMYFUNCTION("""COMPUTED_VALUE"""),"elétrica")</f>
        <v>elétrica</v>
      </c>
      <c r="G167" s="8" t="str">
        <f t="shared" si="3"/>
        <v>12</v>
      </c>
      <c r="H167" s="9">
        <f t="shared" si="4"/>
        <v>12</v>
      </c>
      <c r="I167" s="10">
        <f>IFERROR(__xludf.DUMMYFUNCTION("MAX(FILTER($H$2:$H450,$E$2:$E450=F167))"),1.0)</f>
        <v>1</v>
      </c>
    </row>
    <row r="168">
      <c r="A168" s="4"/>
      <c r="C168" s="4" t="s">
        <v>3890</v>
      </c>
      <c r="D168" s="4" t="str">
        <f t="shared" si="1"/>
        <v>{"valorA":"escondera","valorB":1}</v>
      </c>
      <c r="E168" s="8" t="str">
        <f t="shared" si="2"/>
        <v>escondera</v>
      </c>
      <c r="F168" s="8" t="str">
        <f>IFERROR(__xludf.DUMMYFUNCTION("""COMPUTED_VALUE"""),"fortemente")</f>
        <v>fortemente</v>
      </c>
      <c r="G168" s="8" t="str">
        <f t="shared" si="3"/>
        <v>1</v>
      </c>
      <c r="H168" s="9">
        <f t="shared" si="4"/>
        <v>1</v>
      </c>
      <c r="I168" s="10">
        <f>IFERROR(__xludf.DUMMYFUNCTION("MAX(FILTER($H$2:$H450,$E$2:$E450=F168))"),1.0)</f>
        <v>1</v>
      </c>
    </row>
    <row r="169">
      <c r="A169" s="4"/>
      <c r="C169" s="4" t="s">
        <v>3891</v>
      </c>
      <c r="D169" s="4" t="str">
        <f t="shared" si="1"/>
        <v>{"valorA":"estou","valorB":2}</v>
      </c>
      <c r="E169" s="8" t="str">
        <f t="shared" si="2"/>
        <v>estou</v>
      </c>
      <c r="F169" s="8" t="str">
        <f>IFERROR(__xludf.DUMMYFUNCTION("""COMPUTED_VALUE"""),"online")</f>
        <v>online</v>
      </c>
      <c r="G169" s="8" t="str">
        <f t="shared" si="3"/>
        <v>2</v>
      </c>
      <c r="H169" s="9">
        <f t="shared" si="4"/>
        <v>2</v>
      </c>
      <c r="I169" s="10">
        <f>IFERROR(__xludf.DUMMYFUNCTION("MAX(FILTER($H$2:$H450,$E$2:$E450=F169))"),1.0)</f>
        <v>1</v>
      </c>
    </row>
    <row r="170">
      <c r="A170" s="4"/>
      <c r="C170" s="4" t="s">
        <v>3499</v>
      </c>
      <c r="D170" s="4" t="str">
        <f t="shared" si="1"/>
        <v>{"valorA":"lavadora","valorB":2}</v>
      </c>
      <c r="E170" s="8" t="str">
        <f t="shared" si="2"/>
        <v>lavadora</v>
      </c>
      <c r="F170" s="8" t="str">
        <f>IFERROR(__xludf.DUMMYFUNCTION("""COMPUTED_VALUE"""),"serviço")</f>
        <v>serviço</v>
      </c>
      <c r="G170" s="8" t="str">
        <f t="shared" si="3"/>
        <v>2</v>
      </c>
      <c r="H170" s="9">
        <f t="shared" si="4"/>
        <v>2</v>
      </c>
      <c r="I170" s="10">
        <f>IFERROR(__xludf.DUMMYFUNCTION("MAX(FILTER($H$2:$H450,$E$2:$E450=F170))"),1.0)</f>
        <v>1</v>
      </c>
    </row>
    <row r="171">
      <c r="A171" s="4"/>
      <c r="C171" s="4" t="s">
        <v>3892</v>
      </c>
      <c r="D171" s="4" t="str">
        <f t="shared" si="1"/>
        <v>{"valorA":"satisfeita","valorB":2}</v>
      </c>
      <c r="E171" s="8" t="str">
        <f t="shared" si="2"/>
        <v>satisfeita</v>
      </c>
      <c r="F171" s="8" t="str">
        <f>IFERROR(__xludf.DUMMYFUNCTION("""COMPUTED_VALUE"""),"deste")</f>
        <v>deste</v>
      </c>
      <c r="G171" s="8" t="str">
        <f t="shared" si="3"/>
        <v>2</v>
      </c>
      <c r="H171" s="9">
        <f t="shared" si="4"/>
        <v>2</v>
      </c>
      <c r="I171" s="10">
        <f>IFERROR(__xludf.DUMMYFUNCTION("MAX(FILTER($H$2:$H450,$E$2:$E450=F171))"),1.0)</f>
        <v>1</v>
      </c>
    </row>
    <row r="172">
      <c r="A172" s="4"/>
      <c r="C172" s="4" t="s">
        <v>3356</v>
      </c>
      <c r="D172" s="4" t="str">
        <f t="shared" si="1"/>
        <v>{"valorA":"com","valorB":5}</v>
      </c>
      <c r="E172" s="8" t="str">
        <f t="shared" si="2"/>
        <v>com</v>
      </c>
      <c r="F172" s="8" t="str">
        <f>IFERROR(__xludf.DUMMYFUNCTION("""COMPUTED_VALUE"""),"óptimo")</f>
        <v>óptimo</v>
      </c>
      <c r="G172" s="8" t="str">
        <f t="shared" si="3"/>
        <v>5</v>
      </c>
      <c r="H172" s="9">
        <f t="shared" si="4"/>
        <v>5</v>
      </c>
      <c r="I172" s="10">
        <f>IFERROR(__xludf.DUMMYFUNCTION("MAX(FILTER($H$2:$H450,$E$2:$E450=F172))"),2.0)</f>
        <v>2</v>
      </c>
    </row>
    <row r="173">
      <c r="A173" s="4"/>
      <c r="C173" s="4" t="s">
        <v>2811</v>
      </c>
      <c r="D173" s="4" t="str">
        <f t="shared" si="1"/>
        <v>{"valorA":"muito","valorB":6}</v>
      </c>
      <c r="E173" s="8" t="str">
        <f t="shared" si="2"/>
        <v>muito</v>
      </c>
      <c r="F173" s="8" t="str">
        <f>IFERROR(__xludf.DUMMYFUNCTION("""COMPUTED_VALUE"""),"site")</f>
        <v>site</v>
      </c>
      <c r="G173" s="8" t="str">
        <f t="shared" si="3"/>
        <v>6</v>
      </c>
      <c r="H173" s="9">
        <f t="shared" si="4"/>
        <v>6</v>
      </c>
      <c r="I173" s="10">
        <f>IFERROR(__xludf.DUMMYFUNCTION("MAX(FILTER($H$2:$H450,$E$2:$E450=F173))"),1.0)</f>
        <v>1</v>
      </c>
    </row>
    <row r="174">
      <c r="A174" s="4"/>
      <c r="C174" s="4" t="s">
        <v>2672</v>
      </c>
      <c r="D174" s="4" t="str">
        <f t="shared" si="1"/>
        <v>{"valorA":"ele","valorB":1}</v>
      </c>
      <c r="E174" s="8" t="str">
        <f t="shared" si="2"/>
        <v>ele</v>
      </c>
      <c r="F174" s="8" t="str">
        <f>IFERROR(__xludf.DUMMYFUNCTION("""COMPUTED_VALUE"""),"grãos")</f>
        <v>grãos</v>
      </c>
      <c r="G174" s="8" t="str">
        <f t="shared" si="3"/>
        <v>1</v>
      </c>
      <c r="H174" s="9">
        <f t="shared" si="4"/>
        <v>1</v>
      </c>
      <c r="I174" s="10">
        <f>IFERROR(__xludf.DUMMYFUNCTION("MAX(FILTER($H$2:$H450,$E$2:$E450=F174))"),1.0)</f>
        <v>1</v>
      </c>
    </row>
    <row r="175">
      <c r="A175" s="4"/>
      <c r="C175" s="4" t="s">
        <v>2710</v>
      </c>
      <c r="D175" s="4" t="str">
        <f t="shared" si="1"/>
        <v>{"valorA":"ótimo","valorB":13}</v>
      </c>
      <c r="E175" s="8" t="str">
        <f t="shared" si="2"/>
        <v>ótimo</v>
      </c>
      <c r="F175" s="8" t="str">
        <f>IFERROR(__xludf.DUMMYFUNCTION("""COMPUTED_VALUE"""),"moinho")</f>
        <v>moinho</v>
      </c>
      <c r="G175" s="8" t="str">
        <f t="shared" si="3"/>
        <v>13</v>
      </c>
      <c r="H175" s="9">
        <f t="shared" si="4"/>
        <v>13</v>
      </c>
      <c r="I175" s="10">
        <f>IFERROR(__xludf.DUMMYFUNCTION("MAX(FILTER($H$2:$H450,$E$2:$E450=F175))"),1.0)</f>
        <v>1</v>
      </c>
    </row>
    <row r="176">
      <c r="A176" s="4"/>
      <c r="C176" s="4" t="s">
        <v>2898</v>
      </c>
      <c r="D176" s="4" t="str">
        <f t="shared" si="1"/>
        <v>{"valorA":"o","valorB":6}</v>
      </c>
      <c r="E176" s="8" t="str">
        <f t="shared" si="2"/>
        <v>o</v>
      </c>
      <c r="F176" s="8" t="str">
        <f>IFERROR(__xludf.DUMMYFUNCTION("""COMPUTED_VALUE"""),"vale")</f>
        <v>vale</v>
      </c>
      <c r="G176" s="8" t="str">
        <f t="shared" si="3"/>
        <v>6</v>
      </c>
      <c r="H176" s="9">
        <f t="shared" si="4"/>
        <v>6</v>
      </c>
      <c r="I176" s="10">
        <f>IFERROR(__xludf.DUMMYFUNCTION("MAX(FILTER($H$2:$H450,$E$2:$E450=F176))"),1.0)</f>
        <v>1</v>
      </c>
    </row>
    <row r="177">
      <c r="A177" s="4"/>
      <c r="C177" s="4" t="s">
        <v>2712</v>
      </c>
      <c r="D177" s="4" t="str">
        <f t="shared" si="1"/>
        <v>{"valorA":"funciona","valorB":3}</v>
      </c>
      <c r="E177" s="8" t="str">
        <f t="shared" si="2"/>
        <v>funciona</v>
      </c>
      <c r="F177" s="8" t="str">
        <f>IFERROR(__xludf.DUMMYFUNCTION("""COMPUTED_VALUE"""),"primeiro")</f>
        <v>primeiro</v>
      </c>
      <c r="G177" s="8" t="str">
        <f t="shared" si="3"/>
        <v>3</v>
      </c>
      <c r="H177" s="9">
        <f t="shared" si="4"/>
        <v>3</v>
      </c>
      <c r="I177" s="10">
        <f>IFERROR(__xludf.DUMMYFUNCTION("MAX(FILTER($H$2:$H450,$E$2:$E450=F177))"),1.0)</f>
        <v>1</v>
      </c>
    </row>
    <row r="178">
      <c r="A178" s="4"/>
      <c r="C178" s="4" t="s">
        <v>3337</v>
      </c>
      <c r="D178" s="4" t="str">
        <f t="shared" si="1"/>
        <v>{"valorA":"refrigerador","valorB":1}</v>
      </c>
      <c r="E178" s="8" t="str">
        <f t="shared" si="2"/>
        <v>refrigerador</v>
      </c>
      <c r="F178" s="8" t="str">
        <f>IFERROR(__xludf.DUMMYFUNCTION("""COMPUTED_VALUE"""),"louça")</f>
        <v>louça</v>
      </c>
      <c r="G178" s="8" t="str">
        <f t="shared" si="3"/>
        <v>1</v>
      </c>
      <c r="H178" s="9">
        <f t="shared" si="4"/>
        <v>1</v>
      </c>
      <c r="I178" s="10">
        <f>IFERROR(__xludf.DUMMYFUNCTION("MAX(FILTER($H$2:$H450,$E$2:$E450=F178))"),1.0)</f>
        <v>1</v>
      </c>
    </row>
    <row r="179">
      <c r="A179" s="4"/>
      <c r="C179" s="4" t="s">
        <v>2782</v>
      </c>
      <c r="D179" s="4" t="str">
        <f t="shared" si="1"/>
        <v>{"valorA":"bem","valorB":3}</v>
      </c>
      <c r="E179" s="8" t="str">
        <f t="shared" si="2"/>
        <v>bem</v>
      </c>
      <c r="F179" s="8" t="str">
        <f>IFERROR(__xludf.DUMMYFUNCTION("""COMPUTED_VALUE"""),"água")</f>
        <v>água</v>
      </c>
      <c r="G179" s="8" t="str">
        <f t="shared" si="3"/>
        <v>3</v>
      </c>
      <c r="H179" s="9">
        <f t="shared" si="4"/>
        <v>3</v>
      </c>
      <c r="I179" s="10">
        <f>IFERROR(__xludf.DUMMYFUNCTION("MAX(FILTER($H$2:$H450,$E$2:$E450=F179))"),2.0)</f>
        <v>2</v>
      </c>
    </row>
    <row r="180">
      <c r="A180" s="4"/>
      <c r="C180" s="4" t="s">
        <v>2835</v>
      </c>
      <c r="D180" s="4" t="str">
        <f t="shared" si="1"/>
        <v>{"valorA":"muito","valorB":7}</v>
      </c>
      <c r="E180" s="8" t="str">
        <f t="shared" si="2"/>
        <v>muito</v>
      </c>
      <c r="F180" s="8" t="str">
        <f>IFERROR(__xludf.DUMMYFUNCTION("""COMPUTED_VALUE"""),"esse")</f>
        <v>esse</v>
      </c>
      <c r="G180" s="8" t="str">
        <f t="shared" si="3"/>
        <v>7</v>
      </c>
      <c r="H180" s="9">
        <f t="shared" si="4"/>
        <v>7</v>
      </c>
      <c r="I180" s="10">
        <f>IFERROR(__xludf.DUMMYFUNCTION("MAX(FILTER($H$2:$H450,$E$2:$E450=F180))"),1.0)</f>
        <v>1</v>
      </c>
    </row>
    <row r="181">
      <c r="A181" s="4"/>
      <c r="C181" s="4" t="s">
        <v>3893</v>
      </c>
      <c r="D181" s="4" t="str">
        <f t="shared" si="1"/>
        <v>{"valorA":"desde","valorB":2}</v>
      </c>
      <c r="E181" s="8" t="str">
        <f t="shared" si="2"/>
        <v>desde</v>
      </c>
      <c r="F181" s="8" t="str">
        <f>IFERROR(__xludf.DUMMYFUNCTION("""COMPUTED_VALUE"""),"modelo")</f>
        <v>modelo</v>
      </c>
      <c r="G181" s="8" t="str">
        <f t="shared" si="3"/>
        <v>2</v>
      </c>
      <c r="H181" s="9">
        <f t="shared" si="4"/>
        <v>2</v>
      </c>
      <c r="I181" s="10">
        <f>IFERROR(__xludf.DUMMYFUNCTION("MAX(FILTER($H$2:$H450,$E$2:$E450=F181))"),1.0)</f>
        <v>1</v>
      </c>
    </row>
    <row r="182">
      <c r="A182" s="4"/>
      <c r="C182" s="4" t="s">
        <v>2711</v>
      </c>
      <c r="D182" s="4" t="str">
        <f t="shared" si="1"/>
        <v>{"valorA":"comprei","valorB":2}</v>
      </c>
      <c r="E182" s="8" t="str">
        <f t="shared" si="2"/>
        <v>comprei</v>
      </c>
      <c r="F182" s="8" t="str">
        <f>IFERROR(__xludf.DUMMYFUNCTION("""COMPUTED_VALUE"""),"faz")</f>
        <v>faz</v>
      </c>
      <c r="G182" s="8" t="str">
        <f t="shared" si="3"/>
        <v>2</v>
      </c>
      <c r="H182" s="9">
        <f t="shared" si="4"/>
        <v>2</v>
      </c>
      <c r="I182" s="10">
        <f>IFERROR(__xludf.DUMMYFUNCTION("MAX(FILTER($H$2:$H450,$E$2:$E450=F182))"),1.0)</f>
        <v>1</v>
      </c>
    </row>
    <row r="183">
      <c r="A183" s="4"/>
      <c r="C183" s="4" t="s">
        <v>3445</v>
      </c>
      <c r="D183" s="4" t="str">
        <f t="shared" si="1"/>
        <v>{"valorA":"em","valorB":3}</v>
      </c>
      <c r="E183" s="8" t="str">
        <f t="shared" si="2"/>
        <v>em</v>
      </c>
      <c r="F183" s="8" t="str">
        <f>IFERROR(__xludf.DUMMYFUNCTION("""COMPUTED_VALUE"""),"mudo")</f>
        <v>mudo</v>
      </c>
      <c r="G183" s="8" t="str">
        <f t="shared" si="3"/>
        <v>3</v>
      </c>
      <c r="H183" s="9">
        <f t="shared" si="4"/>
        <v>3</v>
      </c>
      <c r="I183" s="10">
        <f>IFERROR(__xludf.DUMMYFUNCTION("MAX(FILTER($H$2:$H450,$E$2:$E450=F183))"),1.0)</f>
        <v>1</v>
      </c>
    </row>
    <row r="184">
      <c r="A184" s="4"/>
      <c r="C184" s="4" t="s">
        <v>3894</v>
      </c>
      <c r="D184" s="4" t="str">
        <f t="shared" si="1"/>
        <v>{"valorA":"dia","valorB":1}</v>
      </c>
      <c r="E184" s="8" t="str">
        <f t="shared" si="2"/>
        <v>dia</v>
      </c>
      <c r="F184" s="8" t="str">
        <f>IFERROR(__xludf.DUMMYFUNCTION("""COMPUTED_VALUE"""),"nora")</f>
        <v>nora</v>
      </c>
      <c r="G184" s="8" t="str">
        <f t="shared" si="3"/>
        <v>1</v>
      </c>
      <c r="H184" s="9">
        <f t="shared" si="4"/>
        <v>1</v>
      </c>
      <c r="I184" s="10">
        <f>IFERROR(__xludf.DUMMYFUNCTION("MAX(FILTER($H$2:$H450,$E$2:$E450=F184))"),1.0)</f>
        <v>1</v>
      </c>
    </row>
    <row r="185">
      <c r="A185" s="4"/>
      <c r="C185" s="4" t="s">
        <v>2754</v>
      </c>
      <c r="D185" s="4" t="str">
        <f t="shared" si="1"/>
        <v>{"valorA":"que","valorB":4}</v>
      </c>
      <c r="E185" s="8" t="str">
        <f t="shared" si="2"/>
        <v>que</v>
      </c>
      <c r="F185" s="8" t="str">
        <f>IFERROR(__xludf.DUMMYFUNCTION("""COMPUTED_VALUE"""),"travamentos")</f>
        <v>travamentos</v>
      </c>
      <c r="G185" s="8" t="str">
        <f t="shared" si="3"/>
        <v>4</v>
      </c>
      <c r="H185" s="9">
        <f t="shared" si="4"/>
        <v>4</v>
      </c>
      <c r="I185" s="10">
        <f>IFERROR(__xludf.DUMMYFUNCTION("MAX(FILTER($H$2:$H450,$E$2:$E450=F185))"),1.0)</f>
        <v>1</v>
      </c>
    </row>
    <row r="186">
      <c r="A186" s="4"/>
      <c r="C186" s="4" t="s">
        <v>3895</v>
      </c>
      <c r="D186" s="4" t="str">
        <f t="shared" si="1"/>
        <v>{"valorA":"arcondicionado","valorB":1}</v>
      </c>
      <c r="E186" s="8" t="str">
        <f t="shared" si="2"/>
        <v>arcondicionado</v>
      </c>
      <c r="F186" s="8" t="str">
        <f>IFERROR(__xludf.DUMMYFUNCTION("""COMPUTED_VALUE"""),"ou")</f>
        <v>ou</v>
      </c>
      <c r="G186" s="8" t="str">
        <f t="shared" si="3"/>
        <v>1</v>
      </c>
      <c r="H186" s="9">
        <f t="shared" si="4"/>
        <v>1</v>
      </c>
      <c r="I186" s="10">
        <f>IFERROR(__xludf.DUMMYFUNCTION("MAX(FILTER($H$2:$H450,$E$2:$E450=F186))"),1.0)</f>
        <v>1</v>
      </c>
    </row>
    <row r="187">
      <c r="A187" s="4"/>
      <c r="C187" s="4" t="s">
        <v>2718</v>
      </c>
      <c r="D187" s="4" t="str">
        <f t="shared" si="1"/>
        <v>{"valorA":"ótimo","valorB":14}</v>
      </c>
      <c r="E187" s="8" t="str">
        <f t="shared" si="2"/>
        <v>ótimo</v>
      </c>
      <c r="F187" s="8" t="str">
        <f>IFERROR(__xludf.DUMMYFUNCTION("""COMPUTED_VALUE"""),"sem")</f>
        <v>sem</v>
      </c>
      <c r="G187" s="8" t="str">
        <f t="shared" si="3"/>
        <v>14</v>
      </c>
      <c r="H187" s="9">
        <f t="shared" si="4"/>
        <v>14</v>
      </c>
      <c r="I187" s="10">
        <f>IFERROR(__xludf.DUMMYFUNCTION("MAX(FILTER($H$2:$H450,$E$2:$E450=F187))"),2.0)</f>
        <v>2</v>
      </c>
    </row>
    <row r="188">
      <c r="A188" s="4"/>
      <c r="C188" s="4" t="s">
        <v>2715</v>
      </c>
      <c r="D188" s="4" t="str">
        <f t="shared" si="1"/>
        <v>{"valorA":"funciona","valorB":4}</v>
      </c>
      <c r="E188" s="8" t="str">
        <f t="shared" si="2"/>
        <v>funciona</v>
      </c>
      <c r="F188" s="8" t="str">
        <f>IFERROR(__xludf.DUMMYFUNCTION("""COMPUTED_VALUE"""),"momentos")</f>
        <v>momentos</v>
      </c>
      <c r="G188" s="8" t="str">
        <f t="shared" si="3"/>
        <v>4</v>
      </c>
      <c r="H188" s="9">
        <f t="shared" si="4"/>
        <v>4</v>
      </c>
      <c r="I188" s="10">
        <f>IFERROR(__xludf.DUMMYFUNCTION("MAX(FILTER($H$2:$H450,$E$2:$E450=F188))"),1.0)</f>
        <v>1</v>
      </c>
    </row>
    <row r="189">
      <c r="A189" s="4"/>
      <c r="C189" s="4" t="s">
        <v>2714</v>
      </c>
      <c r="D189" s="4" t="str">
        <f t="shared" si="1"/>
        <v>{"valorA":"perfeitamente","valorB":2}</v>
      </c>
      <c r="E189" s="8" t="str">
        <f t="shared" si="2"/>
        <v>perfeitamente</v>
      </c>
      <c r="F189" s="8" t="str">
        <f>IFERROR(__xludf.DUMMYFUNCTION("""COMPUTED_VALUE"""),"congelamento")</f>
        <v>congelamento</v>
      </c>
      <c r="G189" s="8" t="str">
        <f t="shared" si="3"/>
        <v>2</v>
      </c>
      <c r="H189" s="9">
        <f t="shared" si="4"/>
        <v>2</v>
      </c>
      <c r="I189" s="10">
        <f>IFERROR(__xludf.DUMMYFUNCTION("MAX(FILTER($H$2:$H450,$E$2:$E450=F189))"),1.0)</f>
        <v>1</v>
      </c>
    </row>
    <row r="190">
      <c r="A190" s="4"/>
      <c r="C190" s="4" t="s">
        <v>3896</v>
      </c>
      <c r="D190" s="4" t="str">
        <f t="shared" si="1"/>
        <v>{"valorA":"desde","valorB":3}</v>
      </c>
      <c r="E190" s="8" t="str">
        <f t="shared" si="2"/>
        <v>desde</v>
      </c>
      <c r="F190" s="8" t="str">
        <f>IFERROR(__xludf.DUMMYFUNCTION("""COMPUTED_VALUE"""),"críticos")</f>
        <v>críticos</v>
      </c>
      <c r="G190" s="8" t="str">
        <f t="shared" si="3"/>
        <v>3</v>
      </c>
      <c r="H190" s="9">
        <f t="shared" si="4"/>
        <v>3</v>
      </c>
      <c r="I190" s="10">
        <f>IFERROR(__xludf.DUMMYFUNCTION("MAX(FILTER($H$2:$H450,$E$2:$E450=F190))"),1.0)</f>
        <v>1</v>
      </c>
    </row>
    <row r="191">
      <c r="A191" s="4"/>
      <c r="C191" s="4" t="s">
        <v>3897</v>
      </c>
      <c r="D191" s="4" t="str">
        <f t="shared" si="1"/>
        <v>{"valorA":"momento","valorB":2}</v>
      </c>
      <c r="E191" s="8" t="str">
        <f t="shared" si="2"/>
        <v>momento</v>
      </c>
      <c r="F191" s="8" t="str">
        <f>IFERROR(__xludf.DUMMYFUNCTION("""COMPUTED_VALUE"""),"fofura")</f>
        <v>fofura</v>
      </c>
      <c r="G191" s="8" t="str">
        <f t="shared" si="3"/>
        <v>2</v>
      </c>
      <c r="H191" s="9">
        <f t="shared" si="4"/>
        <v>2</v>
      </c>
      <c r="I191" s="10">
        <f>IFERROR(__xludf.DUMMYFUNCTION("MAX(FILTER($H$2:$H450,$E$2:$E450=F191))"),1.0)</f>
        <v>1</v>
      </c>
    </row>
    <row r="192">
      <c r="A192" s="4"/>
      <c r="C192" s="4" t="s">
        <v>2752</v>
      </c>
      <c r="D192" s="4" t="str">
        <f t="shared" si="1"/>
        <v>{"valorA":"comprei","valorB":3}</v>
      </c>
      <c r="E192" s="8" t="str">
        <f t="shared" si="2"/>
        <v>comprei</v>
      </c>
      <c r="F192" s="8" t="str">
        <f>IFERROR(__xludf.DUMMYFUNCTION("""COMPUTED_VALUE"""),"banho")</f>
        <v>banho</v>
      </c>
      <c r="G192" s="8" t="str">
        <f t="shared" si="3"/>
        <v>3</v>
      </c>
      <c r="H192" s="9">
        <f t="shared" si="4"/>
        <v>3</v>
      </c>
      <c r="I192" s="10">
        <f>IFERROR(__xludf.DUMMYFUNCTION("MAX(FILTER($H$2:$H450,$E$2:$E450=F192))"),1.0)</f>
        <v>1</v>
      </c>
    </row>
    <row r="193">
      <c r="A193" s="4"/>
      <c r="C193" s="4" t="s">
        <v>2942</v>
      </c>
      <c r="D193" s="4" t="str">
        <f t="shared" si="1"/>
        <v>{"valorA":"o","valorB":7}</v>
      </c>
      <c r="E193" s="8" t="str">
        <f t="shared" si="2"/>
        <v>o</v>
      </c>
      <c r="F193" s="8" t="str">
        <f>IFERROR(__xludf.DUMMYFUNCTION("""COMPUTED_VALUE"""),"toalha")</f>
        <v>toalha</v>
      </c>
      <c r="G193" s="8" t="str">
        <f t="shared" si="3"/>
        <v>7</v>
      </c>
      <c r="H193" s="9">
        <f t="shared" si="4"/>
        <v>7</v>
      </c>
      <c r="I193" s="10">
        <f>IFERROR(__xludf.DUMMYFUNCTION("MAX(FILTER($H$2:$H450,$E$2:$E450=F193))"),1.0)</f>
        <v>1</v>
      </c>
    </row>
    <row r="194">
      <c r="A194" s="4"/>
      <c r="C194" s="4" t="s">
        <v>3481</v>
      </c>
      <c r="D194" s="4" t="str">
        <f t="shared" si="1"/>
        <v>{"valorA":"em","valorB":4}</v>
      </c>
      <c r="E194" s="8" t="str">
        <f t="shared" si="2"/>
        <v>em</v>
      </c>
      <c r="F194" s="8" t="str">
        <f>IFERROR(__xludf.DUMMYFUNCTION("""COMPUTED_VALUE"""),"quase")</f>
        <v>quase</v>
      </c>
      <c r="G194" s="8" t="str">
        <f t="shared" si="3"/>
        <v>4</v>
      </c>
      <c r="H194" s="9">
        <f t="shared" si="4"/>
        <v>4</v>
      </c>
      <c r="I194" s="10">
        <f>IFERROR(__xludf.DUMMYFUNCTION("MAX(FILTER($H$2:$H450,$E$2:$E450=F194))"),1.0)</f>
        <v>1</v>
      </c>
    </row>
    <row r="195">
      <c r="A195" s="4"/>
      <c r="C195" s="4" t="s">
        <v>3454</v>
      </c>
      <c r="D195" s="4" t="str">
        <f t="shared" si="1"/>
        <v>{"valorA":"comentário","valorB":2}</v>
      </c>
      <c r="E195" s="8" t="str">
        <f t="shared" si="2"/>
        <v>comentário</v>
      </c>
      <c r="F195" s="8" t="str">
        <f>IFERROR(__xludf.DUMMYFUNCTION("""COMPUTED_VALUE"""),"nem")</f>
        <v>nem</v>
      </c>
      <c r="G195" s="8" t="str">
        <f t="shared" si="3"/>
        <v>2</v>
      </c>
      <c r="H195" s="9">
        <f t="shared" si="4"/>
        <v>2</v>
      </c>
      <c r="I195" s="10">
        <f>IFERROR(__xludf.DUMMYFUNCTION("MAX(FILTER($H$2:$H450,$E$2:$E450=F195))"),1.0)</f>
        <v>1</v>
      </c>
    </row>
    <row r="196">
      <c r="A196" s="4"/>
      <c r="C196" s="4" t="s">
        <v>2773</v>
      </c>
      <c r="D196" s="4" t="str">
        <f t="shared" si="1"/>
        <v>{"valorA":"que","valorB":5}</v>
      </c>
      <c r="E196" s="8" t="str">
        <f t="shared" si="2"/>
        <v>que</v>
      </c>
      <c r="F196" s="8" t="str">
        <f>IFERROR(__xludf.DUMMYFUNCTION("""COMPUTED_VALUE"""),"eletrônico")</f>
        <v>eletrônico</v>
      </c>
      <c r="G196" s="8" t="str">
        <f t="shared" si="3"/>
        <v>5</v>
      </c>
      <c r="H196" s="9">
        <f t="shared" si="4"/>
        <v>5</v>
      </c>
      <c r="I196" s="10">
        <f>IFERROR(__xludf.DUMMYFUNCTION("MAX(FILTER($H$2:$H450,$E$2:$E450=F196))"),1.0)</f>
        <v>1</v>
      </c>
    </row>
    <row r="197">
      <c r="A197" s="4"/>
      <c r="C197" s="4" t="s">
        <v>3898</v>
      </c>
      <c r="D197" s="4" t="str">
        <f t="shared" si="1"/>
        <v>{"valorA":"prataria","valorB":2}</v>
      </c>
      <c r="E197" s="8" t="str">
        <f t="shared" si="2"/>
        <v>prataria</v>
      </c>
      <c r="F197" s="8" t="str">
        <f>IFERROR(__xludf.DUMMYFUNCTION("""COMPUTED_VALUE"""),"ontem")</f>
        <v>ontem</v>
      </c>
      <c r="G197" s="8" t="str">
        <f t="shared" si="3"/>
        <v>2</v>
      </c>
      <c r="H197" s="9">
        <f t="shared" si="4"/>
        <v>2</v>
      </c>
      <c r="I197" s="10">
        <f>IFERROR(__xludf.DUMMYFUNCTION("MAX(FILTER($H$2:$H450,$E$2:$E450=F197))"),1.0)</f>
        <v>1</v>
      </c>
    </row>
    <row r="198">
      <c r="A198" s="4"/>
      <c r="C198" s="4" t="s">
        <v>2726</v>
      </c>
      <c r="D198" s="4" t="str">
        <f t="shared" si="1"/>
        <v>{"valorA":"ótimo","valorB":15}</v>
      </c>
      <c r="E198" s="8" t="str">
        <f t="shared" si="2"/>
        <v>ótimo</v>
      </c>
      <c r="F198" s="8" t="str">
        <f>IFERROR(__xludf.DUMMYFUNCTION("""COMPUTED_VALUE"""),"livros")</f>
        <v>livros</v>
      </c>
      <c r="G198" s="8" t="str">
        <f t="shared" si="3"/>
        <v>15</v>
      </c>
      <c r="H198" s="9">
        <f t="shared" si="4"/>
        <v>15</v>
      </c>
      <c r="I198" s="10">
        <f>IFERROR(__xludf.DUMMYFUNCTION("MAX(FILTER($H$2:$H450,$E$2:$E450=F198))"),1.0)</f>
        <v>1</v>
      </c>
    </row>
    <row r="199">
      <c r="A199" s="4"/>
      <c r="C199" s="4" t="s">
        <v>2722</v>
      </c>
      <c r="D199" s="4" t="str">
        <f t="shared" si="1"/>
        <v>{"valorA":"fácil","valorB":2}</v>
      </c>
      <c r="E199" s="8" t="str">
        <f t="shared" si="2"/>
        <v>fácil</v>
      </c>
      <c r="F199" s="8"/>
      <c r="G199" s="8" t="str">
        <f t="shared" si="3"/>
        <v>2</v>
      </c>
      <c r="H199" s="9">
        <f t="shared" si="4"/>
        <v>2</v>
      </c>
      <c r="I199" s="6" t="str">
        <f>IFERROR(__xludf.DUMMYFUNCTION("MAX(FILTER($H$2:$H450,$E$2:$E450=F199))"),"#N/A")</f>
        <v>#N/A</v>
      </c>
    </row>
    <row r="200">
      <c r="A200" s="4"/>
      <c r="C200" s="4" t="s">
        <v>2894</v>
      </c>
      <c r="D200" s="4" t="str">
        <f t="shared" si="1"/>
        <v>{"valorA":"muito","valorB":8}</v>
      </c>
      <c r="E200" s="8" t="str">
        <f t="shared" si="2"/>
        <v>muito</v>
      </c>
      <c r="F200" s="8"/>
      <c r="G200" s="8" t="str">
        <f t="shared" si="3"/>
        <v>8</v>
      </c>
      <c r="H200" s="9">
        <f t="shared" si="4"/>
        <v>8</v>
      </c>
      <c r="I200" s="6" t="str">
        <f>IFERROR(__xludf.DUMMYFUNCTION("MAX(FILTER($H$2:$H450,$E$2:$E450=F200))"),"#N/A")</f>
        <v>#N/A</v>
      </c>
    </row>
    <row r="201">
      <c r="A201" s="4"/>
      <c r="C201" s="4" t="s">
        <v>2721</v>
      </c>
      <c r="D201" s="4" t="str">
        <f t="shared" si="1"/>
        <v>{"valorA":"e","valorB":4}</v>
      </c>
      <c r="E201" s="8" t="str">
        <f t="shared" si="2"/>
        <v>e</v>
      </c>
      <c r="F201" s="8"/>
      <c r="G201" s="8" t="str">
        <f t="shared" si="3"/>
        <v>4</v>
      </c>
      <c r="H201" s="9">
        <f t="shared" si="4"/>
        <v>4</v>
      </c>
      <c r="I201" s="6" t="str">
        <f>IFERROR(__xludf.DUMMYFUNCTION("MAX(FILTER($H$2:$H450,$E$2:$E450=F201))"),"#N/A")</f>
        <v>#N/A</v>
      </c>
    </row>
    <row r="202">
      <c r="A202" s="4"/>
      <c r="C202" s="4" t="s">
        <v>3067</v>
      </c>
      <c r="D202" s="4" t="str">
        <f t="shared" si="1"/>
        <v>{"valorA":"rápido","valorB":1}</v>
      </c>
      <c r="E202" s="8" t="str">
        <f t="shared" si="2"/>
        <v>rápido</v>
      </c>
      <c r="F202" s="8"/>
      <c r="G202" s="8" t="str">
        <f t="shared" si="3"/>
        <v>1</v>
      </c>
      <c r="H202" s="9">
        <f t="shared" si="4"/>
        <v>1</v>
      </c>
      <c r="I202" s="6" t="str">
        <f>IFERROR(__xludf.DUMMYFUNCTION("MAX(FILTER($H$2:$H450,$E$2:$E450=F202))"),"#N/A")</f>
        <v>#N/A</v>
      </c>
    </row>
    <row r="203">
      <c r="A203" s="4"/>
      <c r="C203" s="4" t="s">
        <v>2879</v>
      </c>
      <c r="D203" s="4" t="str">
        <f t="shared" si="1"/>
        <v>{"valorA":"bem","valorB":4}</v>
      </c>
      <c r="E203" s="8" t="str">
        <f t="shared" si="2"/>
        <v>bem</v>
      </c>
      <c r="F203" s="8"/>
      <c r="G203" s="8" t="str">
        <f t="shared" si="3"/>
        <v>4</v>
      </c>
      <c r="H203" s="9">
        <f t="shared" si="4"/>
        <v>4</v>
      </c>
      <c r="I203" s="6" t="str">
        <f>IFERROR(__xludf.DUMMYFUNCTION("MAX(FILTER($H$2:$H450,$E$2:$E450=F203))"),"#N/A")</f>
        <v>#N/A</v>
      </c>
    </row>
    <row r="204">
      <c r="A204" s="4"/>
      <c r="C204" s="4" t="s">
        <v>2984</v>
      </c>
      <c r="D204" s="4" t="str">
        <f t="shared" si="1"/>
        <v>{"valorA":"de","valorB":7}</v>
      </c>
      <c r="E204" s="8" t="str">
        <f t="shared" si="2"/>
        <v>de</v>
      </c>
      <c r="F204" s="8"/>
      <c r="G204" s="8" t="str">
        <f t="shared" si="3"/>
        <v>7</v>
      </c>
      <c r="H204" s="9">
        <f t="shared" si="4"/>
        <v>7</v>
      </c>
      <c r="I204" s="6" t="str">
        <f>IFERROR(__xludf.DUMMYFUNCTION("MAX(FILTER($H$2:$H450,$E$2:$E450=F204))"),"#N/A")</f>
        <v>#N/A</v>
      </c>
    </row>
    <row r="205">
      <c r="A205" s="4"/>
      <c r="C205" s="4" t="s">
        <v>3317</v>
      </c>
      <c r="D205" s="4" t="str">
        <f t="shared" si="1"/>
        <v>{"valorA":"lavador","valorB":1}</v>
      </c>
      <c r="E205" s="8" t="str">
        <f t="shared" si="2"/>
        <v>lavador</v>
      </c>
      <c r="F205" s="8"/>
      <c r="G205" s="8" t="str">
        <f t="shared" si="3"/>
        <v>1</v>
      </c>
      <c r="H205" s="9">
        <f t="shared" si="4"/>
        <v>1</v>
      </c>
      <c r="I205" s="6" t="str">
        <f>IFERROR(__xludf.DUMMYFUNCTION("MAX(FILTER($H$2:$H450,$E$2:$E450=F205))"),"#N/A")</f>
        <v>#N/A</v>
      </c>
    </row>
    <row r="206">
      <c r="A206" s="4"/>
      <c r="C206" s="4" t="s">
        <v>3375</v>
      </c>
      <c r="D206" s="4" t="str">
        <f t="shared" si="1"/>
        <v>{"valorA":"com","valorB":6}</v>
      </c>
      <c r="E206" s="8" t="str">
        <f t="shared" si="2"/>
        <v>com</v>
      </c>
      <c r="F206" s="8"/>
      <c r="G206" s="8" t="str">
        <f t="shared" si="3"/>
        <v>6</v>
      </c>
      <c r="H206" s="9">
        <f t="shared" si="4"/>
        <v>6</v>
      </c>
      <c r="I206" s="6" t="str">
        <f>IFERROR(__xludf.DUMMYFUNCTION("MAX(FILTER($H$2:$H450,$E$2:$E450=F206))"),"#N/A")</f>
        <v>#N/A</v>
      </c>
    </row>
    <row r="207">
      <c r="A207" s="4"/>
      <c r="C207" s="4" t="s">
        <v>2679</v>
      </c>
      <c r="D207" s="4" t="str">
        <f t="shared" si="1"/>
        <v>{"valorA":"é","valorB":1}</v>
      </c>
      <c r="E207" s="8" t="str">
        <f t="shared" si="2"/>
        <v>é</v>
      </c>
      <c r="F207" s="8"/>
      <c r="G207" s="8" t="str">
        <f t="shared" si="3"/>
        <v>1</v>
      </c>
      <c r="H207" s="9">
        <f t="shared" si="4"/>
        <v>1</v>
      </c>
      <c r="I207" s="6" t="str">
        <f>IFERROR(__xludf.DUMMYFUNCTION("MAX(FILTER($H$2:$H450,$E$2:$E450=F207))"),"#N/A")</f>
        <v>#N/A</v>
      </c>
    </row>
    <row r="208">
      <c r="A208" s="4"/>
      <c r="C208" s="4" t="s">
        <v>2756</v>
      </c>
      <c r="D208" s="4" t="str">
        <f t="shared" si="1"/>
        <v>{"valorA":"funciona","valorB":5}</v>
      </c>
      <c r="E208" s="8" t="str">
        <f t="shared" si="2"/>
        <v>funciona</v>
      </c>
      <c r="F208" s="8"/>
      <c r="G208" s="8" t="str">
        <f t="shared" si="3"/>
        <v>5</v>
      </c>
      <c r="H208" s="9">
        <f t="shared" si="4"/>
        <v>5</v>
      </c>
      <c r="I208" s="6" t="str">
        <f>IFERROR(__xludf.DUMMYFUNCTION("MAX(FILTER($H$2:$H450,$E$2:$E450=F208))"),"#N/A")</f>
        <v>#N/A</v>
      </c>
    </row>
    <row r="209">
      <c r="A209" s="4"/>
      <c r="C209" s="4" t="s">
        <v>3899</v>
      </c>
      <c r="D209" s="4" t="str">
        <f t="shared" si="1"/>
        <v>{"valorA":"lampada","valorB":1}</v>
      </c>
      <c r="E209" s="8" t="str">
        <f t="shared" si="2"/>
        <v>lampada</v>
      </c>
      <c r="F209" s="8"/>
      <c r="G209" s="8" t="str">
        <f t="shared" si="3"/>
        <v>1</v>
      </c>
      <c r="H209" s="9">
        <f t="shared" si="4"/>
        <v>1</v>
      </c>
      <c r="I209" s="6" t="str">
        <f>IFERROR(__xludf.DUMMYFUNCTION("MAX(FILTER($H$2:$H450,$E$2:$E450=F209))"),"#N/A")</f>
        <v>#N/A</v>
      </c>
    </row>
    <row r="210">
      <c r="A210" s="4"/>
      <c r="C210" s="4" t="s">
        <v>3396</v>
      </c>
      <c r="D210" s="4" t="str">
        <f t="shared" si="1"/>
        <v>{"valorA":"led","valorB":1}</v>
      </c>
      <c r="E210" s="8" t="str">
        <f t="shared" si="2"/>
        <v>led</v>
      </c>
      <c r="F210" s="8"/>
      <c r="G210" s="8" t="str">
        <f t="shared" si="3"/>
        <v>1</v>
      </c>
      <c r="H210" s="9">
        <f t="shared" si="4"/>
        <v>1</v>
      </c>
      <c r="I210" s="6" t="str">
        <f>IFERROR(__xludf.DUMMYFUNCTION("MAX(FILTER($H$2:$H450,$E$2:$E450=F210))"),"#N/A")</f>
        <v>#N/A</v>
      </c>
    </row>
    <row r="211">
      <c r="A211" s="4"/>
      <c r="C211" s="4" t="s">
        <v>3305</v>
      </c>
      <c r="D211" s="4" t="str">
        <f t="shared" si="1"/>
        <v>{"valorA":"bastante","valorB":1}</v>
      </c>
      <c r="E211" s="8" t="str">
        <f t="shared" si="2"/>
        <v>bastante</v>
      </c>
      <c r="F211" s="8"/>
      <c r="G211" s="8" t="str">
        <f t="shared" si="3"/>
        <v>1</v>
      </c>
      <c r="H211" s="9">
        <f t="shared" si="4"/>
        <v>1</v>
      </c>
      <c r="I211" s="6" t="str">
        <f>IFERROR(__xludf.DUMMYFUNCTION("MAX(FILTER($H$2:$H450,$E$2:$E450=F211))"),"#N/A")</f>
        <v>#N/A</v>
      </c>
    </row>
    <row r="212">
      <c r="A212" s="4"/>
      <c r="C212" s="4" t="s">
        <v>3395</v>
      </c>
      <c r="D212" s="4" t="str">
        <f t="shared" si="1"/>
        <v>{"valorA":"ótima","valorB":7}</v>
      </c>
      <c r="E212" s="8" t="str">
        <f t="shared" si="2"/>
        <v>ótima</v>
      </c>
      <c r="F212" s="8"/>
      <c r="G212" s="8" t="str">
        <f t="shared" si="3"/>
        <v>7</v>
      </c>
      <c r="H212" s="9">
        <f t="shared" si="4"/>
        <v>7</v>
      </c>
      <c r="I212" s="6" t="str">
        <f>IFERROR(__xludf.DUMMYFUNCTION("MAX(FILTER($H$2:$H450,$E$2:$E450=F212))"),"#N/A")</f>
        <v>#N/A</v>
      </c>
    </row>
    <row r="213">
      <c r="A213" s="4"/>
      <c r="C213" s="4" t="s">
        <v>3382</v>
      </c>
      <c r="D213" s="4" t="str">
        <f t="shared" si="1"/>
        <v>{"valorA":"gosto","valorB":3}</v>
      </c>
      <c r="E213" s="8" t="str">
        <f t="shared" si="2"/>
        <v>gosto</v>
      </c>
      <c r="F213" s="8"/>
      <c r="G213" s="8" t="str">
        <f t="shared" si="3"/>
        <v>3</v>
      </c>
      <c r="H213" s="9">
        <f t="shared" si="4"/>
        <v>3</v>
      </c>
      <c r="I213" s="6" t="str">
        <f>IFERROR(__xludf.DUMMYFUNCTION("MAX(FILTER($H$2:$H450,$E$2:$E450=F213))"),"#N/A")</f>
        <v>#N/A</v>
      </c>
    </row>
    <row r="214">
      <c r="A214" s="4"/>
      <c r="C214" s="4" t="s">
        <v>2729</v>
      </c>
      <c r="D214" s="4" t="str">
        <f t="shared" si="1"/>
        <v>{"valorA":"ótimo","valorB":16}</v>
      </c>
      <c r="E214" s="8" t="str">
        <f t="shared" si="2"/>
        <v>ótimo</v>
      </c>
      <c r="F214" s="8"/>
      <c r="G214" s="8" t="str">
        <f t="shared" si="3"/>
        <v>16</v>
      </c>
      <c r="H214" s="9">
        <f t="shared" si="4"/>
        <v>16</v>
      </c>
      <c r="I214" s="6" t="str">
        <f>IFERROR(__xludf.DUMMYFUNCTION("MAX(FILTER($H$2:$H450,$E$2:$E450=F214))"),"#N/A")</f>
        <v>#N/A</v>
      </c>
    </row>
    <row r="215">
      <c r="A215" s="4"/>
      <c r="C215" s="4" t="s">
        <v>3900</v>
      </c>
      <c r="D215" s="4" t="str">
        <f t="shared" si="1"/>
        <v>{"valorA":"cozinha","valorB":1}</v>
      </c>
      <c r="E215" s="8" t="str">
        <f t="shared" si="2"/>
        <v>cozinha</v>
      </c>
      <c r="F215" s="8"/>
      <c r="G215" s="8" t="str">
        <f t="shared" si="3"/>
        <v>1</v>
      </c>
      <c r="H215" s="9">
        <f t="shared" si="4"/>
        <v>1</v>
      </c>
      <c r="I215" s="6" t="str">
        <f>IFERROR(__xludf.DUMMYFUNCTION("MAX(FILTER($H$2:$H450,$E$2:$E450=F215))"),"#N/A")</f>
        <v>#N/A</v>
      </c>
    </row>
    <row r="216">
      <c r="A216" s="4"/>
      <c r="C216" s="4" t="s">
        <v>2915</v>
      </c>
      <c r="D216" s="4" t="str">
        <f t="shared" si="1"/>
        <v>{"valorA":"muito","valorB":9}</v>
      </c>
      <c r="E216" s="8" t="str">
        <f t="shared" si="2"/>
        <v>muito</v>
      </c>
      <c r="F216" s="8"/>
      <c r="G216" s="8" t="str">
        <f t="shared" si="3"/>
        <v>9</v>
      </c>
      <c r="H216" s="9">
        <f t="shared" si="4"/>
        <v>9</v>
      </c>
      <c r="I216" s="6" t="str">
        <f>IFERROR(__xludf.DUMMYFUNCTION("MAX(FILTER($H$2:$H450,$E$2:$E450=F216))"),"#N/A")</f>
        <v>#N/A</v>
      </c>
    </row>
    <row r="217">
      <c r="A217" s="4"/>
      <c r="C217" s="4" t="s">
        <v>3901</v>
      </c>
      <c r="D217" s="4" t="str">
        <f t="shared" si="1"/>
        <v>{"valorA":"cabelo","valorB":5}</v>
      </c>
      <c r="E217" s="8" t="str">
        <f t="shared" si="2"/>
        <v>cabelo</v>
      </c>
      <c r="F217" s="8"/>
      <c r="G217" s="8" t="str">
        <f t="shared" si="3"/>
        <v>5</v>
      </c>
      <c r="H217" s="9">
        <f t="shared" si="4"/>
        <v>5</v>
      </c>
      <c r="I217" s="6" t="str">
        <f>IFERROR(__xludf.DUMMYFUNCTION("MAX(FILTER($H$2:$H450,$E$2:$E450=F217))"),"#N/A")</f>
        <v>#N/A</v>
      </c>
    </row>
    <row r="218">
      <c r="A218" s="4"/>
      <c r="C218" s="4" t="s">
        <v>3902</v>
      </c>
      <c r="D218" s="4" t="str">
        <f t="shared" si="1"/>
        <v>{"valorA":"arame","valorB":1}</v>
      </c>
      <c r="E218" s="8" t="str">
        <f t="shared" si="2"/>
        <v>arame</v>
      </c>
      <c r="F218" s="8"/>
      <c r="G218" s="8" t="str">
        <f t="shared" si="3"/>
        <v>1</v>
      </c>
      <c r="H218" s="9">
        <f t="shared" si="4"/>
        <v>1</v>
      </c>
      <c r="I218" s="6" t="str">
        <f>IFERROR(__xludf.DUMMYFUNCTION("MAX(FILTER($H$2:$H450,$E$2:$E450=F218))"),"#N/A")</f>
        <v>#N/A</v>
      </c>
    </row>
    <row r="219">
      <c r="A219" s="4"/>
      <c r="C219" s="4" t="s">
        <v>2902</v>
      </c>
      <c r="D219" s="4" t="str">
        <f t="shared" si="1"/>
        <v>{"valorA":"bem","valorB":5}</v>
      </c>
      <c r="E219" s="8" t="str">
        <f t="shared" si="2"/>
        <v>bem</v>
      </c>
      <c r="F219" s="8"/>
      <c r="G219" s="8" t="str">
        <f t="shared" si="3"/>
        <v>5</v>
      </c>
      <c r="H219" s="9">
        <f t="shared" si="4"/>
        <v>5</v>
      </c>
      <c r="I219" s="6" t="str">
        <f>IFERROR(__xludf.DUMMYFUNCTION("MAX(FILTER($H$2:$H450,$E$2:$E450=F219))"),"#N/A")</f>
        <v>#N/A</v>
      </c>
    </row>
    <row r="220">
      <c r="A220" s="4"/>
      <c r="C220" s="4" t="s">
        <v>3069</v>
      </c>
      <c r="D220" s="4" t="str">
        <f t="shared" si="1"/>
        <v>{"valorA":"de","valorB":8}</v>
      </c>
      <c r="E220" s="8" t="str">
        <f t="shared" si="2"/>
        <v>de</v>
      </c>
      <c r="F220" s="8"/>
      <c r="G220" s="8" t="str">
        <f t="shared" si="3"/>
        <v>8</v>
      </c>
      <c r="H220" s="9">
        <f t="shared" si="4"/>
        <v>8</v>
      </c>
      <c r="I220" s="6" t="str">
        <f>IFERROR(__xludf.DUMMYFUNCTION("MAX(FILTER($H$2:$H450,$E$2:$E450=F220))"),"#N/A")</f>
        <v>#N/A</v>
      </c>
    </row>
    <row r="221">
      <c r="A221" s="4"/>
      <c r="C221" s="4" t="s">
        <v>2765</v>
      </c>
      <c r="D221" s="4" t="str">
        <f t="shared" si="1"/>
        <v>{"valorA":"funciona","valorB":6}</v>
      </c>
      <c r="E221" s="8" t="str">
        <f t="shared" si="2"/>
        <v>funciona</v>
      </c>
      <c r="F221" s="8"/>
      <c r="G221" s="8" t="str">
        <f t="shared" si="3"/>
        <v>6</v>
      </c>
      <c r="H221" s="9">
        <f t="shared" si="4"/>
        <v>6</v>
      </c>
      <c r="I221" s="6" t="str">
        <f>IFERROR(__xludf.DUMMYFUNCTION("MAX(FILTER($H$2:$H450,$E$2:$E450=F221))"),"#N/A")</f>
        <v>#N/A</v>
      </c>
    </row>
    <row r="222">
      <c r="A222" s="4"/>
      <c r="C222" s="4" t="s">
        <v>2805</v>
      </c>
      <c r="D222" s="4" t="str">
        <f t="shared" si="1"/>
        <v>{"valorA":"para","valorB":5}</v>
      </c>
      <c r="E222" s="8" t="str">
        <f t="shared" si="2"/>
        <v>para</v>
      </c>
      <c r="F222" s="8"/>
      <c r="G222" s="8" t="str">
        <f t="shared" si="3"/>
        <v>5</v>
      </c>
      <c r="H222" s="9">
        <f t="shared" si="4"/>
        <v>5</v>
      </c>
      <c r="I222" s="6" t="str">
        <f>IFERROR(__xludf.DUMMYFUNCTION("MAX(FILTER($H$2:$H450,$E$2:$E450=F222))"),"#N/A")</f>
        <v>#N/A</v>
      </c>
    </row>
    <row r="223">
      <c r="A223" s="4"/>
      <c r="C223" s="4" t="s">
        <v>3903</v>
      </c>
      <c r="D223" s="4" t="str">
        <f t="shared" si="1"/>
        <v>{"valorA":"cabelo","valorB":6}</v>
      </c>
      <c r="E223" s="8" t="str">
        <f t="shared" si="2"/>
        <v>cabelo</v>
      </c>
      <c r="F223" s="8"/>
      <c r="G223" s="8" t="str">
        <f t="shared" si="3"/>
        <v>6</v>
      </c>
      <c r="H223" s="9">
        <f t="shared" si="4"/>
        <v>6</v>
      </c>
      <c r="I223" s="6" t="str">
        <f>IFERROR(__xludf.DUMMYFUNCTION("MAX(FILTER($H$2:$H450,$E$2:$E450=F223))"),"#N/A")</f>
        <v>#N/A</v>
      </c>
    </row>
    <row r="224">
      <c r="A224" s="4"/>
      <c r="C224" s="4" t="s">
        <v>2967</v>
      </c>
      <c r="D224" s="4" t="str">
        <f t="shared" si="1"/>
        <v>{"valorA":"meu","valorB":5}</v>
      </c>
      <c r="E224" s="8" t="str">
        <f t="shared" si="2"/>
        <v>meu</v>
      </c>
      <c r="F224" s="8"/>
      <c r="G224" s="8" t="str">
        <f t="shared" si="3"/>
        <v>5</v>
      </c>
      <c r="H224" s="9">
        <f t="shared" si="4"/>
        <v>5</v>
      </c>
      <c r="I224" s="6" t="str">
        <f>IFERROR(__xludf.DUMMYFUNCTION("MAX(FILTER($H$2:$H450,$E$2:$E450=F224))"),"#N/A")</f>
        <v>#N/A</v>
      </c>
    </row>
    <row r="225">
      <c r="A225" s="4"/>
      <c r="C225" s="4" t="s">
        <v>2735</v>
      </c>
      <c r="D225" s="4" t="str">
        <f t="shared" si="1"/>
        <v>{"valorA":"ótimo","valorB":17}</v>
      </c>
      <c r="E225" s="8" t="str">
        <f t="shared" si="2"/>
        <v>ótimo</v>
      </c>
      <c r="F225" s="8"/>
      <c r="G225" s="8" t="str">
        <f t="shared" si="3"/>
        <v>17</v>
      </c>
      <c r="H225" s="9">
        <f t="shared" si="4"/>
        <v>17</v>
      </c>
      <c r="I225" s="6" t="str">
        <f>IFERROR(__xludf.DUMMYFUNCTION("MAX(FILTER($H$2:$H450,$E$2:$E450=F225))"),"#N/A")</f>
        <v>#N/A</v>
      </c>
    </row>
    <row r="226">
      <c r="A226" s="4"/>
      <c r="C226" s="4" t="s">
        <v>2827</v>
      </c>
      <c r="D226" s="4" t="str">
        <f t="shared" si="1"/>
        <v>{"valorA":"para","valorB":6}</v>
      </c>
      <c r="E226" s="8" t="str">
        <f t="shared" si="2"/>
        <v>para</v>
      </c>
      <c r="F226" s="8"/>
      <c r="G226" s="8" t="str">
        <f t="shared" si="3"/>
        <v>6</v>
      </c>
      <c r="H226" s="9">
        <f t="shared" si="4"/>
        <v>6</v>
      </c>
      <c r="I226" s="6" t="str">
        <f>IFERROR(__xludf.DUMMYFUNCTION("MAX(FILTER($H$2:$H450,$E$2:$E450=F226))"),"#N/A")</f>
        <v>#N/A</v>
      </c>
    </row>
    <row r="227">
      <c r="A227" s="4"/>
      <c r="C227" s="4" t="s">
        <v>3072</v>
      </c>
      <c r="D227" s="4" t="str">
        <f t="shared" si="1"/>
        <v>{"valorA":"de","valorB":9}</v>
      </c>
      <c r="E227" s="8" t="str">
        <f t="shared" si="2"/>
        <v>de</v>
      </c>
      <c r="F227" s="8"/>
      <c r="G227" s="8" t="str">
        <f t="shared" si="3"/>
        <v>9</v>
      </c>
      <c r="H227" s="9">
        <f t="shared" si="4"/>
        <v>9</v>
      </c>
      <c r="I227" s="6" t="str">
        <f>IFERROR(__xludf.DUMMYFUNCTION("MAX(FILTER($H$2:$H450,$E$2:$E450=F227))"),"#N/A")</f>
        <v>#N/A</v>
      </c>
    </row>
    <row r="228">
      <c r="A228" s="4"/>
      <c r="C228" s="4" t="s">
        <v>2983</v>
      </c>
      <c r="D228" s="4" t="str">
        <f t="shared" si="1"/>
        <v>{"valorA":"o","valorB":8}</v>
      </c>
      <c r="E228" s="8" t="str">
        <f t="shared" si="2"/>
        <v>o</v>
      </c>
      <c r="F228" s="8"/>
      <c r="G228" s="8" t="str">
        <f t="shared" si="3"/>
        <v>8</v>
      </c>
      <c r="H228" s="9">
        <f t="shared" si="4"/>
        <v>8</v>
      </c>
      <c r="I228" s="6" t="str">
        <f>IFERROR(__xludf.DUMMYFUNCTION("MAX(FILTER($H$2:$H450,$E$2:$E450=F228))"),"#N/A")</f>
        <v>#N/A</v>
      </c>
    </row>
    <row r="229">
      <c r="A229" s="4"/>
      <c r="C229" s="4" t="s">
        <v>3058</v>
      </c>
      <c r="D229" s="4" t="str">
        <f t="shared" si="1"/>
        <v>{"valorA":"recomendo","valorB":3}</v>
      </c>
      <c r="E229" s="8" t="str">
        <f t="shared" si="2"/>
        <v>recomendo</v>
      </c>
      <c r="F229" s="8"/>
      <c r="G229" s="8" t="str">
        <f t="shared" si="3"/>
        <v>3</v>
      </c>
      <c r="H229" s="9">
        <f t="shared" si="4"/>
        <v>3</v>
      </c>
      <c r="I229" s="6" t="str">
        <f>IFERROR(__xludf.DUMMYFUNCTION("MAX(FILTER($H$2:$H450,$E$2:$E450=F229))"),"#N/A")</f>
        <v>#N/A</v>
      </c>
    </row>
    <row r="230">
      <c r="A230" s="4"/>
      <c r="C230" s="4" t="s">
        <v>3904</v>
      </c>
      <c r="D230" s="4" t="str">
        <f t="shared" si="1"/>
        <v>{"valorA":"pelúcia","valorB":1}</v>
      </c>
      <c r="E230" s="8" t="str">
        <f t="shared" si="2"/>
        <v>pelúcia</v>
      </c>
      <c r="F230" s="8"/>
      <c r="G230" s="8" t="str">
        <f t="shared" si="3"/>
        <v>1</v>
      </c>
      <c r="H230" s="9">
        <f t="shared" si="4"/>
        <v>1</v>
      </c>
      <c r="I230" s="6" t="str">
        <f>IFERROR(__xludf.DUMMYFUNCTION("MAX(FILTER($H$2:$H450,$E$2:$E450=F230))"),"#N/A")</f>
        <v>#N/A</v>
      </c>
    </row>
    <row r="231">
      <c r="A231" s="4"/>
      <c r="C231" s="4" t="s">
        <v>3905</v>
      </c>
      <c r="D231" s="4" t="str">
        <f t="shared" si="1"/>
        <v>{"valorA":"sofá","valorB":1}</v>
      </c>
      <c r="E231" s="8" t="str">
        <f t="shared" si="2"/>
        <v>sofá</v>
      </c>
      <c r="F231" s="8"/>
      <c r="G231" s="8" t="str">
        <f t="shared" si="3"/>
        <v>1</v>
      </c>
      <c r="H231" s="9">
        <f t="shared" si="4"/>
        <v>1</v>
      </c>
      <c r="I231" s="6" t="str">
        <f>IFERROR(__xludf.DUMMYFUNCTION("MAX(FILTER($H$2:$H450,$E$2:$E450=F231))"),"#N/A")</f>
        <v>#N/A</v>
      </c>
    </row>
    <row r="232">
      <c r="A232" s="4"/>
      <c r="C232" s="4" t="s">
        <v>3397</v>
      </c>
      <c r="D232" s="4" t="str">
        <f t="shared" si="1"/>
        <v>{"valorA":"lâmpada","valorB":1}</v>
      </c>
      <c r="E232" s="8" t="str">
        <f t="shared" si="2"/>
        <v>lâmpada</v>
      </c>
      <c r="F232" s="8"/>
      <c r="G232" s="8" t="str">
        <f t="shared" si="3"/>
        <v>1</v>
      </c>
      <c r="H232" s="9">
        <f t="shared" si="4"/>
        <v>1</v>
      </c>
      <c r="I232" s="6" t="str">
        <f>IFERROR(__xludf.DUMMYFUNCTION("MAX(FILTER($H$2:$H450,$E$2:$E450=F232))"),"#N/A")</f>
        <v>#N/A</v>
      </c>
    </row>
    <row r="233">
      <c r="A233" s="4"/>
      <c r="C233" s="4" t="s">
        <v>2840</v>
      </c>
      <c r="D233" s="4" t="str">
        <f t="shared" si="1"/>
        <v>{"valorA":"para","valorB":7}</v>
      </c>
      <c r="E233" s="8" t="str">
        <f t="shared" si="2"/>
        <v>para</v>
      </c>
      <c r="F233" s="8"/>
      <c r="G233" s="8" t="str">
        <f t="shared" si="3"/>
        <v>7</v>
      </c>
      <c r="H233" s="9">
        <f t="shared" si="4"/>
        <v>7</v>
      </c>
      <c r="I233" s="6" t="str">
        <f>IFERROR(__xludf.DUMMYFUNCTION("MAX(FILTER($H$2:$H450,$E$2:$E450=F233))"),"#N/A")</f>
        <v>#N/A</v>
      </c>
    </row>
    <row r="234">
      <c r="A234" s="4"/>
      <c r="C234" s="4" t="s">
        <v>3436</v>
      </c>
      <c r="D234" s="4" t="str">
        <f t="shared" si="1"/>
        <v>{"valorA":"ótima","valorB":8}</v>
      </c>
      <c r="E234" s="8" t="str">
        <f t="shared" si="2"/>
        <v>ótima</v>
      </c>
      <c r="F234" s="8"/>
      <c r="G234" s="8" t="str">
        <f t="shared" si="3"/>
        <v>8</v>
      </c>
      <c r="H234" s="9">
        <f t="shared" si="4"/>
        <v>8</v>
      </c>
      <c r="I234" s="6" t="str">
        <f>IFERROR(__xludf.DUMMYFUNCTION("MAX(FILTER($H$2:$H450,$E$2:$E450=F234))"),"#N/A")</f>
        <v>#N/A</v>
      </c>
    </row>
    <row r="235">
      <c r="A235" s="4"/>
      <c r="C235" s="4" t="s">
        <v>3906</v>
      </c>
      <c r="D235" s="4" t="str">
        <f t="shared" si="1"/>
        <v>{"valorA":"dormir","valorB":1}</v>
      </c>
      <c r="E235" s="8" t="str">
        <f t="shared" si="2"/>
        <v>dormir</v>
      </c>
      <c r="F235" s="8"/>
      <c r="G235" s="8" t="str">
        <f t="shared" si="3"/>
        <v>1</v>
      </c>
      <c r="H235" s="9">
        <f t="shared" si="4"/>
        <v>1</v>
      </c>
      <c r="I235" s="6" t="str">
        <f>IFERROR(__xludf.DUMMYFUNCTION("MAX(FILTER($H$2:$H450,$E$2:$E450=F235))"),"#N/A")</f>
        <v>#N/A</v>
      </c>
    </row>
    <row r="236">
      <c r="A236" s="4"/>
      <c r="C236" s="4" t="s">
        <v>2934</v>
      </c>
      <c r="D236" s="4" t="str">
        <f t="shared" si="1"/>
        <v>{"valorA":"muito","valorB":10}</v>
      </c>
      <c r="E236" s="8" t="str">
        <f t="shared" si="2"/>
        <v>muito</v>
      </c>
      <c r="F236" s="8"/>
      <c r="G236" s="8" t="str">
        <f t="shared" si="3"/>
        <v>10</v>
      </c>
      <c r="H236" s="9">
        <f t="shared" si="4"/>
        <v>10</v>
      </c>
      <c r="I236" s="6" t="str">
        <f>IFERROR(__xludf.DUMMYFUNCTION("MAX(FILTER($H$2:$H450,$E$2:$E450=F236))"),"#N/A")</f>
        <v>#N/A</v>
      </c>
    </row>
    <row r="237">
      <c r="A237" s="4"/>
      <c r="C237" s="4" t="s">
        <v>3060</v>
      </c>
      <c r="D237" s="4" t="str">
        <f t="shared" si="1"/>
        <v>{"valorA":"recomendo","valorB":4}</v>
      </c>
      <c r="E237" s="8" t="str">
        <f t="shared" si="2"/>
        <v>recomendo</v>
      </c>
      <c r="F237" s="8"/>
      <c r="G237" s="8" t="str">
        <f t="shared" si="3"/>
        <v>4</v>
      </c>
      <c r="H237" s="9">
        <f t="shared" si="4"/>
        <v>4</v>
      </c>
      <c r="I237" s="6" t="str">
        <f>IFERROR(__xludf.DUMMYFUNCTION("MAX(FILTER($H$2:$H450,$E$2:$E450=F237))"),"#N/A")</f>
        <v>#N/A</v>
      </c>
    </row>
    <row r="238">
      <c r="A238" s="4"/>
      <c r="C238" s="4" t="s">
        <v>2746</v>
      </c>
      <c r="D238" s="4" t="str">
        <f t="shared" si="1"/>
        <v>{"valorA":"ótimo","valorB":18}</v>
      </c>
      <c r="E238" s="8" t="str">
        <f t="shared" si="2"/>
        <v>ótimo</v>
      </c>
      <c r="F238" s="8"/>
      <c r="G238" s="8" t="str">
        <f t="shared" si="3"/>
        <v>18</v>
      </c>
      <c r="H238" s="9">
        <f t="shared" si="4"/>
        <v>18</v>
      </c>
      <c r="I238" s="6" t="str">
        <f>IFERROR(__xludf.DUMMYFUNCTION("MAX(FILTER($H$2:$H450,$E$2:$E450=F238))"),"#N/A")</f>
        <v>#N/A</v>
      </c>
    </row>
    <row r="239">
      <c r="A239" s="4"/>
      <c r="C239" s="4" t="s">
        <v>3325</v>
      </c>
      <c r="D239" s="4" t="str">
        <f t="shared" si="1"/>
        <v>{"valorA":"aparelho","valorB":1}</v>
      </c>
      <c r="E239" s="8" t="str">
        <f t="shared" si="2"/>
        <v>aparelho</v>
      </c>
      <c r="F239" s="8"/>
      <c r="G239" s="8" t="str">
        <f t="shared" si="3"/>
        <v>1</v>
      </c>
      <c r="H239" s="9">
        <f t="shared" si="4"/>
        <v>1</v>
      </c>
      <c r="I239" s="6" t="str">
        <f>IFERROR(__xludf.DUMMYFUNCTION("MAX(FILTER($H$2:$H450,$E$2:$E450=F239))"),"#N/A")</f>
        <v>#N/A</v>
      </c>
    </row>
    <row r="240">
      <c r="A240" s="4"/>
      <c r="C240" s="4" t="s">
        <v>3353</v>
      </c>
      <c r="D240" s="4" t="str">
        <f t="shared" si="1"/>
        <v>{"valorA":"tudo","valorB":2}</v>
      </c>
      <c r="E240" s="8" t="str">
        <f t="shared" si="2"/>
        <v>tudo</v>
      </c>
      <c r="F240" s="8"/>
      <c r="G240" s="8" t="str">
        <f t="shared" si="3"/>
        <v>2</v>
      </c>
      <c r="H240" s="9">
        <f t="shared" si="4"/>
        <v>2</v>
      </c>
      <c r="I240" s="6" t="str">
        <f>IFERROR(__xludf.DUMMYFUNCTION("MAX(FILTER($H$2:$H450,$E$2:$E450=F240))"),"#N/A")</f>
        <v>#N/A</v>
      </c>
    </row>
    <row r="241">
      <c r="A241" s="4"/>
      <c r="C241" s="4" t="s">
        <v>3187</v>
      </c>
      <c r="D241" s="4" t="str">
        <f t="shared" si="1"/>
        <v>{"valorA":"preciso","valorB":1}</v>
      </c>
      <c r="E241" s="8" t="str">
        <f t="shared" si="2"/>
        <v>preciso</v>
      </c>
      <c r="F241" s="8"/>
      <c r="G241" s="8" t="str">
        <f t="shared" si="3"/>
        <v>1</v>
      </c>
      <c r="H241" s="9">
        <f t="shared" si="4"/>
        <v>1</v>
      </c>
      <c r="I241" s="6" t="str">
        <f>IFERROR(__xludf.DUMMYFUNCTION("MAX(FILTER($H$2:$H450,$E$2:$E450=F241))"),"#N/A")</f>
        <v>#N/A</v>
      </c>
    </row>
    <row r="242">
      <c r="A242" s="4"/>
      <c r="C242" s="4" t="s">
        <v>3407</v>
      </c>
      <c r="D242" s="4" t="str">
        <f t="shared" si="1"/>
        <v>{"valorA":"o","valorB":9}</v>
      </c>
      <c r="E242" s="8" t="str">
        <f t="shared" si="2"/>
        <v>o</v>
      </c>
      <c r="F242" s="8"/>
      <c r="G242" s="8" t="str">
        <f t="shared" si="3"/>
        <v>9</v>
      </c>
      <c r="H242" s="9">
        <f t="shared" si="4"/>
        <v>9</v>
      </c>
      <c r="I242" s="6" t="str">
        <f>IFERROR(__xludf.DUMMYFUNCTION("MAX(FILTER($H$2:$H450,$E$2:$E450=F242))"),"#N/A")</f>
        <v>#N/A</v>
      </c>
    </row>
    <row r="243">
      <c r="A243" s="4"/>
      <c r="C243" s="4" t="s">
        <v>2824</v>
      </c>
      <c r="D243" s="4" t="str">
        <f t="shared" si="1"/>
        <v>{"valorA":"que","valorB":6}</v>
      </c>
      <c r="E243" s="8" t="str">
        <f t="shared" si="2"/>
        <v>que</v>
      </c>
      <c r="F243" s="8"/>
      <c r="G243" s="8" t="str">
        <f t="shared" si="3"/>
        <v>6</v>
      </c>
      <c r="H243" s="9">
        <f t="shared" si="4"/>
        <v>6</v>
      </c>
      <c r="I243" s="6" t="str">
        <f>IFERROR(__xludf.DUMMYFUNCTION("MAX(FILTER($H$2:$H450,$E$2:$E450=F243))"),"#N/A")</f>
        <v>#N/A</v>
      </c>
    </row>
    <row r="244">
      <c r="A244" s="4"/>
      <c r="C244" s="4" t="s">
        <v>3907</v>
      </c>
      <c r="D244" s="4" t="str">
        <f t="shared" si="1"/>
        <v>{"valorA":"num","valorB":1}</v>
      </c>
      <c r="E244" s="8" t="str">
        <f t="shared" si="2"/>
        <v>num</v>
      </c>
      <c r="F244" s="8"/>
      <c r="G244" s="8" t="str">
        <f t="shared" si="3"/>
        <v>1</v>
      </c>
      <c r="H244" s="9">
        <f t="shared" si="4"/>
        <v>1</v>
      </c>
      <c r="I244" s="6" t="str">
        <f>IFERROR(__xludf.DUMMYFUNCTION("MAX(FILTER($H$2:$H450,$E$2:$E450=F244))"),"#N/A")</f>
        <v>#N/A</v>
      </c>
    </row>
    <row r="245">
      <c r="A245" s="4"/>
      <c r="C245" s="4" t="s">
        <v>3908</v>
      </c>
      <c r="D245" s="4" t="str">
        <f t="shared" si="1"/>
        <v>{"valorA":"eu","valorB":2}</v>
      </c>
      <c r="E245" s="8" t="str">
        <f t="shared" si="2"/>
        <v>eu</v>
      </c>
      <c r="F245" s="8"/>
      <c r="G245" s="8" t="str">
        <f t="shared" si="3"/>
        <v>2</v>
      </c>
      <c r="H245" s="9">
        <f t="shared" si="4"/>
        <v>2</v>
      </c>
      <c r="I245" s="6" t="str">
        <f>IFERROR(__xludf.DUMMYFUNCTION("MAX(FILTER($H$2:$H450,$E$2:$E450=F245))"),"#N/A")</f>
        <v>#N/A</v>
      </c>
    </row>
    <row r="246">
      <c r="A246" s="4"/>
      <c r="C246" s="4" t="s">
        <v>3909</v>
      </c>
      <c r="D246" s="4" t="str">
        <f t="shared" si="1"/>
        <v>{"valorA":"único","valorB":1}</v>
      </c>
      <c r="E246" s="8" t="str">
        <f t="shared" si="2"/>
        <v>único</v>
      </c>
      <c r="F246" s="8"/>
      <c r="G246" s="8" t="str">
        <f t="shared" si="3"/>
        <v>1</v>
      </c>
      <c r="H246" s="9">
        <f t="shared" si="4"/>
        <v>1</v>
      </c>
      <c r="I246" s="6" t="str">
        <f>IFERROR(__xludf.DUMMYFUNCTION("MAX(FILTER($H$2:$H450,$E$2:$E450=F246))"),"#N/A")</f>
        <v>#N/A</v>
      </c>
    </row>
    <row r="247">
      <c r="A247" s="4"/>
      <c r="C247" s="4" t="s">
        <v>3910</v>
      </c>
      <c r="D247" s="4" t="str">
        <f t="shared" si="1"/>
        <v>{"valorA":"dispositivo","valorB":1}</v>
      </c>
      <c r="E247" s="8" t="str">
        <f t="shared" si="2"/>
        <v>dispositivo</v>
      </c>
      <c r="F247" s="8"/>
      <c r="G247" s="8" t="str">
        <f t="shared" si="3"/>
        <v>1</v>
      </c>
      <c r="H247" s="9">
        <f t="shared" si="4"/>
        <v>1</v>
      </c>
      <c r="I247" s="6" t="str">
        <f>IFERROR(__xludf.DUMMYFUNCTION("MAX(FILTER($H$2:$H450,$E$2:$E450=F247))"),"#N/A")</f>
        <v>#N/A</v>
      </c>
    </row>
    <row r="248">
      <c r="A248" s="4"/>
      <c r="C248" s="4" t="s">
        <v>2869</v>
      </c>
      <c r="D248" s="4" t="str">
        <f t="shared" si="1"/>
        <v>{"valorA":"realmente","valorB":1}</v>
      </c>
      <c r="E248" s="8" t="str">
        <f t="shared" si="2"/>
        <v>realmente</v>
      </c>
      <c r="F248" s="8"/>
      <c r="G248" s="8" t="str">
        <f t="shared" si="3"/>
        <v>1</v>
      </c>
      <c r="H248" s="9">
        <f t="shared" si="4"/>
        <v>1</v>
      </c>
      <c r="I248" s="6" t="str">
        <f>IFERROR(__xludf.DUMMYFUNCTION("MAX(FILTER($H$2:$H450,$E$2:$E450=F248))"),"#N/A")</f>
        <v>#N/A</v>
      </c>
    </row>
    <row r="249">
      <c r="A249" s="4"/>
      <c r="C249" s="4" t="s">
        <v>2761</v>
      </c>
      <c r="D249" s="4" t="str">
        <f t="shared" si="1"/>
        <v>{"valorA":"ótimo","valorB":19}</v>
      </c>
      <c r="E249" s="8" t="str">
        <f t="shared" si="2"/>
        <v>ótimo</v>
      </c>
      <c r="F249" s="8"/>
      <c r="G249" s="8" t="str">
        <f t="shared" si="3"/>
        <v>19</v>
      </c>
      <c r="H249" s="9">
        <f t="shared" si="4"/>
        <v>19</v>
      </c>
      <c r="I249" s="6" t="str">
        <f>IFERROR(__xludf.DUMMYFUNCTION("MAX(FILTER($H$2:$H450,$E$2:$E450=F249))"),"#N/A")</f>
        <v>#N/A</v>
      </c>
    </row>
    <row r="250">
      <c r="A250" s="4"/>
      <c r="C250" s="4" t="s">
        <v>3911</v>
      </c>
      <c r="D250" s="4" t="str">
        <f t="shared" si="1"/>
        <v>{"valorA":"limpar","valorB":1}</v>
      </c>
      <c r="E250" s="8" t="str">
        <f t="shared" si="2"/>
        <v>limpar</v>
      </c>
      <c r="F250" s="8"/>
      <c r="G250" s="8" t="str">
        <f t="shared" si="3"/>
        <v>1</v>
      </c>
      <c r="H250" s="9">
        <f t="shared" si="4"/>
        <v>1</v>
      </c>
      <c r="I250" s="6" t="str">
        <f>IFERROR(__xludf.DUMMYFUNCTION("MAX(FILTER($H$2:$H450,$E$2:$E450=F250))"),"#N/A")</f>
        <v>#N/A</v>
      </c>
    </row>
    <row r="251">
      <c r="A251" s="4"/>
      <c r="C251" s="4" t="s">
        <v>3076</v>
      </c>
      <c r="D251" s="4" t="str">
        <f t="shared" si="1"/>
        <v>{"valorA":"de","valorB":10}</v>
      </c>
      <c r="E251" s="8" t="str">
        <f t="shared" si="2"/>
        <v>de</v>
      </c>
      <c r="F251" s="8"/>
      <c r="G251" s="8" t="str">
        <f t="shared" si="3"/>
        <v>10</v>
      </c>
      <c r="H251" s="9">
        <f t="shared" si="4"/>
        <v>10</v>
      </c>
      <c r="I251" s="6" t="str">
        <f>IFERROR(__xludf.DUMMYFUNCTION("MAX(FILTER($H$2:$H450,$E$2:$E450=F251))"),"#N/A")</f>
        <v>#N/A</v>
      </c>
    </row>
    <row r="252">
      <c r="A252" s="4"/>
      <c r="C252" s="4" t="s">
        <v>2741</v>
      </c>
      <c r="D252" s="4" t="str">
        <f t="shared" si="1"/>
        <v>{"valorA":"fácil","valorB":3}</v>
      </c>
      <c r="E252" s="8" t="str">
        <f t="shared" si="2"/>
        <v>fácil</v>
      </c>
      <c r="F252" s="8"/>
      <c r="G252" s="8" t="str">
        <f t="shared" si="3"/>
        <v>3</v>
      </c>
      <c r="H252" s="9">
        <f t="shared" si="4"/>
        <v>3</v>
      </c>
      <c r="I252" s="6" t="str">
        <f>IFERROR(__xludf.DUMMYFUNCTION("MAX(FILTER($H$2:$H450,$E$2:$E450=F252))"),"#N/A")</f>
        <v>#N/A</v>
      </c>
    </row>
    <row r="253">
      <c r="A253" s="4"/>
      <c r="C253" s="4" t="s">
        <v>3321</v>
      </c>
      <c r="D253" s="4" t="str">
        <f t="shared" si="1"/>
        <v>{"valorA":"lavador","valorB":2}</v>
      </c>
      <c r="E253" s="8" t="str">
        <f t="shared" si="2"/>
        <v>lavador</v>
      </c>
      <c r="F253" s="8"/>
      <c r="G253" s="8" t="str">
        <f t="shared" si="3"/>
        <v>2</v>
      </c>
      <c r="H253" s="9">
        <f t="shared" si="4"/>
        <v>2</v>
      </c>
      <c r="I253" s="6" t="str">
        <f>IFERROR(__xludf.DUMMYFUNCTION("MAX(FILTER($H$2:$H450,$E$2:$E450=F253))"),"#N/A")</f>
        <v>#N/A</v>
      </c>
    </row>
    <row r="254">
      <c r="A254" s="4"/>
      <c r="C254" s="4" t="s">
        <v>3319</v>
      </c>
      <c r="D254" s="4" t="str">
        <f t="shared" si="1"/>
        <v>{"valorA":"pratos","valorB":1}</v>
      </c>
      <c r="E254" s="8" t="str">
        <f t="shared" si="2"/>
        <v>pratos</v>
      </c>
      <c r="F254" s="8"/>
      <c r="G254" s="8" t="str">
        <f t="shared" si="3"/>
        <v>1</v>
      </c>
      <c r="H254" s="9">
        <f t="shared" si="4"/>
        <v>1</v>
      </c>
      <c r="I254" s="6" t="str">
        <f>IFERROR(__xludf.DUMMYFUNCTION("MAX(FILTER($H$2:$H450,$E$2:$E450=F254))"),"#N/A")</f>
        <v>#N/A</v>
      </c>
    </row>
    <row r="255">
      <c r="A255" s="4"/>
      <c r="C255" s="4" t="s">
        <v>3081</v>
      </c>
      <c r="D255" s="4" t="str">
        <f t="shared" si="1"/>
        <v>{"valorA":"de","valorB":11}</v>
      </c>
      <c r="E255" s="8" t="str">
        <f t="shared" si="2"/>
        <v>de</v>
      </c>
      <c r="F255" s="8"/>
      <c r="G255" s="8" t="str">
        <f t="shared" si="3"/>
        <v>11</v>
      </c>
      <c r="H255" s="9">
        <f t="shared" si="4"/>
        <v>11</v>
      </c>
      <c r="I255" s="6" t="str">
        <f>IFERROR(__xludf.DUMMYFUNCTION("MAX(FILTER($H$2:$H450,$E$2:$E450=F255))"),"#N/A")</f>
        <v>#N/A</v>
      </c>
    </row>
    <row r="256">
      <c r="A256" s="4"/>
      <c r="C256" s="4" t="s">
        <v>3912</v>
      </c>
      <c r="D256" s="4" t="str">
        <f t="shared" si="1"/>
        <v>{"valorA":"gosto","valorB":4}</v>
      </c>
      <c r="E256" s="8" t="str">
        <f t="shared" si="2"/>
        <v>gosto</v>
      </c>
      <c r="F256" s="8"/>
      <c r="G256" s="8" t="str">
        <f t="shared" si="3"/>
        <v>4</v>
      </c>
      <c r="H256" s="9">
        <f t="shared" si="4"/>
        <v>4</v>
      </c>
      <c r="I256" s="6" t="str">
        <f>IFERROR(__xludf.DUMMYFUNCTION("MAX(FILTER($H$2:$H450,$E$2:$E450=F256))"),"#N/A")</f>
        <v>#N/A</v>
      </c>
    </row>
    <row r="257">
      <c r="A257" s="4"/>
      <c r="C257" s="4" t="s">
        <v>2940</v>
      </c>
      <c r="D257" s="4" t="str">
        <f t="shared" si="1"/>
        <v>{"valorA":"muito","valorB":11}</v>
      </c>
      <c r="E257" s="8" t="str">
        <f t="shared" si="2"/>
        <v>muito</v>
      </c>
      <c r="F257" s="8"/>
      <c r="G257" s="8" t="str">
        <f t="shared" si="3"/>
        <v>11</v>
      </c>
      <c r="H257" s="9">
        <f t="shared" si="4"/>
        <v>11</v>
      </c>
      <c r="I257" s="6" t="str">
        <f>IFERROR(__xludf.DUMMYFUNCTION("MAX(FILTER($H$2:$H450,$E$2:$E450=F257))"),"#N/A")</f>
        <v>#N/A</v>
      </c>
    </row>
    <row r="258">
      <c r="A258" s="4"/>
      <c r="C258" s="4" t="s">
        <v>2766</v>
      </c>
      <c r="D258" s="4" t="str">
        <f t="shared" si="1"/>
        <v>{"valorA":"ótimo","valorB":20}</v>
      </c>
      <c r="E258" s="8" t="str">
        <f t="shared" si="2"/>
        <v>ótimo</v>
      </c>
      <c r="F258" s="8"/>
      <c r="G258" s="8" t="str">
        <f t="shared" si="3"/>
        <v>20</v>
      </c>
      <c r="H258" s="9">
        <f t="shared" si="4"/>
        <v>20</v>
      </c>
      <c r="I258" s="6" t="str">
        <f>IFERROR(__xludf.DUMMYFUNCTION("MAX(FILTER($H$2:$H450,$E$2:$E450=F258))"),"#N/A")</f>
        <v>#N/A</v>
      </c>
    </row>
    <row r="259">
      <c r="A259" s="4"/>
      <c r="C259" s="4" t="s">
        <v>2661</v>
      </c>
      <c r="D259" s="4" t="str">
        <f t="shared" si="1"/>
        <v>{"valorA":"produto","valorB":3}</v>
      </c>
      <c r="E259" s="8" t="str">
        <f t="shared" si="2"/>
        <v>produto</v>
      </c>
      <c r="F259" s="8"/>
      <c r="G259" s="8" t="str">
        <f t="shared" si="3"/>
        <v>3</v>
      </c>
      <c r="H259" s="9">
        <f t="shared" si="4"/>
        <v>3</v>
      </c>
      <c r="I259" s="6" t="str">
        <f>IFERROR(__xludf.DUMMYFUNCTION("MAX(FILTER($H$2:$H450,$E$2:$E450=F259))"),"#N/A")</f>
        <v>#N/A</v>
      </c>
    </row>
    <row r="260">
      <c r="A260" s="4"/>
      <c r="C260" s="4" t="s">
        <v>2843</v>
      </c>
      <c r="D260" s="4" t="str">
        <f t="shared" si="1"/>
        <v>{"valorA":"desse","valorB":2}</v>
      </c>
      <c r="E260" s="8" t="str">
        <f t="shared" si="2"/>
        <v>desse</v>
      </c>
      <c r="F260" s="8"/>
      <c r="G260" s="8" t="str">
        <f t="shared" si="3"/>
        <v>2</v>
      </c>
      <c r="H260" s="9">
        <f t="shared" si="4"/>
        <v>2</v>
      </c>
      <c r="I260" s="6" t="str">
        <f>IFERROR(__xludf.DUMMYFUNCTION("MAX(FILTER($H$2:$H450,$E$2:$E450=F260))"),"#N/A")</f>
        <v>#N/A</v>
      </c>
    </row>
    <row r="261">
      <c r="A261" s="4"/>
      <c r="C261" s="4" t="s">
        <v>3087</v>
      </c>
      <c r="D261" s="4" t="str">
        <f t="shared" si="1"/>
        <v>{"valorA":"blender","valorB":1}</v>
      </c>
      <c r="E261" s="8" t="str">
        <f t="shared" si="2"/>
        <v>blender</v>
      </c>
      <c r="F261" s="8"/>
      <c r="G261" s="8" t="str">
        <f t="shared" si="3"/>
        <v>1</v>
      </c>
      <c r="H261" s="9">
        <f t="shared" si="4"/>
        <v>1</v>
      </c>
      <c r="I261" s="6" t="str">
        <f>IFERROR(__xludf.DUMMYFUNCTION("MAX(FILTER($H$2:$H450,$E$2:$E450=F261))"),"#N/A")</f>
        <v>#N/A</v>
      </c>
    </row>
    <row r="262">
      <c r="A262" s="4"/>
      <c r="C262" s="4" t="s">
        <v>2716</v>
      </c>
      <c r="D262" s="4" t="str">
        <f t="shared" si="1"/>
        <v>{"valorA":"perfeitamente","valorB":3}</v>
      </c>
      <c r="E262" s="8" t="str">
        <f t="shared" si="2"/>
        <v>perfeitamente</v>
      </c>
      <c r="F262" s="8"/>
      <c r="G262" s="8" t="str">
        <f t="shared" si="3"/>
        <v>3</v>
      </c>
      <c r="H262" s="9">
        <f t="shared" si="4"/>
        <v>3</v>
      </c>
      <c r="I262" s="6" t="str">
        <f>IFERROR(__xludf.DUMMYFUNCTION("MAX(FILTER($H$2:$H450,$E$2:$E450=F262))"),"#N/A")</f>
        <v>#N/A</v>
      </c>
    </row>
    <row r="263">
      <c r="A263" s="4"/>
      <c r="C263" s="4" t="s">
        <v>3312</v>
      </c>
      <c r="D263" s="4" t="str">
        <f t="shared" si="1"/>
        <v>{"valorA":"player","valorB":1}</v>
      </c>
      <c r="E263" s="8" t="str">
        <f t="shared" si="2"/>
        <v>player</v>
      </c>
      <c r="F263" s="8"/>
      <c r="G263" s="8" t="str">
        <f t="shared" si="3"/>
        <v>1</v>
      </c>
      <c r="H263" s="9">
        <f t="shared" si="4"/>
        <v>1</v>
      </c>
      <c r="I263" s="6" t="str">
        <f>IFERROR(__xludf.DUMMYFUNCTION("MAX(FILTER($H$2:$H450,$E$2:$E450=F263))"),"#N/A")</f>
        <v>#N/A</v>
      </c>
    </row>
    <row r="264">
      <c r="A264" s="4"/>
      <c r="C264" s="4" t="s">
        <v>3308</v>
      </c>
      <c r="D264" s="4" t="str">
        <f t="shared" si="1"/>
        <v>{"valorA":"bluray","valorB":1}</v>
      </c>
      <c r="E264" s="8" t="str">
        <f t="shared" si="2"/>
        <v>bluray</v>
      </c>
      <c r="F264" s="8"/>
      <c r="G264" s="8" t="str">
        <f t="shared" si="3"/>
        <v>1</v>
      </c>
      <c r="H264" s="9">
        <f t="shared" si="4"/>
        <v>1</v>
      </c>
      <c r="I264" s="6" t="str">
        <f>IFERROR(__xludf.DUMMYFUNCTION("MAX(FILTER($H$2:$H450,$E$2:$E450=F264))"),"#N/A")</f>
        <v>#N/A</v>
      </c>
    </row>
    <row r="265">
      <c r="A265" s="4"/>
      <c r="C265" s="4" t="s">
        <v>2779</v>
      </c>
      <c r="D265" s="4" t="str">
        <f t="shared" si="1"/>
        <v>{"valorA":"ótimo","valorB":21}</v>
      </c>
      <c r="E265" s="8" t="str">
        <f t="shared" si="2"/>
        <v>ótimo</v>
      </c>
      <c r="F265" s="8"/>
      <c r="G265" s="8" t="str">
        <f t="shared" si="3"/>
        <v>21</v>
      </c>
      <c r="H265" s="9">
        <f t="shared" si="4"/>
        <v>21</v>
      </c>
      <c r="I265" s="6" t="str">
        <f>IFERROR(__xludf.DUMMYFUNCTION("MAX(FILTER($H$2:$H450,$E$2:$E450=F265))"),"#N/A")</f>
        <v>#N/A</v>
      </c>
    </row>
    <row r="266">
      <c r="A266" s="4"/>
      <c r="C266" s="4" t="s">
        <v>2776</v>
      </c>
      <c r="D266" s="4" t="str">
        <f t="shared" si="1"/>
        <v>{"valorA":"funciona","valorB":7}</v>
      </c>
      <c r="E266" s="8" t="str">
        <f t="shared" si="2"/>
        <v>funciona</v>
      </c>
      <c r="F266" s="8"/>
      <c r="G266" s="8" t="str">
        <f t="shared" si="3"/>
        <v>7</v>
      </c>
      <c r="H266" s="9">
        <f t="shared" si="4"/>
        <v>7</v>
      </c>
      <c r="I266" s="6" t="str">
        <f>IFERROR(__xludf.DUMMYFUNCTION("MAX(FILTER($H$2:$H450,$E$2:$E450=F266))"),"#N/A")</f>
        <v>#N/A</v>
      </c>
    </row>
    <row r="267">
      <c r="A267" s="4"/>
      <c r="C267" s="4" t="s">
        <v>3913</v>
      </c>
      <c r="D267" s="4" t="str">
        <f t="shared" si="1"/>
        <v>{"valorA":"consumo","valorB":1}</v>
      </c>
      <c r="E267" s="8" t="str">
        <f t="shared" si="2"/>
        <v>consumo</v>
      </c>
      <c r="F267" s="8"/>
      <c r="G267" s="8" t="str">
        <f t="shared" si="3"/>
        <v>1</v>
      </c>
      <c r="H267" s="9">
        <f t="shared" si="4"/>
        <v>1</v>
      </c>
      <c r="I267" s="6" t="str">
        <f>IFERROR(__xludf.DUMMYFUNCTION("MAX(FILTER($H$2:$H450,$E$2:$E450=F267))"),"#N/A")</f>
        <v>#N/A</v>
      </c>
    </row>
    <row r="268">
      <c r="A268" s="4"/>
      <c r="C268" s="4" t="s">
        <v>2788</v>
      </c>
      <c r="D268" s="4" t="str">
        <f t="shared" si="1"/>
        <v>{"valorA":"ótimo","valorB":22}</v>
      </c>
      <c r="E268" s="8" t="str">
        <f t="shared" si="2"/>
        <v>ótimo</v>
      </c>
      <c r="F268" s="8"/>
      <c r="G268" s="8" t="str">
        <f t="shared" si="3"/>
        <v>22</v>
      </c>
      <c r="H268" s="9">
        <f t="shared" si="4"/>
        <v>22</v>
      </c>
      <c r="I268" s="6" t="str">
        <f>IFERROR(__xludf.DUMMYFUNCTION("MAX(FILTER($H$2:$H450,$E$2:$E450=F268))"),"#N/A")</f>
        <v>#N/A</v>
      </c>
    </row>
    <row r="269">
      <c r="A269" s="4"/>
      <c r="C269" s="4" t="s">
        <v>3914</v>
      </c>
      <c r="D269" s="4" t="str">
        <f t="shared" si="1"/>
        <v>{"valorA":"baixo","valorB":1}</v>
      </c>
      <c r="E269" s="8" t="str">
        <f t="shared" si="2"/>
        <v>baixo</v>
      </c>
      <c r="F269" s="8"/>
      <c r="G269" s="8" t="str">
        <f t="shared" si="3"/>
        <v>1</v>
      </c>
      <c r="H269" s="9">
        <f t="shared" si="4"/>
        <v>1</v>
      </c>
      <c r="I269" s="6" t="str">
        <f>IFERROR(__xludf.DUMMYFUNCTION("MAX(FILTER($H$2:$H450,$E$2:$E450=F269))"),"#N/A")</f>
        <v>#N/A</v>
      </c>
    </row>
    <row r="270">
      <c r="A270" s="4"/>
      <c r="C270" s="4" t="s">
        <v>3473</v>
      </c>
      <c r="D270" s="4" t="str">
        <f t="shared" si="1"/>
        <v>{"valorA":"com","valorB":7}</v>
      </c>
      <c r="E270" s="8" t="str">
        <f t="shared" si="2"/>
        <v>com</v>
      </c>
      <c r="F270" s="8"/>
      <c r="G270" s="8" t="str">
        <f t="shared" si="3"/>
        <v>7</v>
      </c>
      <c r="H270" s="9">
        <f t="shared" si="4"/>
        <v>7</v>
      </c>
      <c r="I270" s="6" t="str">
        <f>IFERROR(__xludf.DUMMYFUNCTION("MAX(FILTER($H$2:$H450,$E$2:$E450=F270))"),"#N/A")</f>
        <v>#N/A</v>
      </c>
    </row>
    <row r="271">
      <c r="A271" s="4"/>
      <c r="C271" s="4" t="s">
        <v>3434</v>
      </c>
      <c r="D271" s="4" t="str">
        <f t="shared" si="1"/>
        <v>{"valorA":"elétrico","valorB":1}</v>
      </c>
      <c r="E271" s="8" t="str">
        <f t="shared" si="2"/>
        <v>elétrico</v>
      </c>
      <c r="F271" s="8"/>
      <c r="G271" s="8" t="str">
        <f t="shared" si="3"/>
        <v>1</v>
      </c>
      <c r="H271" s="9">
        <f t="shared" si="4"/>
        <v>1</v>
      </c>
      <c r="I271" s="6" t="str">
        <f>IFERROR(__xludf.DUMMYFUNCTION("MAX(FILTER($H$2:$H450,$E$2:$E450=F271))"),"#N/A")</f>
        <v>#N/A</v>
      </c>
    </row>
    <row r="272">
      <c r="A272" s="4"/>
      <c r="C272" s="4" t="s">
        <v>2953</v>
      </c>
      <c r="D272" s="4" t="str">
        <f t="shared" si="1"/>
        <v>{"valorA":"muito","valorB":12}</v>
      </c>
      <c r="E272" s="8" t="str">
        <f t="shared" si="2"/>
        <v>muito</v>
      </c>
      <c r="F272" s="8"/>
      <c r="G272" s="8" t="str">
        <f t="shared" si="3"/>
        <v>12</v>
      </c>
      <c r="H272" s="9">
        <f t="shared" si="4"/>
        <v>12</v>
      </c>
      <c r="I272" s="6" t="str">
        <f>IFERROR(__xludf.DUMMYFUNCTION("MAX(FILTER($H$2:$H450,$E$2:$E450=F272))"),"#N/A")</f>
        <v>#N/A</v>
      </c>
    </row>
    <row r="273">
      <c r="A273" s="4"/>
      <c r="C273" s="4" t="s">
        <v>3378</v>
      </c>
      <c r="D273" s="4" t="str">
        <f t="shared" si="1"/>
        <v>{"valorA":"geladeira","valorB":1}</v>
      </c>
      <c r="E273" s="8" t="str">
        <f t="shared" si="2"/>
        <v>geladeira</v>
      </c>
      <c r="F273" s="8"/>
      <c r="G273" s="8" t="str">
        <f t="shared" si="3"/>
        <v>1</v>
      </c>
      <c r="H273" s="9">
        <f t="shared" si="4"/>
        <v>1</v>
      </c>
      <c r="I273" s="6" t="str">
        <f>IFERROR(__xludf.DUMMYFUNCTION("MAX(FILTER($H$2:$H450,$E$2:$E450=F273))"),"#N/A")</f>
        <v>#N/A</v>
      </c>
    </row>
    <row r="274">
      <c r="A274" s="4"/>
      <c r="C274" s="4" t="s">
        <v>3915</v>
      </c>
      <c r="D274" s="4" t="str">
        <f t="shared" si="1"/>
        <v>{"valorA":"gosto","valorB":5}</v>
      </c>
      <c r="E274" s="8" t="str">
        <f t="shared" si="2"/>
        <v>gosto</v>
      </c>
      <c r="F274" s="8"/>
      <c r="G274" s="8" t="str">
        <f t="shared" si="3"/>
        <v>5</v>
      </c>
      <c r="H274" s="9">
        <f t="shared" si="4"/>
        <v>5</v>
      </c>
      <c r="I274" s="6" t="str">
        <f>IFERROR(__xludf.DUMMYFUNCTION("MAX(FILTER($H$2:$H450,$E$2:$E450=F274))"),"#N/A")</f>
        <v>#N/A</v>
      </c>
    </row>
    <row r="275">
      <c r="A275" s="4"/>
      <c r="C275" s="4" t="s">
        <v>3916</v>
      </c>
      <c r="D275" s="4" t="str">
        <f t="shared" si="1"/>
        <v>{"valorA":"lâmpada","valorB":2}</v>
      </c>
      <c r="E275" s="8" t="str">
        <f t="shared" si="2"/>
        <v>lâmpada</v>
      </c>
      <c r="F275" s="8"/>
      <c r="G275" s="8" t="str">
        <f t="shared" si="3"/>
        <v>2</v>
      </c>
      <c r="H275" s="9">
        <f t="shared" si="4"/>
        <v>2</v>
      </c>
      <c r="I275" s="6" t="str">
        <f>IFERROR(__xludf.DUMMYFUNCTION("MAX(FILTER($H$2:$H450,$E$2:$E450=F275))"),"#N/A")</f>
        <v>#N/A</v>
      </c>
    </row>
    <row r="276">
      <c r="A276" s="4"/>
      <c r="C276" s="4" t="s">
        <v>2791</v>
      </c>
      <c r="D276" s="4" t="str">
        <f t="shared" si="1"/>
        <v>{"valorA":"ótimo","valorB":23}</v>
      </c>
      <c r="E276" s="8" t="str">
        <f t="shared" si="2"/>
        <v>ótimo</v>
      </c>
      <c r="F276" s="8"/>
      <c r="G276" s="8" t="str">
        <f t="shared" si="3"/>
        <v>23</v>
      </c>
      <c r="H276" s="9">
        <f t="shared" si="4"/>
        <v>23</v>
      </c>
      <c r="I276" s="6" t="str">
        <f>IFERROR(__xludf.DUMMYFUNCTION("MAX(FILTER($H$2:$H450,$E$2:$E450=F276))"),"#N/A")</f>
        <v>#N/A</v>
      </c>
    </row>
    <row r="277">
      <c r="A277" s="4"/>
      <c r="C277" s="4" t="s">
        <v>2989</v>
      </c>
      <c r="D277" s="4" t="str">
        <f t="shared" si="1"/>
        <v>{"valorA":"muito","valorB":13}</v>
      </c>
      <c r="E277" s="8" t="str">
        <f t="shared" si="2"/>
        <v>muito</v>
      </c>
      <c r="F277" s="8"/>
      <c r="G277" s="8" t="str">
        <f t="shared" si="3"/>
        <v>13</v>
      </c>
      <c r="H277" s="9">
        <f t="shared" si="4"/>
        <v>13</v>
      </c>
      <c r="I277" s="6" t="str">
        <f>IFERROR(__xludf.DUMMYFUNCTION("MAX(FILTER($H$2:$H450,$E$2:$E450=F277))"),"#N/A")</f>
        <v>#N/A</v>
      </c>
    </row>
    <row r="278">
      <c r="A278" s="4"/>
      <c r="C278" s="4" t="s">
        <v>2683</v>
      </c>
      <c r="D278" s="4" t="str">
        <f t="shared" si="1"/>
        <v>{"valorA":"essa","valorB":1}</v>
      </c>
      <c r="E278" s="8" t="str">
        <f t="shared" si="2"/>
        <v>essa</v>
      </c>
      <c r="F278" s="8"/>
      <c r="G278" s="8" t="str">
        <f t="shared" si="3"/>
        <v>1</v>
      </c>
      <c r="H278" s="9">
        <f t="shared" si="4"/>
        <v>1</v>
      </c>
      <c r="I278" s="6" t="str">
        <f>IFERROR(__xludf.DUMMYFUNCTION("MAX(FILTER($H$2:$H450,$E$2:$E450=F278))"),"#N/A")</f>
        <v>#N/A</v>
      </c>
    </row>
    <row r="279">
      <c r="A279" s="4"/>
      <c r="C279" s="4" t="s">
        <v>3917</v>
      </c>
      <c r="D279" s="4" t="str">
        <f t="shared" si="1"/>
        <v>{"valorA":"ganhei","valorB":1}</v>
      </c>
      <c r="E279" s="8" t="str">
        <f t="shared" si="2"/>
        <v>ganhei</v>
      </c>
      <c r="F279" s="8"/>
      <c r="G279" s="8" t="str">
        <f t="shared" si="3"/>
        <v>1</v>
      </c>
      <c r="H279" s="9">
        <f t="shared" si="4"/>
        <v>1</v>
      </c>
      <c r="I279" s="6" t="str">
        <f>IFERROR(__xludf.DUMMYFUNCTION("MAX(FILTER($H$2:$H450,$E$2:$E450=F279))"),"#N/A")</f>
        <v>#N/A</v>
      </c>
    </row>
    <row r="280">
      <c r="A280" s="4"/>
      <c r="C280" s="4" t="s">
        <v>3918</v>
      </c>
      <c r="D280" s="4" t="str">
        <f t="shared" si="1"/>
        <v>{"valorA":"led","valorB":2}</v>
      </c>
      <c r="E280" s="8" t="str">
        <f t="shared" si="2"/>
        <v>led</v>
      </c>
      <c r="F280" s="8"/>
      <c r="G280" s="8" t="str">
        <f t="shared" si="3"/>
        <v>2</v>
      </c>
      <c r="H280" s="9">
        <f t="shared" si="4"/>
        <v>2</v>
      </c>
      <c r="I280" s="6" t="str">
        <f>IFERROR(__xludf.DUMMYFUNCTION("MAX(FILTER($H$2:$H450,$E$2:$E450=F280))"),"#N/A")</f>
        <v>#N/A</v>
      </c>
    </row>
    <row r="281">
      <c r="A281" s="4"/>
      <c r="C281" s="4" t="s">
        <v>3919</v>
      </c>
      <c r="D281" s="4" t="str">
        <f t="shared" si="1"/>
        <v>{"valorA":"isso","valorB":1}</v>
      </c>
      <c r="E281" s="8" t="str">
        <f t="shared" si="2"/>
        <v>isso</v>
      </c>
      <c r="F281" s="8"/>
      <c r="G281" s="8" t="str">
        <f t="shared" si="3"/>
        <v>1</v>
      </c>
      <c r="H281" s="9">
        <f t="shared" si="4"/>
        <v>1</v>
      </c>
      <c r="I281" s="6" t="str">
        <f>IFERROR(__xludf.DUMMYFUNCTION("MAX(FILTER($H$2:$H450,$E$2:$E450=F281))"),"#N/A")</f>
        <v>#N/A</v>
      </c>
    </row>
    <row r="282">
      <c r="A282" s="4"/>
      <c r="C282" s="4" t="s">
        <v>3501</v>
      </c>
      <c r="D282" s="4" t="str">
        <f t="shared" si="1"/>
        <v>{"valorA":"com","valorB":8}</v>
      </c>
      <c r="E282" s="8" t="str">
        <f t="shared" si="2"/>
        <v>com</v>
      </c>
      <c r="F282" s="8"/>
      <c r="G282" s="8" t="str">
        <f t="shared" si="3"/>
        <v>8</v>
      </c>
      <c r="H282" s="9">
        <f t="shared" si="4"/>
        <v>8</v>
      </c>
      <c r="I282" s="6" t="str">
        <f>IFERROR(__xludf.DUMMYFUNCTION("MAX(FILTER($H$2:$H450,$E$2:$E450=F282))"),"#N/A")</f>
        <v>#N/A</v>
      </c>
    </row>
    <row r="283">
      <c r="A283" s="4"/>
      <c r="C283" s="4" t="s">
        <v>3030</v>
      </c>
      <c r="D283" s="4" t="str">
        <f t="shared" si="1"/>
        <v>{"valorA":"econômico","valorB":1}</v>
      </c>
      <c r="E283" s="8" t="str">
        <f t="shared" si="2"/>
        <v>econômico</v>
      </c>
      <c r="F283" s="8"/>
      <c r="G283" s="8" t="str">
        <f t="shared" si="3"/>
        <v>1</v>
      </c>
      <c r="H283" s="9">
        <f t="shared" si="4"/>
        <v>1</v>
      </c>
      <c r="I283" s="6" t="str">
        <f>IFERROR(__xludf.DUMMYFUNCTION("MAX(FILTER($H$2:$H450,$E$2:$E450=F283))"),"#N/A")</f>
        <v>#N/A</v>
      </c>
    </row>
    <row r="284">
      <c r="A284" s="4"/>
      <c r="C284" s="4" t="s">
        <v>3920</v>
      </c>
      <c r="D284" s="4" t="str">
        <f t="shared" si="1"/>
        <v>{"valorA":"com","valorB":9}</v>
      </c>
      <c r="E284" s="8" t="str">
        <f t="shared" si="2"/>
        <v>com</v>
      </c>
      <c r="F284" s="8"/>
      <c r="G284" s="8" t="str">
        <f t="shared" si="3"/>
        <v>9</v>
      </c>
      <c r="H284" s="9">
        <f t="shared" si="4"/>
        <v>9</v>
      </c>
      <c r="I284" s="6" t="str">
        <f>IFERROR(__xludf.DUMMYFUNCTION("MAX(FILTER($H$2:$H450,$E$2:$E450=F284))"),"#N/A")</f>
        <v>#N/A</v>
      </c>
    </row>
    <row r="285">
      <c r="A285" s="4"/>
      <c r="C285" s="4" t="s">
        <v>2798</v>
      </c>
      <c r="D285" s="4" t="str">
        <f t="shared" si="1"/>
        <v>{"valorA":"ótimo","valorB":24}</v>
      </c>
      <c r="E285" s="8" t="str">
        <f t="shared" si="2"/>
        <v>ótimo</v>
      </c>
      <c r="F285" s="8"/>
      <c r="G285" s="8" t="str">
        <f t="shared" si="3"/>
        <v>24</v>
      </c>
      <c r="H285" s="9">
        <f t="shared" si="4"/>
        <v>24</v>
      </c>
      <c r="I285" s="6" t="str">
        <f>IFERROR(__xludf.DUMMYFUNCTION("MAX(FILTER($H$2:$H450,$E$2:$E450=F285))"),"#N/A")</f>
        <v>#N/A</v>
      </c>
    </row>
    <row r="286">
      <c r="A286" s="4"/>
      <c r="C286" s="4" t="s">
        <v>3480</v>
      </c>
      <c r="D286" s="4" t="str">
        <f t="shared" si="1"/>
        <v>{"valorA":"tem","valorB":1}</v>
      </c>
      <c r="E286" s="8" t="str">
        <f t="shared" si="2"/>
        <v>tem</v>
      </c>
      <c r="F286" s="8"/>
      <c r="G286" s="8" t="str">
        <f t="shared" si="3"/>
        <v>1</v>
      </c>
      <c r="H286" s="9">
        <f t="shared" si="4"/>
        <v>1</v>
      </c>
      <c r="I286" s="6" t="str">
        <f>IFERROR(__xludf.DUMMYFUNCTION("MAX(FILTER($H$2:$H450,$E$2:$E450=F286))"),"#N/A")</f>
        <v>#N/A</v>
      </c>
    </row>
    <row r="287">
      <c r="A287" s="4"/>
      <c r="C287" s="4" t="s">
        <v>2854</v>
      </c>
      <c r="D287" s="4" t="str">
        <f t="shared" si="1"/>
        <v>{"valorA":"para","valorB":8}</v>
      </c>
      <c r="E287" s="8" t="str">
        <f t="shared" si="2"/>
        <v>para</v>
      </c>
      <c r="F287" s="8"/>
      <c r="G287" s="8" t="str">
        <f t="shared" si="3"/>
        <v>8</v>
      </c>
      <c r="H287" s="9">
        <f t="shared" si="4"/>
        <v>8</v>
      </c>
      <c r="I287" s="6" t="str">
        <f>IFERROR(__xludf.DUMMYFUNCTION("MAX(FILTER($H$2:$H450,$E$2:$E450=F287))"),"#N/A")</f>
        <v>#N/A</v>
      </c>
    </row>
    <row r="288">
      <c r="A288" s="4"/>
      <c r="C288" s="4" t="s">
        <v>2733</v>
      </c>
      <c r="D288" s="4" t="str">
        <f t="shared" si="1"/>
        <v>{"valorA":"quem","valorB":1}</v>
      </c>
      <c r="E288" s="8" t="str">
        <f t="shared" si="2"/>
        <v>quem</v>
      </c>
      <c r="F288" s="8"/>
      <c r="G288" s="8" t="str">
        <f t="shared" si="3"/>
        <v>1</v>
      </c>
      <c r="H288" s="9">
        <f t="shared" si="4"/>
        <v>1</v>
      </c>
      <c r="I288" s="6" t="str">
        <f>IFERROR(__xludf.DUMMYFUNCTION("MAX(FILTER($H$2:$H450,$E$2:$E450=F288))"),"#N/A")</f>
        <v>#N/A</v>
      </c>
    </row>
    <row r="289">
      <c r="A289" s="4"/>
      <c r="C289" s="4" t="s">
        <v>2928</v>
      </c>
      <c r="D289" s="4" t="str">
        <f t="shared" si="1"/>
        <v>{"valorA":"compra","valorB":3}</v>
      </c>
      <c r="E289" s="8" t="str">
        <f t="shared" si="2"/>
        <v>compra</v>
      </c>
      <c r="F289" s="8"/>
      <c r="G289" s="8" t="str">
        <f t="shared" si="3"/>
        <v>3</v>
      </c>
      <c r="H289" s="9">
        <f t="shared" si="4"/>
        <v>3</v>
      </c>
      <c r="I289" s="6" t="str">
        <f>IFERROR(__xludf.DUMMYFUNCTION("MAX(FILTER($H$2:$H450,$E$2:$E450=F289))"),"#N/A")</f>
        <v>#N/A</v>
      </c>
    </row>
    <row r="290">
      <c r="A290" s="4"/>
      <c r="C290" s="4" t="s">
        <v>3921</v>
      </c>
      <c r="D290" s="4" t="str">
        <f t="shared" si="1"/>
        <v>{"valorA":"folha","valorB":1}</v>
      </c>
      <c r="E290" s="8" t="str">
        <f t="shared" si="2"/>
        <v>folha</v>
      </c>
      <c r="F290" s="8"/>
      <c r="G290" s="8" t="str">
        <f t="shared" si="3"/>
        <v>1</v>
      </c>
      <c r="H290" s="9">
        <f t="shared" si="4"/>
        <v>1</v>
      </c>
      <c r="I290" s="6" t="str">
        <f>IFERROR(__xludf.DUMMYFUNCTION("MAX(FILTER($H$2:$H450,$E$2:$E450=F290))"),"#N/A")</f>
        <v>#N/A</v>
      </c>
    </row>
    <row r="291">
      <c r="A291" s="4"/>
      <c r="C291" s="4" t="s">
        <v>3318</v>
      </c>
      <c r="D291" s="4" t="str">
        <f t="shared" si="1"/>
        <v>{"valorA":"poucos","valorB":1}</v>
      </c>
      <c r="E291" s="8" t="str">
        <f t="shared" si="2"/>
        <v>poucos</v>
      </c>
      <c r="F291" s="8"/>
      <c r="G291" s="8" t="str">
        <f t="shared" si="3"/>
        <v>1</v>
      </c>
      <c r="H291" s="9">
        <f t="shared" si="4"/>
        <v>1</v>
      </c>
      <c r="I291" s="6" t="str">
        <f>IFERROR(__xludf.DUMMYFUNCTION("MAX(FILTER($H$2:$H450,$E$2:$E450=F291))"),"#N/A")</f>
        <v>#N/A</v>
      </c>
    </row>
    <row r="292">
      <c r="A292" s="4"/>
      <c r="C292" s="4" t="s">
        <v>3402</v>
      </c>
      <c r="D292" s="4" t="str">
        <f t="shared" si="1"/>
        <v>{"valorA":"muita","valorB":2}</v>
      </c>
      <c r="E292" s="8" t="str">
        <f t="shared" si="2"/>
        <v>muita</v>
      </c>
      <c r="F292" s="8"/>
      <c r="G292" s="8" t="str">
        <f t="shared" si="3"/>
        <v>2</v>
      </c>
      <c r="H292" s="9">
        <f t="shared" si="4"/>
        <v>2</v>
      </c>
      <c r="I292" s="6" t="str">
        <f>IFERROR(__xludf.DUMMYFUNCTION("MAX(FILTER($H$2:$H450,$E$2:$E450=F292))"),"#N/A")</f>
        <v>#N/A</v>
      </c>
    </row>
    <row r="293">
      <c r="A293" s="4"/>
      <c r="C293" s="4" t="s">
        <v>3425</v>
      </c>
      <c r="D293" s="4" t="str">
        <f t="shared" si="1"/>
        <v>{"valorA":"foi","valorB":2}</v>
      </c>
      <c r="E293" s="8" t="str">
        <f t="shared" si="2"/>
        <v>foi</v>
      </c>
      <c r="F293" s="8"/>
      <c r="G293" s="8" t="str">
        <f t="shared" si="3"/>
        <v>2</v>
      </c>
      <c r="H293" s="9">
        <f t="shared" si="4"/>
        <v>2</v>
      </c>
      <c r="I293" s="6" t="str">
        <f>IFERROR(__xludf.DUMMYFUNCTION("MAX(FILTER($H$2:$H450,$E$2:$E450=F293))"),"#N/A")</f>
        <v>#N/A</v>
      </c>
    </row>
    <row r="294">
      <c r="A294" s="4"/>
      <c r="C294" s="4" t="s">
        <v>3922</v>
      </c>
      <c r="D294" s="4" t="str">
        <f t="shared" si="1"/>
        <v>{"valorA":"seca","valorB":1}</v>
      </c>
      <c r="E294" s="8" t="str">
        <f t="shared" si="2"/>
        <v>seca</v>
      </c>
      <c r="F294" s="8"/>
      <c r="G294" s="8" t="str">
        <f t="shared" si="3"/>
        <v>1</v>
      </c>
      <c r="H294" s="9">
        <f t="shared" si="4"/>
        <v>1</v>
      </c>
      <c r="I294" s="6" t="str">
        <f>IFERROR(__xludf.DUMMYFUNCTION("MAX(FILTER($H$2:$H450,$E$2:$E450=F294))"),"#N/A")</f>
        <v>#N/A</v>
      </c>
    </row>
    <row r="295">
      <c r="A295" s="4"/>
      <c r="C295" s="4" t="s">
        <v>3923</v>
      </c>
      <c r="D295" s="4" t="str">
        <f t="shared" si="1"/>
        <v>{"valorA":"aos","valorB":1}</v>
      </c>
      <c r="E295" s="8" t="str">
        <f t="shared" si="2"/>
        <v>aos</v>
      </c>
      <c r="F295" s="8"/>
      <c r="G295" s="8" t="str">
        <f t="shared" si="3"/>
        <v>1</v>
      </c>
      <c r="H295" s="9">
        <f t="shared" si="4"/>
        <v>1</v>
      </c>
      <c r="I295" s="6" t="str">
        <f>IFERROR(__xludf.DUMMYFUNCTION("MAX(FILTER($H$2:$H450,$E$2:$E450=F295))"),"#N/A")</f>
        <v>#N/A</v>
      </c>
    </row>
    <row r="296">
      <c r="A296" s="4"/>
      <c r="C296" s="4" t="s">
        <v>3025</v>
      </c>
      <c r="D296" s="4" t="str">
        <f t="shared" si="1"/>
        <v>{"valorA":"um","valorB":1}</v>
      </c>
      <c r="E296" s="8" t="str">
        <f t="shared" si="2"/>
        <v>um</v>
      </c>
      <c r="F296" s="8"/>
      <c r="G296" s="8" t="str">
        <f t="shared" si="3"/>
        <v>1</v>
      </c>
      <c r="H296" s="9">
        <f t="shared" si="4"/>
        <v>1</v>
      </c>
      <c r="I296" s="6" t="str">
        <f>IFERROR(__xludf.DUMMYFUNCTION("MAX(FILTER($H$2:$H450,$E$2:$E450=F296))"),"#N/A")</f>
        <v>#N/A</v>
      </c>
    </row>
    <row r="297">
      <c r="A297" s="4"/>
      <c r="C297" s="4" t="s">
        <v>2913</v>
      </c>
      <c r="D297" s="4" t="str">
        <f t="shared" si="1"/>
        <v>{"valorA":"incrível","valorB":2}</v>
      </c>
      <c r="E297" s="8" t="str">
        <f t="shared" si="2"/>
        <v>incrível</v>
      </c>
      <c r="F297" s="8"/>
      <c r="G297" s="8" t="str">
        <f t="shared" si="3"/>
        <v>2</v>
      </c>
      <c r="H297" s="9">
        <f t="shared" si="4"/>
        <v>2</v>
      </c>
      <c r="I297" s="6" t="str">
        <f>IFERROR(__xludf.DUMMYFUNCTION("MAX(FILTER($H$2:$H450,$E$2:$E450=F297))"),"#N/A")</f>
        <v>#N/A</v>
      </c>
    </row>
    <row r="298">
      <c r="A298" s="4"/>
      <c r="C298" s="4" t="s">
        <v>2806</v>
      </c>
      <c r="D298" s="4" t="str">
        <f t="shared" si="1"/>
        <v>{"valorA":"ótimo","valorB":25}</v>
      </c>
      <c r="E298" s="8" t="str">
        <f t="shared" si="2"/>
        <v>ótimo</v>
      </c>
      <c r="F298" s="8"/>
      <c r="G298" s="8" t="str">
        <f t="shared" si="3"/>
        <v>25</v>
      </c>
      <c r="H298" s="9">
        <f t="shared" si="4"/>
        <v>25</v>
      </c>
      <c r="I298" s="6" t="str">
        <f>IFERROR(__xludf.DUMMYFUNCTION("MAX(FILTER($H$2:$H450,$E$2:$E450=F298))"),"#N/A")</f>
        <v>#N/A</v>
      </c>
    </row>
    <row r="299">
      <c r="A299" s="4"/>
      <c r="C299" s="4" t="s">
        <v>2808</v>
      </c>
      <c r="D299" s="4" t="str">
        <f t="shared" si="1"/>
        <v>{"valorA":"preço","valorB":2}</v>
      </c>
      <c r="E299" s="8" t="str">
        <f t="shared" si="2"/>
        <v>preço</v>
      </c>
      <c r="F299" s="8"/>
      <c r="G299" s="8" t="str">
        <f t="shared" si="3"/>
        <v>2</v>
      </c>
      <c r="H299" s="9">
        <f t="shared" si="4"/>
        <v>2</v>
      </c>
      <c r="I299" s="6" t="str">
        <f>IFERROR(__xludf.DUMMYFUNCTION("MAX(FILTER($H$2:$H450,$E$2:$E450=F299))"),"#N/A")</f>
        <v>#N/A</v>
      </c>
    </row>
    <row r="300">
      <c r="A300" s="4"/>
      <c r="C300" s="4" t="s">
        <v>3599</v>
      </c>
      <c r="D300" s="4" t="str">
        <f t="shared" si="1"/>
        <v>{"valorA":"acessível","valorB":1}</v>
      </c>
      <c r="E300" s="8" t="str">
        <f t="shared" si="2"/>
        <v>acessível</v>
      </c>
      <c r="F300" s="8"/>
      <c r="G300" s="8" t="str">
        <f t="shared" si="3"/>
        <v>1</v>
      </c>
      <c r="H300" s="9">
        <f t="shared" si="4"/>
        <v>1</v>
      </c>
      <c r="I300" s="6" t="str">
        <f>IFERROR(__xludf.DUMMYFUNCTION("MAX(FILTER($H$2:$H450,$E$2:$E450=F300))"),"#N/A")</f>
        <v>#N/A</v>
      </c>
    </row>
    <row r="301">
      <c r="A301" s="4"/>
      <c r="C301" s="4" t="s">
        <v>3390</v>
      </c>
      <c r="D301" s="4" t="str">
        <f t="shared" si="1"/>
        <v>{"valorA":"geladeira","valorB":2}</v>
      </c>
      <c r="E301" s="8" t="str">
        <f t="shared" si="2"/>
        <v>geladeira</v>
      </c>
      <c r="F301" s="8"/>
      <c r="G301" s="8" t="str">
        <f t="shared" si="3"/>
        <v>2</v>
      </c>
      <c r="H301" s="9">
        <f t="shared" si="4"/>
        <v>2</v>
      </c>
      <c r="I301" s="6" t="str">
        <f>IFERROR(__xludf.DUMMYFUNCTION("MAX(FILTER($H$2:$H450,$E$2:$E450=F301))"),"#N/A")</f>
        <v>#N/A</v>
      </c>
    </row>
    <row r="302">
      <c r="A302" s="4"/>
      <c r="C302" s="4" t="s">
        <v>3064</v>
      </c>
      <c r="D302" s="4" t="str">
        <f t="shared" si="1"/>
        <v>{"valorA":"recomendo","valorB":5}</v>
      </c>
      <c r="E302" s="8" t="str">
        <f t="shared" si="2"/>
        <v>recomendo</v>
      </c>
      <c r="F302" s="8"/>
      <c r="G302" s="8" t="str">
        <f t="shared" si="3"/>
        <v>5</v>
      </c>
      <c r="H302" s="9">
        <f t="shared" si="4"/>
        <v>5</v>
      </c>
      <c r="I302" s="6" t="str">
        <f>IFERROR(__xludf.DUMMYFUNCTION("MAX(FILTER($H$2:$H450,$E$2:$E450=F302))"),"#N/A")</f>
        <v>#N/A</v>
      </c>
    </row>
    <row r="303">
      <c r="A303" s="4"/>
      <c r="C303" s="4" t="s">
        <v>3110</v>
      </c>
      <c r="D303" s="4" t="str">
        <f t="shared" si="1"/>
        <v>{"valorA":"de","valorB":12}</v>
      </c>
      <c r="E303" s="8" t="str">
        <f t="shared" si="2"/>
        <v>de</v>
      </c>
      <c r="F303" s="8"/>
      <c r="G303" s="8" t="str">
        <f t="shared" si="3"/>
        <v>12</v>
      </c>
      <c r="H303" s="9">
        <f t="shared" si="4"/>
        <v>12</v>
      </c>
      <c r="I303" s="6" t="str">
        <f>IFERROR(__xludf.DUMMYFUNCTION("MAX(FILTER($H$2:$H450,$E$2:$E450=F303))"),"#N/A")</f>
        <v>#N/A</v>
      </c>
    </row>
    <row r="304">
      <c r="A304" s="4"/>
      <c r="C304" s="4" t="s">
        <v>3924</v>
      </c>
      <c r="D304" s="4" t="str">
        <f t="shared" si="1"/>
        <v>{"valorA":"com","valorB":10}</v>
      </c>
      <c r="E304" s="8" t="str">
        <f t="shared" si="2"/>
        <v>com</v>
      </c>
      <c r="F304" s="8"/>
      <c r="G304" s="8" t="str">
        <f t="shared" si="3"/>
        <v>10</v>
      </c>
      <c r="H304" s="9">
        <f t="shared" si="4"/>
        <v>10</v>
      </c>
      <c r="I304" s="6" t="str">
        <f>IFERROR(__xludf.DUMMYFUNCTION("MAX(FILTER($H$2:$H450,$E$2:$E450=F304))"),"#N/A")</f>
        <v>#N/A</v>
      </c>
    </row>
    <row r="305">
      <c r="A305" s="4"/>
      <c r="C305" s="4" t="s">
        <v>3925</v>
      </c>
      <c r="D305" s="4" t="str">
        <f t="shared" si="1"/>
        <v>{"valorA":"caminho","valorB":1}</v>
      </c>
      <c r="E305" s="8" t="str">
        <f t="shared" si="2"/>
        <v>caminho</v>
      </c>
      <c r="F305" s="8"/>
      <c r="G305" s="8" t="str">
        <f t="shared" si="3"/>
        <v>1</v>
      </c>
      <c r="H305" s="9">
        <f t="shared" si="4"/>
        <v>1</v>
      </c>
      <c r="I305" s="6" t="str">
        <f>IFERROR(__xludf.DUMMYFUNCTION("MAX(FILTER($H$2:$H450,$E$2:$E450=F305))"),"#N/A")</f>
        <v>#N/A</v>
      </c>
    </row>
    <row r="306">
      <c r="A306" s="4"/>
      <c r="C306" s="4" t="s">
        <v>2863</v>
      </c>
      <c r="D306" s="4" t="str">
        <f t="shared" si="1"/>
        <v>{"valorA":"para","valorB":9}</v>
      </c>
      <c r="E306" s="8" t="str">
        <f t="shared" si="2"/>
        <v>para</v>
      </c>
      <c r="F306" s="8"/>
      <c r="G306" s="8" t="str">
        <f t="shared" si="3"/>
        <v>9</v>
      </c>
      <c r="H306" s="9">
        <f t="shared" si="4"/>
        <v>9</v>
      </c>
      <c r="I306" s="6" t="str">
        <f>IFERROR(__xludf.DUMMYFUNCTION("MAX(FILTER($H$2:$H450,$E$2:$E450=F306))"),"#N/A")</f>
        <v>#N/A</v>
      </c>
    </row>
    <row r="307">
      <c r="A307" s="4"/>
      <c r="C307" s="4" t="s">
        <v>3044</v>
      </c>
      <c r="D307" s="4" t="str">
        <f t="shared" si="1"/>
        <v>{"valorA":"bom","valorB":2}</v>
      </c>
      <c r="E307" s="8" t="str">
        <f t="shared" si="2"/>
        <v>bom</v>
      </c>
      <c r="F307" s="8"/>
      <c r="G307" s="8" t="str">
        <f t="shared" si="3"/>
        <v>2</v>
      </c>
      <c r="H307" s="9">
        <f t="shared" si="4"/>
        <v>2</v>
      </c>
      <c r="I307" s="6" t="str">
        <f>IFERROR(__xludf.DUMMYFUNCTION("MAX(FILTER($H$2:$H450,$E$2:$E450=F307))"),"#N/A")</f>
        <v>#N/A</v>
      </c>
    </row>
    <row r="308">
      <c r="A308" s="4"/>
      <c r="C308" s="4" t="s">
        <v>3926</v>
      </c>
      <c r="D308" s="4" t="str">
        <f t="shared" si="1"/>
        <v>{"valorA":"cabeçalho","valorB":1}</v>
      </c>
      <c r="E308" s="8" t="str">
        <f t="shared" si="2"/>
        <v>cabeçalho</v>
      </c>
      <c r="F308" s="8"/>
      <c r="G308" s="8" t="str">
        <f t="shared" si="3"/>
        <v>1</v>
      </c>
      <c r="H308" s="9">
        <f t="shared" si="4"/>
        <v>1</v>
      </c>
      <c r="I308" s="6" t="str">
        <f>IFERROR(__xludf.DUMMYFUNCTION("MAX(FILTER($H$2:$H450,$E$2:$E450=F308))"),"#N/A")</f>
        <v>#N/A</v>
      </c>
    </row>
    <row r="309">
      <c r="A309" s="4"/>
      <c r="C309" s="4" t="s">
        <v>3374</v>
      </c>
      <c r="D309" s="4" t="str">
        <f t="shared" si="1"/>
        <v>{"valorA":"achei","valorB":1}</v>
      </c>
      <c r="E309" s="8" t="str">
        <f t="shared" si="2"/>
        <v>achei</v>
      </c>
      <c r="F309" s="8"/>
      <c r="G309" s="8" t="str">
        <f t="shared" si="3"/>
        <v>1</v>
      </c>
      <c r="H309" s="9">
        <f t="shared" si="4"/>
        <v>1</v>
      </c>
      <c r="I309" s="6" t="str">
        <f>IFERROR(__xludf.DUMMYFUNCTION("MAX(FILTER($H$2:$H450,$E$2:$E450=F309))"),"#N/A")</f>
        <v>#N/A</v>
      </c>
    </row>
    <row r="310">
      <c r="A310" s="4"/>
      <c r="C310" s="4" t="s">
        <v>2809</v>
      </c>
      <c r="D310" s="4" t="str">
        <f t="shared" si="1"/>
        <v>{"valorA":"ótimo","valorB":26}</v>
      </c>
      <c r="E310" s="8" t="str">
        <f t="shared" si="2"/>
        <v>ótimo</v>
      </c>
      <c r="F310" s="8"/>
      <c r="G310" s="8" t="str">
        <f t="shared" si="3"/>
        <v>26</v>
      </c>
      <c r="H310" s="9">
        <f t="shared" si="4"/>
        <v>26</v>
      </c>
      <c r="I310" s="6" t="str">
        <f>IFERROR(__xludf.DUMMYFUNCTION("MAX(FILTER($H$2:$H450,$E$2:$E450=F310))"),"#N/A")</f>
        <v>#N/A</v>
      </c>
    </row>
    <row r="311">
      <c r="A311" s="4"/>
      <c r="C311" s="4" t="s">
        <v>2180</v>
      </c>
      <c r="D311" s="4" t="str">
        <f t="shared" si="1"/>
        <v>{"valorA":"computador","valorB":1}</v>
      </c>
      <c r="E311" s="8" t="str">
        <f t="shared" si="2"/>
        <v>computador</v>
      </c>
      <c r="F311" s="8"/>
      <c r="G311" s="8" t="str">
        <f t="shared" si="3"/>
        <v>1</v>
      </c>
      <c r="H311" s="9">
        <f t="shared" si="4"/>
        <v>1</v>
      </c>
      <c r="I311" s="6" t="str">
        <f>IFERROR(__xludf.DUMMYFUNCTION("MAX(FILTER($H$2:$H450,$E$2:$E450=F311))"),"#N/A")</f>
        <v>#N/A</v>
      </c>
    </row>
    <row r="312">
      <c r="A312" s="4"/>
      <c r="C312" s="4" t="s">
        <v>3166</v>
      </c>
      <c r="D312" s="4" t="str">
        <f t="shared" si="1"/>
        <v>{"valorA":"muito","valorB":14}</v>
      </c>
      <c r="E312" s="8" t="str">
        <f t="shared" si="2"/>
        <v>muito</v>
      </c>
      <c r="F312" s="8"/>
      <c r="G312" s="8" t="str">
        <f t="shared" si="3"/>
        <v>14</v>
      </c>
      <c r="H312" s="9">
        <f t="shared" si="4"/>
        <v>14</v>
      </c>
      <c r="I312" s="6" t="str">
        <f>IFERROR(__xludf.DUMMYFUNCTION("MAX(FILTER($H$2:$H450,$E$2:$E450=F312))"),"#N/A")</f>
        <v>#N/A</v>
      </c>
    </row>
    <row r="313">
      <c r="A313" s="4"/>
      <c r="C313" s="4" t="s">
        <v>2969</v>
      </c>
      <c r="D313" s="4" t="str">
        <f t="shared" si="1"/>
        <v>{"valorA":"para","valorB":10}</v>
      </c>
      <c r="E313" s="8" t="str">
        <f t="shared" si="2"/>
        <v>para</v>
      </c>
      <c r="F313" s="8"/>
      <c r="G313" s="8" t="str">
        <f t="shared" si="3"/>
        <v>10</v>
      </c>
      <c r="H313" s="9">
        <f t="shared" si="4"/>
        <v>10</v>
      </c>
      <c r="I313" s="6" t="str">
        <f>IFERROR(__xludf.DUMMYFUNCTION("MAX(FILTER($H$2:$H450,$E$2:$E450=F313))"),"#N/A")</f>
        <v>#N/A</v>
      </c>
    </row>
    <row r="314">
      <c r="A314" s="4"/>
      <c r="C314" s="4" t="s">
        <v>2818</v>
      </c>
      <c r="D314" s="4" t="str">
        <f t="shared" si="1"/>
        <v>{"valorA":"ótimo","valorB":27}</v>
      </c>
      <c r="E314" s="8" t="str">
        <f t="shared" si="2"/>
        <v>ótimo</v>
      </c>
      <c r="F314" s="8"/>
      <c r="G314" s="8" t="str">
        <f t="shared" si="3"/>
        <v>27</v>
      </c>
      <c r="H314" s="9">
        <f t="shared" si="4"/>
        <v>27</v>
      </c>
      <c r="I314" s="6" t="str">
        <f>IFERROR(__xludf.DUMMYFUNCTION("MAX(FILTER($H$2:$H450,$E$2:$E450=F314))"),"#N/A")</f>
        <v>#N/A</v>
      </c>
    </row>
    <row r="315">
      <c r="A315" s="4"/>
      <c r="C315" s="4" t="s">
        <v>3595</v>
      </c>
      <c r="D315" s="4" t="str">
        <f t="shared" si="1"/>
        <v>{"valorA":"no","valorB":1}</v>
      </c>
      <c r="E315" s="8" t="str">
        <f t="shared" si="2"/>
        <v>no</v>
      </c>
      <c r="F315" s="8"/>
      <c r="G315" s="8" t="str">
        <f t="shared" si="3"/>
        <v>1</v>
      </c>
      <c r="H315" s="9">
        <f t="shared" si="4"/>
        <v>1</v>
      </c>
      <c r="I315" s="6" t="str">
        <f>IFERROR(__xludf.DUMMYFUNCTION("MAX(FILTER($H$2:$H450,$E$2:$E450=F315))"),"#N/A")</f>
        <v>#N/A</v>
      </c>
    </row>
    <row r="316">
      <c r="A316" s="4"/>
      <c r="C316" s="4" t="s">
        <v>3428</v>
      </c>
      <c r="D316" s="4" t="str">
        <f t="shared" si="1"/>
        <v>{"valorA":"quarto","valorB":1}</v>
      </c>
      <c r="E316" s="8" t="str">
        <f t="shared" si="2"/>
        <v>quarto</v>
      </c>
      <c r="F316" s="8"/>
      <c r="G316" s="8" t="str">
        <f t="shared" si="3"/>
        <v>1</v>
      </c>
      <c r="H316" s="9">
        <f t="shared" si="4"/>
        <v>1</v>
      </c>
      <c r="I316" s="6" t="str">
        <f>IFERROR(__xludf.DUMMYFUNCTION("MAX(FILTER($H$2:$H450,$E$2:$E450=F316))"),"#N/A")</f>
        <v>#N/A</v>
      </c>
    </row>
    <row r="317">
      <c r="A317" s="4"/>
      <c r="C317" s="4" t="s">
        <v>3927</v>
      </c>
      <c r="D317" s="4" t="str">
        <f t="shared" si="1"/>
        <v>{"valorA":"dormir","valorB":2}</v>
      </c>
      <c r="E317" s="8" t="str">
        <f t="shared" si="2"/>
        <v>dormir</v>
      </c>
      <c r="F317" s="8"/>
      <c r="G317" s="8" t="str">
        <f t="shared" si="3"/>
        <v>2</v>
      </c>
      <c r="H317" s="9">
        <f t="shared" si="4"/>
        <v>2</v>
      </c>
      <c r="I317" s="6" t="str">
        <f>IFERROR(__xludf.DUMMYFUNCTION("MAX(FILTER($H$2:$H450,$E$2:$E450=F317))"),"#N/A")</f>
        <v>#N/A</v>
      </c>
    </row>
    <row r="318">
      <c r="A318" s="4"/>
      <c r="C318" s="4" t="s">
        <v>3928</v>
      </c>
      <c r="D318" s="4" t="str">
        <f t="shared" si="1"/>
        <v>{"valorA":"coisa","valorB":1}</v>
      </c>
      <c r="E318" s="8" t="str">
        <f t="shared" si="2"/>
        <v>coisa</v>
      </c>
      <c r="F318" s="8"/>
      <c r="G318" s="8" t="str">
        <f t="shared" si="3"/>
        <v>1</v>
      </c>
      <c r="H318" s="9">
        <f t="shared" si="4"/>
        <v>1</v>
      </c>
      <c r="I318" s="6" t="str">
        <f>IFERROR(__xludf.DUMMYFUNCTION("MAX(FILTER($H$2:$H450,$E$2:$E450=F318))"),"#N/A")</f>
        <v>#N/A</v>
      </c>
    </row>
    <row r="319">
      <c r="A319" s="4"/>
      <c r="C319" s="4" t="s">
        <v>3929</v>
      </c>
      <c r="D319" s="4" t="str">
        <f t="shared" si="1"/>
        <v>{"valorA":"muita","valorB":3}</v>
      </c>
      <c r="E319" s="8" t="str">
        <f t="shared" si="2"/>
        <v>muita</v>
      </c>
      <c r="F319" s="8"/>
      <c r="G319" s="8" t="str">
        <f t="shared" si="3"/>
        <v>3</v>
      </c>
      <c r="H319" s="9">
        <f t="shared" si="4"/>
        <v>3</v>
      </c>
      <c r="I319" s="6" t="str">
        <f>IFERROR(__xludf.DUMMYFUNCTION("MAX(FILTER($H$2:$H450,$E$2:$E450=F319))"),"#N/A")</f>
        <v>#N/A</v>
      </c>
    </row>
    <row r="320">
      <c r="A320" s="4"/>
      <c r="C320" s="4" t="s">
        <v>3930</v>
      </c>
      <c r="D320" s="4" t="str">
        <f t="shared" si="1"/>
        <v>{"valorA":"ouça","valorB":1}</v>
      </c>
      <c r="E320" s="8" t="str">
        <f t="shared" si="2"/>
        <v>ouça</v>
      </c>
      <c r="F320" s="8"/>
      <c r="G320" s="8" t="str">
        <f t="shared" si="3"/>
        <v>1</v>
      </c>
      <c r="H320" s="9">
        <f t="shared" si="4"/>
        <v>1</v>
      </c>
      <c r="I320" s="6" t="str">
        <f>IFERROR(__xludf.DUMMYFUNCTION("MAX(FILTER($H$2:$H450,$E$2:$E450=F320))"),"#N/A")</f>
        <v>#N/A</v>
      </c>
    </row>
    <row r="321">
      <c r="A321" s="4"/>
      <c r="C321" s="4" t="s">
        <v>3931</v>
      </c>
      <c r="D321" s="4" t="str">
        <f t="shared" si="1"/>
        <v>{"valorA":"totalmente","valorB":1}</v>
      </c>
      <c r="E321" s="8" t="str">
        <f t="shared" si="2"/>
        <v>totalmente</v>
      </c>
      <c r="F321" s="8"/>
      <c r="G321" s="8" t="str">
        <f t="shared" si="3"/>
        <v>1</v>
      </c>
      <c r="H321" s="9">
        <f t="shared" si="4"/>
        <v>1</v>
      </c>
      <c r="I321" s="6" t="str">
        <f>IFERROR(__xludf.DUMMYFUNCTION("MAX(FILTER($H$2:$H450,$E$2:$E450=F321))"),"#N/A")</f>
        <v>#N/A</v>
      </c>
    </row>
    <row r="322">
      <c r="A322" s="4"/>
      <c r="C322" s="4" t="s">
        <v>3457</v>
      </c>
      <c r="D322" s="4" t="str">
        <f t="shared" si="1"/>
        <v>{"valorA":"casa","valorB":2}</v>
      </c>
      <c r="E322" s="8" t="str">
        <f t="shared" si="2"/>
        <v>casa</v>
      </c>
      <c r="F322" s="8"/>
      <c r="G322" s="8" t="str">
        <f t="shared" si="3"/>
        <v>2</v>
      </c>
      <c r="H322" s="9">
        <f t="shared" si="4"/>
        <v>2</v>
      </c>
      <c r="I322" s="6" t="str">
        <f>IFERROR(__xludf.DUMMYFUNCTION("MAX(FILTER($H$2:$H450,$E$2:$E450=F322))"),"#N/A")</f>
        <v>#N/A</v>
      </c>
    </row>
    <row r="323">
      <c r="A323" s="4"/>
      <c r="C323" s="4" t="s">
        <v>2828</v>
      </c>
      <c r="D323" s="4" t="str">
        <f t="shared" si="1"/>
        <v>{"valorA":"ótimo","valorB":28}</v>
      </c>
      <c r="E323" s="8" t="str">
        <f t="shared" si="2"/>
        <v>ótimo</v>
      </c>
      <c r="F323" s="8"/>
      <c r="G323" s="8" t="str">
        <f t="shared" si="3"/>
        <v>28</v>
      </c>
      <c r="H323" s="9">
        <f t="shared" si="4"/>
        <v>28</v>
      </c>
      <c r="I323" s="6" t="str">
        <f>IFERROR(__xludf.DUMMYFUNCTION("MAX(FILTER($H$2:$H450,$E$2:$E450=F323))"),"#N/A")</f>
        <v>#N/A</v>
      </c>
    </row>
    <row r="324">
      <c r="A324" s="4"/>
      <c r="C324" s="4" t="s">
        <v>3442</v>
      </c>
      <c r="D324" s="4" t="str">
        <f t="shared" si="1"/>
        <v>{"valorA":"sistema","valorB":1}</v>
      </c>
      <c r="E324" s="8" t="str">
        <f t="shared" si="2"/>
        <v>sistema</v>
      </c>
      <c r="F324" s="8"/>
      <c r="G324" s="8" t="str">
        <f t="shared" si="3"/>
        <v>1</v>
      </c>
      <c r="H324" s="9">
        <f t="shared" si="4"/>
        <v>1</v>
      </c>
      <c r="I324" s="6" t="str">
        <f>IFERROR(__xludf.DUMMYFUNCTION("MAX(FILTER($H$2:$H450,$E$2:$E450=F324))"),"#N/A")</f>
        <v>#N/A</v>
      </c>
    </row>
    <row r="325">
      <c r="A325" s="4"/>
      <c r="C325" s="4" t="s">
        <v>3932</v>
      </c>
      <c r="D325" s="4" t="str">
        <f t="shared" si="1"/>
        <v>{"valorA":"aquecimento","valorB":1}</v>
      </c>
      <c r="E325" s="8" t="str">
        <f t="shared" si="2"/>
        <v>aquecimento</v>
      </c>
      <c r="F325" s="8"/>
      <c r="G325" s="8" t="str">
        <f t="shared" si="3"/>
        <v>1</v>
      </c>
      <c r="H325" s="9">
        <f t="shared" si="4"/>
        <v>1</v>
      </c>
      <c r="I325" s="6" t="str">
        <f>IFERROR(__xludf.DUMMYFUNCTION("MAX(FILTER($H$2:$H450,$E$2:$E450=F325))"),"#N/A")</f>
        <v>#N/A</v>
      </c>
    </row>
    <row r="326">
      <c r="A326" s="4"/>
      <c r="C326" s="4" t="s">
        <v>3128</v>
      </c>
      <c r="D326" s="4" t="str">
        <f t="shared" si="1"/>
        <v>{"valorA":"de","valorB":13}</v>
      </c>
      <c r="E326" s="8" t="str">
        <f t="shared" si="2"/>
        <v>de</v>
      </c>
      <c r="F326" s="8"/>
      <c r="G326" s="8" t="str">
        <f t="shared" si="3"/>
        <v>13</v>
      </c>
      <c r="H326" s="9">
        <f t="shared" si="4"/>
        <v>13</v>
      </c>
      <c r="I326" s="6" t="str">
        <f>IFERROR(__xludf.DUMMYFUNCTION("MAX(FILTER($H$2:$H450,$E$2:$E450=F326))"),"#N/A")</f>
        <v>#N/A</v>
      </c>
    </row>
    <row r="327">
      <c r="A327" s="4"/>
      <c r="C327" s="4" t="s">
        <v>3933</v>
      </c>
      <c r="D327" s="4" t="str">
        <f t="shared" si="1"/>
        <v>{"valorA":"central","valorB":1}</v>
      </c>
      <c r="E327" s="8" t="str">
        <f t="shared" si="2"/>
        <v>central</v>
      </c>
      <c r="F327" s="8"/>
      <c r="G327" s="8" t="str">
        <f t="shared" si="3"/>
        <v>1</v>
      </c>
      <c r="H327" s="9">
        <f t="shared" si="4"/>
        <v>1</v>
      </c>
      <c r="I327" s="6" t="str">
        <f>IFERROR(__xludf.DUMMYFUNCTION("MAX(FILTER($H$2:$H450,$E$2:$E450=F327))"),"#N/A")</f>
        <v>#N/A</v>
      </c>
    </row>
    <row r="328">
      <c r="A328" s="4"/>
      <c r="C328" s="4" t="s">
        <v>3120</v>
      </c>
      <c r="D328" s="4" t="str">
        <f t="shared" si="1"/>
        <v>{"valorA":"para","valorB":11}</v>
      </c>
      <c r="E328" s="8" t="str">
        <f t="shared" si="2"/>
        <v>para</v>
      </c>
      <c r="F328" s="8"/>
      <c r="G328" s="8" t="str">
        <f t="shared" si="3"/>
        <v>11</v>
      </c>
      <c r="H328" s="9">
        <f t="shared" si="4"/>
        <v>11</v>
      </c>
      <c r="I328" s="6" t="str">
        <f>IFERROR(__xludf.DUMMYFUNCTION("MAX(FILTER($H$2:$H450,$E$2:$E450=F328))"),"#N/A")</f>
        <v>#N/A</v>
      </c>
    </row>
    <row r="329">
      <c r="A329" s="4"/>
      <c r="C329" s="4" t="s">
        <v>3934</v>
      </c>
      <c r="D329" s="4" t="str">
        <f t="shared" si="1"/>
        <v>{"valorA":"minha","valorB":2}</v>
      </c>
      <c r="E329" s="8" t="str">
        <f t="shared" si="2"/>
        <v>minha</v>
      </c>
      <c r="F329" s="8"/>
      <c r="G329" s="8" t="str">
        <f t="shared" si="3"/>
        <v>2</v>
      </c>
      <c r="H329" s="9">
        <f t="shared" si="4"/>
        <v>2</v>
      </c>
      <c r="I329" s="6" t="str">
        <f>IFERROR(__xludf.DUMMYFUNCTION("MAX(FILTER($H$2:$H450,$E$2:$E450=F329))"),"#N/A")</f>
        <v>#N/A</v>
      </c>
    </row>
    <row r="330">
      <c r="A330" s="4"/>
      <c r="C330" s="4" t="s">
        <v>3091</v>
      </c>
      <c r="D330" s="4" t="str">
        <f t="shared" si="1"/>
        <v>{"valorA":"recomendo","valorB":6}</v>
      </c>
      <c r="E330" s="8" t="str">
        <f t="shared" si="2"/>
        <v>recomendo</v>
      </c>
      <c r="F330" s="8"/>
      <c r="G330" s="8" t="str">
        <f t="shared" si="3"/>
        <v>6</v>
      </c>
      <c r="H330" s="9">
        <f t="shared" si="4"/>
        <v>6</v>
      </c>
      <c r="I330" s="6" t="str">
        <f>IFERROR(__xludf.DUMMYFUNCTION("MAX(FILTER($H$2:$H450,$E$2:$E450=F330))"),"#N/A")</f>
        <v>#N/A</v>
      </c>
    </row>
    <row r="331">
      <c r="A331" s="4"/>
      <c r="C331" s="4" t="s">
        <v>3598</v>
      </c>
      <c r="D331" s="4" t="str">
        <f t="shared" si="1"/>
        <v>{"valorA":"limpeza","valorB":1}</v>
      </c>
      <c r="E331" s="8" t="str">
        <f t="shared" si="2"/>
        <v>limpeza</v>
      </c>
      <c r="F331" s="8"/>
      <c r="G331" s="8" t="str">
        <f t="shared" si="3"/>
        <v>1</v>
      </c>
      <c r="H331" s="9">
        <f t="shared" si="4"/>
        <v>1</v>
      </c>
      <c r="I331" s="6" t="str">
        <f>IFERROR(__xludf.DUMMYFUNCTION("MAX(FILTER($H$2:$H450,$E$2:$E450=F331))"),"#N/A")</f>
        <v>#N/A</v>
      </c>
    </row>
    <row r="332">
      <c r="A332" s="4"/>
      <c r="C332" s="4" t="s">
        <v>2831</v>
      </c>
      <c r="D332" s="4" t="str">
        <f t="shared" si="1"/>
        <v>{"valorA":"ótimo","valorB":29}</v>
      </c>
      <c r="E332" s="8" t="str">
        <f t="shared" si="2"/>
        <v>ótimo</v>
      </c>
      <c r="F332" s="8"/>
      <c r="G332" s="8" t="str">
        <f t="shared" si="3"/>
        <v>29</v>
      </c>
      <c r="H332" s="9">
        <f t="shared" si="4"/>
        <v>29</v>
      </c>
      <c r="I332" s="6" t="str">
        <f>IFERROR(__xludf.DUMMYFUNCTION("MAX(FILTER($H$2:$H450,$E$2:$E450=F332))"),"#N/A")</f>
        <v>#N/A</v>
      </c>
    </row>
    <row r="333">
      <c r="A333" s="4"/>
      <c r="C333" s="4" t="s">
        <v>3327</v>
      </c>
      <c r="D333" s="4" t="str">
        <f t="shared" si="1"/>
        <v>{"valorA":"aparelho","valorB":2}</v>
      </c>
      <c r="E333" s="8" t="str">
        <f t="shared" si="2"/>
        <v>aparelho</v>
      </c>
      <c r="F333" s="8"/>
      <c r="G333" s="8" t="str">
        <f t="shared" si="3"/>
        <v>2</v>
      </c>
      <c r="H333" s="9">
        <f t="shared" si="4"/>
        <v>2</v>
      </c>
      <c r="I333" s="6" t="str">
        <f>IFERROR(__xludf.DUMMYFUNCTION("MAX(FILTER($H$2:$H450,$E$2:$E450=F333))"),"#N/A")</f>
        <v>#N/A</v>
      </c>
    </row>
    <row r="334">
      <c r="A334" s="4"/>
      <c r="C334" s="4" t="s">
        <v>3136</v>
      </c>
      <c r="D334" s="4" t="str">
        <f t="shared" si="1"/>
        <v>{"valorA":"de","valorB":14}</v>
      </c>
      <c r="E334" s="8" t="str">
        <f t="shared" si="2"/>
        <v>de</v>
      </c>
      <c r="F334" s="8"/>
      <c r="G334" s="8" t="str">
        <f t="shared" si="3"/>
        <v>14</v>
      </c>
      <c r="H334" s="9">
        <f t="shared" si="4"/>
        <v>14</v>
      </c>
      <c r="I334" s="6" t="str">
        <f>IFERROR(__xludf.DUMMYFUNCTION("MAX(FILTER($H$2:$H450,$E$2:$E450=F334))"),"#N/A")</f>
        <v>#N/A</v>
      </c>
    </row>
    <row r="335">
      <c r="A335" s="4"/>
      <c r="C335" s="4" t="s">
        <v>3051</v>
      </c>
      <c r="D335" s="4" t="str">
        <f t="shared" si="1"/>
        <v>{"valorA":"fácil","valorB":4}</v>
      </c>
      <c r="E335" s="8" t="str">
        <f t="shared" si="2"/>
        <v>fácil</v>
      </c>
      <c r="F335" s="8"/>
      <c r="G335" s="8" t="str">
        <f t="shared" si="3"/>
        <v>4</v>
      </c>
      <c r="H335" s="9">
        <f t="shared" si="4"/>
        <v>4</v>
      </c>
      <c r="I335" s="6" t="str">
        <f>IFERROR(__xludf.DUMMYFUNCTION("MAX(FILTER($H$2:$H450,$E$2:$E450=F335))"),"#N/A")</f>
        <v>#N/A</v>
      </c>
    </row>
    <row r="336">
      <c r="A336" s="4"/>
      <c r="C336" s="4" t="s">
        <v>2740</v>
      </c>
      <c r="D336" s="4" t="str">
        <f t="shared" si="1"/>
        <v>{"valorA":"e","valorB":5}</v>
      </c>
      <c r="E336" s="8" t="str">
        <f t="shared" si="2"/>
        <v>e</v>
      </c>
      <c r="F336" s="8"/>
      <c r="G336" s="8" t="str">
        <f t="shared" si="3"/>
        <v>5</v>
      </c>
      <c r="H336" s="9">
        <f t="shared" si="4"/>
        <v>5</v>
      </c>
      <c r="I336" s="6" t="str">
        <f>IFERROR(__xludf.DUMMYFUNCTION("MAX(FILTER($H$2:$H450,$E$2:$E450=F336))"),"#N/A")</f>
        <v>#N/A</v>
      </c>
    </row>
    <row r="337">
      <c r="A337" s="4"/>
      <c r="C337" s="4" t="s">
        <v>3180</v>
      </c>
      <c r="D337" s="4" t="str">
        <f t="shared" si="1"/>
        <v>{"valorA":"de","valorB":15}</v>
      </c>
      <c r="E337" s="8" t="str">
        <f t="shared" si="2"/>
        <v>de</v>
      </c>
      <c r="F337" s="8"/>
      <c r="G337" s="8" t="str">
        <f t="shared" si="3"/>
        <v>15</v>
      </c>
      <c r="H337" s="9">
        <f t="shared" si="4"/>
        <v>15</v>
      </c>
      <c r="I337" s="6" t="str">
        <f>IFERROR(__xludf.DUMMYFUNCTION("MAX(FILTER($H$2:$H450,$E$2:$E450=F337))"),"#N/A")</f>
        <v>#N/A</v>
      </c>
    </row>
    <row r="338">
      <c r="A338" s="4"/>
      <c r="C338" s="4" t="s">
        <v>2723</v>
      </c>
      <c r="D338" s="4" t="str">
        <f t="shared" si="1"/>
        <v>{"valorA":"usar","valorB":2}</v>
      </c>
      <c r="E338" s="8" t="str">
        <f t="shared" si="2"/>
        <v>usar</v>
      </c>
      <c r="F338" s="8"/>
      <c r="G338" s="8" t="str">
        <f t="shared" si="3"/>
        <v>2</v>
      </c>
      <c r="H338" s="9">
        <f t="shared" si="4"/>
        <v>2</v>
      </c>
      <c r="I338" s="6" t="str">
        <f>IFERROR(__xludf.DUMMYFUNCTION("MAX(FILTER($H$2:$H450,$E$2:$E450=F338))"),"#N/A")</f>
        <v>#N/A</v>
      </c>
    </row>
    <row r="339">
      <c r="A339" s="4"/>
      <c r="C339" s="4" t="s">
        <v>2816</v>
      </c>
      <c r="D339" s="4" t="str">
        <f t="shared" si="1"/>
        <v>{"valorA":"funciona","valorB":8}</v>
      </c>
      <c r="E339" s="8" t="str">
        <f t="shared" si="2"/>
        <v>funciona</v>
      </c>
      <c r="F339" s="8"/>
      <c r="G339" s="8" t="str">
        <f t="shared" si="3"/>
        <v>8</v>
      </c>
      <c r="H339" s="9">
        <f t="shared" si="4"/>
        <v>8</v>
      </c>
      <c r="I339" s="6" t="str">
        <f>IFERROR(__xludf.DUMMYFUNCTION("MAX(FILTER($H$2:$H450,$E$2:$E450=F339))"),"#N/A")</f>
        <v>#N/A</v>
      </c>
    </row>
    <row r="340">
      <c r="A340" s="4"/>
      <c r="C340" s="4" t="s">
        <v>3198</v>
      </c>
      <c r="D340" s="4" t="str">
        <f t="shared" si="1"/>
        <v>{"valorA":"muito","valorB":15}</v>
      </c>
      <c r="E340" s="8" t="str">
        <f t="shared" si="2"/>
        <v>muito</v>
      </c>
      <c r="F340" s="8"/>
      <c r="G340" s="8" t="str">
        <f t="shared" si="3"/>
        <v>15</v>
      </c>
      <c r="H340" s="9">
        <f t="shared" si="4"/>
        <v>15</v>
      </c>
      <c r="I340" s="6" t="str">
        <f>IFERROR(__xludf.DUMMYFUNCTION("MAX(FILTER($H$2:$H450,$E$2:$E450=F340))"),"#N/A")</f>
        <v>#N/A</v>
      </c>
    </row>
    <row r="341">
      <c r="A341" s="4"/>
      <c r="C341" s="4" t="s">
        <v>3935</v>
      </c>
      <c r="D341" s="4" t="str">
        <f t="shared" si="1"/>
        <v>{"valorA":"comentário","valorB":3}</v>
      </c>
      <c r="E341" s="8" t="str">
        <f t="shared" si="2"/>
        <v>comentário</v>
      </c>
      <c r="F341" s="8"/>
      <c r="G341" s="8" t="str">
        <f t="shared" si="3"/>
        <v>3</v>
      </c>
      <c r="H341" s="9">
        <f t="shared" si="4"/>
        <v>3</v>
      </c>
      <c r="I341" s="6" t="str">
        <f>IFERROR(__xludf.DUMMYFUNCTION("MAX(FILTER($H$2:$H450,$E$2:$E450=F341))"),"#N/A")</f>
        <v>#N/A</v>
      </c>
    </row>
    <row r="342">
      <c r="A342" s="4"/>
      <c r="C342" s="4" t="s">
        <v>3114</v>
      </c>
      <c r="D342" s="4" t="str">
        <f t="shared" si="1"/>
        <v>{"valorA":"bem","valorB":6}</v>
      </c>
      <c r="E342" s="8" t="str">
        <f t="shared" si="2"/>
        <v>bem</v>
      </c>
      <c r="F342" s="8"/>
      <c r="G342" s="8" t="str">
        <f t="shared" si="3"/>
        <v>6</v>
      </c>
      <c r="H342" s="9">
        <f t="shared" si="4"/>
        <v>6</v>
      </c>
      <c r="I342" s="6" t="str">
        <f>IFERROR(__xludf.DUMMYFUNCTION("MAX(FILTER($H$2:$H450,$E$2:$E450=F342))"),"#N/A")</f>
        <v>#N/A</v>
      </c>
    </row>
    <row r="343">
      <c r="A343" s="4"/>
      <c r="C343" s="4" t="s">
        <v>2911</v>
      </c>
      <c r="D343" s="4" t="str">
        <f t="shared" si="1"/>
        <v>{"valorA":"a","valorB":6}</v>
      </c>
      <c r="E343" s="8" t="str">
        <f t="shared" si="2"/>
        <v>a</v>
      </c>
      <c r="F343" s="8"/>
      <c r="G343" s="8" t="str">
        <f t="shared" si="3"/>
        <v>6</v>
      </c>
      <c r="H343" s="9">
        <f t="shared" si="4"/>
        <v>6</v>
      </c>
      <c r="I343" s="6" t="str">
        <f>IFERROR(__xludf.DUMMYFUNCTION("MAX(FILTER($H$2:$H450,$E$2:$E450=F343))"),"#N/A")</f>
        <v>#N/A</v>
      </c>
    </row>
    <row r="344">
      <c r="A344" s="4"/>
      <c r="C344" s="4" t="s">
        <v>3936</v>
      </c>
      <c r="D344" s="4" t="str">
        <f t="shared" si="1"/>
        <v>{"valorA":"lâmpada","valorB":3}</v>
      </c>
      <c r="E344" s="8" t="str">
        <f t="shared" si="2"/>
        <v>lâmpada</v>
      </c>
      <c r="F344" s="8"/>
      <c r="G344" s="8" t="str">
        <f t="shared" si="3"/>
        <v>3</v>
      </c>
      <c r="H344" s="9">
        <f t="shared" si="4"/>
        <v>3</v>
      </c>
      <c r="I344" s="6" t="str">
        <f>IFERROR(__xludf.DUMMYFUNCTION("MAX(FILTER($H$2:$H450,$E$2:$E450=F344))"),"#N/A")</f>
        <v>#N/A</v>
      </c>
    </row>
    <row r="345">
      <c r="A345" s="4"/>
      <c r="C345" s="4" t="s">
        <v>3116</v>
      </c>
      <c r="D345" s="4" t="str">
        <f t="shared" si="1"/>
        <v>{"valorA":"bem","valorB":7}</v>
      </c>
      <c r="E345" s="8" t="str">
        <f t="shared" si="2"/>
        <v>bem</v>
      </c>
      <c r="F345" s="8"/>
      <c r="G345" s="8" t="str">
        <f t="shared" si="3"/>
        <v>7</v>
      </c>
      <c r="H345" s="9">
        <f t="shared" si="4"/>
        <v>7</v>
      </c>
      <c r="I345" s="6" t="str">
        <f>IFERROR(__xludf.DUMMYFUNCTION("MAX(FILTER($H$2:$H450,$E$2:$E450=F345))"),"#N/A")</f>
        <v>#N/A</v>
      </c>
    </row>
    <row r="346">
      <c r="A346" s="4"/>
      <c r="C346" s="4" t="s">
        <v>3937</v>
      </c>
      <c r="D346" s="4" t="str">
        <f t="shared" si="1"/>
        <v>{"valorA":"led","valorB":3}</v>
      </c>
      <c r="E346" s="8" t="str">
        <f t="shared" si="2"/>
        <v>led</v>
      </c>
      <c r="F346" s="8"/>
      <c r="G346" s="8" t="str">
        <f t="shared" si="3"/>
        <v>3</v>
      </c>
      <c r="H346" s="9">
        <f t="shared" si="4"/>
        <v>3</v>
      </c>
      <c r="I346" s="6" t="str">
        <f>IFERROR(__xludf.DUMMYFUNCTION("MAX(FILTER($H$2:$H450,$E$2:$E450=F346))"),"#N/A")</f>
        <v>#N/A</v>
      </c>
    </row>
    <row r="347">
      <c r="A347" s="4"/>
      <c r="C347" s="4" t="s">
        <v>3938</v>
      </c>
      <c r="D347" s="4" t="str">
        <f t="shared" si="1"/>
        <v>{"valorA":"energia","valorB":1}</v>
      </c>
      <c r="E347" s="8" t="str">
        <f t="shared" si="2"/>
        <v>energia</v>
      </c>
      <c r="F347" s="8"/>
      <c r="G347" s="8" t="str">
        <f t="shared" si="3"/>
        <v>1</v>
      </c>
      <c r="H347" s="9">
        <f t="shared" si="4"/>
        <v>1</v>
      </c>
      <c r="I347" s="6" t="str">
        <f>IFERROR(__xludf.DUMMYFUNCTION("MAX(FILTER($H$2:$H450,$E$2:$E450=F347))"),"#N/A")</f>
        <v>#N/A</v>
      </c>
    </row>
    <row r="348">
      <c r="A348" s="4"/>
      <c r="C348" s="4" t="s">
        <v>3447</v>
      </c>
      <c r="D348" s="4" t="str">
        <f t="shared" si="1"/>
        <v>{"valorA":"ótima","valorB":9}</v>
      </c>
      <c r="E348" s="8" t="str">
        <f t="shared" si="2"/>
        <v>ótima</v>
      </c>
      <c r="F348" s="8"/>
      <c r="G348" s="8" t="str">
        <f t="shared" si="3"/>
        <v>9</v>
      </c>
      <c r="H348" s="9">
        <f t="shared" si="4"/>
        <v>9</v>
      </c>
      <c r="I348" s="6" t="str">
        <f>IFERROR(__xludf.DUMMYFUNCTION("MAX(FILTER($H$2:$H450,$E$2:$E450=F348))"),"#N/A")</f>
        <v>#N/A</v>
      </c>
    </row>
    <row r="349">
      <c r="A349" s="4"/>
      <c r="C349" s="4" t="s">
        <v>3401</v>
      </c>
      <c r="D349" s="4" t="str">
        <f t="shared" si="1"/>
        <v>{"valorA":"economiza","valorB":1}</v>
      </c>
      <c r="E349" s="8" t="str">
        <f t="shared" si="2"/>
        <v>economiza</v>
      </c>
      <c r="F349" s="8"/>
      <c r="G349" s="8" t="str">
        <f t="shared" si="3"/>
        <v>1</v>
      </c>
      <c r="H349" s="9">
        <f t="shared" si="4"/>
        <v>1</v>
      </c>
      <c r="I349" s="6" t="str">
        <f>IFERROR(__xludf.DUMMYFUNCTION("MAX(FILTER($H$2:$H450,$E$2:$E450=F349))"),"#N/A")</f>
        <v>#N/A</v>
      </c>
    </row>
    <row r="350">
      <c r="A350" s="4"/>
      <c r="C350" s="4" t="s">
        <v>2750</v>
      </c>
      <c r="D350" s="4" t="str">
        <f t="shared" si="1"/>
        <v>{"valorA":"e","valorB":6}</v>
      </c>
      <c r="E350" s="8" t="str">
        <f t="shared" si="2"/>
        <v>e</v>
      </c>
      <c r="F350" s="8"/>
      <c r="G350" s="8" t="str">
        <f t="shared" si="3"/>
        <v>6</v>
      </c>
      <c r="H350" s="9">
        <f t="shared" si="4"/>
        <v>6</v>
      </c>
      <c r="I350" s="6" t="str">
        <f>IFERROR(__xludf.DUMMYFUNCTION("MAX(FILTER($H$2:$H450,$E$2:$E450=F350))"),"#N/A")</f>
        <v>#N/A</v>
      </c>
    </row>
    <row r="351">
      <c r="A351" s="4"/>
      <c r="C351" s="4" t="s">
        <v>2877</v>
      </c>
      <c r="D351" s="4" t="str">
        <f t="shared" si="1"/>
        <v>{"valorA":"funciona","valorB":9}</v>
      </c>
      <c r="E351" s="8" t="str">
        <f t="shared" si="2"/>
        <v>funciona</v>
      </c>
      <c r="F351" s="8"/>
      <c r="G351" s="8" t="str">
        <f t="shared" si="3"/>
        <v>9</v>
      </c>
      <c r="H351" s="9">
        <f t="shared" si="4"/>
        <v>9</v>
      </c>
      <c r="I351" s="6" t="str">
        <f>IFERROR(__xludf.DUMMYFUNCTION("MAX(FILTER($H$2:$H450,$E$2:$E450=F351))"),"#N/A")</f>
        <v>#N/A</v>
      </c>
    </row>
    <row r="352">
      <c r="A352" s="4"/>
      <c r="C352" s="4" t="s">
        <v>3939</v>
      </c>
      <c r="D352" s="4" t="str">
        <f t="shared" si="1"/>
        <v>{"valorA":"com","valorB":11}</v>
      </c>
      <c r="E352" s="8" t="str">
        <f t="shared" si="2"/>
        <v>com</v>
      </c>
      <c r="F352" s="8"/>
      <c r="G352" s="8" t="str">
        <f t="shared" si="3"/>
        <v>11</v>
      </c>
      <c r="H352" s="9">
        <f t="shared" si="4"/>
        <v>11</v>
      </c>
      <c r="I352" s="6" t="str">
        <f>IFERROR(__xludf.DUMMYFUNCTION("MAX(FILTER($H$2:$H450,$E$2:$E450=F352))"),"#N/A")</f>
        <v>#N/A</v>
      </c>
    </row>
    <row r="353">
      <c r="A353" s="4"/>
      <c r="C353" s="4" t="s">
        <v>3215</v>
      </c>
      <c r="D353" s="4" t="str">
        <f t="shared" si="1"/>
        <v>{"valorA":"muito","valorB":16}</v>
      </c>
      <c r="E353" s="8" t="str">
        <f t="shared" si="2"/>
        <v>muito</v>
      </c>
      <c r="F353" s="8"/>
      <c r="G353" s="8" t="str">
        <f t="shared" si="3"/>
        <v>16</v>
      </c>
      <c r="H353" s="9">
        <f t="shared" si="4"/>
        <v>16</v>
      </c>
      <c r="I353" s="6" t="str">
        <f>IFERROR(__xludf.DUMMYFUNCTION("MAX(FILTER($H$2:$H450,$E$2:$E450=F353))"),"#N/A")</f>
        <v>#N/A</v>
      </c>
    </row>
    <row r="354">
      <c r="A354" s="4"/>
      <c r="C354" s="4" t="s">
        <v>3224</v>
      </c>
      <c r="D354" s="4" t="str">
        <f t="shared" si="1"/>
        <v>{"valorA":"muito","valorB":17}</v>
      </c>
      <c r="E354" s="8" t="str">
        <f t="shared" si="2"/>
        <v>muito</v>
      </c>
      <c r="F354" s="8"/>
      <c r="G354" s="8" t="str">
        <f t="shared" si="3"/>
        <v>17</v>
      </c>
      <c r="H354" s="9">
        <f t="shared" si="4"/>
        <v>17</v>
      </c>
      <c r="I354" s="6" t="str">
        <f>IFERROR(__xludf.DUMMYFUNCTION("MAX(FILTER($H$2:$H450,$E$2:$E450=F354))"),"#N/A")</f>
        <v>#N/A</v>
      </c>
    </row>
    <row r="355">
      <c r="A355" s="4"/>
      <c r="C355" s="4" t="s">
        <v>3940</v>
      </c>
      <c r="D355" s="4" t="str">
        <f t="shared" si="1"/>
        <v>{"valorA":"elétrica","valorB":1}</v>
      </c>
      <c r="E355" s="8" t="str">
        <f t="shared" si="2"/>
        <v>elétrica</v>
      </c>
      <c r="F355" s="8"/>
      <c r="G355" s="8" t="str">
        <f t="shared" si="3"/>
        <v>1</v>
      </c>
      <c r="H355" s="9">
        <f t="shared" si="4"/>
        <v>1</v>
      </c>
      <c r="I355" s="6" t="str">
        <f>IFERROR(__xludf.DUMMYFUNCTION("MAX(FILTER($H$2:$H450,$E$2:$E450=F355))"),"#N/A")</f>
        <v>#N/A</v>
      </c>
    </row>
    <row r="356">
      <c r="A356" s="4"/>
      <c r="C356" s="4" t="s">
        <v>3098</v>
      </c>
      <c r="D356" s="4" t="str">
        <f t="shared" si="1"/>
        <v>{"valorA":"recomendo","valorB":7}</v>
      </c>
      <c r="E356" s="8" t="str">
        <f t="shared" si="2"/>
        <v>recomendo</v>
      </c>
      <c r="F356" s="8"/>
      <c r="G356" s="8" t="str">
        <f t="shared" si="3"/>
        <v>7</v>
      </c>
      <c r="H356" s="9">
        <f t="shared" si="4"/>
        <v>7</v>
      </c>
      <c r="I356" s="6" t="str">
        <f>IFERROR(__xludf.DUMMYFUNCTION("MAX(FILTER($H$2:$H450,$E$2:$E450=F356))"),"#N/A")</f>
        <v>#N/A</v>
      </c>
    </row>
    <row r="357">
      <c r="A357" s="4"/>
      <c r="C357" s="4" t="s">
        <v>3355</v>
      </c>
      <c r="D357" s="4" t="str">
        <f t="shared" si="1"/>
        <v>{"valorA":"aparelho","valorB":3}</v>
      </c>
      <c r="E357" s="8" t="str">
        <f t="shared" si="2"/>
        <v>aparelho</v>
      </c>
      <c r="F357" s="8"/>
      <c r="G357" s="8" t="str">
        <f t="shared" si="3"/>
        <v>3</v>
      </c>
      <c r="H357" s="9">
        <f t="shared" si="4"/>
        <v>3</v>
      </c>
      <c r="I357" s="6" t="str">
        <f>IFERROR(__xludf.DUMMYFUNCTION("MAX(FILTER($H$2:$H450,$E$2:$E450=F357))"),"#N/A")</f>
        <v>#N/A</v>
      </c>
    </row>
    <row r="358">
      <c r="A358" s="4"/>
      <c r="C358" s="4" t="s">
        <v>2841</v>
      </c>
      <c r="D358" s="4" t="str">
        <f t="shared" si="1"/>
        <v>{"valorA":"ótimo","valorB":30}</v>
      </c>
      <c r="E358" s="8" t="str">
        <f t="shared" si="2"/>
        <v>ótimo</v>
      </c>
      <c r="F358" s="8"/>
      <c r="G358" s="8" t="str">
        <f t="shared" si="3"/>
        <v>30</v>
      </c>
      <c r="H358" s="9">
        <f t="shared" si="4"/>
        <v>30</v>
      </c>
      <c r="I358" s="6" t="str">
        <f>IFERROR(__xludf.DUMMYFUNCTION("MAX(FILTER($H$2:$H450,$E$2:$E450=F358))"),"#N/A")</f>
        <v>#N/A</v>
      </c>
    </row>
    <row r="359">
      <c r="A359" s="4"/>
      <c r="C359" s="4" t="s">
        <v>3941</v>
      </c>
      <c r="D359" s="4" t="str">
        <f t="shared" si="1"/>
        <v>{"valorA":"fortemente","valorB":1}</v>
      </c>
      <c r="E359" s="8" t="str">
        <f t="shared" si="2"/>
        <v>fortemente</v>
      </c>
      <c r="F359" s="8"/>
      <c r="G359" s="8" t="str">
        <f t="shared" si="3"/>
        <v>1</v>
      </c>
      <c r="H359" s="9">
        <f t="shared" si="4"/>
        <v>1</v>
      </c>
      <c r="I359" s="6" t="str">
        <f>IFERROR(__xludf.DUMMYFUNCTION("MAX(FILTER($H$2:$H450,$E$2:$E450=F359))"),"#N/A")</f>
        <v>#N/A</v>
      </c>
    </row>
    <row r="360">
      <c r="A360" s="4"/>
      <c r="C360" s="4" t="s">
        <v>3942</v>
      </c>
      <c r="D360" s="4" t="str">
        <f t="shared" si="1"/>
        <v>{"valorA":"rápido","valorB":2}</v>
      </c>
      <c r="E360" s="8" t="str">
        <f t="shared" si="2"/>
        <v>rápido</v>
      </c>
      <c r="F360" s="8"/>
      <c r="G360" s="8" t="str">
        <f t="shared" si="3"/>
        <v>2</v>
      </c>
      <c r="H360" s="9">
        <f t="shared" si="4"/>
        <v>2</v>
      </c>
      <c r="I360" s="6" t="str">
        <f>IFERROR(__xludf.DUMMYFUNCTION("MAX(FILTER($H$2:$H450,$E$2:$E450=F360))"),"#N/A")</f>
        <v>#N/A</v>
      </c>
    </row>
    <row r="361">
      <c r="A361" s="4"/>
      <c r="C361" s="4" t="s">
        <v>2770</v>
      </c>
      <c r="D361" s="4" t="str">
        <f t="shared" si="1"/>
        <v>{"valorA":"e","valorB":7}</v>
      </c>
      <c r="E361" s="8" t="str">
        <f t="shared" si="2"/>
        <v>e</v>
      </c>
      <c r="F361" s="8"/>
      <c r="G361" s="8" t="str">
        <f t="shared" si="3"/>
        <v>7</v>
      </c>
      <c r="H361" s="9">
        <f t="shared" si="4"/>
        <v>7</v>
      </c>
      <c r="I361" s="6" t="str">
        <f>IFERROR(__xludf.DUMMYFUNCTION("MAX(FILTER($H$2:$H450,$E$2:$E450=F361))"),"#N/A")</f>
        <v>#N/A</v>
      </c>
    </row>
    <row r="362">
      <c r="A362" s="4"/>
      <c r="C362" s="4" t="s">
        <v>2939</v>
      </c>
      <c r="D362" s="4" t="str">
        <f t="shared" si="1"/>
        <v>{"valorA":"online","valorB":1}</v>
      </c>
      <c r="E362" s="8" t="str">
        <f t="shared" si="2"/>
        <v>online</v>
      </c>
      <c r="F362" s="8"/>
      <c r="G362" s="8" t="str">
        <f t="shared" si="3"/>
        <v>1</v>
      </c>
      <c r="H362" s="9">
        <f t="shared" si="4"/>
        <v>1</v>
      </c>
      <c r="I362" s="6" t="str">
        <f>IFERROR(__xludf.DUMMYFUNCTION("MAX(FILTER($H$2:$H450,$E$2:$E450=F362))"),"#N/A")</f>
        <v>#N/A</v>
      </c>
    </row>
    <row r="363">
      <c r="A363" s="4"/>
      <c r="C363" s="4" t="s">
        <v>3310</v>
      </c>
      <c r="D363" s="4" t="str">
        <f t="shared" si="1"/>
        <v>{"valorA":"serviço","valorB":1}</v>
      </c>
      <c r="E363" s="8" t="str">
        <f t="shared" si="2"/>
        <v>serviço</v>
      </c>
      <c r="F363" s="8"/>
      <c r="G363" s="8" t="str">
        <f t="shared" si="3"/>
        <v>1</v>
      </c>
      <c r="H363" s="9">
        <f t="shared" si="4"/>
        <v>1</v>
      </c>
      <c r="I363" s="6" t="str">
        <f>IFERROR(__xludf.DUMMYFUNCTION("MAX(FILTER($H$2:$H450,$E$2:$E450=F363))"),"#N/A")</f>
        <v>#N/A</v>
      </c>
    </row>
    <row r="364">
      <c r="A364" s="4"/>
      <c r="C364" s="4" t="s">
        <v>2861</v>
      </c>
      <c r="D364" s="4" t="str">
        <f t="shared" si="1"/>
        <v>{"valorA":"deste","valorB":1}</v>
      </c>
      <c r="E364" s="8" t="str">
        <f t="shared" si="2"/>
        <v>deste</v>
      </c>
      <c r="F364" s="8"/>
      <c r="G364" s="8" t="str">
        <f t="shared" si="3"/>
        <v>1</v>
      </c>
      <c r="H364" s="9">
        <f t="shared" si="4"/>
        <v>1</v>
      </c>
      <c r="I364" s="6" t="str">
        <f>IFERROR(__xludf.DUMMYFUNCTION("MAX(FILTER($H$2:$H450,$E$2:$E450=F364))"),"#N/A")</f>
        <v>#N/A</v>
      </c>
    </row>
    <row r="365">
      <c r="A365" s="4"/>
      <c r="C365" s="4" t="s">
        <v>3413</v>
      </c>
      <c r="D365" s="4" t="str">
        <f t="shared" si="1"/>
        <v>{"valorA":"o","valorB":10}</v>
      </c>
      <c r="E365" s="8" t="str">
        <f t="shared" si="2"/>
        <v>o</v>
      </c>
      <c r="F365" s="8"/>
      <c r="G365" s="8" t="str">
        <f t="shared" si="3"/>
        <v>10</v>
      </c>
      <c r="H365" s="9">
        <f t="shared" si="4"/>
        <v>10</v>
      </c>
      <c r="I365" s="6" t="str">
        <f>IFERROR(__xludf.DUMMYFUNCTION("MAX(FILTER($H$2:$H450,$E$2:$E450=F365))"),"#N/A")</f>
        <v>#N/A</v>
      </c>
    </row>
    <row r="366">
      <c r="A366" s="4"/>
      <c r="C366" s="4" t="s">
        <v>3342</v>
      </c>
      <c r="D366" s="4" t="str">
        <f t="shared" si="1"/>
        <v>{"valorA":"óptimo","valorB":1}</v>
      </c>
      <c r="E366" s="8" t="str">
        <f t="shared" si="2"/>
        <v>óptimo</v>
      </c>
      <c r="F366" s="8"/>
      <c r="G366" s="8" t="str">
        <f t="shared" si="3"/>
        <v>1</v>
      </c>
      <c r="H366" s="9">
        <f t="shared" si="4"/>
        <v>1</v>
      </c>
      <c r="I366" s="6" t="str">
        <f>IFERROR(__xludf.DUMMYFUNCTION("MAX(FILTER($H$2:$H450,$E$2:$E450=F366))"),"#N/A")</f>
        <v>#N/A</v>
      </c>
    </row>
    <row r="367">
      <c r="A367" s="4"/>
      <c r="C367" s="4" t="s">
        <v>3943</v>
      </c>
      <c r="D367" s="4" t="str">
        <f t="shared" si="1"/>
        <v>{"valorA":"site","valorB":1}</v>
      </c>
      <c r="E367" s="8" t="str">
        <f t="shared" si="2"/>
        <v>site</v>
      </c>
      <c r="F367" s="8"/>
      <c r="G367" s="8" t="str">
        <f t="shared" si="3"/>
        <v>1</v>
      </c>
      <c r="H367" s="9">
        <f t="shared" si="4"/>
        <v>1</v>
      </c>
      <c r="I367" s="6" t="str">
        <f>IFERROR(__xludf.DUMMYFUNCTION("MAX(FILTER($H$2:$H450,$E$2:$E450=F367))"),"#N/A")</f>
        <v>#N/A</v>
      </c>
    </row>
    <row r="368">
      <c r="A368" s="4"/>
      <c r="C368" s="4" t="s">
        <v>2886</v>
      </c>
      <c r="D368" s="4" t="str">
        <f t="shared" si="1"/>
        <v>{"valorA":"preço","valorB":3}</v>
      </c>
      <c r="E368" s="8" t="str">
        <f t="shared" si="2"/>
        <v>preço</v>
      </c>
      <c r="F368" s="8"/>
      <c r="G368" s="8" t="str">
        <f t="shared" si="3"/>
        <v>3</v>
      </c>
      <c r="H368" s="9">
        <f t="shared" si="4"/>
        <v>3</v>
      </c>
      <c r="I368" s="6" t="str">
        <f>IFERROR(__xludf.DUMMYFUNCTION("MAX(FILTER($H$2:$H450,$E$2:$E450=F368))"),"#N/A")</f>
        <v>#N/A</v>
      </c>
    </row>
    <row r="369">
      <c r="A369" s="4"/>
      <c r="C369" s="4" t="s">
        <v>2845</v>
      </c>
      <c r="D369" s="4" t="str">
        <f t="shared" si="1"/>
        <v>{"valorA":"ótimo","valorB":31}</v>
      </c>
      <c r="E369" s="8" t="str">
        <f t="shared" si="2"/>
        <v>ótimo</v>
      </c>
      <c r="F369" s="8"/>
      <c r="G369" s="8" t="str">
        <f t="shared" si="3"/>
        <v>31</v>
      </c>
      <c r="H369" s="9">
        <f t="shared" si="4"/>
        <v>31</v>
      </c>
      <c r="I369" s="6" t="str">
        <f>IFERROR(__xludf.DUMMYFUNCTION("MAX(FILTER($H$2:$H450,$E$2:$E450=F369))"),"#N/A")</f>
        <v>#N/A</v>
      </c>
    </row>
    <row r="370">
      <c r="A370" s="4"/>
      <c r="C370" s="4" t="s">
        <v>3944</v>
      </c>
      <c r="D370" s="4" t="str">
        <f t="shared" si="1"/>
        <v>{"valorA":"grãos","valorB":1}</v>
      </c>
      <c r="E370" s="8" t="str">
        <f t="shared" si="2"/>
        <v>grãos</v>
      </c>
      <c r="F370" s="8"/>
      <c r="G370" s="8" t="str">
        <f t="shared" si="3"/>
        <v>1</v>
      </c>
      <c r="H370" s="9">
        <f t="shared" si="4"/>
        <v>1</v>
      </c>
      <c r="I370" s="6" t="str">
        <f>IFERROR(__xludf.DUMMYFUNCTION("MAX(FILTER($H$2:$H450,$E$2:$E450=F370))"),"#N/A")</f>
        <v>#N/A</v>
      </c>
    </row>
    <row r="371">
      <c r="A371" s="4"/>
      <c r="C371" s="4" t="s">
        <v>3945</v>
      </c>
      <c r="D371" s="4" t="str">
        <f t="shared" si="1"/>
        <v>{"valorA":"moinho","valorB":1}</v>
      </c>
      <c r="E371" s="8" t="str">
        <f t="shared" si="2"/>
        <v>moinho</v>
      </c>
      <c r="F371" s="8"/>
      <c r="G371" s="8" t="str">
        <f t="shared" si="3"/>
        <v>1</v>
      </c>
      <c r="H371" s="9">
        <f t="shared" si="4"/>
        <v>1</v>
      </c>
      <c r="I371" s="6" t="str">
        <f>IFERROR(__xludf.DUMMYFUNCTION("MAX(FILTER($H$2:$H450,$E$2:$E450=F371))"),"#N/A")</f>
        <v>#N/A</v>
      </c>
    </row>
    <row r="372">
      <c r="A372" s="4"/>
      <c r="C372" s="4" t="s">
        <v>3174</v>
      </c>
      <c r="D372" s="4" t="str">
        <f t="shared" si="1"/>
        <v>{"valorA":"para","valorB":12}</v>
      </c>
      <c r="E372" s="8" t="str">
        <f t="shared" si="2"/>
        <v>para</v>
      </c>
      <c r="F372" s="8"/>
      <c r="G372" s="8" t="str">
        <f t="shared" si="3"/>
        <v>12</v>
      </c>
      <c r="H372" s="9">
        <f t="shared" si="4"/>
        <v>12</v>
      </c>
      <c r="I372" s="6" t="str">
        <f>IFERROR(__xludf.DUMMYFUNCTION("MAX(FILTER($H$2:$H450,$E$2:$E450=F372))"),"#N/A")</f>
        <v>#N/A</v>
      </c>
    </row>
    <row r="373">
      <c r="A373" s="4"/>
      <c r="C373" s="4" t="s">
        <v>2891</v>
      </c>
      <c r="D373" s="4" t="str">
        <f t="shared" si="1"/>
        <v>{"valorA":"pena","valorB":2}</v>
      </c>
      <c r="E373" s="8" t="str">
        <f t="shared" si="2"/>
        <v>pena</v>
      </c>
      <c r="F373" s="8"/>
      <c r="G373" s="8" t="str">
        <f t="shared" si="3"/>
        <v>2</v>
      </c>
      <c r="H373" s="9">
        <f t="shared" si="4"/>
        <v>2</v>
      </c>
      <c r="I373" s="6" t="str">
        <f>IFERROR(__xludf.DUMMYFUNCTION("MAX(FILTER($H$2:$H450,$E$2:$E450=F373))"),"#N/A")</f>
        <v>#N/A</v>
      </c>
    </row>
    <row r="374">
      <c r="A374" s="4"/>
      <c r="C374" s="4" t="s">
        <v>2922</v>
      </c>
      <c r="D374" s="4" t="str">
        <f t="shared" si="1"/>
        <v>{"valorA":"a","valorB":7}</v>
      </c>
      <c r="E374" s="8" t="str">
        <f t="shared" si="2"/>
        <v>a</v>
      </c>
      <c r="F374" s="8"/>
      <c r="G374" s="8" t="str">
        <f t="shared" si="3"/>
        <v>7</v>
      </c>
      <c r="H374" s="9">
        <f t="shared" si="4"/>
        <v>7</v>
      </c>
      <c r="I374" s="6" t="str">
        <f>IFERROR(__xludf.DUMMYFUNCTION("MAX(FILTER($H$2:$H450,$E$2:$E450=F374))"),"#N/A")</f>
        <v>#N/A</v>
      </c>
    </row>
    <row r="375">
      <c r="A375" s="4"/>
      <c r="C375" s="4" t="s">
        <v>3424</v>
      </c>
      <c r="D375" s="4" t="str">
        <f t="shared" si="1"/>
        <v>{"valorA":"o","valorB":11}</v>
      </c>
      <c r="E375" s="8" t="str">
        <f t="shared" si="2"/>
        <v>o</v>
      </c>
      <c r="F375" s="8"/>
      <c r="G375" s="8" t="str">
        <f t="shared" si="3"/>
        <v>11</v>
      </c>
      <c r="H375" s="9">
        <f t="shared" si="4"/>
        <v>11</v>
      </c>
      <c r="I375" s="6" t="str">
        <f>IFERROR(__xludf.DUMMYFUNCTION("MAX(FILTER($H$2:$H450,$E$2:$E450=F375))"),"#N/A")</f>
        <v>#N/A</v>
      </c>
    </row>
    <row r="376">
      <c r="A376" s="4"/>
      <c r="C376" s="4" t="s">
        <v>2641</v>
      </c>
      <c r="D376" s="4" t="str">
        <f t="shared" si="1"/>
        <v>{"valorA":"vale","valorB":1}</v>
      </c>
      <c r="E376" s="8" t="str">
        <f t="shared" si="2"/>
        <v>vale</v>
      </c>
      <c r="F376" s="8"/>
      <c r="G376" s="8" t="str">
        <f t="shared" si="3"/>
        <v>1</v>
      </c>
      <c r="H376" s="9">
        <f t="shared" si="4"/>
        <v>1</v>
      </c>
      <c r="I376" s="6" t="str">
        <f>IFERROR(__xludf.DUMMYFUNCTION("MAX(FILTER($H$2:$H450,$E$2:$E450=F376))"),"#N/A")</f>
        <v>#N/A</v>
      </c>
    </row>
    <row r="377">
      <c r="A377" s="4"/>
      <c r="C377" s="4" t="s">
        <v>3207</v>
      </c>
      <c r="D377" s="4" t="str">
        <f t="shared" si="1"/>
        <v>{"valorA":"de","valorB":16}</v>
      </c>
      <c r="E377" s="8" t="str">
        <f t="shared" si="2"/>
        <v>de</v>
      </c>
      <c r="F377" s="8"/>
      <c r="G377" s="8" t="str">
        <f t="shared" si="3"/>
        <v>16</v>
      </c>
      <c r="H377" s="9">
        <f t="shared" si="4"/>
        <v>16</v>
      </c>
      <c r="I377" s="6" t="str">
        <f>IFERROR(__xludf.DUMMYFUNCTION("MAX(FILTER($H$2:$H450,$E$2:$E450=F377))"),"#N/A")</f>
        <v>#N/A</v>
      </c>
    </row>
    <row r="378">
      <c r="A378" s="4"/>
      <c r="C378" s="4" t="s">
        <v>3946</v>
      </c>
      <c r="D378" s="4" t="str">
        <f t="shared" si="1"/>
        <v>{"valorA":"máquina","valorB":2}</v>
      </c>
      <c r="E378" s="8" t="str">
        <f t="shared" si="2"/>
        <v>máquina</v>
      </c>
      <c r="F378" s="8"/>
      <c r="G378" s="8" t="str">
        <f t="shared" si="3"/>
        <v>2</v>
      </c>
      <c r="H378" s="9">
        <f t="shared" si="4"/>
        <v>2</v>
      </c>
      <c r="I378" s="6" t="str">
        <f>IFERROR(__xludf.DUMMYFUNCTION("MAX(FILTER($H$2:$H450,$E$2:$E450=F378))"),"#N/A")</f>
        <v>#N/A</v>
      </c>
    </row>
    <row r="379">
      <c r="A379" s="4"/>
      <c r="C379" s="4" t="s">
        <v>3475</v>
      </c>
      <c r="D379" s="4" t="str">
        <f t="shared" si="1"/>
        <v>{"valorA":"ótima","valorB":10}</v>
      </c>
      <c r="E379" s="8" t="str">
        <f t="shared" si="2"/>
        <v>ótima</v>
      </c>
      <c r="F379" s="8"/>
      <c r="G379" s="8" t="str">
        <f t="shared" si="3"/>
        <v>10</v>
      </c>
      <c r="H379" s="9">
        <f t="shared" si="4"/>
        <v>10</v>
      </c>
      <c r="I379" s="6" t="str">
        <f>IFERROR(__xludf.DUMMYFUNCTION("MAX(FILTER($H$2:$H450,$E$2:$E450=F379))"),"#N/A")</f>
        <v>#N/A</v>
      </c>
    </row>
    <row r="380">
      <c r="A380" s="4"/>
      <c r="C380" s="4" t="s">
        <v>3947</v>
      </c>
      <c r="D380" s="4" t="str">
        <f t="shared" si="1"/>
        <v>{"valorA":"roupa","valorB":2}</v>
      </c>
      <c r="E380" s="8" t="str">
        <f t="shared" si="2"/>
        <v>roupa</v>
      </c>
      <c r="F380" s="8"/>
      <c r="G380" s="8" t="str">
        <f t="shared" si="3"/>
        <v>2</v>
      </c>
      <c r="H380" s="9">
        <f t="shared" si="4"/>
        <v>2</v>
      </c>
      <c r="I380" s="6" t="str">
        <f>IFERROR(__xludf.DUMMYFUNCTION("MAX(FILTER($H$2:$H450,$E$2:$E450=F380))"),"#N/A")</f>
        <v>#N/A</v>
      </c>
    </row>
    <row r="381">
      <c r="A381" s="4"/>
      <c r="C381" s="4" t="s">
        <v>3948</v>
      </c>
      <c r="D381" s="4" t="str">
        <f t="shared" si="1"/>
        <v>{"valorA":"lavar","valorB":2}</v>
      </c>
      <c r="E381" s="8" t="str">
        <f t="shared" si="2"/>
        <v>lavar</v>
      </c>
      <c r="F381" s="8"/>
      <c r="G381" s="8" t="str">
        <f t="shared" si="3"/>
        <v>2</v>
      </c>
      <c r="H381" s="9">
        <f t="shared" si="4"/>
        <v>2</v>
      </c>
      <c r="I381" s="6" t="str">
        <f>IFERROR(__xludf.DUMMYFUNCTION("MAX(FILTER($H$2:$H450,$E$2:$E450=F381))"),"#N/A")</f>
        <v>#N/A</v>
      </c>
    </row>
    <row r="382">
      <c r="A382" s="4"/>
      <c r="C382" s="4" t="s">
        <v>3243</v>
      </c>
      <c r="D382" s="4" t="str">
        <f t="shared" si="1"/>
        <v>{"valorA":"muito","valorB":18}</v>
      </c>
      <c r="E382" s="8" t="str">
        <f t="shared" si="2"/>
        <v>muito</v>
      </c>
      <c r="F382" s="8"/>
      <c r="G382" s="8" t="str">
        <f t="shared" si="3"/>
        <v>18</v>
      </c>
      <c r="H382" s="9">
        <f t="shared" si="4"/>
        <v>18</v>
      </c>
      <c r="I382" s="6" t="str">
        <f>IFERROR(__xludf.DUMMYFUNCTION("MAX(FILTER($H$2:$H450,$E$2:$E450=F382))"),"#N/A")</f>
        <v>#N/A</v>
      </c>
    </row>
    <row r="383">
      <c r="A383" s="4"/>
      <c r="C383" s="4" t="s">
        <v>3195</v>
      </c>
      <c r="D383" s="4" t="str">
        <f t="shared" si="1"/>
        <v>{"valorA":"funciona","valorB":10}</v>
      </c>
      <c r="E383" s="8" t="str">
        <f t="shared" si="2"/>
        <v>funciona</v>
      </c>
      <c r="F383" s="8"/>
      <c r="G383" s="8" t="str">
        <f t="shared" si="3"/>
        <v>10</v>
      </c>
      <c r="H383" s="9">
        <f t="shared" si="4"/>
        <v>10</v>
      </c>
      <c r="I383" s="6" t="str">
        <f>IFERROR(__xludf.DUMMYFUNCTION("MAX(FILTER($H$2:$H450,$E$2:$E450=F383))"),"#N/A")</f>
        <v>#N/A</v>
      </c>
    </row>
    <row r="384">
      <c r="A384" s="4"/>
      <c r="C384" s="4" t="s">
        <v>3124</v>
      </c>
      <c r="D384" s="4" t="str">
        <f t="shared" si="1"/>
        <v>{"valorA":"bem","valorB":8}</v>
      </c>
      <c r="E384" s="8" t="str">
        <f t="shared" si="2"/>
        <v>bem</v>
      </c>
      <c r="F384" s="8"/>
      <c r="G384" s="8" t="str">
        <f t="shared" si="3"/>
        <v>8</v>
      </c>
      <c r="H384" s="9">
        <f t="shared" si="4"/>
        <v>8</v>
      </c>
      <c r="I384" s="6" t="str">
        <f>IFERROR(__xludf.DUMMYFUNCTION("MAX(FILTER($H$2:$H450,$E$2:$E450=F384))"),"#N/A")</f>
        <v>#N/A</v>
      </c>
    </row>
    <row r="385">
      <c r="A385" s="4"/>
      <c r="C385" s="4" t="s">
        <v>3949</v>
      </c>
      <c r="D385" s="4" t="str">
        <f t="shared" si="1"/>
        <v>{"valorA":"dia","valorB":2}</v>
      </c>
      <c r="E385" s="8" t="str">
        <f t="shared" si="2"/>
        <v>dia</v>
      </c>
      <c r="F385" s="8"/>
      <c r="G385" s="8" t="str">
        <f t="shared" si="3"/>
        <v>2</v>
      </c>
      <c r="H385" s="9">
        <f t="shared" si="4"/>
        <v>2</v>
      </c>
      <c r="I385" s="6" t="str">
        <f>IFERROR(__xludf.DUMMYFUNCTION("MAX(FILTER($H$2:$H450,$E$2:$E450=F385))"),"#N/A")</f>
        <v>#N/A</v>
      </c>
    </row>
    <row r="386">
      <c r="A386" s="4"/>
      <c r="C386" s="4" t="s">
        <v>3950</v>
      </c>
      <c r="D386" s="4" t="str">
        <f t="shared" si="1"/>
        <v>{"valorA":"desde","valorB":4}</v>
      </c>
      <c r="E386" s="8" t="str">
        <f t="shared" si="2"/>
        <v>desde</v>
      </c>
      <c r="F386" s="8"/>
      <c r="G386" s="8" t="str">
        <f t="shared" si="3"/>
        <v>4</v>
      </c>
      <c r="H386" s="9">
        <f t="shared" si="4"/>
        <v>4</v>
      </c>
      <c r="I386" s="6" t="str">
        <f>IFERROR(__xludf.DUMMYFUNCTION("MAX(FILTER($H$2:$H450,$E$2:$E450=F386))"),"#N/A")</f>
        <v>#N/A</v>
      </c>
    </row>
    <row r="387">
      <c r="A387" s="4"/>
      <c r="C387" s="4" t="s">
        <v>3452</v>
      </c>
      <c r="D387" s="4" t="str">
        <f t="shared" si="1"/>
        <v>{"valorA":"o","valorB":12}</v>
      </c>
      <c r="E387" s="8" t="str">
        <f t="shared" si="2"/>
        <v>o</v>
      </c>
      <c r="F387" s="8"/>
      <c r="G387" s="8" t="str">
        <f t="shared" si="3"/>
        <v>12</v>
      </c>
      <c r="H387" s="9">
        <f t="shared" si="4"/>
        <v>12</v>
      </c>
      <c r="I387" s="6" t="str">
        <f>IFERROR(__xludf.DUMMYFUNCTION("MAX(FILTER($H$2:$H450,$E$2:$E450=F387))"),"#N/A")</f>
        <v>#N/A</v>
      </c>
    </row>
    <row r="388">
      <c r="A388" s="4"/>
      <c r="C388" s="4" t="s">
        <v>3951</v>
      </c>
      <c r="D388" s="4" t="str">
        <f t="shared" si="1"/>
        <v>{"valorA":"primeiro","valorB":1}</v>
      </c>
      <c r="E388" s="8" t="str">
        <f t="shared" si="2"/>
        <v>primeiro</v>
      </c>
      <c r="F388" s="8"/>
      <c r="G388" s="8" t="str">
        <f t="shared" si="3"/>
        <v>1</v>
      </c>
      <c r="H388" s="9">
        <f t="shared" si="4"/>
        <v>1</v>
      </c>
      <c r="I388" s="6" t="str">
        <f>IFERROR(__xludf.DUMMYFUNCTION("MAX(FILTER($H$2:$H450,$E$2:$E450=F388))"),"#N/A")</f>
        <v>#N/A</v>
      </c>
    </row>
    <row r="389">
      <c r="A389" s="4"/>
      <c r="C389" s="4" t="s">
        <v>3952</v>
      </c>
      <c r="D389" s="4" t="str">
        <f t="shared" si="1"/>
        <v>{"valorA":"comentário","valorB":4}</v>
      </c>
      <c r="E389" s="8" t="str">
        <f t="shared" si="2"/>
        <v>comentário</v>
      </c>
      <c r="F389" s="8"/>
      <c r="G389" s="8" t="str">
        <f t="shared" si="3"/>
        <v>4</v>
      </c>
      <c r="H389" s="9">
        <f t="shared" si="4"/>
        <v>4</v>
      </c>
      <c r="I389" s="6" t="str">
        <f>IFERROR(__xludf.DUMMYFUNCTION("MAX(FILTER($H$2:$H450,$E$2:$E450=F389))"),"#N/A")</f>
        <v>#N/A</v>
      </c>
    </row>
    <row r="390">
      <c r="A390" s="4"/>
      <c r="C390" s="4" t="s">
        <v>3350</v>
      </c>
      <c r="D390" s="4" t="str">
        <f t="shared" si="1"/>
        <v>{"valorA":"lavador","valorB":3}</v>
      </c>
      <c r="E390" s="8" t="str">
        <f t="shared" si="2"/>
        <v>lavador</v>
      </c>
      <c r="F390" s="8"/>
      <c r="G390" s="8" t="str">
        <f t="shared" si="3"/>
        <v>3</v>
      </c>
      <c r="H390" s="9">
        <f t="shared" si="4"/>
        <v>3</v>
      </c>
      <c r="I390" s="6" t="str">
        <f>IFERROR(__xludf.DUMMYFUNCTION("MAX(FILTER($H$2:$H450,$E$2:$E450=F390))"),"#N/A")</f>
        <v>#N/A</v>
      </c>
    </row>
    <row r="391">
      <c r="A391" s="4"/>
      <c r="C391" s="4" t="s">
        <v>2855</v>
      </c>
      <c r="D391" s="4" t="str">
        <f t="shared" si="1"/>
        <v>{"valorA":"ótimo","valorB":32}</v>
      </c>
      <c r="E391" s="8" t="str">
        <f t="shared" si="2"/>
        <v>ótimo</v>
      </c>
      <c r="F391" s="8"/>
      <c r="G391" s="8" t="str">
        <f t="shared" si="3"/>
        <v>32</v>
      </c>
      <c r="H391" s="9">
        <f t="shared" si="4"/>
        <v>32</v>
      </c>
      <c r="I391" s="6" t="str">
        <f>IFERROR(__xludf.DUMMYFUNCTION("MAX(FILTER($H$2:$H450,$E$2:$E450=F391))"),"#N/A")</f>
        <v>#N/A</v>
      </c>
    </row>
    <row r="392">
      <c r="A392" s="4"/>
      <c r="C392" s="4" t="s">
        <v>3953</v>
      </c>
      <c r="D392" s="4" t="str">
        <f t="shared" si="1"/>
        <v>{"valorA":"louça","valorB":1}</v>
      </c>
      <c r="E392" s="8" t="str">
        <f t="shared" si="2"/>
        <v>louça</v>
      </c>
      <c r="F392" s="8"/>
      <c r="G392" s="8" t="str">
        <f t="shared" si="3"/>
        <v>1</v>
      </c>
      <c r="H392" s="9">
        <f t="shared" si="4"/>
        <v>1</v>
      </c>
      <c r="I392" s="6" t="str">
        <f>IFERROR(__xludf.DUMMYFUNCTION("MAX(FILTER($H$2:$H450,$E$2:$E450=F392))"),"#N/A")</f>
        <v>#N/A</v>
      </c>
    </row>
    <row r="393">
      <c r="A393" s="4"/>
      <c r="C393" s="4" t="s">
        <v>3236</v>
      </c>
      <c r="D393" s="4" t="str">
        <f t="shared" si="1"/>
        <v>{"valorA":"de","valorB":17}</v>
      </c>
      <c r="E393" s="8" t="str">
        <f t="shared" si="2"/>
        <v>de</v>
      </c>
      <c r="F393" s="8"/>
      <c r="G393" s="8" t="str">
        <f t="shared" si="3"/>
        <v>17</v>
      </c>
      <c r="H393" s="9">
        <f t="shared" si="4"/>
        <v>17</v>
      </c>
      <c r="I393" s="6" t="str">
        <f>IFERROR(__xludf.DUMMYFUNCTION("MAX(FILTER($H$2:$H450,$E$2:$E450=F393))"),"#N/A")</f>
        <v>#N/A</v>
      </c>
    </row>
    <row r="394">
      <c r="A394" s="4"/>
      <c r="C394" s="4" t="s">
        <v>3183</v>
      </c>
      <c r="D394" s="4" t="str">
        <f t="shared" si="1"/>
        <v>{"valorA":"bem","valorB":9}</v>
      </c>
      <c r="E394" s="8" t="str">
        <f t="shared" si="2"/>
        <v>bem</v>
      </c>
      <c r="F394" s="8"/>
      <c r="G394" s="8" t="str">
        <f t="shared" si="3"/>
        <v>9</v>
      </c>
      <c r="H394" s="9">
        <f t="shared" si="4"/>
        <v>9</v>
      </c>
      <c r="I394" s="6" t="str">
        <f>IFERROR(__xludf.DUMMYFUNCTION("MAX(FILTER($H$2:$H450,$E$2:$E450=F394))"),"#N/A")</f>
        <v>#N/A</v>
      </c>
    </row>
    <row r="395">
      <c r="A395" s="4"/>
      <c r="C395" s="4" t="s">
        <v>2784</v>
      </c>
      <c r="D395" s="4" t="str">
        <f t="shared" si="1"/>
        <v>{"valorA":"e","valorB":8}</v>
      </c>
      <c r="E395" s="8" t="str">
        <f t="shared" si="2"/>
        <v>e</v>
      </c>
      <c r="F395" s="8"/>
      <c r="G395" s="8" t="str">
        <f t="shared" si="3"/>
        <v>8</v>
      </c>
      <c r="H395" s="9">
        <f t="shared" si="4"/>
        <v>8</v>
      </c>
      <c r="I395" s="6" t="str">
        <f>IFERROR(__xludf.DUMMYFUNCTION("MAX(FILTER($H$2:$H450,$E$2:$E450=F395))"),"#N/A")</f>
        <v>#N/A</v>
      </c>
    </row>
    <row r="396">
      <c r="A396" s="4"/>
      <c r="C396" s="4" t="s">
        <v>3211</v>
      </c>
      <c r="D396" s="4" t="str">
        <f t="shared" si="1"/>
        <v>{"valorA":"funciona","valorB":11}</v>
      </c>
      <c r="E396" s="8" t="str">
        <f t="shared" si="2"/>
        <v>funciona</v>
      </c>
      <c r="F396" s="8"/>
      <c r="G396" s="8" t="str">
        <f t="shared" si="3"/>
        <v>11</v>
      </c>
      <c r="H396" s="9">
        <f t="shared" si="4"/>
        <v>11</v>
      </c>
      <c r="I396" s="6" t="str">
        <f>IFERROR(__xludf.DUMMYFUNCTION("MAX(FILTER($H$2:$H450,$E$2:$E450=F396))"),"#N/A")</f>
        <v>#N/A</v>
      </c>
    </row>
    <row r="397">
      <c r="A397" s="4"/>
      <c r="C397" s="4" t="s">
        <v>3954</v>
      </c>
      <c r="D397" s="4" t="str">
        <f t="shared" si="1"/>
        <v>{"valorA":"economiza","valorB":2}</v>
      </c>
      <c r="E397" s="8" t="str">
        <f t="shared" si="2"/>
        <v>economiza</v>
      </c>
      <c r="F397" s="8"/>
      <c r="G397" s="8" t="str">
        <f t="shared" si="3"/>
        <v>2</v>
      </c>
      <c r="H397" s="9">
        <f t="shared" si="4"/>
        <v>2</v>
      </c>
      <c r="I397" s="6" t="str">
        <f>IFERROR(__xludf.DUMMYFUNCTION("MAX(FILTER($H$2:$H450,$E$2:$E450=F397))"),"#N/A")</f>
        <v>#N/A</v>
      </c>
    </row>
    <row r="398">
      <c r="A398" s="4"/>
      <c r="C398" s="4" t="s">
        <v>3955</v>
      </c>
      <c r="D398" s="4" t="str">
        <f t="shared" si="1"/>
        <v>{"valorA":"água","valorB":1}</v>
      </c>
      <c r="E398" s="8" t="str">
        <f t="shared" si="2"/>
        <v>água</v>
      </c>
      <c r="F398" s="8"/>
      <c r="G398" s="8" t="str">
        <f t="shared" si="3"/>
        <v>1</v>
      </c>
      <c r="H398" s="9">
        <f t="shared" si="4"/>
        <v>1</v>
      </c>
      <c r="I398" s="6" t="str">
        <f>IFERROR(__xludf.DUMMYFUNCTION("MAX(FILTER($H$2:$H450,$E$2:$E450=F398))"),"#N/A")</f>
        <v>#N/A</v>
      </c>
    </row>
    <row r="399">
      <c r="A399" s="4"/>
      <c r="C399" s="4" t="s">
        <v>3618</v>
      </c>
      <c r="D399" s="4" t="str">
        <f t="shared" si="1"/>
        <v>{"valorA":"refrigerador","valorB":2}</v>
      </c>
      <c r="E399" s="8" t="str">
        <f t="shared" si="2"/>
        <v>refrigerador</v>
      </c>
      <c r="F399" s="8"/>
      <c r="G399" s="8" t="str">
        <f t="shared" si="3"/>
        <v>2</v>
      </c>
      <c r="H399" s="9">
        <f t="shared" si="4"/>
        <v>2</v>
      </c>
      <c r="I399" s="6" t="str">
        <f>IFERROR(__xludf.DUMMYFUNCTION("MAX(FILTER($H$2:$H450,$E$2:$E450=F399))"),"#N/A")</f>
        <v>#N/A</v>
      </c>
    </row>
    <row r="400">
      <c r="A400" s="4"/>
      <c r="C400" s="4" t="s">
        <v>2630</v>
      </c>
      <c r="D400" s="4" t="str">
        <f t="shared" si="1"/>
        <v>{"valorA":"esse","valorB":1}</v>
      </c>
      <c r="E400" s="8" t="str">
        <f t="shared" si="2"/>
        <v>esse</v>
      </c>
      <c r="F400" s="8"/>
      <c r="G400" s="8" t="str">
        <f t="shared" si="3"/>
        <v>1</v>
      </c>
      <c r="H400" s="9">
        <f t="shared" si="4"/>
        <v>1</v>
      </c>
      <c r="I400" s="6" t="str">
        <f>IFERROR(__xludf.DUMMYFUNCTION("MAX(FILTER($H$2:$H450,$E$2:$E450=F400))"),"#N/A")</f>
        <v>#N/A</v>
      </c>
    </row>
    <row r="401">
      <c r="A401" s="4"/>
      <c r="C401" s="4" t="s">
        <v>2859</v>
      </c>
      <c r="D401" s="4" t="str">
        <f t="shared" si="1"/>
        <v>{"valorA":"ótimo","valorB":33}</v>
      </c>
      <c r="E401" s="8" t="str">
        <f t="shared" si="2"/>
        <v>ótimo</v>
      </c>
      <c r="F401" s="8"/>
      <c r="G401" s="8" t="str">
        <f t="shared" si="3"/>
        <v>33</v>
      </c>
      <c r="H401" s="9">
        <f t="shared" si="4"/>
        <v>33</v>
      </c>
      <c r="I401" s="6" t="str">
        <f>IFERROR(__xludf.DUMMYFUNCTION("MAX(FILTER($H$2:$H450,$E$2:$E450=F401))"),"#N/A")</f>
        <v>#N/A</v>
      </c>
    </row>
    <row r="402">
      <c r="A402" s="4"/>
      <c r="C402" s="4" t="s">
        <v>3956</v>
      </c>
      <c r="D402" s="4" t="str">
        <f t="shared" si="1"/>
        <v>{"valorA":"eficiente","valorB":2}</v>
      </c>
      <c r="E402" s="8" t="str">
        <f t="shared" si="2"/>
        <v>eficiente</v>
      </c>
      <c r="F402" s="8"/>
      <c r="G402" s="8" t="str">
        <f t="shared" si="3"/>
        <v>2</v>
      </c>
      <c r="H402" s="9">
        <f t="shared" si="4"/>
        <v>2</v>
      </c>
      <c r="I402" s="6" t="str">
        <f>IFERROR(__xludf.DUMMYFUNCTION("MAX(FILTER($H$2:$H450,$E$2:$E450=F402))"),"#N/A")</f>
        <v>#N/A</v>
      </c>
    </row>
    <row r="403">
      <c r="A403" s="4"/>
      <c r="C403" s="4" t="s">
        <v>2866</v>
      </c>
      <c r="D403" s="4" t="str">
        <f t="shared" si="1"/>
        <v>{"valorA":"ótimo","valorB":34}</v>
      </c>
      <c r="E403" s="8" t="str">
        <f t="shared" si="2"/>
        <v>ótimo</v>
      </c>
      <c r="F403" s="8"/>
      <c r="G403" s="8" t="str">
        <f t="shared" si="3"/>
        <v>34</v>
      </c>
      <c r="H403" s="9">
        <f t="shared" si="4"/>
        <v>34</v>
      </c>
      <c r="I403" s="6" t="str">
        <f>IFERROR(__xludf.DUMMYFUNCTION("MAX(FILTER($H$2:$H450,$E$2:$E450=F403))"),"#N/A")</f>
        <v>#N/A</v>
      </c>
    </row>
    <row r="404">
      <c r="A404" s="4"/>
      <c r="C404" s="4" t="s">
        <v>3241</v>
      </c>
      <c r="D404" s="4" t="str">
        <f t="shared" si="1"/>
        <v>{"valorA":"de","valorB":18}</v>
      </c>
      <c r="E404" s="8" t="str">
        <f t="shared" si="2"/>
        <v>de</v>
      </c>
      <c r="F404" s="8"/>
      <c r="G404" s="8" t="str">
        <f t="shared" si="3"/>
        <v>18</v>
      </c>
      <c r="H404" s="9">
        <f t="shared" si="4"/>
        <v>18</v>
      </c>
      <c r="I404" s="6" t="str">
        <f>IFERROR(__xludf.DUMMYFUNCTION("MAX(FILTER($H$2:$H450,$E$2:$E450=F404))"),"#N/A")</f>
        <v>#N/A</v>
      </c>
    </row>
    <row r="405">
      <c r="A405" s="4"/>
      <c r="C405" s="4" t="s">
        <v>3336</v>
      </c>
      <c r="D405" s="4" t="str">
        <f t="shared" si="1"/>
        <v>{"valorA":"modelo","valorB":1}</v>
      </c>
      <c r="E405" s="8" t="str">
        <f t="shared" si="2"/>
        <v>modelo</v>
      </c>
      <c r="F405" s="8"/>
      <c r="G405" s="8" t="str">
        <f t="shared" si="3"/>
        <v>1</v>
      </c>
      <c r="H405" s="9">
        <f t="shared" si="4"/>
        <v>1</v>
      </c>
      <c r="I405" s="6" t="str">
        <f>IFERROR(__xludf.DUMMYFUNCTION("MAX(FILTER($H$2:$H450,$E$2:$E450=F405))"),"#N/A")</f>
        <v>#N/A</v>
      </c>
    </row>
    <row r="406">
      <c r="A406" s="4"/>
      <c r="C406" s="4" t="s">
        <v>3957</v>
      </c>
      <c r="D406" s="4" t="str">
        <f t="shared" si="1"/>
        <v>{"valorA":"lavadora","valorB":3}</v>
      </c>
      <c r="E406" s="8" t="str">
        <f t="shared" si="2"/>
        <v>lavadora</v>
      </c>
      <c r="F406" s="8"/>
      <c r="G406" s="8" t="str">
        <f t="shared" si="3"/>
        <v>3</v>
      </c>
      <c r="H406" s="9">
        <f t="shared" si="4"/>
        <v>3</v>
      </c>
      <c r="I406" s="6" t="str">
        <f>IFERROR(__xludf.DUMMYFUNCTION("MAX(FILTER($H$2:$H450,$E$2:$E450=F406))"),"#N/A")</f>
        <v>#N/A</v>
      </c>
    </row>
    <row r="407">
      <c r="A407" s="4"/>
      <c r="C407" s="4" t="s">
        <v>3216</v>
      </c>
      <c r="D407" s="4" t="str">
        <f t="shared" si="1"/>
        <v>{"valorA":"bem","valorB":10}</v>
      </c>
      <c r="E407" s="8" t="str">
        <f t="shared" si="2"/>
        <v>bem</v>
      </c>
      <c r="F407" s="8"/>
      <c r="G407" s="8" t="str">
        <f t="shared" si="3"/>
        <v>10</v>
      </c>
      <c r="H407" s="9">
        <f t="shared" si="4"/>
        <v>10</v>
      </c>
      <c r="I407" s="6" t="str">
        <f>IFERROR(__xludf.DUMMYFUNCTION("MAX(FILTER($H$2:$H450,$E$2:$E450=F407))"),"#N/A")</f>
        <v>#N/A</v>
      </c>
    </row>
    <row r="408">
      <c r="A408" s="4"/>
      <c r="C408" s="4" t="s">
        <v>3958</v>
      </c>
      <c r="D408" s="4" t="str">
        <f t="shared" si="1"/>
        <v>{"valorA":"faz","valorB":1}</v>
      </c>
      <c r="E408" s="8" t="str">
        <f t="shared" si="2"/>
        <v>faz</v>
      </c>
      <c r="F408" s="8"/>
      <c r="G408" s="8" t="str">
        <f t="shared" si="3"/>
        <v>1</v>
      </c>
      <c r="H408" s="9">
        <f t="shared" si="4"/>
        <v>1</v>
      </c>
      <c r="I408" s="6" t="str">
        <f>IFERROR(__xludf.DUMMYFUNCTION("MAX(FILTER($H$2:$H450,$E$2:$E450=F408))"),"#N/A")</f>
        <v>#N/A</v>
      </c>
    </row>
    <row r="409">
      <c r="A409" s="4"/>
      <c r="C409" s="4" t="s">
        <v>3388</v>
      </c>
      <c r="D409" s="4" t="str">
        <f t="shared" si="1"/>
        <v>{"valorA":"tudo","valorB":3}</v>
      </c>
      <c r="E409" s="8" t="str">
        <f t="shared" si="2"/>
        <v>tudo</v>
      </c>
      <c r="F409" s="8"/>
      <c r="G409" s="8" t="str">
        <f t="shared" si="3"/>
        <v>3</v>
      </c>
      <c r="H409" s="9">
        <f t="shared" si="4"/>
        <v>3</v>
      </c>
      <c r="I409" s="6" t="str">
        <f>IFERROR(__xludf.DUMMYFUNCTION("MAX(FILTER($H$2:$H450,$E$2:$E450=F409))"),"#N/A")</f>
        <v>#N/A</v>
      </c>
    </row>
    <row r="410">
      <c r="A410" s="4"/>
      <c r="C410" s="4" t="s">
        <v>3439</v>
      </c>
      <c r="D410" s="4" t="str">
        <f t="shared" si="1"/>
        <v>{"valorA":"muito","valorB":19}</v>
      </c>
      <c r="E410" s="8" t="str">
        <f t="shared" si="2"/>
        <v>muito</v>
      </c>
      <c r="F410" s="8"/>
      <c r="G410" s="8" t="str">
        <f t="shared" si="3"/>
        <v>19</v>
      </c>
      <c r="H410" s="9">
        <f t="shared" si="4"/>
        <v>19</v>
      </c>
      <c r="I410" s="6" t="str">
        <f>IFERROR(__xludf.DUMMYFUNCTION("MAX(FILTER($H$2:$H450,$E$2:$E450=F410))"),"#N/A")</f>
        <v>#N/A</v>
      </c>
    </row>
    <row r="411">
      <c r="A411" s="4"/>
      <c r="C411" s="4" t="s">
        <v>3959</v>
      </c>
      <c r="D411" s="4" t="str">
        <f t="shared" si="1"/>
        <v>{"valorA":"mudo","valorB":1}</v>
      </c>
      <c r="E411" s="8" t="str">
        <f t="shared" si="2"/>
        <v>mudo</v>
      </c>
      <c r="F411" s="8"/>
      <c r="G411" s="8" t="str">
        <f t="shared" si="3"/>
        <v>1</v>
      </c>
      <c r="H411" s="9">
        <f t="shared" si="4"/>
        <v>1</v>
      </c>
      <c r="I411" s="6" t="str">
        <f>IFERROR(__xludf.DUMMYFUNCTION("MAX(FILTER($H$2:$H450,$E$2:$E450=F411))"),"#N/A")</f>
        <v>#N/A</v>
      </c>
    </row>
    <row r="412">
      <c r="A412" s="4"/>
      <c r="C412" s="4" t="s">
        <v>2871</v>
      </c>
      <c r="D412" s="4" t="str">
        <f t="shared" si="1"/>
        <v>{"valorA":"ótimo","valorB":35}</v>
      </c>
      <c r="E412" s="8" t="str">
        <f t="shared" si="2"/>
        <v>ótimo</v>
      </c>
      <c r="F412" s="8"/>
      <c r="G412" s="8" t="str">
        <f t="shared" si="3"/>
        <v>35</v>
      </c>
      <c r="H412" s="9">
        <f t="shared" si="4"/>
        <v>35</v>
      </c>
      <c r="I412" s="6" t="str">
        <f>IFERROR(__xludf.DUMMYFUNCTION("MAX(FILTER($H$2:$H450,$E$2:$E450=F412))"),"#N/A")</f>
        <v>#N/A</v>
      </c>
    </row>
    <row r="413">
      <c r="A413" s="4"/>
      <c r="C413" s="4" t="s">
        <v>3443</v>
      </c>
      <c r="D413" s="4" t="str">
        <f t="shared" si="1"/>
        <v>{"valorA":"muito","valorB":20}</v>
      </c>
      <c r="E413" s="8" t="str">
        <f t="shared" si="2"/>
        <v>muito</v>
      </c>
      <c r="F413" s="8"/>
      <c r="G413" s="8" t="str">
        <f t="shared" si="3"/>
        <v>20</v>
      </c>
      <c r="H413" s="9">
        <f t="shared" si="4"/>
        <v>20</v>
      </c>
      <c r="I413" s="6" t="str">
        <f>IFERROR(__xludf.DUMMYFUNCTION("MAX(FILTER($H$2:$H450,$E$2:$E450=F413))"),"#N/A")</f>
        <v>#N/A</v>
      </c>
    </row>
    <row r="414">
      <c r="A414" s="4"/>
      <c r="C414" s="4" t="s">
        <v>3185</v>
      </c>
      <c r="D414" s="4" t="str">
        <f t="shared" si="1"/>
        <v>{"valorA":"para","valorB":13}</v>
      </c>
      <c r="E414" s="8" t="str">
        <f t="shared" si="2"/>
        <v>para</v>
      </c>
      <c r="F414" s="8"/>
      <c r="G414" s="8" t="str">
        <f t="shared" si="3"/>
        <v>13</v>
      </c>
      <c r="H414" s="9">
        <f t="shared" si="4"/>
        <v>13</v>
      </c>
      <c r="I414" s="6" t="str">
        <f>IFERROR(__xludf.DUMMYFUNCTION("MAX(FILTER($H$2:$H450,$E$2:$E450=F414))"),"#N/A")</f>
        <v>#N/A</v>
      </c>
    </row>
    <row r="415">
      <c r="A415" s="4"/>
      <c r="C415" s="4" t="s">
        <v>3960</v>
      </c>
      <c r="D415" s="4" t="str">
        <f t="shared" si="1"/>
        <v>{"valorA":"nora","valorB":1}</v>
      </c>
      <c r="E415" s="8" t="str">
        <f t="shared" si="2"/>
        <v>nora</v>
      </c>
      <c r="F415" s="8"/>
      <c r="G415" s="8" t="str">
        <f t="shared" si="3"/>
        <v>1</v>
      </c>
      <c r="H415" s="9">
        <f t="shared" si="4"/>
        <v>1</v>
      </c>
      <c r="I415" s="6" t="str">
        <f>IFERROR(__xludf.DUMMYFUNCTION("MAX(FILTER($H$2:$H450,$E$2:$E450=F415))"),"#N/A")</f>
        <v>#N/A</v>
      </c>
    </row>
    <row r="416">
      <c r="A416" s="4"/>
      <c r="C416" s="4" t="s">
        <v>3961</v>
      </c>
      <c r="D416" s="4" t="str">
        <f t="shared" si="1"/>
        <v>{"valorA":"quarto","valorB":2}</v>
      </c>
      <c r="E416" s="8" t="str">
        <f t="shared" si="2"/>
        <v>quarto</v>
      </c>
      <c r="F416" s="8"/>
      <c r="G416" s="8" t="str">
        <f t="shared" si="3"/>
        <v>2</v>
      </c>
      <c r="H416" s="9">
        <f t="shared" si="4"/>
        <v>2</v>
      </c>
      <c r="I416" s="6" t="str">
        <f>IFERROR(__xludf.DUMMYFUNCTION("MAX(FILTER($H$2:$H450,$E$2:$E450=F416))"),"#N/A")</f>
        <v>#N/A</v>
      </c>
    </row>
    <row r="417">
      <c r="A417" s="4"/>
      <c r="C417" s="4" t="s">
        <v>3502</v>
      </c>
      <c r="D417" s="4" t="str">
        <f t="shared" si="1"/>
        <v>{"valorA":"o","valorB":13}</v>
      </c>
      <c r="E417" s="8" t="str">
        <f t="shared" si="2"/>
        <v>o</v>
      </c>
      <c r="F417" s="8"/>
      <c r="G417" s="8" t="str">
        <f t="shared" si="3"/>
        <v>13</v>
      </c>
      <c r="H417" s="9">
        <f t="shared" si="4"/>
        <v>13</v>
      </c>
      <c r="I417" s="6" t="str">
        <f>IFERROR(__xludf.DUMMYFUNCTION("MAX(FILTER($H$2:$H450,$E$2:$E450=F417))"),"#N/A")</f>
        <v>#N/A</v>
      </c>
    </row>
    <row r="418">
      <c r="A418" s="4"/>
      <c r="C418" s="4" t="s">
        <v>3057</v>
      </c>
      <c r="D418" s="4" t="str">
        <f t="shared" si="1"/>
        <v>{"valorA":"bom","valorB":3}</v>
      </c>
      <c r="E418" s="8" t="str">
        <f t="shared" si="2"/>
        <v>bom</v>
      </c>
      <c r="F418" s="8"/>
      <c r="G418" s="8" t="str">
        <f t="shared" si="3"/>
        <v>3</v>
      </c>
      <c r="H418" s="9">
        <f t="shared" si="4"/>
        <v>3</v>
      </c>
      <c r="I418" s="6" t="str">
        <f>IFERROR(__xludf.DUMMYFUNCTION("MAX(FILTER($H$2:$H450,$E$2:$E450=F418))"),"#N/A")</f>
        <v>#N/A</v>
      </c>
    </row>
    <row r="419">
      <c r="A419" s="4"/>
      <c r="C419" s="4" t="s">
        <v>3433</v>
      </c>
      <c r="D419" s="4" t="str">
        <f t="shared" si="1"/>
        <v>{"valorA":"achei","valorB":2}</v>
      </c>
      <c r="E419" s="8" t="str">
        <f t="shared" si="2"/>
        <v>achei</v>
      </c>
      <c r="F419" s="8"/>
      <c r="G419" s="8" t="str">
        <f t="shared" si="3"/>
        <v>2</v>
      </c>
      <c r="H419" s="9">
        <f t="shared" si="4"/>
        <v>2</v>
      </c>
      <c r="I419" s="6" t="str">
        <f>IFERROR(__xludf.DUMMYFUNCTION("MAX(FILTER($H$2:$H450,$E$2:$E450=F419))"),"#N/A")</f>
        <v>#N/A</v>
      </c>
    </row>
    <row r="420">
      <c r="A420" s="4"/>
      <c r="C420" s="4" t="s">
        <v>2947</v>
      </c>
      <c r="D420" s="4" t="str">
        <f t="shared" si="1"/>
        <v>{"valorA":"da","valorB":2}</v>
      </c>
      <c r="E420" s="8" t="str">
        <f t="shared" si="2"/>
        <v>da</v>
      </c>
      <c r="F420" s="8"/>
      <c r="G420" s="8" t="str">
        <f t="shared" si="3"/>
        <v>2</v>
      </c>
      <c r="H420" s="9">
        <f t="shared" si="4"/>
        <v>2</v>
      </c>
      <c r="I420" s="6" t="str">
        <f>IFERROR(__xludf.DUMMYFUNCTION("MAX(FILTER($H$2:$H450,$E$2:$E450=F420))"),"#N/A")</f>
        <v>#N/A</v>
      </c>
    </row>
    <row r="421">
      <c r="A421" s="4"/>
      <c r="C421" s="4" t="s">
        <v>3962</v>
      </c>
      <c r="D421" s="4" t="str">
        <f t="shared" si="1"/>
        <v>{"valorA":"travamentos","valorB":1}</v>
      </c>
      <c r="E421" s="8" t="str">
        <f t="shared" si="2"/>
        <v>travamentos</v>
      </c>
      <c r="F421" s="8"/>
      <c r="G421" s="8" t="str">
        <f t="shared" si="3"/>
        <v>1</v>
      </c>
      <c r="H421" s="9">
        <f t="shared" si="4"/>
        <v>1</v>
      </c>
      <c r="I421" s="6" t="str">
        <f>IFERROR(__xludf.DUMMYFUNCTION("MAX(FILTER($H$2:$H450,$E$2:$E450=F421))"),"#N/A")</f>
        <v>#N/A</v>
      </c>
    </row>
    <row r="422">
      <c r="A422" s="4"/>
      <c r="C422" s="4" t="s">
        <v>2884</v>
      </c>
      <c r="D422" s="4" t="str">
        <f t="shared" si="1"/>
        <v>{"valorA":"ótimo","valorB":36}</v>
      </c>
      <c r="E422" s="8" t="str">
        <f t="shared" si="2"/>
        <v>ótimo</v>
      </c>
      <c r="F422" s="8"/>
      <c r="G422" s="8" t="str">
        <f t="shared" si="3"/>
        <v>36</v>
      </c>
      <c r="H422" s="9">
        <f t="shared" si="4"/>
        <v>36</v>
      </c>
      <c r="I422" s="6" t="str">
        <f>IFERROR(__xludf.DUMMYFUNCTION("MAX(FILTER($H$2:$H450,$E$2:$E450=F422))"),"#N/A")</f>
        <v>#N/A</v>
      </c>
    </row>
    <row r="423">
      <c r="A423" s="4"/>
      <c r="C423" s="4" t="s">
        <v>2233</v>
      </c>
      <c r="D423" s="4" t="str">
        <f t="shared" si="1"/>
        <v>{"valorA":"celular","valorB":2}</v>
      </c>
      <c r="E423" s="8" t="str">
        <f t="shared" si="2"/>
        <v>celular</v>
      </c>
      <c r="F423" s="8"/>
      <c r="G423" s="8" t="str">
        <f t="shared" si="3"/>
        <v>2</v>
      </c>
      <c r="H423" s="9">
        <f t="shared" si="4"/>
        <v>2</v>
      </c>
      <c r="I423" s="6" t="str">
        <f>IFERROR(__xludf.DUMMYFUNCTION("MAX(FILTER($H$2:$H450,$E$2:$E450=F423))"),"#N/A")</f>
        <v>#N/A</v>
      </c>
    </row>
    <row r="424">
      <c r="A424" s="4"/>
      <c r="C424" s="4" t="s">
        <v>3478</v>
      </c>
      <c r="D424" s="4" t="str">
        <f t="shared" si="1"/>
        <v>{"valorA":"muito","valorB":21}</v>
      </c>
      <c r="E424" s="8" t="str">
        <f t="shared" si="2"/>
        <v>muito</v>
      </c>
      <c r="F424" s="8"/>
      <c r="G424" s="8" t="str">
        <f t="shared" si="3"/>
        <v>21</v>
      </c>
      <c r="H424" s="9">
        <f t="shared" si="4"/>
        <v>21</v>
      </c>
      <c r="I424" s="6" t="str">
        <f>IFERROR(__xludf.DUMMYFUNCTION("MAX(FILTER($H$2:$H450,$E$2:$E450=F424))"),"#N/A")</f>
        <v>#N/A</v>
      </c>
    </row>
    <row r="425">
      <c r="A425" s="4"/>
      <c r="C425" s="4" t="s">
        <v>3963</v>
      </c>
      <c r="D425" s="4" t="str">
        <f t="shared" si="1"/>
        <v>{"valorA":"ou","valorB":1}</v>
      </c>
      <c r="E425" s="8" t="str">
        <f t="shared" si="2"/>
        <v>ou</v>
      </c>
      <c r="F425" s="8"/>
      <c r="G425" s="8" t="str">
        <f t="shared" si="3"/>
        <v>1</v>
      </c>
      <c r="H425" s="9">
        <f t="shared" si="4"/>
        <v>1</v>
      </c>
      <c r="I425" s="6" t="str">
        <f>IFERROR(__xludf.DUMMYFUNCTION("MAX(FILTER($H$2:$H450,$E$2:$E450=F425))"),"#N/A")</f>
        <v>#N/A</v>
      </c>
    </row>
    <row r="426">
      <c r="A426" s="4"/>
      <c r="C426" s="4" t="s">
        <v>3493</v>
      </c>
      <c r="D426" s="4" t="str">
        <f t="shared" si="1"/>
        <v>{"valorA":"sem","valorB":1}</v>
      </c>
      <c r="E426" s="8" t="str">
        <f t="shared" si="2"/>
        <v>sem</v>
      </c>
      <c r="F426" s="8"/>
      <c r="G426" s="8" t="str">
        <f t="shared" si="3"/>
        <v>1</v>
      </c>
      <c r="H426" s="9">
        <f t="shared" si="4"/>
        <v>1</v>
      </c>
      <c r="I426" s="6" t="str">
        <f>IFERROR(__xludf.DUMMYFUNCTION("MAX(FILTER($H$2:$H450,$E$2:$E450=F426))"),"#N/A")</f>
        <v>#N/A</v>
      </c>
    </row>
    <row r="427">
      <c r="A427" s="4"/>
      <c r="C427" s="4" t="s">
        <v>3488</v>
      </c>
      <c r="D427" s="4" t="str">
        <f t="shared" si="1"/>
        <v>{"valorA":"bem","valorB":11}</v>
      </c>
      <c r="E427" s="8" t="str">
        <f t="shared" si="2"/>
        <v>bem</v>
      </c>
      <c r="F427" s="8"/>
      <c r="G427" s="8" t="str">
        <f t="shared" si="3"/>
        <v>11</v>
      </c>
      <c r="H427" s="9">
        <f t="shared" si="4"/>
        <v>11</v>
      </c>
      <c r="I427" s="6" t="str">
        <f>IFERROR(__xludf.DUMMYFUNCTION("MAX(FILTER($H$2:$H450,$E$2:$E450=F427))"),"#N/A")</f>
        <v>#N/A</v>
      </c>
    </row>
    <row r="428">
      <c r="A428" s="4"/>
      <c r="C428" s="4" t="s">
        <v>3964</v>
      </c>
      <c r="D428" s="4" t="str">
        <f t="shared" si="1"/>
        <v>{"valorA":"momentos","valorB":1}</v>
      </c>
      <c r="E428" s="8" t="str">
        <f t="shared" si="2"/>
        <v>momentos</v>
      </c>
      <c r="F428" s="8"/>
      <c r="G428" s="8" t="str">
        <f t="shared" si="3"/>
        <v>1</v>
      </c>
      <c r="H428" s="9">
        <f t="shared" si="4"/>
        <v>1</v>
      </c>
      <c r="I428" s="6" t="str">
        <f>IFERROR(__xludf.DUMMYFUNCTION("MAX(FILTER($H$2:$H450,$E$2:$E450=F428))"),"#N/A")</f>
        <v>#N/A</v>
      </c>
    </row>
    <row r="429">
      <c r="A429" s="4"/>
      <c r="C429" s="4" t="s">
        <v>3471</v>
      </c>
      <c r="D429" s="4" t="str">
        <f t="shared" si="1"/>
        <v>{"valorA":"funciona","valorB":12}</v>
      </c>
      <c r="E429" s="8" t="str">
        <f t="shared" si="2"/>
        <v>funciona</v>
      </c>
      <c r="F429" s="8"/>
      <c r="G429" s="8" t="str">
        <f t="shared" si="3"/>
        <v>12</v>
      </c>
      <c r="H429" s="9">
        <f t="shared" si="4"/>
        <v>12</v>
      </c>
      <c r="I429" s="6" t="str">
        <f>IFERROR(__xludf.DUMMYFUNCTION("MAX(FILTER($H$2:$H450,$E$2:$E450=F429))"),"#N/A")</f>
        <v>#N/A</v>
      </c>
    </row>
    <row r="430">
      <c r="A430" s="4"/>
      <c r="C430" s="4" t="s">
        <v>3965</v>
      </c>
      <c r="D430" s="4" t="str">
        <f t="shared" si="1"/>
        <v>{"valorA":"congelamento","valorB":1}</v>
      </c>
      <c r="E430" s="8" t="str">
        <f t="shared" si="2"/>
        <v>congelamento</v>
      </c>
      <c r="F430" s="8"/>
      <c r="G430" s="8" t="str">
        <f t="shared" si="3"/>
        <v>1</v>
      </c>
      <c r="H430" s="9">
        <f t="shared" si="4"/>
        <v>1</v>
      </c>
      <c r="I430" s="6" t="str">
        <f>IFERROR(__xludf.DUMMYFUNCTION("MAX(FILTER($H$2:$H450,$E$2:$E450=F430))"),"#N/A")</f>
        <v>#N/A</v>
      </c>
    </row>
    <row r="431">
      <c r="A431" s="4"/>
      <c r="C431" s="4" t="s">
        <v>3966</v>
      </c>
      <c r="D431" s="4" t="str">
        <f t="shared" si="1"/>
        <v>{"valorA":"em","valorB":5}</v>
      </c>
      <c r="E431" s="8" t="str">
        <f t="shared" si="2"/>
        <v>em</v>
      </c>
      <c r="F431" s="8"/>
      <c r="G431" s="8" t="str">
        <f t="shared" si="3"/>
        <v>5</v>
      </c>
      <c r="H431" s="9">
        <f t="shared" si="4"/>
        <v>5</v>
      </c>
      <c r="I431" s="6" t="str">
        <f>IFERROR(__xludf.DUMMYFUNCTION("MAX(FILTER($H$2:$H450,$E$2:$E450=F431))"),"#N/A")</f>
        <v>#N/A</v>
      </c>
    </row>
    <row r="432">
      <c r="A432" s="4"/>
      <c r="C432" s="4" t="s">
        <v>3967</v>
      </c>
      <c r="D432" s="4" t="str">
        <f t="shared" si="1"/>
        <v>{"valorA":"críticos","valorB":1}</v>
      </c>
      <c r="E432" s="8" t="str">
        <f t="shared" si="2"/>
        <v>críticos</v>
      </c>
      <c r="F432" s="8"/>
      <c r="G432" s="8" t="str">
        <f t="shared" si="3"/>
        <v>1</v>
      </c>
      <c r="H432" s="9">
        <f t="shared" si="4"/>
        <v>1</v>
      </c>
      <c r="I432" s="6" t="str">
        <f>IFERROR(__xludf.DUMMYFUNCTION("MAX(FILTER($H$2:$H450,$E$2:$E450=F432))"),"#N/A")</f>
        <v>#N/A</v>
      </c>
    </row>
    <row r="433">
      <c r="A433" s="4"/>
      <c r="C433" s="4" t="s">
        <v>3968</v>
      </c>
      <c r="D433" s="4" t="str">
        <f t="shared" si="1"/>
        <v>{"valorA":"sem","valorB":2}</v>
      </c>
      <c r="E433" s="8" t="str">
        <f t="shared" si="2"/>
        <v>sem</v>
      </c>
      <c r="F433" s="8"/>
      <c r="G433" s="8" t="str">
        <f t="shared" si="3"/>
        <v>2</v>
      </c>
      <c r="H433" s="9">
        <f t="shared" si="4"/>
        <v>2</v>
      </c>
      <c r="I433" s="6" t="str">
        <f>IFERROR(__xludf.DUMMYFUNCTION("MAX(FILTER($H$2:$H450,$E$2:$E450=F433))"),"#N/A")</f>
        <v>#N/A</v>
      </c>
    </row>
    <row r="434">
      <c r="A434" s="4"/>
      <c r="C434" s="4" t="s">
        <v>3479</v>
      </c>
      <c r="D434" s="4" t="str">
        <f t="shared" si="1"/>
        <v>{"valorA":"ótima","valorB":11}</v>
      </c>
      <c r="E434" s="8" t="str">
        <f t="shared" si="2"/>
        <v>ótima</v>
      </c>
      <c r="F434" s="8"/>
      <c r="G434" s="8" t="str">
        <f t="shared" si="3"/>
        <v>11</v>
      </c>
      <c r="H434" s="9">
        <f t="shared" si="4"/>
        <v>11</v>
      </c>
      <c r="I434" s="6" t="str">
        <f>IFERROR(__xludf.DUMMYFUNCTION("MAX(FILTER($H$2:$H450,$E$2:$E450=F434))"),"#N/A")</f>
        <v>#N/A</v>
      </c>
    </row>
    <row r="435">
      <c r="A435" s="4"/>
      <c r="C435" s="4" t="s">
        <v>3193</v>
      </c>
      <c r="D435" s="4" t="str">
        <f t="shared" si="1"/>
        <v>{"valorA":"para","valorB":14}</v>
      </c>
      <c r="E435" s="8" t="str">
        <f t="shared" si="2"/>
        <v>para</v>
      </c>
      <c r="F435" s="8"/>
      <c r="G435" s="8" t="str">
        <f t="shared" si="3"/>
        <v>14</v>
      </c>
      <c r="H435" s="9">
        <f t="shared" si="4"/>
        <v>14</v>
      </c>
      <c r="I435" s="6" t="str">
        <f>IFERROR(__xludf.DUMMYFUNCTION("MAX(FILTER($H$2:$H450,$E$2:$E450=F435))"),"#N/A")</f>
        <v>#N/A</v>
      </c>
    </row>
    <row r="436">
      <c r="A436" s="4"/>
      <c r="C436" s="4" t="s">
        <v>3969</v>
      </c>
      <c r="D436" s="4" t="str">
        <f t="shared" si="1"/>
        <v>{"valorA":"fofura","valorB":1}</v>
      </c>
      <c r="E436" s="8" t="str">
        <f t="shared" si="2"/>
        <v>fofura</v>
      </c>
      <c r="F436" s="8"/>
      <c r="G436" s="8" t="str">
        <f t="shared" si="3"/>
        <v>1</v>
      </c>
      <c r="H436" s="9">
        <f t="shared" si="4"/>
        <v>1</v>
      </c>
      <c r="I436" s="6" t="str">
        <f>IFERROR(__xludf.DUMMYFUNCTION("MAX(FILTER($H$2:$H450,$E$2:$E450=F436))"),"#N/A")</f>
        <v>#N/A</v>
      </c>
    </row>
    <row r="437">
      <c r="A437" s="4"/>
      <c r="C437" s="4" t="s">
        <v>3440</v>
      </c>
      <c r="D437" s="4" t="str">
        <f t="shared" si="1"/>
        <v>{"valorA":"banho","valorB":1}</v>
      </c>
      <c r="E437" s="8" t="str">
        <f t="shared" si="2"/>
        <v>banho</v>
      </c>
      <c r="F437" s="8"/>
      <c r="G437" s="8" t="str">
        <f t="shared" si="3"/>
        <v>1</v>
      </c>
      <c r="H437" s="9">
        <f t="shared" si="4"/>
        <v>1</v>
      </c>
      <c r="I437" s="6" t="str">
        <f>IFERROR(__xludf.DUMMYFUNCTION("MAX(FILTER($H$2:$H450,$E$2:$E450=F437))"),"#N/A")</f>
        <v>#N/A</v>
      </c>
    </row>
    <row r="438">
      <c r="A438" s="4"/>
      <c r="C438" s="4" t="s">
        <v>3970</v>
      </c>
      <c r="D438" s="4" t="str">
        <f t="shared" si="1"/>
        <v>{"valorA":"toalha","valorB":1}</v>
      </c>
      <c r="E438" s="8" t="str">
        <f t="shared" si="2"/>
        <v>toalha</v>
      </c>
      <c r="F438" s="8"/>
      <c r="G438" s="8" t="str">
        <f t="shared" si="3"/>
        <v>1</v>
      </c>
      <c r="H438" s="9">
        <f t="shared" si="4"/>
        <v>1</v>
      </c>
      <c r="I438" s="6" t="str">
        <f>IFERROR(__xludf.DUMMYFUNCTION("MAX(FILTER($H$2:$H450,$E$2:$E450=F438))"),"#N/A")</f>
        <v>#N/A</v>
      </c>
    </row>
    <row r="439">
      <c r="A439" s="4"/>
      <c r="C439" s="4" t="s">
        <v>3971</v>
      </c>
      <c r="D439" s="4" t="str">
        <f t="shared" si="1"/>
        <v>{"valorA":"água","valorB":2}</v>
      </c>
      <c r="E439" s="8" t="str">
        <f t="shared" si="2"/>
        <v>água</v>
      </c>
      <c r="F439" s="8"/>
      <c r="G439" s="8" t="str">
        <f t="shared" si="3"/>
        <v>2</v>
      </c>
      <c r="H439" s="9">
        <f t="shared" si="4"/>
        <v>2</v>
      </c>
      <c r="I439" s="6" t="str">
        <f>IFERROR(__xludf.DUMMYFUNCTION("MAX(FILTER($H$2:$H450,$E$2:$E450=F439))"),"#N/A")</f>
        <v>#N/A</v>
      </c>
    </row>
    <row r="440">
      <c r="A440" s="4"/>
      <c r="C440" s="4" t="s">
        <v>3972</v>
      </c>
      <c r="D440" s="4" t="str">
        <f t="shared" si="1"/>
        <v>{"valorA":"quase","valorB":1}</v>
      </c>
      <c r="E440" s="8" t="str">
        <f t="shared" si="2"/>
        <v>quase</v>
      </c>
      <c r="F440" s="8"/>
      <c r="G440" s="8" t="str">
        <f t="shared" si="3"/>
        <v>1</v>
      </c>
      <c r="H440" s="9">
        <f t="shared" si="4"/>
        <v>1</v>
      </c>
      <c r="I440" s="6" t="str">
        <f>IFERROR(__xludf.DUMMYFUNCTION("MAX(FILTER($H$2:$H450,$E$2:$E450=F440))"),"#N/A")</f>
        <v>#N/A</v>
      </c>
    </row>
    <row r="441">
      <c r="A441" s="4"/>
      <c r="C441" s="4" t="s">
        <v>3973</v>
      </c>
      <c r="D441" s="4" t="str">
        <f t="shared" si="1"/>
        <v>{"valorA":"nem","valorB":1}</v>
      </c>
      <c r="E441" s="8" t="str">
        <f t="shared" si="2"/>
        <v>nem</v>
      </c>
      <c r="F441" s="8"/>
      <c r="G441" s="8" t="str">
        <f t="shared" si="3"/>
        <v>1</v>
      </c>
      <c r="H441" s="9">
        <f t="shared" si="4"/>
        <v>1</v>
      </c>
      <c r="I441" s="6" t="str">
        <f>IFERROR(__xludf.DUMMYFUNCTION("MAX(FILTER($H$2:$H450,$E$2:$E450=F441))"),"#N/A")</f>
        <v>#N/A</v>
      </c>
    </row>
    <row r="442">
      <c r="A442" s="4"/>
      <c r="C442" s="4" t="s">
        <v>3463</v>
      </c>
      <c r="D442" s="4" t="str">
        <f t="shared" si="1"/>
        <v>{"valorA":"óptimo","valorB":2}</v>
      </c>
      <c r="E442" s="8" t="str">
        <f t="shared" si="2"/>
        <v>óptimo</v>
      </c>
      <c r="F442" s="8"/>
      <c r="G442" s="8" t="str">
        <f t="shared" si="3"/>
        <v>2</v>
      </c>
      <c r="H442" s="9">
        <f t="shared" si="4"/>
        <v>2</v>
      </c>
      <c r="I442" s="6" t="str">
        <f>IFERROR(__xludf.DUMMYFUNCTION("MAX(FILTER($H$2:$H450,$E$2:$E450=F442))"),"#N/A")</f>
        <v>#N/A</v>
      </c>
    </row>
    <row r="443">
      <c r="A443" s="4"/>
      <c r="C443" s="4" t="s">
        <v>3334</v>
      </c>
      <c r="D443" s="4" t="str">
        <f t="shared" si="1"/>
        <v>{"valorA":"leitor","valorB":2}</v>
      </c>
      <c r="E443" s="8" t="str">
        <f t="shared" si="2"/>
        <v>leitor</v>
      </c>
      <c r="F443" s="8"/>
      <c r="G443" s="8" t="str">
        <f t="shared" si="3"/>
        <v>2</v>
      </c>
      <c r="H443" s="9">
        <f t="shared" si="4"/>
        <v>2</v>
      </c>
      <c r="I443" s="6" t="str">
        <f>IFERROR(__xludf.DUMMYFUNCTION("MAX(FILTER($H$2:$H450,$E$2:$E450=F443))"),"#N/A")</f>
        <v>#N/A</v>
      </c>
    </row>
    <row r="444">
      <c r="A444" s="4"/>
      <c r="C444" s="4" t="s">
        <v>3974</v>
      </c>
      <c r="D444" s="4" t="str">
        <f t="shared" si="1"/>
        <v>{"valorA":"eletrônico","valorB":1}</v>
      </c>
      <c r="E444" s="8" t="str">
        <f t="shared" si="2"/>
        <v>eletrônico</v>
      </c>
      <c r="F444" s="8"/>
      <c r="G444" s="8" t="str">
        <f t="shared" si="3"/>
        <v>1</v>
      </c>
      <c r="H444" s="9">
        <f t="shared" si="4"/>
        <v>1</v>
      </c>
      <c r="I444" s="6" t="str">
        <f>IFERROR(__xludf.DUMMYFUNCTION("MAX(FILTER($H$2:$H450,$E$2:$E450=F444))"),"#N/A")</f>
        <v>#N/A</v>
      </c>
    </row>
    <row r="445">
      <c r="A445" s="4"/>
      <c r="C445" s="4" t="s">
        <v>3975</v>
      </c>
      <c r="D445" s="4" t="str">
        <f t="shared" si="1"/>
        <v>{"valorA":"o","valorB":14}</v>
      </c>
      <c r="E445" s="8" t="str">
        <f t="shared" si="2"/>
        <v>o</v>
      </c>
      <c r="F445" s="8"/>
      <c r="G445" s="8" t="str">
        <f t="shared" si="3"/>
        <v>14</v>
      </c>
      <c r="H445" s="9">
        <f t="shared" si="4"/>
        <v>14</v>
      </c>
      <c r="I445" s="6" t="str">
        <f>IFERROR(__xludf.DUMMYFUNCTION("MAX(FILTER($H$2:$H450,$E$2:$E450=F445))"),"#N/A")</f>
        <v>#N/A</v>
      </c>
    </row>
    <row r="446">
      <c r="A446" s="4"/>
      <c r="C446" s="4" t="s">
        <v>2829</v>
      </c>
      <c r="D446" s="4" t="str">
        <f t="shared" si="1"/>
        <v>{"valorA":"comprei","valorB":4}</v>
      </c>
      <c r="E446" s="8" t="str">
        <f t="shared" si="2"/>
        <v>comprei</v>
      </c>
      <c r="F446" s="8"/>
      <c r="G446" s="8" t="str">
        <f t="shared" si="3"/>
        <v>4</v>
      </c>
      <c r="H446" s="9">
        <f t="shared" si="4"/>
        <v>4</v>
      </c>
      <c r="I446" s="6" t="str">
        <f>IFERROR(__xludf.DUMMYFUNCTION("MAX(FILTER($H$2:$H450,$E$2:$E450=F446))"),"#N/A")</f>
        <v>#N/A</v>
      </c>
    </row>
    <row r="447">
      <c r="A447" s="4"/>
      <c r="C447" s="4" t="s">
        <v>2713</v>
      </c>
      <c r="D447" s="4" t="str">
        <f t="shared" si="1"/>
        <v>{"valorA":"ontem","valorB":1}</v>
      </c>
      <c r="E447" s="8" t="str">
        <f t="shared" si="2"/>
        <v>ontem</v>
      </c>
      <c r="F447" s="8"/>
      <c r="G447" s="8" t="str">
        <f t="shared" si="3"/>
        <v>1</v>
      </c>
      <c r="H447" s="9">
        <f t="shared" si="4"/>
        <v>1</v>
      </c>
      <c r="I447" s="6" t="str">
        <f>IFERROR(__xludf.DUMMYFUNCTION("MAX(FILTER($H$2:$H450,$E$2:$E450=F447))"),"#N/A")</f>
        <v>#N/A</v>
      </c>
    </row>
    <row r="448">
      <c r="A448" s="4"/>
      <c r="C448" s="4" t="s">
        <v>3976</v>
      </c>
      <c r="D448" s="4" t="str">
        <f t="shared" si="1"/>
        <v>{"valorA":"livros","valorB":1}</v>
      </c>
      <c r="E448" s="8" t="str">
        <f t="shared" si="2"/>
        <v>livros</v>
      </c>
      <c r="F448" s="8"/>
      <c r="G448" s="8" t="str">
        <f t="shared" si="3"/>
        <v>1</v>
      </c>
      <c r="H448" s="9">
        <f t="shared" si="4"/>
        <v>1</v>
      </c>
      <c r="I448" s="6" t="str">
        <f>IFERROR(__xludf.DUMMYFUNCTION("MAX(FILTER($H$2:$H450,$E$2:$E450=F448))"),"#N/A")</f>
        <v>#N/A</v>
      </c>
    </row>
    <row r="449">
      <c r="A449" s="4"/>
      <c r="C449" s="4" t="s">
        <v>3486</v>
      </c>
      <c r="D449" s="4" t="str">
        <f t="shared" si="1"/>
        <v>{"valorA":"de","valorB":19}</v>
      </c>
      <c r="E449" s="8" t="str">
        <f t="shared" si="2"/>
        <v>de</v>
      </c>
      <c r="F449" s="8"/>
      <c r="G449" s="8" t="str">
        <f t="shared" si="3"/>
        <v>19</v>
      </c>
      <c r="H449" s="9">
        <f t="shared" si="4"/>
        <v>19</v>
      </c>
      <c r="I449" s="6" t="str">
        <f>IFERROR(__xludf.DUMMYFUNCTION("MAX(FILTER($H$2:$H450,$E$2:$E450=F449))"),"#N/A")</f>
        <v>#N/A</v>
      </c>
    </row>
    <row r="450">
      <c r="A450" s="4"/>
      <c r="C450" s="4" t="s">
        <v>2887</v>
      </c>
      <c r="D450" s="4" t="str">
        <f t="shared" si="1"/>
        <v>{"valorA":"que","valorB":7}</v>
      </c>
      <c r="E450" s="8" t="str">
        <f t="shared" si="2"/>
        <v>que</v>
      </c>
      <c r="F450" s="8"/>
      <c r="G450" s="8" t="str">
        <f t="shared" si="3"/>
        <v>7</v>
      </c>
      <c r="H450" s="9">
        <f t="shared" si="4"/>
        <v>7</v>
      </c>
      <c r="I450" s="6" t="str">
        <f>IFERROR(__xludf.DUMMYFUNCTION("MAX(FILTER($H$2:$H450,$E$2:$E450=F450))"),"#N/A")</f>
        <v>#N/A</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1657</v>
      </c>
    </row>
    <row r="3">
      <c r="A3" s="4" t="s">
        <v>1655</v>
      </c>
    </row>
    <row r="4">
      <c r="A4" s="4" t="s">
        <v>1655</v>
      </c>
    </row>
    <row r="5">
      <c r="A5" s="4" t="s">
        <v>1655</v>
      </c>
    </row>
    <row r="6">
      <c r="A6" s="4" t="s">
        <v>1655</v>
      </c>
    </row>
    <row r="7">
      <c r="A7" s="4" t="s">
        <v>1655</v>
      </c>
    </row>
    <row r="8">
      <c r="A8" s="4" t="s">
        <v>1657</v>
      </c>
    </row>
    <row r="9">
      <c r="A9" s="4" t="s">
        <v>1656</v>
      </c>
    </row>
    <row r="10">
      <c r="A10" s="4" t="s">
        <v>1656</v>
      </c>
    </row>
    <row r="11">
      <c r="A11" s="4" t="s">
        <v>1655</v>
      </c>
    </row>
    <row r="12">
      <c r="A12" s="4" t="s">
        <v>1656</v>
      </c>
    </row>
    <row r="13">
      <c r="A13" s="4" t="s">
        <v>1655</v>
      </c>
    </row>
    <row r="14">
      <c r="A14" s="4" t="s">
        <v>1656</v>
      </c>
    </row>
    <row r="15">
      <c r="A15" s="4" t="s">
        <v>1655</v>
      </c>
    </row>
    <row r="16">
      <c r="A16" s="4" t="s">
        <v>1655</v>
      </c>
    </row>
    <row r="17">
      <c r="A17" s="4" t="s">
        <v>1655</v>
      </c>
    </row>
    <row r="18">
      <c r="A18" s="4" t="s">
        <v>1655</v>
      </c>
    </row>
    <row r="19">
      <c r="A19" s="4" t="s">
        <v>1657</v>
      </c>
    </row>
    <row r="20">
      <c r="A20" s="4" t="s">
        <v>1655</v>
      </c>
    </row>
    <row r="21">
      <c r="A21" s="4" t="s">
        <v>1655</v>
      </c>
    </row>
    <row r="22">
      <c r="A22" s="4" t="s">
        <v>1656</v>
      </c>
    </row>
    <row r="23">
      <c r="A23" s="4" t="s">
        <v>1655</v>
      </c>
    </row>
    <row r="24">
      <c r="A24" s="4" t="s">
        <v>1655</v>
      </c>
    </row>
    <row r="25">
      <c r="A25" s="4" t="s">
        <v>1656</v>
      </c>
    </row>
    <row r="26">
      <c r="A26" s="4" t="s">
        <v>1656</v>
      </c>
    </row>
    <row r="27">
      <c r="A27" s="4" t="s">
        <v>1657</v>
      </c>
    </row>
    <row r="28">
      <c r="A28" s="4" t="s">
        <v>1657</v>
      </c>
    </row>
    <row r="29">
      <c r="A29" s="4" t="s">
        <v>1655</v>
      </c>
    </row>
    <row r="30">
      <c r="A30" s="4" t="s">
        <v>1657</v>
      </c>
    </row>
    <row r="31">
      <c r="A31" s="4" t="s">
        <v>1656</v>
      </c>
    </row>
    <row r="32">
      <c r="A32" s="4" t="s">
        <v>1656</v>
      </c>
    </row>
    <row r="33">
      <c r="A33" s="4" t="s">
        <v>1656</v>
      </c>
    </row>
    <row r="34">
      <c r="A34" s="4" t="s">
        <v>1655</v>
      </c>
    </row>
    <row r="35">
      <c r="A35" s="4" t="s">
        <v>1655</v>
      </c>
    </row>
    <row r="36">
      <c r="A36" s="4" t="s">
        <v>1656</v>
      </c>
    </row>
    <row r="37">
      <c r="A37" s="4" t="s">
        <v>1656</v>
      </c>
    </row>
    <row r="38">
      <c r="A38" s="4" t="s">
        <v>1657</v>
      </c>
    </row>
    <row r="39">
      <c r="A39" s="4" t="s">
        <v>1656</v>
      </c>
    </row>
    <row r="40">
      <c r="A40" s="4" t="s">
        <v>1657</v>
      </c>
    </row>
    <row r="41">
      <c r="A41" s="4" t="s">
        <v>1656</v>
      </c>
    </row>
    <row r="42">
      <c r="A42" s="4" t="s">
        <v>1655</v>
      </c>
    </row>
    <row r="43">
      <c r="A43" s="4" t="s">
        <v>1655</v>
      </c>
    </row>
    <row r="44">
      <c r="A44" s="4" t="s">
        <v>1657</v>
      </c>
    </row>
    <row r="45">
      <c r="A45" s="4" t="s">
        <v>1655</v>
      </c>
    </row>
    <row r="46">
      <c r="A46" s="4" t="s">
        <v>1657</v>
      </c>
    </row>
    <row r="47">
      <c r="A47" s="4" t="s">
        <v>1655</v>
      </c>
    </row>
    <row r="48">
      <c r="A48" s="4" t="s">
        <v>1656</v>
      </c>
    </row>
    <row r="49">
      <c r="A49" s="4" t="s">
        <v>1656</v>
      </c>
    </row>
    <row r="50">
      <c r="A50" s="4" t="s">
        <v>1657</v>
      </c>
    </row>
    <row r="51">
      <c r="A51" s="4" t="s">
        <v>1656</v>
      </c>
    </row>
    <row r="52">
      <c r="A52" s="4" t="s">
        <v>1657</v>
      </c>
    </row>
    <row r="53">
      <c r="A53" s="4" t="s">
        <v>1655</v>
      </c>
    </row>
    <row r="54">
      <c r="A54" s="4" t="s">
        <v>1655</v>
      </c>
    </row>
    <row r="55">
      <c r="A55" s="4" t="s">
        <v>1657</v>
      </c>
    </row>
    <row r="56">
      <c r="A56" s="4" t="s">
        <v>1657</v>
      </c>
    </row>
    <row r="57">
      <c r="A57" s="4" t="s">
        <v>1656</v>
      </c>
    </row>
    <row r="58">
      <c r="A58" s="4" t="s">
        <v>1656</v>
      </c>
    </row>
    <row r="59">
      <c r="A59" s="4" t="s">
        <v>1655</v>
      </c>
    </row>
    <row r="60">
      <c r="A60" s="4" t="s">
        <v>1657</v>
      </c>
    </row>
    <row r="61">
      <c r="A61" s="4" t="s">
        <v>1657</v>
      </c>
    </row>
    <row r="62">
      <c r="A62" s="4" t="s">
        <v>1656</v>
      </c>
    </row>
    <row r="63">
      <c r="A63" s="4" t="s">
        <v>1656</v>
      </c>
    </row>
    <row r="64">
      <c r="A64" s="4" t="s">
        <v>1657</v>
      </c>
    </row>
    <row r="65">
      <c r="A65" s="4" t="s">
        <v>1656</v>
      </c>
    </row>
    <row r="66">
      <c r="A66" s="4" t="s">
        <v>1656</v>
      </c>
    </row>
    <row r="67">
      <c r="A67" s="4" t="s">
        <v>1656</v>
      </c>
    </row>
    <row r="68">
      <c r="A68" s="4" t="s">
        <v>1657</v>
      </c>
    </row>
    <row r="69">
      <c r="A69" s="4" t="s">
        <v>1656</v>
      </c>
    </row>
    <row r="70">
      <c r="A70" s="4" t="s">
        <v>1656</v>
      </c>
    </row>
    <row r="71">
      <c r="A71" s="4" t="s">
        <v>1655</v>
      </c>
    </row>
    <row r="72">
      <c r="A72" s="4" t="s">
        <v>1655</v>
      </c>
    </row>
    <row r="73">
      <c r="A73" s="4" t="s">
        <v>1657</v>
      </c>
    </row>
    <row r="74">
      <c r="A74" s="4" t="s">
        <v>1657</v>
      </c>
    </row>
    <row r="75">
      <c r="A75" s="4" t="s">
        <v>1657</v>
      </c>
    </row>
    <row r="76">
      <c r="A76" s="4" t="s">
        <v>1657</v>
      </c>
    </row>
    <row r="77">
      <c r="A77" s="4" t="s">
        <v>1657</v>
      </c>
    </row>
    <row r="78">
      <c r="A78" s="4" t="s">
        <v>1655</v>
      </c>
    </row>
    <row r="79">
      <c r="A79" s="4" t="s">
        <v>1655</v>
      </c>
    </row>
    <row r="80">
      <c r="A80" s="4" t="s">
        <v>1656</v>
      </c>
    </row>
    <row r="81">
      <c r="A81" s="4" t="s">
        <v>1656</v>
      </c>
    </row>
    <row r="82">
      <c r="A82" s="4" t="s">
        <v>1656</v>
      </c>
    </row>
    <row r="83">
      <c r="A83" s="4" t="s">
        <v>1655</v>
      </c>
    </row>
    <row r="84">
      <c r="A84" s="4" t="s">
        <v>1657</v>
      </c>
    </row>
    <row r="85">
      <c r="A85" s="4" t="s">
        <v>1656</v>
      </c>
    </row>
    <row r="86">
      <c r="A86" s="4" t="s">
        <v>1657</v>
      </c>
    </row>
    <row r="87">
      <c r="A87" s="4" t="s">
        <v>1655</v>
      </c>
    </row>
    <row r="88">
      <c r="A88" s="4" t="s">
        <v>1655</v>
      </c>
    </row>
    <row r="89">
      <c r="A89" s="4" t="s">
        <v>1655</v>
      </c>
    </row>
    <row r="90">
      <c r="A90" s="4" t="s">
        <v>1655</v>
      </c>
    </row>
    <row r="91">
      <c r="A91" s="4" t="s">
        <v>1656</v>
      </c>
    </row>
    <row r="92">
      <c r="A92" s="4" t="s">
        <v>1656</v>
      </c>
    </row>
    <row r="93">
      <c r="A93" s="4" t="s">
        <v>1657</v>
      </c>
    </row>
    <row r="94">
      <c r="A94" s="4" t="s">
        <v>1655</v>
      </c>
    </row>
    <row r="95">
      <c r="A95" s="4" t="s">
        <v>1657</v>
      </c>
    </row>
    <row r="96">
      <c r="A96" s="4" t="s">
        <v>1657</v>
      </c>
    </row>
    <row r="97">
      <c r="A97" s="4" t="s">
        <v>1657</v>
      </c>
    </row>
    <row r="98">
      <c r="A98" s="4" t="s">
        <v>1657</v>
      </c>
    </row>
    <row r="99">
      <c r="A99" s="4" t="s">
        <v>1656</v>
      </c>
    </row>
    <row r="100">
      <c r="A100" s="4" t="s">
        <v>1657</v>
      </c>
    </row>
    <row r="101">
      <c r="A101" s="4" t="s">
        <v>1656</v>
      </c>
    </row>
    <row r="102">
      <c r="A102" s="4" t="s">
        <v>1655</v>
      </c>
    </row>
    <row r="103">
      <c r="A103" s="4" t="s">
        <v>1656</v>
      </c>
    </row>
    <row r="104">
      <c r="A104" s="4" t="s">
        <v>1657</v>
      </c>
    </row>
    <row r="105">
      <c r="A105" s="4" t="s">
        <v>1655</v>
      </c>
    </row>
    <row r="106">
      <c r="A106" s="4" t="s">
        <v>1655</v>
      </c>
    </row>
    <row r="107">
      <c r="A107" s="4" t="s">
        <v>1656</v>
      </c>
    </row>
    <row r="108">
      <c r="A108" s="4" t="s">
        <v>1656</v>
      </c>
    </row>
    <row r="109">
      <c r="A109" s="4" t="s">
        <v>1657</v>
      </c>
    </row>
    <row r="110">
      <c r="A110" s="4" t="s">
        <v>1656</v>
      </c>
    </row>
    <row r="111">
      <c r="A111" s="4" t="s">
        <v>1655</v>
      </c>
    </row>
    <row r="112">
      <c r="A112" s="4" t="s">
        <v>1655</v>
      </c>
    </row>
    <row r="113">
      <c r="A113" s="4" t="s">
        <v>1655</v>
      </c>
    </row>
    <row r="114">
      <c r="A114" s="4" t="s">
        <v>1657</v>
      </c>
    </row>
    <row r="115">
      <c r="A115" s="4" t="s">
        <v>1656</v>
      </c>
    </row>
    <row r="116">
      <c r="A116" s="4" t="s">
        <v>1657</v>
      </c>
    </row>
    <row r="117">
      <c r="A117" s="4" t="s">
        <v>1655</v>
      </c>
    </row>
    <row r="118">
      <c r="A118" s="4" t="s">
        <v>1657</v>
      </c>
    </row>
    <row r="119">
      <c r="A119" s="4" t="s">
        <v>1657</v>
      </c>
    </row>
    <row r="120">
      <c r="A120" s="4" t="s">
        <v>1655</v>
      </c>
    </row>
    <row r="121">
      <c r="A121" s="4" t="s">
        <v>1656</v>
      </c>
    </row>
    <row r="122">
      <c r="A122" s="4" t="s">
        <v>1657</v>
      </c>
    </row>
    <row r="123">
      <c r="A123" s="4" t="s">
        <v>1655</v>
      </c>
    </row>
    <row r="124">
      <c r="A124" s="4" t="s">
        <v>1655</v>
      </c>
    </row>
    <row r="125">
      <c r="A125" s="4" t="s">
        <v>1656</v>
      </c>
    </row>
    <row r="126">
      <c r="A126" s="4" t="s">
        <v>1657</v>
      </c>
    </row>
    <row r="127">
      <c r="A127" s="4" t="s">
        <v>1657</v>
      </c>
    </row>
    <row r="128">
      <c r="A128" s="4" t="s">
        <v>1656</v>
      </c>
    </row>
    <row r="129">
      <c r="A129" s="4" t="s">
        <v>1656</v>
      </c>
    </row>
    <row r="130">
      <c r="A130" s="4" t="s">
        <v>1655</v>
      </c>
    </row>
    <row r="131">
      <c r="A131" s="4" t="s">
        <v>1655</v>
      </c>
    </row>
    <row r="132">
      <c r="A132" s="4" t="s">
        <v>1657</v>
      </c>
    </row>
    <row r="133">
      <c r="A133" s="4" t="s">
        <v>1657</v>
      </c>
    </row>
    <row r="134">
      <c r="A134" s="4" t="s">
        <v>1655</v>
      </c>
    </row>
    <row r="135">
      <c r="A135" s="4" t="s">
        <v>1655</v>
      </c>
    </row>
    <row r="136">
      <c r="A136" s="4" t="s">
        <v>1656</v>
      </c>
    </row>
    <row r="137">
      <c r="A137" s="4" t="s">
        <v>1657</v>
      </c>
    </row>
    <row r="138">
      <c r="A138" s="4" t="s">
        <v>1655</v>
      </c>
    </row>
    <row r="139">
      <c r="A139" s="4" t="s">
        <v>1655</v>
      </c>
    </row>
    <row r="140">
      <c r="A140" s="4" t="s">
        <v>1656</v>
      </c>
    </row>
    <row r="141">
      <c r="A141" s="4" t="s">
        <v>1655</v>
      </c>
    </row>
    <row r="142">
      <c r="A142" s="4" t="s">
        <v>1657</v>
      </c>
    </row>
    <row r="143">
      <c r="A143" s="4" t="s">
        <v>1655</v>
      </c>
    </row>
    <row r="144">
      <c r="A144" s="4" t="s">
        <v>1656</v>
      </c>
    </row>
    <row r="145">
      <c r="A145" s="4" t="s">
        <v>1656</v>
      </c>
    </row>
    <row r="146">
      <c r="A146" s="4" t="s">
        <v>1657</v>
      </c>
    </row>
    <row r="147">
      <c r="A147" s="4" t="s">
        <v>1657</v>
      </c>
    </row>
    <row r="148">
      <c r="A148" s="4" t="s">
        <v>1656</v>
      </c>
    </row>
    <row r="149">
      <c r="A149" s="4" t="s">
        <v>1656</v>
      </c>
    </row>
    <row r="150">
      <c r="A150" s="4" t="s">
        <v>1657</v>
      </c>
    </row>
    <row r="151">
      <c r="A151" s="4" t="s">
        <v>1655</v>
      </c>
    </row>
    <row r="152">
      <c r="A152" s="4" t="s">
        <v>1655</v>
      </c>
    </row>
    <row r="153">
      <c r="A153" s="4" t="s">
        <v>1657</v>
      </c>
    </row>
    <row r="154">
      <c r="A154" s="4" t="s">
        <v>1655</v>
      </c>
    </row>
    <row r="155">
      <c r="A155" s="4" t="s">
        <v>1656</v>
      </c>
    </row>
    <row r="156">
      <c r="A156" s="4" t="s">
        <v>1655</v>
      </c>
    </row>
    <row r="157">
      <c r="A157" s="4" t="s">
        <v>1656</v>
      </c>
    </row>
    <row r="158">
      <c r="A158" s="4" t="s">
        <v>1656</v>
      </c>
    </row>
    <row r="159">
      <c r="A159" s="4" t="s">
        <v>1655</v>
      </c>
    </row>
    <row r="160">
      <c r="A160" s="4" t="s">
        <v>1656</v>
      </c>
    </row>
    <row r="161">
      <c r="A161" s="4" t="s">
        <v>1655</v>
      </c>
    </row>
    <row r="162">
      <c r="A162" s="4" t="s">
        <v>1655</v>
      </c>
    </row>
    <row r="163">
      <c r="A163" s="4" t="s">
        <v>1655</v>
      </c>
    </row>
    <row r="164">
      <c r="A164" s="4" t="s">
        <v>1657</v>
      </c>
    </row>
    <row r="165">
      <c r="A165" s="4" t="s">
        <v>1655</v>
      </c>
    </row>
    <row r="166">
      <c r="A166" s="4" t="s">
        <v>1655</v>
      </c>
    </row>
    <row r="167">
      <c r="A167" s="4" t="s">
        <v>1656</v>
      </c>
    </row>
    <row r="168">
      <c r="A168" s="4" t="s">
        <v>1657</v>
      </c>
    </row>
    <row r="169">
      <c r="A169" s="4" t="s">
        <v>1657</v>
      </c>
    </row>
    <row r="170">
      <c r="A170" s="4" t="s">
        <v>1655</v>
      </c>
    </row>
    <row r="171">
      <c r="A171" s="4" t="s">
        <v>1656</v>
      </c>
    </row>
    <row r="172">
      <c r="A172" s="4" t="s">
        <v>1655</v>
      </c>
    </row>
    <row r="173">
      <c r="A173" s="4" t="s">
        <v>1655</v>
      </c>
    </row>
    <row r="174">
      <c r="A174" s="4" t="s">
        <v>1656</v>
      </c>
    </row>
    <row r="175">
      <c r="A175" s="4" t="s">
        <v>1655</v>
      </c>
    </row>
    <row r="176">
      <c r="A176" s="4" t="s">
        <v>1657</v>
      </c>
    </row>
    <row r="177">
      <c r="A177" s="4" t="s">
        <v>1655</v>
      </c>
    </row>
    <row r="178">
      <c r="A178" s="4" t="s">
        <v>1655</v>
      </c>
    </row>
    <row r="179">
      <c r="A179" s="4" t="s">
        <v>1656</v>
      </c>
    </row>
    <row r="180">
      <c r="A180" s="4" t="s">
        <v>1656</v>
      </c>
    </row>
    <row r="181">
      <c r="A181" s="4" t="s">
        <v>1655</v>
      </c>
    </row>
    <row r="182">
      <c r="A182" s="4" t="s">
        <v>1657</v>
      </c>
    </row>
    <row r="183">
      <c r="A183" s="4" t="s">
        <v>1656</v>
      </c>
    </row>
    <row r="184">
      <c r="A184" s="4" t="s">
        <v>1657</v>
      </c>
    </row>
    <row r="185">
      <c r="A185" s="4" t="s">
        <v>1655</v>
      </c>
    </row>
    <row r="186">
      <c r="A186" s="4" t="s">
        <v>1656</v>
      </c>
    </row>
    <row r="187">
      <c r="A187" s="4" t="s">
        <v>1656</v>
      </c>
    </row>
    <row r="188">
      <c r="A188" s="4" t="s">
        <v>1656</v>
      </c>
    </row>
    <row r="189">
      <c r="A189" s="4" t="s">
        <v>1657</v>
      </c>
    </row>
    <row r="190">
      <c r="A190" s="4" t="s">
        <v>1655</v>
      </c>
    </row>
    <row r="191">
      <c r="A191" s="4" t="s">
        <v>1656</v>
      </c>
    </row>
    <row r="192">
      <c r="A192" s="4" t="s">
        <v>1656</v>
      </c>
    </row>
    <row r="193">
      <c r="A193" s="4" t="s">
        <v>1655</v>
      </c>
    </row>
    <row r="194">
      <c r="A194" s="4" t="s">
        <v>1656</v>
      </c>
    </row>
    <row r="195">
      <c r="A195" s="4" t="s">
        <v>1655</v>
      </c>
    </row>
    <row r="196">
      <c r="A196" s="4" t="s">
        <v>1656</v>
      </c>
    </row>
    <row r="197">
      <c r="A197" s="4" t="s">
        <v>1656</v>
      </c>
    </row>
    <row r="198">
      <c r="A198" s="4" t="s">
        <v>1655</v>
      </c>
    </row>
    <row r="199">
      <c r="A199" s="4" t="s">
        <v>1655</v>
      </c>
    </row>
    <row r="200">
      <c r="A200" s="4" t="s">
        <v>1657</v>
      </c>
    </row>
    <row r="201">
      <c r="A201" s="4" t="s">
        <v>1657</v>
      </c>
    </row>
    <row r="202">
      <c r="A202" s="4" t="s">
        <v>1657</v>
      </c>
    </row>
    <row r="203">
      <c r="A203" s="4" t="s">
        <v>1656</v>
      </c>
    </row>
    <row r="204">
      <c r="A204" s="4" t="s">
        <v>1657</v>
      </c>
    </row>
    <row r="205">
      <c r="A205" s="4" t="s">
        <v>1656</v>
      </c>
    </row>
    <row r="206">
      <c r="A206" s="4" t="s">
        <v>1657</v>
      </c>
    </row>
    <row r="207">
      <c r="A207" s="4" t="s">
        <v>1655</v>
      </c>
    </row>
    <row r="208">
      <c r="A208" s="4" t="s">
        <v>1655</v>
      </c>
    </row>
    <row r="209">
      <c r="A209" s="4" t="s">
        <v>1657</v>
      </c>
    </row>
    <row r="210">
      <c r="A210" s="4" t="s">
        <v>1655</v>
      </c>
    </row>
    <row r="211">
      <c r="A211" s="4" t="s">
        <v>1656</v>
      </c>
    </row>
    <row r="212">
      <c r="A212" s="4" t="s">
        <v>1656</v>
      </c>
    </row>
    <row r="213">
      <c r="A213" s="4" t="s">
        <v>1655</v>
      </c>
    </row>
    <row r="214">
      <c r="A214" s="4" t="s">
        <v>1657</v>
      </c>
    </row>
    <row r="215">
      <c r="A215" s="4" t="s">
        <v>1656</v>
      </c>
    </row>
    <row r="216">
      <c r="A216" s="4" t="s">
        <v>1655</v>
      </c>
    </row>
    <row r="217">
      <c r="A217" s="4" t="s">
        <v>1656</v>
      </c>
    </row>
    <row r="218">
      <c r="A218" s="4" t="s">
        <v>1656</v>
      </c>
    </row>
    <row r="219">
      <c r="A219" s="4" t="s">
        <v>1657</v>
      </c>
    </row>
    <row r="220">
      <c r="A220" s="4" t="s">
        <v>1657</v>
      </c>
    </row>
    <row r="221">
      <c r="A221" s="4" t="s">
        <v>1657</v>
      </c>
    </row>
    <row r="222">
      <c r="A222" s="4" t="s">
        <v>1656</v>
      </c>
    </row>
    <row r="223">
      <c r="A223" s="4" t="s">
        <v>1657</v>
      </c>
    </row>
    <row r="224">
      <c r="A224" s="4" t="s">
        <v>1656</v>
      </c>
    </row>
    <row r="225">
      <c r="A225" s="4" t="s">
        <v>1656</v>
      </c>
    </row>
    <row r="226">
      <c r="A226" s="4" t="s">
        <v>1657</v>
      </c>
    </row>
    <row r="227">
      <c r="A227" s="4" t="s">
        <v>1655</v>
      </c>
    </row>
    <row r="228">
      <c r="A228" s="4" t="s">
        <v>1655</v>
      </c>
    </row>
    <row r="229">
      <c r="A229" s="4" t="s">
        <v>1655</v>
      </c>
    </row>
    <row r="230">
      <c r="A230" s="4" t="s">
        <v>1657</v>
      </c>
    </row>
    <row r="231">
      <c r="A231" s="4" t="s">
        <v>1657</v>
      </c>
    </row>
    <row r="232">
      <c r="A232" s="4" t="s">
        <v>1656</v>
      </c>
    </row>
    <row r="233">
      <c r="A233" s="4" t="s">
        <v>1656</v>
      </c>
    </row>
    <row r="234">
      <c r="A234" s="4" t="s">
        <v>1657</v>
      </c>
    </row>
    <row r="235">
      <c r="A235" s="4" t="s">
        <v>1656</v>
      </c>
    </row>
    <row r="236">
      <c r="A236" s="4" t="s">
        <v>1655</v>
      </c>
    </row>
    <row r="237">
      <c r="A237" s="4" t="s">
        <v>1655</v>
      </c>
    </row>
    <row r="238">
      <c r="A238" s="4" t="s">
        <v>1655</v>
      </c>
    </row>
    <row r="239">
      <c r="A239" s="4" t="s">
        <v>1655</v>
      </c>
    </row>
    <row r="240">
      <c r="A240" s="4" t="s">
        <v>1655</v>
      </c>
    </row>
    <row r="241">
      <c r="A241" s="4" t="s">
        <v>1655</v>
      </c>
    </row>
    <row r="242">
      <c r="A242" s="4" t="s">
        <v>1655</v>
      </c>
    </row>
    <row r="243">
      <c r="A243" s="4" t="s">
        <v>1655</v>
      </c>
    </row>
    <row r="244">
      <c r="A244" s="4" t="s">
        <v>1657</v>
      </c>
    </row>
    <row r="245">
      <c r="A245" s="4" t="s">
        <v>1657</v>
      </c>
    </row>
    <row r="246">
      <c r="A246" s="4" t="s">
        <v>1655</v>
      </c>
    </row>
    <row r="247">
      <c r="A247" s="4" t="s">
        <v>1657</v>
      </c>
    </row>
    <row r="248">
      <c r="A248" s="4" t="s">
        <v>1655</v>
      </c>
    </row>
    <row r="249">
      <c r="A249" s="4" t="s">
        <v>1657</v>
      </c>
    </row>
    <row r="250">
      <c r="A250" s="4" t="s">
        <v>1656</v>
      </c>
    </row>
    <row r="251">
      <c r="A251" s="4" t="s">
        <v>1655</v>
      </c>
    </row>
    <row r="252">
      <c r="A252" s="4" t="s">
        <v>1657</v>
      </c>
    </row>
    <row r="253">
      <c r="A253" s="4" t="s">
        <v>1656</v>
      </c>
    </row>
    <row r="254">
      <c r="A254" s="4" t="s">
        <v>1657</v>
      </c>
    </row>
    <row r="255">
      <c r="A255" s="4" t="s">
        <v>1657</v>
      </c>
    </row>
    <row r="256">
      <c r="A256" s="4" t="s">
        <v>1656</v>
      </c>
    </row>
    <row r="257">
      <c r="A257" s="4" t="s">
        <v>1655</v>
      </c>
    </row>
    <row r="258">
      <c r="A258" s="4" t="s">
        <v>1657</v>
      </c>
    </row>
    <row r="259">
      <c r="A259" s="4" t="s">
        <v>1657</v>
      </c>
    </row>
    <row r="260">
      <c r="A260" s="4" t="s">
        <v>1655</v>
      </c>
    </row>
    <row r="261">
      <c r="A261" s="4" t="s">
        <v>1656</v>
      </c>
    </row>
    <row r="262">
      <c r="A262" s="4" t="s">
        <v>1657</v>
      </c>
    </row>
    <row r="263">
      <c r="A263" s="4" t="s">
        <v>1657</v>
      </c>
    </row>
    <row r="264">
      <c r="A264" s="4" t="s">
        <v>1655</v>
      </c>
    </row>
    <row r="265">
      <c r="A265" s="4" t="s">
        <v>1656</v>
      </c>
    </row>
    <row r="266">
      <c r="A266" s="4" t="s">
        <v>1656</v>
      </c>
    </row>
    <row r="267">
      <c r="A267" s="4" t="s">
        <v>1656</v>
      </c>
    </row>
    <row r="268">
      <c r="A268" s="4" t="s">
        <v>1657</v>
      </c>
    </row>
    <row r="269">
      <c r="A269" s="4" t="s">
        <v>1655</v>
      </c>
    </row>
    <row r="270">
      <c r="A270" s="4" t="s">
        <v>1655</v>
      </c>
    </row>
    <row r="271">
      <c r="A271" s="4" t="s">
        <v>1657</v>
      </c>
    </row>
    <row r="272">
      <c r="A272" s="4" t="s">
        <v>1656</v>
      </c>
    </row>
    <row r="273">
      <c r="A273" s="4" t="s">
        <v>1657</v>
      </c>
    </row>
    <row r="274">
      <c r="A274" s="4" t="s">
        <v>1657</v>
      </c>
    </row>
    <row r="275">
      <c r="A275" s="4" t="s">
        <v>1657</v>
      </c>
    </row>
    <row r="276">
      <c r="A276" s="4" t="s">
        <v>1656</v>
      </c>
    </row>
    <row r="277">
      <c r="A277" s="4" t="s">
        <v>1656</v>
      </c>
    </row>
    <row r="278">
      <c r="A278" s="4" t="s">
        <v>1655</v>
      </c>
    </row>
    <row r="279">
      <c r="A279" s="4" t="s">
        <v>1656</v>
      </c>
    </row>
    <row r="280">
      <c r="A280" s="4" t="s">
        <v>1656</v>
      </c>
    </row>
    <row r="281">
      <c r="A281" s="4" t="s">
        <v>1656</v>
      </c>
    </row>
    <row r="282">
      <c r="A282" s="4" t="s">
        <v>1657</v>
      </c>
    </row>
    <row r="283">
      <c r="A283" s="4" t="s">
        <v>1657</v>
      </c>
    </row>
    <row r="284">
      <c r="A284" s="4" t="s">
        <v>1656</v>
      </c>
    </row>
    <row r="285">
      <c r="A285" s="4" t="s">
        <v>1656</v>
      </c>
    </row>
    <row r="286">
      <c r="A286" s="4" t="s">
        <v>1656</v>
      </c>
    </row>
    <row r="287">
      <c r="A287" s="4" t="s">
        <v>1655</v>
      </c>
    </row>
    <row r="288">
      <c r="A288" s="4" t="s">
        <v>1657</v>
      </c>
    </row>
    <row r="289">
      <c r="A289" s="4" t="s">
        <v>1656</v>
      </c>
    </row>
    <row r="290">
      <c r="A290" s="4" t="s">
        <v>1657</v>
      </c>
    </row>
    <row r="291">
      <c r="A291" s="4" t="s">
        <v>1655</v>
      </c>
    </row>
    <row r="292">
      <c r="A292" s="4" t="s">
        <v>1657</v>
      </c>
    </row>
    <row r="293">
      <c r="A293" s="4" t="s">
        <v>1657</v>
      </c>
    </row>
    <row r="294">
      <c r="A294" s="4" t="s">
        <v>1657</v>
      </c>
    </row>
    <row r="295">
      <c r="A295" s="4" t="s">
        <v>1656</v>
      </c>
    </row>
    <row r="296">
      <c r="A296" s="4" t="s">
        <v>1657</v>
      </c>
    </row>
    <row r="297">
      <c r="A297" s="4" t="s">
        <v>1656</v>
      </c>
    </row>
    <row r="298">
      <c r="A298" s="4" t="s">
        <v>1657</v>
      </c>
    </row>
    <row r="299">
      <c r="A299" s="4" t="s">
        <v>1657</v>
      </c>
    </row>
    <row r="300">
      <c r="A300" s="4" t="s">
        <v>1657</v>
      </c>
    </row>
    <row r="301">
      <c r="A301" s="4" t="s">
        <v>1655</v>
      </c>
    </row>
    <row r="302">
      <c r="A302" s="4" t="s">
        <v>1656</v>
      </c>
    </row>
    <row r="303">
      <c r="A303" s="4" t="s">
        <v>1655</v>
      </c>
    </row>
    <row r="304">
      <c r="A304" s="4" t="s">
        <v>1657</v>
      </c>
    </row>
    <row r="305">
      <c r="A305" s="4" t="s">
        <v>1657</v>
      </c>
    </row>
    <row r="306">
      <c r="A306" s="4" t="s">
        <v>1656</v>
      </c>
    </row>
    <row r="307">
      <c r="A307" s="4" t="s">
        <v>1657</v>
      </c>
    </row>
    <row r="308">
      <c r="A308" s="4" t="s">
        <v>1657</v>
      </c>
    </row>
    <row r="309">
      <c r="A309" s="4" t="s">
        <v>1656</v>
      </c>
    </row>
    <row r="310">
      <c r="A310" s="4" t="s">
        <v>1657</v>
      </c>
    </row>
    <row r="311">
      <c r="A311" s="4" t="s">
        <v>1655</v>
      </c>
    </row>
    <row r="312">
      <c r="A312" s="4" t="s">
        <v>1657</v>
      </c>
    </row>
    <row r="313">
      <c r="A313" s="4" t="s">
        <v>1655</v>
      </c>
    </row>
    <row r="314">
      <c r="A314" s="4" t="s">
        <v>1656</v>
      </c>
    </row>
    <row r="315">
      <c r="A315" s="4" t="s">
        <v>1657</v>
      </c>
    </row>
    <row r="316">
      <c r="A316" s="4" t="s">
        <v>1656</v>
      </c>
    </row>
    <row r="317">
      <c r="A317" s="4" t="s">
        <v>1655</v>
      </c>
    </row>
    <row r="318">
      <c r="A318" s="4" t="s">
        <v>1655</v>
      </c>
    </row>
    <row r="319">
      <c r="A319" s="4" t="s">
        <v>1657</v>
      </c>
    </row>
    <row r="320">
      <c r="A320" s="4" t="s">
        <v>1655</v>
      </c>
    </row>
    <row r="321">
      <c r="A321" s="4" t="s">
        <v>1657</v>
      </c>
    </row>
    <row r="322">
      <c r="A322" s="4" t="s">
        <v>1655</v>
      </c>
    </row>
    <row r="323">
      <c r="A323" s="4" t="s">
        <v>1656</v>
      </c>
    </row>
    <row r="324">
      <c r="A324" s="4" t="s">
        <v>1655</v>
      </c>
    </row>
    <row r="325">
      <c r="A325" s="4" t="s">
        <v>1657</v>
      </c>
    </row>
    <row r="326">
      <c r="A326" s="4" t="s">
        <v>1657</v>
      </c>
    </row>
    <row r="327">
      <c r="A327" s="4" t="s">
        <v>1656</v>
      </c>
    </row>
    <row r="328">
      <c r="A328" s="4" t="s">
        <v>1655</v>
      </c>
    </row>
    <row r="329">
      <c r="A329" s="4" t="s">
        <v>1655</v>
      </c>
    </row>
    <row r="330">
      <c r="A330" s="4" t="s">
        <v>1657</v>
      </c>
    </row>
    <row r="331">
      <c r="A331" s="4" t="s">
        <v>1656</v>
      </c>
    </row>
    <row r="332">
      <c r="A332" s="4" t="s">
        <v>1655</v>
      </c>
    </row>
    <row r="333">
      <c r="A333" s="4" t="s">
        <v>1655</v>
      </c>
    </row>
    <row r="334">
      <c r="A334" s="4" t="s">
        <v>1655</v>
      </c>
    </row>
    <row r="335">
      <c r="A335" s="4" t="s">
        <v>1656</v>
      </c>
    </row>
    <row r="336">
      <c r="A336" s="4" t="s">
        <v>1657</v>
      </c>
    </row>
    <row r="337">
      <c r="A337" s="4" t="s">
        <v>1655</v>
      </c>
    </row>
    <row r="338">
      <c r="A338" s="4" t="s">
        <v>1657</v>
      </c>
    </row>
    <row r="339">
      <c r="A339" s="4" t="s">
        <v>1656</v>
      </c>
    </row>
    <row r="340">
      <c r="A340" s="4" t="s">
        <v>1656</v>
      </c>
    </row>
    <row r="341">
      <c r="A341" s="4" t="s">
        <v>1656</v>
      </c>
    </row>
    <row r="342">
      <c r="A342" s="4" t="s">
        <v>1655</v>
      </c>
    </row>
    <row r="343">
      <c r="A343" s="4" t="s">
        <v>1655</v>
      </c>
    </row>
    <row r="344">
      <c r="A344" s="4" t="s">
        <v>1657</v>
      </c>
    </row>
    <row r="345">
      <c r="A345" s="4" t="s">
        <v>1656</v>
      </c>
    </row>
    <row r="346">
      <c r="A346" s="4" t="s">
        <v>1657</v>
      </c>
    </row>
    <row r="347">
      <c r="A347" s="4" t="s">
        <v>1656</v>
      </c>
    </row>
    <row r="348">
      <c r="A348" s="4" t="s">
        <v>1657</v>
      </c>
    </row>
    <row r="349">
      <c r="A349" s="4" t="s">
        <v>1657</v>
      </c>
    </row>
    <row r="350">
      <c r="A350" s="4" t="s">
        <v>1656</v>
      </c>
    </row>
    <row r="351">
      <c r="A351" s="4" t="s">
        <v>1657</v>
      </c>
    </row>
    <row r="352">
      <c r="A352" s="4" t="s">
        <v>1657</v>
      </c>
    </row>
    <row r="353">
      <c r="A353" s="4" t="s">
        <v>1657</v>
      </c>
    </row>
    <row r="354">
      <c r="A354" s="4" t="s">
        <v>1656</v>
      </c>
    </row>
    <row r="355">
      <c r="A355" s="4" t="s">
        <v>1656</v>
      </c>
    </row>
    <row r="356">
      <c r="A356" s="4" t="s">
        <v>1657</v>
      </c>
    </row>
    <row r="357">
      <c r="A357" s="4" t="s">
        <v>1657</v>
      </c>
    </row>
    <row r="358">
      <c r="A358" s="4" t="s">
        <v>1655</v>
      </c>
    </row>
    <row r="359">
      <c r="A359" s="4" t="s">
        <v>1655</v>
      </c>
    </row>
    <row r="360">
      <c r="A360" s="4" t="s">
        <v>1657</v>
      </c>
    </row>
    <row r="361">
      <c r="A361" s="4" t="s">
        <v>1655</v>
      </c>
    </row>
    <row r="362">
      <c r="A362" s="4" t="s">
        <v>1655</v>
      </c>
    </row>
    <row r="363">
      <c r="A363" s="4" t="s">
        <v>1655</v>
      </c>
    </row>
    <row r="364">
      <c r="A364" s="4" t="s">
        <v>1655</v>
      </c>
    </row>
    <row r="365">
      <c r="A365" s="4" t="s">
        <v>1656</v>
      </c>
    </row>
    <row r="366">
      <c r="A366" s="4" t="s">
        <v>1655</v>
      </c>
    </row>
    <row r="367">
      <c r="A367" s="4" t="s">
        <v>1656</v>
      </c>
    </row>
    <row r="368">
      <c r="A368" s="4" t="s">
        <v>1657</v>
      </c>
    </row>
    <row r="369">
      <c r="A369" s="4" t="s">
        <v>1657</v>
      </c>
    </row>
    <row r="370">
      <c r="A370" s="4" t="s">
        <v>1657</v>
      </c>
    </row>
    <row r="371">
      <c r="A371" s="4" t="s">
        <v>1656</v>
      </c>
    </row>
    <row r="372">
      <c r="A372" s="4" t="s">
        <v>1656</v>
      </c>
    </row>
    <row r="373">
      <c r="A373" s="4" t="s">
        <v>1656</v>
      </c>
    </row>
    <row r="374">
      <c r="A374" s="4" t="s">
        <v>1657</v>
      </c>
    </row>
    <row r="375">
      <c r="A375" s="4" t="s">
        <v>1657</v>
      </c>
    </row>
    <row r="376">
      <c r="A376" s="4" t="s">
        <v>1657</v>
      </c>
    </row>
    <row r="377">
      <c r="A377" s="4" t="s">
        <v>1657</v>
      </c>
    </row>
    <row r="378">
      <c r="A378" s="4" t="s">
        <v>1656</v>
      </c>
    </row>
    <row r="379">
      <c r="A379" s="4" t="s">
        <v>1656</v>
      </c>
    </row>
    <row r="380">
      <c r="A380" s="4" t="s">
        <v>1656</v>
      </c>
    </row>
    <row r="381">
      <c r="A381" s="4" t="s">
        <v>1657</v>
      </c>
    </row>
    <row r="382">
      <c r="A382" s="4" t="s">
        <v>1657</v>
      </c>
    </row>
    <row r="383">
      <c r="A383" s="4" t="s">
        <v>1655</v>
      </c>
    </row>
    <row r="384">
      <c r="A384" s="4" t="s">
        <v>1656</v>
      </c>
    </row>
    <row r="385">
      <c r="A385" s="4" t="s">
        <v>1656</v>
      </c>
    </row>
    <row r="386">
      <c r="A386" s="4" t="s">
        <v>1655</v>
      </c>
    </row>
    <row r="387">
      <c r="A387" s="4" t="s">
        <v>1657</v>
      </c>
    </row>
    <row r="388">
      <c r="A388" s="4" t="s">
        <v>1656</v>
      </c>
    </row>
    <row r="389">
      <c r="A389" s="4" t="s">
        <v>1656</v>
      </c>
    </row>
    <row r="390">
      <c r="A390" s="4" t="s">
        <v>1656</v>
      </c>
    </row>
    <row r="391">
      <c r="A391" s="4" t="s">
        <v>1655</v>
      </c>
    </row>
    <row r="392">
      <c r="A392" s="4" t="s">
        <v>1657</v>
      </c>
    </row>
    <row r="393">
      <c r="A393" s="4" t="s">
        <v>1656</v>
      </c>
    </row>
    <row r="394">
      <c r="A394" s="4" t="s">
        <v>1656</v>
      </c>
    </row>
    <row r="395">
      <c r="A395" s="4" t="s">
        <v>1656</v>
      </c>
    </row>
    <row r="396">
      <c r="A396" s="4" t="s">
        <v>1657</v>
      </c>
    </row>
    <row r="397">
      <c r="A397" s="4" t="s">
        <v>1657</v>
      </c>
    </row>
    <row r="398">
      <c r="A398" s="4" t="s">
        <v>1656</v>
      </c>
    </row>
    <row r="399">
      <c r="A399" s="4" t="s">
        <v>1655</v>
      </c>
    </row>
    <row r="400">
      <c r="A400" s="4" t="s">
        <v>1656</v>
      </c>
    </row>
    <row r="401">
      <c r="A401" s="4" t="s">
        <v>1657</v>
      </c>
    </row>
    <row r="402">
      <c r="A402" s="4" t="s">
        <v>1657</v>
      </c>
    </row>
    <row r="403">
      <c r="A403" s="4" t="s">
        <v>1655</v>
      </c>
    </row>
    <row r="404">
      <c r="A404" s="4" t="s">
        <v>1656</v>
      </c>
    </row>
    <row r="405">
      <c r="A405" s="4" t="s">
        <v>1657</v>
      </c>
    </row>
    <row r="406">
      <c r="A406" s="4" t="s">
        <v>1655</v>
      </c>
    </row>
    <row r="407">
      <c r="A407" s="4" t="s">
        <v>1655</v>
      </c>
    </row>
    <row r="408">
      <c r="A408" s="4" t="s">
        <v>1656</v>
      </c>
    </row>
    <row r="409">
      <c r="A409" s="4" t="s">
        <v>1656</v>
      </c>
    </row>
    <row r="410">
      <c r="A410" s="4" t="s">
        <v>1657</v>
      </c>
    </row>
    <row r="411">
      <c r="A411" s="4" t="s">
        <v>1655</v>
      </c>
    </row>
    <row r="412">
      <c r="A412" s="4" t="s">
        <v>1656</v>
      </c>
    </row>
    <row r="413">
      <c r="A413" s="4" t="s">
        <v>1657</v>
      </c>
    </row>
    <row r="414">
      <c r="A414" s="4" t="s">
        <v>1656</v>
      </c>
    </row>
    <row r="415">
      <c r="A415" s="4" t="s">
        <v>1656</v>
      </c>
    </row>
    <row r="416">
      <c r="A416" s="4" t="s">
        <v>1656</v>
      </c>
    </row>
    <row r="417">
      <c r="A417" s="4" t="s">
        <v>1655</v>
      </c>
    </row>
    <row r="418">
      <c r="A418" s="4" t="s">
        <v>1656</v>
      </c>
    </row>
    <row r="419">
      <c r="A419" s="4" t="s">
        <v>1656</v>
      </c>
    </row>
    <row r="420">
      <c r="A420" s="4" t="s">
        <v>1655</v>
      </c>
    </row>
    <row r="421">
      <c r="A421" s="4" t="s">
        <v>1656</v>
      </c>
    </row>
    <row r="422">
      <c r="A422" s="4" t="s">
        <v>1657</v>
      </c>
    </row>
    <row r="423">
      <c r="A423" s="4" t="s">
        <v>1657</v>
      </c>
    </row>
    <row r="424">
      <c r="A424" s="4" t="s">
        <v>1656</v>
      </c>
    </row>
    <row r="425">
      <c r="A425" s="4" t="s">
        <v>1656</v>
      </c>
    </row>
    <row r="426">
      <c r="A426" s="4" t="s">
        <v>1656</v>
      </c>
    </row>
    <row r="427">
      <c r="A427" s="4" t="s">
        <v>1657</v>
      </c>
    </row>
    <row r="428">
      <c r="A428" s="4" t="s">
        <v>1657</v>
      </c>
    </row>
    <row r="429">
      <c r="A429" s="4" t="s">
        <v>1655</v>
      </c>
    </row>
    <row r="430">
      <c r="A430" s="4" t="s">
        <v>1655</v>
      </c>
    </row>
    <row r="431">
      <c r="A431" s="4" t="s">
        <v>1657</v>
      </c>
    </row>
    <row r="432">
      <c r="A432" s="4" t="s">
        <v>1657</v>
      </c>
    </row>
    <row r="433">
      <c r="A433" s="4" t="s">
        <v>1657</v>
      </c>
    </row>
    <row r="434">
      <c r="A434" s="4" t="s">
        <v>1656</v>
      </c>
    </row>
    <row r="435">
      <c r="A435" s="4" t="s">
        <v>1657</v>
      </c>
    </row>
    <row r="436">
      <c r="A436" s="4" t="s">
        <v>1655</v>
      </c>
    </row>
    <row r="437">
      <c r="A437" s="4" t="s">
        <v>1656</v>
      </c>
    </row>
    <row r="438">
      <c r="A438" s="4" t="s">
        <v>1656</v>
      </c>
    </row>
    <row r="439">
      <c r="A439" s="4" t="s">
        <v>1657</v>
      </c>
    </row>
    <row r="440">
      <c r="A440" s="4" t="s">
        <v>1657</v>
      </c>
    </row>
    <row r="441">
      <c r="A441" s="4" t="s">
        <v>1656</v>
      </c>
    </row>
    <row r="442">
      <c r="A442" s="4" t="s">
        <v>1657</v>
      </c>
    </row>
    <row r="443">
      <c r="A443" s="4" t="s">
        <v>1656</v>
      </c>
    </row>
    <row r="444">
      <c r="A444" s="4" t="s">
        <v>1657</v>
      </c>
    </row>
    <row r="445">
      <c r="A445" s="4" t="s">
        <v>1655</v>
      </c>
    </row>
    <row r="446">
      <c r="A446" s="4" t="s">
        <v>1656</v>
      </c>
    </row>
    <row r="447">
      <c r="A447" s="4" t="s">
        <v>1656</v>
      </c>
    </row>
    <row r="448">
      <c r="A448" s="4" t="s">
        <v>1655</v>
      </c>
    </row>
    <row r="449">
      <c r="A449" s="4" t="s">
        <v>1656</v>
      </c>
    </row>
    <row r="450">
      <c r="A450" s="4" t="s">
        <v>1656</v>
      </c>
    </row>
    <row r="451">
      <c r="A451" s="4" t="s">
        <v>1656</v>
      </c>
    </row>
    <row r="452">
      <c r="A452" s="4" t="s">
        <v>1655</v>
      </c>
    </row>
    <row r="453">
      <c r="A453" s="4" t="s">
        <v>1657</v>
      </c>
    </row>
    <row r="454">
      <c r="A454" s="4" t="s">
        <v>1656</v>
      </c>
    </row>
    <row r="455">
      <c r="A455" s="4" t="s">
        <v>1656</v>
      </c>
    </row>
    <row r="456">
      <c r="A456" s="4" t="s">
        <v>1655</v>
      </c>
    </row>
    <row r="457">
      <c r="A457" s="4" t="s">
        <v>1657</v>
      </c>
    </row>
    <row r="458">
      <c r="A458" s="4" t="s">
        <v>1655</v>
      </c>
    </row>
    <row r="459">
      <c r="A459" s="4" t="s">
        <v>1656</v>
      </c>
    </row>
    <row r="460">
      <c r="A460" s="4" t="s">
        <v>1656</v>
      </c>
    </row>
    <row r="461">
      <c r="A461" s="4" t="s">
        <v>1657</v>
      </c>
    </row>
    <row r="462">
      <c r="A462" s="4" t="s">
        <v>1656</v>
      </c>
    </row>
    <row r="463">
      <c r="A463" s="4" t="s">
        <v>1655</v>
      </c>
    </row>
    <row r="464">
      <c r="A464" s="4" t="s">
        <v>1656</v>
      </c>
    </row>
    <row r="465">
      <c r="A465" s="4" t="s">
        <v>1657</v>
      </c>
    </row>
    <row r="466">
      <c r="A466" s="4" t="s">
        <v>1656</v>
      </c>
    </row>
    <row r="467">
      <c r="A467" s="4" t="s">
        <v>1656</v>
      </c>
    </row>
    <row r="468">
      <c r="A468" s="4" t="s">
        <v>1655</v>
      </c>
    </row>
    <row r="469">
      <c r="A469" s="4" t="s">
        <v>1656</v>
      </c>
    </row>
    <row r="470">
      <c r="A470" s="4" t="s">
        <v>1657</v>
      </c>
    </row>
    <row r="471">
      <c r="A471" s="4" t="s">
        <v>1657</v>
      </c>
    </row>
    <row r="472">
      <c r="A472" s="4" t="s">
        <v>1657</v>
      </c>
    </row>
    <row r="473">
      <c r="A473" s="4" t="s">
        <v>1656</v>
      </c>
    </row>
    <row r="474">
      <c r="A474" s="4" t="s">
        <v>1656</v>
      </c>
    </row>
    <row r="475">
      <c r="A475" s="4" t="s">
        <v>1655</v>
      </c>
    </row>
    <row r="476">
      <c r="A476" s="4" t="s">
        <v>1655</v>
      </c>
    </row>
    <row r="477">
      <c r="A477" s="4" t="s">
        <v>1657</v>
      </c>
    </row>
    <row r="478">
      <c r="A478" s="4" t="s">
        <v>1655</v>
      </c>
    </row>
    <row r="479">
      <c r="A479" s="4" t="s">
        <v>1656</v>
      </c>
    </row>
    <row r="480">
      <c r="A480" s="4" t="s">
        <v>1657</v>
      </c>
    </row>
    <row r="481">
      <c r="A481" s="4" t="s">
        <v>1656</v>
      </c>
    </row>
    <row r="482">
      <c r="A482" s="4" t="s">
        <v>1655</v>
      </c>
    </row>
    <row r="483">
      <c r="A483" s="4" t="s">
        <v>1655</v>
      </c>
    </row>
    <row r="484">
      <c r="A484" s="4" t="s">
        <v>1656</v>
      </c>
    </row>
    <row r="485">
      <c r="A485" s="4" t="s">
        <v>1656</v>
      </c>
    </row>
    <row r="486">
      <c r="A486" s="4" t="s">
        <v>1656</v>
      </c>
    </row>
    <row r="487">
      <c r="A487" s="4" t="s">
        <v>1656</v>
      </c>
    </row>
    <row r="488">
      <c r="A488" s="4" t="s">
        <v>1657</v>
      </c>
    </row>
    <row r="489">
      <c r="A489" s="4" t="s">
        <v>1657</v>
      </c>
    </row>
    <row r="490">
      <c r="A490" s="4" t="s">
        <v>1656</v>
      </c>
    </row>
    <row r="491">
      <c r="A491" s="4" t="s">
        <v>1657</v>
      </c>
    </row>
    <row r="492">
      <c r="A492" s="4" t="s">
        <v>1656</v>
      </c>
    </row>
    <row r="493">
      <c r="A493" s="4" t="s">
        <v>1655</v>
      </c>
    </row>
    <row r="494">
      <c r="A494" s="4" t="s">
        <v>1655</v>
      </c>
    </row>
    <row r="495">
      <c r="A495" s="4" t="s">
        <v>1655</v>
      </c>
    </row>
    <row r="496">
      <c r="A496" s="4" t="s">
        <v>1655</v>
      </c>
    </row>
    <row r="497">
      <c r="A497" s="4" t="s">
        <v>1656</v>
      </c>
    </row>
    <row r="498">
      <c r="A498" s="4" t="s">
        <v>1655</v>
      </c>
    </row>
    <row r="499">
      <c r="A499" s="4" t="s">
        <v>1656</v>
      </c>
    </row>
    <row r="500">
      <c r="A500" s="4" t="s">
        <v>1655</v>
      </c>
    </row>
    <row r="501">
      <c r="A501" s="4" t="s">
        <v>1656</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3977</v>
      </c>
      <c r="D2" s="4" t="str">
        <f t="shared" ref="D2:D34" si="1">C2</f>
        <v>{"valorA":"freezer","valorB":3.0}</v>
      </c>
      <c r="E2" s="8" t="str">
        <f t="shared" ref="E2:E34" si="2">SUBSTITUTE(MID(C2,FIND(":",C2)+1,FIND(",",C2)-FIND(":",C2)-1),"""","")</f>
        <v>freezer</v>
      </c>
      <c r="F2" s="8" t="str">
        <f>IFERROR(__xludf.DUMMYFUNCTION("UNIQUE(E2:E34)"),"freezer")</f>
        <v>freezer</v>
      </c>
      <c r="G2" s="8" t="str">
        <f t="shared" ref="G2:G34" si="3">MID(C2,FIND("valorB",C2)+8,FIND("}",C2)-FIND("valorB",C2)-8)</f>
        <v>3.0</v>
      </c>
      <c r="H2" s="9">
        <f t="shared" ref="H2:H34" si="4">VALUE(SUBSTITUTE(G2,".",","))</f>
        <v>3</v>
      </c>
      <c r="I2" s="10">
        <f>IFERROR(__xludf.DUMMYFUNCTION("MAX(FILTER($H:$H,$E:$E=F2))"),163.0)</f>
        <v>163</v>
      </c>
    </row>
    <row r="3">
      <c r="C3" s="4" t="s">
        <v>3978</v>
      </c>
      <c r="D3" s="4" t="str">
        <f t="shared" si="1"/>
        <v>{"valorA":"ar condicionado","valorB":11.0}</v>
      </c>
      <c r="E3" s="8" t="str">
        <f t="shared" si="2"/>
        <v>ar condicionado</v>
      </c>
      <c r="F3" s="8" t="str">
        <f>IFERROR(__xludf.DUMMYFUNCTION("""COMPUTED_VALUE"""),"ar condicionado")</f>
        <v>ar condicionado</v>
      </c>
      <c r="G3" s="8" t="str">
        <f t="shared" si="3"/>
        <v>11.0</v>
      </c>
      <c r="H3" s="9">
        <f t="shared" si="4"/>
        <v>11</v>
      </c>
      <c r="I3" s="10">
        <f>IFERROR(__xludf.DUMMYFUNCTION("MAX(FILTER($H:$H,$E:$E=F3))"),158.0)</f>
        <v>158</v>
      </c>
    </row>
    <row r="4">
      <c r="C4" s="4" t="s">
        <v>3979</v>
      </c>
      <c r="D4" s="4" t="str">
        <f t="shared" si="1"/>
        <v>{"valorA":"microondas","valorB":4.0}</v>
      </c>
      <c r="E4" s="8" t="str">
        <f t="shared" si="2"/>
        <v>microondas</v>
      </c>
      <c r="F4" s="8" t="str">
        <f>IFERROR(__xludf.DUMMYFUNCTION("""COMPUTED_VALUE"""),"microondas")</f>
        <v>microondas</v>
      </c>
      <c r="G4" s="8" t="str">
        <f t="shared" si="3"/>
        <v>4.0</v>
      </c>
      <c r="H4" s="9">
        <f t="shared" si="4"/>
        <v>4</v>
      </c>
      <c r="I4" s="10">
        <f>IFERROR(__xludf.DUMMYFUNCTION("MAX(FILTER($H:$H,$E:$E=F4))"),179.0)</f>
        <v>179</v>
      </c>
    </row>
    <row r="5">
      <c r="C5" s="4" t="s">
        <v>3980</v>
      </c>
      <c r="D5" s="4" t="str">
        <f t="shared" si="1"/>
        <v>{"valorA":"freezer","valorB":20.0}</v>
      </c>
      <c r="E5" s="8" t="str">
        <f t="shared" si="2"/>
        <v>freezer</v>
      </c>
      <c r="F5" s="8"/>
      <c r="G5" s="8" t="str">
        <f t="shared" si="3"/>
        <v>20.0</v>
      </c>
      <c r="H5" s="9">
        <f t="shared" si="4"/>
        <v>20</v>
      </c>
      <c r="I5" s="6" t="str">
        <f>IFERROR(__xludf.DUMMYFUNCTION("MAX(FILTER($H:$H,$E:$E=F5))"),"#N/A")</f>
        <v>#N/A</v>
      </c>
    </row>
    <row r="6">
      <c r="C6" s="4" t="s">
        <v>3981</v>
      </c>
      <c r="D6" s="4" t="str">
        <f t="shared" si="1"/>
        <v>{"valorA":"ar condicionado","valorB":27.0}</v>
      </c>
      <c r="E6" s="8" t="str">
        <f t="shared" si="2"/>
        <v>ar condicionado</v>
      </c>
      <c r="F6" s="8"/>
      <c r="G6" s="8" t="str">
        <f t="shared" si="3"/>
        <v>27.0</v>
      </c>
      <c r="H6" s="9">
        <f t="shared" si="4"/>
        <v>27</v>
      </c>
      <c r="I6" s="6" t="str">
        <f>IFERROR(__xludf.DUMMYFUNCTION("MAX(FILTER($H:$H,$E:$E=F6))"),"#N/A")</f>
        <v>#N/A</v>
      </c>
    </row>
    <row r="7">
      <c r="C7" s="4" t="s">
        <v>3982</v>
      </c>
      <c r="D7" s="4" t="str">
        <f t="shared" si="1"/>
        <v>{"valorA":"microondas","valorB":26.0}</v>
      </c>
      <c r="E7" s="8" t="str">
        <f t="shared" si="2"/>
        <v>microondas</v>
      </c>
      <c r="F7" s="8"/>
      <c r="G7" s="8" t="str">
        <f t="shared" si="3"/>
        <v>26.0</v>
      </c>
      <c r="H7" s="9">
        <f t="shared" si="4"/>
        <v>26</v>
      </c>
      <c r="I7" s="6" t="str">
        <f>IFERROR(__xludf.DUMMYFUNCTION("MAX(FILTER($H:$H,$E:$E=F7))"),"#N/A")</f>
        <v>#N/A</v>
      </c>
    </row>
    <row r="8">
      <c r="C8" s="4" t="s">
        <v>3983</v>
      </c>
      <c r="D8" s="4" t="str">
        <f t="shared" si="1"/>
        <v>{"valorA":"freezer","valorB":37.0}</v>
      </c>
      <c r="E8" s="8" t="str">
        <f t="shared" si="2"/>
        <v>freezer</v>
      </c>
      <c r="F8" s="8"/>
      <c r="G8" s="8" t="str">
        <f t="shared" si="3"/>
        <v>37.0</v>
      </c>
      <c r="H8" s="9">
        <f t="shared" si="4"/>
        <v>37</v>
      </c>
      <c r="I8" s="6" t="str">
        <f>IFERROR(__xludf.DUMMYFUNCTION("MAX(FILTER($H:$H,$E:$E=F8))"),"#N/A")</f>
        <v>#N/A</v>
      </c>
    </row>
    <row r="9">
      <c r="C9" s="4" t="s">
        <v>3984</v>
      </c>
      <c r="D9" s="4" t="str">
        <f t="shared" si="1"/>
        <v>{"valorA":"ar condicionado","valorB":43.0}</v>
      </c>
      <c r="E9" s="8" t="str">
        <f t="shared" si="2"/>
        <v>ar condicionado</v>
      </c>
      <c r="F9" s="8"/>
      <c r="G9" s="8" t="str">
        <f t="shared" si="3"/>
        <v>43.0</v>
      </c>
      <c r="H9" s="9">
        <f t="shared" si="4"/>
        <v>43</v>
      </c>
      <c r="I9" s="6" t="str">
        <f>IFERROR(__xludf.DUMMYFUNCTION("MAX(FILTER($H:$H,$E:$E=F9))"),"#N/A")</f>
        <v>#N/A</v>
      </c>
    </row>
    <row r="10">
      <c r="C10" s="4" t="s">
        <v>3985</v>
      </c>
      <c r="D10" s="4" t="str">
        <f t="shared" si="1"/>
        <v>{"valorA":"microondas","valorB":39.0}</v>
      </c>
      <c r="E10" s="8" t="str">
        <f t="shared" si="2"/>
        <v>microondas</v>
      </c>
      <c r="F10" s="8"/>
      <c r="G10" s="8" t="str">
        <f t="shared" si="3"/>
        <v>39.0</v>
      </c>
      <c r="H10" s="9">
        <f t="shared" si="4"/>
        <v>39</v>
      </c>
      <c r="I10" s="6" t="str">
        <f>IFERROR(__xludf.DUMMYFUNCTION("MAX(FILTER($H:$H,$E:$E=F10))"),"#N/A")</f>
        <v>#N/A</v>
      </c>
    </row>
    <row r="11">
      <c r="C11" s="4" t="s">
        <v>3986</v>
      </c>
      <c r="D11" s="4" t="str">
        <f t="shared" si="1"/>
        <v>{"valorA":"freezer","valorB":51.0}</v>
      </c>
      <c r="E11" s="8" t="str">
        <f t="shared" si="2"/>
        <v>freezer</v>
      </c>
      <c r="F11" s="8"/>
      <c r="G11" s="8" t="str">
        <f t="shared" si="3"/>
        <v>51.0</v>
      </c>
      <c r="H11" s="9">
        <f t="shared" si="4"/>
        <v>51</v>
      </c>
      <c r="I11" s="6" t="str">
        <f>IFERROR(__xludf.DUMMYFUNCTION("MAX(FILTER($H:$H,$E:$E=F11))"),"#N/A")</f>
        <v>#N/A</v>
      </c>
    </row>
    <row r="12">
      <c r="C12" s="4" t="s">
        <v>3987</v>
      </c>
      <c r="D12" s="4" t="str">
        <f t="shared" si="1"/>
        <v>{"valorA":"ar condicionado","valorB":66.0}</v>
      </c>
      <c r="E12" s="8" t="str">
        <f t="shared" si="2"/>
        <v>ar condicionado</v>
      </c>
      <c r="F12" s="8"/>
      <c r="G12" s="8" t="str">
        <f t="shared" si="3"/>
        <v>66.0</v>
      </c>
      <c r="H12" s="9">
        <f t="shared" si="4"/>
        <v>66</v>
      </c>
      <c r="I12" s="6" t="str">
        <f>IFERROR(__xludf.DUMMYFUNCTION("MAX(FILTER($H:$H,$E:$E=F12))"),"#N/A")</f>
        <v>#N/A</v>
      </c>
    </row>
    <row r="13">
      <c r="C13" s="4" t="s">
        <v>3988</v>
      </c>
      <c r="D13" s="4" t="str">
        <f t="shared" si="1"/>
        <v>{"valorA":"microondas","valorB":56.0}</v>
      </c>
      <c r="E13" s="8" t="str">
        <f t="shared" si="2"/>
        <v>microondas</v>
      </c>
      <c r="F13" s="8"/>
      <c r="G13" s="8" t="str">
        <f t="shared" si="3"/>
        <v>56.0</v>
      </c>
      <c r="H13" s="9">
        <f t="shared" si="4"/>
        <v>56</v>
      </c>
      <c r="I13" s="6" t="str">
        <f>IFERROR(__xludf.DUMMYFUNCTION("MAX(FILTER($H:$H,$E:$E=F13))"),"#N/A")</f>
        <v>#N/A</v>
      </c>
    </row>
    <row r="14">
      <c r="C14" s="4" t="s">
        <v>3989</v>
      </c>
      <c r="D14" s="4" t="str">
        <f t="shared" si="1"/>
        <v>{"valorA":"freezer","valorB":65.0}</v>
      </c>
      <c r="E14" s="8" t="str">
        <f t="shared" si="2"/>
        <v>freezer</v>
      </c>
      <c r="F14" s="8"/>
      <c r="G14" s="8" t="str">
        <f t="shared" si="3"/>
        <v>65.0</v>
      </c>
      <c r="H14" s="9">
        <f t="shared" si="4"/>
        <v>65</v>
      </c>
      <c r="I14" s="6" t="str">
        <f>IFERROR(__xludf.DUMMYFUNCTION("MAX(FILTER($H:$H,$E:$E=F14))"),"#N/A")</f>
        <v>#N/A</v>
      </c>
    </row>
    <row r="15">
      <c r="C15" s="4" t="s">
        <v>3990</v>
      </c>
      <c r="D15" s="4" t="str">
        <f t="shared" si="1"/>
        <v>{"valorA":"ar condicionado","valorB":81.0}</v>
      </c>
      <c r="E15" s="8" t="str">
        <f t="shared" si="2"/>
        <v>ar condicionado</v>
      </c>
      <c r="F15" s="8"/>
      <c r="G15" s="8" t="str">
        <f t="shared" si="3"/>
        <v>81.0</v>
      </c>
      <c r="H15" s="9">
        <f t="shared" si="4"/>
        <v>81</v>
      </c>
      <c r="I15" s="6" t="str">
        <f>IFERROR(__xludf.DUMMYFUNCTION("MAX(FILTER($H:$H,$E:$E=F15))"),"#N/A")</f>
        <v>#N/A</v>
      </c>
    </row>
    <row r="16">
      <c r="C16" s="4" t="s">
        <v>3991</v>
      </c>
      <c r="D16" s="4" t="str">
        <f t="shared" si="1"/>
        <v>{"valorA":"microondas","valorB":75.0}</v>
      </c>
      <c r="E16" s="8" t="str">
        <f t="shared" si="2"/>
        <v>microondas</v>
      </c>
      <c r="F16" s="8"/>
      <c r="G16" s="8" t="str">
        <f t="shared" si="3"/>
        <v>75.0</v>
      </c>
      <c r="H16" s="9">
        <f t="shared" si="4"/>
        <v>75</v>
      </c>
      <c r="I16" s="6" t="str">
        <f>IFERROR(__xludf.DUMMYFUNCTION("MAX(FILTER($H:$H,$E:$E=F16))"),"#N/A")</f>
        <v>#N/A</v>
      </c>
    </row>
    <row r="17">
      <c r="C17" s="4" t="s">
        <v>3992</v>
      </c>
      <c r="D17" s="4" t="str">
        <f t="shared" si="1"/>
        <v>{"valorA":"freezer","valorB":82.0}</v>
      </c>
      <c r="E17" s="8" t="str">
        <f t="shared" si="2"/>
        <v>freezer</v>
      </c>
      <c r="F17" s="8"/>
      <c r="G17" s="8" t="str">
        <f t="shared" si="3"/>
        <v>82.0</v>
      </c>
      <c r="H17" s="9">
        <f t="shared" si="4"/>
        <v>82</v>
      </c>
      <c r="I17" s="6" t="str">
        <f>IFERROR(__xludf.DUMMYFUNCTION("MAX(FILTER($H:$H,$E:$E=F17))"),"#N/A")</f>
        <v>#N/A</v>
      </c>
    </row>
    <row r="18">
      <c r="C18" s="4" t="s">
        <v>3993</v>
      </c>
      <c r="D18" s="4" t="str">
        <f t="shared" si="1"/>
        <v>{"valorA":"ar condicionado","valorB":98.0}</v>
      </c>
      <c r="E18" s="8" t="str">
        <f t="shared" si="2"/>
        <v>ar condicionado</v>
      </c>
      <c r="F18" s="8"/>
      <c r="G18" s="8" t="str">
        <f t="shared" si="3"/>
        <v>98.0</v>
      </c>
      <c r="H18" s="9">
        <f t="shared" si="4"/>
        <v>98</v>
      </c>
      <c r="I18" s="6" t="str">
        <f>IFERROR(__xludf.DUMMYFUNCTION("MAX(FILTER($H:$H,$E:$E=F18))"),"#N/A")</f>
        <v>#N/A</v>
      </c>
    </row>
    <row r="19">
      <c r="C19" s="4" t="s">
        <v>3994</v>
      </c>
      <c r="D19" s="4" t="str">
        <f t="shared" si="1"/>
        <v>{"valorA":"microondas","valorB":87.0}</v>
      </c>
      <c r="E19" s="8" t="str">
        <f t="shared" si="2"/>
        <v>microondas</v>
      </c>
      <c r="F19" s="8"/>
      <c r="G19" s="8" t="str">
        <f t="shared" si="3"/>
        <v>87.0</v>
      </c>
      <c r="H19" s="9">
        <f t="shared" si="4"/>
        <v>87</v>
      </c>
      <c r="I19" s="6" t="str">
        <f>IFERROR(__xludf.DUMMYFUNCTION("MAX(FILTER($H:$H,$E:$E=F19))"),"#N/A")</f>
        <v>#N/A</v>
      </c>
    </row>
    <row r="20">
      <c r="C20" s="4" t="s">
        <v>3995</v>
      </c>
      <c r="D20" s="4" t="str">
        <f t="shared" si="1"/>
        <v>{"valorA":"freezer","valorB":103.0}</v>
      </c>
      <c r="E20" s="8" t="str">
        <f t="shared" si="2"/>
        <v>freezer</v>
      </c>
      <c r="F20" s="8"/>
      <c r="G20" s="8" t="str">
        <f t="shared" si="3"/>
        <v>103.0</v>
      </c>
      <c r="H20" s="9">
        <f t="shared" si="4"/>
        <v>103</v>
      </c>
      <c r="I20" s="6" t="str">
        <f>IFERROR(__xludf.DUMMYFUNCTION("MAX(FILTER($H:$H,$E:$E=F20))"),"#N/A")</f>
        <v>#N/A</v>
      </c>
    </row>
    <row r="21">
      <c r="C21" s="4" t="s">
        <v>3996</v>
      </c>
      <c r="D21" s="4" t="str">
        <f t="shared" si="1"/>
        <v>{"valorA":"ar condicionado","valorB":107.0}</v>
      </c>
      <c r="E21" s="8" t="str">
        <f t="shared" si="2"/>
        <v>ar condicionado</v>
      </c>
      <c r="F21" s="8"/>
      <c r="G21" s="8" t="str">
        <f t="shared" si="3"/>
        <v>107.0</v>
      </c>
      <c r="H21" s="9">
        <f t="shared" si="4"/>
        <v>107</v>
      </c>
      <c r="I21" s="6" t="str">
        <f>IFERROR(__xludf.DUMMYFUNCTION("MAX(FILTER($H:$H,$E:$E=F21))"),"#N/A")</f>
        <v>#N/A</v>
      </c>
    </row>
    <row r="22">
      <c r="C22" s="4" t="s">
        <v>3997</v>
      </c>
      <c r="D22" s="4" t="str">
        <f t="shared" si="1"/>
        <v>{"valorA":"microondas","valorB":103.0}</v>
      </c>
      <c r="E22" s="8" t="str">
        <f t="shared" si="2"/>
        <v>microondas</v>
      </c>
      <c r="F22" s="8"/>
      <c r="G22" s="8" t="str">
        <f t="shared" si="3"/>
        <v>103.0</v>
      </c>
      <c r="H22" s="9">
        <f t="shared" si="4"/>
        <v>103</v>
      </c>
      <c r="I22" s="6" t="str">
        <f>IFERROR(__xludf.DUMMYFUNCTION("MAX(FILTER($H:$H,$E:$E=F22))"),"#N/A")</f>
        <v>#N/A</v>
      </c>
    </row>
    <row r="23">
      <c r="C23" s="4" t="s">
        <v>3998</v>
      </c>
      <c r="D23" s="4" t="str">
        <f t="shared" si="1"/>
        <v>{"valorA":"freezer","valorB":121.0}</v>
      </c>
      <c r="E23" s="8" t="str">
        <f t="shared" si="2"/>
        <v>freezer</v>
      </c>
      <c r="F23" s="8"/>
      <c r="G23" s="8" t="str">
        <f t="shared" si="3"/>
        <v>121.0</v>
      </c>
      <c r="H23" s="9">
        <f t="shared" si="4"/>
        <v>121</v>
      </c>
      <c r="I23" s="6" t="str">
        <f>IFERROR(__xludf.DUMMYFUNCTION("MAX(FILTER($H:$H,$E:$E=F23))"),"#N/A")</f>
        <v>#N/A</v>
      </c>
    </row>
    <row r="24">
      <c r="C24" s="4" t="s">
        <v>3999</v>
      </c>
      <c r="D24" s="4" t="str">
        <f t="shared" si="1"/>
        <v>{"valorA":"ar condicionado","valorB":126.0}</v>
      </c>
      <c r="E24" s="8" t="str">
        <f t="shared" si="2"/>
        <v>ar condicionado</v>
      </c>
      <c r="F24" s="8"/>
      <c r="G24" s="8" t="str">
        <f t="shared" si="3"/>
        <v>126.0</v>
      </c>
      <c r="H24" s="9">
        <f t="shared" si="4"/>
        <v>126</v>
      </c>
      <c r="I24" s="6" t="str">
        <f>IFERROR(__xludf.DUMMYFUNCTION("MAX(FILTER($H:$H,$E:$E=F24))"),"#N/A")</f>
        <v>#N/A</v>
      </c>
    </row>
    <row r="25">
      <c r="C25" s="4" t="s">
        <v>4000</v>
      </c>
      <c r="D25" s="4" t="str">
        <f t="shared" si="1"/>
        <v>{"valorA":"microondas","valorB":116.0}</v>
      </c>
      <c r="E25" s="8" t="str">
        <f t="shared" si="2"/>
        <v>microondas</v>
      </c>
      <c r="F25" s="8"/>
      <c r="G25" s="8" t="str">
        <f t="shared" si="3"/>
        <v>116.0</v>
      </c>
      <c r="H25" s="9">
        <f t="shared" si="4"/>
        <v>116</v>
      </c>
      <c r="I25" s="6" t="str">
        <f>IFERROR(__xludf.DUMMYFUNCTION("MAX(FILTER($H:$H,$E:$E=F25))"),"#N/A")</f>
        <v>#N/A</v>
      </c>
    </row>
    <row r="26">
      <c r="C26" s="4" t="s">
        <v>4001</v>
      </c>
      <c r="D26" s="4" t="str">
        <f t="shared" si="1"/>
        <v>{"valorA":"freezer","valorB":138.0}</v>
      </c>
      <c r="E26" s="8" t="str">
        <f t="shared" si="2"/>
        <v>freezer</v>
      </c>
      <c r="F26" s="8"/>
      <c r="G26" s="8" t="str">
        <f t="shared" si="3"/>
        <v>138.0</v>
      </c>
      <c r="H26" s="9">
        <f t="shared" si="4"/>
        <v>138</v>
      </c>
      <c r="I26" s="6" t="str">
        <f>IFERROR(__xludf.DUMMYFUNCTION("MAX(FILTER($H:$H,$E:$E=F26))"),"#N/A")</f>
        <v>#N/A</v>
      </c>
    </row>
    <row r="27">
      <c r="C27" s="4" t="s">
        <v>4002</v>
      </c>
      <c r="D27" s="4" t="str">
        <f t="shared" si="1"/>
        <v>{"valorA":"ar condicionado","valorB":135.0}</v>
      </c>
      <c r="E27" s="8" t="str">
        <f t="shared" si="2"/>
        <v>ar condicionado</v>
      </c>
      <c r="F27" s="8"/>
      <c r="G27" s="8" t="str">
        <f t="shared" si="3"/>
        <v>135.0</v>
      </c>
      <c r="H27" s="9">
        <f t="shared" si="4"/>
        <v>135</v>
      </c>
      <c r="I27" s="6" t="str">
        <f>IFERROR(__xludf.DUMMYFUNCTION("MAX(FILTER($H:$H,$E:$E=F27))"),"#N/A")</f>
        <v>#N/A</v>
      </c>
    </row>
    <row r="28">
      <c r="C28" s="4" t="s">
        <v>4003</v>
      </c>
      <c r="D28" s="4" t="str">
        <f t="shared" si="1"/>
        <v>{"valorA":"microondas","valorB":138.0}</v>
      </c>
      <c r="E28" s="8" t="str">
        <f t="shared" si="2"/>
        <v>microondas</v>
      </c>
      <c r="F28" s="8"/>
      <c r="G28" s="8" t="str">
        <f t="shared" si="3"/>
        <v>138.0</v>
      </c>
      <c r="H28" s="9">
        <f t="shared" si="4"/>
        <v>138</v>
      </c>
      <c r="I28" s="6" t="str">
        <f>IFERROR(__xludf.DUMMYFUNCTION("MAX(FILTER($H:$H,$E:$E=F28))"),"#N/A")</f>
        <v>#N/A</v>
      </c>
    </row>
    <row r="29">
      <c r="C29" s="4" t="s">
        <v>4004</v>
      </c>
      <c r="D29" s="4" t="str">
        <f t="shared" si="1"/>
        <v>{"valorA":"freezer","valorB":153.0}</v>
      </c>
      <c r="E29" s="8" t="str">
        <f t="shared" si="2"/>
        <v>freezer</v>
      </c>
      <c r="F29" s="8"/>
      <c r="G29" s="8" t="str">
        <f t="shared" si="3"/>
        <v>153.0</v>
      </c>
      <c r="H29" s="9">
        <f t="shared" si="4"/>
        <v>153</v>
      </c>
      <c r="I29" s="6" t="str">
        <f>IFERROR(__xludf.DUMMYFUNCTION("MAX(FILTER($H:$H,$E:$E=F29))"),"#N/A")</f>
        <v>#N/A</v>
      </c>
    </row>
    <row r="30">
      <c r="C30" s="4" t="s">
        <v>4005</v>
      </c>
      <c r="D30" s="4" t="str">
        <f t="shared" si="1"/>
        <v>{"valorA":"ar condicionado","valorB":145.0}</v>
      </c>
      <c r="E30" s="8" t="str">
        <f t="shared" si="2"/>
        <v>ar condicionado</v>
      </c>
      <c r="F30" s="8"/>
      <c r="G30" s="8" t="str">
        <f t="shared" si="3"/>
        <v>145.0</v>
      </c>
      <c r="H30" s="9">
        <f t="shared" si="4"/>
        <v>145</v>
      </c>
      <c r="I30" s="6" t="str">
        <f>IFERROR(__xludf.DUMMYFUNCTION("MAX(FILTER($H:$H,$E:$E=F30))"),"#N/A")</f>
        <v>#N/A</v>
      </c>
    </row>
    <row r="31">
      <c r="C31" s="4" t="s">
        <v>4006</v>
      </c>
      <c r="D31" s="4" t="str">
        <f t="shared" si="1"/>
        <v>{"valorA":"microondas","valorB":159.0}</v>
      </c>
      <c r="E31" s="8" t="str">
        <f t="shared" si="2"/>
        <v>microondas</v>
      </c>
      <c r="F31" s="8"/>
      <c r="G31" s="8" t="str">
        <f t="shared" si="3"/>
        <v>159.0</v>
      </c>
      <c r="H31" s="9">
        <f t="shared" si="4"/>
        <v>159</v>
      </c>
      <c r="I31" s="6" t="str">
        <f>IFERROR(__xludf.DUMMYFUNCTION("MAX(FILTER($H:$H,$E:$E=F31))"),"#N/A")</f>
        <v>#N/A</v>
      </c>
    </row>
    <row r="32">
      <c r="C32" s="4" t="s">
        <v>4007</v>
      </c>
      <c r="D32" s="4" t="str">
        <f t="shared" si="1"/>
        <v>{"valorA":"freezer","valorB":163.0}</v>
      </c>
      <c r="E32" s="8" t="str">
        <f t="shared" si="2"/>
        <v>freezer</v>
      </c>
      <c r="F32" s="8"/>
      <c r="G32" s="8" t="str">
        <f t="shared" si="3"/>
        <v>163.0</v>
      </c>
      <c r="H32" s="9">
        <f t="shared" si="4"/>
        <v>163</v>
      </c>
      <c r="I32" s="6" t="str">
        <f>IFERROR(__xludf.DUMMYFUNCTION("MAX(FILTER($H:$H,$E:$E=F32))"),"#N/A")</f>
        <v>#N/A</v>
      </c>
    </row>
    <row r="33">
      <c r="C33" s="4" t="s">
        <v>4008</v>
      </c>
      <c r="D33" s="4" t="str">
        <f t="shared" si="1"/>
        <v>{"valorA":"ar condicionado","valorB":158.0}</v>
      </c>
      <c r="E33" s="8" t="str">
        <f t="shared" si="2"/>
        <v>ar condicionado</v>
      </c>
      <c r="F33" s="8"/>
      <c r="G33" s="8" t="str">
        <f t="shared" si="3"/>
        <v>158.0</v>
      </c>
      <c r="H33" s="9">
        <f t="shared" si="4"/>
        <v>158</v>
      </c>
      <c r="I33" s="6" t="str">
        <f>IFERROR(__xludf.DUMMYFUNCTION("MAX(FILTER($H:$H,$E:$E=F33))"),"#N/A")</f>
        <v>#N/A</v>
      </c>
    </row>
    <row r="34">
      <c r="C34" s="4" t="s">
        <v>4009</v>
      </c>
      <c r="D34" s="4" t="str">
        <f t="shared" si="1"/>
        <v>{"valorA":"microondas","valorB":179.0}</v>
      </c>
      <c r="E34" s="8" t="str">
        <f t="shared" si="2"/>
        <v>microondas</v>
      </c>
      <c r="F34" s="8"/>
      <c r="G34" s="8" t="str">
        <f t="shared" si="3"/>
        <v>179.0</v>
      </c>
      <c r="H34" s="9">
        <f t="shared" si="4"/>
        <v>179</v>
      </c>
      <c r="I34" s="6" t="str">
        <f>IFERROR(__xludf.DUMMYFUNCTION("MAX(FILTER($H:$H,$E:$E=F34))"),"#N/A")</f>
        <v>#N/A</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4010</v>
      </c>
      <c r="B1" s="5" t="s">
        <v>4011</v>
      </c>
      <c r="C1" s="5" t="s">
        <v>4012</v>
      </c>
      <c r="D1" s="5">
        <v>0.0</v>
      </c>
      <c r="E1" s="5">
        <v>0.0</v>
      </c>
      <c r="G1" s="19" t="s">
        <v>4013</v>
      </c>
      <c r="H1" s="19" t="s">
        <v>4014</v>
      </c>
    </row>
    <row r="2">
      <c r="A2" s="4" t="s">
        <v>4015</v>
      </c>
      <c r="B2" s="6" t="str">
        <f t="shared" ref="B2:B34" si="1">MID(A2,FIND(":",A2)+1,LEN(A2)-FIND("segundos",A2))</f>
        <v>35.5088</v>
      </c>
      <c r="C2" s="6" t="str">
        <f t="shared" ref="C2:C34" si="2">SUBSTITUTE(B2,".",",")</f>
        <v>35,5088</v>
      </c>
      <c r="D2" s="6">
        <f t="shared" ref="D2:D34" si="3">VALUE(C2)</f>
        <v>35.5088</v>
      </c>
      <c r="E2" s="6">
        <f t="shared" ref="E2:E34" si="4">D2-D1</f>
        <v>35.5088</v>
      </c>
      <c r="G2" s="20">
        <f>AVERAGE(E2:E1034)</f>
        <v>9.041181818</v>
      </c>
      <c r="H2" s="20">
        <f>STDEV(E2:E1034)</f>
        <v>7.875471938</v>
      </c>
    </row>
    <row r="3">
      <c r="A3" s="4" t="s">
        <v>4016</v>
      </c>
      <c r="B3" s="6" t="str">
        <f t="shared" si="1"/>
        <v>35.6730</v>
      </c>
      <c r="C3" s="6" t="str">
        <f t="shared" si="2"/>
        <v>35,6730</v>
      </c>
      <c r="D3" s="6">
        <f t="shared" si="3"/>
        <v>35.673</v>
      </c>
      <c r="E3" s="6">
        <f t="shared" si="4"/>
        <v>0.1642</v>
      </c>
    </row>
    <row r="4">
      <c r="A4" s="4" t="s">
        <v>4017</v>
      </c>
      <c r="B4" s="6" t="str">
        <f t="shared" si="1"/>
        <v>35.8182</v>
      </c>
      <c r="C4" s="6" t="str">
        <f t="shared" si="2"/>
        <v>35,8182</v>
      </c>
      <c r="D4" s="6">
        <f t="shared" si="3"/>
        <v>35.8182</v>
      </c>
      <c r="E4" s="6">
        <f t="shared" si="4"/>
        <v>0.1452</v>
      </c>
    </row>
    <row r="5">
      <c r="A5" s="4" t="s">
        <v>4018</v>
      </c>
      <c r="B5" s="6" t="str">
        <f t="shared" si="1"/>
        <v>62.3476</v>
      </c>
      <c r="C5" s="6" t="str">
        <f t="shared" si="2"/>
        <v>62,3476</v>
      </c>
      <c r="D5" s="6">
        <f t="shared" si="3"/>
        <v>62.3476</v>
      </c>
      <c r="E5" s="6">
        <f t="shared" si="4"/>
        <v>26.5294</v>
      </c>
    </row>
    <row r="6">
      <c r="A6" s="4" t="s">
        <v>4019</v>
      </c>
      <c r="B6" s="6" t="str">
        <f t="shared" si="1"/>
        <v>63.7085</v>
      </c>
      <c r="C6" s="6" t="str">
        <f t="shared" si="2"/>
        <v>63,7085</v>
      </c>
      <c r="D6" s="6">
        <f t="shared" si="3"/>
        <v>63.7085</v>
      </c>
      <c r="E6" s="6">
        <f t="shared" si="4"/>
        <v>1.3609</v>
      </c>
    </row>
    <row r="7">
      <c r="A7" s="4" t="s">
        <v>4020</v>
      </c>
      <c r="B7" s="6" t="str">
        <f t="shared" si="1"/>
        <v>72.1284</v>
      </c>
      <c r="C7" s="6" t="str">
        <f t="shared" si="2"/>
        <v>72,1284</v>
      </c>
      <c r="D7" s="6">
        <f t="shared" si="3"/>
        <v>72.1284</v>
      </c>
      <c r="E7" s="6">
        <f t="shared" si="4"/>
        <v>8.4199</v>
      </c>
    </row>
    <row r="8">
      <c r="A8" s="4" t="s">
        <v>4021</v>
      </c>
      <c r="B8" s="6" t="str">
        <f t="shared" si="1"/>
        <v>87.7345</v>
      </c>
      <c r="C8" s="6" t="str">
        <f t="shared" si="2"/>
        <v>87,7345</v>
      </c>
      <c r="D8" s="6">
        <f t="shared" si="3"/>
        <v>87.7345</v>
      </c>
      <c r="E8" s="6">
        <f t="shared" si="4"/>
        <v>15.6061</v>
      </c>
    </row>
    <row r="9">
      <c r="A9" s="4" t="s">
        <v>4022</v>
      </c>
      <c r="B9" s="6" t="str">
        <f t="shared" si="1"/>
        <v>89.5878</v>
      </c>
      <c r="C9" s="6" t="str">
        <f t="shared" si="2"/>
        <v>89,5878</v>
      </c>
      <c r="D9" s="6">
        <f t="shared" si="3"/>
        <v>89.5878</v>
      </c>
      <c r="E9" s="6">
        <f t="shared" si="4"/>
        <v>1.8533</v>
      </c>
    </row>
    <row r="10">
      <c r="A10" s="4" t="s">
        <v>4023</v>
      </c>
      <c r="B10" s="6" t="str">
        <f t="shared" si="1"/>
        <v>99.9931</v>
      </c>
      <c r="C10" s="6" t="str">
        <f t="shared" si="2"/>
        <v>99,9931</v>
      </c>
      <c r="D10" s="6">
        <f t="shared" si="3"/>
        <v>99.9931</v>
      </c>
      <c r="E10" s="6">
        <f t="shared" si="4"/>
        <v>10.4053</v>
      </c>
    </row>
    <row r="11">
      <c r="A11" s="4" t="s">
        <v>4024</v>
      </c>
      <c r="B11" s="6" t="str">
        <f t="shared" si="1"/>
        <v>115.121</v>
      </c>
      <c r="C11" s="6" t="str">
        <f t="shared" si="2"/>
        <v>115,121</v>
      </c>
      <c r="D11" s="6">
        <f t="shared" si="3"/>
        <v>115.121</v>
      </c>
      <c r="E11" s="6">
        <f t="shared" si="4"/>
        <v>15.1279</v>
      </c>
    </row>
    <row r="12">
      <c r="A12" s="4" t="s">
        <v>4025</v>
      </c>
      <c r="B12" s="6" t="str">
        <f t="shared" si="1"/>
        <v>116.832</v>
      </c>
      <c r="C12" s="6" t="str">
        <f t="shared" si="2"/>
        <v>116,832</v>
      </c>
      <c r="D12" s="6">
        <f t="shared" si="3"/>
        <v>116.832</v>
      </c>
      <c r="E12" s="6">
        <f t="shared" si="4"/>
        <v>1.711</v>
      </c>
    </row>
    <row r="13">
      <c r="A13" s="4" t="s">
        <v>4026</v>
      </c>
      <c r="B13" s="6" t="str">
        <f t="shared" si="1"/>
        <v>125.586</v>
      </c>
      <c r="C13" s="6" t="str">
        <f t="shared" si="2"/>
        <v>125,586</v>
      </c>
      <c r="D13" s="6">
        <f t="shared" si="3"/>
        <v>125.586</v>
      </c>
      <c r="E13" s="6">
        <f t="shared" si="4"/>
        <v>8.754</v>
      </c>
    </row>
    <row r="14">
      <c r="A14" s="4" t="s">
        <v>4027</v>
      </c>
      <c r="B14" s="6" t="str">
        <f t="shared" si="1"/>
        <v>138.675</v>
      </c>
      <c r="C14" s="6" t="str">
        <f t="shared" si="2"/>
        <v>138,675</v>
      </c>
      <c r="D14" s="6">
        <f t="shared" si="3"/>
        <v>138.675</v>
      </c>
      <c r="E14" s="6">
        <f t="shared" si="4"/>
        <v>13.089</v>
      </c>
    </row>
    <row r="15">
      <c r="A15" s="4" t="s">
        <v>4028</v>
      </c>
      <c r="B15" s="6" t="str">
        <f t="shared" si="1"/>
        <v>140.686</v>
      </c>
      <c r="C15" s="6" t="str">
        <f t="shared" si="2"/>
        <v>140,686</v>
      </c>
      <c r="D15" s="6">
        <f t="shared" si="3"/>
        <v>140.686</v>
      </c>
      <c r="E15" s="6">
        <f t="shared" si="4"/>
        <v>2.011</v>
      </c>
    </row>
    <row r="16">
      <c r="A16" s="4" t="s">
        <v>4029</v>
      </c>
      <c r="B16" s="6" t="str">
        <f t="shared" si="1"/>
        <v>149.077</v>
      </c>
      <c r="C16" s="6" t="str">
        <f t="shared" si="2"/>
        <v>149,077</v>
      </c>
      <c r="D16" s="6">
        <f t="shared" si="3"/>
        <v>149.077</v>
      </c>
      <c r="E16" s="6">
        <f t="shared" si="4"/>
        <v>8.391</v>
      </c>
    </row>
    <row r="17">
      <c r="A17" s="4" t="s">
        <v>4030</v>
      </c>
      <c r="B17" s="6" t="str">
        <f t="shared" si="1"/>
        <v>162.055</v>
      </c>
      <c r="C17" s="6" t="str">
        <f t="shared" si="2"/>
        <v>162,055</v>
      </c>
      <c r="D17" s="6">
        <f t="shared" si="3"/>
        <v>162.055</v>
      </c>
      <c r="E17" s="6">
        <f t="shared" si="4"/>
        <v>12.978</v>
      </c>
    </row>
    <row r="18">
      <c r="A18" s="4" t="s">
        <v>4031</v>
      </c>
      <c r="B18" s="6" t="str">
        <f t="shared" si="1"/>
        <v>163.414</v>
      </c>
      <c r="C18" s="6" t="str">
        <f t="shared" si="2"/>
        <v>163,414</v>
      </c>
      <c r="D18" s="6">
        <f t="shared" si="3"/>
        <v>163.414</v>
      </c>
      <c r="E18" s="6">
        <f t="shared" si="4"/>
        <v>1.359</v>
      </c>
    </row>
    <row r="19">
      <c r="A19" s="4" t="s">
        <v>4032</v>
      </c>
      <c r="B19" s="6" t="str">
        <f t="shared" si="1"/>
        <v>172.430</v>
      </c>
      <c r="C19" s="6" t="str">
        <f t="shared" si="2"/>
        <v>172,430</v>
      </c>
      <c r="D19" s="6">
        <f t="shared" si="3"/>
        <v>172.43</v>
      </c>
      <c r="E19" s="6">
        <f t="shared" si="4"/>
        <v>9.016</v>
      </c>
    </row>
    <row r="20">
      <c r="A20" s="4" t="s">
        <v>4033</v>
      </c>
      <c r="B20" s="6" t="str">
        <f t="shared" si="1"/>
        <v>186.001</v>
      </c>
      <c r="C20" s="6" t="str">
        <f t="shared" si="2"/>
        <v>186,001</v>
      </c>
      <c r="D20" s="6">
        <f t="shared" si="3"/>
        <v>186.001</v>
      </c>
      <c r="E20" s="6">
        <f t="shared" si="4"/>
        <v>13.571</v>
      </c>
    </row>
    <row r="21">
      <c r="A21" s="4" t="s">
        <v>4034</v>
      </c>
      <c r="B21" s="6" t="str">
        <f t="shared" si="1"/>
        <v>187.482</v>
      </c>
      <c r="C21" s="6" t="str">
        <f t="shared" si="2"/>
        <v>187,482</v>
      </c>
      <c r="D21" s="6">
        <f t="shared" si="3"/>
        <v>187.482</v>
      </c>
      <c r="E21" s="6">
        <f t="shared" si="4"/>
        <v>1.481</v>
      </c>
    </row>
    <row r="22">
      <c r="A22" s="4" t="s">
        <v>4035</v>
      </c>
      <c r="B22" s="6" t="str">
        <f t="shared" si="1"/>
        <v>196.863</v>
      </c>
      <c r="C22" s="6" t="str">
        <f t="shared" si="2"/>
        <v>196,863</v>
      </c>
      <c r="D22" s="6">
        <f t="shared" si="3"/>
        <v>196.863</v>
      </c>
      <c r="E22" s="6">
        <f t="shared" si="4"/>
        <v>9.381</v>
      </c>
    </row>
    <row r="23">
      <c r="A23" s="4" t="s">
        <v>4036</v>
      </c>
      <c r="B23" s="6" t="str">
        <f t="shared" si="1"/>
        <v>211.726</v>
      </c>
      <c r="C23" s="6" t="str">
        <f t="shared" si="2"/>
        <v>211,726</v>
      </c>
      <c r="D23" s="6">
        <f t="shared" si="3"/>
        <v>211.726</v>
      </c>
      <c r="E23" s="6">
        <f t="shared" si="4"/>
        <v>14.863</v>
      </c>
    </row>
    <row r="24">
      <c r="A24" s="4" t="s">
        <v>4037</v>
      </c>
      <c r="B24" s="6" t="str">
        <f t="shared" si="1"/>
        <v>213.249</v>
      </c>
      <c r="C24" s="6" t="str">
        <f t="shared" si="2"/>
        <v>213,249</v>
      </c>
      <c r="D24" s="6">
        <f t="shared" si="3"/>
        <v>213.249</v>
      </c>
      <c r="E24" s="6">
        <f t="shared" si="4"/>
        <v>1.523</v>
      </c>
    </row>
    <row r="25">
      <c r="A25" s="4" t="s">
        <v>4038</v>
      </c>
      <c r="B25" s="6" t="str">
        <f t="shared" si="1"/>
        <v>222.033</v>
      </c>
      <c r="C25" s="6" t="str">
        <f t="shared" si="2"/>
        <v>222,033</v>
      </c>
      <c r="D25" s="6">
        <f t="shared" si="3"/>
        <v>222.033</v>
      </c>
      <c r="E25" s="6">
        <f t="shared" si="4"/>
        <v>8.784</v>
      </c>
    </row>
    <row r="26">
      <c r="A26" s="4" t="s">
        <v>4039</v>
      </c>
      <c r="B26" s="6" t="str">
        <f t="shared" si="1"/>
        <v>236.666</v>
      </c>
      <c r="C26" s="6" t="str">
        <f t="shared" si="2"/>
        <v>236,666</v>
      </c>
      <c r="D26" s="6">
        <f t="shared" si="3"/>
        <v>236.666</v>
      </c>
      <c r="E26" s="6">
        <f t="shared" si="4"/>
        <v>14.633</v>
      </c>
    </row>
    <row r="27">
      <c r="A27" s="4" t="s">
        <v>4040</v>
      </c>
      <c r="B27" s="6" t="str">
        <f t="shared" si="1"/>
        <v>237.856</v>
      </c>
      <c r="C27" s="6" t="str">
        <f t="shared" si="2"/>
        <v>237,856</v>
      </c>
      <c r="D27" s="6">
        <f t="shared" si="3"/>
        <v>237.856</v>
      </c>
      <c r="E27" s="6">
        <f t="shared" si="4"/>
        <v>1.19</v>
      </c>
    </row>
    <row r="28">
      <c r="A28" s="4" t="s">
        <v>4041</v>
      </c>
      <c r="B28" s="6" t="str">
        <f t="shared" si="1"/>
        <v>246.593</v>
      </c>
      <c r="C28" s="6" t="str">
        <f t="shared" si="2"/>
        <v>246,593</v>
      </c>
      <c r="D28" s="6">
        <f t="shared" si="3"/>
        <v>246.593</v>
      </c>
      <c r="E28" s="6">
        <f t="shared" si="4"/>
        <v>8.737</v>
      </c>
    </row>
    <row r="29">
      <c r="A29" s="4" t="s">
        <v>4042</v>
      </c>
      <c r="B29" s="6" t="str">
        <f t="shared" si="1"/>
        <v>260.585</v>
      </c>
      <c r="C29" s="6" t="str">
        <f t="shared" si="2"/>
        <v>260,585</v>
      </c>
      <c r="D29" s="6">
        <f t="shared" si="3"/>
        <v>260.585</v>
      </c>
      <c r="E29" s="6">
        <f t="shared" si="4"/>
        <v>13.992</v>
      </c>
    </row>
    <row r="30">
      <c r="A30" s="4" t="s">
        <v>4043</v>
      </c>
      <c r="B30" s="6" t="str">
        <f t="shared" si="1"/>
        <v>262.081</v>
      </c>
      <c r="C30" s="6" t="str">
        <f t="shared" si="2"/>
        <v>262,081</v>
      </c>
      <c r="D30" s="6">
        <f t="shared" si="3"/>
        <v>262.081</v>
      </c>
      <c r="E30" s="6">
        <f t="shared" si="4"/>
        <v>1.496</v>
      </c>
    </row>
    <row r="31">
      <c r="A31" s="4" t="s">
        <v>4044</v>
      </c>
      <c r="B31" s="6" t="str">
        <f t="shared" si="1"/>
        <v>271.953</v>
      </c>
      <c r="C31" s="6" t="str">
        <f t="shared" si="2"/>
        <v>271,953</v>
      </c>
      <c r="D31" s="6">
        <f t="shared" si="3"/>
        <v>271.953</v>
      </c>
      <c r="E31" s="6">
        <f t="shared" si="4"/>
        <v>9.872</v>
      </c>
    </row>
    <row r="32">
      <c r="A32" s="4" t="s">
        <v>4045</v>
      </c>
      <c r="B32" s="6" t="str">
        <f t="shared" si="1"/>
        <v>286.811</v>
      </c>
      <c r="C32" s="6" t="str">
        <f t="shared" si="2"/>
        <v>286,811</v>
      </c>
      <c r="D32" s="6">
        <f t="shared" si="3"/>
        <v>286.811</v>
      </c>
      <c r="E32" s="6">
        <f t="shared" si="4"/>
        <v>14.858</v>
      </c>
    </row>
    <row r="33">
      <c r="A33" s="4" t="s">
        <v>4046</v>
      </c>
      <c r="B33" s="6" t="str">
        <f t="shared" si="1"/>
        <v>288.448</v>
      </c>
      <c r="C33" s="6" t="str">
        <f t="shared" si="2"/>
        <v>288,448</v>
      </c>
      <c r="D33" s="6">
        <f t="shared" si="3"/>
        <v>288.448</v>
      </c>
      <c r="E33" s="6">
        <f t="shared" si="4"/>
        <v>1.637</v>
      </c>
    </row>
    <row r="34">
      <c r="A34" s="4" t="s">
        <v>4047</v>
      </c>
      <c r="B34" s="6" t="str">
        <f t="shared" si="1"/>
        <v>298.359</v>
      </c>
      <c r="C34" s="6" t="str">
        <f t="shared" si="2"/>
        <v>298,359</v>
      </c>
      <c r="D34" s="6">
        <f t="shared" si="3"/>
        <v>298.359</v>
      </c>
      <c r="E34" s="6">
        <f t="shared" si="4"/>
        <v>9.911</v>
      </c>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row r="502">
      <c r="A502" s="4"/>
    </row>
    <row r="503">
      <c r="A503" s="4"/>
    </row>
    <row r="504">
      <c r="A504" s="4"/>
    </row>
    <row r="505">
      <c r="A505" s="4"/>
    </row>
    <row r="506">
      <c r="A506" s="4"/>
    </row>
    <row r="507">
      <c r="A507" s="4"/>
    </row>
    <row r="508">
      <c r="A508" s="4"/>
    </row>
    <row r="509">
      <c r="A509" s="4"/>
    </row>
    <row r="510">
      <c r="A510" s="4"/>
    </row>
    <row r="511">
      <c r="A511" s="4"/>
    </row>
    <row r="512">
      <c r="A512" s="4"/>
    </row>
    <row r="513">
      <c r="A513" s="4"/>
    </row>
    <row r="514">
      <c r="A514" s="4"/>
    </row>
    <row r="515">
      <c r="A515" s="4"/>
    </row>
    <row r="516">
      <c r="A516" s="4"/>
    </row>
    <row r="517">
      <c r="A517" s="4"/>
    </row>
    <row r="518">
      <c r="A518" s="4"/>
    </row>
    <row r="519">
      <c r="A519" s="4"/>
    </row>
    <row r="520">
      <c r="A520" s="4"/>
    </row>
    <row r="521">
      <c r="A521" s="4"/>
    </row>
    <row r="522">
      <c r="A522" s="4"/>
    </row>
    <row r="523">
      <c r="A523" s="4"/>
    </row>
    <row r="524">
      <c r="A524" s="4"/>
    </row>
    <row r="525">
      <c r="A525" s="4"/>
    </row>
    <row r="526">
      <c r="A526" s="4"/>
    </row>
    <row r="527">
      <c r="A527" s="4"/>
    </row>
    <row r="528">
      <c r="A528" s="4"/>
    </row>
    <row r="529">
      <c r="A529" s="4"/>
    </row>
    <row r="530">
      <c r="A530" s="4"/>
    </row>
    <row r="531">
      <c r="A531" s="4"/>
    </row>
    <row r="532">
      <c r="A532" s="4"/>
    </row>
    <row r="533">
      <c r="A533" s="4"/>
    </row>
    <row r="534">
      <c r="A534" s="4"/>
    </row>
    <row r="535">
      <c r="A535" s="4"/>
    </row>
    <row r="536">
      <c r="A536" s="4"/>
    </row>
    <row r="537">
      <c r="A537" s="4"/>
    </row>
    <row r="538">
      <c r="A538" s="4"/>
    </row>
    <row r="539">
      <c r="A539" s="4"/>
    </row>
    <row r="540">
      <c r="A540" s="4"/>
    </row>
    <row r="541">
      <c r="A541" s="4"/>
    </row>
    <row r="542">
      <c r="A542" s="4"/>
    </row>
    <row r="543">
      <c r="A543" s="4"/>
    </row>
    <row r="544">
      <c r="A544" s="4"/>
    </row>
    <row r="545">
      <c r="A545" s="4"/>
    </row>
    <row r="546">
      <c r="A546" s="4"/>
    </row>
    <row r="547">
      <c r="A547" s="4"/>
    </row>
    <row r="548">
      <c r="A548" s="4"/>
    </row>
    <row r="549">
      <c r="A549" s="4"/>
    </row>
    <row r="550">
      <c r="A550" s="4"/>
    </row>
    <row r="551">
      <c r="A551" s="4"/>
    </row>
    <row r="552">
      <c r="A552" s="4"/>
    </row>
    <row r="553">
      <c r="A553" s="4"/>
    </row>
    <row r="554">
      <c r="A554" s="4"/>
    </row>
    <row r="555">
      <c r="A555" s="4"/>
    </row>
    <row r="556">
      <c r="A556" s="4"/>
    </row>
    <row r="557">
      <c r="A557" s="4"/>
    </row>
    <row r="558">
      <c r="A558" s="4"/>
    </row>
    <row r="559">
      <c r="A559" s="4"/>
    </row>
    <row r="560">
      <c r="A560" s="4"/>
    </row>
    <row r="561">
      <c r="A561" s="4"/>
    </row>
    <row r="562">
      <c r="A562" s="4"/>
    </row>
    <row r="563">
      <c r="A563" s="4"/>
    </row>
    <row r="564">
      <c r="A564" s="4"/>
    </row>
    <row r="565">
      <c r="A565" s="4"/>
    </row>
    <row r="566">
      <c r="A566" s="4"/>
    </row>
    <row r="567">
      <c r="A567" s="4"/>
    </row>
    <row r="568">
      <c r="A568" s="4"/>
    </row>
    <row r="569">
      <c r="A569" s="4"/>
    </row>
    <row r="570">
      <c r="A570" s="4"/>
    </row>
    <row r="571">
      <c r="A571" s="4"/>
    </row>
    <row r="572">
      <c r="A572" s="4"/>
    </row>
    <row r="573">
      <c r="A573" s="4"/>
    </row>
    <row r="574">
      <c r="A574" s="4"/>
    </row>
    <row r="575">
      <c r="A575" s="4"/>
    </row>
    <row r="576">
      <c r="A576" s="4"/>
    </row>
    <row r="577">
      <c r="A577" s="4"/>
    </row>
    <row r="578">
      <c r="A578" s="4"/>
    </row>
    <row r="579">
      <c r="A579" s="4"/>
    </row>
    <row r="580">
      <c r="A580" s="4"/>
    </row>
    <row r="581">
      <c r="A581" s="4"/>
    </row>
    <row r="582">
      <c r="A582" s="4"/>
    </row>
    <row r="583">
      <c r="A583" s="4"/>
    </row>
    <row r="584">
      <c r="A584" s="4"/>
    </row>
    <row r="585">
      <c r="A585" s="4"/>
    </row>
    <row r="586">
      <c r="A586" s="4"/>
    </row>
    <row r="587">
      <c r="A587" s="4"/>
    </row>
    <row r="588">
      <c r="A588" s="4"/>
    </row>
    <row r="589">
      <c r="A589" s="4"/>
    </row>
    <row r="590">
      <c r="A590" s="4"/>
    </row>
    <row r="591">
      <c r="A591" s="4"/>
    </row>
    <row r="592">
      <c r="A592" s="4"/>
    </row>
    <row r="593">
      <c r="A593" s="4"/>
    </row>
    <row r="594">
      <c r="A594" s="4"/>
    </row>
    <row r="595">
      <c r="A595" s="4"/>
    </row>
    <row r="596">
      <c r="A596" s="4"/>
    </row>
    <row r="597">
      <c r="A597" s="4"/>
    </row>
    <row r="598">
      <c r="A598" s="4"/>
    </row>
    <row r="599">
      <c r="A599" s="4"/>
    </row>
    <row r="600">
      <c r="A600" s="4"/>
    </row>
    <row r="601">
      <c r="A601" s="4"/>
    </row>
    <row r="602">
      <c r="A602" s="4"/>
    </row>
    <row r="603">
      <c r="A603" s="4"/>
    </row>
    <row r="604">
      <c r="A604" s="4"/>
    </row>
    <row r="605">
      <c r="A605" s="4"/>
    </row>
    <row r="606">
      <c r="A606" s="4"/>
    </row>
    <row r="607">
      <c r="A607" s="4"/>
    </row>
    <row r="608">
      <c r="A608" s="4"/>
    </row>
    <row r="609">
      <c r="A609" s="4"/>
    </row>
    <row r="610">
      <c r="A610" s="4"/>
    </row>
    <row r="611">
      <c r="A611" s="4"/>
    </row>
    <row r="612">
      <c r="A612" s="4"/>
    </row>
    <row r="613">
      <c r="A613" s="4"/>
    </row>
    <row r="614">
      <c r="A614" s="4"/>
    </row>
    <row r="615">
      <c r="A615" s="4"/>
    </row>
    <row r="616">
      <c r="A616" s="4"/>
    </row>
    <row r="617">
      <c r="A617" s="4"/>
    </row>
    <row r="618">
      <c r="A618" s="4"/>
    </row>
    <row r="619">
      <c r="A619" s="4"/>
    </row>
    <row r="620">
      <c r="A620" s="4"/>
    </row>
    <row r="621">
      <c r="A621" s="4"/>
    </row>
    <row r="622">
      <c r="A622" s="4"/>
    </row>
    <row r="623">
      <c r="A623" s="4"/>
    </row>
    <row r="624">
      <c r="A624" s="4"/>
    </row>
    <row r="625">
      <c r="A625" s="4"/>
    </row>
    <row r="626">
      <c r="A626" s="4"/>
    </row>
    <row r="627">
      <c r="A627" s="4"/>
    </row>
    <row r="628">
      <c r="A628" s="4"/>
    </row>
    <row r="629">
      <c r="A629" s="4"/>
    </row>
    <row r="630">
      <c r="A630" s="4"/>
    </row>
    <row r="631">
      <c r="A631" s="4"/>
    </row>
    <row r="632">
      <c r="A632" s="4"/>
    </row>
    <row r="633">
      <c r="A633" s="4"/>
    </row>
    <row r="634">
      <c r="A634" s="4"/>
    </row>
    <row r="635">
      <c r="A635" s="4"/>
    </row>
    <row r="636">
      <c r="A636" s="4"/>
    </row>
    <row r="637">
      <c r="A637" s="4"/>
    </row>
    <row r="638">
      <c r="A638" s="4"/>
    </row>
    <row r="639">
      <c r="A639" s="4"/>
    </row>
    <row r="640">
      <c r="A640" s="4"/>
    </row>
    <row r="641">
      <c r="A641" s="4"/>
    </row>
    <row r="642">
      <c r="A642" s="4"/>
    </row>
    <row r="643">
      <c r="A643" s="4"/>
    </row>
    <row r="644">
      <c r="A644" s="4"/>
    </row>
    <row r="645">
      <c r="A645" s="4"/>
    </row>
    <row r="646">
      <c r="A646" s="4"/>
    </row>
    <row r="647">
      <c r="A647" s="4"/>
    </row>
    <row r="648">
      <c r="A648" s="4"/>
    </row>
    <row r="649">
      <c r="A649" s="4"/>
    </row>
    <row r="650">
      <c r="A650" s="4"/>
    </row>
    <row r="651">
      <c r="A651" s="4"/>
    </row>
    <row r="652">
      <c r="A652" s="4"/>
    </row>
    <row r="653">
      <c r="A653" s="4"/>
    </row>
    <row r="654">
      <c r="A654" s="4"/>
    </row>
    <row r="655">
      <c r="A655" s="4"/>
    </row>
    <row r="656">
      <c r="A656" s="4"/>
    </row>
    <row r="657">
      <c r="A657" s="4"/>
    </row>
    <row r="658">
      <c r="A658" s="4"/>
    </row>
    <row r="659">
      <c r="A659" s="4"/>
    </row>
    <row r="660">
      <c r="A660" s="4"/>
    </row>
    <row r="661">
      <c r="A661" s="4"/>
    </row>
    <row r="662">
      <c r="A662" s="4"/>
    </row>
    <row r="663">
      <c r="A663" s="4"/>
    </row>
    <row r="664">
      <c r="A664" s="4"/>
    </row>
    <row r="665">
      <c r="A665" s="4"/>
    </row>
    <row r="666">
      <c r="A666" s="4"/>
    </row>
    <row r="667">
      <c r="A667" s="4"/>
    </row>
    <row r="668">
      <c r="A668" s="4"/>
    </row>
    <row r="669">
      <c r="A669" s="4"/>
    </row>
    <row r="670">
      <c r="A670" s="4"/>
    </row>
    <row r="671">
      <c r="A671" s="4"/>
    </row>
    <row r="672">
      <c r="A672" s="4"/>
    </row>
    <row r="673">
      <c r="A673" s="4"/>
    </row>
    <row r="674">
      <c r="A674" s="4"/>
    </row>
    <row r="675">
      <c r="A675" s="4"/>
    </row>
    <row r="676">
      <c r="A676" s="4"/>
    </row>
    <row r="677">
      <c r="A677" s="4"/>
    </row>
    <row r="678">
      <c r="A678" s="4"/>
    </row>
    <row r="679">
      <c r="A679" s="4"/>
    </row>
    <row r="680">
      <c r="A680" s="4"/>
    </row>
    <row r="681">
      <c r="A681" s="4"/>
    </row>
    <row r="682">
      <c r="A682" s="4"/>
    </row>
    <row r="683">
      <c r="A683" s="4"/>
    </row>
    <row r="684">
      <c r="A684" s="4"/>
    </row>
    <row r="685">
      <c r="A685" s="4"/>
    </row>
    <row r="686">
      <c r="A686" s="4"/>
    </row>
    <row r="687">
      <c r="A687" s="4"/>
    </row>
    <row r="688">
      <c r="A688" s="4"/>
    </row>
    <row r="689">
      <c r="A689" s="4"/>
    </row>
    <row r="690">
      <c r="A690" s="4"/>
    </row>
    <row r="691">
      <c r="A691" s="4"/>
    </row>
    <row r="692">
      <c r="A692" s="4"/>
    </row>
    <row r="693">
      <c r="A693" s="4"/>
    </row>
    <row r="694">
      <c r="A694" s="4"/>
    </row>
    <row r="695">
      <c r="A695" s="4"/>
    </row>
    <row r="696">
      <c r="A696" s="4"/>
    </row>
    <row r="697">
      <c r="A697" s="4"/>
    </row>
    <row r="698">
      <c r="A698" s="4"/>
    </row>
    <row r="699">
      <c r="A699" s="4"/>
    </row>
    <row r="700">
      <c r="A700" s="4"/>
    </row>
    <row r="701">
      <c r="A701" s="4"/>
    </row>
    <row r="702">
      <c r="A702" s="4"/>
    </row>
    <row r="703">
      <c r="A703" s="4"/>
    </row>
    <row r="704">
      <c r="A704" s="4"/>
    </row>
    <row r="705">
      <c r="A705" s="4"/>
    </row>
    <row r="706">
      <c r="A706" s="4"/>
    </row>
    <row r="707">
      <c r="A707" s="4"/>
    </row>
    <row r="708">
      <c r="A708" s="4"/>
    </row>
    <row r="709">
      <c r="A709" s="4"/>
    </row>
    <row r="710">
      <c r="A710" s="4"/>
    </row>
    <row r="711">
      <c r="A711" s="4"/>
    </row>
    <row r="712">
      <c r="A712" s="4"/>
    </row>
    <row r="713">
      <c r="A713" s="4"/>
    </row>
    <row r="714">
      <c r="A714" s="4"/>
    </row>
    <row r="715">
      <c r="A715" s="4"/>
    </row>
    <row r="716">
      <c r="A716" s="4"/>
    </row>
    <row r="717">
      <c r="A717" s="4"/>
    </row>
    <row r="718">
      <c r="A718" s="4"/>
    </row>
    <row r="719">
      <c r="A719" s="4"/>
    </row>
    <row r="720">
      <c r="A720" s="4"/>
    </row>
    <row r="721">
      <c r="A721" s="4"/>
    </row>
    <row r="722">
      <c r="A722" s="4"/>
    </row>
    <row r="723">
      <c r="A723" s="4"/>
    </row>
    <row r="724">
      <c r="A724" s="4"/>
    </row>
    <row r="725">
      <c r="A725" s="4"/>
    </row>
    <row r="726">
      <c r="A726" s="4"/>
    </row>
    <row r="727">
      <c r="A727" s="4"/>
    </row>
    <row r="728">
      <c r="A728" s="4"/>
    </row>
    <row r="729">
      <c r="A729" s="4"/>
    </row>
    <row r="730">
      <c r="A730" s="4"/>
    </row>
    <row r="731">
      <c r="A731" s="4"/>
    </row>
    <row r="732">
      <c r="A732" s="4"/>
    </row>
    <row r="733">
      <c r="A733" s="4"/>
    </row>
    <row r="734">
      <c r="A734" s="4"/>
    </row>
    <row r="735">
      <c r="A735" s="4"/>
    </row>
    <row r="736">
      <c r="A736" s="4"/>
    </row>
    <row r="737">
      <c r="A737" s="4"/>
    </row>
    <row r="738">
      <c r="A738" s="4"/>
    </row>
    <row r="739">
      <c r="A739" s="4"/>
    </row>
    <row r="740">
      <c r="A740" s="4"/>
    </row>
    <row r="741">
      <c r="A741" s="4"/>
    </row>
    <row r="742">
      <c r="A742" s="4"/>
    </row>
    <row r="743">
      <c r="A743" s="4"/>
    </row>
    <row r="744">
      <c r="A744" s="4"/>
    </row>
    <row r="745">
      <c r="A745" s="4"/>
    </row>
    <row r="746">
      <c r="A746" s="4"/>
    </row>
    <row r="747">
      <c r="A747" s="4"/>
    </row>
    <row r="748">
      <c r="A748" s="4"/>
    </row>
    <row r="749">
      <c r="A749" s="4"/>
    </row>
    <row r="750">
      <c r="A750" s="4"/>
    </row>
    <row r="751">
      <c r="A751" s="4"/>
    </row>
    <row r="752">
      <c r="A752" s="4"/>
    </row>
    <row r="753">
      <c r="A753" s="4"/>
    </row>
    <row r="754">
      <c r="A754" s="4"/>
    </row>
    <row r="755">
      <c r="A755" s="4"/>
    </row>
    <row r="756">
      <c r="A756" s="4"/>
    </row>
    <row r="757">
      <c r="A757" s="4"/>
    </row>
    <row r="758">
      <c r="A758" s="4"/>
    </row>
    <row r="759">
      <c r="A759" s="4"/>
    </row>
    <row r="760">
      <c r="A760" s="4"/>
    </row>
    <row r="761">
      <c r="A761" s="4"/>
    </row>
    <row r="762">
      <c r="A762" s="4"/>
    </row>
    <row r="763">
      <c r="A763" s="4"/>
    </row>
    <row r="764">
      <c r="A764" s="4"/>
    </row>
    <row r="765">
      <c r="A765" s="4"/>
    </row>
    <row r="766">
      <c r="A766" s="4"/>
    </row>
    <row r="767">
      <c r="A767" s="4"/>
    </row>
    <row r="768">
      <c r="A768" s="4"/>
    </row>
    <row r="769">
      <c r="A769" s="4"/>
    </row>
    <row r="770">
      <c r="A770" s="4"/>
    </row>
    <row r="771">
      <c r="A771" s="4"/>
    </row>
    <row r="772">
      <c r="A772" s="4"/>
    </row>
    <row r="773">
      <c r="A773" s="4"/>
    </row>
    <row r="774">
      <c r="A774" s="4"/>
    </row>
    <row r="775">
      <c r="A775" s="4"/>
    </row>
    <row r="776">
      <c r="A776" s="4"/>
    </row>
    <row r="777">
      <c r="A777" s="4"/>
    </row>
    <row r="778">
      <c r="A778" s="4"/>
    </row>
    <row r="779">
      <c r="A779" s="4"/>
    </row>
    <row r="780">
      <c r="A780" s="4"/>
    </row>
    <row r="781">
      <c r="A781" s="4"/>
    </row>
    <row r="782">
      <c r="A782" s="4"/>
    </row>
    <row r="783">
      <c r="A783" s="4"/>
    </row>
    <row r="784">
      <c r="A784" s="4"/>
    </row>
    <row r="785">
      <c r="A785" s="4"/>
    </row>
    <row r="786">
      <c r="A786" s="4"/>
    </row>
    <row r="787">
      <c r="A787" s="4"/>
    </row>
    <row r="788">
      <c r="A788" s="4"/>
    </row>
    <row r="789">
      <c r="A789" s="4"/>
    </row>
    <row r="790">
      <c r="A790" s="4"/>
    </row>
    <row r="791">
      <c r="A791" s="4"/>
    </row>
    <row r="792">
      <c r="A792" s="4"/>
    </row>
    <row r="793">
      <c r="A793" s="4"/>
    </row>
    <row r="794">
      <c r="A794" s="4"/>
    </row>
    <row r="795">
      <c r="A795" s="4"/>
    </row>
    <row r="796">
      <c r="A796" s="4"/>
    </row>
    <row r="797">
      <c r="A797" s="4"/>
    </row>
    <row r="798">
      <c r="A798" s="4"/>
    </row>
    <row r="799">
      <c r="A799" s="4"/>
    </row>
    <row r="800">
      <c r="A800" s="4"/>
    </row>
    <row r="801">
      <c r="A801" s="4"/>
    </row>
    <row r="802">
      <c r="A802" s="4"/>
    </row>
    <row r="803">
      <c r="A803" s="4"/>
    </row>
    <row r="804">
      <c r="A804" s="4"/>
    </row>
    <row r="805">
      <c r="A805" s="4"/>
    </row>
    <row r="806">
      <c r="A806" s="4"/>
    </row>
    <row r="807">
      <c r="A807" s="4"/>
    </row>
    <row r="808">
      <c r="A808" s="4"/>
    </row>
    <row r="809">
      <c r="A809" s="4"/>
    </row>
    <row r="810">
      <c r="A810" s="4"/>
    </row>
    <row r="811">
      <c r="A811" s="4"/>
    </row>
    <row r="812">
      <c r="A812" s="4"/>
    </row>
    <row r="813">
      <c r="A813" s="4"/>
    </row>
    <row r="814">
      <c r="A814" s="4"/>
    </row>
    <row r="815">
      <c r="A815" s="4"/>
    </row>
    <row r="816">
      <c r="A816" s="4"/>
    </row>
    <row r="817">
      <c r="A817" s="4"/>
    </row>
    <row r="818">
      <c r="A818" s="4"/>
    </row>
    <row r="819">
      <c r="A819" s="4"/>
    </row>
    <row r="820">
      <c r="A820" s="4"/>
    </row>
    <row r="821">
      <c r="A821" s="4"/>
    </row>
    <row r="822">
      <c r="A822" s="4"/>
    </row>
    <row r="823">
      <c r="A823" s="4"/>
    </row>
    <row r="824">
      <c r="A824" s="4"/>
    </row>
    <row r="825">
      <c r="A825" s="4"/>
    </row>
    <row r="826">
      <c r="A826" s="4"/>
    </row>
    <row r="827">
      <c r="A827" s="4"/>
    </row>
    <row r="828">
      <c r="A828" s="4"/>
    </row>
    <row r="829">
      <c r="A829" s="4"/>
    </row>
    <row r="830">
      <c r="A830" s="4"/>
    </row>
    <row r="831">
      <c r="A831" s="4"/>
    </row>
    <row r="832">
      <c r="A832" s="4"/>
    </row>
    <row r="833">
      <c r="A833" s="4"/>
    </row>
    <row r="834">
      <c r="A834" s="4"/>
    </row>
    <row r="835">
      <c r="A835" s="4"/>
    </row>
    <row r="836">
      <c r="A836" s="4"/>
    </row>
    <row r="837">
      <c r="A837" s="4"/>
    </row>
    <row r="838">
      <c r="A838" s="4"/>
    </row>
    <row r="839">
      <c r="A839" s="4"/>
    </row>
    <row r="840">
      <c r="A840" s="4"/>
    </row>
    <row r="841">
      <c r="A841" s="4"/>
    </row>
    <row r="842">
      <c r="A842" s="4"/>
    </row>
    <row r="843">
      <c r="A843" s="4"/>
    </row>
    <row r="844">
      <c r="A844" s="4"/>
    </row>
    <row r="845">
      <c r="A845" s="4"/>
    </row>
    <row r="846">
      <c r="A846" s="4"/>
    </row>
    <row r="847">
      <c r="A847" s="4"/>
    </row>
    <row r="848">
      <c r="A848" s="4"/>
    </row>
    <row r="849">
      <c r="A849" s="4"/>
    </row>
    <row r="850">
      <c r="A850" s="4"/>
    </row>
    <row r="851">
      <c r="A851" s="4"/>
    </row>
    <row r="852">
      <c r="A852" s="4"/>
    </row>
    <row r="853">
      <c r="A853" s="4"/>
    </row>
    <row r="854">
      <c r="A854" s="4"/>
    </row>
    <row r="855">
      <c r="A855" s="4"/>
    </row>
    <row r="856">
      <c r="A856" s="4"/>
    </row>
    <row r="857">
      <c r="A857" s="4"/>
    </row>
    <row r="858">
      <c r="A858" s="4"/>
    </row>
    <row r="859">
      <c r="A859" s="4"/>
    </row>
    <row r="860">
      <c r="A860" s="4"/>
    </row>
    <row r="861">
      <c r="A861" s="4"/>
    </row>
    <row r="862">
      <c r="A862" s="4"/>
    </row>
    <row r="863">
      <c r="A863" s="4"/>
    </row>
    <row r="864">
      <c r="A864" s="4"/>
    </row>
    <row r="865">
      <c r="A865" s="4"/>
    </row>
    <row r="866">
      <c r="A866" s="4"/>
    </row>
    <row r="867">
      <c r="A867" s="4"/>
    </row>
    <row r="868">
      <c r="A868" s="4"/>
    </row>
    <row r="869">
      <c r="A869" s="4"/>
    </row>
    <row r="870">
      <c r="A870" s="4"/>
    </row>
    <row r="871">
      <c r="A871" s="4"/>
    </row>
    <row r="872">
      <c r="A872" s="4"/>
    </row>
    <row r="873">
      <c r="A873" s="4"/>
    </row>
    <row r="874">
      <c r="A874" s="4"/>
    </row>
    <row r="875">
      <c r="A875" s="4"/>
    </row>
    <row r="876">
      <c r="A876" s="4"/>
    </row>
    <row r="877">
      <c r="A877" s="4"/>
    </row>
    <row r="878">
      <c r="A878" s="4"/>
    </row>
    <row r="879">
      <c r="A879" s="4"/>
    </row>
    <row r="880">
      <c r="A880" s="4"/>
    </row>
    <row r="881">
      <c r="A881" s="4"/>
    </row>
    <row r="882">
      <c r="A882" s="4"/>
    </row>
    <row r="883">
      <c r="A883" s="4"/>
    </row>
    <row r="884">
      <c r="A884" s="4"/>
    </row>
    <row r="885">
      <c r="A885" s="4"/>
    </row>
    <row r="886">
      <c r="A886" s="4"/>
    </row>
    <row r="887">
      <c r="A887" s="4"/>
    </row>
    <row r="888">
      <c r="A888" s="4"/>
    </row>
    <row r="889">
      <c r="A889" s="4"/>
    </row>
    <row r="890">
      <c r="A890" s="4"/>
    </row>
    <row r="891">
      <c r="A891" s="4"/>
    </row>
    <row r="892">
      <c r="A892" s="4"/>
    </row>
    <row r="893">
      <c r="A893" s="4"/>
    </row>
    <row r="894">
      <c r="A894" s="4"/>
    </row>
    <row r="895">
      <c r="A895" s="4"/>
    </row>
    <row r="896">
      <c r="A896" s="4"/>
    </row>
    <row r="897">
      <c r="A897" s="4"/>
    </row>
    <row r="898">
      <c r="A898" s="4"/>
    </row>
    <row r="899">
      <c r="A899" s="4"/>
    </row>
    <row r="900">
      <c r="A900" s="4"/>
    </row>
    <row r="901">
      <c r="A901" s="4"/>
    </row>
    <row r="902">
      <c r="A902" s="4"/>
    </row>
    <row r="903">
      <c r="A903" s="4"/>
    </row>
    <row r="904">
      <c r="A904" s="4"/>
    </row>
    <row r="905">
      <c r="A905" s="4"/>
    </row>
    <row r="906">
      <c r="A906" s="4"/>
    </row>
    <row r="907">
      <c r="A907" s="4"/>
    </row>
    <row r="908">
      <c r="A908" s="4"/>
    </row>
    <row r="909">
      <c r="A909" s="4"/>
    </row>
    <row r="910">
      <c r="A910" s="4"/>
    </row>
    <row r="911">
      <c r="A911" s="4"/>
    </row>
    <row r="912">
      <c r="A912" s="4"/>
    </row>
    <row r="913">
      <c r="A913" s="4"/>
    </row>
    <row r="914">
      <c r="A914" s="4"/>
    </row>
    <row r="915">
      <c r="A915" s="4"/>
    </row>
    <row r="916">
      <c r="A916" s="4"/>
    </row>
    <row r="917">
      <c r="A917" s="4"/>
    </row>
    <row r="918">
      <c r="A918" s="4"/>
    </row>
    <row r="919">
      <c r="A919" s="4"/>
    </row>
    <row r="920">
      <c r="A920" s="4"/>
    </row>
    <row r="921">
      <c r="A921" s="4"/>
    </row>
    <row r="922">
      <c r="A922" s="4"/>
    </row>
    <row r="923">
      <c r="A923" s="4"/>
    </row>
    <row r="924">
      <c r="A924" s="4"/>
    </row>
    <row r="925">
      <c r="A925" s="4"/>
    </row>
    <row r="926">
      <c r="A926" s="4"/>
    </row>
    <row r="927">
      <c r="A927" s="4"/>
    </row>
    <row r="928">
      <c r="A928" s="4"/>
    </row>
    <row r="929">
      <c r="A929" s="4"/>
    </row>
    <row r="930">
      <c r="A930" s="4"/>
    </row>
    <row r="931">
      <c r="A931" s="4"/>
    </row>
    <row r="932">
      <c r="A932" s="4"/>
    </row>
    <row r="933">
      <c r="A933" s="4"/>
    </row>
    <row r="934">
      <c r="A934" s="4"/>
    </row>
    <row r="935">
      <c r="A935" s="4"/>
    </row>
    <row r="936">
      <c r="A936" s="4"/>
    </row>
    <row r="937">
      <c r="A937" s="4"/>
    </row>
    <row r="938">
      <c r="A938" s="4"/>
    </row>
    <row r="939">
      <c r="A939" s="4"/>
    </row>
    <row r="940">
      <c r="A940" s="4"/>
    </row>
    <row r="941">
      <c r="A941" s="4"/>
    </row>
    <row r="942">
      <c r="A942" s="4"/>
    </row>
    <row r="943">
      <c r="A943" s="4"/>
    </row>
    <row r="944">
      <c r="A944" s="4"/>
    </row>
    <row r="945">
      <c r="A945" s="4"/>
    </row>
    <row r="946">
      <c r="A946" s="4"/>
    </row>
    <row r="947">
      <c r="A947" s="4"/>
    </row>
    <row r="948">
      <c r="A948" s="4"/>
    </row>
    <row r="949">
      <c r="A949" s="4"/>
    </row>
    <row r="950">
      <c r="A950" s="4"/>
    </row>
    <row r="951">
      <c r="A951" s="4"/>
    </row>
    <row r="952">
      <c r="A952" s="4"/>
    </row>
    <row r="953">
      <c r="A953" s="4"/>
    </row>
    <row r="954">
      <c r="A954" s="4"/>
    </row>
    <row r="955">
      <c r="A955" s="4"/>
    </row>
    <row r="956">
      <c r="A956" s="4"/>
    </row>
    <row r="957">
      <c r="A957" s="4"/>
    </row>
    <row r="958">
      <c r="A958" s="4"/>
    </row>
    <row r="959">
      <c r="A959" s="4"/>
    </row>
    <row r="960">
      <c r="A960" s="4"/>
    </row>
    <row r="961">
      <c r="A961" s="4"/>
    </row>
    <row r="962">
      <c r="A962" s="4"/>
    </row>
    <row r="963">
      <c r="A963" s="4"/>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row>
    <row r="978">
      <c r="A978" s="4"/>
    </row>
    <row r="979">
      <c r="A979" s="4"/>
    </row>
    <row r="980">
      <c r="A980" s="4"/>
    </row>
    <row r="981">
      <c r="A981" s="4"/>
    </row>
    <row r="982">
      <c r="A982" s="4"/>
    </row>
    <row r="983">
      <c r="A983" s="4"/>
    </row>
    <row r="984">
      <c r="A984" s="4"/>
    </row>
    <row r="985">
      <c r="A985" s="4"/>
    </row>
    <row r="986">
      <c r="A986" s="4"/>
    </row>
    <row r="987">
      <c r="A987" s="4"/>
    </row>
    <row r="988">
      <c r="A988" s="4"/>
    </row>
    <row r="989">
      <c r="A989" s="4"/>
    </row>
    <row r="990">
      <c r="A990" s="4"/>
    </row>
    <row r="991">
      <c r="A991" s="4"/>
    </row>
    <row r="992">
      <c r="A992" s="4"/>
    </row>
    <row r="993">
      <c r="A993" s="4"/>
    </row>
    <row r="994">
      <c r="A994" s="4"/>
    </row>
    <row r="995">
      <c r="A995" s="4"/>
    </row>
    <row r="996">
      <c r="A996" s="4"/>
    </row>
    <row r="997">
      <c r="A997" s="4"/>
    </row>
    <row r="998">
      <c r="A998" s="4"/>
    </row>
    <row r="999">
      <c r="A999" s="4"/>
    </row>
    <row r="1000">
      <c r="A1000" s="4"/>
    </row>
    <row r="1001">
      <c r="A1001" s="4"/>
    </row>
    <row r="1002">
      <c r="A1002" s="4"/>
    </row>
    <row r="1003">
      <c r="A1003" s="4"/>
    </row>
    <row r="1004">
      <c r="A1004" s="4"/>
    </row>
    <row r="1005">
      <c r="A1005" s="4"/>
    </row>
    <row r="1006">
      <c r="A1006" s="4"/>
    </row>
    <row r="1007">
      <c r="A1007" s="4"/>
    </row>
    <row r="1008">
      <c r="A1008" s="4"/>
    </row>
    <row r="1009">
      <c r="A1009" s="4"/>
    </row>
    <row r="1010">
      <c r="A1010" s="4"/>
    </row>
    <row r="1011">
      <c r="A1011" s="4"/>
    </row>
    <row r="1012">
      <c r="A1012" s="4"/>
    </row>
    <row r="1013">
      <c r="A1013" s="4"/>
    </row>
    <row r="1014">
      <c r="A1014" s="4"/>
    </row>
    <row r="1015">
      <c r="A1015" s="4"/>
    </row>
    <row r="1016">
      <c r="A1016" s="4"/>
    </row>
    <row r="1017">
      <c r="A1017" s="4"/>
    </row>
    <row r="1018">
      <c r="A1018" s="4"/>
    </row>
    <row r="1019">
      <c r="A1019" s="4"/>
    </row>
    <row r="1020">
      <c r="A1020" s="4"/>
    </row>
    <row r="1021">
      <c r="A1021" s="4"/>
    </row>
    <row r="1022">
      <c r="A1022" s="4"/>
    </row>
    <row r="1023">
      <c r="A1023" s="4"/>
    </row>
    <row r="1024">
      <c r="A1024" s="4"/>
    </row>
    <row r="1025">
      <c r="A1025" s="4"/>
    </row>
    <row r="1026">
      <c r="A1026" s="4"/>
    </row>
    <row r="1027">
      <c r="A1027" s="4"/>
    </row>
    <row r="1028">
      <c r="A1028" s="4"/>
    </row>
    <row r="1029">
      <c r="A1029" s="4"/>
    </row>
    <row r="1030">
      <c r="A1030" s="4"/>
    </row>
    <row r="1031">
      <c r="A1031" s="4"/>
    </row>
    <row r="1032">
      <c r="A1032" s="4"/>
    </row>
    <row r="1033">
      <c r="A1033" s="4"/>
    </row>
    <row r="1034">
      <c r="A1034" s="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c r="H1" s="7"/>
    </row>
    <row r="2">
      <c r="A2" s="4" t="s">
        <v>939</v>
      </c>
      <c r="C2" s="4"/>
      <c r="D2" s="4"/>
      <c r="E2" s="8"/>
      <c r="F2" s="8"/>
      <c r="G2" s="8"/>
      <c r="H2" s="9"/>
    </row>
    <row r="3">
      <c r="A3" s="4" t="s">
        <v>105</v>
      </c>
      <c r="C3" s="4"/>
      <c r="D3" s="4"/>
      <c r="E3" s="8"/>
      <c r="F3" s="8"/>
      <c r="G3" s="8"/>
      <c r="H3" s="9"/>
    </row>
    <row r="4">
      <c r="A4" s="4" t="s">
        <v>2163</v>
      </c>
      <c r="C4" s="4"/>
      <c r="D4" s="4"/>
      <c r="E4" s="8"/>
      <c r="F4" s="8"/>
      <c r="G4" s="8"/>
      <c r="H4" s="9"/>
    </row>
    <row r="5">
      <c r="A5" s="4" t="s">
        <v>2165</v>
      </c>
      <c r="C5" s="4"/>
      <c r="D5" s="4"/>
      <c r="E5" s="8"/>
      <c r="F5" s="8"/>
      <c r="G5" s="8"/>
      <c r="H5" s="9"/>
    </row>
    <row r="6">
      <c r="A6" s="4" t="s">
        <v>2161</v>
      </c>
      <c r="C6" s="4"/>
      <c r="D6" s="4"/>
      <c r="E6" s="8"/>
      <c r="F6" s="8"/>
      <c r="G6" s="8"/>
      <c r="H6" s="9"/>
    </row>
    <row r="7">
      <c r="A7" s="4" t="s">
        <v>952</v>
      </c>
      <c r="C7" s="4"/>
      <c r="D7" s="4"/>
      <c r="E7" s="8"/>
      <c r="F7" s="8"/>
      <c r="G7" s="8"/>
      <c r="H7" s="9"/>
    </row>
    <row r="8">
      <c r="A8" s="4" t="s">
        <v>2166</v>
      </c>
      <c r="C8" s="4"/>
      <c r="D8" s="4"/>
      <c r="E8" s="8"/>
      <c r="F8" s="8"/>
      <c r="G8" s="8"/>
      <c r="H8" s="9"/>
    </row>
    <row r="9">
      <c r="A9" s="4" t="s">
        <v>2164</v>
      </c>
      <c r="C9" s="4"/>
      <c r="D9" s="4"/>
      <c r="E9" s="8"/>
      <c r="F9" s="8"/>
      <c r="G9" s="8"/>
      <c r="H9" s="9"/>
    </row>
    <row r="10">
      <c r="A10" s="4" t="s">
        <v>2167</v>
      </c>
      <c r="C10" s="4"/>
      <c r="D10" s="4"/>
      <c r="E10" s="8"/>
      <c r="F10" s="8"/>
      <c r="G10" s="8"/>
      <c r="H10" s="9"/>
    </row>
    <row r="11">
      <c r="A11" s="4" t="s">
        <v>939</v>
      </c>
      <c r="C11" s="4"/>
      <c r="D11" s="4"/>
      <c r="E11" s="8"/>
      <c r="F11" s="8"/>
      <c r="G11" s="8"/>
      <c r="H11" s="9"/>
    </row>
    <row r="12">
      <c r="A12" s="4" t="s">
        <v>2164</v>
      </c>
      <c r="C12" s="4"/>
      <c r="D12" s="4"/>
      <c r="E12" s="8"/>
      <c r="F12" s="8"/>
      <c r="G12" s="8"/>
      <c r="H12" s="9"/>
    </row>
    <row r="13">
      <c r="A13" s="4" t="s">
        <v>939</v>
      </c>
      <c r="C13" s="4"/>
      <c r="D13" s="4"/>
      <c r="E13" s="8"/>
      <c r="F13" s="8"/>
      <c r="G13" s="8"/>
      <c r="H13" s="9"/>
    </row>
    <row r="14">
      <c r="A14" s="4" t="s">
        <v>2160</v>
      </c>
      <c r="C14" s="4"/>
      <c r="D14" s="4"/>
      <c r="E14" s="8"/>
      <c r="F14" s="8"/>
      <c r="G14" s="8"/>
      <c r="H14" s="9"/>
    </row>
    <row r="15">
      <c r="A15" s="4" t="s">
        <v>1656</v>
      </c>
      <c r="C15" s="4"/>
      <c r="D15" s="4"/>
      <c r="E15" s="8"/>
      <c r="F15" s="8"/>
      <c r="G15" s="8"/>
      <c r="H15" s="9"/>
    </row>
    <row r="16">
      <c r="A16" s="4" t="s">
        <v>2166</v>
      </c>
      <c r="C16" s="4"/>
      <c r="D16" s="4"/>
      <c r="E16" s="8"/>
      <c r="F16" s="8"/>
      <c r="G16" s="8"/>
      <c r="H16" s="9"/>
    </row>
    <row r="17">
      <c r="A17" s="4" t="s">
        <v>2167</v>
      </c>
      <c r="C17" s="4"/>
      <c r="D17" s="4"/>
      <c r="E17" s="8"/>
      <c r="F17" s="8"/>
      <c r="G17" s="8"/>
      <c r="H17" s="9"/>
    </row>
    <row r="18">
      <c r="A18" s="4" t="s">
        <v>2165</v>
      </c>
      <c r="C18" s="4"/>
      <c r="D18" s="4"/>
      <c r="E18" s="8"/>
      <c r="F18" s="8"/>
      <c r="G18" s="8"/>
      <c r="H18" s="9"/>
    </row>
    <row r="19">
      <c r="A19" s="4" t="s">
        <v>1655</v>
      </c>
    </row>
    <row r="20">
      <c r="A20" s="4" t="s">
        <v>105</v>
      </c>
    </row>
    <row r="21">
      <c r="A21" s="4" t="s">
        <v>2168</v>
      </c>
    </row>
    <row r="22">
      <c r="A22" s="4" t="s">
        <v>869</v>
      </c>
    </row>
    <row r="23">
      <c r="A23" s="4" t="s">
        <v>2167</v>
      </c>
    </row>
    <row r="24">
      <c r="A24" s="4" t="s">
        <v>1657</v>
      </c>
    </row>
    <row r="25">
      <c r="A25" s="4" t="s">
        <v>2159</v>
      </c>
    </row>
    <row r="26">
      <c r="A26" s="4" t="s">
        <v>2158</v>
      </c>
    </row>
    <row r="27">
      <c r="A27" s="4" t="s">
        <v>2159</v>
      </c>
    </row>
    <row r="28">
      <c r="A28" s="4" t="s">
        <v>2165</v>
      </c>
    </row>
    <row r="29">
      <c r="A29" s="4" t="s">
        <v>1657</v>
      </c>
    </row>
    <row r="30">
      <c r="A30" s="4" t="s">
        <v>105</v>
      </c>
    </row>
    <row r="31">
      <c r="A31" s="4" t="s">
        <v>2162</v>
      </c>
    </row>
    <row r="32">
      <c r="A32" s="4" t="s">
        <v>105</v>
      </c>
    </row>
    <row r="33">
      <c r="A33" s="4" t="s">
        <v>1657</v>
      </c>
    </row>
    <row r="34">
      <c r="A34" s="4" t="s">
        <v>2165</v>
      </c>
    </row>
    <row r="35">
      <c r="A35" s="4" t="s">
        <v>939</v>
      </c>
    </row>
    <row r="36">
      <c r="A36" s="4" t="s">
        <v>2169</v>
      </c>
    </row>
    <row r="37">
      <c r="A37" s="4" t="s">
        <v>2163</v>
      </c>
    </row>
    <row r="38">
      <c r="A38" s="4" t="s">
        <v>105</v>
      </c>
    </row>
    <row r="39">
      <c r="A39" s="4" t="s">
        <v>105</v>
      </c>
    </row>
    <row r="40">
      <c r="A40" s="4" t="s">
        <v>2159</v>
      </c>
    </row>
    <row r="41">
      <c r="A41" s="4" t="s">
        <v>939</v>
      </c>
    </row>
    <row r="42">
      <c r="A42" s="4" t="s">
        <v>1657</v>
      </c>
    </row>
    <row r="43">
      <c r="A43" s="4" t="s">
        <v>1656</v>
      </c>
    </row>
    <row r="44">
      <c r="A44" s="4" t="s">
        <v>1655</v>
      </c>
    </row>
    <row r="45">
      <c r="A45" s="4" t="s">
        <v>2162</v>
      </c>
    </row>
    <row r="46">
      <c r="A46" s="4" t="s">
        <v>2159</v>
      </c>
    </row>
    <row r="47">
      <c r="A47" s="4" t="s">
        <v>1352</v>
      </c>
    </row>
    <row r="48">
      <c r="A48" s="4" t="s">
        <v>2165</v>
      </c>
    </row>
    <row r="49">
      <c r="A49" s="4" t="s">
        <v>2165</v>
      </c>
    </row>
    <row r="50">
      <c r="A50" s="4" t="s">
        <v>105</v>
      </c>
    </row>
    <row r="51">
      <c r="A51" s="4" t="s">
        <v>2159</v>
      </c>
    </row>
    <row r="52">
      <c r="A52" s="4" t="s">
        <v>2164</v>
      </c>
    </row>
    <row r="53">
      <c r="A53" s="4" t="s">
        <v>105</v>
      </c>
    </row>
    <row r="54">
      <c r="A54" s="4" t="s">
        <v>2163</v>
      </c>
    </row>
    <row r="55">
      <c r="A55" s="4" t="s">
        <v>1657</v>
      </c>
    </row>
    <row r="56">
      <c r="A56" s="4" t="s">
        <v>869</v>
      </c>
    </row>
    <row r="57">
      <c r="A57" s="4" t="s">
        <v>105</v>
      </c>
    </row>
    <row r="58">
      <c r="A58" s="4" t="s">
        <v>1655</v>
      </c>
    </row>
    <row r="59">
      <c r="A59" s="4" t="s">
        <v>105</v>
      </c>
    </row>
    <row r="60">
      <c r="A60" s="4" t="s">
        <v>2164</v>
      </c>
    </row>
    <row r="61">
      <c r="A61" s="4" t="s">
        <v>2167</v>
      </c>
    </row>
    <row r="62">
      <c r="A62" s="4" t="s">
        <v>2159</v>
      </c>
    </row>
    <row r="63">
      <c r="A63" s="4" t="s">
        <v>1657</v>
      </c>
    </row>
    <row r="64">
      <c r="A64" s="4" t="s">
        <v>2160</v>
      </c>
    </row>
    <row r="65">
      <c r="A65" s="4" t="s">
        <v>2161</v>
      </c>
    </row>
    <row r="66">
      <c r="A66" s="4" t="s">
        <v>1656</v>
      </c>
    </row>
    <row r="67">
      <c r="A67" s="4" t="s">
        <v>1655</v>
      </c>
    </row>
    <row r="68">
      <c r="A68" s="4" t="s">
        <v>952</v>
      </c>
    </row>
    <row r="69">
      <c r="A69" s="4" t="s">
        <v>952</v>
      </c>
    </row>
    <row r="70">
      <c r="A70" s="4" t="s">
        <v>952</v>
      </c>
    </row>
    <row r="71">
      <c r="A71" s="4" t="s">
        <v>952</v>
      </c>
    </row>
    <row r="72">
      <c r="A72" s="4" t="s">
        <v>2165</v>
      </c>
    </row>
    <row r="73">
      <c r="A73" s="4" t="s">
        <v>2158</v>
      </c>
    </row>
    <row r="74">
      <c r="A74" s="4" t="s">
        <v>2166</v>
      </c>
    </row>
    <row r="75">
      <c r="A75" s="4" t="s">
        <v>1656</v>
      </c>
    </row>
    <row r="76">
      <c r="A76" s="4" t="s">
        <v>939</v>
      </c>
    </row>
    <row r="77">
      <c r="A77" s="4" t="s">
        <v>2159</v>
      </c>
    </row>
    <row r="78">
      <c r="A78" s="4" t="s">
        <v>1656</v>
      </c>
    </row>
    <row r="79">
      <c r="A79" s="4" t="s">
        <v>2162</v>
      </c>
    </row>
    <row r="80">
      <c r="A80" s="4" t="s">
        <v>2161</v>
      </c>
    </row>
    <row r="81">
      <c r="A81" s="4" t="s">
        <v>1655</v>
      </c>
    </row>
    <row r="82">
      <c r="A82" s="4" t="s">
        <v>952</v>
      </c>
    </row>
    <row r="83">
      <c r="A83" s="4" t="s">
        <v>2160</v>
      </c>
    </row>
    <row r="84">
      <c r="A84" s="4" t="s">
        <v>939</v>
      </c>
    </row>
    <row r="85">
      <c r="A85" s="4" t="s">
        <v>2163</v>
      </c>
    </row>
    <row r="86">
      <c r="A86" s="4" t="s">
        <v>2166</v>
      </c>
    </row>
    <row r="87">
      <c r="A87" s="4" t="s">
        <v>1352</v>
      </c>
    </row>
    <row r="88">
      <c r="A88" s="4" t="s">
        <v>952</v>
      </c>
    </row>
    <row r="89">
      <c r="A89" s="4" t="s">
        <v>2167</v>
      </c>
    </row>
    <row r="90">
      <c r="A90" s="4" t="s">
        <v>1352</v>
      </c>
    </row>
    <row r="91">
      <c r="A91" s="4" t="s">
        <v>2158</v>
      </c>
    </row>
    <row r="92">
      <c r="A92" s="4" t="s">
        <v>2161</v>
      </c>
    </row>
    <row r="93">
      <c r="A93" s="4" t="s">
        <v>2161</v>
      </c>
    </row>
    <row r="94">
      <c r="A94" s="4" t="s">
        <v>2161</v>
      </c>
    </row>
    <row r="95">
      <c r="A95" s="4" t="s">
        <v>2159</v>
      </c>
    </row>
    <row r="96">
      <c r="A96" s="4" t="s">
        <v>2168</v>
      </c>
    </row>
    <row r="97">
      <c r="A97" s="4" t="s">
        <v>2163</v>
      </c>
    </row>
    <row r="98">
      <c r="A98" s="4" t="s">
        <v>2169</v>
      </c>
    </row>
    <row r="99">
      <c r="A99" s="4" t="s">
        <v>2167</v>
      </c>
    </row>
    <row r="100">
      <c r="A100" s="4" t="s">
        <v>1352</v>
      </c>
    </row>
    <row r="101">
      <c r="A101" s="4" t="s">
        <v>2167</v>
      </c>
    </row>
    <row r="102">
      <c r="A102" s="4" t="s">
        <v>1352</v>
      </c>
    </row>
    <row r="103">
      <c r="A103" s="4" t="s">
        <v>2164</v>
      </c>
    </row>
    <row r="104">
      <c r="A104" s="4" t="s">
        <v>952</v>
      </c>
    </row>
    <row r="105">
      <c r="A105" s="4" t="s">
        <v>1657</v>
      </c>
    </row>
    <row r="106">
      <c r="A106" s="4" t="s">
        <v>2165</v>
      </c>
    </row>
    <row r="107">
      <c r="A107" s="4" t="s">
        <v>1656</v>
      </c>
    </row>
    <row r="108">
      <c r="A108" s="4" t="s">
        <v>869</v>
      </c>
    </row>
    <row r="109">
      <c r="A109" s="4" t="s">
        <v>2160</v>
      </c>
    </row>
    <row r="110">
      <c r="A110" s="4" t="s">
        <v>105</v>
      </c>
    </row>
    <row r="111">
      <c r="A111" s="4" t="s">
        <v>939</v>
      </c>
    </row>
    <row r="112">
      <c r="A112" s="4" t="s">
        <v>1352</v>
      </c>
    </row>
    <row r="113">
      <c r="A113" s="4" t="s">
        <v>952</v>
      </c>
    </row>
    <row r="114">
      <c r="A114" s="4" t="s">
        <v>2161</v>
      </c>
    </row>
    <row r="115">
      <c r="A115" s="4" t="s">
        <v>2165</v>
      </c>
    </row>
    <row r="116">
      <c r="A116" s="4" t="s">
        <v>2168</v>
      </c>
    </row>
    <row r="117">
      <c r="A117" s="4" t="s">
        <v>2169</v>
      </c>
    </row>
    <row r="118">
      <c r="A118" s="4" t="s">
        <v>2160</v>
      </c>
    </row>
    <row r="119">
      <c r="A119" s="4" t="s">
        <v>2166</v>
      </c>
    </row>
    <row r="120">
      <c r="A120" s="4" t="s">
        <v>2165</v>
      </c>
    </row>
    <row r="121">
      <c r="A121" s="4" t="s">
        <v>2159</v>
      </c>
    </row>
    <row r="122">
      <c r="A122" s="4" t="s">
        <v>2163</v>
      </c>
    </row>
    <row r="123">
      <c r="A123" s="4" t="s">
        <v>2159</v>
      </c>
    </row>
    <row r="124">
      <c r="A124" s="4" t="s">
        <v>2160</v>
      </c>
    </row>
    <row r="125">
      <c r="A125" s="4" t="s">
        <v>952</v>
      </c>
    </row>
    <row r="126">
      <c r="A126" s="4" t="s">
        <v>2162</v>
      </c>
    </row>
    <row r="127">
      <c r="A127" s="4" t="s">
        <v>2160</v>
      </c>
    </row>
    <row r="128">
      <c r="A128" s="4" t="s">
        <v>2159</v>
      </c>
    </row>
    <row r="129">
      <c r="A129" s="4" t="s">
        <v>2164</v>
      </c>
    </row>
    <row r="130">
      <c r="A130" s="4" t="s">
        <v>1352</v>
      </c>
    </row>
    <row r="131">
      <c r="A131" s="4" t="s">
        <v>2161</v>
      </c>
    </row>
    <row r="132">
      <c r="A132" s="4" t="s">
        <v>105</v>
      </c>
    </row>
    <row r="133">
      <c r="A133" s="4" t="s">
        <v>1655</v>
      </c>
    </row>
    <row r="134">
      <c r="A134" s="4" t="s">
        <v>869</v>
      </c>
    </row>
    <row r="135">
      <c r="A135" s="4" t="s">
        <v>105</v>
      </c>
    </row>
    <row r="136">
      <c r="A136" s="4" t="s">
        <v>2164</v>
      </c>
    </row>
    <row r="137">
      <c r="A137" s="4" t="s">
        <v>2159</v>
      </c>
    </row>
    <row r="138">
      <c r="A138" s="4" t="s">
        <v>2163</v>
      </c>
    </row>
    <row r="139">
      <c r="A139" s="4" t="s">
        <v>2168</v>
      </c>
    </row>
    <row r="140">
      <c r="A140" s="4" t="s">
        <v>1352</v>
      </c>
    </row>
    <row r="141">
      <c r="A141" s="4" t="s">
        <v>2163</v>
      </c>
    </row>
    <row r="142">
      <c r="A142" s="4" t="s">
        <v>869</v>
      </c>
    </row>
    <row r="143">
      <c r="A143" s="4" t="s">
        <v>1352</v>
      </c>
    </row>
    <row r="144">
      <c r="A144" s="4" t="s">
        <v>952</v>
      </c>
    </row>
    <row r="145">
      <c r="A145" s="4" t="s">
        <v>2168</v>
      </c>
    </row>
    <row r="146">
      <c r="A146" s="4" t="s">
        <v>2162</v>
      </c>
    </row>
    <row r="147">
      <c r="A147" s="4" t="s">
        <v>2167</v>
      </c>
    </row>
    <row r="148">
      <c r="A148" s="4" t="s">
        <v>2162</v>
      </c>
    </row>
    <row r="149">
      <c r="A149" s="4" t="s">
        <v>1655</v>
      </c>
    </row>
    <row r="150">
      <c r="A150" s="4" t="s">
        <v>869</v>
      </c>
    </row>
    <row r="151">
      <c r="A151" s="4" t="s">
        <v>2159</v>
      </c>
    </row>
    <row r="152">
      <c r="A152" s="4" t="s">
        <v>1655</v>
      </c>
    </row>
    <row r="153">
      <c r="A153" s="4" t="s">
        <v>105</v>
      </c>
    </row>
    <row r="154">
      <c r="A154" s="4" t="s">
        <v>2169</v>
      </c>
    </row>
    <row r="155">
      <c r="A155" s="4" t="s">
        <v>2164</v>
      </c>
    </row>
    <row r="156">
      <c r="A156" s="4" t="s">
        <v>2167</v>
      </c>
    </row>
    <row r="157">
      <c r="A157" s="4" t="s">
        <v>2167</v>
      </c>
    </row>
    <row r="158">
      <c r="A158" s="4" t="s">
        <v>2166</v>
      </c>
    </row>
    <row r="159">
      <c r="A159" s="4" t="s">
        <v>2162</v>
      </c>
    </row>
    <row r="160">
      <c r="A160" s="4" t="s">
        <v>939</v>
      </c>
    </row>
    <row r="161">
      <c r="A161" s="4" t="s">
        <v>1352</v>
      </c>
    </row>
    <row r="162">
      <c r="A162" s="4" t="s">
        <v>105</v>
      </c>
    </row>
    <row r="163">
      <c r="A163" s="4" t="s">
        <v>1352</v>
      </c>
    </row>
    <row r="164">
      <c r="A164" s="4" t="s">
        <v>2168</v>
      </c>
    </row>
    <row r="165">
      <c r="A165" s="4" t="s">
        <v>2167</v>
      </c>
    </row>
    <row r="166">
      <c r="A166" s="4" t="s">
        <v>2163</v>
      </c>
    </row>
    <row r="167">
      <c r="A167" s="4" t="s">
        <v>939</v>
      </c>
    </row>
    <row r="168">
      <c r="A168" s="4" t="s">
        <v>2163</v>
      </c>
    </row>
    <row r="169">
      <c r="A169" s="4" t="s">
        <v>2168</v>
      </c>
    </row>
    <row r="170">
      <c r="A170" s="4" t="s">
        <v>2168</v>
      </c>
    </row>
    <row r="171">
      <c r="A171" s="4" t="s">
        <v>2165</v>
      </c>
    </row>
    <row r="172">
      <c r="A172" s="4" t="s">
        <v>2168</v>
      </c>
    </row>
    <row r="173">
      <c r="A173" s="4" t="s">
        <v>939</v>
      </c>
    </row>
    <row r="174">
      <c r="A174" s="4" t="s">
        <v>105</v>
      </c>
    </row>
    <row r="175">
      <c r="A175" s="4" t="s">
        <v>105</v>
      </c>
    </row>
    <row r="176">
      <c r="A176" s="4" t="s">
        <v>1655</v>
      </c>
    </row>
    <row r="177">
      <c r="A177" s="4" t="s">
        <v>2166</v>
      </c>
    </row>
    <row r="178">
      <c r="A178" s="4" t="s">
        <v>2158</v>
      </c>
    </row>
    <row r="179">
      <c r="A179" s="4" t="s">
        <v>2163</v>
      </c>
    </row>
    <row r="180">
      <c r="A180" s="4" t="s">
        <v>2163</v>
      </c>
    </row>
    <row r="181">
      <c r="A181" s="4" t="s">
        <v>2164</v>
      </c>
    </row>
    <row r="182">
      <c r="A182" s="4" t="s">
        <v>2160</v>
      </c>
    </row>
    <row r="183">
      <c r="A183" s="4" t="s">
        <v>2167</v>
      </c>
    </row>
    <row r="184">
      <c r="A184" s="4" t="s">
        <v>2163</v>
      </c>
    </row>
    <row r="185">
      <c r="A185" s="4" t="s">
        <v>2158</v>
      </c>
    </row>
    <row r="186">
      <c r="A186" s="4" t="s">
        <v>2160</v>
      </c>
    </row>
    <row r="187">
      <c r="A187" s="4" t="s">
        <v>1657</v>
      </c>
    </row>
    <row r="188">
      <c r="A188" s="4" t="s">
        <v>2164</v>
      </c>
    </row>
    <row r="189">
      <c r="A189" s="4" t="s">
        <v>952</v>
      </c>
    </row>
    <row r="190">
      <c r="A190" s="4" t="s">
        <v>2164</v>
      </c>
    </row>
    <row r="191">
      <c r="A191" s="4" t="s">
        <v>2163</v>
      </c>
    </row>
    <row r="192">
      <c r="A192" s="4" t="s">
        <v>2168</v>
      </c>
    </row>
    <row r="193">
      <c r="A193" s="4" t="s">
        <v>2159</v>
      </c>
    </row>
    <row r="194">
      <c r="A194" s="4" t="s">
        <v>939</v>
      </c>
    </row>
    <row r="195">
      <c r="A195" s="4" t="s">
        <v>1656</v>
      </c>
    </row>
    <row r="196">
      <c r="A196" s="4" t="s">
        <v>105</v>
      </c>
    </row>
    <row r="197">
      <c r="A197" s="4" t="s">
        <v>1655</v>
      </c>
    </row>
    <row r="198">
      <c r="A198" s="4" t="s">
        <v>2169</v>
      </c>
    </row>
    <row r="199">
      <c r="A199" s="4" t="s">
        <v>2167</v>
      </c>
    </row>
    <row r="200">
      <c r="A200" s="4" t="s">
        <v>2161</v>
      </c>
    </row>
    <row r="201">
      <c r="A201" s="4" t="s">
        <v>2165</v>
      </c>
    </row>
    <row r="202">
      <c r="A202" s="4" t="s">
        <v>2165</v>
      </c>
    </row>
    <row r="203">
      <c r="A203" s="4" t="s">
        <v>1657</v>
      </c>
    </row>
    <row r="204">
      <c r="A204" s="4" t="s">
        <v>2160</v>
      </c>
    </row>
    <row r="205">
      <c r="A205" s="4" t="s">
        <v>2166</v>
      </c>
    </row>
    <row r="206">
      <c r="A206" s="4" t="s">
        <v>869</v>
      </c>
    </row>
    <row r="207">
      <c r="A207" s="4" t="s">
        <v>2163</v>
      </c>
    </row>
    <row r="208">
      <c r="A208" s="4" t="s">
        <v>2169</v>
      </c>
    </row>
    <row r="209">
      <c r="A209" s="4" t="s">
        <v>939</v>
      </c>
    </row>
    <row r="210">
      <c r="A210" s="4" t="s">
        <v>2169</v>
      </c>
    </row>
    <row r="211">
      <c r="A211" s="4" t="s">
        <v>952</v>
      </c>
    </row>
    <row r="212">
      <c r="A212" s="4" t="s">
        <v>105</v>
      </c>
    </row>
    <row r="213">
      <c r="A213" s="4" t="s">
        <v>105</v>
      </c>
    </row>
    <row r="214">
      <c r="A214" s="4" t="s">
        <v>2167</v>
      </c>
    </row>
    <row r="215">
      <c r="A215" s="4" t="s">
        <v>2161</v>
      </c>
    </row>
    <row r="216">
      <c r="A216" s="4" t="s">
        <v>2167</v>
      </c>
    </row>
    <row r="217">
      <c r="A217" s="4" t="s">
        <v>1352</v>
      </c>
    </row>
    <row r="218">
      <c r="A218" s="4" t="s">
        <v>1655</v>
      </c>
    </row>
    <row r="219">
      <c r="A219" s="4" t="s">
        <v>2167</v>
      </c>
    </row>
    <row r="220">
      <c r="A220" s="4" t="s">
        <v>2161</v>
      </c>
    </row>
    <row r="221">
      <c r="A221" s="4" t="s">
        <v>2159</v>
      </c>
    </row>
    <row r="222">
      <c r="A222" s="4" t="s">
        <v>105</v>
      </c>
    </row>
    <row r="223">
      <c r="A223" s="4" t="s">
        <v>1657</v>
      </c>
    </row>
    <row r="224">
      <c r="A224" s="4" t="s">
        <v>2164</v>
      </c>
    </row>
    <row r="225">
      <c r="A225" s="4" t="s">
        <v>2168</v>
      </c>
    </row>
    <row r="226">
      <c r="A226" s="4" t="s">
        <v>2160</v>
      </c>
    </row>
    <row r="227">
      <c r="A227" s="4" t="s">
        <v>2163</v>
      </c>
    </row>
    <row r="228">
      <c r="A228" s="4" t="s">
        <v>2159</v>
      </c>
    </row>
    <row r="229">
      <c r="A229" s="4" t="s">
        <v>1352</v>
      </c>
    </row>
    <row r="230">
      <c r="A230" s="4" t="s">
        <v>1655</v>
      </c>
    </row>
    <row r="231">
      <c r="A231" s="4" t="s">
        <v>2159</v>
      </c>
    </row>
    <row r="232">
      <c r="A232" s="4" t="s">
        <v>2158</v>
      </c>
    </row>
    <row r="233">
      <c r="A233" s="4" t="s">
        <v>2160</v>
      </c>
    </row>
    <row r="234">
      <c r="A234" s="4" t="s">
        <v>2164</v>
      </c>
    </row>
    <row r="235">
      <c r="A235" s="4" t="s">
        <v>2162</v>
      </c>
    </row>
    <row r="236">
      <c r="A236" s="4" t="s">
        <v>2160</v>
      </c>
    </row>
    <row r="237">
      <c r="A237" s="4" t="s">
        <v>2165</v>
      </c>
    </row>
    <row r="238">
      <c r="A238" s="4" t="s">
        <v>105</v>
      </c>
    </row>
    <row r="239">
      <c r="A239" s="4" t="s">
        <v>2158</v>
      </c>
    </row>
    <row r="240">
      <c r="A240" s="4" t="s">
        <v>2169</v>
      </c>
    </row>
    <row r="241">
      <c r="A241" s="4" t="s">
        <v>869</v>
      </c>
    </row>
    <row r="242">
      <c r="A242" s="4" t="s">
        <v>1657</v>
      </c>
    </row>
    <row r="243">
      <c r="A243" s="4" t="s">
        <v>1352</v>
      </c>
    </row>
    <row r="244">
      <c r="A244" s="4" t="s">
        <v>2161</v>
      </c>
    </row>
    <row r="245">
      <c r="A245" s="4" t="s">
        <v>2166</v>
      </c>
    </row>
    <row r="246">
      <c r="A246" s="4" t="s">
        <v>2169</v>
      </c>
    </row>
    <row r="247">
      <c r="A247" s="4" t="s">
        <v>869</v>
      </c>
    </row>
    <row r="248">
      <c r="A248" s="4" t="s">
        <v>2164</v>
      </c>
    </row>
    <row r="249">
      <c r="A249" s="4" t="s">
        <v>2162</v>
      </c>
    </row>
    <row r="250">
      <c r="A250" s="4" t="s">
        <v>869</v>
      </c>
    </row>
    <row r="251">
      <c r="A251" s="4" t="s">
        <v>1657</v>
      </c>
    </row>
    <row r="252">
      <c r="A252" s="4" t="s">
        <v>2161</v>
      </c>
    </row>
    <row r="253">
      <c r="A253" s="4" t="s">
        <v>952</v>
      </c>
    </row>
    <row r="254">
      <c r="A254" s="4" t="s">
        <v>1352</v>
      </c>
    </row>
    <row r="255">
      <c r="A255" s="4" t="s">
        <v>2165</v>
      </c>
    </row>
    <row r="256">
      <c r="A256" s="4" t="s">
        <v>2161</v>
      </c>
    </row>
    <row r="257">
      <c r="A257" s="4" t="s">
        <v>1656</v>
      </c>
    </row>
    <row r="258">
      <c r="A258" s="4" t="s">
        <v>2164</v>
      </c>
    </row>
    <row r="259">
      <c r="A259" s="4" t="s">
        <v>2161</v>
      </c>
    </row>
    <row r="260">
      <c r="A260" s="4" t="s">
        <v>939</v>
      </c>
    </row>
    <row r="261">
      <c r="A261" s="4" t="s">
        <v>1656</v>
      </c>
    </row>
    <row r="262">
      <c r="A262" s="4" t="s">
        <v>105</v>
      </c>
    </row>
    <row r="263">
      <c r="A263" s="4" t="s">
        <v>2167</v>
      </c>
    </row>
    <row r="264">
      <c r="A264" s="4" t="s">
        <v>1657</v>
      </c>
    </row>
    <row r="265">
      <c r="A265" s="4" t="s">
        <v>2166</v>
      </c>
    </row>
    <row r="266">
      <c r="A266" s="4" t="s">
        <v>105</v>
      </c>
    </row>
    <row r="267">
      <c r="A267" s="4" t="s">
        <v>2160</v>
      </c>
    </row>
    <row r="268">
      <c r="A268" s="4" t="s">
        <v>2163</v>
      </c>
    </row>
    <row r="269">
      <c r="A269" s="4" t="s">
        <v>2169</v>
      </c>
    </row>
    <row r="270">
      <c r="A270" s="4" t="s">
        <v>2161</v>
      </c>
    </row>
    <row r="271">
      <c r="A271" s="4" t="s">
        <v>939</v>
      </c>
    </row>
    <row r="272">
      <c r="A272" s="4" t="s">
        <v>2159</v>
      </c>
    </row>
    <row r="273">
      <c r="A273" s="4" t="s">
        <v>2168</v>
      </c>
    </row>
    <row r="274">
      <c r="A274" s="4" t="s">
        <v>2165</v>
      </c>
    </row>
    <row r="275">
      <c r="A275" s="4" t="s">
        <v>2164</v>
      </c>
    </row>
    <row r="276">
      <c r="A276" s="4" t="s">
        <v>1657</v>
      </c>
    </row>
    <row r="277">
      <c r="A277" s="4" t="s">
        <v>1655</v>
      </c>
    </row>
    <row r="278">
      <c r="A278" s="4" t="s">
        <v>1655</v>
      </c>
    </row>
    <row r="279">
      <c r="A279" s="4" t="s">
        <v>2163</v>
      </c>
    </row>
    <row r="280">
      <c r="A280" s="4" t="s">
        <v>952</v>
      </c>
    </row>
    <row r="281">
      <c r="A281" s="4" t="s">
        <v>2169</v>
      </c>
    </row>
    <row r="282">
      <c r="A282" s="4" t="s">
        <v>1352</v>
      </c>
    </row>
    <row r="283">
      <c r="A283" s="4" t="s">
        <v>952</v>
      </c>
    </row>
    <row r="284">
      <c r="A284" s="4" t="s">
        <v>2158</v>
      </c>
    </row>
    <row r="285">
      <c r="A285" s="4" t="s">
        <v>2161</v>
      </c>
    </row>
    <row r="286">
      <c r="A286" s="4" t="s">
        <v>2159</v>
      </c>
    </row>
    <row r="287">
      <c r="A287" s="4" t="s">
        <v>1352</v>
      </c>
    </row>
    <row r="288">
      <c r="A288" s="4" t="s">
        <v>2168</v>
      </c>
    </row>
    <row r="289">
      <c r="A289" s="4" t="s">
        <v>2160</v>
      </c>
    </row>
    <row r="290">
      <c r="A290" s="4" t="s">
        <v>2166</v>
      </c>
    </row>
    <row r="291">
      <c r="A291" s="4" t="s">
        <v>2162</v>
      </c>
    </row>
    <row r="292">
      <c r="A292" s="4" t="s">
        <v>2161</v>
      </c>
    </row>
    <row r="293">
      <c r="A293" s="4" t="s">
        <v>1352</v>
      </c>
    </row>
    <row r="294">
      <c r="A294" s="4" t="s">
        <v>1657</v>
      </c>
    </row>
    <row r="295">
      <c r="A295" s="4" t="s">
        <v>2167</v>
      </c>
    </row>
    <row r="296">
      <c r="A296" s="4" t="s">
        <v>2162</v>
      </c>
    </row>
    <row r="297">
      <c r="A297" s="4" t="s">
        <v>2167</v>
      </c>
    </row>
    <row r="298">
      <c r="A298" s="4" t="s">
        <v>2162</v>
      </c>
    </row>
    <row r="299">
      <c r="A299" s="4" t="s">
        <v>2167</v>
      </c>
    </row>
    <row r="300">
      <c r="A300" s="4" t="s">
        <v>2160</v>
      </c>
    </row>
    <row r="301">
      <c r="A301" s="4" t="s">
        <v>952</v>
      </c>
    </row>
    <row r="302">
      <c r="A302" s="4" t="s">
        <v>2167</v>
      </c>
    </row>
    <row r="303">
      <c r="A303" s="4" t="s">
        <v>1655</v>
      </c>
    </row>
    <row r="304">
      <c r="A304" s="4" t="s">
        <v>939</v>
      </c>
    </row>
    <row r="305">
      <c r="A305" s="4" t="s">
        <v>2161</v>
      </c>
    </row>
    <row r="306">
      <c r="A306" s="4" t="s">
        <v>1352</v>
      </c>
    </row>
    <row r="307">
      <c r="A307" s="4" t="s">
        <v>2163</v>
      </c>
    </row>
    <row r="308">
      <c r="A308" s="4" t="s">
        <v>2161</v>
      </c>
    </row>
    <row r="309">
      <c r="A309" s="4" t="s">
        <v>2168</v>
      </c>
    </row>
    <row r="310">
      <c r="A310" s="4" t="s">
        <v>2158</v>
      </c>
    </row>
    <row r="311">
      <c r="A311" s="4" t="s">
        <v>2163</v>
      </c>
    </row>
    <row r="312">
      <c r="A312" s="4" t="s">
        <v>869</v>
      </c>
    </row>
    <row r="313">
      <c r="A313" s="4" t="s">
        <v>2166</v>
      </c>
    </row>
    <row r="314">
      <c r="A314" s="4" t="s">
        <v>2168</v>
      </c>
    </row>
    <row r="315">
      <c r="A315" s="4" t="s">
        <v>939</v>
      </c>
    </row>
    <row r="316">
      <c r="A316" s="4" t="s">
        <v>2162</v>
      </c>
    </row>
    <row r="317">
      <c r="A317" s="4" t="s">
        <v>105</v>
      </c>
    </row>
    <row r="318">
      <c r="A318" s="4" t="s">
        <v>2160</v>
      </c>
    </row>
    <row r="319">
      <c r="A319" s="4" t="s">
        <v>1352</v>
      </c>
    </row>
    <row r="320">
      <c r="A320" s="4" t="s">
        <v>939</v>
      </c>
    </row>
    <row r="321">
      <c r="A321" s="4" t="s">
        <v>2159</v>
      </c>
    </row>
    <row r="322">
      <c r="A322" s="4" t="s">
        <v>2163</v>
      </c>
    </row>
    <row r="323">
      <c r="A323" s="4" t="s">
        <v>2162</v>
      </c>
    </row>
    <row r="324">
      <c r="A324" s="4" t="s">
        <v>952</v>
      </c>
    </row>
    <row r="325">
      <c r="A325" s="4" t="s">
        <v>2167</v>
      </c>
    </row>
    <row r="326">
      <c r="A326" s="4" t="s">
        <v>2164</v>
      </c>
    </row>
    <row r="327">
      <c r="A327" s="4" t="s">
        <v>2165</v>
      </c>
    </row>
    <row r="328">
      <c r="A328" s="4" t="s">
        <v>952</v>
      </c>
    </row>
    <row r="329">
      <c r="A329" s="4" t="s">
        <v>2158</v>
      </c>
    </row>
    <row r="330">
      <c r="A330" s="4" t="s">
        <v>2159</v>
      </c>
    </row>
    <row r="331">
      <c r="A331" s="4" t="s">
        <v>1657</v>
      </c>
    </row>
    <row r="332">
      <c r="A332" s="4" t="s">
        <v>105</v>
      </c>
    </row>
    <row r="333">
      <c r="A333" s="4" t="s">
        <v>2167</v>
      </c>
    </row>
    <row r="334">
      <c r="A334" s="4" t="s">
        <v>1657</v>
      </c>
    </row>
    <row r="335">
      <c r="A335" s="4" t="s">
        <v>1657</v>
      </c>
    </row>
    <row r="336">
      <c r="A336" s="4" t="s">
        <v>869</v>
      </c>
    </row>
    <row r="337">
      <c r="A337" s="4" t="s">
        <v>952</v>
      </c>
    </row>
    <row r="338">
      <c r="A338" s="4" t="s">
        <v>2164</v>
      </c>
    </row>
    <row r="339">
      <c r="A339" s="4" t="s">
        <v>2166</v>
      </c>
    </row>
    <row r="340">
      <c r="A340" s="4" t="s">
        <v>869</v>
      </c>
    </row>
    <row r="341">
      <c r="A341" s="4" t="s">
        <v>939</v>
      </c>
    </row>
    <row r="342">
      <c r="A342" s="4" t="s">
        <v>2162</v>
      </c>
    </row>
    <row r="343">
      <c r="A343" s="4" t="s">
        <v>105</v>
      </c>
    </row>
    <row r="344">
      <c r="A344" s="4" t="s">
        <v>1655</v>
      </c>
    </row>
    <row r="345">
      <c r="A345" s="4" t="s">
        <v>2158</v>
      </c>
    </row>
    <row r="346">
      <c r="A346" s="4" t="s">
        <v>2167</v>
      </c>
    </row>
    <row r="347">
      <c r="A347" s="4" t="s">
        <v>2163</v>
      </c>
    </row>
    <row r="348">
      <c r="A348" s="4" t="s">
        <v>1656</v>
      </c>
    </row>
    <row r="349">
      <c r="A349" s="4" t="s">
        <v>2160</v>
      </c>
    </row>
    <row r="350">
      <c r="A350" s="4" t="s">
        <v>2159</v>
      </c>
    </row>
    <row r="351">
      <c r="A351" s="4" t="s">
        <v>2160</v>
      </c>
    </row>
    <row r="352">
      <c r="A352" s="4" t="s">
        <v>2160</v>
      </c>
    </row>
    <row r="353">
      <c r="A353" s="4" t="s">
        <v>952</v>
      </c>
    </row>
    <row r="354">
      <c r="A354" s="4" t="s">
        <v>869</v>
      </c>
    </row>
    <row r="355">
      <c r="A355" s="4" t="s">
        <v>1352</v>
      </c>
    </row>
    <row r="356">
      <c r="A356" s="4" t="s">
        <v>2167</v>
      </c>
    </row>
    <row r="357">
      <c r="A357" s="4" t="s">
        <v>2161</v>
      </c>
    </row>
    <row r="358">
      <c r="A358" s="4" t="s">
        <v>939</v>
      </c>
    </row>
    <row r="359">
      <c r="A359" s="4" t="s">
        <v>939</v>
      </c>
    </row>
    <row r="360">
      <c r="A360" s="4" t="s">
        <v>2164</v>
      </c>
    </row>
    <row r="361">
      <c r="A361" s="4" t="s">
        <v>2162</v>
      </c>
    </row>
    <row r="362">
      <c r="A362" s="4" t="s">
        <v>2169</v>
      </c>
    </row>
    <row r="363">
      <c r="A363" s="4" t="s">
        <v>2165</v>
      </c>
    </row>
    <row r="364">
      <c r="A364" s="4" t="s">
        <v>2159</v>
      </c>
    </row>
    <row r="365">
      <c r="A365" s="4" t="s">
        <v>2165</v>
      </c>
    </row>
    <row r="366">
      <c r="A366" s="4" t="s">
        <v>2168</v>
      </c>
    </row>
    <row r="367">
      <c r="A367" s="4" t="s">
        <v>2159</v>
      </c>
    </row>
    <row r="368">
      <c r="A368" s="4" t="s">
        <v>1655</v>
      </c>
    </row>
    <row r="369">
      <c r="A369" s="4" t="s">
        <v>1657</v>
      </c>
    </row>
    <row r="370">
      <c r="A370" s="4" t="s">
        <v>2169</v>
      </c>
    </row>
    <row r="371">
      <c r="A371" s="4" t="s">
        <v>2165</v>
      </c>
    </row>
    <row r="372">
      <c r="A372" s="4" t="s">
        <v>2160</v>
      </c>
    </row>
    <row r="373">
      <c r="A373" s="4" t="s">
        <v>2168</v>
      </c>
    </row>
    <row r="374">
      <c r="A374" s="4" t="s">
        <v>2161</v>
      </c>
    </row>
    <row r="375">
      <c r="A375" s="4" t="s">
        <v>2158</v>
      </c>
    </row>
    <row r="376">
      <c r="A376" s="4" t="s">
        <v>1657</v>
      </c>
    </row>
    <row r="377">
      <c r="A377" s="4" t="s">
        <v>939</v>
      </c>
    </row>
    <row r="378">
      <c r="A378" s="4" t="s">
        <v>1656</v>
      </c>
    </row>
    <row r="379">
      <c r="A379" s="4" t="s">
        <v>2164</v>
      </c>
    </row>
    <row r="380">
      <c r="A380" s="4" t="s">
        <v>2165</v>
      </c>
    </row>
    <row r="381">
      <c r="A381" s="4" t="s">
        <v>2168</v>
      </c>
    </row>
    <row r="382">
      <c r="A382" s="4" t="s">
        <v>869</v>
      </c>
    </row>
    <row r="383">
      <c r="A383" s="4" t="s">
        <v>2163</v>
      </c>
    </row>
    <row r="384">
      <c r="A384" s="4" t="s">
        <v>1655</v>
      </c>
    </row>
    <row r="385">
      <c r="A385" s="4" t="s">
        <v>2159</v>
      </c>
    </row>
    <row r="386">
      <c r="A386" s="4" t="s">
        <v>2168</v>
      </c>
    </row>
    <row r="387">
      <c r="A387" s="4" t="s">
        <v>2162</v>
      </c>
    </row>
    <row r="388">
      <c r="A388" s="4" t="s">
        <v>952</v>
      </c>
    </row>
    <row r="389">
      <c r="A389" s="4" t="s">
        <v>2165</v>
      </c>
    </row>
    <row r="390">
      <c r="A390" s="4" t="s">
        <v>2168</v>
      </c>
    </row>
    <row r="391">
      <c r="A391" s="4" t="s">
        <v>2158</v>
      </c>
    </row>
    <row r="392">
      <c r="A392" s="4" t="s">
        <v>2166</v>
      </c>
    </row>
    <row r="393">
      <c r="A393" s="4" t="s">
        <v>1657</v>
      </c>
    </row>
    <row r="394">
      <c r="A394" s="4" t="s">
        <v>2163</v>
      </c>
    </row>
    <row r="395">
      <c r="A395" s="4" t="s">
        <v>2163</v>
      </c>
    </row>
    <row r="396">
      <c r="A396" s="4" t="s">
        <v>2168</v>
      </c>
    </row>
    <row r="397">
      <c r="A397" s="4" t="s">
        <v>2164</v>
      </c>
    </row>
    <row r="398">
      <c r="A398" s="4" t="s">
        <v>2161</v>
      </c>
    </row>
    <row r="399">
      <c r="A399" s="4" t="s">
        <v>2168</v>
      </c>
    </row>
    <row r="400">
      <c r="A400" s="4" t="s">
        <v>2162</v>
      </c>
    </row>
    <row r="401">
      <c r="A401" s="4" t="s">
        <v>2162</v>
      </c>
    </row>
    <row r="402">
      <c r="A402" s="4" t="s">
        <v>869</v>
      </c>
    </row>
    <row r="403">
      <c r="A403" s="4" t="s">
        <v>939</v>
      </c>
    </row>
    <row r="404">
      <c r="A404" s="4" t="s">
        <v>2166</v>
      </c>
    </row>
    <row r="405">
      <c r="A405" s="4" t="s">
        <v>2163</v>
      </c>
    </row>
    <row r="406">
      <c r="A406" s="4" t="s">
        <v>2167</v>
      </c>
    </row>
    <row r="407">
      <c r="A407" s="4" t="s">
        <v>2169</v>
      </c>
    </row>
    <row r="408">
      <c r="A408" s="4" t="s">
        <v>105</v>
      </c>
    </row>
    <row r="409">
      <c r="A409" s="4" t="s">
        <v>1352</v>
      </c>
    </row>
    <row r="410">
      <c r="A410" s="4" t="s">
        <v>2169</v>
      </c>
    </row>
    <row r="411">
      <c r="A411" s="4" t="s">
        <v>2158</v>
      </c>
    </row>
    <row r="412">
      <c r="A412" s="4" t="s">
        <v>2167</v>
      </c>
    </row>
    <row r="413">
      <c r="A413" s="4" t="s">
        <v>869</v>
      </c>
    </row>
    <row r="414">
      <c r="A414" s="4" t="s">
        <v>2167</v>
      </c>
    </row>
    <row r="415">
      <c r="A415" s="4" t="s">
        <v>952</v>
      </c>
    </row>
    <row r="416">
      <c r="A416" s="4" t="s">
        <v>952</v>
      </c>
    </row>
    <row r="417">
      <c r="A417" s="4" t="s">
        <v>2159</v>
      </c>
    </row>
    <row r="418">
      <c r="A418" s="4" t="s">
        <v>1656</v>
      </c>
    </row>
    <row r="419">
      <c r="A419" s="4" t="s">
        <v>1657</v>
      </c>
    </row>
    <row r="420">
      <c r="A420" s="4" t="s">
        <v>2167</v>
      </c>
    </row>
    <row r="421">
      <c r="A421" s="4" t="s">
        <v>2164</v>
      </c>
    </row>
    <row r="422">
      <c r="A422" s="4" t="s">
        <v>1352</v>
      </c>
    </row>
    <row r="423">
      <c r="A423" s="4" t="s">
        <v>105</v>
      </c>
    </row>
    <row r="424">
      <c r="A424" s="4" t="s">
        <v>2158</v>
      </c>
    </row>
    <row r="425">
      <c r="A425" s="4" t="s">
        <v>869</v>
      </c>
    </row>
    <row r="426">
      <c r="A426" s="4" t="s">
        <v>2164</v>
      </c>
    </row>
    <row r="427">
      <c r="A427" s="4" t="s">
        <v>2167</v>
      </c>
    </row>
    <row r="428">
      <c r="A428" s="4" t="s">
        <v>2165</v>
      </c>
    </row>
    <row r="429">
      <c r="A429" s="4" t="s">
        <v>1352</v>
      </c>
    </row>
    <row r="430">
      <c r="A430" s="4" t="s">
        <v>952</v>
      </c>
    </row>
    <row r="431">
      <c r="A431" s="4" t="s">
        <v>1352</v>
      </c>
    </row>
    <row r="432">
      <c r="A432" s="4" t="s">
        <v>2168</v>
      </c>
    </row>
    <row r="433">
      <c r="A433" s="4" t="s">
        <v>952</v>
      </c>
    </row>
    <row r="434">
      <c r="A434" s="4" t="s">
        <v>105</v>
      </c>
    </row>
    <row r="435">
      <c r="A435" s="4" t="s">
        <v>2163</v>
      </c>
    </row>
    <row r="436">
      <c r="A436" s="4" t="s">
        <v>2168</v>
      </c>
    </row>
    <row r="437">
      <c r="A437" s="4" t="s">
        <v>2161</v>
      </c>
    </row>
    <row r="438">
      <c r="A438" s="4" t="s">
        <v>952</v>
      </c>
    </row>
    <row r="439">
      <c r="A439" s="4" t="s">
        <v>2166</v>
      </c>
    </row>
    <row r="440">
      <c r="A440" s="4" t="s">
        <v>2160</v>
      </c>
    </row>
    <row r="441">
      <c r="A441" s="4" t="s">
        <v>2159</v>
      </c>
    </row>
    <row r="442">
      <c r="A442" s="4" t="s">
        <v>2159</v>
      </c>
    </row>
    <row r="443">
      <c r="A443" s="4" t="s">
        <v>105</v>
      </c>
    </row>
    <row r="444">
      <c r="A444" s="4" t="s">
        <v>2159</v>
      </c>
    </row>
    <row r="445">
      <c r="A445" s="4" t="s">
        <v>2159</v>
      </c>
    </row>
    <row r="446">
      <c r="A446" s="4" t="s">
        <v>2158</v>
      </c>
    </row>
    <row r="447">
      <c r="A447" s="4" t="s">
        <v>2158</v>
      </c>
    </row>
    <row r="448">
      <c r="A448" s="4" t="s">
        <v>2158</v>
      </c>
    </row>
    <row r="449">
      <c r="A449" s="4" t="s">
        <v>105</v>
      </c>
    </row>
    <row r="450">
      <c r="A450" s="4" t="s">
        <v>1352</v>
      </c>
    </row>
    <row r="451">
      <c r="A451" s="4" t="s">
        <v>2159</v>
      </c>
    </row>
    <row r="452">
      <c r="A452" s="4" t="s">
        <v>2161</v>
      </c>
    </row>
    <row r="453">
      <c r="A453" s="4" t="s">
        <v>2165</v>
      </c>
    </row>
    <row r="454">
      <c r="A454" s="4" t="s">
        <v>1656</v>
      </c>
    </row>
    <row r="455">
      <c r="A455" s="4" t="s">
        <v>2168</v>
      </c>
    </row>
    <row r="456">
      <c r="A456" s="4" t="s">
        <v>2168</v>
      </c>
    </row>
    <row r="457">
      <c r="A457" s="4" t="s">
        <v>2165</v>
      </c>
    </row>
    <row r="458">
      <c r="A458" s="4" t="s">
        <v>2168</v>
      </c>
    </row>
    <row r="459">
      <c r="A459" s="4" t="s">
        <v>952</v>
      </c>
    </row>
    <row r="460">
      <c r="A460" s="4" t="s">
        <v>1655</v>
      </c>
    </row>
    <row r="461">
      <c r="A461" s="4" t="s">
        <v>1352</v>
      </c>
    </row>
    <row r="462">
      <c r="A462" s="4" t="s">
        <v>2164</v>
      </c>
    </row>
    <row r="463">
      <c r="A463" s="4" t="s">
        <v>2164</v>
      </c>
    </row>
    <row r="464">
      <c r="A464" s="4" t="s">
        <v>2162</v>
      </c>
    </row>
    <row r="465">
      <c r="A465" s="4" t="s">
        <v>952</v>
      </c>
    </row>
    <row r="466">
      <c r="A466" s="4" t="s">
        <v>2167</v>
      </c>
    </row>
    <row r="467">
      <c r="A467" s="4" t="s">
        <v>2169</v>
      </c>
    </row>
    <row r="468">
      <c r="A468" s="4" t="s">
        <v>2160</v>
      </c>
    </row>
    <row r="469">
      <c r="A469" s="4" t="s">
        <v>2169</v>
      </c>
    </row>
    <row r="470">
      <c r="A470" s="4" t="s">
        <v>2161</v>
      </c>
    </row>
    <row r="471">
      <c r="A471" s="4" t="s">
        <v>2164</v>
      </c>
    </row>
    <row r="472">
      <c r="A472" s="4" t="s">
        <v>2162</v>
      </c>
    </row>
    <row r="473">
      <c r="A473" s="4" t="s">
        <v>2158</v>
      </c>
    </row>
    <row r="474">
      <c r="A474" s="4" t="s">
        <v>105</v>
      </c>
    </row>
    <row r="475">
      <c r="A475" s="4" t="s">
        <v>1657</v>
      </c>
    </row>
    <row r="476">
      <c r="A476" s="4" t="s">
        <v>2165</v>
      </c>
    </row>
    <row r="477">
      <c r="A477" s="4" t="s">
        <v>2163</v>
      </c>
    </row>
    <row r="478">
      <c r="A478" s="4" t="s">
        <v>2167</v>
      </c>
    </row>
    <row r="479">
      <c r="A479" s="4" t="s">
        <v>105</v>
      </c>
    </row>
    <row r="480">
      <c r="A480" s="4" t="s">
        <v>2169</v>
      </c>
    </row>
    <row r="481">
      <c r="A481" s="4" t="s">
        <v>939</v>
      </c>
    </row>
    <row r="482">
      <c r="A482" s="4" t="s">
        <v>869</v>
      </c>
    </row>
    <row r="483">
      <c r="A483" s="4" t="s">
        <v>1656</v>
      </c>
    </row>
    <row r="484">
      <c r="A484" s="4" t="s">
        <v>1655</v>
      </c>
    </row>
    <row r="485">
      <c r="A485" s="4" t="s">
        <v>2162</v>
      </c>
    </row>
    <row r="486">
      <c r="A486" s="4" t="s">
        <v>2164</v>
      </c>
    </row>
    <row r="487">
      <c r="A487" s="4" t="s">
        <v>2168</v>
      </c>
    </row>
    <row r="488">
      <c r="A488" s="4" t="s">
        <v>869</v>
      </c>
    </row>
    <row r="489">
      <c r="A489" s="4" t="s">
        <v>2159</v>
      </c>
    </row>
    <row r="490">
      <c r="A490" s="4" t="s">
        <v>2168</v>
      </c>
    </row>
    <row r="491">
      <c r="A491" s="4" t="s">
        <v>2158</v>
      </c>
    </row>
    <row r="492">
      <c r="A492" s="4" t="s">
        <v>2163</v>
      </c>
    </row>
    <row r="493">
      <c r="A493" s="4" t="s">
        <v>2164</v>
      </c>
    </row>
    <row r="494">
      <c r="A494" s="4" t="s">
        <v>2159</v>
      </c>
    </row>
    <row r="495">
      <c r="A495" s="4" t="s">
        <v>1656</v>
      </c>
    </row>
    <row r="496">
      <c r="A496" s="4" t="s">
        <v>1657</v>
      </c>
    </row>
    <row r="497">
      <c r="A497" s="4" t="s">
        <v>2169</v>
      </c>
    </row>
    <row r="498">
      <c r="A498" s="4" t="s">
        <v>2167</v>
      </c>
    </row>
    <row r="499">
      <c r="A499" s="4" t="s">
        <v>1655</v>
      </c>
    </row>
    <row r="500">
      <c r="A500" s="4" t="s">
        <v>952</v>
      </c>
    </row>
    <row r="501">
      <c r="A501" s="4" t="s">
        <v>2166</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4048</v>
      </c>
      <c r="D2" s="4" t="str">
        <f t="shared" ref="D2:D204" si="1">C2</f>
        <v>{"valorA":"teclado de computador","valorB":1.0}</v>
      </c>
      <c r="E2" s="8" t="str">
        <f t="shared" ref="E2:E204" si="2">SUBSTITUTE(MID(C2,FIND(":",C2)+1,FIND(",",C2)-FIND(":",C2)-1),"""","")</f>
        <v>teclado de computador</v>
      </c>
      <c r="F2" s="8" t="str">
        <f>IFERROR(__xludf.DUMMYFUNCTION("UNIQUE(E2:E204)"),"teclado de computador")</f>
        <v>teclado de computador</v>
      </c>
      <c r="G2" s="8" t="str">
        <f t="shared" ref="G2:G204" si="3">MID(C2,FIND("valorB",C2)+8,FIND("}",C2)-FIND("valorB",C2)-8)</f>
        <v>1.0</v>
      </c>
      <c r="H2" s="9">
        <f t="shared" ref="H2:H204" si="4">VALUE(SUBSTITUTE(G2,".",","))</f>
        <v>1</v>
      </c>
      <c r="I2" s="10">
        <f>IFERROR(__xludf.DUMMYFUNCTION("MAX(FILTER($H:$H,$E:$E=F2))"),17.0)</f>
        <v>17</v>
      </c>
    </row>
    <row r="3">
      <c r="A3" s="4"/>
      <c r="C3" s="4" t="s">
        <v>4049</v>
      </c>
      <c r="D3" s="4" t="str">
        <f t="shared" si="1"/>
        <v>{"valorA":"filtro de linha","valorB":1.0}</v>
      </c>
      <c r="E3" s="8" t="str">
        <f t="shared" si="2"/>
        <v>filtro de linha</v>
      </c>
      <c r="F3" s="8" t="str">
        <f>IFERROR(__xludf.DUMMYFUNCTION("""COMPUTED_VALUE"""),"filtro de linha")</f>
        <v>filtro de linha</v>
      </c>
      <c r="G3" s="8" t="str">
        <f t="shared" si="3"/>
        <v>1.0</v>
      </c>
      <c r="H3" s="9">
        <f t="shared" si="4"/>
        <v>1</v>
      </c>
      <c r="I3" s="10">
        <f>IFERROR(__xludf.DUMMYFUNCTION("MAX(FILTER($H:$H,$E:$E=F3))"),26.0)</f>
        <v>26</v>
      </c>
    </row>
    <row r="4">
      <c r="A4" s="4"/>
      <c r="C4" s="4" t="s">
        <v>1104</v>
      </c>
      <c r="D4" s="4" t="str">
        <f t="shared" si="1"/>
        <v>{"valorA":"fogão","valorB":1.0}</v>
      </c>
      <c r="E4" s="8" t="str">
        <f t="shared" si="2"/>
        <v>fogão</v>
      </c>
      <c r="F4" s="8" t="str">
        <f>IFERROR(__xludf.DUMMYFUNCTION("""COMPUTED_VALUE"""),"fogão")</f>
        <v>fogão</v>
      </c>
      <c r="G4" s="8" t="str">
        <f t="shared" si="3"/>
        <v>1.0</v>
      </c>
      <c r="H4" s="9">
        <f t="shared" si="4"/>
        <v>1</v>
      </c>
      <c r="I4" s="10">
        <f>IFERROR(__xludf.DUMMYFUNCTION("MAX(FILTER($H:$H,$E:$E=F4))"),30.0)</f>
        <v>30</v>
      </c>
    </row>
    <row r="5">
      <c r="A5" s="4"/>
      <c r="C5" s="4" t="s">
        <v>1460</v>
      </c>
      <c r="D5" s="4" t="str">
        <f t="shared" si="1"/>
        <v>{"valorA":"computador","valorB":2.0}</v>
      </c>
      <c r="E5" s="8" t="str">
        <f t="shared" si="2"/>
        <v>computador</v>
      </c>
      <c r="F5" s="8" t="str">
        <f>IFERROR(__xludf.DUMMYFUNCTION("""COMPUTED_VALUE"""),"computador")</f>
        <v>computador</v>
      </c>
      <c r="G5" s="8" t="str">
        <f t="shared" si="3"/>
        <v>2.0</v>
      </c>
      <c r="H5" s="9">
        <f t="shared" si="4"/>
        <v>2</v>
      </c>
      <c r="I5" s="10">
        <f>IFERROR(__xludf.DUMMYFUNCTION("MAX(FILTER($H:$H,$E:$E=F5))"),24.0)</f>
        <v>24</v>
      </c>
    </row>
    <row r="6">
      <c r="A6" s="4"/>
      <c r="C6" s="4" t="s">
        <v>4050</v>
      </c>
      <c r="D6" s="4" t="str">
        <f t="shared" si="1"/>
        <v>{"valorA":"roteador","valorB":1.0}</v>
      </c>
      <c r="E6" s="8" t="str">
        <f t="shared" si="2"/>
        <v>roteador</v>
      </c>
      <c r="F6" s="8" t="str">
        <f>IFERROR(__xludf.DUMMYFUNCTION("""COMPUTED_VALUE"""),"roteador")</f>
        <v>roteador</v>
      </c>
      <c r="G6" s="8" t="str">
        <f t="shared" si="3"/>
        <v>1.0</v>
      </c>
      <c r="H6" s="9">
        <f t="shared" si="4"/>
        <v>1</v>
      </c>
      <c r="I6" s="10">
        <f>IFERROR(__xludf.DUMMYFUNCTION("MAX(FILTER($H:$H,$E:$E=F6))"),33.0)</f>
        <v>33</v>
      </c>
    </row>
    <row r="7">
      <c r="A7" s="4"/>
      <c r="C7" s="4" t="s">
        <v>283</v>
      </c>
      <c r="D7" s="4" t="str">
        <f t="shared" si="1"/>
        <v>{"valorA":"relógio","valorB":1.0}</v>
      </c>
      <c r="E7" s="8" t="str">
        <f t="shared" si="2"/>
        <v>relógio</v>
      </c>
      <c r="F7" s="8" t="str">
        <f>IFERROR(__xludf.DUMMYFUNCTION("""COMPUTED_VALUE"""),"relógio")</f>
        <v>relógio</v>
      </c>
      <c r="G7" s="8" t="str">
        <f t="shared" si="3"/>
        <v>1.0</v>
      </c>
      <c r="H7" s="9">
        <f t="shared" si="4"/>
        <v>1</v>
      </c>
      <c r="I7" s="10">
        <f>IFERROR(__xludf.DUMMYFUNCTION("MAX(FILTER($H:$H,$E:$E=F7))"),34.0)</f>
        <v>34</v>
      </c>
    </row>
    <row r="8">
      <c r="A8" s="4"/>
      <c r="C8" s="4" t="s">
        <v>4051</v>
      </c>
      <c r="D8" s="4" t="str">
        <f t="shared" si="1"/>
        <v>{"valorA":"fone de ouvido","valorB":1.0}</v>
      </c>
      <c r="E8" s="8" t="str">
        <f t="shared" si="2"/>
        <v>fone de ouvido</v>
      </c>
      <c r="F8" s="8" t="str">
        <f>IFERROR(__xludf.DUMMYFUNCTION("""COMPUTED_VALUE"""),"fone de ouvido")</f>
        <v>fone de ouvido</v>
      </c>
      <c r="G8" s="8" t="str">
        <f t="shared" si="3"/>
        <v>1.0</v>
      </c>
      <c r="H8" s="9">
        <f t="shared" si="4"/>
        <v>1</v>
      </c>
      <c r="I8" s="10">
        <f>IFERROR(__xludf.DUMMYFUNCTION("MAX(FILTER($H:$H,$E:$E=F8))"),26.0)</f>
        <v>26</v>
      </c>
    </row>
    <row r="9">
      <c r="A9" s="4"/>
      <c r="C9" s="4" t="s">
        <v>4052</v>
      </c>
      <c r="D9" s="4" t="str">
        <f t="shared" si="1"/>
        <v>{"valorA":"carregador de computador","valorB":1.0}</v>
      </c>
      <c r="E9" s="8" t="str">
        <f t="shared" si="2"/>
        <v>carregador de computador</v>
      </c>
      <c r="F9" s="8" t="str">
        <f>IFERROR(__xludf.DUMMYFUNCTION("""COMPUTED_VALUE"""),"carregador de computador")</f>
        <v>carregador de computador</v>
      </c>
      <c r="G9" s="8" t="str">
        <f t="shared" si="3"/>
        <v>1.0</v>
      </c>
      <c r="H9" s="9">
        <f t="shared" si="4"/>
        <v>1</v>
      </c>
      <c r="I9" s="10">
        <f>IFERROR(__xludf.DUMMYFUNCTION("MAX(FILTER($H:$H,$E:$E=F9))"),28.0)</f>
        <v>28</v>
      </c>
    </row>
    <row r="10">
      <c r="A10" s="4"/>
      <c r="C10" s="4" t="s">
        <v>4053</v>
      </c>
      <c r="D10" s="4" t="str">
        <f t="shared" si="1"/>
        <v>{"valorA":"purificador de água","valorB":1.0}</v>
      </c>
      <c r="E10" s="8" t="str">
        <f t="shared" si="2"/>
        <v>purificador de água</v>
      </c>
      <c r="F10" s="8" t="str">
        <f>IFERROR(__xludf.DUMMYFUNCTION("""COMPUTED_VALUE"""),"purificador de água")</f>
        <v>purificador de água</v>
      </c>
      <c r="G10" s="8" t="str">
        <f t="shared" si="3"/>
        <v>1.0</v>
      </c>
      <c r="H10" s="9">
        <f t="shared" si="4"/>
        <v>1</v>
      </c>
      <c r="I10" s="10">
        <f>IFERROR(__xludf.DUMMYFUNCTION("MAX(FILTER($H:$H,$E:$E=F10))"),29.0)</f>
        <v>29</v>
      </c>
    </row>
    <row r="11">
      <c r="A11" s="4"/>
      <c r="C11" s="4" t="s">
        <v>1642</v>
      </c>
      <c r="D11" s="4" t="str">
        <f t="shared" si="1"/>
        <v>{"valorA":"computador","valorB":5.0}</v>
      </c>
      <c r="E11" s="8" t="str">
        <f t="shared" si="2"/>
        <v>computador</v>
      </c>
      <c r="F11" s="8" t="str">
        <f>IFERROR(__xludf.DUMMYFUNCTION("""COMPUTED_VALUE"""),"liquidificador")</f>
        <v>liquidificador</v>
      </c>
      <c r="G11" s="8" t="str">
        <f t="shared" si="3"/>
        <v>5.0</v>
      </c>
      <c r="H11" s="9">
        <f t="shared" si="4"/>
        <v>5</v>
      </c>
      <c r="I11" s="10">
        <f>IFERROR(__xludf.DUMMYFUNCTION("MAX(FILTER($H:$H,$E:$E=F11))"),23.0)</f>
        <v>23</v>
      </c>
    </row>
    <row r="12">
      <c r="A12" s="4"/>
      <c r="C12" s="4" t="s">
        <v>4054</v>
      </c>
      <c r="D12" s="4" t="str">
        <f t="shared" si="1"/>
        <v>{"valorA":"liquidificador","valorB":2.0}</v>
      </c>
      <c r="E12" s="8" t="str">
        <f t="shared" si="2"/>
        <v>liquidificador</v>
      </c>
      <c r="F12" s="8" t="str">
        <f>IFERROR(__xludf.DUMMYFUNCTION("""COMPUTED_VALUE"""),"chuveiro elétrico")</f>
        <v>chuveiro elétrico</v>
      </c>
      <c r="G12" s="8" t="str">
        <f t="shared" si="3"/>
        <v>2.0</v>
      </c>
      <c r="H12" s="9">
        <f t="shared" si="4"/>
        <v>2</v>
      </c>
      <c r="I12" s="10">
        <f>IFERROR(__xludf.DUMMYFUNCTION("MAX(FILTER($H:$H,$E:$E=F12))"),20.0)</f>
        <v>20</v>
      </c>
    </row>
    <row r="13">
      <c r="A13" s="4"/>
      <c r="C13" s="4" t="s">
        <v>4055</v>
      </c>
      <c r="D13" s="4" t="str">
        <f t="shared" si="1"/>
        <v>{"valorA":"chuveiro elétrico","valorB":1.0}</v>
      </c>
      <c r="E13" s="8" t="str">
        <f t="shared" si="2"/>
        <v>chuveiro elétrico</v>
      </c>
      <c r="F13" s="8" t="str">
        <f>IFERROR(__xludf.DUMMYFUNCTION("""COMPUTED_VALUE"""),"mouse de computador")</f>
        <v>mouse de computador</v>
      </c>
      <c r="G13" s="8" t="str">
        <f t="shared" si="3"/>
        <v>1.0</v>
      </c>
      <c r="H13" s="9">
        <f t="shared" si="4"/>
        <v>1</v>
      </c>
      <c r="I13" s="10">
        <f>IFERROR(__xludf.DUMMYFUNCTION("MAX(FILTER($H:$H,$E:$E=F13))"),19.0)</f>
        <v>19</v>
      </c>
    </row>
    <row r="14">
      <c r="A14" s="4"/>
      <c r="C14" s="4" t="s">
        <v>4056</v>
      </c>
      <c r="D14" s="4" t="str">
        <f t="shared" si="1"/>
        <v>{"valorA":"mouse de computador","valorB":1.0}</v>
      </c>
      <c r="E14" s="8" t="str">
        <f t="shared" si="2"/>
        <v>mouse de computador</v>
      </c>
      <c r="F14" s="8" t="str">
        <f>IFERROR(__xludf.DUMMYFUNCTION("""COMPUTED_VALUE"""),"freezer")</f>
        <v>freezer</v>
      </c>
      <c r="G14" s="8" t="str">
        <f t="shared" si="3"/>
        <v>1.0</v>
      </c>
      <c r="H14" s="9">
        <f t="shared" si="4"/>
        <v>1</v>
      </c>
      <c r="I14" s="10">
        <f>IFERROR(__xludf.DUMMYFUNCTION("MAX(FILTER($H:$H,$E:$E=F14))"),24.0)</f>
        <v>24</v>
      </c>
    </row>
    <row r="15">
      <c r="A15" s="4"/>
      <c r="C15" s="4" t="s">
        <v>4057</v>
      </c>
      <c r="D15" s="4" t="str">
        <f t="shared" si="1"/>
        <v>{"valorA":"freezer","valorB":6.0}</v>
      </c>
      <c r="E15" s="8" t="str">
        <f t="shared" si="2"/>
        <v>freezer</v>
      </c>
      <c r="F15" s="8" t="str">
        <f>IFERROR(__xludf.DUMMYFUNCTION("""COMPUTED_VALUE"""),"ar condicionado")</f>
        <v>ar condicionado</v>
      </c>
      <c r="G15" s="8" t="str">
        <f t="shared" si="3"/>
        <v>6.0</v>
      </c>
      <c r="H15" s="9">
        <f t="shared" si="4"/>
        <v>6</v>
      </c>
      <c r="I15" s="10">
        <f>IFERROR(__xludf.DUMMYFUNCTION("MAX(FILTER($H:$H,$E:$E=F15))"),21.0)</f>
        <v>21</v>
      </c>
    </row>
    <row r="16">
      <c r="A16" s="4"/>
      <c r="C16" s="4" t="s">
        <v>4058</v>
      </c>
      <c r="D16" s="4" t="str">
        <f t="shared" si="1"/>
        <v>{"valorA":"ar condicionado","valorB":3.0}</v>
      </c>
      <c r="E16" s="8" t="str">
        <f t="shared" si="2"/>
        <v>ar condicionado</v>
      </c>
      <c r="F16" s="8" t="str">
        <f>IFERROR(__xludf.DUMMYFUNCTION("""COMPUTED_VALUE"""),"aspirador")</f>
        <v>aspirador</v>
      </c>
      <c r="G16" s="8" t="str">
        <f t="shared" si="3"/>
        <v>3.0</v>
      </c>
      <c r="H16" s="9">
        <f t="shared" si="4"/>
        <v>3</v>
      </c>
      <c r="I16" s="10">
        <f>IFERROR(__xludf.DUMMYFUNCTION("MAX(FILTER($H:$H,$E:$E=F16))"),27.0)</f>
        <v>27</v>
      </c>
    </row>
    <row r="17">
      <c r="A17" s="4"/>
      <c r="C17" s="4" t="s">
        <v>1416</v>
      </c>
      <c r="D17" s="4" t="str">
        <f t="shared" si="1"/>
        <v>{"valorA":"aspirador","valorB":1.0}</v>
      </c>
      <c r="E17" s="8" t="str">
        <f t="shared" si="2"/>
        <v>aspirador</v>
      </c>
      <c r="F17" s="8" t="str">
        <f>IFERROR(__xludf.DUMMYFUNCTION("""COMPUTED_VALUE"""),"celular")</f>
        <v>celular</v>
      </c>
      <c r="G17" s="8" t="str">
        <f t="shared" si="3"/>
        <v>1.0</v>
      </c>
      <c r="H17" s="9">
        <f t="shared" si="4"/>
        <v>1</v>
      </c>
      <c r="I17" s="10">
        <f>IFERROR(__xludf.DUMMYFUNCTION("MAX(FILTER($H:$H,$E:$E=F17))"),20.0)</f>
        <v>20</v>
      </c>
    </row>
    <row r="18">
      <c r="A18" s="4"/>
      <c r="C18" s="4" t="s">
        <v>4059</v>
      </c>
      <c r="D18" s="4" t="str">
        <f t="shared" si="1"/>
        <v>{"valorA":"filtro de linha","valorB":6.0}</v>
      </c>
      <c r="E18" s="8" t="str">
        <f t="shared" si="2"/>
        <v>filtro de linha</v>
      </c>
      <c r="F18" s="8" t="str">
        <f>IFERROR(__xludf.DUMMYFUNCTION("""COMPUTED_VALUE"""),"carregador de celular")</f>
        <v>carregador de celular</v>
      </c>
      <c r="G18" s="8" t="str">
        <f t="shared" si="3"/>
        <v>6.0</v>
      </c>
      <c r="H18" s="9">
        <f t="shared" si="4"/>
        <v>6</v>
      </c>
      <c r="I18" s="10">
        <f>IFERROR(__xludf.DUMMYFUNCTION("MAX(FILTER($H:$H,$E:$E=F18))"),22.0)</f>
        <v>22</v>
      </c>
    </row>
    <row r="19">
      <c r="A19" s="4"/>
      <c r="C19" s="4" t="s">
        <v>4060</v>
      </c>
      <c r="D19" s="4" t="str">
        <f t="shared" si="1"/>
        <v>{"valorA":"celular","valorB":2.0}</v>
      </c>
      <c r="E19" s="8" t="str">
        <f t="shared" si="2"/>
        <v>celular</v>
      </c>
      <c r="F19" s="8" t="str">
        <f>IFERROR(__xludf.DUMMYFUNCTION("""COMPUTED_VALUE"""),"lustre")</f>
        <v>lustre</v>
      </c>
      <c r="G19" s="8" t="str">
        <f t="shared" si="3"/>
        <v>2.0</v>
      </c>
      <c r="H19" s="9">
        <f t="shared" si="4"/>
        <v>2</v>
      </c>
      <c r="I19" s="10">
        <f>IFERROR(__xludf.DUMMYFUNCTION("MAX(FILTER($H:$H,$E:$E=F19))"),29.0)</f>
        <v>29</v>
      </c>
    </row>
    <row r="20">
      <c r="A20" s="4"/>
      <c r="C20" s="4" t="s">
        <v>4061</v>
      </c>
      <c r="D20" s="4" t="str">
        <f t="shared" si="1"/>
        <v>{"valorA":"carregador de celular","valorB":2.0}</v>
      </c>
      <c r="E20" s="8" t="str">
        <f t="shared" si="2"/>
        <v>carregador de celular</v>
      </c>
      <c r="F20" s="8" t="str">
        <f>IFERROR(__xludf.DUMMYFUNCTION("""COMPUTED_VALUE"""),"microondas")</f>
        <v>microondas</v>
      </c>
      <c r="G20" s="8" t="str">
        <f t="shared" si="3"/>
        <v>2.0</v>
      </c>
      <c r="H20" s="9">
        <f t="shared" si="4"/>
        <v>2</v>
      </c>
      <c r="I20" s="10">
        <f>IFERROR(__xludf.DUMMYFUNCTION("MAX(FILTER($H:$H,$E:$E=F20))"),15.0)</f>
        <v>15</v>
      </c>
    </row>
    <row r="21">
      <c r="A21" s="4"/>
      <c r="C21" s="4" t="s">
        <v>4062</v>
      </c>
      <c r="D21" s="4" t="str">
        <f t="shared" si="1"/>
        <v>{"valorA":"purificador de água","valorB":3.0}</v>
      </c>
      <c r="E21" s="8" t="str">
        <f t="shared" si="2"/>
        <v>purificador de água</v>
      </c>
      <c r="F21" s="8" t="str">
        <f>IFERROR(__xludf.DUMMYFUNCTION("""COMPUTED_VALUE"""),"ventilador")</f>
        <v>ventilador</v>
      </c>
      <c r="G21" s="8" t="str">
        <f t="shared" si="3"/>
        <v>3.0</v>
      </c>
      <c r="H21" s="9">
        <f t="shared" si="4"/>
        <v>3</v>
      </c>
      <c r="I21" s="10">
        <f>IFERROR(__xludf.DUMMYFUNCTION("MAX(FILTER($H:$H,$E:$E=F21))"),33.0)</f>
        <v>33</v>
      </c>
    </row>
    <row r="22">
      <c r="A22" s="4"/>
      <c r="C22" s="4" t="s">
        <v>4063</v>
      </c>
      <c r="D22" s="4" t="str">
        <f t="shared" si="1"/>
        <v>{"valorA":"lustre","valorB":1.0}</v>
      </c>
      <c r="E22" s="8" t="str">
        <f t="shared" si="2"/>
        <v>lustre</v>
      </c>
      <c r="F22" s="8"/>
      <c r="G22" s="8" t="str">
        <f t="shared" si="3"/>
        <v>1.0</v>
      </c>
      <c r="H22" s="9">
        <f t="shared" si="4"/>
        <v>1</v>
      </c>
      <c r="I22" s="6" t="str">
        <f>IFERROR(__xludf.DUMMYFUNCTION("MAX(FILTER($H:$H,$E:$E=F22))"),"#N/A")</f>
        <v>#N/A</v>
      </c>
    </row>
    <row r="23">
      <c r="A23" s="4"/>
      <c r="C23" s="4" t="s">
        <v>4064</v>
      </c>
      <c r="D23" s="4" t="str">
        <f t="shared" si="1"/>
        <v>{"valorA":"microondas","valorB":3.0}</v>
      </c>
      <c r="E23" s="8" t="str">
        <f t="shared" si="2"/>
        <v>microondas</v>
      </c>
      <c r="F23" s="8"/>
      <c r="G23" s="8" t="str">
        <f t="shared" si="3"/>
        <v>3.0</v>
      </c>
      <c r="H23" s="9">
        <f t="shared" si="4"/>
        <v>3</v>
      </c>
      <c r="I23" s="6" t="str">
        <f>IFERROR(__xludf.DUMMYFUNCTION("MAX(FILTER($H:$H,$E:$E=F23))"),"#N/A")</f>
        <v>#N/A</v>
      </c>
    </row>
    <row r="24">
      <c r="A24" s="4"/>
      <c r="C24" s="4" t="s">
        <v>4065</v>
      </c>
      <c r="D24" s="4" t="str">
        <f t="shared" si="1"/>
        <v>{"valorA":"relógio","valorB":10.0}</v>
      </c>
      <c r="E24" s="8" t="str">
        <f t="shared" si="2"/>
        <v>relógio</v>
      </c>
      <c r="F24" s="8"/>
      <c r="G24" s="8" t="str">
        <f t="shared" si="3"/>
        <v>10.0</v>
      </c>
      <c r="H24" s="9">
        <f t="shared" si="4"/>
        <v>10</v>
      </c>
      <c r="I24" s="6" t="str">
        <f>IFERROR(__xludf.DUMMYFUNCTION("MAX(FILTER($H:$H,$E:$E=F24))"),"#N/A")</f>
        <v>#N/A</v>
      </c>
    </row>
    <row r="25">
      <c r="A25" s="4"/>
      <c r="C25" s="4" t="s">
        <v>4066</v>
      </c>
      <c r="D25" s="4" t="str">
        <f t="shared" si="1"/>
        <v>{"valorA":"carregador de computador","valorB":4.0}</v>
      </c>
      <c r="E25" s="8" t="str">
        <f t="shared" si="2"/>
        <v>carregador de computador</v>
      </c>
      <c r="F25" s="8"/>
      <c r="G25" s="8" t="str">
        <f t="shared" si="3"/>
        <v>4.0</v>
      </c>
      <c r="H25" s="9">
        <f t="shared" si="4"/>
        <v>4</v>
      </c>
      <c r="I25" s="6" t="str">
        <f>IFERROR(__xludf.DUMMYFUNCTION("MAX(FILTER($H:$H,$E:$E=F25))"),"#N/A")</f>
        <v>#N/A</v>
      </c>
    </row>
    <row r="26">
      <c r="A26" s="4"/>
      <c r="C26" s="4" t="s">
        <v>4067</v>
      </c>
      <c r="D26" s="4" t="str">
        <f t="shared" si="1"/>
        <v>{"valorA":"ventilador","valorB":6.0}</v>
      </c>
      <c r="E26" s="8" t="str">
        <f t="shared" si="2"/>
        <v>ventilador</v>
      </c>
      <c r="F26" s="8"/>
      <c r="G26" s="8" t="str">
        <f t="shared" si="3"/>
        <v>6.0</v>
      </c>
      <c r="H26" s="9">
        <f t="shared" si="4"/>
        <v>6</v>
      </c>
      <c r="I26" s="6" t="str">
        <f>IFERROR(__xludf.DUMMYFUNCTION("MAX(FILTER($H:$H,$E:$E=F26))"),"#N/A")</f>
        <v>#N/A</v>
      </c>
    </row>
    <row r="27">
      <c r="A27" s="4"/>
      <c r="C27" s="4" t="s">
        <v>4068</v>
      </c>
      <c r="D27" s="4" t="str">
        <f t="shared" si="1"/>
        <v>{"valorA":"fone de ouvido","valorB":2.0}</v>
      </c>
      <c r="E27" s="8" t="str">
        <f t="shared" si="2"/>
        <v>fone de ouvido</v>
      </c>
      <c r="F27" s="8"/>
      <c r="G27" s="8" t="str">
        <f t="shared" si="3"/>
        <v>2.0</v>
      </c>
      <c r="H27" s="9">
        <f t="shared" si="4"/>
        <v>2</v>
      </c>
      <c r="I27" s="6" t="str">
        <f>IFERROR(__xludf.DUMMYFUNCTION("MAX(FILTER($H:$H,$E:$E=F27))"),"#N/A")</f>
        <v>#N/A</v>
      </c>
    </row>
    <row r="28">
      <c r="A28" s="4"/>
      <c r="C28" s="4" t="s">
        <v>4069</v>
      </c>
      <c r="D28" s="4" t="str">
        <f t="shared" si="1"/>
        <v>{"valorA":"roteador","valorB":4.0}</v>
      </c>
      <c r="E28" s="8" t="str">
        <f t="shared" si="2"/>
        <v>roteador</v>
      </c>
      <c r="F28" s="8"/>
      <c r="G28" s="8" t="str">
        <f t="shared" si="3"/>
        <v>4.0</v>
      </c>
      <c r="H28" s="9">
        <f t="shared" si="4"/>
        <v>4</v>
      </c>
      <c r="I28" s="6" t="str">
        <f>IFERROR(__xludf.DUMMYFUNCTION("MAX(FILTER($H:$H,$E:$E=F28))"),"#N/A")</f>
        <v>#N/A</v>
      </c>
    </row>
    <row r="29">
      <c r="A29" s="4"/>
      <c r="C29" s="4" t="s">
        <v>4070</v>
      </c>
      <c r="D29" s="4" t="str">
        <f t="shared" si="1"/>
        <v>{"valorA":"teclado de computador","valorB":2.0}</v>
      </c>
      <c r="E29" s="8" t="str">
        <f t="shared" si="2"/>
        <v>teclado de computador</v>
      </c>
      <c r="F29" s="8"/>
      <c r="G29" s="8" t="str">
        <f t="shared" si="3"/>
        <v>2.0</v>
      </c>
      <c r="H29" s="9">
        <f t="shared" si="4"/>
        <v>2</v>
      </c>
      <c r="I29" s="6" t="str">
        <f>IFERROR(__xludf.DUMMYFUNCTION("MAX(FILTER($H:$H,$E:$E=F29))"),"#N/A")</f>
        <v>#N/A</v>
      </c>
    </row>
    <row r="30">
      <c r="A30" s="4"/>
      <c r="C30" s="4" t="s">
        <v>4071</v>
      </c>
      <c r="D30" s="4" t="str">
        <f t="shared" si="1"/>
        <v>{"valorA":"liquidificador","valorB":4.0}</v>
      </c>
      <c r="E30" s="8" t="str">
        <f t="shared" si="2"/>
        <v>liquidificador</v>
      </c>
      <c r="F30" s="8"/>
      <c r="G30" s="8" t="str">
        <f t="shared" si="3"/>
        <v>4.0</v>
      </c>
      <c r="H30" s="9">
        <f t="shared" si="4"/>
        <v>4</v>
      </c>
      <c r="I30" s="6" t="str">
        <f>IFERROR(__xludf.DUMMYFUNCTION("MAX(FILTER($H:$H,$E:$E=F30))"),"#N/A")</f>
        <v>#N/A</v>
      </c>
    </row>
    <row r="31">
      <c r="A31" s="4"/>
      <c r="C31" s="4" t="s">
        <v>4072</v>
      </c>
      <c r="D31" s="4" t="str">
        <f t="shared" si="1"/>
        <v>{"valorA":"computador","valorB":8.0}</v>
      </c>
      <c r="E31" s="8" t="str">
        <f t="shared" si="2"/>
        <v>computador</v>
      </c>
      <c r="F31" s="8"/>
      <c r="G31" s="8" t="str">
        <f t="shared" si="3"/>
        <v>8.0</v>
      </c>
      <c r="H31" s="9">
        <f t="shared" si="4"/>
        <v>8</v>
      </c>
      <c r="I31" s="6" t="str">
        <f>IFERROR(__xludf.DUMMYFUNCTION("MAX(FILTER($H:$H,$E:$E=F31))"),"#N/A")</f>
        <v>#N/A</v>
      </c>
    </row>
    <row r="32">
      <c r="A32" s="4"/>
      <c r="C32" s="4" t="s">
        <v>4073</v>
      </c>
      <c r="D32" s="4" t="str">
        <f t="shared" si="1"/>
        <v>{"valorA":"chuveiro elétrico","valorB":3.0}</v>
      </c>
      <c r="E32" s="8" t="str">
        <f t="shared" si="2"/>
        <v>chuveiro elétrico</v>
      </c>
      <c r="F32" s="8"/>
      <c r="G32" s="8" t="str">
        <f t="shared" si="3"/>
        <v>3.0</v>
      </c>
      <c r="H32" s="9">
        <f t="shared" si="4"/>
        <v>3</v>
      </c>
      <c r="I32" s="6" t="str">
        <f>IFERROR(__xludf.DUMMYFUNCTION("MAX(FILTER($H:$H,$E:$E=F32))"),"#N/A")</f>
        <v>#N/A</v>
      </c>
    </row>
    <row r="33">
      <c r="A33" s="4"/>
      <c r="C33" s="4" t="s">
        <v>4074</v>
      </c>
      <c r="D33" s="4" t="str">
        <f t="shared" si="1"/>
        <v>{"valorA":"mouse de computador","valorB":2.0}</v>
      </c>
      <c r="E33" s="8" t="str">
        <f t="shared" si="2"/>
        <v>mouse de computador</v>
      </c>
      <c r="F33" s="8"/>
      <c r="G33" s="8" t="str">
        <f t="shared" si="3"/>
        <v>2.0</v>
      </c>
      <c r="H33" s="9">
        <f t="shared" si="4"/>
        <v>2</v>
      </c>
      <c r="I33" s="6" t="str">
        <f>IFERROR(__xludf.DUMMYFUNCTION("MAX(FILTER($H:$H,$E:$E=F33))"),"#N/A")</f>
        <v>#N/A</v>
      </c>
    </row>
    <row r="34">
      <c r="A34" s="4"/>
      <c r="C34" s="4" t="s">
        <v>4075</v>
      </c>
      <c r="D34" s="4" t="str">
        <f t="shared" si="1"/>
        <v>{"valorA":"freezer","valorB":7.0}</v>
      </c>
      <c r="E34" s="8" t="str">
        <f t="shared" si="2"/>
        <v>freezer</v>
      </c>
      <c r="F34" s="8"/>
      <c r="G34" s="8" t="str">
        <f t="shared" si="3"/>
        <v>7.0</v>
      </c>
      <c r="H34" s="9">
        <f t="shared" si="4"/>
        <v>7</v>
      </c>
      <c r="I34" s="6" t="str">
        <f>IFERROR(__xludf.DUMMYFUNCTION("MAX(FILTER($H:$H,$E:$E=F34))"),"#N/A")</f>
        <v>#N/A</v>
      </c>
    </row>
    <row r="35">
      <c r="A35" s="4"/>
      <c r="C35" s="4" t="s">
        <v>4076</v>
      </c>
      <c r="D35" s="4" t="str">
        <f t="shared" si="1"/>
        <v>{"valorA":"ar condicionado","valorB":5.0}</v>
      </c>
      <c r="E35" s="8" t="str">
        <f t="shared" si="2"/>
        <v>ar condicionado</v>
      </c>
      <c r="F35" s="8"/>
      <c r="G35" s="8" t="str">
        <f t="shared" si="3"/>
        <v>5.0</v>
      </c>
      <c r="H35" s="9">
        <f t="shared" si="4"/>
        <v>5</v>
      </c>
      <c r="I35" s="6" t="str">
        <f>IFERROR(__xludf.DUMMYFUNCTION("MAX(FILTER($H:$H,$E:$E=F35))"),"#N/A")</f>
        <v>#N/A</v>
      </c>
    </row>
    <row r="36">
      <c r="A36" s="4"/>
      <c r="C36" s="4" t="s">
        <v>4077</v>
      </c>
      <c r="D36" s="4" t="str">
        <f t="shared" si="1"/>
        <v>{"valorA":"fogão","valorB":9.0}</v>
      </c>
      <c r="E36" s="8" t="str">
        <f t="shared" si="2"/>
        <v>fogão</v>
      </c>
      <c r="F36" s="8"/>
      <c r="G36" s="8" t="str">
        <f t="shared" si="3"/>
        <v>9.0</v>
      </c>
      <c r="H36" s="9">
        <f t="shared" si="4"/>
        <v>9</v>
      </c>
      <c r="I36" s="6" t="str">
        <f>IFERROR(__xludf.DUMMYFUNCTION("MAX(FILTER($H:$H,$E:$E=F36))"),"#N/A")</f>
        <v>#N/A</v>
      </c>
    </row>
    <row r="37">
      <c r="A37" s="4"/>
      <c r="C37" s="4" t="s">
        <v>4078</v>
      </c>
      <c r="D37" s="4" t="str">
        <f t="shared" si="1"/>
        <v>{"valorA":"filtro de linha","valorB":9.0}</v>
      </c>
      <c r="E37" s="8" t="str">
        <f t="shared" si="2"/>
        <v>filtro de linha</v>
      </c>
      <c r="F37" s="8"/>
      <c r="G37" s="8" t="str">
        <f t="shared" si="3"/>
        <v>9.0</v>
      </c>
      <c r="H37" s="9">
        <f t="shared" si="4"/>
        <v>9</v>
      </c>
      <c r="I37" s="6" t="str">
        <f>IFERROR(__xludf.DUMMYFUNCTION("MAX(FILTER($H:$H,$E:$E=F37))"),"#N/A")</f>
        <v>#N/A</v>
      </c>
    </row>
    <row r="38">
      <c r="A38" s="4"/>
      <c r="C38" s="4" t="s">
        <v>4079</v>
      </c>
      <c r="D38" s="4" t="str">
        <f t="shared" si="1"/>
        <v>{"valorA":"aspirador","valorB":6.0}</v>
      </c>
      <c r="E38" s="8" t="str">
        <f t="shared" si="2"/>
        <v>aspirador</v>
      </c>
      <c r="F38" s="8"/>
      <c r="G38" s="8" t="str">
        <f t="shared" si="3"/>
        <v>6.0</v>
      </c>
      <c r="H38" s="9">
        <f t="shared" si="4"/>
        <v>6</v>
      </c>
      <c r="I38" s="6" t="str">
        <f>IFERROR(__xludf.DUMMYFUNCTION("MAX(FILTER($H:$H,$E:$E=F38))"),"#N/A")</f>
        <v>#N/A</v>
      </c>
    </row>
    <row r="39">
      <c r="A39" s="4"/>
      <c r="C39" s="4" t="s">
        <v>4080</v>
      </c>
      <c r="D39" s="4" t="str">
        <f t="shared" si="1"/>
        <v>{"valorA":"celular","valorB":3.0}</v>
      </c>
      <c r="E39" s="8" t="str">
        <f t="shared" si="2"/>
        <v>celular</v>
      </c>
      <c r="F39" s="8"/>
      <c r="G39" s="8" t="str">
        <f t="shared" si="3"/>
        <v>3.0</v>
      </c>
      <c r="H39" s="9">
        <f t="shared" si="4"/>
        <v>3</v>
      </c>
      <c r="I39" s="6" t="str">
        <f>IFERROR(__xludf.DUMMYFUNCTION("MAX(FILTER($H:$H,$E:$E=F39))"),"#N/A")</f>
        <v>#N/A</v>
      </c>
    </row>
    <row r="40">
      <c r="A40" s="4"/>
      <c r="C40" s="4" t="s">
        <v>4081</v>
      </c>
      <c r="D40" s="4" t="str">
        <f t="shared" si="1"/>
        <v>{"valorA":"carregador de celular","valorB":3.0}</v>
      </c>
      <c r="E40" s="8" t="str">
        <f t="shared" si="2"/>
        <v>carregador de celular</v>
      </c>
      <c r="F40" s="8"/>
      <c r="G40" s="8" t="str">
        <f t="shared" si="3"/>
        <v>3.0</v>
      </c>
      <c r="H40" s="9">
        <f t="shared" si="4"/>
        <v>3</v>
      </c>
      <c r="I40" s="6" t="str">
        <f>IFERROR(__xludf.DUMMYFUNCTION("MAX(FILTER($H:$H,$E:$E=F40))"),"#N/A")</f>
        <v>#N/A</v>
      </c>
    </row>
    <row r="41">
      <c r="A41" s="4"/>
      <c r="C41" s="4" t="s">
        <v>4082</v>
      </c>
      <c r="D41" s="4" t="str">
        <f t="shared" si="1"/>
        <v>{"valorA":"purificador de água","valorB":5.0}</v>
      </c>
      <c r="E41" s="8" t="str">
        <f t="shared" si="2"/>
        <v>purificador de água</v>
      </c>
      <c r="F41" s="8"/>
      <c r="G41" s="8" t="str">
        <f t="shared" si="3"/>
        <v>5.0</v>
      </c>
      <c r="H41" s="9">
        <f t="shared" si="4"/>
        <v>5</v>
      </c>
      <c r="I41" s="6" t="str">
        <f>IFERROR(__xludf.DUMMYFUNCTION("MAX(FILTER($H:$H,$E:$E=F41))"),"#N/A")</f>
        <v>#N/A</v>
      </c>
    </row>
    <row r="42">
      <c r="A42" s="4"/>
      <c r="C42" s="4" t="s">
        <v>4083</v>
      </c>
      <c r="D42" s="4" t="str">
        <f t="shared" si="1"/>
        <v>{"valorA":"lustre","valorB":2.0}</v>
      </c>
      <c r="E42" s="8" t="str">
        <f t="shared" si="2"/>
        <v>lustre</v>
      </c>
      <c r="F42" s="8"/>
      <c r="G42" s="8" t="str">
        <f t="shared" si="3"/>
        <v>2.0</v>
      </c>
      <c r="H42" s="9">
        <f t="shared" si="4"/>
        <v>2</v>
      </c>
      <c r="I42" s="6" t="str">
        <f>IFERROR(__xludf.DUMMYFUNCTION("MAX(FILTER($H:$H,$E:$E=F42))"),"#N/A")</f>
        <v>#N/A</v>
      </c>
    </row>
    <row r="43">
      <c r="A43" s="4"/>
      <c r="C43" s="4" t="s">
        <v>4084</v>
      </c>
      <c r="D43" s="4" t="str">
        <f t="shared" si="1"/>
        <v>{"valorA":"microondas","valorB":6.0}</v>
      </c>
      <c r="E43" s="8" t="str">
        <f t="shared" si="2"/>
        <v>microondas</v>
      </c>
      <c r="F43" s="8"/>
      <c r="G43" s="8" t="str">
        <f t="shared" si="3"/>
        <v>6.0</v>
      </c>
      <c r="H43" s="9">
        <f t="shared" si="4"/>
        <v>6</v>
      </c>
      <c r="I43" s="6" t="str">
        <f>IFERROR(__xludf.DUMMYFUNCTION("MAX(FILTER($H:$H,$E:$E=F43))"),"#N/A")</f>
        <v>#N/A</v>
      </c>
    </row>
    <row r="44">
      <c r="A44" s="4"/>
      <c r="C44" s="4" t="s">
        <v>4085</v>
      </c>
      <c r="D44" s="4" t="str">
        <f t="shared" si="1"/>
        <v>{"valorA":"relógio","valorB":11.0}</v>
      </c>
      <c r="E44" s="8" t="str">
        <f t="shared" si="2"/>
        <v>relógio</v>
      </c>
      <c r="F44" s="8"/>
      <c r="G44" s="8" t="str">
        <f t="shared" si="3"/>
        <v>11.0</v>
      </c>
      <c r="H44" s="9">
        <f t="shared" si="4"/>
        <v>11</v>
      </c>
      <c r="I44" s="6" t="str">
        <f>IFERROR(__xludf.DUMMYFUNCTION("MAX(FILTER($H:$H,$E:$E=F44))"),"#N/A")</f>
        <v>#N/A</v>
      </c>
    </row>
    <row r="45">
      <c r="A45" s="4"/>
      <c r="C45" s="4" t="s">
        <v>4086</v>
      </c>
      <c r="D45" s="4" t="str">
        <f t="shared" si="1"/>
        <v>{"valorA":"carregador de computador","valorB":5.0}</v>
      </c>
      <c r="E45" s="8" t="str">
        <f t="shared" si="2"/>
        <v>carregador de computador</v>
      </c>
      <c r="F45" s="8"/>
      <c r="G45" s="8" t="str">
        <f t="shared" si="3"/>
        <v>5.0</v>
      </c>
      <c r="H45" s="9">
        <f t="shared" si="4"/>
        <v>5</v>
      </c>
      <c r="I45" s="6" t="str">
        <f>IFERROR(__xludf.DUMMYFUNCTION("MAX(FILTER($H:$H,$E:$E=F45))"),"#N/A")</f>
        <v>#N/A</v>
      </c>
    </row>
    <row r="46">
      <c r="A46" s="4"/>
      <c r="C46" s="4" t="s">
        <v>4087</v>
      </c>
      <c r="D46" s="4" t="str">
        <f t="shared" si="1"/>
        <v>{"valorA":"ventilador","valorB":8.0}</v>
      </c>
      <c r="E46" s="8" t="str">
        <f t="shared" si="2"/>
        <v>ventilador</v>
      </c>
      <c r="F46" s="8"/>
      <c r="G46" s="8" t="str">
        <f t="shared" si="3"/>
        <v>8.0</v>
      </c>
      <c r="H46" s="9">
        <f t="shared" si="4"/>
        <v>8</v>
      </c>
      <c r="I46" s="6" t="str">
        <f>IFERROR(__xludf.DUMMYFUNCTION("MAX(FILTER($H:$H,$E:$E=F46))"),"#N/A")</f>
        <v>#N/A</v>
      </c>
    </row>
    <row r="47">
      <c r="A47" s="4"/>
      <c r="C47" s="4" t="s">
        <v>4088</v>
      </c>
      <c r="D47" s="4" t="str">
        <f t="shared" si="1"/>
        <v>{"valorA":"fone de ouvido","valorB":7.0}</v>
      </c>
      <c r="E47" s="8" t="str">
        <f t="shared" si="2"/>
        <v>fone de ouvido</v>
      </c>
      <c r="F47" s="8"/>
      <c r="G47" s="8" t="str">
        <f t="shared" si="3"/>
        <v>7.0</v>
      </c>
      <c r="H47" s="9">
        <f t="shared" si="4"/>
        <v>7</v>
      </c>
      <c r="I47" s="6" t="str">
        <f>IFERROR(__xludf.DUMMYFUNCTION("MAX(FILTER($H:$H,$E:$E=F47))"),"#N/A")</f>
        <v>#N/A</v>
      </c>
    </row>
    <row r="48">
      <c r="A48" s="4"/>
      <c r="C48" s="4" t="s">
        <v>4089</v>
      </c>
      <c r="D48" s="4" t="str">
        <f t="shared" si="1"/>
        <v>{"valorA":"roteador","valorB":7.0}</v>
      </c>
      <c r="E48" s="8" t="str">
        <f t="shared" si="2"/>
        <v>roteador</v>
      </c>
      <c r="F48" s="8"/>
      <c r="G48" s="8" t="str">
        <f t="shared" si="3"/>
        <v>7.0</v>
      </c>
      <c r="H48" s="9">
        <f t="shared" si="4"/>
        <v>7</v>
      </c>
      <c r="I48" s="6" t="str">
        <f>IFERROR(__xludf.DUMMYFUNCTION("MAX(FILTER($H:$H,$E:$E=F48))"),"#N/A")</f>
        <v>#N/A</v>
      </c>
    </row>
    <row r="49">
      <c r="A49" s="4"/>
      <c r="C49" s="4" t="s">
        <v>4090</v>
      </c>
      <c r="D49" s="4" t="str">
        <f t="shared" si="1"/>
        <v>{"valorA":"teclado de computador","valorB":4.0}</v>
      </c>
      <c r="E49" s="8" t="str">
        <f t="shared" si="2"/>
        <v>teclado de computador</v>
      </c>
      <c r="F49" s="8"/>
      <c r="G49" s="8" t="str">
        <f t="shared" si="3"/>
        <v>4.0</v>
      </c>
      <c r="H49" s="9">
        <f t="shared" si="4"/>
        <v>4</v>
      </c>
      <c r="I49" s="6" t="str">
        <f>IFERROR(__xludf.DUMMYFUNCTION("MAX(FILTER($H:$H,$E:$E=F49))"),"#N/A")</f>
        <v>#N/A</v>
      </c>
    </row>
    <row r="50">
      <c r="A50" s="4"/>
      <c r="C50" s="4" t="s">
        <v>4091</v>
      </c>
      <c r="D50" s="4" t="str">
        <f t="shared" si="1"/>
        <v>{"valorA":"liquidificador","valorB":7.0}</v>
      </c>
      <c r="E50" s="8" t="str">
        <f t="shared" si="2"/>
        <v>liquidificador</v>
      </c>
      <c r="F50" s="8"/>
      <c r="G50" s="8" t="str">
        <f t="shared" si="3"/>
        <v>7.0</v>
      </c>
      <c r="H50" s="9">
        <f t="shared" si="4"/>
        <v>7</v>
      </c>
      <c r="I50" s="6" t="str">
        <f>IFERROR(__xludf.DUMMYFUNCTION("MAX(FILTER($H:$H,$E:$E=F50))"),"#N/A")</f>
        <v>#N/A</v>
      </c>
    </row>
    <row r="51">
      <c r="A51" s="4"/>
      <c r="C51" s="4" t="s">
        <v>4092</v>
      </c>
      <c r="D51" s="4" t="str">
        <f t="shared" si="1"/>
        <v>{"valorA":"computador","valorB":9.0}</v>
      </c>
      <c r="E51" s="8" t="str">
        <f t="shared" si="2"/>
        <v>computador</v>
      </c>
      <c r="F51" s="8"/>
      <c r="G51" s="8" t="str">
        <f t="shared" si="3"/>
        <v>9.0</v>
      </c>
      <c r="H51" s="9">
        <f t="shared" si="4"/>
        <v>9</v>
      </c>
      <c r="I51" s="6" t="str">
        <f>IFERROR(__xludf.DUMMYFUNCTION("MAX(FILTER($H:$H,$E:$E=F51))"),"#N/A")</f>
        <v>#N/A</v>
      </c>
    </row>
    <row r="52">
      <c r="A52" s="4"/>
      <c r="C52" s="4" t="s">
        <v>4093</v>
      </c>
      <c r="D52" s="4" t="str">
        <f t="shared" si="1"/>
        <v>{"valorA":"mouse de computador","valorB":4.0}</v>
      </c>
      <c r="E52" s="8" t="str">
        <f t="shared" si="2"/>
        <v>mouse de computador</v>
      </c>
      <c r="F52" s="8"/>
      <c r="G52" s="8" t="str">
        <f t="shared" si="3"/>
        <v>4.0</v>
      </c>
      <c r="H52" s="9">
        <f t="shared" si="4"/>
        <v>4</v>
      </c>
      <c r="I52" s="6" t="str">
        <f>IFERROR(__xludf.DUMMYFUNCTION("MAX(FILTER($H:$H,$E:$E=F52))"),"#N/A")</f>
        <v>#N/A</v>
      </c>
    </row>
    <row r="53">
      <c r="A53" s="4"/>
      <c r="C53" s="4" t="s">
        <v>4094</v>
      </c>
      <c r="D53" s="4" t="str">
        <f t="shared" si="1"/>
        <v>{"valorA":"ar condicionado","valorB":8.0}</v>
      </c>
      <c r="E53" s="8" t="str">
        <f t="shared" si="2"/>
        <v>ar condicionado</v>
      </c>
      <c r="F53" s="8"/>
      <c r="G53" s="8" t="str">
        <f t="shared" si="3"/>
        <v>8.0</v>
      </c>
      <c r="H53" s="9">
        <f t="shared" si="4"/>
        <v>8</v>
      </c>
      <c r="I53" s="6" t="str">
        <f>IFERROR(__xludf.DUMMYFUNCTION("MAX(FILTER($H:$H,$E:$E=F53))"),"#N/A")</f>
        <v>#N/A</v>
      </c>
    </row>
    <row r="54">
      <c r="A54" s="4"/>
      <c r="C54" s="4" t="s">
        <v>4095</v>
      </c>
      <c r="D54" s="4" t="str">
        <f t="shared" si="1"/>
        <v>{"valorA":"filtro de linha","valorB":10.0}</v>
      </c>
      <c r="E54" s="8" t="str">
        <f t="shared" si="2"/>
        <v>filtro de linha</v>
      </c>
      <c r="F54" s="8"/>
      <c r="G54" s="8" t="str">
        <f t="shared" si="3"/>
        <v>10.0</v>
      </c>
      <c r="H54" s="9">
        <f t="shared" si="4"/>
        <v>10</v>
      </c>
      <c r="I54" s="6" t="str">
        <f>IFERROR(__xludf.DUMMYFUNCTION("MAX(FILTER($H:$H,$E:$E=F54))"),"#N/A")</f>
        <v>#N/A</v>
      </c>
    </row>
    <row r="55">
      <c r="A55" s="4"/>
      <c r="C55" s="4" t="s">
        <v>4096</v>
      </c>
      <c r="D55" s="4" t="str">
        <f t="shared" si="1"/>
        <v>{"valorA":"fogão","valorB":11.0}</v>
      </c>
      <c r="E55" s="8" t="str">
        <f t="shared" si="2"/>
        <v>fogão</v>
      </c>
      <c r="F55" s="8"/>
      <c r="G55" s="8" t="str">
        <f t="shared" si="3"/>
        <v>11.0</v>
      </c>
      <c r="H55" s="9">
        <f t="shared" si="4"/>
        <v>11</v>
      </c>
      <c r="I55" s="6" t="str">
        <f>IFERROR(__xludf.DUMMYFUNCTION("MAX(FILTER($H:$H,$E:$E=F55))"),"#N/A")</f>
        <v>#N/A</v>
      </c>
    </row>
    <row r="56">
      <c r="A56" s="4"/>
      <c r="C56" s="4" t="s">
        <v>4097</v>
      </c>
      <c r="D56" s="4" t="str">
        <f t="shared" si="1"/>
        <v>{"valorA":"aspirador","valorB":11.0}</v>
      </c>
      <c r="E56" s="8" t="str">
        <f t="shared" si="2"/>
        <v>aspirador</v>
      </c>
      <c r="F56" s="8"/>
      <c r="G56" s="8" t="str">
        <f t="shared" si="3"/>
        <v>11.0</v>
      </c>
      <c r="H56" s="9">
        <f t="shared" si="4"/>
        <v>11</v>
      </c>
      <c r="I56" s="6" t="str">
        <f>IFERROR(__xludf.DUMMYFUNCTION("MAX(FILTER($H:$H,$E:$E=F56))"),"#N/A")</f>
        <v>#N/A</v>
      </c>
    </row>
    <row r="57">
      <c r="A57" s="4"/>
      <c r="C57" s="4" t="s">
        <v>4098</v>
      </c>
      <c r="D57" s="4" t="str">
        <f t="shared" si="1"/>
        <v>{"valorA":"celular","valorB":6.0}</v>
      </c>
      <c r="E57" s="8" t="str">
        <f t="shared" si="2"/>
        <v>celular</v>
      </c>
      <c r="F57" s="8"/>
      <c r="G57" s="8" t="str">
        <f t="shared" si="3"/>
        <v>6.0</v>
      </c>
      <c r="H57" s="9">
        <f t="shared" si="4"/>
        <v>6</v>
      </c>
      <c r="I57" s="6" t="str">
        <f>IFERROR(__xludf.DUMMYFUNCTION("MAX(FILTER($H:$H,$E:$E=F57))"),"#N/A")</f>
        <v>#N/A</v>
      </c>
    </row>
    <row r="58">
      <c r="A58" s="4"/>
      <c r="C58" s="4" t="s">
        <v>4099</v>
      </c>
      <c r="D58" s="4" t="str">
        <f t="shared" si="1"/>
        <v>{"valorA":"carregador de celular","valorB":7.0}</v>
      </c>
      <c r="E58" s="8" t="str">
        <f t="shared" si="2"/>
        <v>carregador de celular</v>
      </c>
      <c r="F58" s="8"/>
      <c r="G58" s="8" t="str">
        <f t="shared" si="3"/>
        <v>7.0</v>
      </c>
      <c r="H58" s="9">
        <f t="shared" si="4"/>
        <v>7</v>
      </c>
      <c r="I58" s="6" t="str">
        <f>IFERROR(__xludf.DUMMYFUNCTION("MAX(FILTER($H:$H,$E:$E=F58))"),"#N/A")</f>
        <v>#N/A</v>
      </c>
    </row>
    <row r="59">
      <c r="A59" s="4"/>
      <c r="C59" s="4" t="s">
        <v>4100</v>
      </c>
      <c r="D59" s="4" t="str">
        <f t="shared" si="1"/>
        <v>{"valorA":"purificador de água","valorB":9.0}</v>
      </c>
      <c r="E59" s="8" t="str">
        <f t="shared" si="2"/>
        <v>purificador de água</v>
      </c>
      <c r="F59" s="8"/>
      <c r="G59" s="8" t="str">
        <f t="shared" si="3"/>
        <v>9.0</v>
      </c>
      <c r="H59" s="9">
        <f t="shared" si="4"/>
        <v>9</v>
      </c>
      <c r="I59" s="6" t="str">
        <f>IFERROR(__xludf.DUMMYFUNCTION("MAX(FILTER($H:$H,$E:$E=F59))"),"#N/A")</f>
        <v>#N/A</v>
      </c>
    </row>
    <row r="60">
      <c r="A60" s="4"/>
      <c r="C60" s="4" t="s">
        <v>4101</v>
      </c>
      <c r="D60" s="4" t="str">
        <f t="shared" si="1"/>
        <v>{"valorA":"lustre","valorB":6.0}</v>
      </c>
      <c r="E60" s="8" t="str">
        <f t="shared" si="2"/>
        <v>lustre</v>
      </c>
      <c r="F60" s="8"/>
      <c r="G60" s="8" t="str">
        <f t="shared" si="3"/>
        <v>6.0</v>
      </c>
      <c r="H60" s="9">
        <f t="shared" si="4"/>
        <v>6</v>
      </c>
      <c r="I60" s="6" t="str">
        <f>IFERROR(__xludf.DUMMYFUNCTION("MAX(FILTER($H:$H,$E:$E=F60))"),"#N/A")</f>
        <v>#N/A</v>
      </c>
    </row>
    <row r="61">
      <c r="A61" s="4"/>
      <c r="C61" s="4" t="s">
        <v>4102</v>
      </c>
      <c r="D61" s="4" t="str">
        <f t="shared" si="1"/>
        <v>{"valorA":"relógio","valorB":15.0}</v>
      </c>
      <c r="E61" s="8" t="str">
        <f t="shared" si="2"/>
        <v>relógio</v>
      </c>
      <c r="F61" s="8"/>
      <c r="G61" s="8" t="str">
        <f t="shared" si="3"/>
        <v>15.0</v>
      </c>
      <c r="H61" s="9">
        <f t="shared" si="4"/>
        <v>15</v>
      </c>
      <c r="I61" s="6" t="str">
        <f>IFERROR(__xludf.DUMMYFUNCTION("MAX(FILTER($H:$H,$E:$E=F61))"),"#N/A")</f>
        <v>#N/A</v>
      </c>
    </row>
    <row r="62">
      <c r="A62" s="4"/>
      <c r="C62" s="4" t="s">
        <v>4103</v>
      </c>
      <c r="D62" s="4" t="str">
        <f t="shared" si="1"/>
        <v>{"valorA":"carregador de computador","valorB":8.0}</v>
      </c>
      <c r="E62" s="8" t="str">
        <f t="shared" si="2"/>
        <v>carregador de computador</v>
      </c>
      <c r="F62" s="8"/>
      <c r="G62" s="8" t="str">
        <f t="shared" si="3"/>
        <v>8.0</v>
      </c>
      <c r="H62" s="9">
        <f t="shared" si="4"/>
        <v>8</v>
      </c>
      <c r="I62" s="6" t="str">
        <f>IFERROR(__xludf.DUMMYFUNCTION("MAX(FILTER($H:$H,$E:$E=F62))"),"#N/A")</f>
        <v>#N/A</v>
      </c>
    </row>
    <row r="63">
      <c r="A63" s="4"/>
      <c r="C63" s="4" t="s">
        <v>4104</v>
      </c>
      <c r="D63" s="4" t="str">
        <f t="shared" si="1"/>
        <v>{"valorA":"ventilador","valorB":13.0}</v>
      </c>
      <c r="E63" s="8" t="str">
        <f t="shared" si="2"/>
        <v>ventilador</v>
      </c>
      <c r="F63" s="8"/>
      <c r="G63" s="8" t="str">
        <f t="shared" si="3"/>
        <v>13.0</v>
      </c>
      <c r="H63" s="9">
        <f t="shared" si="4"/>
        <v>13</v>
      </c>
      <c r="I63" s="6" t="str">
        <f>IFERROR(__xludf.DUMMYFUNCTION("MAX(FILTER($H:$H,$E:$E=F63))"),"#N/A")</f>
        <v>#N/A</v>
      </c>
    </row>
    <row r="64">
      <c r="A64" s="4"/>
      <c r="C64" s="4" t="s">
        <v>4105</v>
      </c>
      <c r="D64" s="4" t="str">
        <f t="shared" si="1"/>
        <v>{"valorA":"fone de ouvido","valorB":8.0}</v>
      </c>
      <c r="E64" s="8" t="str">
        <f t="shared" si="2"/>
        <v>fone de ouvido</v>
      </c>
      <c r="F64" s="8"/>
      <c r="G64" s="8" t="str">
        <f t="shared" si="3"/>
        <v>8.0</v>
      </c>
      <c r="H64" s="9">
        <f t="shared" si="4"/>
        <v>8</v>
      </c>
      <c r="I64" s="6" t="str">
        <f>IFERROR(__xludf.DUMMYFUNCTION("MAX(FILTER($H:$H,$E:$E=F64))"),"#N/A")</f>
        <v>#N/A</v>
      </c>
    </row>
    <row r="65">
      <c r="A65" s="4"/>
      <c r="C65" s="4" t="s">
        <v>4106</v>
      </c>
      <c r="D65" s="4" t="str">
        <f t="shared" si="1"/>
        <v>{"valorA":"roteador","valorB":11.0}</v>
      </c>
      <c r="E65" s="8" t="str">
        <f t="shared" si="2"/>
        <v>roteador</v>
      </c>
      <c r="F65" s="8"/>
      <c r="G65" s="8" t="str">
        <f t="shared" si="3"/>
        <v>11.0</v>
      </c>
      <c r="H65" s="9">
        <f t="shared" si="4"/>
        <v>11</v>
      </c>
      <c r="I65" s="6" t="str">
        <f>IFERROR(__xludf.DUMMYFUNCTION("MAX(FILTER($H:$H,$E:$E=F65))"),"#N/A")</f>
        <v>#N/A</v>
      </c>
    </row>
    <row r="66">
      <c r="A66" s="4"/>
      <c r="C66" s="4" t="s">
        <v>4107</v>
      </c>
      <c r="D66" s="4" t="str">
        <f t="shared" si="1"/>
        <v>{"valorA":"teclado de computador","valorB":6.0}</v>
      </c>
      <c r="E66" s="8" t="str">
        <f t="shared" si="2"/>
        <v>teclado de computador</v>
      </c>
      <c r="F66" s="8"/>
      <c r="G66" s="8" t="str">
        <f t="shared" si="3"/>
        <v>6.0</v>
      </c>
      <c r="H66" s="9">
        <f t="shared" si="4"/>
        <v>6</v>
      </c>
      <c r="I66" s="6" t="str">
        <f>IFERROR(__xludf.DUMMYFUNCTION("MAX(FILTER($H:$H,$E:$E=F66))"),"#N/A")</f>
        <v>#N/A</v>
      </c>
    </row>
    <row r="67">
      <c r="A67" s="4"/>
      <c r="C67" s="4" t="s">
        <v>4108</v>
      </c>
      <c r="D67" s="4" t="str">
        <f t="shared" si="1"/>
        <v>{"valorA":"liquidificador","valorB":10.0}</v>
      </c>
      <c r="E67" s="8" t="str">
        <f t="shared" si="2"/>
        <v>liquidificador</v>
      </c>
      <c r="F67" s="8"/>
      <c r="G67" s="8" t="str">
        <f t="shared" si="3"/>
        <v>10.0</v>
      </c>
      <c r="H67" s="9">
        <f t="shared" si="4"/>
        <v>10</v>
      </c>
      <c r="I67" s="6" t="str">
        <f>IFERROR(__xludf.DUMMYFUNCTION("MAX(FILTER($H:$H,$E:$E=F67))"),"#N/A")</f>
        <v>#N/A</v>
      </c>
    </row>
    <row r="68">
      <c r="A68" s="4"/>
      <c r="C68" s="4" t="s">
        <v>4109</v>
      </c>
      <c r="D68" s="4" t="str">
        <f t="shared" si="1"/>
        <v>{"valorA":"computador","valorB":13.0}</v>
      </c>
      <c r="E68" s="8" t="str">
        <f t="shared" si="2"/>
        <v>computador</v>
      </c>
      <c r="F68" s="8"/>
      <c r="G68" s="8" t="str">
        <f t="shared" si="3"/>
        <v>13.0</v>
      </c>
      <c r="H68" s="9">
        <f t="shared" si="4"/>
        <v>13</v>
      </c>
      <c r="I68" s="6" t="str">
        <f>IFERROR(__xludf.DUMMYFUNCTION("MAX(FILTER($H:$H,$E:$E=F68))"),"#N/A")</f>
        <v>#N/A</v>
      </c>
    </row>
    <row r="69">
      <c r="A69" s="4"/>
      <c r="C69" s="4" t="s">
        <v>4110</v>
      </c>
      <c r="D69" s="4" t="str">
        <f t="shared" si="1"/>
        <v>{"valorA":"chuveiro elétrico","valorB":5.0}</v>
      </c>
      <c r="E69" s="8" t="str">
        <f t="shared" si="2"/>
        <v>chuveiro elétrico</v>
      </c>
      <c r="F69" s="8"/>
      <c r="G69" s="8" t="str">
        <f t="shared" si="3"/>
        <v>5.0</v>
      </c>
      <c r="H69" s="9">
        <f t="shared" si="4"/>
        <v>5</v>
      </c>
      <c r="I69" s="6" t="str">
        <f>IFERROR(__xludf.DUMMYFUNCTION("MAX(FILTER($H:$H,$E:$E=F69))"),"#N/A")</f>
        <v>#N/A</v>
      </c>
    </row>
    <row r="70">
      <c r="A70" s="4"/>
      <c r="C70" s="4" t="s">
        <v>4111</v>
      </c>
      <c r="D70" s="4" t="str">
        <f t="shared" si="1"/>
        <v>{"valorA":"freezer","valorB":9.0}</v>
      </c>
      <c r="E70" s="8" t="str">
        <f t="shared" si="2"/>
        <v>freezer</v>
      </c>
      <c r="F70" s="8"/>
      <c r="G70" s="8" t="str">
        <f t="shared" si="3"/>
        <v>9.0</v>
      </c>
      <c r="H70" s="9">
        <f t="shared" si="4"/>
        <v>9</v>
      </c>
      <c r="I70" s="6" t="str">
        <f>IFERROR(__xludf.DUMMYFUNCTION("MAX(FILTER($H:$H,$E:$E=F70))"),"#N/A")</f>
        <v>#N/A</v>
      </c>
    </row>
    <row r="71">
      <c r="A71" s="4"/>
      <c r="C71" s="4" t="s">
        <v>4112</v>
      </c>
      <c r="D71" s="4" t="str">
        <f t="shared" si="1"/>
        <v>{"valorA":"mouse de computador","valorB":7.0}</v>
      </c>
      <c r="E71" s="8" t="str">
        <f t="shared" si="2"/>
        <v>mouse de computador</v>
      </c>
      <c r="F71" s="8"/>
      <c r="G71" s="8" t="str">
        <f t="shared" si="3"/>
        <v>7.0</v>
      </c>
      <c r="H71" s="9">
        <f t="shared" si="4"/>
        <v>7</v>
      </c>
      <c r="I71" s="6" t="str">
        <f>IFERROR(__xludf.DUMMYFUNCTION("MAX(FILTER($H:$H,$E:$E=F71))"),"#N/A")</f>
        <v>#N/A</v>
      </c>
    </row>
    <row r="72">
      <c r="A72" s="4"/>
      <c r="C72" s="4" t="s">
        <v>4113</v>
      </c>
      <c r="D72" s="4" t="str">
        <f t="shared" si="1"/>
        <v>{"valorA":"ar condicionado","valorB":10.0}</v>
      </c>
      <c r="E72" s="8" t="str">
        <f t="shared" si="2"/>
        <v>ar condicionado</v>
      </c>
      <c r="F72" s="8"/>
      <c r="G72" s="8" t="str">
        <f t="shared" si="3"/>
        <v>10.0</v>
      </c>
      <c r="H72" s="9">
        <f t="shared" si="4"/>
        <v>10</v>
      </c>
      <c r="I72" s="6" t="str">
        <f>IFERROR(__xludf.DUMMYFUNCTION("MAX(FILTER($H:$H,$E:$E=F72))"),"#N/A")</f>
        <v>#N/A</v>
      </c>
    </row>
    <row r="73">
      <c r="A73" s="4"/>
      <c r="C73" s="4" t="s">
        <v>4114</v>
      </c>
      <c r="D73" s="4" t="str">
        <f t="shared" si="1"/>
        <v>{"valorA":"filtro de linha","valorB":13.0}</v>
      </c>
      <c r="E73" s="8" t="str">
        <f t="shared" si="2"/>
        <v>filtro de linha</v>
      </c>
      <c r="F73" s="8"/>
      <c r="G73" s="8" t="str">
        <f t="shared" si="3"/>
        <v>13.0</v>
      </c>
      <c r="H73" s="9">
        <f t="shared" si="4"/>
        <v>13</v>
      </c>
      <c r="I73" s="6" t="str">
        <f>IFERROR(__xludf.DUMMYFUNCTION("MAX(FILTER($H:$H,$E:$E=F73))"),"#N/A")</f>
        <v>#N/A</v>
      </c>
    </row>
    <row r="74">
      <c r="A74" s="4"/>
      <c r="C74" s="4" t="s">
        <v>4115</v>
      </c>
      <c r="D74" s="4" t="str">
        <f t="shared" si="1"/>
        <v>{"valorA":"fogão","valorB":13.0}</v>
      </c>
      <c r="E74" s="8" t="str">
        <f t="shared" si="2"/>
        <v>fogão</v>
      </c>
      <c r="F74" s="8"/>
      <c r="G74" s="8" t="str">
        <f t="shared" si="3"/>
        <v>13.0</v>
      </c>
      <c r="H74" s="9">
        <f t="shared" si="4"/>
        <v>13</v>
      </c>
      <c r="I74" s="6" t="str">
        <f>IFERROR(__xludf.DUMMYFUNCTION("MAX(FILTER($H:$H,$E:$E=F74))"),"#N/A")</f>
        <v>#N/A</v>
      </c>
    </row>
    <row r="75">
      <c r="A75" s="4"/>
      <c r="C75" s="4" t="s">
        <v>4116</v>
      </c>
      <c r="D75" s="4" t="str">
        <f t="shared" si="1"/>
        <v>{"valorA":"celular","valorB":7.0}</v>
      </c>
      <c r="E75" s="8" t="str">
        <f t="shared" si="2"/>
        <v>celular</v>
      </c>
      <c r="F75" s="8"/>
      <c r="G75" s="8" t="str">
        <f t="shared" si="3"/>
        <v>7.0</v>
      </c>
      <c r="H75" s="9">
        <f t="shared" si="4"/>
        <v>7</v>
      </c>
      <c r="I75" s="6" t="str">
        <f>IFERROR(__xludf.DUMMYFUNCTION("MAX(FILTER($H:$H,$E:$E=F75))"),"#N/A")</f>
        <v>#N/A</v>
      </c>
    </row>
    <row r="76">
      <c r="A76" s="4"/>
      <c r="C76" s="4" t="s">
        <v>4117</v>
      </c>
      <c r="D76" s="4" t="str">
        <f t="shared" si="1"/>
        <v>{"valorA":"purificador de água","valorB":15.0}</v>
      </c>
      <c r="E76" s="8" t="str">
        <f t="shared" si="2"/>
        <v>purificador de água</v>
      </c>
      <c r="F76" s="8"/>
      <c r="G76" s="8" t="str">
        <f t="shared" si="3"/>
        <v>15.0</v>
      </c>
      <c r="H76" s="9">
        <f t="shared" si="4"/>
        <v>15</v>
      </c>
      <c r="I76" s="6" t="str">
        <f>IFERROR(__xludf.DUMMYFUNCTION("MAX(FILTER($H:$H,$E:$E=F76))"),"#N/A")</f>
        <v>#N/A</v>
      </c>
    </row>
    <row r="77">
      <c r="A77" s="4"/>
      <c r="C77" s="4" t="s">
        <v>4118</v>
      </c>
      <c r="D77" s="4" t="str">
        <f t="shared" si="1"/>
        <v>{"valorA":"lustre","valorB":10.0}</v>
      </c>
      <c r="E77" s="8" t="str">
        <f t="shared" si="2"/>
        <v>lustre</v>
      </c>
      <c r="F77" s="8"/>
      <c r="G77" s="8" t="str">
        <f t="shared" si="3"/>
        <v>10.0</v>
      </c>
      <c r="H77" s="9">
        <f t="shared" si="4"/>
        <v>10</v>
      </c>
      <c r="I77" s="6" t="str">
        <f>IFERROR(__xludf.DUMMYFUNCTION("MAX(FILTER($H:$H,$E:$E=F77))"),"#N/A")</f>
        <v>#N/A</v>
      </c>
    </row>
    <row r="78">
      <c r="A78" s="4"/>
      <c r="C78" s="4" t="s">
        <v>4119</v>
      </c>
      <c r="D78" s="4" t="str">
        <f t="shared" si="1"/>
        <v>{"valorA":"microondas","valorB":7.0}</v>
      </c>
      <c r="E78" s="8" t="str">
        <f t="shared" si="2"/>
        <v>microondas</v>
      </c>
      <c r="F78" s="8"/>
      <c r="G78" s="8" t="str">
        <f t="shared" si="3"/>
        <v>7.0</v>
      </c>
      <c r="H78" s="9">
        <f t="shared" si="4"/>
        <v>7</v>
      </c>
      <c r="I78" s="6" t="str">
        <f>IFERROR(__xludf.DUMMYFUNCTION("MAX(FILTER($H:$H,$E:$E=F78))"),"#N/A")</f>
        <v>#N/A</v>
      </c>
    </row>
    <row r="79">
      <c r="A79" s="4"/>
      <c r="C79" s="4" t="s">
        <v>4120</v>
      </c>
      <c r="D79" s="4" t="str">
        <f t="shared" si="1"/>
        <v>{"valorA":"relógio","valorB":20.0}</v>
      </c>
      <c r="E79" s="8" t="str">
        <f t="shared" si="2"/>
        <v>relógio</v>
      </c>
      <c r="F79" s="8"/>
      <c r="G79" s="8" t="str">
        <f t="shared" si="3"/>
        <v>20.0</v>
      </c>
      <c r="H79" s="9">
        <f t="shared" si="4"/>
        <v>20</v>
      </c>
      <c r="I79" s="6" t="str">
        <f>IFERROR(__xludf.DUMMYFUNCTION("MAX(FILTER($H:$H,$E:$E=F79))"),"#N/A")</f>
        <v>#N/A</v>
      </c>
    </row>
    <row r="80">
      <c r="A80" s="4"/>
      <c r="C80" s="4" t="s">
        <v>4121</v>
      </c>
      <c r="D80" s="4" t="str">
        <f t="shared" si="1"/>
        <v>{"valorA":"carregador de computador","valorB":11.0}</v>
      </c>
      <c r="E80" s="8" t="str">
        <f t="shared" si="2"/>
        <v>carregador de computador</v>
      </c>
      <c r="F80" s="8"/>
      <c r="G80" s="8" t="str">
        <f t="shared" si="3"/>
        <v>11.0</v>
      </c>
      <c r="H80" s="9">
        <f t="shared" si="4"/>
        <v>11</v>
      </c>
      <c r="I80" s="6" t="str">
        <f>IFERROR(__xludf.DUMMYFUNCTION("MAX(FILTER($H:$H,$E:$E=F80))"),"#N/A")</f>
        <v>#N/A</v>
      </c>
    </row>
    <row r="81">
      <c r="A81" s="4"/>
      <c r="C81" s="4" t="s">
        <v>4122</v>
      </c>
      <c r="D81" s="4" t="str">
        <f t="shared" si="1"/>
        <v>{"valorA":"ventilador","valorB":14.0}</v>
      </c>
      <c r="E81" s="8" t="str">
        <f t="shared" si="2"/>
        <v>ventilador</v>
      </c>
      <c r="F81" s="8"/>
      <c r="G81" s="8" t="str">
        <f t="shared" si="3"/>
        <v>14.0</v>
      </c>
      <c r="H81" s="9">
        <f t="shared" si="4"/>
        <v>14</v>
      </c>
      <c r="I81" s="6" t="str">
        <f>IFERROR(__xludf.DUMMYFUNCTION("MAX(FILTER($H:$H,$E:$E=F81))"),"#N/A")</f>
        <v>#N/A</v>
      </c>
    </row>
    <row r="82">
      <c r="A82" s="4"/>
      <c r="C82" s="4" t="s">
        <v>4123</v>
      </c>
      <c r="D82" s="4" t="str">
        <f t="shared" si="1"/>
        <v>{"valorA":"fone de ouvido","valorB":10.0}</v>
      </c>
      <c r="E82" s="8" t="str">
        <f t="shared" si="2"/>
        <v>fone de ouvido</v>
      </c>
      <c r="F82" s="8"/>
      <c r="G82" s="8" t="str">
        <f t="shared" si="3"/>
        <v>10.0</v>
      </c>
      <c r="H82" s="9">
        <f t="shared" si="4"/>
        <v>10</v>
      </c>
      <c r="I82" s="6" t="str">
        <f>IFERROR(__xludf.DUMMYFUNCTION("MAX(FILTER($H:$H,$E:$E=F82))"),"#N/A")</f>
        <v>#N/A</v>
      </c>
    </row>
    <row r="83">
      <c r="A83" s="4"/>
      <c r="C83" s="4" t="s">
        <v>4124</v>
      </c>
      <c r="D83" s="4" t="str">
        <f t="shared" si="1"/>
        <v>{"valorA":"roteador","valorB":14.0}</v>
      </c>
      <c r="E83" s="8" t="str">
        <f t="shared" si="2"/>
        <v>roteador</v>
      </c>
      <c r="F83" s="8"/>
      <c r="G83" s="8" t="str">
        <f t="shared" si="3"/>
        <v>14.0</v>
      </c>
      <c r="H83" s="9">
        <f t="shared" si="4"/>
        <v>14</v>
      </c>
      <c r="I83" s="6" t="str">
        <f>IFERROR(__xludf.DUMMYFUNCTION("MAX(FILTER($H:$H,$E:$E=F83))"),"#N/A")</f>
        <v>#N/A</v>
      </c>
    </row>
    <row r="84">
      <c r="A84" s="4"/>
      <c r="C84" s="4" t="s">
        <v>4125</v>
      </c>
      <c r="D84" s="4" t="str">
        <f t="shared" si="1"/>
        <v>{"valorA":"teclado de computador","valorB":8.0}</v>
      </c>
      <c r="E84" s="8" t="str">
        <f t="shared" si="2"/>
        <v>teclado de computador</v>
      </c>
      <c r="F84" s="8"/>
      <c r="G84" s="8" t="str">
        <f t="shared" si="3"/>
        <v>8.0</v>
      </c>
      <c r="H84" s="9">
        <f t="shared" si="4"/>
        <v>8</v>
      </c>
      <c r="I84" s="6" t="str">
        <f>IFERROR(__xludf.DUMMYFUNCTION("MAX(FILTER($H:$H,$E:$E=F84))"),"#N/A")</f>
        <v>#N/A</v>
      </c>
    </row>
    <row r="85">
      <c r="A85" s="4"/>
      <c r="C85" s="4" t="s">
        <v>4126</v>
      </c>
      <c r="D85" s="4" t="str">
        <f t="shared" si="1"/>
        <v>{"valorA":"liquidificador","valorB":13.0}</v>
      </c>
      <c r="E85" s="8" t="str">
        <f t="shared" si="2"/>
        <v>liquidificador</v>
      </c>
      <c r="F85" s="8"/>
      <c r="G85" s="8" t="str">
        <f t="shared" si="3"/>
        <v>13.0</v>
      </c>
      <c r="H85" s="9">
        <f t="shared" si="4"/>
        <v>13</v>
      </c>
      <c r="I85" s="6" t="str">
        <f>IFERROR(__xludf.DUMMYFUNCTION("MAX(FILTER($H:$H,$E:$E=F85))"),"#N/A")</f>
        <v>#N/A</v>
      </c>
    </row>
    <row r="86">
      <c r="A86" s="4"/>
      <c r="C86" s="4" t="s">
        <v>4127</v>
      </c>
      <c r="D86" s="4" t="str">
        <f t="shared" si="1"/>
        <v>{"valorA":"computador","valorB":14.0}</v>
      </c>
      <c r="E86" s="8" t="str">
        <f t="shared" si="2"/>
        <v>computador</v>
      </c>
      <c r="F86" s="8"/>
      <c r="G86" s="8" t="str">
        <f t="shared" si="3"/>
        <v>14.0</v>
      </c>
      <c r="H86" s="9">
        <f t="shared" si="4"/>
        <v>14</v>
      </c>
      <c r="I86" s="6" t="str">
        <f>IFERROR(__xludf.DUMMYFUNCTION("MAX(FILTER($H:$H,$E:$E=F86))"),"#N/A")</f>
        <v>#N/A</v>
      </c>
    </row>
    <row r="87">
      <c r="A87" s="4"/>
      <c r="C87" s="4" t="s">
        <v>4128</v>
      </c>
      <c r="D87" s="4" t="str">
        <f t="shared" si="1"/>
        <v>{"valorA":"chuveiro elétrico","valorB":7.0}</v>
      </c>
      <c r="E87" s="8" t="str">
        <f t="shared" si="2"/>
        <v>chuveiro elétrico</v>
      </c>
      <c r="F87" s="8"/>
      <c r="G87" s="8" t="str">
        <f t="shared" si="3"/>
        <v>7.0</v>
      </c>
      <c r="H87" s="9">
        <f t="shared" si="4"/>
        <v>7</v>
      </c>
      <c r="I87" s="6" t="str">
        <f>IFERROR(__xludf.DUMMYFUNCTION("MAX(FILTER($H:$H,$E:$E=F87))"),"#N/A")</f>
        <v>#N/A</v>
      </c>
    </row>
    <row r="88">
      <c r="A88" s="4"/>
      <c r="C88" s="4" t="s">
        <v>4129</v>
      </c>
      <c r="D88" s="4" t="str">
        <f t="shared" si="1"/>
        <v>{"valorA":"mouse de computador","valorB":9.0}</v>
      </c>
      <c r="E88" s="8" t="str">
        <f t="shared" si="2"/>
        <v>mouse de computador</v>
      </c>
      <c r="F88" s="8"/>
      <c r="G88" s="8" t="str">
        <f t="shared" si="3"/>
        <v>9.0</v>
      </c>
      <c r="H88" s="9">
        <f t="shared" si="4"/>
        <v>9</v>
      </c>
      <c r="I88" s="6" t="str">
        <f>IFERROR(__xludf.DUMMYFUNCTION("MAX(FILTER($H:$H,$E:$E=F88))"),"#N/A")</f>
        <v>#N/A</v>
      </c>
    </row>
    <row r="89">
      <c r="A89" s="4"/>
      <c r="C89" s="4" t="s">
        <v>4130</v>
      </c>
      <c r="D89" s="4" t="str">
        <f t="shared" si="1"/>
        <v>{"valorA":"freezer","valorB":12.0}</v>
      </c>
      <c r="E89" s="8" t="str">
        <f t="shared" si="2"/>
        <v>freezer</v>
      </c>
      <c r="F89" s="8"/>
      <c r="G89" s="8" t="str">
        <f t="shared" si="3"/>
        <v>12.0</v>
      </c>
      <c r="H89" s="9">
        <f t="shared" si="4"/>
        <v>12</v>
      </c>
      <c r="I89" s="6" t="str">
        <f>IFERROR(__xludf.DUMMYFUNCTION("MAX(FILTER($H:$H,$E:$E=F89))"),"#N/A")</f>
        <v>#N/A</v>
      </c>
    </row>
    <row r="90">
      <c r="A90" s="4"/>
      <c r="C90" s="4" t="s">
        <v>4131</v>
      </c>
      <c r="D90" s="4" t="str">
        <f t="shared" si="1"/>
        <v>{"valorA":"ar condicionado","valorB":12.0}</v>
      </c>
      <c r="E90" s="8" t="str">
        <f t="shared" si="2"/>
        <v>ar condicionado</v>
      </c>
      <c r="F90" s="8"/>
      <c r="G90" s="8" t="str">
        <f t="shared" si="3"/>
        <v>12.0</v>
      </c>
      <c r="H90" s="9">
        <f t="shared" si="4"/>
        <v>12</v>
      </c>
      <c r="I90" s="6" t="str">
        <f>IFERROR(__xludf.DUMMYFUNCTION("MAX(FILTER($H:$H,$E:$E=F90))"),"#N/A")</f>
        <v>#N/A</v>
      </c>
    </row>
    <row r="91">
      <c r="A91" s="4"/>
      <c r="C91" s="4" t="s">
        <v>4132</v>
      </c>
      <c r="D91" s="4" t="str">
        <f t="shared" si="1"/>
        <v>{"valorA":"filtro de linha","valorB":15.0}</v>
      </c>
      <c r="E91" s="8" t="str">
        <f t="shared" si="2"/>
        <v>filtro de linha</v>
      </c>
      <c r="F91" s="8"/>
      <c r="G91" s="8" t="str">
        <f t="shared" si="3"/>
        <v>15.0</v>
      </c>
      <c r="H91" s="9">
        <f t="shared" si="4"/>
        <v>15</v>
      </c>
      <c r="I91" s="6" t="str">
        <f>IFERROR(__xludf.DUMMYFUNCTION("MAX(FILTER($H:$H,$E:$E=F91))"),"#N/A")</f>
        <v>#N/A</v>
      </c>
    </row>
    <row r="92">
      <c r="A92" s="4"/>
      <c r="C92" s="4" t="s">
        <v>4133</v>
      </c>
      <c r="D92" s="4" t="str">
        <f t="shared" si="1"/>
        <v>{"valorA":"aspirador","valorB":15.0}</v>
      </c>
      <c r="E92" s="8" t="str">
        <f t="shared" si="2"/>
        <v>aspirador</v>
      </c>
      <c r="F92" s="8"/>
      <c r="G92" s="8" t="str">
        <f t="shared" si="3"/>
        <v>15.0</v>
      </c>
      <c r="H92" s="9">
        <f t="shared" si="4"/>
        <v>15</v>
      </c>
      <c r="I92" s="6" t="str">
        <f>IFERROR(__xludf.DUMMYFUNCTION("MAX(FILTER($H:$H,$E:$E=F92))"),"#N/A")</f>
        <v>#N/A</v>
      </c>
    </row>
    <row r="93">
      <c r="A93" s="4"/>
      <c r="C93" s="4" t="s">
        <v>4134</v>
      </c>
      <c r="D93" s="4" t="str">
        <f t="shared" si="1"/>
        <v>{"valorA":"fogão","valorB":14.0}</v>
      </c>
      <c r="E93" s="8" t="str">
        <f t="shared" si="2"/>
        <v>fogão</v>
      </c>
      <c r="F93" s="8"/>
      <c r="G93" s="8" t="str">
        <f t="shared" si="3"/>
        <v>14.0</v>
      </c>
      <c r="H93" s="9">
        <f t="shared" si="4"/>
        <v>14</v>
      </c>
      <c r="I93" s="6" t="str">
        <f>IFERROR(__xludf.DUMMYFUNCTION("MAX(FILTER($H:$H,$E:$E=F93))"),"#N/A")</f>
        <v>#N/A</v>
      </c>
    </row>
    <row r="94">
      <c r="A94" s="4"/>
      <c r="C94" s="4" t="s">
        <v>4135</v>
      </c>
      <c r="D94" s="4" t="str">
        <f t="shared" si="1"/>
        <v>{"valorA":"celular","valorB":10.0}</v>
      </c>
      <c r="E94" s="8" t="str">
        <f t="shared" si="2"/>
        <v>celular</v>
      </c>
      <c r="F94" s="8"/>
      <c r="G94" s="8" t="str">
        <f t="shared" si="3"/>
        <v>10.0</v>
      </c>
      <c r="H94" s="9">
        <f t="shared" si="4"/>
        <v>10</v>
      </c>
      <c r="I94" s="6" t="str">
        <f>IFERROR(__xludf.DUMMYFUNCTION("MAX(FILTER($H:$H,$E:$E=F94))"),"#N/A")</f>
        <v>#N/A</v>
      </c>
    </row>
    <row r="95">
      <c r="A95" s="4"/>
      <c r="C95" s="4" t="s">
        <v>4136</v>
      </c>
      <c r="D95" s="4" t="str">
        <f t="shared" si="1"/>
        <v>{"valorA":"carregador de celular","valorB":9.0}</v>
      </c>
      <c r="E95" s="8" t="str">
        <f t="shared" si="2"/>
        <v>carregador de celular</v>
      </c>
      <c r="F95" s="8"/>
      <c r="G95" s="8" t="str">
        <f t="shared" si="3"/>
        <v>9.0</v>
      </c>
      <c r="H95" s="9">
        <f t="shared" si="4"/>
        <v>9</v>
      </c>
      <c r="I95" s="6" t="str">
        <f>IFERROR(__xludf.DUMMYFUNCTION("MAX(FILTER($H:$H,$E:$E=F95))"),"#N/A")</f>
        <v>#N/A</v>
      </c>
    </row>
    <row r="96">
      <c r="A96" s="4"/>
      <c r="C96" s="4" t="s">
        <v>4137</v>
      </c>
      <c r="D96" s="4" t="str">
        <f t="shared" si="1"/>
        <v>{"valorA":"purificador de água","valorB":16.0}</v>
      </c>
      <c r="E96" s="8" t="str">
        <f t="shared" si="2"/>
        <v>purificador de água</v>
      </c>
      <c r="F96" s="8"/>
      <c r="G96" s="8" t="str">
        <f t="shared" si="3"/>
        <v>16.0</v>
      </c>
      <c r="H96" s="9">
        <f t="shared" si="4"/>
        <v>16</v>
      </c>
      <c r="I96" s="6" t="str">
        <f>IFERROR(__xludf.DUMMYFUNCTION("MAX(FILTER($H:$H,$E:$E=F96))"),"#N/A")</f>
        <v>#N/A</v>
      </c>
    </row>
    <row r="97">
      <c r="A97" s="4"/>
      <c r="C97" s="4" t="s">
        <v>4138</v>
      </c>
      <c r="D97" s="4" t="str">
        <f t="shared" si="1"/>
        <v>{"valorA":"lustre","valorB":11.0}</v>
      </c>
      <c r="E97" s="8" t="str">
        <f t="shared" si="2"/>
        <v>lustre</v>
      </c>
      <c r="F97" s="8"/>
      <c r="G97" s="8" t="str">
        <f t="shared" si="3"/>
        <v>11.0</v>
      </c>
      <c r="H97" s="9">
        <f t="shared" si="4"/>
        <v>11</v>
      </c>
      <c r="I97" s="6" t="str">
        <f>IFERROR(__xludf.DUMMYFUNCTION("MAX(FILTER($H:$H,$E:$E=F97))"),"#N/A")</f>
        <v>#N/A</v>
      </c>
    </row>
    <row r="98">
      <c r="A98" s="4"/>
      <c r="C98" s="4" t="s">
        <v>4139</v>
      </c>
      <c r="D98" s="4" t="str">
        <f t="shared" si="1"/>
        <v>{"valorA":"microondas","valorB":9.0}</v>
      </c>
      <c r="E98" s="8" t="str">
        <f t="shared" si="2"/>
        <v>microondas</v>
      </c>
      <c r="F98" s="8"/>
      <c r="G98" s="8" t="str">
        <f t="shared" si="3"/>
        <v>9.0</v>
      </c>
      <c r="H98" s="9">
        <f t="shared" si="4"/>
        <v>9</v>
      </c>
      <c r="I98" s="6" t="str">
        <f>IFERROR(__xludf.DUMMYFUNCTION("MAX(FILTER($H:$H,$E:$E=F98))"),"#N/A")</f>
        <v>#N/A</v>
      </c>
    </row>
    <row r="99">
      <c r="A99" s="4"/>
      <c r="C99" s="4" t="s">
        <v>4140</v>
      </c>
      <c r="D99" s="4" t="str">
        <f t="shared" si="1"/>
        <v>{"valorA":"relógio","valorB":22.0}</v>
      </c>
      <c r="E99" s="8" t="str">
        <f t="shared" si="2"/>
        <v>relógio</v>
      </c>
      <c r="F99" s="8"/>
      <c r="G99" s="8" t="str">
        <f t="shared" si="3"/>
        <v>22.0</v>
      </c>
      <c r="H99" s="9">
        <f t="shared" si="4"/>
        <v>22</v>
      </c>
      <c r="I99" s="6" t="str">
        <f>IFERROR(__xludf.DUMMYFUNCTION("MAX(FILTER($H:$H,$E:$E=F99))"),"#N/A")</f>
        <v>#N/A</v>
      </c>
    </row>
    <row r="100">
      <c r="A100" s="4"/>
      <c r="C100" s="4" t="s">
        <v>4141</v>
      </c>
      <c r="D100" s="4" t="str">
        <f t="shared" si="1"/>
        <v>{"valorA":"carregador de computador","valorB":15.0}</v>
      </c>
      <c r="E100" s="8" t="str">
        <f t="shared" si="2"/>
        <v>carregador de computador</v>
      </c>
      <c r="F100" s="8"/>
      <c r="G100" s="8" t="str">
        <f t="shared" si="3"/>
        <v>15.0</v>
      </c>
      <c r="H100" s="9">
        <f t="shared" si="4"/>
        <v>15</v>
      </c>
      <c r="I100" s="6" t="str">
        <f>IFERROR(__xludf.DUMMYFUNCTION("MAX(FILTER($H:$H,$E:$E=F100))"),"#N/A")</f>
        <v>#N/A</v>
      </c>
    </row>
    <row r="101">
      <c r="A101" s="4"/>
      <c r="C101" s="4" t="s">
        <v>4142</v>
      </c>
      <c r="D101" s="4" t="str">
        <f t="shared" si="1"/>
        <v>{"valorA":"ventilador","valorB":17.0}</v>
      </c>
      <c r="E101" s="8" t="str">
        <f t="shared" si="2"/>
        <v>ventilador</v>
      </c>
      <c r="F101" s="8"/>
      <c r="G101" s="8" t="str">
        <f t="shared" si="3"/>
        <v>17.0</v>
      </c>
      <c r="H101" s="9">
        <f t="shared" si="4"/>
        <v>17</v>
      </c>
      <c r="I101" s="6" t="str">
        <f>IFERROR(__xludf.DUMMYFUNCTION("MAX(FILTER($H:$H,$E:$E=F101))"),"#N/A")</f>
        <v>#N/A</v>
      </c>
    </row>
    <row r="102">
      <c r="A102" s="4"/>
      <c r="C102" s="4" t="s">
        <v>4143</v>
      </c>
      <c r="D102" s="4" t="str">
        <f t="shared" si="1"/>
        <v>{"valorA":"fone de ouvido","valorB":15.0}</v>
      </c>
      <c r="E102" s="8" t="str">
        <f t="shared" si="2"/>
        <v>fone de ouvido</v>
      </c>
      <c r="F102" s="8"/>
      <c r="G102" s="8" t="str">
        <f t="shared" si="3"/>
        <v>15.0</v>
      </c>
      <c r="H102" s="9">
        <f t="shared" si="4"/>
        <v>15</v>
      </c>
      <c r="I102" s="6" t="str">
        <f>IFERROR(__xludf.DUMMYFUNCTION("MAX(FILTER($H:$H,$E:$E=F102))"),"#N/A")</f>
        <v>#N/A</v>
      </c>
    </row>
    <row r="103">
      <c r="A103" s="4"/>
      <c r="C103" s="4" t="s">
        <v>4144</v>
      </c>
      <c r="D103" s="4" t="str">
        <f t="shared" si="1"/>
        <v>{"valorA":"roteador","valorB":16.0}</v>
      </c>
      <c r="E103" s="8" t="str">
        <f t="shared" si="2"/>
        <v>roteador</v>
      </c>
      <c r="F103" s="8"/>
      <c r="G103" s="8" t="str">
        <f t="shared" si="3"/>
        <v>16.0</v>
      </c>
      <c r="H103" s="9">
        <f t="shared" si="4"/>
        <v>16</v>
      </c>
      <c r="I103" s="6" t="str">
        <f>IFERROR(__xludf.DUMMYFUNCTION("MAX(FILTER($H:$H,$E:$E=F103))"),"#N/A")</f>
        <v>#N/A</v>
      </c>
    </row>
    <row r="104">
      <c r="A104" s="4"/>
      <c r="C104" s="4" t="s">
        <v>4145</v>
      </c>
      <c r="D104" s="4" t="str">
        <f t="shared" si="1"/>
        <v>{"valorA":"teclado de computador","valorB":9.0}</v>
      </c>
      <c r="E104" s="8" t="str">
        <f t="shared" si="2"/>
        <v>teclado de computador</v>
      </c>
      <c r="F104" s="8"/>
      <c r="G104" s="8" t="str">
        <f t="shared" si="3"/>
        <v>9.0</v>
      </c>
      <c r="H104" s="9">
        <f t="shared" si="4"/>
        <v>9</v>
      </c>
      <c r="I104" s="6" t="str">
        <f>IFERROR(__xludf.DUMMYFUNCTION("MAX(FILTER($H:$H,$E:$E=F104))"),"#N/A")</f>
        <v>#N/A</v>
      </c>
    </row>
    <row r="105">
      <c r="A105" s="4"/>
      <c r="C105" s="4" t="s">
        <v>4146</v>
      </c>
      <c r="D105" s="4" t="str">
        <f t="shared" si="1"/>
        <v>{"valorA":"liquidificador","valorB":16.0}</v>
      </c>
      <c r="E105" s="8" t="str">
        <f t="shared" si="2"/>
        <v>liquidificador</v>
      </c>
      <c r="F105" s="8"/>
      <c r="G105" s="8" t="str">
        <f t="shared" si="3"/>
        <v>16.0</v>
      </c>
      <c r="H105" s="9">
        <f t="shared" si="4"/>
        <v>16</v>
      </c>
      <c r="I105" s="6" t="str">
        <f>IFERROR(__xludf.DUMMYFUNCTION("MAX(FILTER($H:$H,$E:$E=F105))"),"#N/A")</f>
        <v>#N/A</v>
      </c>
    </row>
    <row r="106">
      <c r="A106" s="4"/>
      <c r="C106" s="4" t="s">
        <v>4147</v>
      </c>
      <c r="D106" s="4" t="str">
        <f t="shared" si="1"/>
        <v>{"valorA":"computador","valorB":16.0}</v>
      </c>
      <c r="E106" s="8" t="str">
        <f t="shared" si="2"/>
        <v>computador</v>
      </c>
      <c r="F106" s="8"/>
      <c r="G106" s="8" t="str">
        <f t="shared" si="3"/>
        <v>16.0</v>
      </c>
      <c r="H106" s="9">
        <f t="shared" si="4"/>
        <v>16</v>
      </c>
      <c r="I106" s="6" t="str">
        <f>IFERROR(__xludf.DUMMYFUNCTION("MAX(FILTER($H:$H,$E:$E=F106))"),"#N/A")</f>
        <v>#N/A</v>
      </c>
    </row>
    <row r="107">
      <c r="A107" s="4"/>
      <c r="C107" s="4" t="s">
        <v>4148</v>
      </c>
      <c r="D107" s="4" t="str">
        <f t="shared" si="1"/>
        <v>{"valorA":"chuveiro elétrico","valorB":8.0}</v>
      </c>
      <c r="E107" s="8" t="str">
        <f t="shared" si="2"/>
        <v>chuveiro elétrico</v>
      </c>
      <c r="F107" s="8"/>
      <c r="G107" s="8" t="str">
        <f t="shared" si="3"/>
        <v>8.0</v>
      </c>
      <c r="H107" s="9">
        <f t="shared" si="4"/>
        <v>8</v>
      </c>
      <c r="I107" s="6" t="str">
        <f>IFERROR(__xludf.DUMMYFUNCTION("MAX(FILTER($H:$H,$E:$E=F107))"),"#N/A")</f>
        <v>#N/A</v>
      </c>
    </row>
    <row r="108">
      <c r="A108" s="4"/>
      <c r="C108" s="4" t="s">
        <v>4149</v>
      </c>
      <c r="D108" s="4" t="str">
        <f t="shared" si="1"/>
        <v>{"valorA":"mouse de computador","valorB":11.0}</v>
      </c>
      <c r="E108" s="8" t="str">
        <f t="shared" si="2"/>
        <v>mouse de computador</v>
      </c>
      <c r="F108" s="8"/>
      <c r="G108" s="8" t="str">
        <f t="shared" si="3"/>
        <v>11.0</v>
      </c>
      <c r="H108" s="9">
        <f t="shared" si="4"/>
        <v>11</v>
      </c>
      <c r="I108" s="6" t="str">
        <f>IFERROR(__xludf.DUMMYFUNCTION("MAX(FILTER($H:$H,$E:$E=F108))"),"#N/A")</f>
        <v>#N/A</v>
      </c>
    </row>
    <row r="109">
      <c r="A109" s="4"/>
      <c r="C109" s="4" t="s">
        <v>4150</v>
      </c>
      <c r="D109" s="4" t="str">
        <f t="shared" si="1"/>
        <v>{"valorA":"freezer","valorB":15.0}</v>
      </c>
      <c r="E109" s="8" t="str">
        <f t="shared" si="2"/>
        <v>freezer</v>
      </c>
      <c r="F109" s="8"/>
      <c r="G109" s="8" t="str">
        <f t="shared" si="3"/>
        <v>15.0</v>
      </c>
      <c r="H109" s="9">
        <f t="shared" si="4"/>
        <v>15</v>
      </c>
      <c r="I109" s="6" t="str">
        <f>IFERROR(__xludf.DUMMYFUNCTION("MAX(FILTER($H:$H,$E:$E=F109))"),"#N/A")</f>
        <v>#N/A</v>
      </c>
    </row>
    <row r="110">
      <c r="A110" s="4"/>
      <c r="C110" s="4" t="s">
        <v>4151</v>
      </c>
      <c r="D110" s="4" t="str">
        <f t="shared" si="1"/>
        <v>{"valorA":"ar condicionado","valorB":15.0}</v>
      </c>
      <c r="E110" s="8" t="str">
        <f t="shared" si="2"/>
        <v>ar condicionado</v>
      </c>
      <c r="F110" s="8"/>
      <c r="G110" s="8" t="str">
        <f t="shared" si="3"/>
        <v>15.0</v>
      </c>
      <c r="H110" s="9">
        <f t="shared" si="4"/>
        <v>15</v>
      </c>
      <c r="I110" s="6" t="str">
        <f>IFERROR(__xludf.DUMMYFUNCTION("MAX(FILTER($H:$H,$E:$E=F110))"),"#N/A")</f>
        <v>#N/A</v>
      </c>
    </row>
    <row r="111">
      <c r="A111" s="4"/>
      <c r="C111" s="4" t="s">
        <v>4152</v>
      </c>
      <c r="D111" s="4" t="str">
        <f t="shared" si="1"/>
        <v>{"valorA":"filtro de linha","valorB":16.0}</v>
      </c>
      <c r="E111" s="8" t="str">
        <f t="shared" si="2"/>
        <v>filtro de linha</v>
      </c>
      <c r="F111" s="8"/>
      <c r="G111" s="8" t="str">
        <f t="shared" si="3"/>
        <v>16.0</v>
      </c>
      <c r="H111" s="9">
        <f t="shared" si="4"/>
        <v>16</v>
      </c>
      <c r="I111" s="6" t="str">
        <f>IFERROR(__xludf.DUMMYFUNCTION("MAX(FILTER($H:$H,$E:$E=F111))"),"#N/A")</f>
        <v>#N/A</v>
      </c>
    </row>
    <row r="112">
      <c r="A112" s="4"/>
      <c r="C112" s="4" t="s">
        <v>4153</v>
      </c>
      <c r="D112" s="4" t="str">
        <f t="shared" si="1"/>
        <v>{"valorA":"fogão","valorB":17.0}</v>
      </c>
      <c r="E112" s="8" t="str">
        <f t="shared" si="2"/>
        <v>fogão</v>
      </c>
      <c r="F112" s="8"/>
      <c r="G112" s="8" t="str">
        <f t="shared" si="3"/>
        <v>17.0</v>
      </c>
      <c r="H112" s="9">
        <f t="shared" si="4"/>
        <v>17</v>
      </c>
      <c r="I112" s="6" t="str">
        <f>IFERROR(__xludf.DUMMYFUNCTION("MAX(FILTER($H:$H,$E:$E=F112))"),"#N/A")</f>
        <v>#N/A</v>
      </c>
    </row>
    <row r="113">
      <c r="A113" s="4"/>
      <c r="C113" s="4" t="s">
        <v>4154</v>
      </c>
      <c r="D113" s="4" t="str">
        <f t="shared" si="1"/>
        <v>{"valorA":"aspirador","valorB":19.0}</v>
      </c>
      <c r="E113" s="8" t="str">
        <f t="shared" si="2"/>
        <v>aspirador</v>
      </c>
      <c r="F113" s="8"/>
      <c r="G113" s="8" t="str">
        <f t="shared" si="3"/>
        <v>19.0</v>
      </c>
      <c r="H113" s="9">
        <f t="shared" si="4"/>
        <v>19</v>
      </c>
      <c r="I113" s="6" t="str">
        <f>IFERROR(__xludf.DUMMYFUNCTION("MAX(FILTER($H:$H,$E:$E=F113))"),"#N/A")</f>
        <v>#N/A</v>
      </c>
    </row>
    <row r="114">
      <c r="A114" s="4"/>
      <c r="C114" s="4" t="s">
        <v>4155</v>
      </c>
      <c r="D114" s="4" t="str">
        <f t="shared" si="1"/>
        <v>{"valorA":"carregador de celular","valorB":12.0}</v>
      </c>
      <c r="E114" s="8" t="str">
        <f t="shared" si="2"/>
        <v>carregador de celular</v>
      </c>
      <c r="F114" s="8"/>
      <c r="G114" s="8" t="str">
        <f t="shared" si="3"/>
        <v>12.0</v>
      </c>
      <c r="H114" s="9">
        <f t="shared" si="4"/>
        <v>12</v>
      </c>
      <c r="I114" s="6" t="str">
        <f>IFERROR(__xludf.DUMMYFUNCTION("MAX(FILTER($H:$H,$E:$E=F114))"),"#N/A")</f>
        <v>#N/A</v>
      </c>
    </row>
    <row r="115">
      <c r="A115" s="4"/>
      <c r="C115" s="4" t="s">
        <v>4156</v>
      </c>
      <c r="D115" s="4" t="str">
        <f t="shared" si="1"/>
        <v>{"valorA":"purificador de água","valorB":19.0}</v>
      </c>
      <c r="E115" s="8" t="str">
        <f t="shared" si="2"/>
        <v>purificador de água</v>
      </c>
      <c r="F115" s="8"/>
      <c r="G115" s="8" t="str">
        <f t="shared" si="3"/>
        <v>19.0</v>
      </c>
      <c r="H115" s="9">
        <f t="shared" si="4"/>
        <v>19</v>
      </c>
      <c r="I115" s="6" t="str">
        <f>IFERROR(__xludf.DUMMYFUNCTION("MAX(FILTER($H:$H,$E:$E=F115))"),"#N/A")</f>
        <v>#N/A</v>
      </c>
    </row>
    <row r="116">
      <c r="A116" s="4"/>
      <c r="C116" s="4" t="s">
        <v>4157</v>
      </c>
      <c r="D116" s="4" t="str">
        <f t="shared" si="1"/>
        <v>{"valorA":"lustre","valorB":14.0}</v>
      </c>
      <c r="E116" s="8" t="str">
        <f t="shared" si="2"/>
        <v>lustre</v>
      </c>
      <c r="F116" s="8"/>
      <c r="G116" s="8" t="str">
        <f t="shared" si="3"/>
        <v>14.0</v>
      </c>
      <c r="H116" s="9">
        <f t="shared" si="4"/>
        <v>14</v>
      </c>
      <c r="I116" s="6" t="str">
        <f>IFERROR(__xludf.DUMMYFUNCTION("MAX(FILTER($H:$H,$E:$E=F116))"),"#N/A")</f>
        <v>#N/A</v>
      </c>
    </row>
    <row r="117">
      <c r="A117" s="4"/>
      <c r="C117" s="4" t="s">
        <v>4158</v>
      </c>
      <c r="D117" s="4" t="str">
        <f t="shared" si="1"/>
        <v>{"valorA":"relógio","valorB":24.0}</v>
      </c>
      <c r="E117" s="8" t="str">
        <f t="shared" si="2"/>
        <v>relógio</v>
      </c>
      <c r="F117" s="8"/>
      <c r="G117" s="8" t="str">
        <f t="shared" si="3"/>
        <v>24.0</v>
      </c>
      <c r="H117" s="9">
        <f t="shared" si="4"/>
        <v>24</v>
      </c>
      <c r="I117" s="6" t="str">
        <f>IFERROR(__xludf.DUMMYFUNCTION("MAX(FILTER($H:$H,$E:$E=F117))"),"#N/A")</f>
        <v>#N/A</v>
      </c>
    </row>
    <row r="118">
      <c r="A118" s="4"/>
      <c r="C118" s="4" t="s">
        <v>4159</v>
      </c>
      <c r="D118" s="4" t="str">
        <f t="shared" si="1"/>
        <v>{"valorA":"carregador de computador","valorB":16.0}</v>
      </c>
      <c r="E118" s="8" t="str">
        <f t="shared" si="2"/>
        <v>carregador de computador</v>
      </c>
      <c r="F118" s="8"/>
      <c r="G118" s="8" t="str">
        <f t="shared" si="3"/>
        <v>16.0</v>
      </c>
      <c r="H118" s="9">
        <f t="shared" si="4"/>
        <v>16</v>
      </c>
      <c r="I118" s="6" t="str">
        <f>IFERROR(__xludf.DUMMYFUNCTION("MAX(FILTER($H:$H,$E:$E=F118))"),"#N/A")</f>
        <v>#N/A</v>
      </c>
    </row>
    <row r="119">
      <c r="A119" s="4"/>
      <c r="C119" s="4" t="s">
        <v>4160</v>
      </c>
      <c r="D119" s="4" t="str">
        <f t="shared" si="1"/>
        <v>{"valorA":"ventilador","valorB":19.0}</v>
      </c>
      <c r="E119" s="8" t="str">
        <f t="shared" si="2"/>
        <v>ventilador</v>
      </c>
      <c r="F119" s="8"/>
      <c r="G119" s="8" t="str">
        <f t="shared" si="3"/>
        <v>19.0</v>
      </c>
      <c r="H119" s="9">
        <f t="shared" si="4"/>
        <v>19</v>
      </c>
      <c r="I119" s="6" t="str">
        <f>IFERROR(__xludf.DUMMYFUNCTION("MAX(FILTER($H:$H,$E:$E=F119))"),"#N/A")</f>
        <v>#N/A</v>
      </c>
    </row>
    <row r="120">
      <c r="A120" s="4"/>
      <c r="C120" s="4" t="s">
        <v>4161</v>
      </c>
      <c r="D120" s="4" t="str">
        <f t="shared" si="1"/>
        <v>{"valorA":"fone de ouvido","valorB":20.0}</v>
      </c>
      <c r="E120" s="8" t="str">
        <f t="shared" si="2"/>
        <v>fone de ouvido</v>
      </c>
      <c r="F120" s="8"/>
      <c r="G120" s="8" t="str">
        <f t="shared" si="3"/>
        <v>20.0</v>
      </c>
      <c r="H120" s="9">
        <f t="shared" si="4"/>
        <v>20</v>
      </c>
      <c r="I120" s="6" t="str">
        <f>IFERROR(__xludf.DUMMYFUNCTION("MAX(FILTER($H:$H,$E:$E=F120))"),"#N/A")</f>
        <v>#N/A</v>
      </c>
    </row>
    <row r="121">
      <c r="A121" s="4"/>
      <c r="C121" s="4" t="s">
        <v>4162</v>
      </c>
      <c r="D121" s="4" t="str">
        <f t="shared" si="1"/>
        <v>{"valorA":"roteador","valorB":21.0}</v>
      </c>
      <c r="E121" s="8" t="str">
        <f t="shared" si="2"/>
        <v>roteador</v>
      </c>
      <c r="F121" s="8"/>
      <c r="G121" s="8" t="str">
        <f t="shared" si="3"/>
        <v>21.0</v>
      </c>
      <c r="H121" s="9">
        <f t="shared" si="4"/>
        <v>21</v>
      </c>
      <c r="I121" s="6" t="str">
        <f>IFERROR(__xludf.DUMMYFUNCTION("MAX(FILTER($H:$H,$E:$E=F121))"),"#N/A")</f>
        <v>#N/A</v>
      </c>
    </row>
    <row r="122">
      <c r="A122" s="4"/>
      <c r="C122" s="4" t="s">
        <v>4163</v>
      </c>
      <c r="D122" s="4" t="str">
        <f t="shared" si="1"/>
        <v>{"valorA":"teclado de computador","valorB":11.0}</v>
      </c>
      <c r="E122" s="8" t="str">
        <f t="shared" si="2"/>
        <v>teclado de computador</v>
      </c>
      <c r="F122" s="8"/>
      <c r="G122" s="8" t="str">
        <f t="shared" si="3"/>
        <v>11.0</v>
      </c>
      <c r="H122" s="9">
        <f t="shared" si="4"/>
        <v>11</v>
      </c>
      <c r="I122" s="6" t="str">
        <f>IFERROR(__xludf.DUMMYFUNCTION("MAX(FILTER($H:$H,$E:$E=F122))"),"#N/A")</f>
        <v>#N/A</v>
      </c>
    </row>
    <row r="123">
      <c r="A123" s="4"/>
      <c r="C123" s="4" t="s">
        <v>4164</v>
      </c>
      <c r="D123" s="4" t="str">
        <f t="shared" si="1"/>
        <v>{"valorA":"computador","valorB":19.0}</v>
      </c>
      <c r="E123" s="8" t="str">
        <f t="shared" si="2"/>
        <v>computador</v>
      </c>
      <c r="F123" s="8"/>
      <c r="G123" s="8" t="str">
        <f t="shared" si="3"/>
        <v>19.0</v>
      </c>
      <c r="H123" s="9">
        <f t="shared" si="4"/>
        <v>19</v>
      </c>
      <c r="I123" s="6" t="str">
        <f>IFERROR(__xludf.DUMMYFUNCTION("MAX(FILTER($H:$H,$E:$E=F123))"),"#N/A")</f>
        <v>#N/A</v>
      </c>
    </row>
    <row r="124">
      <c r="A124" s="4"/>
      <c r="C124" s="4" t="s">
        <v>4165</v>
      </c>
      <c r="D124" s="4" t="str">
        <f t="shared" si="1"/>
        <v>{"valorA":"liquidificador","valorB":20.0}</v>
      </c>
      <c r="E124" s="8" t="str">
        <f t="shared" si="2"/>
        <v>liquidificador</v>
      </c>
      <c r="F124" s="8"/>
      <c r="G124" s="8" t="str">
        <f t="shared" si="3"/>
        <v>20.0</v>
      </c>
      <c r="H124" s="9">
        <f t="shared" si="4"/>
        <v>20</v>
      </c>
      <c r="I124" s="6" t="str">
        <f>IFERROR(__xludf.DUMMYFUNCTION("MAX(FILTER($H:$H,$E:$E=F124))"),"#N/A")</f>
        <v>#N/A</v>
      </c>
    </row>
    <row r="125">
      <c r="A125" s="4"/>
      <c r="C125" s="4" t="s">
        <v>4166</v>
      </c>
      <c r="D125" s="4" t="str">
        <f t="shared" si="1"/>
        <v>{"valorA":"chuveiro elétrico","valorB":11.0}</v>
      </c>
      <c r="E125" s="8" t="str">
        <f t="shared" si="2"/>
        <v>chuveiro elétrico</v>
      </c>
      <c r="F125" s="8"/>
      <c r="G125" s="8" t="str">
        <f t="shared" si="3"/>
        <v>11.0</v>
      </c>
      <c r="H125" s="9">
        <f t="shared" si="4"/>
        <v>11</v>
      </c>
      <c r="I125" s="6" t="str">
        <f>IFERROR(__xludf.DUMMYFUNCTION("MAX(FILTER($H:$H,$E:$E=F125))"),"#N/A")</f>
        <v>#N/A</v>
      </c>
    </row>
    <row r="126">
      <c r="A126" s="4"/>
      <c r="C126" s="4" t="s">
        <v>4167</v>
      </c>
      <c r="D126" s="4" t="str">
        <f t="shared" si="1"/>
        <v>{"valorA":"freezer","valorB":18.0}</v>
      </c>
      <c r="E126" s="8" t="str">
        <f t="shared" si="2"/>
        <v>freezer</v>
      </c>
      <c r="F126" s="8"/>
      <c r="G126" s="8" t="str">
        <f t="shared" si="3"/>
        <v>18.0</v>
      </c>
      <c r="H126" s="9">
        <f t="shared" si="4"/>
        <v>18</v>
      </c>
      <c r="I126" s="6" t="str">
        <f>IFERROR(__xludf.DUMMYFUNCTION("MAX(FILTER($H:$H,$E:$E=F126))"),"#N/A")</f>
        <v>#N/A</v>
      </c>
    </row>
    <row r="127">
      <c r="A127" s="4"/>
      <c r="C127" s="4" t="s">
        <v>4168</v>
      </c>
      <c r="D127" s="4" t="str">
        <f t="shared" si="1"/>
        <v>{"valorA":"ar condicionado","valorB":16.0}</v>
      </c>
      <c r="E127" s="8" t="str">
        <f t="shared" si="2"/>
        <v>ar condicionado</v>
      </c>
      <c r="F127" s="8"/>
      <c r="G127" s="8" t="str">
        <f t="shared" si="3"/>
        <v>16.0</v>
      </c>
      <c r="H127" s="9">
        <f t="shared" si="4"/>
        <v>16</v>
      </c>
      <c r="I127" s="6" t="str">
        <f>IFERROR(__xludf.DUMMYFUNCTION("MAX(FILTER($H:$H,$E:$E=F127))"),"#N/A")</f>
        <v>#N/A</v>
      </c>
    </row>
    <row r="128">
      <c r="A128" s="4"/>
      <c r="C128" s="4" t="s">
        <v>4169</v>
      </c>
      <c r="D128" s="4" t="str">
        <f t="shared" si="1"/>
        <v>{"valorA":"filtro de linha","valorB":17.0}</v>
      </c>
      <c r="E128" s="8" t="str">
        <f t="shared" si="2"/>
        <v>filtro de linha</v>
      </c>
      <c r="F128" s="8"/>
      <c r="G128" s="8" t="str">
        <f t="shared" si="3"/>
        <v>17.0</v>
      </c>
      <c r="H128" s="9">
        <f t="shared" si="4"/>
        <v>17</v>
      </c>
      <c r="I128" s="6" t="str">
        <f>IFERROR(__xludf.DUMMYFUNCTION("MAX(FILTER($H:$H,$E:$E=F128))"),"#N/A")</f>
        <v>#N/A</v>
      </c>
    </row>
    <row r="129">
      <c r="A129" s="4"/>
      <c r="C129" s="4" t="s">
        <v>4170</v>
      </c>
      <c r="D129" s="4" t="str">
        <f t="shared" si="1"/>
        <v>{"valorA":"aspirador","valorB":20.0}</v>
      </c>
      <c r="E129" s="8" t="str">
        <f t="shared" si="2"/>
        <v>aspirador</v>
      </c>
      <c r="F129" s="8"/>
      <c r="G129" s="8" t="str">
        <f t="shared" si="3"/>
        <v>20.0</v>
      </c>
      <c r="H129" s="9">
        <f t="shared" si="4"/>
        <v>20</v>
      </c>
      <c r="I129" s="6" t="str">
        <f>IFERROR(__xludf.DUMMYFUNCTION("MAX(FILTER($H:$H,$E:$E=F129))"),"#N/A")</f>
        <v>#N/A</v>
      </c>
    </row>
    <row r="130">
      <c r="A130" s="4"/>
      <c r="C130" s="4" t="s">
        <v>4171</v>
      </c>
      <c r="D130" s="4" t="str">
        <f t="shared" si="1"/>
        <v>{"valorA":"fogão","valorB":21.0}</v>
      </c>
      <c r="E130" s="8" t="str">
        <f t="shared" si="2"/>
        <v>fogão</v>
      </c>
      <c r="F130" s="8"/>
      <c r="G130" s="8" t="str">
        <f t="shared" si="3"/>
        <v>21.0</v>
      </c>
      <c r="H130" s="9">
        <f t="shared" si="4"/>
        <v>21</v>
      </c>
      <c r="I130" s="6" t="str">
        <f>IFERROR(__xludf.DUMMYFUNCTION("MAX(FILTER($H:$H,$E:$E=F130))"),"#N/A")</f>
        <v>#N/A</v>
      </c>
    </row>
    <row r="131">
      <c r="A131" s="4"/>
      <c r="C131" s="4" t="s">
        <v>4172</v>
      </c>
      <c r="D131" s="4" t="str">
        <f t="shared" si="1"/>
        <v>{"valorA":"celular","valorB":14.0}</v>
      </c>
      <c r="E131" s="8" t="str">
        <f t="shared" si="2"/>
        <v>celular</v>
      </c>
      <c r="F131" s="8"/>
      <c r="G131" s="8" t="str">
        <f t="shared" si="3"/>
        <v>14.0</v>
      </c>
      <c r="H131" s="9">
        <f t="shared" si="4"/>
        <v>14</v>
      </c>
      <c r="I131" s="6" t="str">
        <f>IFERROR(__xludf.DUMMYFUNCTION("MAX(FILTER($H:$H,$E:$E=F131))"),"#N/A")</f>
        <v>#N/A</v>
      </c>
    </row>
    <row r="132">
      <c r="A132" s="4"/>
      <c r="C132" s="4" t="s">
        <v>4173</v>
      </c>
      <c r="D132" s="4" t="str">
        <f t="shared" si="1"/>
        <v>{"valorA":"carregador de celular","valorB":15.0}</v>
      </c>
      <c r="E132" s="8" t="str">
        <f t="shared" si="2"/>
        <v>carregador de celular</v>
      </c>
      <c r="F132" s="8"/>
      <c r="G132" s="8" t="str">
        <f t="shared" si="3"/>
        <v>15.0</v>
      </c>
      <c r="H132" s="9">
        <f t="shared" si="4"/>
        <v>15</v>
      </c>
      <c r="I132" s="6" t="str">
        <f>IFERROR(__xludf.DUMMYFUNCTION("MAX(FILTER($H:$H,$E:$E=F132))"),"#N/A")</f>
        <v>#N/A</v>
      </c>
    </row>
    <row r="133">
      <c r="A133" s="4"/>
      <c r="C133" s="4" t="s">
        <v>4174</v>
      </c>
      <c r="D133" s="4" t="str">
        <f t="shared" si="1"/>
        <v>{"valorA":"purificador de água","valorB":22.0}</v>
      </c>
      <c r="E133" s="8" t="str">
        <f t="shared" si="2"/>
        <v>purificador de água</v>
      </c>
      <c r="F133" s="8"/>
      <c r="G133" s="8" t="str">
        <f t="shared" si="3"/>
        <v>22.0</v>
      </c>
      <c r="H133" s="9">
        <f t="shared" si="4"/>
        <v>22</v>
      </c>
      <c r="I133" s="6" t="str">
        <f>IFERROR(__xludf.DUMMYFUNCTION("MAX(FILTER($H:$H,$E:$E=F133))"),"#N/A")</f>
        <v>#N/A</v>
      </c>
    </row>
    <row r="134">
      <c r="A134" s="4"/>
      <c r="C134" s="4" t="s">
        <v>4175</v>
      </c>
      <c r="D134" s="4" t="str">
        <f t="shared" si="1"/>
        <v>{"valorA":"lustre","valorB":15.0}</v>
      </c>
      <c r="E134" s="8" t="str">
        <f t="shared" si="2"/>
        <v>lustre</v>
      </c>
      <c r="F134" s="8"/>
      <c r="G134" s="8" t="str">
        <f t="shared" si="3"/>
        <v>15.0</v>
      </c>
      <c r="H134" s="9">
        <f t="shared" si="4"/>
        <v>15</v>
      </c>
      <c r="I134" s="6" t="str">
        <f>IFERROR(__xludf.DUMMYFUNCTION("MAX(FILTER($H:$H,$E:$E=F134))"),"#N/A")</f>
        <v>#N/A</v>
      </c>
    </row>
    <row r="135">
      <c r="A135" s="4"/>
      <c r="C135" s="4" t="s">
        <v>4176</v>
      </c>
      <c r="D135" s="4" t="str">
        <f t="shared" si="1"/>
        <v>{"valorA":"microondas","valorB":10.0}</v>
      </c>
      <c r="E135" s="8" t="str">
        <f t="shared" si="2"/>
        <v>microondas</v>
      </c>
      <c r="F135" s="8"/>
      <c r="G135" s="8" t="str">
        <f t="shared" si="3"/>
        <v>10.0</v>
      </c>
      <c r="H135" s="9">
        <f t="shared" si="4"/>
        <v>10</v>
      </c>
      <c r="I135" s="6" t="str">
        <f>IFERROR(__xludf.DUMMYFUNCTION("MAX(FILTER($H:$H,$E:$E=F135))"),"#N/A")</f>
        <v>#N/A</v>
      </c>
    </row>
    <row r="136">
      <c r="A136" s="4"/>
      <c r="C136" s="4" t="s">
        <v>4177</v>
      </c>
      <c r="D136" s="4" t="str">
        <f t="shared" si="1"/>
        <v>{"valorA":"carregador de computador","valorB":18.0}</v>
      </c>
      <c r="E136" s="8" t="str">
        <f t="shared" si="2"/>
        <v>carregador de computador</v>
      </c>
      <c r="F136" s="8"/>
      <c r="G136" s="8" t="str">
        <f t="shared" si="3"/>
        <v>18.0</v>
      </c>
      <c r="H136" s="9">
        <f t="shared" si="4"/>
        <v>18</v>
      </c>
      <c r="I136" s="6" t="str">
        <f>IFERROR(__xludf.DUMMYFUNCTION("MAX(FILTER($H:$H,$E:$E=F136))"),"#N/A")</f>
        <v>#N/A</v>
      </c>
    </row>
    <row r="137">
      <c r="A137" s="4"/>
      <c r="C137" s="4" t="s">
        <v>4178</v>
      </c>
      <c r="D137" s="4" t="str">
        <f t="shared" si="1"/>
        <v>{"valorA":"relógio","valorB":27.0}</v>
      </c>
      <c r="E137" s="8" t="str">
        <f t="shared" si="2"/>
        <v>relógio</v>
      </c>
      <c r="F137" s="8"/>
      <c r="G137" s="8" t="str">
        <f t="shared" si="3"/>
        <v>27.0</v>
      </c>
      <c r="H137" s="9">
        <f t="shared" si="4"/>
        <v>27</v>
      </c>
      <c r="I137" s="6" t="str">
        <f>IFERROR(__xludf.DUMMYFUNCTION("MAX(FILTER($H:$H,$E:$E=F137))"),"#N/A")</f>
        <v>#N/A</v>
      </c>
    </row>
    <row r="138">
      <c r="A138" s="4"/>
      <c r="C138" s="4" t="s">
        <v>4179</v>
      </c>
      <c r="D138" s="4" t="str">
        <f t="shared" si="1"/>
        <v>{"valorA":"ventilador","valorB":22.0}</v>
      </c>
      <c r="E138" s="8" t="str">
        <f t="shared" si="2"/>
        <v>ventilador</v>
      </c>
      <c r="F138" s="8"/>
      <c r="G138" s="8" t="str">
        <f t="shared" si="3"/>
        <v>22.0</v>
      </c>
      <c r="H138" s="9">
        <f t="shared" si="4"/>
        <v>22</v>
      </c>
      <c r="I138" s="6" t="str">
        <f>IFERROR(__xludf.DUMMYFUNCTION("MAX(FILTER($H:$H,$E:$E=F138))"),"#N/A")</f>
        <v>#N/A</v>
      </c>
    </row>
    <row r="139">
      <c r="A139" s="4"/>
      <c r="C139" s="4" t="s">
        <v>4180</v>
      </c>
      <c r="D139" s="4" t="str">
        <f t="shared" si="1"/>
        <v>{"valorA":"roteador","valorB":24.0}</v>
      </c>
      <c r="E139" s="8" t="str">
        <f t="shared" si="2"/>
        <v>roteador</v>
      </c>
      <c r="F139" s="8"/>
      <c r="G139" s="8" t="str">
        <f t="shared" si="3"/>
        <v>24.0</v>
      </c>
      <c r="H139" s="9">
        <f t="shared" si="4"/>
        <v>24</v>
      </c>
      <c r="I139" s="6" t="str">
        <f>IFERROR(__xludf.DUMMYFUNCTION("MAX(FILTER($H:$H,$E:$E=F139))"),"#N/A")</f>
        <v>#N/A</v>
      </c>
    </row>
    <row r="140">
      <c r="A140" s="4"/>
      <c r="C140" s="4" t="s">
        <v>4181</v>
      </c>
      <c r="D140" s="4" t="str">
        <f t="shared" si="1"/>
        <v>{"valorA":"teclado de computador","valorB":13.0}</v>
      </c>
      <c r="E140" s="8" t="str">
        <f t="shared" si="2"/>
        <v>teclado de computador</v>
      </c>
      <c r="F140" s="8"/>
      <c r="G140" s="8" t="str">
        <f t="shared" si="3"/>
        <v>13.0</v>
      </c>
      <c r="H140" s="9">
        <f t="shared" si="4"/>
        <v>13</v>
      </c>
      <c r="I140" s="6" t="str">
        <f>IFERROR(__xludf.DUMMYFUNCTION("MAX(FILTER($H:$H,$E:$E=F140))"),"#N/A")</f>
        <v>#N/A</v>
      </c>
    </row>
    <row r="141">
      <c r="A141" s="4"/>
      <c r="C141" s="4" t="s">
        <v>4182</v>
      </c>
      <c r="D141" s="4" t="str">
        <f t="shared" si="1"/>
        <v>{"valorA":"computador","valorB":22.0}</v>
      </c>
      <c r="E141" s="8" t="str">
        <f t="shared" si="2"/>
        <v>computador</v>
      </c>
      <c r="F141" s="8"/>
      <c r="G141" s="8" t="str">
        <f t="shared" si="3"/>
        <v>22.0</v>
      </c>
      <c r="H141" s="9">
        <f t="shared" si="4"/>
        <v>22</v>
      </c>
      <c r="I141" s="6" t="str">
        <f>IFERROR(__xludf.DUMMYFUNCTION("MAX(FILTER($H:$H,$E:$E=F141))"),"#N/A")</f>
        <v>#N/A</v>
      </c>
    </row>
    <row r="142">
      <c r="A142" s="4"/>
      <c r="C142" s="4" t="s">
        <v>4183</v>
      </c>
      <c r="D142" s="4" t="str">
        <f t="shared" si="1"/>
        <v>{"valorA":"liquidificador","valorB":21.0}</v>
      </c>
      <c r="E142" s="8" t="str">
        <f t="shared" si="2"/>
        <v>liquidificador</v>
      </c>
      <c r="F142" s="8"/>
      <c r="G142" s="8" t="str">
        <f t="shared" si="3"/>
        <v>21.0</v>
      </c>
      <c r="H142" s="9">
        <f t="shared" si="4"/>
        <v>21</v>
      </c>
      <c r="I142" s="6" t="str">
        <f>IFERROR(__xludf.DUMMYFUNCTION("MAX(FILTER($H:$H,$E:$E=F142))"),"#N/A")</f>
        <v>#N/A</v>
      </c>
    </row>
    <row r="143">
      <c r="A143" s="4"/>
      <c r="C143" s="4" t="s">
        <v>4184</v>
      </c>
      <c r="D143" s="4" t="str">
        <f t="shared" si="1"/>
        <v>{"valorA":"chuveiro elétrico","valorB":13.0}</v>
      </c>
      <c r="E143" s="8" t="str">
        <f t="shared" si="2"/>
        <v>chuveiro elétrico</v>
      </c>
      <c r="F143" s="8"/>
      <c r="G143" s="8" t="str">
        <f t="shared" si="3"/>
        <v>13.0</v>
      </c>
      <c r="H143" s="9">
        <f t="shared" si="4"/>
        <v>13</v>
      </c>
      <c r="I143" s="6" t="str">
        <f>IFERROR(__xludf.DUMMYFUNCTION("MAX(FILTER($H:$H,$E:$E=F143))"),"#N/A")</f>
        <v>#N/A</v>
      </c>
    </row>
    <row r="144">
      <c r="A144" s="4"/>
      <c r="C144" s="4" t="s">
        <v>4185</v>
      </c>
      <c r="D144" s="4" t="str">
        <f t="shared" si="1"/>
        <v>{"valorA":"mouse de computador","valorB":13.0}</v>
      </c>
      <c r="E144" s="8" t="str">
        <f t="shared" si="2"/>
        <v>mouse de computador</v>
      </c>
      <c r="F144" s="8"/>
      <c r="G144" s="8" t="str">
        <f t="shared" si="3"/>
        <v>13.0</v>
      </c>
      <c r="H144" s="9">
        <f t="shared" si="4"/>
        <v>13</v>
      </c>
      <c r="I144" s="6" t="str">
        <f>IFERROR(__xludf.DUMMYFUNCTION("MAX(FILTER($H:$H,$E:$E=F144))"),"#N/A")</f>
        <v>#N/A</v>
      </c>
    </row>
    <row r="145">
      <c r="A145" s="4"/>
      <c r="C145" s="4" t="s">
        <v>4186</v>
      </c>
      <c r="D145" s="4" t="str">
        <f t="shared" si="1"/>
        <v>{"valorA":"freezer","valorB":21.0}</v>
      </c>
      <c r="E145" s="8" t="str">
        <f t="shared" si="2"/>
        <v>freezer</v>
      </c>
      <c r="F145" s="8"/>
      <c r="G145" s="8" t="str">
        <f t="shared" si="3"/>
        <v>21.0</v>
      </c>
      <c r="H145" s="9">
        <f t="shared" si="4"/>
        <v>21</v>
      </c>
      <c r="I145" s="6" t="str">
        <f>IFERROR(__xludf.DUMMYFUNCTION("MAX(FILTER($H:$H,$E:$E=F145))"),"#N/A")</f>
        <v>#N/A</v>
      </c>
    </row>
    <row r="146">
      <c r="A146" s="4"/>
      <c r="C146" s="4" t="s">
        <v>4187</v>
      </c>
      <c r="D146" s="4" t="str">
        <f t="shared" si="1"/>
        <v>{"valorA":"ar condicionado","valorB":18.0}</v>
      </c>
      <c r="E146" s="8" t="str">
        <f t="shared" si="2"/>
        <v>ar condicionado</v>
      </c>
      <c r="F146" s="8"/>
      <c r="G146" s="8" t="str">
        <f t="shared" si="3"/>
        <v>18.0</v>
      </c>
      <c r="H146" s="9">
        <f t="shared" si="4"/>
        <v>18</v>
      </c>
      <c r="I146" s="6" t="str">
        <f>IFERROR(__xludf.DUMMYFUNCTION("MAX(FILTER($H:$H,$E:$E=F146))"),"#N/A")</f>
        <v>#N/A</v>
      </c>
    </row>
    <row r="147">
      <c r="A147" s="4"/>
      <c r="C147" s="4" t="s">
        <v>4188</v>
      </c>
      <c r="D147" s="4" t="str">
        <f t="shared" si="1"/>
        <v>{"valorA":"aspirador","valorB":21.0}</v>
      </c>
      <c r="E147" s="8" t="str">
        <f t="shared" si="2"/>
        <v>aspirador</v>
      </c>
      <c r="F147" s="8"/>
      <c r="G147" s="8" t="str">
        <f t="shared" si="3"/>
        <v>21.0</v>
      </c>
      <c r="H147" s="9">
        <f t="shared" si="4"/>
        <v>21</v>
      </c>
      <c r="I147" s="6" t="str">
        <f>IFERROR(__xludf.DUMMYFUNCTION("MAX(FILTER($H:$H,$E:$E=F147))"),"#N/A")</f>
        <v>#N/A</v>
      </c>
    </row>
    <row r="148">
      <c r="A148" s="4"/>
      <c r="C148" s="4" t="s">
        <v>4189</v>
      </c>
      <c r="D148" s="4" t="str">
        <f t="shared" si="1"/>
        <v>{"valorA":"fogão","valorB":22.0}</v>
      </c>
      <c r="E148" s="8" t="str">
        <f t="shared" si="2"/>
        <v>fogão</v>
      </c>
      <c r="F148" s="8"/>
      <c r="G148" s="8" t="str">
        <f t="shared" si="3"/>
        <v>22.0</v>
      </c>
      <c r="H148" s="9">
        <f t="shared" si="4"/>
        <v>22</v>
      </c>
      <c r="I148" s="6" t="str">
        <f>IFERROR(__xludf.DUMMYFUNCTION("MAX(FILTER($H:$H,$E:$E=F148))"),"#N/A")</f>
        <v>#N/A</v>
      </c>
    </row>
    <row r="149">
      <c r="A149" s="4"/>
      <c r="C149" s="4" t="s">
        <v>4190</v>
      </c>
      <c r="D149" s="4" t="str">
        <f t="shared" si="1"/>
        <v>{"valorA":"filtro de linha","valorB":22.0}</v>
      </c>
      <c r="E149" s="8" t="str">
        <f t="shared" si="2"/>
        <v>filtro de linha</v>
      </c>
      <c r="F149" s="8"/>
      <c r="G149" s="8" t="str">
        <f t="shared" si="3"/>
        <v>22.0</v>
      </c>
      <c r="H149" s="9">
        <f t="shared" si="4"/>
        <v>22</v>
      </c>
      <c r="I149" s="6" t="str">
        <f>IFERROR(__xludf.DUMMYFUNCTION("MAX(FILTER($H:$H,$E:$E=F149))"),"#N/A")</f>
        <v>#N/A</v>
      </c>
    </row>
    <row r="150">
      <c r="A150" s="4"/>
      <c r="C150" s="4" t="s">
        <v>4191</v>
      </c>
      <c r="D150" s="4" t="str">
        <f t="shared" si="1"/>
        <v>{"valorA":"celular","valorB":15.0}</v>
      </c>
      <c r="E150" s="8" t="str">
        <f t="shared" si="2"/>
        <v>celular</v>
      </c>
      <c r="F150" s="8"/>
      <c r="G150" s="8" t="str">
        <f t="shared" si="3"/>
        <v>15.0</v>
      </c>
      <c r="H150" s="9">
        <f t="shared" si="4"/>
        <v>15</v>
      </c>
      <c r="I150" s="6" t="str">
        <f>IFERROR(__xludf.DUMMYFUNCTION("MAX(FILTER($H:$H,$E:$E=F150))"),"#N/A")</f>
        <v>#N/A</v>
      </c>
    </row>
    <row r="151">
      <c r="A151" s="4"/>
      <c r="C151" s="4" t="s">
        <v>4192</v>
      </c>
      <c r="D151" s="4" t="str">
        <f t="shared" si="1"/>
        <v>{"valorA":"carregador de celular","valorB":19.0}</v>
      </c>
      <c r="E151" s="8" t="str">
        <f t="shared" si="2"/>
        <v>carregador de celular</v>
      </c>
      <c r="F151" s="8"/>
      <c r="G151" s="8" t="str">
        <f t="shared" si="3"/>
        <v>19.0</v>
      </c>
      <c r="H151" s="9">
        <f t="shared" si="4"/>
        <v>19</v>
      </c>
      <c r="I151" s="6" t="str">
        <f>IFERROR(__xludf.DUMMYFUNCTION("MAX(FILTER($H:$H,$E:$E=F151))"),"#N/A")</f>
        <v>#N/A</v>
      </c>
    </row>
    <row r="152">
      <c r="A152" s="4"/>
      <c r="C152" s="4" t="s">
        <v>4193</v>
      </c>
      <c r="D152" s="4" t="str">
        <f t="shared" si="1"/>
        <v>{"valorA":"purificador de água","valorB":25.0}</v>
      </c>
      <c r="E152" s="8" t="str">
        <f t="shared" si="2"/>
        <v>purificador de água</v>
      </c>
      <c r="F152" s="8"/>
      <c r="G152" s="8" t="str">
        <f t="shared" si="3"/>
        <v>25.0</v>
      </c>
      <c r="H152" s="9">
        <f t="shared" si="4"/>
        <v>25</v>
      </c>
      <c r="I152" s="6" t="str">
        <f>IFERROR(__xludf.DUMMYFUNCTION("MAX(FILTER($H:$H,$E:$E=F152))"),"#N/A")</f>
        <v>#N/A</v>
      </c>
    </row>
    <row r="153">
      <c r="A153" s="4"/>
      <c r="C153" s="4" t="s">
        <v>4194</v>
      </c>
      <c r="D153" s="4" t="str">
        <f t="shared" si="1"/>
        <v>{"valorA":"lustre","valorB":22.0}</v>
      </c>
      <c r="E153" s="8" t="str">
        <f t="shared" si="2"/>
        <v>lustre</v>
      </c>
      <c r="F153" s="8"/>
      <c r="G153" s="8" t="str">
        <f t="shared" si="3"/>
        <v>22.0</v>
      </c>
      <c r="H153" s="9">
        <f t="shared" si="4"/>
        <v>22</v>
      </c>
      <c r="I153" s="6" t="str">
        <f>IFERROR(__xludf.DUMMYFUNCTION("MAX(FILTER($H:$H,$E:$E=F153))"),"#N/A")</f>
        <v>#N/A</v>
      </c>
    </row>
    <row r="154">
      <c r="A154" s="4"/>
      <c r="C154" s="4" t="s">
        <v>4195</v>
      </c>
      <c r="D154" s="4" t="str">
        <f t="shared" si="1"/>
        <v>{"valorA":"microondas","valorB":11.0}</v>
      </c>
      <c r="E154" s="8" t="str">
        <f t="shared" si="2"/>
        <v>microondas</v>
      </c>
      <c r="F154" s="8"/>
      <c r="G154" s="8" t="str">
        <f t="shared" si="3"/>
        <v>11.0</v>
      </c>
      <c r="H154" s="9">
        <f t="shared" si="4"/>
        <v>11</v>
      </c>
      <c r="I154" s="6" t="str">
        <f>IFERROR(__xludf.DUMMYFUNCTION("MAX(FILTER($H:$H,$E:$E=F154))"),"#N/A")</f>
        <v>#N/A</v>
      </c>
    </row>
    <row r="155">
      <c r="A155" s="4"/>
      <c r="C155" s="4" t="s">
        <v>4196</v>
      </c>
      <c r="D155" s="4" t="str">
        <f t="shared" si="1"/>
        <v>{"valorA":"carregador de computador","valorB":21.0}</v>
      </c>
      <c r="E155" s="8" t="str">
        <f t="shared" si="2"/>
        <v>carregador de computador</v>
      </c>
      <c r="F155" s="8"/>
      <c r="G155" s="8" t="str">
        <f t="shared" si="3"/>
        <v>21.0</v>
      </c>
      <c r="H155" s="9">
        <f t="shared" si="4"/>
        <v>21</v>
      </c>
      <c r="I155" s="6" t="str">
        <f>IFERROR(__xludf.DUMMYFUNCTION("MAX(FILTER($H:$H,$E:$E=F155))"),"#N/A")</f>
        <v>#N/A</v>
      </c>
    </row>
    <row r="156">
      <c r="A156" s="4"/>
      <c r="C156" s="4" t="s">
        <v>4197</v>
      </c>
      <c r="D156" s="4" t="str">
        <f t="shared" si="1"/>
        <v>{"valorA":"ventilador","valorB":25.0}</v>
      </c>
      <c r="E156" s="8" t="str">
        <f t="shared" si="2"/>
        <v>ventilador</v>
      </c>
      <c r="F156" s="8"/>
      <c r="G156" s="8" t="str">
        <f t="shared" si="3"/>
        <v>25.0</v>
      </c>
      <c r="H156" s="9">
        <f t="shared" si="4"/>
        <v>25</v>
      </c>
      <c r="I156" s="6" t="str">
        <f>IFERROR(__xludf.DUMMYFUNCTION("MAX(FILTER($H:$H,$E:$E=F156))"),"#N/A")</f>
        <v>#N/A</v>
      </c>
    </row>
    <row r="157">
      <c r="A157" s="4"/>
      <c r="C157" s="4" t="s">
        <v>4198</v>
      </c>
      <c r="D157" s="4" t="str">
        <f t="shared" si="1"/>
        <v>{"valorA":"fone de ouvido","valorB":23.0}</v>
      </c>
      <c r="E157" s="8" t="str">
        <f t="shared" si="2"/>
        <v>fone de ouvido</v>
      </c>
      <c r="F157" s="8"/>
      <c r="G157" s="8" t="str">
        <f t="shared" si="3"/>
        <v>23.0</v>
      </c>
      <c r="H157" s="9">
        <f t="shared" si="4"/>
        <v>23</v>
      </c>
      <c r="I157" s="6" t="str">
        <f>IFERROR(__xludf.DUMMYFUNCTION("MAX(FILTER($H:$H,$E:$E=F157))"),"#N/A")</f>
        <v>#N/A</v>
      </c>
    </row>
    <row r="158">
      <c r="A158" s="4"/>
      <c r="C158" s="4" t="s">
        <v>4199</v>
      </c>
      <c r="D158" s="4" t="str">
        <f t="shared" si="1"/>
        <v>{"valorA":"roteador","valorB":25.0}</v>
      </c>
      <c r="E158" s="8" t="str">
        <f t="shared" si="2"/>
        <v>roteador</v>
      </c>
      <c r="F158" s="8"/>
      <c r="G158" s="8" t="str">
        <f t="shared" si="3"/>
        <v>25.0</v>
      </c>
      <c r="H158" s="9">
        <f t="shared" si="4"/>
        <v>25</v>
      </c>
      <c r="I158" s="6" t="str">
        <f>IFERROR(__xludf.DUMMYFUNCTION("MAX(FILTER($H:$H,$E:$E=F158))"),"#N/A")</f>
        <v>#N/A</v>
      </c>
    </row>
    <row r="159">
      <c r="A159" s="4"/>
      <c r="C159" s="4" t="s">
        <v>4200</v>
      </c>
      <c r="D159" s="4" t="str">
        <f t="shared" si="1"/>
        <v>{"valorA":"teclado de computador","valorB":14.0}</v>
      </c>
      <c r="E159" s="8" t="str">
        <f t="shared" si="2"/>
        <v>teclado de computador</v>
      </c>
      <c r="F159" s="8"/>
      <c r="G159" s="8" t="str">
        <f t="shared" si="3"/>
        <v>14.0</v>
      </c>
      <c r="H159" s="9">
        <f t="shared" si="4"/>
        <v>14</v>
      </c>
      <c r="I159" s="6" t="str">
        <f>IFERROR(__xludf.DUMMYFUNCTION("MAX(FILTER($H:$H,$E:$E=F159))"),"#N/A")</f>
        <v>#N/A</v>
      </c>
    </row>
    <row r="160">
      <c r="A160" s="4"/>
      <c r="C160" s="4" t="s">
        <v>4201</v>
      </c>
      <c r="D160" s="4" t="str">
        <f t="shared" si="1"/>
        <v>{"valorA":"computador","valorB":23.0}</v>
      </c>
      <c r="E160" s="8" t="str">
        <f t="shared" si="2"/>
        <v>computador</v>
      </c>
      <c r="F160" s="8"/>
      <c r="G160" s="8" t="str">
        <f t="shared" si="3"/>
        <v>23.0</v>
      </c>
      <c r="H160" s="9">
        <f t="shared" si="4"/>
        <v>23</v>
      </c>
      <c r="I160" s="6" t="str">
        <f>IFERROR(__xludf.DUMMYFUNCTION("MAX(FILTER($H:$H,$E:$E=F160))"),"#N/A")</f>
        <v>#N/A</v>
      </c>
    </row>
    <row r="161">
      <c r="A161" s="4"/>
      <c r="C161" s="4" t="s">
        <v>4202</v>
      </c>
      <c r="D161" s="4" t="str">
        <f t="shared" si="1"/>
        <v>{"valorA":"liquidificador","valorB":22.0}</v>
      </c>
      <c r="E161" s="8" t="str">
        <f t="shared" si="2"/>
        <v>liquidificador</v>
      </c>
      <c r="F161" s="8"/>
      <c r="G161" s="8" t="str">
        <f t="shared" si="3"/>
        <v>22.0</v>
      </c>
      <c r="H161" s="9">
        <f t="shared" si="4"/>
        <v>22</v>
      </c>
      <c r="I161" s="6" t="str">
        <f>IFERROR(__xludf.DUMMYFUNCTION("MAX(FILTER($H:$H,$E:$E=F161))"),"#N/A")</f>
        <v>#N/A</v>
      </c>
    </row>
    <row r="162">
      <c r="A162" s="4"/>
      <c r="C162" s="4" t="s">
        <v>4203</v>
      </c>
      <c r="D162" s="4" t="str">
        <f t="shared" si="1"/>
        <v>{"valorA":"chuveiro elétrico","valorB":17.0}</v>
      </c>
      <c r="E162" s="8" t="str">
        <f t="shared" si="2"/>
        <v>chuveiro elétrico</v>
      </c>
      <c r="F162" s="8"/>
      <c r="G162" s="8" t="str">
        <f t="shared" si="3"/>
        <v>17.0</v>
      </c>
      <c r="H162" s="9">
        <f t="shared" si="4"/>
        <v>17</v>
      </c>
      <c r="I162" s="6" t="str">
        <f>IFERROR(__xludf.DUMMYFUNCTION("MAX(FILTER($H:$H,$E:$E=F162))"),"#N/A")</f>
        <v>#N/A</v>
      </c>
    </row>
    <row r="163">
      <c r="A163" s="4"/>
      <c r="C163" s="4" t="s">
        <v>4204</v>
      </c>
      <c r="D163" s="4" t="str">
        <f t="shared" si="1"/>
        <v>{"valorA":"mouse de computador","valorB":15.0}</v>
      </c>
      <c r="E163" s="8" t="str">
        <f t="shared" si="2"/>
        <v>mouse de computador</v>
      </c>
      <c r="F163" s="8"/>
      <c r="G163" s="8" t="str">
        <f t="shared" si="3"/>
        <v>15.0</v>
      </c>
      <c r="H163" s="9">
        <f t="shared" si="4"/>
        <v>15</v>
      </c>
      <c r="I163" s="6" t="str">
        <f>IFERROR(__xludf.DUMMYFUNCTION("MAX(FILTER($H:$H,$E:$E=F163))"),"#N/A")</f>
        <v>#N/A</v>
      </c>
    </row>
    <row r="164">
      <c r="A164" s="4"/>
      <c r="C164" s="4" t="s">
        <v>4205</v>
      </c>
      <c r="D164" s="4" t="str">
        <f t="shared" si="1"/>
        <v>{"valorA":"freezer","valorB":22.0}</v>
      </c>
      <c r="E164" s="8" t="str">
        <f t="shared" si="2"/>
        <v>freezer</v>
      </c>
      <c r="F164" s="8"/>
      <c r="G164" s="8" t="str">
        <f t="shared" si="3"/>
        <v>22.0</v>
      </c>
      <c r="H164" s="9">
        <f t="shared" si="4"/>
        <v>22</v>
      </c>
      <c r="I164" s="6" t="str">
        <f>IFERROR(__xludf.DUMMYFUNCTION("MAX(FILTER($H:$H,$E:$E=F164))"),"#N/A")</f>
        <v>#N/A</v>
      </c>
    </row>
    <row r="165">
      <c r="A165" s="4"/>
      <c r="C165" s="4" t="s">
        <v>4206</v>
      </c>
      <c r="D165" s="4" t="str">
        <f t="shared" si="1"/>
        <v>{"valorA":"filtro de linha","valorB":23.0}</v>
      </c>
      <c r="E165" s="8" t="str">
        <f t="shared" si="2"/>
        <v>filtro de linha</v>
      </c>
      <c r="F165" s="8"/>
      <c r="G165" s="8" t="str">
        <f t="shared" si="3"/>
        <v>23.0</v>
      </c>
      <c r="H165" s="9">
        <f t="shared" si="4"/>
        <v>23</v>
      </c>
      <c r="I165" s="6" t="str">
        <f>IFERROR(__xludf.DUMMYFUNCTION("MAX(FILTER($H:$H,$E:$E=F165))"),"#N/A")</f>
        <v>#N/A</v>
      </c>
    </row>
    <row r="166">
      <c r="A166" s="4"/>
      <c r="C166" s="4" t="s">
        <v>4207</v>
      </c>
      <c r="D166" s="4" t="str">
        <f t="shared" si="1"/>
        <v>{"valorA":"aspirador","valorB":25.0}</v>
      </c>
      <c r="E166" s="8" t="str">
        <f t="shared" si="2"/>
        <v>aspirador</v>
      </c>
      <c r="F166" s="8"/>
      <c r="G166" s="8" t="str">
        <f t="shared" si="3"/>
        <v>25.0</v>
      </c>
      <c r="H166" s="9">
        <f t="shared" si="4"/>
        <v>25</v>
      </c>
      <c r="I166" s="6" t="str">
        <f>IFERROR(__xludf.DUMMYFUNCTION("MAX(FILTER($H:$H,$E:$E=F166))"),"#N/A")</f>
        <v>#N/A</v>
      </c>
    </row>
    <row r="167">
      <c r="A167" s="4"/>
      <c r="C167" s="4" t="s">
        <v>4208</v>
      </c>
      <c r="D167" s="4" t="str">
        <f t="shared" si="1"/>
        <v>{"valorA":"fogão","valorB":27.0}</v>
      </c>
      <c r="E167" s="8" t="str">
        <f t="shared" si="2"/>
        <v>fogão</v>
      </c>
      <c r="F167" s="8"/>
      <c r="G167" s="8" t="str">
        <f t="shared" si="3"/>
        <v>27.0</v>
      </c>
      <c r="H167" s="9">
        <f t="shared" si="4"/>
        <v>27</v>
      </c>
      <c r="I167" s="6" t="str">
        <f>IFERROR(__xludf.DUMMYFUNCTION("MAX(FILTER($H:$H,$E:$E=F167))"),"#N/A")</f>
        <v>#N/A</v>
      </c>
    </row>
    <row r="168">
      <c r="A168" s="4"/>
      <c r="C168" s="4" t="s">
        <v>4209</v>
      </c>
      <c r="D168" s="4" t="str">
        <f t="shared" si="1"/>
        <v>{"valorA":"celular","valorB":18.0}</v>
      </c>
      <c r="E168" s="8" t="str">
        <f t="shared" si="2"/>
        <v>celular</v>
      </c>
      <c r="F168" s="8"/>
      <c r="G168" s="8" t="str">
        <f t="shared" si="3"/>
        <v>18.0</v>
      </c>
      <c r="H168" s="9">
        <f t="shared" si="4"/>
        <v>18</v>
      </c>
      <c r="I168" s="6" t="str">
        <f>IFERROR(__xludf.DUMMYFUNCTION("MAX(FILTER($H:$H,$E:$E=F168))"),"#N/A")</f>
        <v>#N/A</v>
      </c>
    </row>
    <row r="169">
      <c r="A169" s="4"/>
      <c r="C169" s="4" t="s">
        <v>4210</v>
      </c>
      <c r="D169" s="4" t="str">
        <f t="shared" si="1"/>
        <v>{"valorA":"purificador de água","valorB":27.0}</v>
      </c>
      <c r="E169" s="8" t="str">
        <f t="shared" si="2"/>
        <v>purificador de água</v>
      </c>
      <c r="F169" s="8"/>
      <c r="G169" s="8" t="str">
        <f t="shared" si="3"/>
        <v>27.0</v>
      </c>
      <c r="H169" s="9">
        <f t="shared" si="4"/>
        <v>27</v>
      </c>
      <c r="I169" s="6" t="str">
        <f>IFERROR(__xludf.DUMMYFUNCTION("MAX(FILTER($H:$H,$E:$E=F169))"),"#N/A")</f>
        <v>#N/A</v>
      </c>
    </row>
    <row r="170">
      <c r="A170" s="4"/>
      <c r="C170" s="4" t="s">
        <v>4211</v>
      </c>
      <c r="D170" s="4" t="str">
        <f t="shared" si="1"/>
        <v>{"valorA":"lustre","valorB":24.0}</v>
      </c>
      <c r="E170" s="8" t="str">
        <f t="shared" si="2"/>
        <v>lustre</v>
      </c>
      <c r="F170" s="8"/>
      <c r="G170" s="8" t="str">
        <f t="shared" si="3"/>
        <v>24.0</v>
      </c>
      <c r="H170" s="9">
        <f t="shared" si="4"/>
        <v>24</v>
      </c>
      <c r="I170" s="6" t="str">
        <f>IFERROR(__xludf.DUMMYFUNCTION("MAX(FILTER($H:$H,$E:$E=F170))"),"#N/A")</f>
        <v>#N/A</v>
      </c>
    </row>
    <row r="171">
      <c r="A171" s="4"/>
      <c r="C171" s="4" t="s">
        <v>4212</v>
      </c>
      <c r="D171" s="4" t="str">
        <f t="shared" si="1"/>
        <v>{"valorA":"microondas","valorB":12.0}</v>
      </c>
      <c r="E171" s="8" t="str">
        <f t="shared" si="2"/>
        <v>microondas</v>
      </c>
      <c r="F171" s="8"/>
      <c r="G171" s="8" t="str">
        <f t="shared" si="3"/>
        <v>12.0</v>
      </c>
      <c r="H171" s="9">
        <f t="shared" si="4"/>
        <v>12</v>
      </c>
      <c r="I171" s="6" t="str">
        <f>IFERROR(__xludf.DUMMYFUNCTION("MAX(FILTER($H:$H,$E:$E=F171))"),"#N/A")</f>
        <v>#N/A</v>
      </c>
    </row>
    <row r="172">
      <c r="A172" s="4"/>
      <c r="C172" s="4" t="s">
        <v>4213</v>
      </c>
      <c r="D172" s="4" t="str">
        <f t="shared" si="1"/>
        <v>{"valorA":"relógio","valorB":31.0}</v>
      </c>
      <c r="E172" s="8" t="str">
        <f t="shared" si="2"/>
        <v>relógio</v>
      </c>
      <c r="F172" s="8"/>
      <c r="G172" s="8" t="str">
        <f t="shared" si="3"/>
        <v>31.0</v>
      </c>
      <c r="H172" s="9">
        <f t="shared" si="4"/>
        <v>31</v>
      </c>
      <c r="I172" s="6" t="str">
        <f>IFERROR(__xludf.DUMMYFUNCTION("MAX(FILTER($H:$H,$E:$E=F172))"),"#N/A")</f>
        <v>#N/A</v>
      </c>
    </row>
    <row r="173">
      <c r="A173" s="4"/>
      <c r="C173" s="4" t="s">
        <v>4214</v>
      </c>
      <c r="D173" s="4" t="str">
        <f t="shared" si="1"/>
        <v>{"valorA":"carregador de computador","valorB":23.0}</v>
      </c>
      <c r="E173" s="8" t="str">
        <f t="shared" si="2"/>
        <v>carregador de computador</v>
      </c>
      <c r="F173" s="8"/>
      <c r="G173" s="8" t="str">
        <f t="shared" si="3"/>
        <v>23.0</v>
      </c>
      <c r="H173" s="9">
        <f t="shared" si="4"/>
        <v>23</v>
      </c>
      <c r="I173" s="6" t="str">
        <f>IFERROR(__xludf.DUMMYFUNCTION("MAX(FILTER($H:$H,$E:$E=F173))"),"#N/A")</f>
        <v>#N/A</v>
      </c>
    </row>
    <row r="174">
      <c r="A174" s="4"/>
      <c r="C174" s="4" t="s">
        <v>4215</v>
      </c>
      <c r="D174" s="4" t="str">
        <f t="shared" si="1"/>
        <v>{"valorA":"ventilador","valorB":30.0}</v>
      </c>
      <c r="E174" s="8" t="str">
        <f t="shared" si="2"/>
        <v>ventilador</v>
      </c>
      <c r="F174" s="8"/>
      <c r="G174" s="8" t="str">
        <f t="shared" si="3"/>
        <v>30.0</v>
      </c>
      <c r="H174" s="9">
        <f t="shared" si="4"/>
        <v>30</v>
      </c>
      <c r="I174" s="6" t="str">
        <f>IFERROR(__xludf.DUMMYFUNCTION("MAX(FILTER($H:$H,$E:$E=F174))"),"#N/A")</f>
        <v>#N/A</v>
      </c>
    </row>
    <row r="175">
      <c r="A175" s="4"/>
      <c r="C175" s="4" t="s">
        <v>4216</v>
      </c>
      <c r="D175" s="4" t="str">
        <f t="shared" si="1"/>
        <v>{"valorA":"fone de ouvido","valorB":24.0}</v>
      </c>
      <c r="E175" s="8" t="str">
        <f t="shared" si="2"/>
        <v>fone de ouvido</v>
      </c>
      <c r="F175" s="8"/>
      <c r="G175" s="8" t="str">
        <f t="shared" si="3"/>
        <v>24.0</v>
      </c>
      <c r="H175" s="9">
        <f t="shared" si="4"/>
        <v>24</v>
      </c>
      <c r="I175" s="6" t="str">
        <f>IFERROR(__xludf.DUMMYFUNCTION("MAX(FILTER($H:$H,$E:$E=F175))"),"#N/A")</f>
        <v>#N/A</v>
      </c>
    </row>
    <row r="176">
      <c r="A176" s="4"/>
      <c r="C176" s="4" t="s">
        <v>4217</v>
      </c>
      <c r="D176" s="4" t="str">
        <f t="shared" si="1"/>
        <v>{"valorA":"roteador","valorB":30.0}</v>
      </c>
      <c r="E176" s="8" t="str">
        <f t="shared" si="2"/>
        <v>roteador</v>
      </c>
      <c r="F176" s="8"/>
      <c r="G176" s="8" t="str">
        <f t="shared" si="3"/>
        <v>30.0</v>
      </c>
      <c r="H176" s="9">
        <f t="shared" si="4"/>
        <v>30</v>
      </c>
      <c r="I176" s="6" t="str">
        <f>IFERROR(__xludf.DUMMYFUNCTION("MAX(FILTER($H:$H,$E:$E=F176))"),"#N/A")</f>
        <v>#N/A</v>
      </c>
    </row>
    <row r="177">
      <c r="A177" s="4"/>
      <c r="C177" s="4" t="s">
        <v>4218</v>
      </c>
      <c r="D177" s="4" t="str">
        <f t="shared" si="1"/>
        <v>{"valorA":"teclado de computador","valorB":16.0}</v>
      </c>
      <c r="E177" s="8" t="str">
        <f t="shared" si="2"/>
        <v>teclado de computador</v>
      </c>
      <c r="F177" s="8"/>
      <c r="G177" s="8" t="str">
        <f t="shared" si="3"/>
        <v>16.0</v>
      </c>
      <c r="H177" s="9">
        <f t="shared" si="4"/>
        <v>16</v>
      </c>
      <c r="I177" s="6" t="str">
        <f>IFERROR(__xludf.DUMMYFUNCTION("MAX(FILTER($H:$H,$E:$E=F177))"),"#N/A")</f>
        <v>#N/A</v>
      </c>
    </row>
    <row r="178">
      <c r="A178" s="4"/>
      <c r="C178" s="4" t="s">
        <v>4219</v>
      </c>
      <c r="D178" s="4" t="str">
        <f t="shared" si="1"/>
        <v>{"valorA":"liquidificador","valorB":23.0}</v>
      </c>
      <c r="E178" s="8" t="str">
        <f t="shared" si="2"/>
        <v>liquidificador</v>
      </c>
      <c r="F178" s="8"/>
      <c r="G178" s="8" t="str">
        <f t="shared" si="3"/>
        <v>23.0</v>
      </c>
      <c r="H178" s="9">
        <f t="shared" si="4"/>
        <v>23</v>
      </c>
      <c r="I178" s="6" t="str">
        <f>IFERROR(__xludf.DUMMYFUNCTION("MAX(FILTER($H:$H,$E:$E=F178))"),"#N/A")</f>
        <v>#N/A</v>
      </c>
    </row>
    <row r="179">
      <c r="A179" s="4"/>
      <c r="C179" s="4" t="s">
        <v>4220</v>
      </c>
      <c r="D179" s="4" t="str">
        <f t="shared" si="1"/>
        <v>{"valorA":"computador","valorB":24.0}</v>
      </c>
      <c r="E179" s="8" t="str">
        <f t="shared" si="2"/>
        <v>computador</v>
      </c>
      <c r="F179" s="8"/>
      <c r="G179" s="8" t="str">
        <f t="shared" si="3"/>
        <v>24.0</v>
      </c>
      <c r="H179" s="9">
        <f t="shared" si="4"/>
        <v>24</v>
      </c>
      <c r="I179" s="6" t="str">
        <f>IFERROR(__xludf.DUMMYFUNCTION("MAX(FILTER($H:$H,$E:$E=F179))"),"#N/A")</f>
        <v>#N/A</v>
      </c>
    </row>
    <row r="180">
      <c r="A180" s="4"/>
      <c r="C180" s="4" t="s">
        <v>4221</v>
      </c>
      <c r="D180" s="4" t="str">
        <f t="shared" si="1"/>
        <v>{"valorA":"chuveiro elétrico","valorB":20.0}</v>
      </c>
      <c r="E180" s="8" t="str">
        <f t="shared" si="2"/>
        <v>chuveiro elétrico</v>
      </c>
      <c r="F180" s="8"/>
      <c r="G180" s="8" t="str">
        <f t="shared" si="3"/>
        <v>20.0</v>
      </c>
      <c r="H180" s="9">
        <f t="shared" si="4"/>
        <v>20</v>
      </c>
      <c r="I180" s="6" t="str">
        <f>IFERROR(__xludf.DUMMYFUNCTION("MAX(FILTER($H:$H,$E:$E=F180))"),"#N/A")</f>
        <v>#N/A</v>
      </c>
    </row>
    <row r="181">
      <c r="A181" s="4"/>
      <c r="C181" s="4" t="s">
        <v>4222</v>
      </c>
      <c r="D181" s="4" t="str">
        <f t="shared" si="1"/>
        <v>{"valorA":"mouse de computador","valorB":18.0}</v>
      </c>
      <c r="E181" s="8" t="str">
        <f t="shared" si="2"/>
        <v>mouse de computador</v>
      </c>
      <c r="F181" s="8"/>
      <c r="G181" s="8" t="str">
        <f t="shared" si="3"/>
        <v>18.0</v>
      </c>
      <c r="H181" s="9">
        <f t="shared" si="4"/>
        <v>18</v>
      </c>
      <c r="I181" s="6" t="str">
        <f>IFERROR(__xludf.DUMMYFUNCTION("MAX(FILTER($H:$H,$E:$E=F181))"),"#N/A")</f>
        <v>#N/A</v>
      </c>
    </row>
    <row r="182">
      <c r="A182" s="4"/>
      <c r="C182" s="4" t="s">
        <v>4223</v>
      </c>
      <c r="D182" s="4" t="str">
        <f t="shared" si="1"/>
        <v>{"valorA":"freezer","valorB":23.0}</v>
      </c>
      <c r="E182" s="8" t="str">
        <f t="shared" si="2"/>
        <v>freezer</v>
      </c>
      <c r="F182" s="8"/>
      <c r="G182" s="8" t="str">
        <f t="shared" si="3"/>
        <v>23.0</v>
      </c>
      <c r="H182" s="9">
        <f t="shared" si="4"/>
        <v>23</v>
      </c>
      <c r="I182" s="6" t="str">
        <f>IFERROR(__xludf.DUMMYFUNCTION("MAX(FILTER($H:$H,$E:$E=F182))"),"#N/A")</f>
        <v>#N/A</v>
      </c>
    </row>
    <row r="183">
      <c r="A183" s="4"/>
      <c r="C183" s="4" t="s">
        <v>4224</v>
      </c>
      <c r="D183" s="4" t="str">
        <f t="shared" si="1"/>
        <v>{"valorA":"ar condicionado","valorB":20.0}</v>
      </c>
      <c r="E183" s="8" t="str">
        <f t="shared" si="2"/>
        <v>ar condicionado</v>
      </c>
      <c r="F183" s="8"/>
      <c r="G183" s="8" t="str">
        <f t="shared" si="3"/>
        <v>20.0</v>
      </c>
      <c r="H183" s="9">
        <f t="shared" si="4"/>
        <v>20</v>
      </c>
      <c r="I183" s="6" t="str">
        <f>IFERROR(__xludf.DUMMYFUNCTION("MAX(FILTER($H:$H,$E:$E=F183))"),"#N/A")</f>
        <v>#N/A</v>
      </c>
    </row>
    <row r="184">
      <c r="A184" s="4"/>
      <c r="C184" s="4" t="s">
        <v>4225</v>
      </c>
      <c r="D184" s="4" t="str">
        <f t="shared" si="1"/>
        <v>{"valorA":"filtro de linha","valorB":26.0}</v>
      </c>
      <c r="E184" s="8" t="str">
        <f t="shared" si="2"/>
        <v>filtro de linha</v>
      </c>
      <c r="F184" s="8"/>
      <c r="G184" s="8" t="str">
        <f t="shared" si="3"/>
        <v>26.0</v>
      </c>
      <c r="H184" s="9">
        <f t="shared" si="4"/>
        <v>26</v>
      </c>
      <c r="I184" s="6" t="str">
        <f>IFERROR(__xludf.DUMMYFUNCTION("MAX(FILTER($H:$H,$E:$E=F184))"),"#N/A")</f>
        <v>#N/A</v>
      </c>
    </row>
    <row r="185">
      <c r="A185" s="4"/>
      <c r="C185" s="4" t="s">
        <v>4226</v>
      </c>
      <c r="D185" s="4" t="str">
        <f t="shared" si="1"/>
        <v>{"valorA":"aspirador","valorB":27.0}</v>
      </c>
      <c r="E185" s="8" t="str">
        <f t="shared" si="2"/>
        <v>aspirador</v>
      </c>
      <c r="F185" s="8"/>
      <c r="G185" s="8" t="str">
        <f t="shared" si="3"/>
        <v>27.0</v>
      </c>
      <c r="H185" s="9">
        <f t="shared" si="4"/>
        <v>27</v>
      </c>
      <c r="I185" s="6" t="str">
        <f>IFERROR(__xludf.DUMMYFUNCTION("MAX(FILTER($H:$H,$E:$E=F185))"),"#N/A")</f>
        <v>#N/A</v>
      </c>
    </row>
    <row r="186">
      <c r="A186" s="4"/>
      <c r="C186" s="4" t="s">
        <v>4227</v>
      </c>
      <c r="D186" s="4" t="str">
        <f t="shared" si="1"/>
        <v>{"valorA":"fogão","valorB":29.0}</v>
      </c>
      <c r="E186" s="8" t="str">
        <f t="shared" si="2"/>
        <v>fogão</v>
      </c>
      <c r="F186" s="8"/>
      <c r="G186" s="8" t="str">
        <f t="shared" si="3"/>
        <v>29.0</v>
      </c>
      <c r="H186" s="9">
        <f t="shared" si="4"/>
        <v>29</v>
      </c>
      <c r="I186" s="6" t="str">
        <f>IFERROR(__xludf.DUMMYFUNCTION("MAX(FILTER($H:$H,$E:$E=F186))"),"#N/A")</f>
        <v>#N/A</v>
      </c>
    </row>
    <row r="187">
      <c r="A187" s="4"/>
      <c r="C187" s="4" t="s">
        <v>4228</v>
      </c>
      <c r="D187" s="4" t="str">
        <f t="shared" si="1"/>
        <v>{"valorA":"celular","valorB":20.0}</v>
      </c>
      <c r="E187" s="8" t="str">
        <f t="shared" si="2"/>
        <v>celular</v>
      </c>
      <c r="F187" s="8"/>
      <c r="G187" s="8" t="str">
        <f t="shared" si="3"/>
        <v>20.0</v>
      </c>
      <c r="H187" s="9">
        <f t="shared" si="4"/>
        <v>20</v>
      </c>
      <c r="I187" s="6" t="str">
        <f>IFERROR(__xludf.DUMMYFUNCTION("MAX(FILTER($H:$H,$E:$E=F187))"),"#N/A")</f>
        <v>#N/A</v>
      </c>
    </row>
    <row r="188">
      <c r="A188" s="4"/>
      <c r="C188" s="4" t="s">
        <v>4229</v>
      </c>
      <c r="D188" s="4" t="str">
        <f t="shared" si="1"/>
        <v>{"valorA":"carregador de celular","valorB":22.0}</v>
      </c>
      <c r="E188" s="8" t="str">
        <f t="shared" si="2"/>
        <v>carregador de celular</v>
      </c>
      <c r="F188" s="8"/>
      <c r="G188" s="8" t="str">
        <f t="shared" si="3"/>
        <v>22.0</v>
      </c>
      <c r="H188" s="9">
        <f t="shared" si="4"/>
        <v>22</v>
      </c>
      <c r="I188" s="6" t="str">
        <f>IFERROR(__xludf.DUMMYFUNCTION("MAX(FILTER($H:$H,$E:$E=F188))"),"#N/A")</f>
        <v>#N/A</v>
      </c>
    </row>
    <row r="189">
      <c r="A189" s="4"/>
      <c r="C189" s="4" t="s">
        <v>4230</v>
      </c>
      <c r="D189" s="4" t="str">
        <f t="shared" si="1"/>
        <v>{"valorA":"purificador de água","valorB":29.0}</v>
      </c>
      <c r="E189" s="8" t="str">
        <f t="shared" si="2"/>
        <v>purificador de água</v>
      </c>
      <c r="F189" s="8"/>
      <c r="G189" s="8" t="str">
        <f t="shared" si="3"/>
        <v>29.0</v>
      </c>
      <c r="H189" s="9">
        <f t="shared" si="4"/>
        <v>29</v>
      </c>
      <c r="I189" s="6" t="str">
        <f>IFERROR(__xludf.DUMMYFUNCTION("MAX(FILTER($H:$H,$E:$E=F189))"),"#N/A")</f>
        <v>#N/A</v>
      </c>
    </row>
    <row r="190">
      <c r="A190" s="4"/>
      <c r="C190" s="4" t="s">
        <v>4231</v>
      </c>
      <c r="D190" s="4" t="str">
        <f t="shared" si="1"/>
        <v>{"valorA":"lustre","valorB":29.0}</v>
      </c>
      <c r="E190" s="8" t="str">
        <f t="shared" si="2"/>
        <v>lustre</v>
      </c>
      <c r="F190" s="8"/>
      <c r="G190" s="8" t="str">
        <f t="shared" si="3"/>
        <v>29.0</v>
      </c>
      <c r="H190" s="9">
        <f t="shared" si="4"/>
        <v>29</v>
      </c>
      <c r="I190" s="6" t="str">
        <f>IFERROR(__xludf.DUMMYFUNCTION("MAX(FILTER($H:$H,$E:$E=F190))"),"#N/A")</f>
        <v>#N/A</v>
      </c>
    </row>
    <row r="191">
      <c r="A191" s="4"/>
      <c r="C191" s="4" t="s">
        <v>4232</v>
      </c>
      <c r="D191" s="4" t="str">
        <f t="shared" si="1"/>
        <v>{"valorA":"microondas","valorB":14.0}</v>
      </c>
      <c r="E191" s="8" t="str">
        <f t="shared" si="2"/>
        <v>microondas</v>
      </c>
      <c r="F191" s="8"/>
      <c r="G191" s="8" t="str">
        <f t="shared" si="3"/>
        <v>14.0</v>
      </c>
      <c r="H191" s="9">
        <f t="shared" si="4"/>
        <v>14</v>
      </c>
      <c r="I191" s="6" t="str">
        <f>IFERROR(__xludf.DUMMYFUNCTION("MAX(FILTER($H:$H,$E:$E=F191))"),"#N/A")</f>
        <v>#N/A</v>
      </c>
    </row>
    <row r="192">
      <c r="A192" s="4"/>
      <c r="C192" s="4" t="s">
        <v>4233</v>
      </c>
      <c r="D192" s="4" t="str">
        <f t="shared" si="1"/>
        <v>{"valorA":"relógio","valorB":34.0}</v>
      </c>
      <c r="E192" s="8" t="str">
        <f t="shared" si="2"/>
        <v>relógio</v>
      </c>
      <c r="F192" s="8"/>
      <c r="G192" s="8" t="str">
        <f t="shared" si="3"/>
        <v>34.0</v>
      </c>
      <c r="H192" s="9">
        <f t="shared" si="4"/>
        <v>34</v>
      </c>
      <c r="I192" s="6" t="str">
        <f>IFERROR(__xludf.DUMMYFUNCTION("MAX(FILTER($H:$H,$E:$E=F192))"),"#N/A")</f>
        <v>#N/A</v>
      </c>
    </row>
    <row r="193">
      <c r="A193" s="4"/>
      <c r="C193" s="4" t="s">
        <v>4234</v>
      </c>
      <c r="D193" s="4" t="str">
        <f t="shared" si="1"/>
        <v>{"valorA":"carregador de computador","valorB":28.0}</v>
      </c>
      <c r="E193" s="8" t="str">
        <f t="shared" si="2"/>
        <v>carregador de computador</v>
      </c>
      <c r="F193" s="8"/>
      <c r="G193" s="8" t="str">
        <f t="shared" si="3"/>
        <v>28.0</v>
      </c>
      <c r="H193" s="9">
        <f t="shared" si="4"/>
        <v>28</v>
      </c>
      <c r="I193" s="6" t="str">
        <f>IFERROR(__xludf.DUMMYFUNCTION("MAX(FILTER($H:$H,$E:$E=F193))"),"#N/A")</f>
        <v>#N/A</v>
      </c>
    </row>
    <row r="194">
      <c r="A194" s="4"/>
      <c r="C194" s="4" t="s">
        <v>4235</v>
      </c>
      <c r="D194" s="4" t="str">
        <f t="shared" si="1"/>
        <v>{"valorA":"ventilador","valorB":32.0}</v>
      </c>
      <c r="E194" s="8" t="str">
        <f t="shared" si="2"/>
        <v>ventilador</v>
      </c>
      <c r="F194" s="8"/>
      <c r="G194" s="8" t="str">
        <f t="shared" si="3"/>
        <v>32.0</v>
      </c>
      <c r="H194" s="9">
        <f t="shared" si="4"/>
        <v>32</v>
      </c>
      <c r="I194" s="6" t="str">
        <f>IFERROR(__xludf.DUMMYFUNCTION("MAX(FILTER($H:$H,$E:$E=F194))"),"#N/A")</f>
        <v>#N/A</v>
      </c>
    </row>
    <row r="195">
      <c r="A195" s="4"/>
      <c r="C195" s="4" t="s">
        <v>4236</v>
      </c>
      <c r="D195" s="4" t="str">
        <f t="shared" si="1"/>
        <v>{"valorA":"fone de ouvido","valorB":26.0}</v>
      </c>
      <c r="E195" s="8" t="str">
        <f t="shared" si="2"/>
        <v>fone de ouvido</v>
      </c>
      <c r="F195" s="8"/>
      <c r="G195" s="8" t="str">
        <f t="shared" si="3"/>
        <v>26.0</v>
      </c>
      <c r="H195" s="9">
        <f t="shared" si="4"/>
        <v>26</v>
      </c>
      <c r="I195" s="6" t="str">
        <f>IFERROR(__xludf.DUMMYFUNCTION("MAX(FILTER($H:$H,$E:$E=F195))"),"#N/A")</f>
        <v>#N/A</v>
      </c>
    </row>
    <row r="196">
      <c r="A196" s="4"/>
      <c r="C196" s="4" t="s">
        <v>4237</v>
      </c>
      <c r="D196" s="4" t="str">
        <f t="shared" si="1"/>
        <v>{"valorA":"roteador","valorB":32.0}</v>
      </c>
      <c r="E196" s="8" t="str">
        <f t="shared" si="2"/>
        <v>roteador</v>
      </c>
      <c r="F196" s="8"/>
      <c r="G196" s="8" t="str">
        <f t="shared" si="3"/>
        <v>32.0</v>
      </c>
      <c r="H196" s="9">
        <f t="shared" si="4"/>
        <v>32</v>
      </c>
      <c r="I196" s="6" t="str">
        <f>IFERROR(__xludf.DUMMYFUNCTION("MAX(FILTER($H:$H,$E:$E=F196))"),"#N/A")</f>
        <v>#N/A</v>
      </c>
    </row>
    <row r="197">
      <c r="A197" s="4"/>
      <c r="C197" s="4" t="s">
        <v>4238</v>
      </c>
      <c r="D197" s="4" t="str">
        <f t="shared" si="1"/>
        <v>{"valorA":"mouse de computador","valorB":19.0}</v>
      </c>
      <c r="E197" s="8" t="str">
        <f t="shared" si="2"/>
        <v>mouse de computador</v>
      </c>
      <c r="F197" s="8"/>
      <c r="G197" s="8" t="str">
        <f t="shared" si="3"/>
        <v>19.0</v>
      </c>
      <c r="H197" s="9">
        <f t="shared" si="4"/>
        <v>19</v>
      </c>
      <c r="I197" s="6" t="str">
        <f>IFERROR(__xludf.DUMMYFUNCTION("MAX(FILTER($H:$H,$E:$E=F197))"),"#N/A")</f>
        <v>#N/A</v>
      </c>
    </row>
    <row r="198">
      <c r="A198" s="4"/>
      <c r="C198" s="4" t="s">
        <v>4239</v>
      </c>
      <c r="D198" s="4" t="str">
        <f t="shared" si="1"/>
        <v>{"valorA":"freezer","valorB":24.0}</v>
      </c>
      <c r="E198" s="8" t="str">
        <f t="shared" si="2"/>
        <v>freezer</v>
      </c>
      <c r="F198" s="8"/>
      <c r="G198" s="8" t="str">
        <f t="shared" si="3"/>
        <v>24.0</v>
      </c>
      <c r="H198" s="9">
        <f t="shared" si="4"/>
        <v>24</v>
      </c>
      <c r="I198" s="6" t="str">
        <f>IFERROR(__xludf.DUMMYFUNCTION("MAX(FILTER($H:$H,$E:$E=F198))"),"#N/A")</f>
        <v>#N/A</v>
      </c>
    </row>
    <row r="199">
      <c r="A199" s="4"/>
      <c r="C199" s="4" t="s">
        <v>4240</v>
      </c>
      <c r="D199" s="4" t="str">
        <f t="shared" si="1"/>
        <v>{"valorA":"ar condicionado","valorB":21.0}</v>
      </c>
      <c r="E199" s="8" t="str">
        <f t="shared" si="2"/>
        <v>ar condicionado</v>
      </c>
      <c r="F199" s="8"/>
      <c r="G199" s="8" t="str">
        <f t="shared" si="3"/>
        <v>21.0</v>
      </c>
      <c r="H199" s="9">
        <f t="shared" si="4"/>
        <v>21</v>
      </c>
      <c r="I199" s="6" t="str">
        <f>IFERROR(__xludf.DUMMYFUNCTION("MAX(FILTER($H:$H,$E:$E=F199))"),"#N/A")</f>
        <v>#N/A</v>
      </c>
    </row>
    <row r="200">
      <c r="A200" s="4"/>
      <c r="C200" s="4" t="s">
        <v>4241</v>
      </c>
      <c r="D200" s="4" t="str">
        <f t="shared" si="1"/>
        <v>{"valorA":"fogão","valorB":30.0}</v>
      </c>
      <c r="E200" s="8" t="str">
        <f t="shared" si="2"/>
        <v>fogão</v>
      </c>
      <c r="F200" s="8"/>
      <c r="G200" s="8" t="str">
        <f t="shared" si="3"/>
        <v>30.0</v>
      </c>
      <c r="H200" s="9">
        <f t="shared" si="4"/>
        <v>30</v>
      </c>
      <c r="I200" s="6" t="str">
        <f>IFERROR(__xludf.DUMMYFUNCTION("MAX(FILTER($H:$H,$E:$E=F200))"),"#N/A")</f>
        <v>#N/A</v>
      </c>
    </row>
    <row r="201">
      <c r="A201" s="4"/>
      <c r="C201" s="4" t="s">
        <v>4242</v>
      </c>
      <c r="D201" s="4" t="str">
        <f t="shared" si="1"/>
        <v>{"valorA":"microondas","valorB":15.0}</v>
      </c>
      <c r="E201" s="8" t="str">
        <f t="shared" si="2"/>
        <v>microondas</v>
      </c>
      <c r="F201" s="8"/>
      <c r="G201" s="8" t="str">
        <f t="shared" si="3"/>
        <v>15.0</v>
      </c>
      <c r="H201" s="9">
        <f t="shared" si="4"/>
        <v>15</v>
      </c>
      <c r="I201" s="6" t="str">
        <f>IFERROR(__xludf.DUMMYFUNCTION("MAX(FILTER($H:$H,$E:$E=F201))"),"#N/A")</f>
        <v>#N/A</v>
      </c>
    </row>
    <row r="202">
      <c r="A202" s="4"/>
      <c r="C202" s="4" t="s">
        <v>4243</v>
      </c>
      <c r="D202" s="4" t="str">
        <f t="shared" si="1"/>
        <v>{"valorA":"ventilador","valorB":33.0}</v>
      </c>
      <c r="E202" s="8" t="str">
        <f t="shared" si="2"/>
        <v>ventilador</v>
      </c>
      <c r="F202" s="8"/>
      <c r="G202" s="8" t="str">
        <f t="shared" si="3"/>
        <v>33.0</v>
      </c>
      <c r="H202" s="9">
        <f t="shared" si="4"/>
        <v>33</v>
      </c>
      <c r="I202" s="6" t="str">
        <f>IFERROR(__xludf.DUMMYFUNCTION("MAX(FILTER($H:$H,$E:$E=F202))"),"#N/A")</f>
        <v>#N/A</v>
      </c>
    </row>
    <row r="203">
      <c r="A203" s="4"/>
      <c r="C203" s="4" t="s">
        <v>4244</v>
      </c>
      <c r="D203" s="4" t="str">
        <f t="shared" si="1"/>
        <v>{"valorA":"roteador","valorB":33.0}</v>
      </c>
      <c r="E203" s="8" t="str">
        <f t="shared" si="2"/>
        <v>roteador</v>
      </c>
      <c r="F203" s="8"/>
      <c r="G203" s="8" t="str">
        <f t="shared" si="3"/>
        <v>33.0</v>
      </c>
      <c r="H203" s="9">
        <f t="shared" si="4"/>
        <v>33</v>
      </c>
      <c r="I203" s="6" t="str">
        <f>IFERROR(__xludf.DUMMYFUNCTION("MAX(FILTER($H:$H,$E:$E=F203))"),"#N/A")</f>
        <v>#N/A</v>
      </c>
    </row>
    <row r="204">
      <c r="A204" s="4"/>
      <c r="C204" s="4" t="s">
        <v>4245</v>
      </c>
      <c r="D204" s="4" t="str">
        <f t="shared" si="1"/>
        <v>{"valorA":"teclado de computador","valorB":17.0}</v>
      </c>
      <c r="E204" s="8" t="str">
        <f t="shared" si="2"/>
        <v>teclado de computador</v>
      </c>
      <c r="F204" s="8"/>
      <c r="G204" s="8" t="str">
        <f t="shared" si="3"/>
        <v>17.0</v>
      </c>
      <c r="H204" s="9">
        <f t="shared" si="4"/>
        <v>17</v>
      </c>
      <c r="I204" s="6" t="str">
        <f>IFERROR(__xludf.DUMMYFUNCTION("MAX(FILTER($H:$H,$E:$E=F204))"),"#N/A")</f>
        <v>#N/A</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4246</v>
      </c>
      <c r="D1" s="5">
        <v>0.0</v>
      </c>
      <c r="G1" s="19" t="s">
        <v>4013</v>
      </c>
      <c r="H1" s="19" t="s">
        <v>4247</v>
      </c>
    </row>
    <row r="2">
      <c r="A2" s="4" t="s">
        <v>4248</v>
      </c>
      <c r="B2" s="6" t="str">
        <f t="shared" ref="B2:B204" si="1">MID(A2,FIND(":",A2)+1,LEN(A2)-FIND("segundos",A2))</f>
        <v>35.7727</v>
      </c>
      <c r="C2" s="6" t="str">
        <f t="shared" ref="C2:C204" si="2">SUBSTITUTE(B2,".",",")</f>
        <v>35,7727</v>
      </c>
      <c r="D2" s="6">
        <f t="shared" ref="D2:D204" si="3">VALUE(C2)</f>
        <v>35.7727</v>
      </c>
      <c r="E2" s="6">
        <f t="shared" ref="E2:E204" si="4">D2-D1</f>
        <v>35.7727</v>
      </c>
      <c r="G2" s="20">
        <f>AVERAGE(E2:E204)</f>
        <v>1.600640394</v>
      </c>
      <c r="H2" s="20">
        <f>STDEV(E2:E204)</f>
        <v>3.072186434</v>
      </c>
    </row>
    <row r="3">
      <c r="A3" s="4" t="s">
        <v>4249</v>
      </c>
      <c r="B3" s="6" t="str">
        <f t="shared" si="1"/>
        <v>35.9279</v>
      </c>
      <c r="C3" s="6" t="str">
        <f t="shared" si="2"/>
        <v>35,9279</v>
      </c>
      <c r="D3" s="6">
        <f t="shared" si="3"/>
        <v>35.9279</v>
      </c>
      <c r="E3" s="6">
        <f t="shared" si="4"/>
        <v>0.1552</v>
      </c>
    </row>
    <row r="4">
      <c r="A4" s="4" t="s">
        <v>4250</v>
      </c>
      <c r="B4" s="6" t="str">
        <f t="shared" si="1"/>
        <v>36.0819</v>
      </c>
      <c r="C4" s="6" t="str">
        <f t="shared" si="2"/>
        <v>36,0819</v>
      </c>
      <c r="D4" s="6">
        <f t="shared" si="3"/>
        <v>36.0819</v>
      </c>
      <c r="E4" s="6">
        <f t="shared" si="4"/>
        <v>0.154</v>
      </c>
    </row>
    <row r="5">
      <c r="A5" s="4" t="s">
        <v>4251</v>
      </c>
      <c r="B5" s="6" t="str">
        <f t="shared" si="1"/>
        <v>36.2773</v>
      </c>
      <c r="C5" s="6" t="str">
        <f t="shared" si="2"/>
        <v>36,2773</v>
      </c>
      <c r="D5" s="6">
        <f t="shared" si="3"/>
        <v>36.2773</v>
      </c>
      <c r="E5" s="6">
        <f t="shared" si="4"/>
        <v>0.1954</v>
      </c>
    </row>
    <row r="6">
      <c r="A6" s="4" t="s">
        <v>4252</v>
      </c>
      <c r="B6" s="6" t="str">
        <f t="shared" si="1"/>
        <v>36.5494</v>
      </c>
      <c r="C6" s="6" t="str">
        <f t="shared" si="2"/>
        <v>36,5494</v>
      </c>
      <c r="D6" s="6">
        <f t="shared" si="3"/>
        <v>36.5494</v>
      </c>
      <c r="E6" s="6">
        <f t="shared" si="4"/>
        <v>0.2721</v>
      </c>
    </row>
    <row r="7">
      <c r="A7" s="4" t="s">
        <v>4253</v>
      </c>
      <c r="B7" s="6" t="str">
        <f t="shared" si="1"/>
        <v>36.8838</v>
      </c>
      <c r="C7" s="6" t="str">
        <f t="shared" si="2"/>
        <v>36,8838</v>
      </c>
      <c r="D7" s="6">
        <f t="shared" si="3"/>
        <v>36.8838</v>
      </c>
      <c r="E7" s="6">
        <f t="shared" si="4"/>
        <v>0.3344</v>
      </c>
    </row>
    <row r="8">
      <c r="A8" s="4" t="s">
        <v>4254</v>
      </c>
      <c r="B8" s="6" t="str">
        <f t="shared" si="1"/>
        <v>37.2061</v>
      </c>
      <c r="C8" s="6" t="str">
        <f t="shared" si="2"/>
        <v>37,2061</v>
      </c>
      <c r="D8" s="6">
        <f t="shared" si="3"/>
        <v>37.2061</v>
      </c>
      <c r="E8" s="6">
        <f t="shared" si="4"/>
        <v>0.3223</v>
      </c>
    </row>
    <row r="9">
      <c r="A9" s="4" t="s">
        <v>4255</v>
      </c>
      <c r="B9" s="6" t="str">
        <f t="shared" si="1"/>
        <v>37.5669</v>
      </c>
      <c r="C9" s="6" t="str">
        <f t="shared" si="2"/>
        <v>37,5669</v>
      </c>
      <c r="D9" s="6">
        <f t="shared" si="3"/>
        <v>37.5669</v>
      </c>
      <c r="E9" s="6">
        <f t="shared" si="4"/>
        <v>0.3608</v>
      </c>
    </row>
    <row r="10">
      <c r="A10" s="4" t="s">
        <v>4256</v>
      </c>
      <c r="B10" s="6" t="str">
        <f t="shared" si="1"/>
        <v>37.9528</v>
      </c>
      <c r="C10" s="6" t="str">
        <f t="shared" si="2"/>
        <v>37,9528</v>
      </c>
      <c r="D10" s="6">
        <f t="shared" si="3"/>
        <v>37.9528</v>
      </c>
      <c r="E10" s="6">
        <f t="shared" si="4"/>
        <v>0.3859</v>
      </c>
    </row>
    <row r="11">
      <c r="A11" s="4" t="s">
        <v>4257</v>
      </c>
      <c r="B11" s="6" t="str">
        <f t="shared" si="1"/>
        <v>60.6050</v>
      </c>
      <c r="C11" s="6" t="str">
        <f t="shared" si="2"/>
        <v>60,6050</v>
      </c>
      <c r="D11" s="6">
        <f t="shared" si="3"/>
        <v>60.605</v>
      </c>
      <c r="E11" s="6">
        <f t="shared" si="4"/>
        <v>22.6522</v>
      </c>
    </row>
    <row r="12">
      <c r="A12" s="4" t="s">
        <v>4258</v>
      </c>
      <c r="B12" s="6" t="str">
        <f t="shared" si="1"/>
        <v>60.9005</v>
      </c>
      <c r="C12" s="6" t="str">
        <f t="shared" si="2"/>
        <v>60,9005</v>
      </c>
      <c r="D12" s="6">
        <f t="shared" si="3"/>
        <v>60.9005</v>
      </c>
      <c r="E12" s="6">
        <f t="shared" si="4"/>
        <v>0.2955</v>
      </c>
    </row>
    <row r="13">
      <c r="A13" s="4" t="s">
        <v>4259</v>
      </c>
      <c r="B13" s="6" t="str">
        <f t="shared" si="1"/>
        <v>62.1205</v>
      </c>
      <c r="C13" s="6" t="str">
        <f t="shared" si="2"/>
        <v>62,1205</v>
      </c>
      <c r="D13" s="6">
        <f t="shared" si="3"/>
        <v>62.1205</v>
      </c>
      <c r="E13" s="6">
        <f t="shared" si="4"/>
        <v>1.22</v>
      </c>
    </row>
    <row r="14">
      <c r="A14" s="4" t="s">
        <v>4260</v>
      </c>
      <c r="B14" s="6" t="str">
        <f t="shared" si="1"/>
        <v>63.0852</v>
      </c>
      <c r="C14" s="6" t="str">
        <f t="shared" si="2"/>
        <v>63,0852</v>
      </c>
      <c r="D14" s="6">
        <f t="shared" si="3"/>
        <v>63.0852</v>
      </c>
      <c r="E14" s="6">
        <f t="shared" si="4"/>
        <v>0.9647</v>
      </c>
    </row>
    <row r="15">
      <c r="A15" s="4" t="s">
        <v>4261</v>
      </c>
      <c r="B15" s="6" t="str">
        <f t="shared" si="1"/>
        <v>63.4441</v>
      </c>
      <c r="C15" s="6" t="str">
        <f t="shared" si="2"/>
        <v>63,4441</v>
      </c>
      <c r="D15" s="6">
        <f t="shared" si="3"/>
        <v>63.4441</v>
      </c>
      <c r="E15" s="6">
        <f t="shared" si="4"/>
        <v>0.3589</v>
      </c>
    </row>
    <row r="16">
      <c r="A16" s="4" t="s">
        <v>4262</v>
      </c>
      <c r="B16" s="6" t="str">
        <f t="shared" si="1"/>
        <v>64.7950</v>
      </c>
      <c r="C16" s="6" t="str">
        <f t="shared" si="2"/>
        <v>64,7950</v>
      </c>
      <c r="D16" s="6">
        <f t="shared" si="3"/>
        <v>64.795</v>
      </c>
      <c r="E16" s="6">
        <f t="shared" si="4"/>
        <v>1.3509</v>
      </c>
    </row>
    <row r="17">
      <c r="A17" s="4" t="s">
        <v>4263</v>
      </c>
      <c r="B17" s="6" t="str">
        <f t="shared" si="1"/>
        <v>66.2262</v>
      </c>
      <c r="C17" s="6" t="str">
        <f t="shared" si="2"/>
        <v>66,2262</v>
      </c>
      <c r="D17" s="6">
        <f t="shared" si="3"/>
        <v>66.2262</v>
      </c>
      <c r="E17" s="6">
        <f t="shared" si="4"/>
        <v>1.4312</v>
      </c>
    </row>
    <row r="18">
      <c r="A18" s="4" t="s">
        <v>4264</v>
      </c>
      <c r="B18" s="6" t="str">
        <f t="shared" si="1"/>
        <v>66.7327</v>
      </c>
      <c r="C18" s="6" t="str">
        <f t="shared" si="2"/>
        <v>66,7327</v>
      </c>
      <c r="D18" s="6">
        <f t="shared" si="3"/>
        <v>66.7327</v>
      </c>
      <c r="E18" s="6">
        <f t="shared" si="4"/>
        <v>0.5065</v>
      </c>
    </row>
    <row r="19">
      <c r="A19" s="4" t="s">
        <v>4265</v>
      </c>
      <c r="B19" s="6" t="str">
        <f t="shared" si="1"/>
        <v>67.1299</v>
      </c>
      <c r="C19" s="6" t="str">
        <f t="shared" si="2"/>
        <v>67,1299</v>
      </c>
      <c r="D19" s="6">
        <f t="shared" si="3"/>
        <v>67.1299</v>
      </c>
      <c r="E19" s="6">
        <f t="shared" si="4"/>
        <v>0.3972</v>
      </c>
    </row>
    <row r="20">
      <c r="A20" s="4" t="s">
        <v>4266</v>
      </c>
      <c r="B20" s="6" t="str">
        <f t="shared" si="1"/>
        <v>69.0828</v>
      </c>
      <c r="C20" s="6" t="str">
        <f t="shared" si="2"/>
        <v>69,0828</v>
      </c>
      <c r="D20" s="6">
        <f t="shared" si="3"/>
        <v>69.0828</v>
      </c>
      <c r="E20" s="6">
        <f t="shared" si="4"/>
        <v>1.9529</v>
      </c>
    </row>
    <row r="21">
      <c r="A21" s="4" t="s">
        <v>4267</v>
      </c>
      <c r="B21" s="6" t="str">
        <f t="shared" si="1"/>
        <v>71.6789</v>
      </c>
      <c r="C21" s="6" t="str">
        <f t="shared" si="2"/>
        <v>71,6789</v>
      </c>
      <c r="D21" s="6">
        <f t="shared" si="3"/>
        <v>71.6789</v>
      </c>
      <c r="E21" s="6">
        <f t="shared" si="4"/>
        <v>2.5961</v>
      </c>
    </row>
    <row r="22">
      <c r="A22" s="4" t="s">
        <v>4268</v>
      </c>
      <c r="B22" s="6" t="str">
        <f t="shared" si="1"/>
        <v>72.1112</v>
      </c>
      <c r="C22" s="6" t="str">
        <f t="shared" si="2"/>
        <v>72,1112</v>
      </c>
      <c r="D22" s="6">
        <f t="shared" si="3"/>
        <v>72.1112</v>
      </c>
      <c r="E22" s="6">
        <f t="shared" si="4"/>
        <v>0.4323</v>
      </c>
    </row>
    <row r="23">
      <c r="A23" s="4" t="s">
        <v>4269</v>
      </c>
      <c r="B23" s="6" t="str">
        <f t="shared" si="1"/>
        <v>73.9018</v>
      </c>
      <c r="C23" s="6" t="str">
        <f t="shared" si="2"/>
        <v>73,9018</v>
      </c>
      <c r="D23" s="6">
        <f t="shared" si="3"/>
        <v>73.9018</v>
      </c>
      <c r="E23" s="6">
        <f t="shared" si="4"/>
        <v>1.7906</v>
      </c>
    </row>
    <row r="24">
      <c r="A24" s="4" t="s">
        <v>4270</v>
      </c>
      <c r="B24" s="6" t="str">
        <f t="shared" si="1"/>
        <v>74.4052</v>
      </c>
      <c r="C24" s="6" t="str">
        <f t="shared" si="2"/>
        <v>74,4052</v>
      </c>
      <c r="D24" s="6">
        <f t="shared" si="3"/>
        <v>74.4052</v>
      </c>
      <c r="E24" s="6">
        <f t="shared" si="4"/>
        <v>0.5034</v>
      </c>
    </row>
    <row r="25">
      <c r="A25" s="4" t="s">
        <v>4271</v>
      </c>
      <c r="B25" s="6" t="str">
        <f t="shared" si="1"/>
        <v>74.8979</v>
      </c>
      <c r="C25" s="6" t="str">
        <f t="shared" si="2"/>
        <v>74,8979</v>
      </c>
      <c r="D25" s="6">
        <f t="shared" si="3"/>
        <v>74.8979</v>
      </c>
      <c r="E25" s="6">
        <f t="shared" si="4"/>
        <v>0.4927</v>
      </c>
    </row>
    <row r="26">
      <c r="A26" s="4" t="s">
        <v>4272</v>
      </c>
      <c r="B26" s="6" t="str">
        <f t="shared" si="1"/>
        <v>75.6024</v>
      </c>
      <c r="C26" s="6" t="str">
        <f t="shared" si="2"/>
        <v>75,6024</v>
      </c>
      <c r="D26" s="6">
        <f t="shared" si="3"/>
        <v>75.6024</v>
      </c>
      <c r="E26" s="6">
        <f t="shared" si="4"/>
        <v>0.7045</v>
      </c>
    </row>
    <row r="27">
      <c r="A27" s="4" t="s">
        <v>4273</v>
      </c>
      <c r="B27" s="6" t="str">
        <f t="shared" si="1"/>
        <v>77.9128</v>
      </c>
      <c r="C27" s="6" t="str">
        <f t="shared" si="2"/>
        <v>77,9128</v>
      </c>
      <c r="D27" s="6">
        <f t="shared" si="3"/>
        <v>77.9128</v>
      </c>
      <c r="E27" s="6">
        <f t="shared" si="4"/>
        <v>2.3104</v>
      </c>
    </row>
    <row r="28">
      <c r="A28" s="4" t="s">
        <v>4274</v>
      </c>
      <c r="B28" s="6" t="str">
        <f t="shared" si="1"/>
        <v>79.4396</v>
      </c>
      <c r="C28" s="6" t="str">
        <f t="shared" si="2"/>
        <v>79,4396</v>
      </c>
      <c r="D28" s="6">
        <f t="shared" si="3"/>
        <v>79.4396</v>
      </c>
      <c r="E28" s="6">
        <f t="shared" si="4"/>
        <v>1.5268</v>
      </c>
    </row>
    <row r="29">
      <c r="A29" s="4" t="s">
        <v>4275</v>
      </c>
      <c r="B29" s="6" t="str">
        <f t="shared" si="1"/>
        <v>81.9490</v>
      </c>
      <c r="C29" s="6" t="str">
        <f t="shared" si="2"/>
        <v>81,9490</v>
      </c>
      <c r="D29" s="6">
        <f t="shared" si="3"/>
        <v>81.949</v>
      </c>
      <c r="E29" s="6">
        <f t="shared" si="4"/>
        <v>2.5094</v>
      </c>
    </row>
    <row r="30">
      <c r="A30" s="4" t="s">
        <v>4276</v>
      </c>
      <c r="B30" s="6" t="str">
        <f t="shared" si="1"/>
        <v>85.8422</v>
      </c>
      <c r="C30" s="6" t="str">
        <f t="shared" si="2"/>
        <v>85,8422</v>
      </c>
      <c r="D30" s="6">
        <f t="shared" si="3"/>
        <v>85.8422</v>
      </c>
      <c r="E30" s="6">
        <f t="shared" si="4"/>
        <v>3.8932</v>
      </c>
    </row>
    <row r="31">
      <c r="A31" s="4" t="s">
        <v>4277</v>
      </c>
      <c r="B31" s="6" t="str">
        <f t="shared" si="1"/>
        <v>86.3574</v>
      </c>
      <c r="C31" s="6" t="str">
        <f t="shared" si="2"/>
        <v>86,3574</v>
      </c>
      <c r="D31" s="6">
        <f t="shared" si="3"/>
        <v>86.3574</v>
      </c>
      <c r="E31" s="6">
        <f t="shared" si="4"/>
        <v>0.5152</v>
      </c>
    </row>
    <row r="32">
      <c r="A32" s="4" t="s">
        <v>4278</v>
      </c>
      <c r="B32" s="6" t="str">
        <f t="shared" si="1"/>
        <v>87.7352</v>
      </c>
      <c r="C32" s="6" t="str">
        <f t="shared" si="2"/>
        <v>87,7352</v>
      </c>
      <c r="D32" s="6">
        <f t="shared" si="3"/>
        <v>87.7352</v>
      </c>
      <c r="E32" s="6">
        <f t="shared" si="4"/>
        <v>1.3778</v>
      </c>
    </row>
    <row r="33">
      <c r="A33" s="4" t="s">
        <v>4279</v>
      </c>
      <c r="B33" s="6" t="str">
        <f t="shared" si="1"/>
        <v>88.7760</v>
      </c>
      <c r="C33" s="6" t="str">
        <f t="shared" si="2"/>
        <v>88,7760</v>
      </c>
      <c r="D33" s="6">
        <f t="shared" si="3"/>
        <v>88.776</v>
      </c>
      <c r="E33" s="6">
        <f t="shared" si="4"/>
        <v>1.0408</v>
      </c>
    </row>
    <row r="34">
      <c r="A34" s="4" t="s">
        <v>4280</v>
      </c>
      <c r="B34" s="6" t="str">
        <f t="shared" si="1"/>
        <v>89.3236</v>
      </c>
      <c r="C34" s="6" t="str">
        <f t="shared" si="2"/>
        <v>89,3236</v>
      </c>
      <c r="D34" s="6">
        <f t="shared" si="3"/>
        <v>89.3236</v>
      </c>
      <c r="E34" s="6">
        <f t="shared" si="4"/>
        <v>0.5476</v>
      </c>
    </row>
    <row r="35">
      <c r="A35" s="4" t="s">
        <v>4281</v>
      </c>
      <c r="B35" s="6" t="str">
        <f t="shared" si="1"/>
        <v>90.5155</v>
      </c>
      <c r="C35" s="6" t="str">
        <f t="shared" si="2"/>
        <v>90,5155</v>
      </c>
      <c r="D35" s="6">
        <f t="shared" si="3"/>
        <v>90.5155</v>
      </c>
      <c r="E35" s="6">
        <f t="shared" si="4"/>
        <v>1.1919</v>
      </c>
    </row>
    <row r="36">
      <c r="A36" s="4" t="s">
        <v>4282</v>
      </c>
      <c r="B36" s="6" t="str">
        <f t="shared" si="1"/>
        <v>92.0314</v>
      </c>
      <c r="C36" s="6" t="str">
        <f t="shared" si="2"/>
        <v>92,0314</v>
      </c>
      <c r="D36" s="6">
        <f t="shared" si="3"/>
        <v>92.0314</v>
      </c>
      <c r="E36" s="6">
        <f t="shared" si="4"/>
        <v>1.5159</v>
      </c>
    </row>
    <row r="37">
      <c r="A37" s="4" t="s">
        <v>4283</v>
      </c>
      <c r="B37" s="6" t="str">
        <f t="shared" si="1"/>
        <v>92.6196</v>
      </c>
      <c r="C37" s="6" t="str">
        <f t="shared" si="2"/>
        <v>92,6196</v>
      </c>
      <c r="D37" s="6">
        <f t="shared" si="3"/>
        <v>92.6196</v>
      </c>
      <c r="E37" s="6">
        <f t="shared" si="4"/>
        <v>0.5882</v>
      </c>
    </row>
    <row r="38">
      <c r="A38" s="4" t="s">
        <v>4284</v>
      </c>
      <c r="B38" s="6" t="str">
        <f t="shared" si="1"/>
        <v>93.2125</v>
      </c>
      <c r="C38" s="6" t="str">
        <f t="shared" si="2"/>
        <v>93,2125</v>
      </c>
      <c r="D38" s="6">
        <f t="shared" si="3"/>
        <v>93.2125</v>
      </c>
      <c r="E38" s="6">
        <f t="shared" si="4"/>
        <v>0.5929</v>
      </c>
    </row>
    <row r="39">
      <c r="A39" s="4" t="s">
        <v>4285</v>
      </c>
      <c r="B39" s="6" t="str">
        <f t="shared" si="1"/>
        <v>93.7368</v>
      </c>
      <c r="C39" s="6" t="str">
        <f t="shared" si="2"/>
        <v>93,7368</v>
      </c>
      <c r="D39" s="6">
        <f t="shared" si="3"/>
        <v>93.7368</v>
      </c>
      <c r="E39" s="6">
        <f t="shared" si="4"/>
        <v>0.5243</v>
      </c>
    </row>
    <row r="40">
      <c r="A40" s="4" t="s">
        <v>4286</v>
      </c>
      <c r="B40" s="6" t="str">
        <f t="shared" si="1"/>
        <v>95.1172</v>
      </c>
      <c r="C40" s="6" t="str">
        <f t="shared" si="2"/>
        <v>95,1172</v>
      </c>
      <c r="D40" s="6">
        <f t="shared" si="3"/>
        <v>95.1172</v>
      </c>
      <c r="E40" s="6">
        <f t="shared" si="4"/>
        <v>1.3804</v>
      </c>
    </row>
    <row r="41">
      <c r="A41" s="4" t="s">
        <v>4287</v>
      </c>
      <c r="B41" s="6" t="str">
        <f t="shared" si="1"/>
        <v>97.8219</v>
      </c>
      <c r="C41" s="6" t="str">
        <f t="shared" si="2"/>
        <v>97,8219</v>
      </c>
      <c r="D41" s="6">
        <f t="shared" si="3"/>
        <v>97.8219</v>
      </c>
      <c r="E41" s="6">
        <f t="shared" si="4"/>
        <v>2.7047</v>
      </c>
    </row>
    <row r="42">
      <c r="A42" s="4" t="s">
        <v>4288</v>
      </c>
      <c r="B42" s="6" t="str">
        <f t="shared" si="1"/>
        <v>98.4792</v>
      </c>
      <c r="C42" s="6" t="str">
        <f t="shared" si="2"/>
        <v>98,4792</v>
      </c>
      <c r="D42" s="6">
        <f t="shared" si="3"/>
        <v>98.4792</v>
      </c>
      <c r="E42" s="6">
        <f t="shared" si="4"/>
        <v>0.6573</v>
      </c>
    </row>
    <row r="43">
      <c r="A43" s="4" t="s">
        <v>4289</v>
      </c>
      <c r="B43" s="6" t="str">
        <f t="shared" si="1"/>
        <v>100.455</v>
      </c>
      <c r="C43" s="6" t="str">
        <f t="shared" si="2"/>
        <v>100,455</v>
      </c>
      <c r="D43" s="6">
        <f t="shared" si="3"/>
        <v>100.455</v>
      </c>
      <c r="E43" s="6">
        <f t="shared" si="4"/>
        <v>1.9758</v>
      </c>
    </row>
    <row r="44">
      <c r="A44" s="4" t="s">
        <v>4290</v>
      </c>
      <c r="B44" s="6" t="str">
        <f t="shared" si="1"/>
        <v>100.962</v>
      </c>
      <c r="C44" s="6" t="str">
        <f t="shared" si="2"/>
        <v>100,962</v>
      </c>
      <c r="D44" s="6">
        <f t="shared" si="3"/>
        <v>100.962</v>
      </c>
      <c r="E44" s="6">
        <f t="shared" si="4"/>
        <v>0.507</v>
      </c>
    </row>
    <row r="45">
      <c r="A45" s="4" t="s">
        <v>4291</v>
      </c>
      <c r="B45" s="6" t="str">
        <f t="shared" si="1"/>
        <v>101.571</v>
      </c>
      <c r="C45" s="6" t="str">
        <f t="shared" si="2"/>
        <v>101,571</v>
      </c>
      <c r="D45" s="6">
        <f t="shared" si="3"/>
        <v>101.571</v>
      </c>
      <c r="E45" s="6">
        <f t="shared" si="4"/>
        <v>0.609</v>
      </c>
    </row>
    <row r="46">
      <c r="A46" s="4" t="s">
        <v>4292</v>
      </c>
      <c r="B46" s="6" t="str">
        <f t="shared" si="1"/>
        <v>102.144</v>
      </c>
      <c r="C46" s="6" t="str">
        <f t="shared" si="2"/>
        <v>102,144</v>
      </c>
      <c r="D46" s="6">
        <f t="shared" si="3"/>
        <v>102.144</v>
      </c>
      <c r="E46" s="6">
        <f t="shared" si="4"/>
        <v>0.573</v>
      </c>
    </row>
    <row r="47">
      <c r="A47" s="4" t="s">
        <v>4293</v>
      </c>
      <c r="B47" s="6" t="str">
        <f t="shared" si="1"/>
        <v>103.970</v>
      </c>
      <c r="C47" s="6" t="str">
        <f t="shared" si="2"/>
        <v>103,970</v>
      </c>
      <c r="D47" s="6">
        <f t="shared" si="3"/>
        <v>103.97</v>
      </c>
      <c r="E47" s="6">
        <f t="shared" si="4"/>
        <v>1.826</v>
      </c>
    </row>
    <row r="48">
      <c r="A48" s="4" t="s">
        <v>4294</v>
      </c>
      <c r="B48" s="6" t="str">
        <f t="shared" si="1"/>
        <v>105.663</v>
      </c>
      <c r="C48" s="6" t="str">
        <f t="shared" si="2"/>
        <v>105,663</v>
      </c>
      <c r="D48" s="6">
        <f t="shared" si="3"/>
        <v>105.663</v>
      </c>
      <c r="E48" s="6">
        <f t="shared" si="4"/>
        <v>1.693</v>
      </c>
    </row>
    <row r="49">
      <c r="A49" s="4" t="s">
        <v>4295</v>
      </c>
      <c r="B49" s="6" t="str">
        <f t="shared" si="1"/>
        <v>107.718</v>
      </c>
      <c r="C49" s="6" t="str">
        <f t="shared" si="2"/>
        <v>107,718</v>
      </c>
      <c r="D49" s="6">
        <f t="shared" si="3"/>
        <v>107.718</v>
      </c>
      <c r="E49" s="6">
        <f t="shared" si="4"/>
        <v>2.055</v>
      </c>
    </row>
    <row r="50">
      <c r="A50" s="4" t="s">
        <v>4296</v>
      </c>
      <c r="B50" s="6" t="str">
        <f t="shared" si="1"/>
        <v>112.200</v>
      </c>
      <c r="C50" s="6" t="str">
        <f t="shared" si="2"/>
        <v>112,200</v>
      </c>
      <c r="D50" s="6">
        <f t="shared" si="3"/>
        <v>112.2</v>
      </c>
      <c r="E50" s="6">
        <f t="shared" si="4"/>
        <v>4.482</v>
      </c>
    </row>
    <row r="51">
      <c r="A51" s="4" t="s">
        <v>4297</v>
      </c>
      <c r="B51" s="6" t="str">
        <f t="shared" si="1"/>
        <v>112.763</v>
      </c>
      <c r="C51" s="6" t="str">
        <f t="shared" si="2"/>
        <v>112,763</v>
      </c>
      <c r="D51" s="6">
        <f t="shared" si="3"/>
        <v>112.763</v>
      </c>
      <c r="E51" s="6">
        <f t="shared" si="4"/>
        <v>0.563</v>
      </c>
    </row>
    <row r="52">
      <c r="A52" s="4" t="s">
        <v>4298</v>
      </c>
      <c r="B52" s="6" t="str">
        <f t="shared" si="1"/>
        <v>115.259</v>
      </c>
      <c r="C52" s="6" t="str">
        <f t="shared" si="2"/>
        <v>115,259</v>
      </c>
      <c r="D52" s="6">
        <f t="shared" si="3"/>
        <v>115.259</v>
      </c>
      <c r="E52" s="6">
        <f t="shared" si="4"/>
        <v>2.496</v>
      </c>
    </row>
    <row r="53">
      <c r="A53" s="4" t="s">
        <v>4299</v>
      </c>
      <c r="B53" s="6" t="str">
        <f t="shared" si="1"/>
        <v>116.977</v>
      </c>
      <c r="C53" s="6" t="str">
        <f t="shared" si="2"/>
        <v>116,977</v>
      </c>
      <c r="D53" s="6">
        <f t="shared" si="3"/>
        <v>116.977</v>
      </c>
      <c r="E53" s="6">
        <f t="shared" si="4"/>
        <v>1.718</v>
      </c>
    </row>
    <row r="54">
      <c r="A54" s="4" t="s">
        <v>4300</v>
      </c>
      <c r="B54" s="6" t="str">
        <f t="shared" si="1"/>
        <v>118.261</v>
      </c>
      <c r="C54" s="6" t="str">
        <f t="shared" si="2"/>
        <v>118,261</v>
      </c>
      <c r="D54" s="6">
        <f t="shared" si="3"/>
        <v>118.261</v>
      </c>
      <c r="E54" s="6">
        <f t="shared" si="4"/>
        <v>1.284</v>
      </c>
    </row>
    <row r="55">
      <c r="A55" s="4" t="s">
        <v>4301</v>
      </c>
      <c r="B55" s="6" t="str">
        <f t="shared" si="1"/>
        <v>118.682</v>
      </c>
      <c r="C55" s="6" t="str">
        <f t="shared" si="2"/>
        <v>118,682</v>
      </c>
      <c r="D55" s="6">
        <f t="shared" si="3"/>
        <v>118.682</v>
      </c>
      <c r="E55" s="6">
        <f t="shared" si="4"/>
        <v>0.421</v>
      </c>
    </row>
    <row r="56">
      <c r="A56" s="4" t="s">
        <v>4302</v>
      </c>
      <c r="B56" s="6" t="str">
        <f t="shared" si="1"/>
        <v>119.031</v>
      </c>
      <c r="C56" s="6" t="str">
        <f t="shared" si="2"/>
        <v>119,031</v>
      </c>
      <c r="D56" s="6">
        <f t="shared" si="3"/>
        <v>119.031</v>
      </c>
      <c r="E56" s="6">
        <f t="shared" si="4"/>
        <v>0.349</v>
      </c>
    </row>
    <row r="57">
      <c r="A57" s="4" t="s">
        <v>4303</v>
      </c>
      <c r="B57" s="6" t="str">
        <f t="shared" si="1"/>
        <v>119.687</v>
      </c>
      <c r="C57" s="6" t="str">
        <f t="shared" si="2"/>
        <v>119,687</v>
      </c>
      <c r="D57" s="6">
        <f t="shared" si="3"/>
        <v>119.687</v>
      </c>
      <c r="E57" s="6">
        <f t="shared" si="4"/>
        <v>0.656</v>
      </c>
    </row>
    <row r="58">
      <c r="A58" s="4" t="s">
        <v>4304</v>
      </c>
      <c r="B58" s="6" t="str">
        <f t="shared" si="1"/>
        <v>121.496</v>
      </c>
      <c r="C58" s="6" t="str">
        <f t="shared" si="2"/>
        <v>121,496</v>
      </c>
      <c r="D58" s="6">
        <f t="shared" si="3"/>
        <v>121.496</v>
      </c>
      <c r="E58" s="6">
        <f t="shared" si="4"/>
        <v>1.809</v>
      </c>
    </row>
    <row r="59">
      <c r="A59" s="4" t="s">
        <v>4305</v>
      </c>
      <c r="B59" s="6" t="str">
        <f t="shared" si="1"/>
        <v>124.284</v>
      </c>
      <c r="C59" s="6" t="str">
        <f t="shared" si="2"/>
        <v>124,284</v>
      </c>
      <c r="D59" s="6">
        <f t="shared" si="3"/>
        <v>124.284</v>
      </c>
      <c r="E59" s="6">
        <f t="shared" si="4"/>
        <v>2.788</v>
      </c>
    </row>
    <row r="60">
      <c r="A60" s="4" t="s">
        <v>4306</v>
      </c>
      <c r="B60" s="6" t="str">
        <f t="shared" si="1"/>
        <v>124.868</v>
      </c>
      <c r="C60" s="6" t="str">
        <f t="shared" si="2"/>
        <v>124,868</v>
      </c>
      <c r="D60" s="6">
        <f t="shared" si="3"/>
        <v>124.868</v>
      </c>
      <c r="E60" s="6">
        <f t="shared" si="4"/>
        <v>0.584</v>
      </c>
    </row>
    <row r="61">
      <c r="A61" s="4" t="s">
        <v>4307</v>
      </c>
      <c r="B61" s="6" t="str">
        <f t="shared" si="1"/>
        <v>126.797</v>
      </c>
      <c r="C61" s="6" t="str">
        <f t="shared" si="2"/>
        <v>126,797</v>
      </c>
      <c r="D61" s="6">
        <f t="shared" si="3"/>
        <v>126.797</v>
      </c>
      <c r="E61" s="6">
        <f t="shared" si="4"/>
        <v>1.929</v>
      </c>
    </row>
    <row r="62">
      <c r="A62" s="4" t="s">
        <v>4308</v>
      </c>
      <c r="B62" s="6" t="str">
        <f t="shared" si="1"/>
        <v>127.290</v>
      </c>
      <c r="C62" s="6" t="str">
        <f t="shared" si="2"/>
        <v>127,290</v>
      </c>
      <c r="D62" s="6">
        <f t="shared" si="3"/>
        <v>127.29</v>
      </c>
      <c r="E62" s="6">
        <f t="shared" si="4"/>
        <v>0.493</v>
      </c>
    </row>
    <row r="63">
      <c r="A63" s="4" t="s">
        <v>4309</v>
      </c>
      <c r="B63" s="6" t="str">
        <f t="shared" si="1"/>
        <v>127.880</v>
      </c>
      <c r="C63" s="6" t="str">
        <f t="shared" si="2"/>
        <v>127,880</v>
      </c>
      <c r="D63" s="6">
        <f t="shared" si="3"/>
        <v>127.88</v>
      </c>
      <c r="E63" s="6">
        <f t="shared" si="4"/>
        <v>0.59</v>
      </c>
    </row>
    <row r="64">
      <c r="A64" s="4" t="s">
        <v>4310</v>
      </c>
      <c r="B64" s="6" t="str">
        <f t="shared" si="1"/>
        <v>130.046</v>
      </c>
      <c r="C64" s="6" t="str">
        <f t="shared" si="2"/>
        <v>130,046</v>
      </c>
      <c r="D64" s="6">
        <f t="shared" si="3"/>
        <v>130.046</v>
      </c>
      <c r="E64" s="6">
        <f t="shared" si="4"/>
        <v>2.166</v>
      </c>
    </row>
    <row r="65">
      <c r="A65" s="4" t="s">
        <v>4311</v>
      </c>
      <c r="B65" s="6" t="str">
        <f t="shared" si="1"/>
        <v>131.249</v>
      </c>
      <c r="C65" s="6" t="str">
        <f t="shared" si="2"/>
        <v>131,249</v>
      </c>
      <c r="D65" s="6">
        <f t="shared" si="3"/>
        <v>131.249</v>
      </c>
      <c r="E65" s="6">
        <f t="shared" si="4"/>
        <v>1.203</v>
      </c>
    </row>
    <row r="66">
      <c r="A66" s="4" t="s">
        <v>4312</v>
      </c>
      <c r="B66" s="6" t="str">
        <f t="shared" si="1"/>
        <v>133.248</v>
      </c>
      <c r="C66" s="6" t="str">
        <f t="shared" si="2"/>
        <v>133,248</v>
      </c>
      <c r="D66" s="6">
        <f t="shared" si="3"/>
        <v>133.248</v>
      </c>
      <c r="E66" s="6">
        <f t="shared" si="4"/>
        <v>1.999</v>
      </c>
    </row>
    <row r="67">
      <c r="A67" s="4" t="s">
        <v>4313</v>
      </c>
      <c r="B67" s="6" t="str">
        <f t="shared" si="1"/>
        <v>137.107</v>
      </c>
      <c r="C67" s="6" t="str">
        <f t="shared" si="2"/>
        <v>137,107</v>
      </c>
      <c r="D67" s="6">
        <f t="shared" si="3"/>
        <v>137.107</v>
      </c>
      <c r="E67" s="6">
        <f t="shared" si="4"/>
        <v>3.859</v>
      </c>
    </row>
    <row r="68">
      <c r="A68" s="4" t="s">
        <v>4314</v>
      </c>
      <c r="B68" s="6" t="str">
        <f t="shared" si="1"/>
        <v>137.600</v>
      </c>
      <c r="C68" s="6" t="str">
        <f t="shared" si="2"/>
        <v>137,600</v>
      </c>
      <c r="D68" s="6">
        <f t="shared" si="3"/>
        <v>137.6</v>
      </c>
      <c r="E68" s="6">
        <f t="shared" si="4"/>
        <v>0.493</v>
      </c>
    </row>
    <row r="69">
      <c r="A69" s="4" t="s">
        <v>4315</v>
      </c>
      <c r="B69" s="6" t="str">
        <f t="shared" si="1"/>
        <v>138.623</v>
      </c>
      <c r="C69" s="6" t="str">
        <f t="shared" si="2"/>
        <v>138,623</v>
      </c>
      <c r="D69" s="6">
        <f t="shared" si="3"/>
        <v>138.623</v>
      </c>
      <c r="E69" s="6">
        <f t="shared" si="4"/>
        <v>1.023</v>
      </c>
    </row>
    <row r="70">
      <c r="A70" s="4" t="s">
        <v>4316</v>
      </c>
      <c r="B70" s="6" t="str">
        <f t="shared" si="1"/>
        <v>139.624</v>
      </c>
      <c r="C70" s="6" t="str">
        <f t="shared" si="2"/>
        <v>139,624</v>
      </c>
      <c r="D70" s="6">
        <f t="shared" si="3"/>
        <v>139.624</v>
      </c>
      <c r="E70" s="6">
        <f t="shared" si="4"/>
        <v>1.001</v>
      </c>
    </row>
    <row r="71">
      <c r="A71" s="4" t="s">
        <v>4317</v>
      </c>
      <c r="B71" s="6" t="str">
        <f t="shared" si="1"/>
        <v>140.256</v>
      </c>
      <c r="C71" s="6" t="str">
        <f t="shared" si="2"/>
        <v>140,256</v>
      </c>
      <c r="D71" s="6">
        <f t="shared" si="3"/>
        <v>140.256</v>
      </c>
      <c r="E71" s="6">
        <f t="shared" si="4"/>
        <v>0.632</v>
      </c>
    </row>
    <row r="72">
      <c r="A72" s="4" t="s">
        <v>4318</v>
      </c>
      <c r="B72" s="6" t="str">
        <f t="shared" si="1"/>
        <v>141.195</v>
      </c>
      <c r="C72" s="6" t="str">
        <f t="shared" si="2"/>
        <v>141,195</v>
      </c>
      <c r="D72" s="6">
        <f t="shared" si="3"/>
        <v>141.195</v>
      </c>
      <c r="E72" s="6">
        <f t="shared" si="4"/>
        <v>0.939</v>
      </c>
    </row>
    <row r="73">
      <c r="A73" s="4" t="s">
        <v>4319</v>
      </c>
      <c r="B73" s="6" t="str">
        <f t="shared" si="1"/>
        <v>142.730</v>
      </c>
      <c r="C73" s="6" t="str">
        <f t="shared" si="2"/>
        <v>142,730</v>
      </c>
      <c r="D73" s="6">
        <f t="shared" si="3"/>
        <v>142.73</v>
      </c>
      <c r="E73" s="6">
        <f t="shared" si="4"/>
        <v>1.535</v>
      </c>
    </row>
    <row r="74">
      <c r="A74" s="4" t="s">
        <v>4320</v>
      </c>
      <c r="B74" s="6" t="str">
        <f t="shared" si="1"/>
        <v>143.185</v>
      </c>
      <c r="C74" s="6" t="str">
        <f t="shared" si="2"/>
        <v>143,185</v>
      </c>
      <c r="D74" s="6">
        <f t="shared" si="3"/>
        <v>143.185</v>
      </c>
      <c r="E74" s="6">
        <f t="shared" si="4"/>
        <v>0.455</v>
      </c>
    </row>
    <row r="75">
      <c r="A75" s="4" t="s">
        <v>4321</v>
      </c>
      <c r="B75" s="6" t="str">
        <f t="shared" si="1"/>
        <v>143.701</v>
      </c>
      <c r="C75" s="6" t="str">
        <f t="shared" si="2"/>
        <v>143,701</v>
      </c>
      <c r="D75" s="6">
        <f t="shared" si="3"/>
        <v>143.701</v>
      </c>
      <c r="E75" s="6">
        <f t="shared" si="4"/>
        <v>0.516</v>
      </c>
    </row>
    <row r="76">
      <c r="A76" s="4" t="s">
        <v>4322</v>
      </c>
      <c r="B76" s="6" t="str">
        <f t="shared" si="1"/>
        <v>147.488</v>
      </c>
      <c r="C76" s="6" t="str">
        <f t="shared" si="2"/>
        <v>147,488</v>
      </c>
      <c r="D76" s="6">
        <f t="shared" si="3"/>
        <v>147.488</v>
      </c>
      <c r="E76" s="6">
        <f t="shared" si="4"/>
        <v>3.787</v>
      </c>
    </row>
    <row r="77">
      <c r="A77" s="4" t="s">
        <v>4323</v>
      </c>
      <c r="B77" s="6" t="str">
        <f t="shared" si="1"/>
        <v>148.016</v>
      </c>
      <c r="C77" s="6" t="str">
        <f t="shared" si="2"/>
        <v>148,016</v>
      </c>
      <c r="D77" s="6">
        <f t="shared" si="3"/>
        <v>148.016</v>
      </c>
      <c r="E77" s="6">
        <f t="shared" si="4"/>
        <v>0.528</v>
      </c>
    </row>
    <row r="78">
      <c r="A78" s="4" t="s">
        <v>4324</v>
      </c>
      <c r="B78" s="6" t="str">
        <f t="shared" si="1"/>
        <v>149.822</v>
      </c>
      <c r="C78" s="6" t="str">
        <f t="shared" si="2"/>
        <v>149,822</v>
      </c>
      <c r="D78" s="6">
        <f t="shared" si="3"/>
        <v>149.822</v>
      </c>
      <c r="E78" s="6">
        <f t="shared" si="4"/>
        <v>1.806</v>
      </c>
    </row>
    <row r="79">
      <c r="A79" s="4" t="s">
        <v>4325</v>
      </c>
      <c r="B79" s="6" t="str">
        <f t="shared" si="1"/>
        <v>150.411</v>
      </c>
      <c r="C79" s="6" t="str">
        <f t="shared" si="2"/>
        <v>150,411</v>
      </c>
      <c r="D79" s="6">
        <f t="shared" si="3"/>
        <v>150.411</v>
      </c>
      <c r="E79" s="6">
        <f t="shared" si="4"/>
        <v>0.589</v>
      </c>
    </row>
    <row r="80">
      <c r="A80" s="4" t="s">
        <v>4326</v>
      </c>
      <c r="B80" s="6" t="str">
        <f t="shared" si="1"/>
        <v>150.936</v>
      </c>
      <c r="C80" s="6" t="str">
        <f t="shared" si="2"/>
        <v>150,936</v>
      </c>
      <c r="D80" s="6">
        <f t="shared" si="3"/>
        <v>150.936</v>
      </c>
      <c r="E80" s="6">
        <f t="shared" si="4"/>
        <v>0.525</v>
      </c>
    </row>
    <row r="81">
      <c r="A81" s="4" t="s">
        <v>4327</v>
      </c>
      <c r="B81" s="6" t="str">
        <f t="shared" si="1"/>
        <v>151.484</v>
      </c>
      <c r="C81" s="6" t="str">
        <f t="shared" si="2"/>
        <v>151,484</v>
      </c>
      <c r="D81" s="6">
        <f t="shared" si="3"/>
        <v>151.484</v>
      </c>
      <c r="E81" s="6">
        <f t="shared" si="4"/>
        <v>0.548</v>
      </c>
    </row>
    <row r="82">
      <c r="A82" s="4" t="s">
        <v>4328</v>
      </c>
      <c r="B82" s="6" t="str">
        <f t="shared" si="1"/>
        <v>153.424</v>
      </c>
      <c r="C82" s="6" t="str">
        <f t="shared" si="2"/>
        <v>153,424</v>
      </c>
      <c r="D82" s="6">
        <f t="shared" si="3"/>
        <v>153.424</v>
      </c>
      <c r="E82" s="6">
        <f t="shared" si="4"/>
        <v>1.94</v>
      </c>
    </row>
    <row r="83">
      <c r="A83" s="4" t="s">
        <v>4329</v>
      </c>
      <c r="B83" s="6" t="str">
        <f t="shared" si="1"/>
        <v>154.971</v>
      </c>
      <c r="C83" s="6" t="str">
        <f t="shared" si="2"/>
        <v>154,971</v>
      </c>
      <c r="D83" s="6">
        <f t="shared" si="3"/>
        <v>154.971</v>
      </c>
      <c r="E83" s="6">
        <f t="shared" si="4"/>
        <v>1.547</v>
      </c>
    </row>
    <row r="84">
      <c r="A84" s="4" t="s">
        <v>4330</v>
      </c>
      <c r="B84" s="6" t="str">
        <f t="shared" si="1"/>
        <v>157.033</v>
      </c>
      <c r="C84" s="6" t="str">
        <f t="shared" si="2"/>
        <v>157,033</v>
      </c>
      <c r="D84" s="6">
        <f t="shared" si="3"/>
        <v>157.033</v>
      </c>
      <c r="E84" s="6">
        <f t="shared" si="4"/>
        <v>2.062</v>
      </c>
    </row>
    <row r="85">
      <c r="A85" s="4" t="s">
        <v>4331</v>
      </c>
      <c r="B85" s="6" t="str">
        <f t="shared" si="1"/>
        <v>161.627</v>
      </c>
      <c r="C85" s="6" t="str">
        <f t="shared" si="2"/>
        <v>161,627</v>
      </c>
      <c r="D85" s="6">
        <f t="shared" si="3"/>
        <v>161.627</v>
      </c>
      <c r="E85" s="6">
        <f t="shared" si="4"/>
        <v>4.594</v>
      </c>
    </row>
    <row r="86">
      <c r="A86" s="4" t="s">
        <v>4332</v>
      </c>
      <c r="B86" s="6" t="str">
        <f t="shared" si="1"/>
        <v>162.026</v>
      </c>
      <c r="C86" s="6" t="str">
        <f t="shared" si="2"/>
        <v>162,026</v>
      </c>
      <c r="D86" s="6">
        <f t="shared" si="3"/>
        <v>162.026</v>
      </c>
      <c r="E86" s="6">
        <f t="shared" si="4"/>
        <v>0.399</v>
      </c>
    </row>
    <row r="87">
      <c r="A87" s="4" t="s">
        <v>4333</v>
      </c>
      <c r="B87" s="6" t="str">
        <f t="shared" si="1"/>
        <v>163.476</v>
      </c>
      <c r="C87" s="6" t="str">
        <f t="shared" si="2"/>
        <v>163,476</v>
      </c>
      <c r="D87" s="6">
        <f t="shared" si="3"/>
        <v>163.476</v>
      </c>
      <c r="E87" s="6">
        <f t="shared" si="4"/>
        <v>1.45</v>
      </c>
    </row>
    <row r="88">
      <c r="A88" s="4" t="s">
        <v>4334</v>
      </c>
      <c r="B88" s="6" t="str">
        <f t="shared" si="1"/>
        <v>164.543</v>
      </c>
      <c r="C88" s="6" t="str">
        <f t="shared" si="2"/>
        <v>164,543</v>
      </c>
      <c r="D88" s="6">
        <f t="shared" si="3"/>
        <v>164.543</v>
      </c>
      <c r="E88" s="6">
        <f t="shared" si="4"/>
        <v>1.067</v>
      </c>
    </row>
    <row r="89">
      <c r="A89" s="4" t="s">
        <v>4335</v>
      </c>
      <c r="B89" s="6" t="str">
        <f t="shared" si="1"/>
        <v>164.938</v>
      </c>
      <c r="C89" s="6" t="str">
        <f t="shared" si="2"/>
        <v>164,938</v>
      </c>
      <c r="D89" s="6">
        <f t="shared" si="3"/>
        <v>164.938</v>
      </c>
      <c r="E89" s="6">
        <f t="shared" si="4"/>
        <v>0.395</v>
      </c>
    </row>
    <row r="90">
      <c r="A90" s="4" t="s">
        <v>4336</v>
      </c>
      <c r="B90" s="6" t="str">
        <f t="shared" si="1"/>
        <v>166.489</v>
      </c>
      <c r="C90" s="6" t="str">
        <f t="shared" si="2"/>
        <v>166,489</v>
      </c>
      <c r="D90" s="6">
        <f t="shared" si="3"/>
        <v>166.489</v>
      </c>
      <c r="E90" s="6">
        <f t="shared" si="4"/>
        <v>1.551</v>
      </c>
    </row>
    <row r="91">
      <c r="A91" s="4" t="s">
        <v>4337</v>
      </c>
      <c r="B91" s="6" t="str">
        <f t="shared" si="1"/>
        <v>167.916</v>
      </c>
      <c r="C91" s="6" t="str">
        <f t="shared" si="2"/>
        <v>167,916</v>
      </c>
      <c r="D91" s="6">
        <f t="shared" si="3"/>
        <v>167.916</v>
      </c>
      <c r="E91" s="6">
        <f t="shared" si="4"/>
        <v>1.427</v>
      </c>
    </row>
    <row r="92">
      <c r="A92" s="4" t="s">
        <v>4338</v>
      </c>
      <c r="B92" s="6" t="str">
        <f t="shared" si="1"/>
        <v>168.300</v>
      </c>
      <c r="C92" s="6" t="str">
        <f t="shared" si="2"/>
        <v>168,300</v>
      </c>
      <c r="D92" s="6">
        <f t="shared" si="3"/>
        <v>168.3</v>
      </c>
      <c r="E92" s="6">
        <f t="shared" si="4"/>
        <v>0.384</v>
      </c>
    </row>
    <row r="93">
      <c r="A93" s="4" t="s">
        <v>4339</v>
      </c>
      <c r="B93" s="6" t="str">
        <f t="shared" si="1"/>
        <v>168.686</v>
      </c>
      <c r="C93" s="6" t="str">
        <f t="shared" si="2"/>
        <v>168,686</v>
      </c>
      <c r="D93" s="6">
        <f t="shared" si="3"/>
        <v>168.686</v>
      </c>
      <c r="E93" s="6">
        <f t="shared" si="4"/>
        <v>0.386</v>
      </c>
    </row>
    <row r="94">
      <c r="A94" s="4" t="s">
        <v>4340</v>
      </c>
      <c r="B94" s="6" t="str">
        <f t="shared" si="1"/>
        <v>169.075</v>
      </c>
      <c r="C94" s="6" t="str">
        <f t="shared" si="2"/>
        <v>169,075</v>
      </c>
      <c r="D94" s="6">
        <f t="shared" si="3"/>
        <v>169.075</v>
      </c>
      <c r="E94" s="6">
        <f t="shared" si="4"/>
        <v>0.389</v>
      </c>
    </row>
    <row r="95">
      <c r="A95" s="4" t="s">
        <v>4341</v>
      </c>
      <c r="B95" s="6" t="str">
        <f t="shared" si="1"/>
        <v>170.775</v>
      </c>
      <c r="C95" s="6" t="str">
        <f t="shared" si="2"/>
        <v>170,775</v>
      </c>
      <c r="D95" s="6">
        <f t="shared" si="3"/>
        <v>170.775</v>
      </c>
      <c r="E95" s="6">
        <f t="shared" si="4"/>
        <v>1.7</v>
      </c>
    </row>
    <row r="96">
      <c r="A96" s="4" t="s">
        <v>4342</v>
      </c>
      <c r="B96" s="6" t="str">
        <f t="shared" si="1"/>
        <v>173.148</v>
      </c>
      <c r="C96" s="6" t="str">
        <f t="shared" si="2"/>
        <v>173,148</v>
      </c>
      <c r="D96" s="6">
        <f t="shared" si="3"/>
        <v>173.148</v>
      </c>
      <c r="E96" s="6">
        <f t="shared" si="4"/>
        <v>2.373</v>
      </c>
    </row>
    <row r="97">
      <c r="A97" s="4" t="s">
        <v>4343</v>
      </c>
      <c r="B97" s="6" t="str">
        <f t="shared" si="1"/>
        <v>173.984</v>
      </c>
      <c r="C97" s="6" t="str">
        <f t="shared" si="2"/>
        <v>173,984</v>
      </c>
      <c r="D97" s="6">
        <f t="shared" si="3"/>
        <v>173.984</v>
      </c>
      <c r="E97" s="6">
        <f t="shared" si="4"/>
        <v>0.836</v>
      </c>
    </row>
    <row r="98">
      <c r="A98" s="4" t="s">
        <v>4344</v>
      </c>
      <c r="B98" s="6" t="str">
        <f t="shared" si="1"/>
        <v>175.358</v>
      </c>
      <c r="C98" s="6" t="str">
        <f t="shared" si="2"/>
        <v>175,358</v>
      </c>
      <c r="D98" s="6">
        <f t="shared" si="3"/>
        <v>175.358</v>
      </c>
      <c r="E98" s="6">
        <f t="shared" si="4"/>
        <v>1.374</v>
      </c>
    </row>
    <row r="99">
      <c r="A99" s="4" t="s">
        <v>4345</v>
      </c>
      <c r="B99" s="6" t="str">
        <f t="shared" si="1"/>
        <v>175.748</v>
      </c>
      <c r="C99" s="6" t="str">
        <f t="shared" si="2"/>
        <v>175,748</v>
      </c>
      <c r="D99" s="6">
        <f t="shared" si="3"/>
        <v>175.748</v>
      </c>
      <c r="E99" s="6">
        <f t="shared" si="4"/>
        <v>0.39</v>
      </c>
    </row>
    <row r="100">
      <c r="A100" s="4" t="s">
        <v>4346</v>
      </c>
      <c r="B100" s="6" t="str">
        <f t="shared" si="1"/>
        <v>176.107</v>
      </c>
      <c r="C100" s="6" t="str">
        <f t="shared" si="2"/>
        <v>176,107</v>
      </c>
      <c r="D100" s="6">
        <f t="shared" si="3"/>
        <v>176.107</v>
      </c>
      <c r="E100" s="6">
        <f t="shared" si="4"/>
        <v>0.359</v>
      </c>
    </row>
    <row r="101">
      <c r="A101" s="4" t="s">
        <v>4347</v>
      </c>
      <c r="B101" s="6" t="str">
        <f t="shared" si="1"/>
        <v>176.715</v>
      </c>
      <c r="C101" s="6" t="str">
        <f t="shared" si="2"/>
        <v>176,715</v>
      </c>
      <c r="D101" s="6">
        <f t="shared" si="3"/>
        <v>176.715</v>
      </c>
      <c r="E101" s="6">
        <f t="shared" si="4"/>
        <v>0.608</v>
      </c>
    </row>
    <row r="102">
      <c r="A102" s="4" t="s">
        <v>4348</v>
      </c>
      <c r="B102" s="6" t="str">
        <f t="shared" si="1"/>
        <v>178.586</v>
      </c>
      <c r="C102" s="6" t="str">
        <f t="shared" si="2"/>
        <v>178,586</v>
      </c>
      <c r="D102" s="6">
        <f t="shared" si="3"/>
        <v>178.586</v>
      </c>
      <c r="E102" s="6">
        <f t="shared" si="4"/>
        <v>1.871</v>
      </c>
    </row>
    <row r="103">
      <c r="A103" s="4" t="s">
        <v>4349</v>
      </c>
      <c r="B103" s="6" t="str">
        <f t="shared" si="1"/>
        <v>179.832</v>
      </c>
      <c r="C103" s="6" t="str">
        <f t="shared" si="2"/>
        <v>179,832</v>
      </c>
      <c r="D103" s="6">
        <f t="shared" si="3"/>
        <v>179.832</v>
      </c>
      <c r="E103" s="6">
        <f t="shared" si="4"/>
        <v>1.246</v>
      </c>
    </row>
    <row r="104">
      <c r="A104" s="4" t="s">
        <v>4350</v>
      </c>
      <c r="B104" s="6" t="str">
        <f t="shared" si="1"/>
        <v>181.715</v>
      </c>
      <c r="C104" s="6" t="str">
        <f t="shared" si="2"/>
        <v>181,715</v>
      </c>
      <c r="D104" s="6">
        <f t="shared" si="3"/>
        <v>181.715</v>
      </c>
      <c r="E104" s="6">
        <f t="shared" si="4"/>
        <v>1.883</v>
      </c>
    </row>
    <row r="105">
      <c r="A105" s="4" t="s">
        <v>4351</v>
      </c>
      <c r="B105" s="6" t="str">
        <f t="shared" si="1"/>
        <v>185.846</v>
      </c>
      <c r="C105" s="6" t="str">
        <f t="shared" si="2"/>
        <v>185,846</v>
      </c>
      <c r="D105" s="6">
        <f t="shared" si="3"/>
        <v>185.846</v>
      </c>
      <c r="E105" s="6">
        <f t="shared" si="4"/>
        <v>4.131</v>
      </c>
    </row>
    <row r="106">
      <c r="A106" s="4" t="s">
        <v>4352</v>
      </c>
      <c r="B106" s="6" t="str">
        <f t="shared" si="1"/>
        <v>186.214</v>
      </c>
      <c r="C106" s="6" t="str">
        <f t="shared" si="2"/>
        <v>186,214</v>
      </c>
      <c r="D106" s="6">
        <f t="shared" si="3"/>
        <v>186.214</v>
      </c>
      <c r="E106" s="6">
        <f t="shared" si="4"/>
        <v>0.368</v>
      </c>
    </row>
    <row r="107">
      <c r="A107" s="4" t="s">
        <v>4353</v>
      </c>
      <c r="B107" s="6" t="str">
        <f t="shared" si="1"/>
        <v>187.327</v>
      </c>
      <c r="C107" s="6" t="str">
        <f t="shared" si="2"/>
        <v>187,327</v>
      </c>
      <c r="D107" s="6">
        <f t="shared" si="3"/>
        <v>187.327</v>
      </c>
      <c r="E107" s="6">
        <f t="shared" si="4"/>
        <v>1.113</v>
      </c>
    </row>
    <row r="108">
      <c r="A108" s="4" t="s">
        <v>4354</v>
      </c>
      <c r="B108" s="6" t="str">
        <f t="shared" si="1"/>
        <v>188.301</v>
      </c>
      <c r="C108" s="6" t="str">
        <f t="shared" si="2"/>
        <v>188,301</v>
      </c>
      <c r="D108" s="6">
        <f t="shared" si="3"/>
        <v>188.301</v>
      </c>
      <c r="E108" s="6">
        <f t="shared" si="4"/>
        <v>0.974</v>
      </c>
    </row>
    <row r="109">
      <c r="A109" s="4" t="s">
        <v>4355</v>
      </c>
      <c r="B109" s="6" t="str">
        <f t="shared" si="1"/>
        <v>188.661</v>
      </c>
      <c r="C109" s="6" t="str">
        <f t="shared" si="2"/>
        <v>188,661</v>
      </c>
      <c r="D109" s="6">
        <f t="shared" si="3"/>
        <v>188.661</v>
      </c>
      <c r="E109" s="6">
        <f t="shared" si="4"/>
        <v>0.36</v>
      </c>
    </row>
    <row r="110">
      <c r="A110" s="4" t="s">
        <v>4356</v>
      </c>
      <c r="B110" s="6" t="str">
        <f t="shared" si="1"/>
        <v>189.927</v>
      </c>
      <c r="C110" s="6" t="str">
        <f t="shared" si="2"/>
        <v>189,927</v>
      </c>
      <c r="D110" s="6">
        <f t="shared" si="3"/>
        <v>189.927</v>
      </c>
      <c r="E110" s="6">
        <f t="shared" si="4"/>
        <v>1.266</v>
      </c>
    </row>
    <row r="111">
      <c r="A111" s="4" t="s">
        <v>4357</v>
      </c>
      <c r="B111" s="6" t="str">
        <f t="shared" si="1"/>
        <v>191.269</v>
      </c>
      <c r="C111" s="6" t="str">
        <f t="shared" si="2"/>
        <v>191,269</v>
      </c>
      <c r="D111" s="6">
        <f t="shared" si="3"/>
        <v>191.269</v>
      </c>
      <c r="E111" s="6">
        <f t="shared" si="4"/>
        <v>1.342</v>
      </c>
    </row>
    <row r="112">
      <c r="A112" s="4" t="s">
        <v>4358</v>
      </c>
      <c r="B112" s="6" t="str">
        <f t="shared" si="1"/>
        <v>191.633</v>
      </c>
      <c r="C112" s="6" t="str">
        <f t="shared" si="2"/>
        <v>191,633</v>
      </c>
      <c r="D112" s="6">
        <f t="shared" si="3"/>
        <v>191.633</v>
      </c>
      <c r="E112" s="6">
        <f t="shared" si="4"/>
        <v>0.364</v>
      </c>
    </row>
    <row r="113">
      <c r="A113" s="4" t="s">
        <v>4359</v>
      </c>
      <c r="B113" s="6" t="str">
        <f t="shared" si="1"/>
        <v>191.981</v>
      </c>
      <c r="C113" s="6" t="str">
        <f t="shared" si="2"/>
        <v>191,981</v>
      </c>
      <c r="D113" s="6">
        <f t="shared" si="3"/>
        <v>191.981</v>
      </c>
      <c r="E113" s="6">
        <f t="shared" si="4"/>
        <v>0.348</v>
      </c>
    </row>
    <row r="114">
      <c r="A114" s="4" t="s">
        <v>4360</v>
      </c>
      <c r="B114" s="6" t="str">
        <f t="shared" si="1"/>
        <v>193.805</v>
      </c>
      <c r="C114" s="6" t="str">
        <f t="shared" si="2"/>
        <v>193,805</v>
      </c>
      <c r="D114" s="6">
        <f t="shared" si="3"/>
        <v>193.805</v>
      </c>
      <c r="E114" s="6">
        <f t="shared" si="4"/>
        <v>1.824</v>
      </c>
    </row>
    <row r="115">
      <c r="A115" s="4" t="s">
        <v>4361</v>
      </c>
      <c r="B115" s="6" t="str">
        <f t="shared" si="1"/>
        <v>196.047</v>
      </c>
      <c r="C115" s="6" t="str">
        <f t="shared" si="2"/>
        <v>196,047</v>
      </c>
      <c r="D115" s="6">
        <f t="shared" si="3"/>
        <v>196.047</v>
      </c>
      <c r="E115" s="6">
        <f t="shared" si="4"/>
        <v>2.242</v>
      </c>
    </row>
    <row r="116">
      <c r="A116" s="4" t="s">
        <v>4362</v>
      </c>
      <c r="B116" s="6" t="str">
        <f t="shared" si="1"/>
        <v>196.411</v>
      </c>
      <c r="C116" s="6" t="str">
        <f t="shared" si="2"/>
        <v>196,411</v>
      </c>
      <c r="D116" s="6">
        <f t="shared" si="3"/>
        <v>196.411</v>
      </c>
      <c r="E116" s="6">
        <f t="shared" si="4"/>
        <v>0.364</v>
      </c>
    </row>
    <row r="117">
      <c r="A117" s="4" t="s">
        <v>4363</v>
      </c>
      <c r="B117" s="6" t="str">
        <f t="shared" si="1"/>
        <v>198.441</v>
      </c>
      <c r="C117" s="6" t="str">
        <f t="shared" si="2"/>
        <v>198,441</v>
      </c>
      <c r="D117" s="6">
        <f t="shared" si="3"/>
        <v>198.441</v>
      </c>
      <c r="E117" s="6">
        <f t="shared" si="4"/>
        <v>2.03</v>
      </c>
    </row>
    <row r="118">
      <c r="A118" s="4" t="s">
        <v>4364</v>
      </c>
      <c r="B118" s="6" t="str">
        <f t="shared" si="1"/>
        <v>198.811</v>
      </c>
      <c r="C118" s="6" t="str">
        <f t="shared" si="2"/>
        <v>198,811</v>
      </c>
      <c r="D118" s="6">
        <f t="shared" si="3"/>
        <v>198.811</v>
      </c>
      <c r="E118" s="6">
        <f t="shared" si="4"/>
        <v>0.37</v>
      </c>
    </row>
    <row r="119">
      <c r="A119" s="4" t="s">
        <v>4365</v>
      </c>
      <c r="B119" s="6" t="str">
        <f t="shared" si="1"/>
        <v>199.868</v>
      </c>
      <c r="C119" s="6" t="str">
        <f t="shared" si="2"/>
        <v>199,868</v>
      </c>
      <c r="D119" s="6">
        <f t="shared" si="3"/>
        <v>199.868</v>
      </c>
      <c r="E119" s="6">
        <f t="shared" si="4"/>
        <v>1.057</v>
      </c>
    </row>
    <row r="120">
      <c r="A120" s="4" t="s">
        <v>4366</v>
      </c>
      <c r="B120" s="6" t="str">
        <f t="shared" si="1"/>
        <v>201.495</v>
      </c>
      <c r="C120" s="6" t="str">
        <f t="shared" si="2"/>
        <v>201,495</v>
      </c>
      <c r="D120" s="6">
        <f t="shared" si="3"/>
        <v>201.495</v>
      </c>
      <c r="E120" s="6">
        <f t="shared" si="4"/>
        <v>1.627</v>
      </c>
    </row>
    <row r="121">
      <c r="A121" s="4" t="s">
        <v>4367</v>
      </c>
      <c r="B121" s="6" t="str">
        <f t="shared" si="1"/>
        <v>202.686</v>
      </c>
      <c r="C121" s="6" t="str">
        <f t="shared" si="2"/>
        <v>202,686</v>
      </c>
      <c r="D121" s="6">
        <f t="shared" si="3"/>
        <v>202.686</v>
      </c>
      <c r="E121" s="6">
        <f t="shared" si="4"/>
        <v>1.191</v>
      </c>
    </row>
    <row r="122">
      <c r="A122" s="4" t="s">
        <v>4368</v>
      </c>
      <c r="B122" s="6" t="str">
        <f t="shared" si="1"/>
        <v>204.692</v>
      </c>
      <c r="C122" s="6" t="str">
        <f t="shared" si="2"/>
        <v>204,692</v>
      </c>
      <c r="D122" s="6">
        <f t="shared" si="3"/>
        <v>204.692</v>
      </c>
      <c r="E122" s="6">
        <f t="shared" si="4"/>
        <v>2.006</v>
      </c>
    </row>
    <row r="123">
      <c r="A123" s="4" t="s">
        <v>4369</v>
      </c>
      <c r="B123" s="6" t="str">
        <f t="shared" si="1"/>
        <v>208.679</v>
      </c>
      <c r="C123" s="6" t="str">
        <f t="shared" si="2"/>
        <v>208,679</v>
      </c>
      <c r="D123" s="6">
        <f t="shared" si="3"/>
        <v>208.679</v>
      </c>
      <c r="E123" s="6">
        <f t="shared" si="4"/>
        <v>3.987</v>
      </c>
    </row>
    <row r="124">
      <c r="A124" s="4" t="s">
        <v>4370</v>
      </c>
      <c r="B124" s="6" t="str">
        <f t="shared" si="1"/>
        <v>209.100</v>
      </c>
      <c r="C124" s="6" t="str">
        <f t="shared" si="2"/>
        <v>209,100</v>
      </c>
      <c r="D124" s="6">
        <f t="shared" si="3"/>
        <v>209.1</v>
      </c>
      <c r="E124" s="6">
        <f t="shared" si="4"/>
        <v>0.421</v>
      </c>
    </row>
    <row r="125">
      <c r="A125" s="4" t="s">
        <v>4371</v>
      </c>
      <c r="B125" s="6" t="str">
        <f t="shared" si="1"/>
        <v>210.453</v>
      </c>
      <c r="C125" s="6" t="str">
        <f t="shared" si="2"/>
        <v>210,453</v>
      </c>
      <c r="D125" s="6">
        <f t="shared" si="3"/>
        <v>210.453</v>
      </c>
      <c r="E125" s="6">
        <f t="shared" si="4"/>
        <v>1.353</v>
      </c>
    </row>
    <row r="126">
      <c r="A126" s="4" t="s">
        <v>4372</v>
      </c>
      <c r="B126" s="6" t="str">
        <f t="shared" si="1"/>
        <v>211.812</v>
      </c>
      <c r="C126" s="6" t="str">
        <f t="shared" si="2"/>
        <v>211,812</v>
      </c>
      <c r="D126" s="6">
        <f t="shared" si="3"/>
        <v>211.812</v>
      </c>
      <c r="E126" s="6">
        <f t="shared" si="4"/>
        <v>1.359</v>
      </c>
    </row>
    <row r="127">
      <c r="A127" s="4" t="s">
        <v>4373</v>
      </c>
      <c r="B127" s="6" t="str">
        <f t="shared" si="1"/>
        <v>213.382</v>
      </c>
      <c r="C127" s="6" t="str">
        <f t="shared" si="2"/>
        <v>213,382</v>
      </c>
      <c r="D127" s="6">
        <f t="shared" si="3"/>
        <v>213.382</v>
      </c>
      <c r="E127" s="6">
        <f t="shared" si="4"/>
        <v>1.57</v>
      </c>
    </row>
    <row r="128">
      <c r="A128" s="4" t="s">
        <v>4374</v>
      </c>
      <c r="B128" s="6" t="str">
        <f t="shared" si="1"/>
        <v>214.788</v>
      </c>
      <c r="C128" s="6" t="str">
        <f t="shared" si="2"/>
        <v>214,788</v>
      </c>
      <c r="D128" s="6">
        <f t="shared" si="3"/>
        <v>214.788</v>
      </c>
      <c r="E128" s="6">
        <f t="shared" si="4"/>
        <v>1.406</v>
      </c>
    </row>
    <row r="129">
      <c r="A129" s="4" t="s">
        <v>4375</v>
      </c>
      <c r="B129" s="6" t="str">
        <f t="shared" si="1"/>
        <v>215.160</v>
      </c>
      <c r="C129" s="6" t="str">
        <f t="shared" si="2"/>
        <v>215,160</v>
      </c>
      <c r="D129" s="6">
        <f t="shared" si="3"/>
        <v>215.16</v>
      </c>
      <c r="E129" s="6">
        <f t="shared" si="4"/>
        <v>0.372</v>
      </c>
    </row>
    <row r="130">
      <c r="A130" s="4" t="s">
        <v>4376</v>
      </c>
      <c r="B130" s="6" t="str">
        <f t="shared" si="1"/>
        <v>215.519</v>
      </c>
      <c r="C130" s="6" t="str">
        <f t="shared" si="2"/>
        <v>215,519</v>
      </c>
      <c r="D130" s="6">
        <f t="shared" si="3"/>
        <v>215.519</v>
      </c>
      <c r="E130" s="6">
        <f t="shared" si="4"/>
        <v>0.359</v>
      </c>
    </row>
    <row r="131">
      <c r="A131" s="4" t="s">
        <v>4377</v>
      </c>
      <c r="B131" s="6" t="str">
        <f t="shared" si="1"/>
        <v>215.879</v>
      </c>
      <c r="C131" s="6" t="str">
        <f t="shared" si="2"/>
        <v>215,879</v>
      </c>
      <c r="D131" s="6">
        <f t="shared" si="3"/>
        <v>215.879</v>
      </c>
      <c r="E131" s="6">
        <f t="shared" si="4"/>
        <v>0.36</v>
      </c>
    </row>
    <row r="132">
      <c r="A132" s="4" t="s">
        <v>4378</v>
      </c>
      <c r="B132" s="6" t="str">
        <f t="shared" si="1"/>
        <v>217.567</v>
      </c>
      <c r="C132" s="6" t="str">
        <f t="shared" si="2"/>
        <v>217,567</v>
      </c>
      <c r="D132" s="6">
        <f t="shared" si="3"/>
        <v>217.567</v>
      </c>
      <c r="E132" s="6">
        <f t="shared" si="4"/>
        <v>1.688</v>
      </c>
    </row>
    <row r="133">
      <c r="A133" s="4" t="s">
        <v>4379</v>
      </c>
      <c r="B133" s="6" t="str">
        <f t="shared" si="1"/>
        <v>219.784</v>
      </c>
      <c r="C133" s="6" t="str">
        <f t="shared" si="2"/>
        <v>219,784</v>
      </c>
      <c r="D133" s="6">
        <f t="shared" si="3"/>
        <v>219.784</v>
      </c>
      <c r="E133" s="6">
        <f t="shared" si="4"/>
        <v>2.217</v>
      </c>
    </row>
    <row r="134">
      <c r="A134" s="4" t="s">
        <v>4380</v>
      </c>
      <c r="B134" s="6" t="str">
        <f t="shared" si="1"/>
        <v>220.442</v>
      </c>
      <c r="C134" s="6" t="str">
        <f t="shared" si="2"/>
        <v>220,442</v>
      </c>
      <c r="D134" s="6">
        <f t="shared" si="3"/>
        <v>220.442</v>
      </c>
      <c r="E134" s="6">
        <f t="shared" si="4"/>
        <v>0.658</v>
      </c>
    </row>
    <row r="135">
      <c r="A135" s="4" t="s">
        <v>4381</v>
      </c>
      <c r="B135" s="6" t="str">
        <f t="shared" si="1"/>
        <v>221.997</v>
      </c>
      <c r="C135" s="6" t="str">
        <f t="shared" si="2"/>
        <v>221,997</v>
      </c>
      <c r="D135" s="6">
        <f t="shared" si="3"/>
        <v>221.997</v>
      </c>
      <c r="E135" s="6">
        <f t="shared" si="4"/>
        <v>1.555</v>
      </c>
    </row>
    <row r="136">
      <c r="A136" s="4" t="s">
        <v>4382</v>
      </c>
      <c r="B136" s="6" t="str">
        <f t="shared" si="1"/>
        <v>222.530</v>
      </c>
      <c r="C136" s="6" t="str">
        <f t="shared" si="2"/>
        <v>222,530</v>
      </c>
      <c r="D136" s="6">
        <f t="shared" si="3"/>
        <v>222.53</v>
      </c>
      <c r="E136" s="6">
        <f t="shared" si="4"/>
        <v>0.533</v>
      </c>
    </row>
    <row r="137">
      <c r="A137" s="4" t="s">
        <v>4383</v>
      </c>
      <c r="B137" s="6" t="str">
        <f t="shared" si="1"/>
        <v>222.899</v>
      </c>
      <c r="C137" s="6" t="str">
        <f t="shared" si="2"/>
        <v>222,899</v>
      </c>
      <c r="D137" s="6">
        <f t="shared" si="3"/>
        <v>222.899</v>
      </c>
      <c r="E137" s="6">
        <f t="shared" si="4"/>
        <v>0.369</v>
      </c>
    </row>
    <row r="138">
      <c r="A138" s="4" t="s">
        <v>4384</v>
      </c>
      <c r="B138" s="6" t="str">
        <f t="shared" si="1"/>
        <v>223.474</v>
      </c>
      <c r="C138" s="6" t="str">
        <f t="shared" si="2"/>
        <v>223,474</v>
      </c>
      <c r="D138" s="6">
        <f t="shared" si="3"/>
        <v>223.474</v>
      </c>
      <c r="E138" s="6">
        <f t="shared" si="4"/>
        <v>0.575</v>
      </c>
    </row>
    <row r="139">
      <c r="A139" s="4" t="s">
        <v>4385</v>
      </c>
      <c r="B139" s="6" t="str">
        <f t="shared" si="1"/>
        <v>227.073</v>
      </c>
      <c r="C139" s="6" t="str">
        <f t="shared" si="2"/>
        <v>227,073</v>
      </c>
      <c r="D139" s="6">
        <f t="shared" si="3"/>
        <v>227.073</v>
      </c>
      <c r="E139" s="6">
        <f t="shared" si="4"/>
        <v>3.599</v>
      </c>
    </row>
    <row r="140">
      <c r="A140" s="4" t="s">
        <v>4386</v>
      </c>
      <c r="B140" s="6" t="str">
        <f t="shared" si="1"/>
        <v>228.870</v>
      </c>
      <c r="C140" s="6" t="str">
        <f t="shared" si="2"/>
        <v>228,870</v>
      </c>
      <c r="D140" s="6">
        <f t="shared" si="3"/>
        <v>228.87</v>
      </c>
      <c r="E140" s="6">
        <f t="shared" si="4"/>
        <v>1.797</v>
      </c>
    </row>
    <row r="141">
      <c r="A141" s="4" t="s">
        <v>4387</v>
      </c>
      <c r="B141" s="6" t="str">
        <f t="shared" si="1"/>
        <v>232.921</v>
      </c>
      <c r="C141" s="6" t="str">
        <f t="shared" si="2"/>
        <v>232,921</v>
      </c>
      <c r="D141" s="6">
        <f t="shared" si="3"/>
        <v>232.921</v>
      </c>
      <c r="E141" s="6">
        <f t="shared" si="4"/>
        <v>4.051</v>
      </c>
    </row>
    <row r="142">
      <c r="A142" s="4" t="s">
        <v>4388</v>
      </c>
      <c r="B142" s="6" t="str">
        <f t="shared" si="1"/>
        <v>233.344</v>
      </c>
      <c r="C142" s="6" t="str">
        <f t="shared" si="2"/>
        <v>233,344</v>
      </c>
      <c r="D142" s="6">
        <f t="shared" si="3"/>
        <v>233.344</v>
      </c>
      <c r="E142" s="6">
        <f t="shared" si="4"/>
        <v>0.423</v>
      </c>
    </row>
    <row r="143">
      <c r="A143" s="4" t="s">
        <v>4389</v>
      </c>
      <c r="B143" s="6" t="str">
        <f t="shared" si="1"/>
        <v>234.399</v>
      </c>
      <c r="C143" s="6" t="str">
        <f t="shared" si="2"/>
        <v>234,399</v>
      </c>
      <c r="D143" s="6">
        <f t="shared" si="3"/>
        <v>234.399</v>
      </c>
      <c r="E143" s="6">
        <f t="shared" si="4"/>
        <v>1.055</v>
      </c>
    </row>
    <row r="144">
      <c r="A144" s="4" t="s">
        <v>4390</v>
      </c>
      <c r="B144" s="6" t="str">
        <f t="shared" si="1"/>
        <v>235.457</v>
      </c>
      <c r="C144" s="6" t="str">
        <f t="shared" si="2"/>
        <v>235,457</v>
      </c>
      <c r="D144" s="6">
        <f t="shared" si="3"/>
        <v>235.457</v>
      </c>
      <c r="E144" s="6">
        <f t="shared" si="4"/>
        <v>1.058</v>
      </c>
    </row>
    <row r="145">
      <c r="A145" s="4" t="s">
        <v>4391</v>
      </c>
      <c r="B145" s="6" t="str">
        <f t="shared" si="1"/>
        <v>235.820</v>
      </c>
      <c r="C145" s="6" t="str">
        <f t="shared" si="2"/>
        <v>235,820</v>
      </c>
      <c r="D145" s="6">
        <f t="shared" si="3"/>
        <v>235.82</v>
      </c>
      <c r="E145" s="6">
        <f t="shared" si="4"/>
        <v>0.363</v>
      </c>
    </row>
    <row r="146">
      <c r="A146" s="4" t="s">
        <v>4392</v>
      </c>
      <c r="B146" s="6" t="str">
        <f t="shared" si="1"/>
        <v>236.846</v>
      </c>
      <c r="C146" s="6" t="str">
        <f t="shared" si="2"/>
        <v>236,846</v>
      </c>
      <c r="D146" s="6">
        <f t="shared" si="3"/>
        <v>236.846</v>
      </c>
      <c r="E146" s="6">
        <f t="shared" si="4"/>
        <v>1.026</v>
      </c>
    </row>
    <row r="147">
      <c r="A147" s="4" t="s">
        <v>4393</v>
      </c>
      <c r="B147" s="6" t="str">
        <f t="shared" si="1"/>
        <v>238.379</v>
      </c>
      <c r="C147" s="6" t="str">
        <f t="shared" si="2"/>
        <v>238,379</v>
      </c>
      <c r="D147" s="6">
        <f t="shared" si="3"/>
        <v>238.379</v>
      </c>
      <c r="E147" s="6">
        <f t="shared" si="4"/>
        <v>1.533</v>
      </c>
    </row>
    <row r="148">
      <c r="A148" s="4" t="s">
        <v>4394</v>
      </c>
      <c r="B148" s="6" t="str">
        <f t="shared" si="1"/>
        <v>238.749</v>
      </c>
      <c r="C148" s="6" t="str">
        <f t="shared" si="2"/>
        <v>238,749</v>
      </c>
      <c r="D148" s="6">
        <f t="shared" si="3"/>
        <v>238.749</v>
      </c>
      <c r="E148" s="6">
        <f t="shared" si="4"/>
        <v>0.37</v>
      </c>
    </row>
    <row r="149">
      <c r="A149" s="4" t="s">
        <v>4395</v>
      </c>
      <c r="B149" s="6" t="str">
        <f t="shared" si="1"/>
        <v>239.110</v>
      </c>
      <c r="C149" s="6" t="str">
        <f t="shared" si="2"/>
        <v>239,110</v>
      </c>
      <c r="D149" s="6">
        <f t="shared" si="3"/>
        <v>239.11</v>
      </c>
      <c r="E149" s="6">
        <f t="shared" si="4"/>
        <v>0.361</v>
      </c>
    </row>
    <row r="150">
      <c r="A150" s="4" t="s">
        <v>4396</v>
      </c>
      <c r="B150" s="6" t="str">
        <f t="shared" si="1"/>
        <v>239.473</v>
      </c>
      <c r="C150" s="6" t="str">
        <f t="shared" si="2"/>
        <v>239,473</v>
      </c>
      <c r="D150" s="6">
        <f t="shared" si="3"/>
        <v>239.473</v>
      </c>
      <c r="E150" s="6">
        <f t="shared" si="4"/>
        <v>0.363</v>
      </c>
    </row>
    <row r="151">
      <c r="A151" s="4" t="s">
        <v>4397</v>
      </c>
      <c r="B151" s="6" t="str">
        <f t="shared" si="1"/>
        <v>241.133</v>
      </c>
      <c r="C151" s="6" t="str">
        <f t="shared" si="2"/>
        <v>241,133</v>
      </c>
      <c r="D151" s="6">
        <f t="shared" si="3"/>
        <v>241.133</v>
      </c>
      <c r="E151" s="6">
        <f t="shared" si="4"/>
        <v>1.66</v>
      </c>
    </row>
    <row r="152">
      <c r="A152" s="4" t="s">
        <v>4398</v>
      </c>
      <c r="B152" s="6" t="str">
        <f t="shared" si="1"/>
        <v>243.462</v>
      </c>
      <c r="C152" s="6" t="str">
        <f t="shared" si="2"/>
        <v>243,462</v>
      </c>
      <c r="D152" s="6">
        <f t="shared" si="3"/>
        <v>243.462</v>
      </c>
      <c r="E152" s="6">
        <f t="shared" si="4"/>
        <v>2.329</v>
      </c>
    </row>
    <row r="153">
      <c r="A153" s="4" t="s">
        <v>4399</v>
      </c>
      <c r="B153" s="6" t="str">
        <f t="shared" si="1"/>
        <v>243.837</v>
      </c>
      <c r="C153" s="6" t="str">
        <f t="shared" si="2"/>
        <v>243,837</v>
      </c>
      <c r="D153" s="6">
        <f t="shared" si="3"/>
        <v>243.837</v>
      </c>
      <c r="E153" s="6">
        <f t="shared" si="4"/>
        <v>0.375</v>
      </c>
    </row>
    <row r="154">
      <c r="A154" s="4" t="s">
        <v>4400</v>
      </c>
      <c r="B154" s="6" t="str">
        <f t="shared" si="1"/>
        <v>245.449</v>
      </c>
      <c r="C154" s="6" t="str">
        <f t="shared" si="2"/>
        <v>245,449</v>
      </c>
      <c r="D154" s="6">
        <f t="shared" si="3"/>
        <v>245.449</v>
      </c>
      <c r="E154" s="6">
        <f t="shared" si="4"/>
        <v>1.612</v>
      </c>
    </row>
    <row r="155">
      <c r="A155" s="4" t="s">
        <v>4401</v>
      </c>
      <c r="B155" s="6" t="str">
        <f t="shared" si="1"/>
        <v>245.830</v>
      </c>
      <c r="C155" s="6" t="str">
        <f t="shared" si="2"/>
        <v>245,830</v>
      </c>
      <c r="D155" s="6">
        <f t="shared" si="3"/>
        <v>245.83</v>
      </c>
      <c r="E155" s="6">
        <f t="shared" si="4"/>
        <v>0.381</v>
      </c>
    </row>
    <row r="156">
      <c r="A156" s="4" t="s">
        <v>4402</v>
      </c>
      <c r="B156" s="6" t="str">
        <f t="shared" si="1"/>
        <v>246.927</v>
      </c>
      <c r="C156" s="6" t="str">
        <f t="shared" si="2"/>
        <v>246,927</v>
      </c>
      <c r="D156" s="6">
        <f t="shared" si="3"/>
        <v>246.927</v>
      </c>
      <c r="E156" s="6">
        <f t="shared" si="4"/>
        <v>1.097</v>
      </c>
    </row>
    <row r="157">
      <c r="A157" s="4" t="s">
        <v>4403</v>
      </c>
      <c r="B157" s="6" t="str">
        <f t="shared" si="1"/>
        <v>248.781</v>
      </c>
      <c r="C157" s="6" t="str">
        <f t="shared" si="2"/>
        <v>248,781</v>
      </c>
      <c r="D157" s="6">
        <f t="shared" si="3"/>
        <v>248.781</v>
      </c>
      <c r="E157" s="6">
        <f t="shared" si="4"/>
        <v>1.854</v>
      </c>
    </row>
    <row r="158">
      <c r="A158" s="4" t="s">
        <v>4404</v>
      </c>
      <c r="B158" s="6" t="str">
        <f t="shared" si="1"/>
        <v>250.273</v>
      </c>
      <c r="C158" s="6" t="str">
        <f t="shared" si="2"/>
        <v>250,273</v>
      </c>
      <c r="D158" s="6">
        <f t="shared" si="3"/>
        <v>250.273</v>
      </c>
      <c r="E158" s="6">
        <f t="shared" si="4"/>
        <v>1.492</v>
      </c>
    </row>
    <row r="159">
      <c r="A159" s="4" t="s">
        <v>4405</v>
      </c>
      <c r="B159" s="6" t="str">
        <f t="shared" si="1"/>
        <v>251.987</v>
      </c>
      <c r="C159" s="6" t="str">
        <f t="shared" si="2"/>
        <v>251,987</v>
      </c>
      <c r="D159" s="6">
        <f t="shared" si="3"/>
        <v>251.987</v>
      </c>
      <c r="E159" s="6">
        <f t="shared" si="4"/>
        <v>1.714</v>
      </c>
    </row>
    <row r="160">
      <c r="A160" s="4" t="s">
        <v>4406</v>
      </c>
      <c r="B160" s="6" t="str">
        <f t="shared" si="1"/>
        <v>255.871</v>
      </c>
      <c r="C160" s="6" t="str">
        <f t="shared" si="2"/>
        <v>255,871</v>
      </c>
      <c r="D160" s="6">
        <f t="shared" si="3"/>
        <v>255.871</v>
      </c>
      <c r="E160" s="6">
        <f t="shared" si="4"/>
        <v>3.884</v>
      </c>
    </row>
    <row r="161">
      <c r="A161" s="4" t="s">
        <v>4407</v>
      </c>
      <c r="B161" s="6" t="str">
        <f t="shared" si="1"/>
        <v>256.238</v>
      </c>
      <c r="C161" s="6" t="str">
        <f t="shared" si="2"/>
        <v>256,238</v>
      </c>
      <c r="D161" s="6">
        <f t="shared" si="3"/>
        <v>256.238</v>
      </c>
      <c r="E161" s="6">
        <f t="shared" si="4"/>
        <v>0.367</v>
      </c>
    </row>
    <row r="162">
      <c r="A162" s="4" t="s">
        <v>4408</v>
      </c>
      <c r="B162" s="6" t="str">
        <f t="shared" si="1"/>
        <v>257.327</v>
      </c>
      <c r="C162" s="6" t="str">
        <f t="shared" si="2"/>
        <v>257,327</v>
      </c>
      <c r="D162" s="6">
        <f t="shared" si="3"/>
        <v>257.327</v>
      </c>
      <c r="E162" s="6">
        <f t="shared" si="4"/>
        <v>1.089</v>
      </c>
    </row>
    <row r="163">
      <c r="A163" s="4" t="s">
        <v>4409</v>
      </c>
      <c r="B163" s="6" t="str">
        <f t="shared" si="1"/>
        <v>258.454</v>
      </c>
      <c r="C163" s="6" t="str">
        <f t="shared" si="2"/>
        <v>258,454</v>
      </c>
      <c r="D163" s="6">
        <f t="shared" si="3"/>
        <v>258.454</v>
      </c>
      <c r="E163" s="6">
        <f t="shared" si="4"/>
        <v>1.127</v>
      </c>
    </row>
    <row r="164">
      <c r="A164" s="4" t="s">
        <v>4410</v>
      </c>
      <c r="B164" s="6" t="str">
        <f t="shared" si="1"/>
        <v>258.824</v>
      </c>
      <c r="C164" s="6" t="str">
        <f t="shared" si="2"/>
        <v>258,824</v>
      </c>
      <c r="D164" s="6">
        <f t="shared" si="3"/>
        <v>258.824</v>
      </c>
      <c r="E164" s="6">
        <f t="shared" si="4"/>
        <v>0.37</v>
      </c>
    </row>
    <row r="165">
      <c r="A165" s="4" t="s">
        <v>4411</v>
      </c>
      <c r="B165" s="6" t="str">
        <f t="shared" si="1"/>
        <v>261.210</v>
      </c>
      <c r="C165" s="6" t="str">
        <f t="shared" si="2"/>
        <v>261,210</v>
      </c>
      <c r="D165" s="6">
        <f t="shared" si="3"/>
        <v>261.21</v>
      </c>
      <c r="E165" s="6">
        <f t="shared" si="4"/>
        <v>2.386</v>
      </c>
    </row>
    <row r="166">
      <c r="A166" s="4" t="s">
        <v>4412</v>
      </c>
      <c r="B166" s="6" t="str">
        <f t="shared" si="1"/>
        <v>261.578</v>
      </c>
      <c r="C166" s="6" t="str">
        <f t="shared" si="2"/>
        <v>261,578</v>
      </c>
      <c r="D166" s="6">
        <f t="shared" si="3"/>
        <v>261.578</v>
      </c>
      <c r="E166" s="6">
        <f t="shared" si="4"/>
        <v>0.368</v>
      </c>
    </row>
    <row r="167">
      <c r="A167" s="4" t="s">
        <v>4413</v>
      </c>
      <c r="B167" s="6" t="str">
        <f t="shared" si="1"/>
        <v>261.937</v>
      </c>
      <c r="C167" s="6" t="str">
        <f t="shared" si="2"/>
        <v>261,937</v>
      </c>
      <c r="D167" s="6">
        <f t="shared" si="3"/>
        <v>261.937</v>
      </c>
      <c r="E167" s="6">
        <f t="shared" si="4"/>
        <v>0.359</v>
      </c>
    </row>
    <row r="168">
      <c r="A168" s="4" t="s">
        <v>4414</v>
      </c>
      <c r="B168" s="6" t="str">
        <f t="shared" si="1"/>
        <v>262.310</v>
      </c>
      <c r="C168" s="6" t="str">
        <f t="shared" si="2"/>
        <v>262,310</v>
      </c>
      <c r="D168" s="6">
        <f t="shared" si="3"/>
        <v>262.31</v>
      </c>
      <c r="E168" s="6">
        <f t="shared" si="4"/>
        <v>0.373</v>
      </c>
    </row>
    <row r="169">
      <c r="A169" s="4" t="s">
        <v>4415</v>
      </c>
      <c r="B169" s="6" t="str">
        <f t="shared" si="1"/>
        <v>266.264</v>
      </c>
      <c r="C169" s="6" t="str">
        <f t="shared" si="2"/>
        <v>266,264</v>
      </c>
      <c r="D169" s="6">
        <f t="shared" si="3"/>
        <v>266.264</v>
      </c>
      <c r="E169" s="6">
        <f t="shared" si="4"/>
        <v>3.954</v>
      </c>
    </row>
    <row r="170">
      <c r="A170" s="4" t="s">
        <v>4416</v>
      </c>
      <c r="B170" s="6" t="str">
        <f t="shared" si="1"/>
        <v>266.638</v>
      </c>
      <c r="C170" s="6" t="str">
        <f t="shared" si="2"/>
        <v>266,638</v>
      </c>
      <c r="D170" s="6">
        <f t="shared" si="3"/>
        <v>266.638</v>
      </c>
      <c r="E170" s="6">
        <f t="shared" si="4"/>
        <v>0.374</v>
      </c>
    </row>
    <row r="171">
      <c r="A171" s="4" t="s">
        <v>4417</v>
      </c>
      <c r="B171" s="6" t="str">
        <f t="shared" si="1"/>
        <v>268.391</v>
      </c>
      <c r="C171" s="6" t="str">
        <f t="shared" si="2"/>
        <v>268,391</v>
      </c>
      <c r="D171" s="6">
        <f t="shared" si="3"/>
        <v>268.391</v>
      </c>
      <c r="E171" s="6">
        <f t="shared" si="4"/>
        <v>1.753</v>
      </c>
    </row>
    <row r="172">
      <c r="A172" s="4" t="s">
        <v>4418</v>
      </c>
      <c r="B172" s="6" t="str">
        <f t="shared" si="1"/>
        <v>268.849</v>
      </c>
      <c r="C172" s="6" t="str">
        <f t="shared" si="2"/>
        <v>268,849</v>
      </c>
      <c r="D172" s="6">
        <f t="shared" si="3"/>
        <v>268.849</v>
      </c>
      <c r="E172" s="6">
        <f t="shared" si="4"/>
        <v>0.458</v>
      </c>
    </row>
    <row r="173">
      <c r="A173" s="4" t="s">
        <v>4419</v>
      </c>
      <c r="B173" s="6" t="str">
        <f t="shared" si="1"/>
        <v>269.226</v>
      </c>
      <c r="C173" s="6" t="str">
        <f t="shared" si="2"/>
        <v>269,226</v>
      </c>
      <c r="D173" s="6">
        <f t="shared" si="3"/>
        <v>269.226</v>
      </c>
      <c r="E173" s="6">
        <f t="shared" si="4"/>
        <v>0.377</v>
      </c>
    </row>
    <row r="174">
      <c r="A174" s="4" t="s">
        <v>4420</v>
      </c>
      <c r="B174" s="6" t="str">
        <f t="shared" si="1"/>
        <v>269.892</v>
      </c>
      <c r="C174" s="6" t="str">
        <f t="shared" si="2"/>
        <v>269,892</v>
      </c>
      <c r="D174" s="6">
        <f t="shared" si="3"/>
        <v>269.892</v>
      </c>
      <c r="E174" s="6">
        <f t="shared" si="4"/>
        <v>0.666</v>
      </c>
    </row>
    <row r="175">
      <c r="A175" s="4" t="s">
        <v>4421</v>
      </c>
      <c r="B175" s="6" t="str">
        <f t="shared" si="1"/>
        <v>272.082</v>
      </c>
      <c r="C175" s="6" t="str">
        <f t="shared" si="2"/>
        <v>272,082</v>
      </c>
      <c r="D175" s="6">
        <f t="shared" si="3"/>
        <v>272.082</v>
      </c>
      <c r="E175" s="6">
        <f t="shared" si="4"/>
        <v>2.19</v>
      </c>
    </row>
    <row r="176">
      <c r="A176" s="4" t="s">
        <v>4422</v>
      </c>
      <c r="B176" s="6" t="str">
        <f t="shared" si="1"/>
        <v>273.818</v>
      </c>
      <c r="C176" s="6" t="str">
        <f t="shared" si="2"/>
        <v>273,818</v>
      </c>
      <c r="D176" s="6">
        <f t="shared" si="3"/>
        <v>273.818</v>
      </c>
      <c r="E176" s="6">
        <f t="shared" si="4"/>
        <v>1.736</v>
      </c>
    </row>
    <row r="177">
      <c r="A177" s="4" t="s">
        <v>4423</v>
      </c>
      <c r="B177" s="6" t="str">
        <f t="shared" si="1"/>
        <v>275.649</v>
      </c>
      <c r="C177" s="6" t="str">
        <f t="shared" si="2"/>
        <v>275,649</v>
      </c>
      <c r="D177" s="6">
        <f t="shared" si="3"/>
        <v>275.649</v>
      </c>
      <c r="E177" s="6">
        <f t="shared" si="4"/>
        <v>1.831</v>
      </c>
    </row>
    <row r="178">
      <c r="A178" s="4" t="s">
        <v>4424</v>
      </c>
      <c r="B178" s="6" t="str">
        <f t="shared" si="1"/>
        <v>279.690</v>
      </c>
      <c r="C178" s="6" t="str">
        <f t="shared" si="2"/>
        <v>279,690</v>
      </c>
      <c r="D178" s="6">
        <f t="shared" si="3"/>
        <v>279.69</v>
      </c>
      <c r="E178" s="6">
        <f t="shared" si="4"/>
        <v>4.041</v>
      </c>
    </row>
    <row r="179">
      <c r="A179" s="4" t="s">
        <v>4425</v>
      </c>
      <c r="B179" s="6" t="str">
        <f t="shared" si="1"/>
        <v>280.078</v>
      </c>
      <c r="C179" s="6" t="str">
        <f t="shared" si="2"/>
        <v>280,078</v>
      </c>
      <c r="D179" s="6">
        <f t="shared" si="3"/>
        <v>280.078</v>
      </c>
      <c r="E179" s="6">
        <f t="shared" si="4"/>
        <v>0.388</v>
      </c>
    </row>
    <row r="180">
      <c r="A180" s="4" t="s">
        <v>4426</v>
      </c>
      <c r="B180" s="6" t="str">
        <f t="shared" si="1"/>
        <v>281.499</v>
      </c>
      <c r="C180" s="6" t="str">
        <f t="shared" si="2"/>
        <v>281,499</v>
      </c>
      <c r="D180" s="6">
        <f t="shared" si="3"/>
        <v>281.499</v>
      </c>
      <c r="E180" s="6">
        <f t="shared" si="4"/>
        <v>1.421</v>
      </c>
    </row>
    <row r="181">
      <c r="A181" s="4" t="s">
        <v>4427</v>
      </c>
      <c r="B181" s="6" t="str">
        <f t="shared" si="1"/>
        <v>282.651</v>
      </c>
      <c r="C181" s="6" t="str">
        <f t="shared" si="2"/>
        <v>282,651</v>
      </c>
      <c r="D181" s="6">
        <f t="shared" si="3"/>
        <v>282.651</v>
      </c>
      <c r="E181" s="6">
        <f t="shared" si="4"/>
        <v>1.152</v>
      </c>
    </row>
    <row r="182">
      <c r="A182" s="4" t="s">
        <v>4428</v>
      </c>
      <c r="B182" s="6" t="str">
        <f t="shared" si="1"/>
        <v>283.051</v>
      </c>
      <c r="C182" s="6" t="str">
        <f t="shared" si="2"/>
        <v>283,051</v>
      </c>
      <c r="D182" s="6">
        <f t="shared" si="3"/>
        <v>283.051</v>
      </c>
      <c r="E182" s="6">
        <f t="shared" si="4"/>
        <v>0.4</v>
      </c>
    </row>
    <row r="183">
      <c r="A183" s="4" t="s">
        <v>4429</v>
      </c>
      <c r="B183" s="6" t="str">
        <f t="shared" si="1"/>
        <v>284.618</v>
      </c>
      <c r="C183" s="6" t="str">
        <f t="shared" si="2"/>
        <v>284,618</v>
      </c>
      <c r="D183" s="6">
        <f t="shared" si="3"/>
        <v>284.618</v>
      </c>
      <c r="E183" s="6">
        <f t="shared" si="4"/>
        <v>1.567</v>
      </c>
    </row>
    <row r="184">
      <c r="A184" s="4" t="s">
        <v>4430</v>
      </c>
      <c r="B184" s="6" t="str">
        <f t="shared" si="1"/>
        <v>285.950</v>
      </c>
      <c r="C184" s="6" t="str">
        <f t="shared" si="2"/>
        <v>285,950</v>
      </c>
      <c r="D184" s="6">
        <f t="shared" si="3"/>
        <v>285.95</v>
      </c>
      <c r="E184" s="6">
        <f t="shared" si="4"/>
        <v>1.332</v>
      </c>
    </row>
    <row r="185">
      <c r="A185" s="4" t="s">
        <v>4431</v>
      </c>
      <c r="B185" s="6" t="str">
        <f t="shared" si="1"/>
        <v>286.319</v>
      </c>
      <c r="C185" s="6" t="str">
        <f t="shared" si="2"/>
        <v>286,319</v>
      </c>
      <c r="D185" s="6">
        <f t="shared" si="3"/>
        <v>286.319</v>
      </c>
      <c r="E185" s="6">
        <f t="shared" si="4"/>
        <v>0.369</v>
      </c>
    </row>
    <row r="186">
      <c r="A186" s="4" t="s">
        <v>4432</v>
      </c>
      <c r="B186" s="6" t="str">
        <f t="shared" si="1"/>
        <v>286.689</v>
      </c>
      <c r="C186" s="6" t="str">
        <f t="shared" si="2"/>
        <v>286,689</v>
      </c>
      <c r="D186" s="6">
        <f t="shared" si="3"/>
        <v>286.689</v>
      </c>
      <c r="E186" s="6">
        <f t="shared" si="4"/>
        <v>0.37</v>
      </c>
    </row>
    <row r="187">
      <c r="A187" s="4" t="s">
        <v>4433</v>
      </c>
      <c r="B187" s="6" t="str">
        <f t="shared" si="1"/>
        <v>287.062</v>
      </c>
      <c r="C187" s="6" t="str">
        <f t="shared" si="2"/>
        <v>287,062</v>
      </c>
      <c r="D187" s="6">
        <f t="shared" si="3"/>
        <v>287.062</v>
      </c>
      <c r="E187" s="6">
        <f t="shared" si="4"/>
        <v>0.373</v>
      </c>
    </row>
    <row r="188">
      <c r="A188" s="4" t="s">
        <v>4434</v>
      </c>
      <c r="B188" s="6" t="str">
        <f t="shared" si="1"/>
        <v>288.959</v>
      </c>
      <c r="C188" s="6" t="str">
        <f t="shared" si="2"/>
        <v>288,959</v>
      </c>
      <c r="D188" s="6">
        <f t="shared" si="3"/>
        <v>288.959</v>
      </c>
      <c r="E188" s="6">
        <f t="shared" si="4"/>
        <v>1.897</v>
      </c>
    </row>
    <row r="189">
      <c r="A189" s="4" t="s">
        <v>4435</v>
      </c>
      <c r="B189" s="6" t="str">
        <f t="shared" si="1"/>
        <v>291.119</v>
      </c>
      <c r="C189" s="6" t="str">
        <f t="shared" si="2"/>
        <v>291,119</v>
      </c>
      <c r="D189" s="6">
        <f t="shared" si="3"/>
        <v>291.119</v>
      </c>
      <c r="E189" s="6">
        <f t="shared" si="4"/>
        <v>2.16</v>
      </c>
    </row>
    <row r="190">
      <c r="A190" s="4" t="s">
        <v>4436</v>
      </c>
      <c r="B190" s="6" t="str">
        <f t="shared" si="1"/>
        <v>291.488</v>
      </c>
      <c r="C190" s="6" t="str">
        <f t="shared" si="2"/>
        <v>291,488</v>
      </c>
      <c r="D190" s="6">
        <f t="shared" si="3"/>
        <v>291.488</v>
      </c>
      <c r="E190" s="6">
        <f t="shared" si="4"/>
        <v>0.369</v>
      </c>
    </row>
    <row r="191">
      <c r="A191" s="4" t="s">
        <v>4437</v>
      </c>
      <c r="B191" s="6" t="str">
        <f t="shared" si="1"/>
        <v>293.406</v>
      </c>
      <c r="C191" s="6" t="str">
        <f t="shared" si="2"/>
        <v>293,406</v>
      </c>
      <c r="D191" s="6">
        <f t="shared" si="3"/>
        <v>293.406</v>
      </c>
      <c r="E191" s="6">
        <f t="shared" si="4"/>
        <v>1.918</v>
      </c>
    </row>
    <row r="192">
      <c r="A192" s="4" t="s">
        <v>4438</v>
      </c>
      <c r="B192" s="6" t="str">
        <f t="shared" si="1"/>
        <v>293.791</v>
      </c>
      <c r="C192" s="6" t="str">
        <f t="shared" si="2"/>
        <v>293,791</v>
      </c>
      <c r="D192" s="6">
        <f t="shared" si="3"/>
        <v>293.791</v>
      </c>
      <c r="E192" s="6">
        <f t="shared" si="4"/>
        <v>0.385</v>
      </c>
    </row>
    <row r="193">
      <c r="A193" s="4" t="s">
        <v>4439</v>
      </c>
      <c r="B193" s="6" t="str">
        <f t="shared" si="1"/>
        <v>294.172</v>
      </c>
      <c r="C193" s="6" t="str">
        <f t="shared" si="2"/>
        <v>294,172</v>
      </c>
      <c r="D193" s="6">
        <f t="shared" si="3"/>
        <v>294.172</v>
      </c>
      <c r="E193" s="6">
        <f t="shared" si="4"/>
        <v>0.381</v>
      </c>
    </row>
    <row r="194">
      <c r="A194" s="4" t="s">
        <v>4440</v>
      </c>
      <c r="B194" s="6" t="str">
        <f t="shared" si="1"/>
        <v>294.995</v>
      </c>
      <c r="C194" s="6" t="str">
        <f t="shared" si="2"/>
        <v>294,995</v>
      </c>
      <c r="D194" s="6">
        <f t="shared" si="3"/>
        <v>294.995</v>
      </c>
      <c r="E194" s="6">
        <f t="shared" si="4"/>
        <v>0.823</v>
      </c>
    </row>
    <row r="195">
      <c r="A195" s="4" t="s">
        <v>4441</v>
      </c>
      <c r="B195" s="6" t="str">
        <f t="shared" si="1"/>
        <v>297.108</v>
      </c>
      <c r="C195" s="6" t="str">
        <f t="shared" si="2"/>
        <v>297,108</v>
      </c>
      <c r="D195" s="6">
        <f t="shared" si="3"/>
        <v>297.108</v>
      </c>
      <c r="E195" s="6">
        <f t="shared" si="4"/>
        <v>2.113</v>
      </c>
    </row>
    <row r="196">
      <c r="A196" s="4" t="s">
        <v>4442</v>
      </c>
      <c r="B196" s="6" t="str">
        <f t="shared" si="1"/>
        <v>298.610</v>
      </c>
      <c r="C196" s="6" t="str">
        <f t="shared" si="2"/>
        <v>298,610</v>
      </c>
      <c r="D196" s="6">
        <f t="shared" si="3"/>
        <v>298.61</v>
      </c>
      <c r="E196" s="6">
        <f t="shared" si="4"/>
        <v>1.502</v>
      </c>
    </row>
    <row r="197">
      <c r="A197" s="4" t="s">
        <v>4443</v>
      </c>
      <c r="B197" s="6" t="str">
        <f t="shared" si="1"/>
        <v>307.199</v>
      </c>
      <c r="C197" s="6" t="str">
        <f t="shared" si="2"/>
        <v>307,199</v>
      </c>
      <c r="D197" s="6">
        <f t="shared" si="3"/>
        <v>307.199</v>
      </c>
      <c r="E197" s="6">
        <f t="shared" si="4"/>
        <v>8.589</v>
      </c>
    </row>
    <row r="198">
      <c r="A198" s="4" t="s">
        <v>4444</v>
      </c>
      <c r="B198" s="6" t="str">
        <f t="shared" si="1"/>
        <v>307.591</v>
      </c>
      <c r="C198" s="6" t="str">
        <f t="shared" si="2"/>
        <v>307,591</v>
      </c>
      <c r="D198" s="6">
        <f t="shared" si="3"/>
        <v>307.591</v>
      </c>
      <c r="E198" s="6">
        <f t="shared" si="4"/>
        <v>0.392</v>
      </c>
    </row>
    <row r="199">
      <c r="A199" s="4" t="s">
        <v>4445</v>
      </c>
      <c r="B199" s="6" t="str">
        <f t="shared" si="1"/>
        <v>308.809</v>
      </c>
      <c r="C199" s="6" t="str">
        <f t="shared" si="2"/>
        <v>308,809</v>
      </c>
      <c r="D199" s="6">
        <f t="shared" si="3"/>
        <v>308.809</v>
      </c>
      <c r="E199" s="6">
        <f t="shared" si="4"/>
        <v>1.218</v>
      </c>
    </row>
    <row r="200">
      <c r="A200" s="4" t="s">
        <v>4446</v>
      </c>
      <c r="B200" s="6" t="str">
        <f t="shared" si="1"/>
        <v>310.253</v>
      </c>
      <c r="C200" s="6" t="str">
        <f t="shared" si="2"/>
        <v>310,253</v>
      </c>
      <c r="D200" s="6">
        <f t="shared" si="3"/>
        <v>310.253</v>
      </c>
      <c r="E200" s="6">
        <f t="shared" si="4"/>
        <v>1.444</v>
      </c>
    </row>
    <row r="201">
      <c r="A201" s="4" t="s">
        <v>4447</v>
      </c>
      <c r="B201" s="6" t="str">
        <f t="shared" si="1"/>
        <v>317.423</v>
      </c>
      <c r="C201" s="6" t="str">
        <f t="shared" si="2"/>
        <v>317,423</v>
      </c>
      <c r="D201" s="6">
        <f t="shared" si="3"/>
        <v>317.423</v>
      </c>
      <c r="E201" s="6">
        <f t="shared" si="4"/>
        <v>7.17</v>
      </c>
    </row>
    <row r="202">
      <c r="A202" s="4" t="s">
        <v>4448</v>
      </c>
      <c r="B202" s="6" t="str">
        <f t="shared" si="1"/>
        <v>318.888</v>
      </c>
      <c r="C202" s="6" t="str">
        <f t="shared" si="2"/>
        <v>318,888</v>
      </c>
      <c r="D202" s="6">
        <f t="shared" si="3"/>
        <v>318.888</v>
      </c>
      <c r="E202" s="6">
        <f t="shared" si="4"/>
        <v>1.465</v>
      </c>
    </row>
    <row r="203">
      <c r="A203" s="4" t="s">
        <v>4449</v>
      </c>
      <c r="B203" s="6" t="str">
        <f t="shared" si="1"/>
        <v>322.775</v>
      </c>
      <c r="C203" s="6" t="str">
        <f t="shared" si="2"/>
        <v>322,775</v>
      </c>
      <c r="D203" s="6">
        <f t="shared" si="3"/>
        <v>322.775</v>
      </c>
      <c r="E203" s="6">
        <f t="shared" si="4"/>
        <v>3.887</v>
      </c>
    </row>
    <row r="204">
      <c r="A204" s="4" t="s">
        <v>4450</v>
      </c>
      <c r="B204" s="6" t="str">
        <f t="shared" si="1"/>
        <v>324.930</v>
      </c>
      <c r="C204" s="6" t="str">
        <f t="shared" si="2"/>
        <v>324,930</v>
      </c>
      <c r="D204" s="6">
        <f t="shared" si="3"/>
        <v>324.93</v>
      </c>
      <c r="E204" s="6">
        <f t="shared" si="4"/>
        <v>2.155</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c r="H1" s="7"/>
    </row>
    <row r="2">
      <c r="A2" s="4" t="s">
        <v>4451</v>
      </c>
      <c r="C2" s="4"/>
      <c r="D2" s="4"/>
      <c r="E2" s="8"/>
      <c r="F2" s="8"/>
      <c r="G2" s="8"/>
      <c r="H2" s="9"/>
    </row>
    <row r="3">
      <c r="A3" s="4"/>
      <c r="C3" s="4"/>
      <c r="D3" s="4"/>
      <c r="E3" s="8"/>
      <c r="F3" s="8"/>
      <c r="G3" s="8"/>
      <c r="H3" s="9"/>
    </row>
    <row r="4">
      <c r="A4" s="4"/>
      <c r="C4" s="4"/>
      <c r="D4" s="4"/>
      <c r="E4" s="8"/>
      <c r="F4" s="8"/>
      <c r="G4" s="8"/>
      <c r="H4" s="9"/>
    </row>
    <row r="5">
      <c r="A5" s="4"/>
      <c r="C5" s="4"/>
      <c r="D5" s="4"/>
      <c r="E5" s="8"/>
      <c r="F5" s="8"/>
      <c r="G5" s="8"/>
      <c r="H5" s="9"/>
    </row>
    <row r="6">
      <c r="A6" s="4"/>
      <c r="C6" s="4"/>
      <c r="D6" s="4"/>
      <c r="E6" s="8"/>
      <c r="F6" s="8"/>
      <c r="G6" s="8"/>
      <c r="H6" s="9"/>
    </row>
    <row r="7">
      <c r="A7" s="4"/>
      <c r="C7" s="4"/>
      <c r="D7" s="4"/>
      <c r="E7" s="8"/>
      <c r="F7" s="8"/>
      <c r="G7" s="8"/>
      <c r="H7" s="9"/>
    </row>
    <row r="8">
      <c r="A8" s="4"/>
      <c r="C8" s="4"/>
      <c r="D8" s="4"/>
      <c r="E8" s="8"/>
      <c r="F8" s="8"/>
      <c r="G8" s="8"/>
      <c r="H8" s="9"/>
    </row>
    <row r="9">
      <c r="A9" s="4"/>
      <c r="C9" s="4"/>
      <c r="D9" s="4"/>
      <c r="E9" s="8"/>
      <c r="F9" s="8"/>
      <c r="G9" s="8"/>
      <c r="H9" s="9"/>
    </row>
    <row r="10">
      <c r="A10" s="4"/>
      <c r="C10" s="4"/>
      <c r="D10" s="4"/>
      <c r="E10" s="8"/>
      <c r="F10" s="8"/>
      <c r="G10" s="8"/>
      <c r="H10" s="9"/>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c r="H1" s="7"/>
    </row>
    <row r="2">
      <c r="A2" s="4" t="s">
        <v>33</v>
      </c>
      <c r="C2" s="4"/>
      <c r="D2" s="4"/>
      <c r="E2" s="8"/>
      <c r="F2" s="8"/>
      <c r="G2" s="8"/>
      <c r="H2" s="9"/>
    </row>
    <row r="3">
      <c r="A3" s="4" t="s">
        <v>144</v>
      </c>
      <c r="C3" s="4"/>
      <c r="D3" s="4"/>
      <c r="E3" s="8"/>
      <c r="F3" s="8"/>
      <c r="G3" s="8"/>
      <c r="H3" s="9"/>
    </row>
    <row r="4">
      <c r="A4" s="4" t="s">
        <v>501</v>
      </c>
      <c r="C4" s="4"/>
      <c r="D4" s="4"/>
      <c r="E4" s="8"/>
      <c r="F4" s="8"/>
      <c r="G4" s="8"/>
      <c r="H4" s="9"/>
    </row>
    <row r="5">
      <c r="A5" s="4" t="s">
        <v>75</v>
      </c>
      <c r="C5" s="4"/>
      <c r="D5" s="4"/>
      <c r="E5" s="8"/>
      <c r="F5" s="8"/>
      <c r="G5" s="8"/>
      <c r="H5" s="9"/>
    </row>
    <row r="6">
      <c r="A6" s="4" t="s">
        <v>1227</v>
      </c>
      <c r="C6" s="4"/>
      <c r="D6" s="4"/>
      <c r="E6" s="8"/>
      <c r="F6" s="8"/>
      <c r="G6" s="8"/>
      <c r="H6" s="9"/>
    </row>
    <row r="7">
      <c r="A7" s="4" t="s">
        <v>68</v>
      </c>
      <c r="C7" s="4"/>
      <c r="D7" s="4"/>
      <c r="E7" s="8"/>
      <c r="F7" s="8"/>
      <c r="G7" s="8"/>
      <c r="H7" s="9"/>
    </row>
    <row r="8">
      <c r="A8" s="4" t="s">
        <v>1246</v>
      </c>
      <c r="C8" s="4"/>
      <c r="D8" s="4"/>
      <c r="E8" s="8"/>
      <c r="F8" s="8"/>
      <c r="G8" s="8"/>
      <c r="H8" s="9"/>
    </row>
    <row r="9">
      <c r="A9" s="4" t="s">
        <v>33</v>
      </c>
      <c r="C9" s="4"/>
      <c r="D9" s="4"/>
      <c r="E9" s="8"/>
      <c r="F9" s="8"/>
      <c r="G9" s="8"/>
      <c r="H9" s="9"/>
    </row>
    <row r="10">
      <c r="A10" s="4" t="s">
        <v>34</v>
      </c>
      <c r="C10" s="4"/>
      <c r="D10" s="4"/>
      <c r="E10" s="8"/>
      <c r="F10" s="8"/>
      <c r="G10" s="8"/>
      <c r="H10" s="9"/>
    </row>
    <row r="11">
      <c r="A11" s="4" t="s">
        <v>80</v>
      </c>
    </row>
    <row r="12">
      <c r="A12" s="4" t="s">
        <v>4452</v>
      </c>
    </row>
    <row r="13">
      <c r="A13" s="4" t="s">
        <v>35</v>
      </c>
    </row>
    <row r="14">
      <c r="A14" s="4" t="s">
        <v>40</v>
      </c>
    </row>
    <row r="15">
      <c r="A15" s="4" t="s">
        <v>3270</v>
      </c>
    </row>
    <row r="16">
      <c r="A16" s="4" t="s">
        <v>48</v>
      </c>
    </row>
    <row r="17">
      <c r="A17" s="4" t="s">
        <v>147</v>
      </c>
    </row>
    <row r="18">
      <c r="A18" s="4" t="s">
        <v>33</v>
      </c>
    </row>
    <row r="19">
      <c r="A19" s="4" t="s">
        <v>4453</v>
      </c>
    </row>
    <row r="20">
      <c r="A20" s="4" t="s">
        <v>50</v>
      </c>
    </row>
    <row r="21">
      <c r="A21" s="4" t="s">
        <v>40</v>
      </c>
    </row>
    <row r="22">
      <c r="A22" s="4" t="s">
        <v>129</v>
      </c>
    </row>
    <row r="23">
      <c r="A23" s="4" t="s">
        <v>120</v>
      </c>
    </row>
    <row r="24">
      <c r="A24" s="4" t="s">
        <v>33</v>
      </c>
    </row>
    <row r="25">
      <c r="A25" s="4" t="s">
        <v>500</v>
      </c>
    </row>
    <row r="26">
      <c r="A26" s="4" t="s">
        <v>132</v>
      </c>
    </row>
    <row r="27">
      <c r="A27" s="4" t="s">
        <v>4452</v>
      </c>
    </row>
    <row r="28">
      <c r="A28" s="4" t="s">
        <v>88</v>
      </c>
    </row>
    <row r="29">
      <c r="A29" s="4" t="s">
        <v>75</v>
      </c>
    </row>
    <row r="30">
      <c r="A30" s="4" t="s">
        <v>33</v>
      </c>
    </row>
    <row r="31">
      <c r="A31" s="4" t="s">
        <v>34</v>
      </c>
    </row>
    <row r="32">
      <c r="A32" s="4" t="s">
        <v>4454</v>
      </c>
    </row>
    <row r="33">
      <c r="A33" s="4" t="s">
        <v>75</v>
      </c>
    </row>
    <row r="34">
      <c r="A34" s="4" t="s">
        <v>50</v>
      </c>
    </row>
    <row r="35">
      <c r="A35" s="4" t="s">
        <v>159</v>
      </c>
    </row>
    <row r="36">
      <c r="A36" s="4" t="s">
        <v>129</v>
      </c>
    </row>
    <row r="37">
      <c r="A37" s="4" t="s">
        <v>4455</v>
      </c>
    </row>
    <row r="38">
      <c r="A38" s="4" t="s">
        <v>33</v>
      </c>
    </row>
    <row r="39">
      <c r="A39" s="4" t="s">
        <v>34</v>
      </c>
    </row>
    <row r="40">
      <c r="A40" s="4" t="s">
        <v>132</v>
      </c>
    </row>
    <row r="41">
      <c r="A41" s="4" t="s">
        <v>133</v>
      </c>
    </row>
    <row r="42">
      <c r="A42" s="4" t="s">
        <v>46</v>
      </c>
    </row>
    <row r="43">
      <c r="A43" s="4" t="s">
        <v>167</v>
      </c>
    </row>
    <row r="44">
      <c r="A44" s="4" t="s">
        <v>53</v>
      </c>
    </row>
    <row r="45">
      <c r="A45" s="4" t="s">
        <v>115</v>
      </c>
    </row>
    <row r="46">
      <c r="A46" s="4" t="s">
        <v>92</v>
      </c>
    </row>
    <row r="47">
      <c r="A47" s="4" t="s">
        <v>93</v>
      </c>
    </row>
    <row r="48">
      <c r="A48" s="4" t="s">
        <v>33</v>
      </c>
    </row>
    <row r="49">
      <c r="A49" s="4" t="s">
        <v>51</v>
      </c>
    </row>
    <row r="50">
      <c r="A50" s="4" t="s">
        <v>943</v>
      </c>
    </row>
    <row r="51">
      <c r="A51" s="4" t="s">
        <v>41</v>
      </c>
    </row>
    <row r="52">
      <c r="A52" s="4" t="s">
        <v>944</v>
      </c>
    </row>
    <row r="53">
      <c r="A53" s="4" t="s">
        <v>1241</v>
      </c>
    </row>
    <row r="54">
      <c r="A54" s="4" t="s">
        <v>50</v>
      </c>
    </row>
    <row r="55">
      <c r="A55" s="4" t="s">
        <v>40</v>
      </c>
    </row>
    <row r="56">
      <c r="A56" s="4" t="s">
        <v>129</v>
      </c>
    </row>
    <row r="57">
      <c r="A57" s="4" t="s">
        <v>535</v>
      </c>
    </row>
    <row r="58">
      <c r="A58" s="4" t="s">
        <v>33</v>
      </c>
    </row>
    <row r="59">
      <c r="A59" s="4" t="s">
        <v>34</v>
      </c>
    </row>
    <row r="60">
      <c r="A60" s="4" t="s">
        <v>88</v>
      </c>
    </row>
    <row r="61">
      <c r="A61" s="4" t="s">
        <v>89</v>
      </c>
    </row>
    <row r="62">
      <c r="A62" s="4" t="s">
        <v>90</v>
      </c>
    </row>
    <row r="63">
      <c r="A63" s="4" t="s">
        <v>33</v>
      </c>
    </row>
    <row r="64">
      <c r="A64" s="4" t="s">
        <v>34</v>
      </c>
    </row>
    <row r="65">
      <c r="A65" s="4" t="s">
        <v>35</v>
      </c>
    </row>
    <row r="66">
      <c r="A66" s="4" t="s">
        <v>65</v>
      </c>
    </row>
    <row r="67">
      <c r="A67" s="4" t="s">
        <v>119</v>
      </c>
    </row>
    <row r="68">
      <c r="A68" s="4" t="s">
        <v>109</v>
      </c>
    </row>
    <row r="69">
      <c r="A69" s="4" t="s">
        <v>1238</v>
      </c>
    </row>
    <row r="70">
      <c r="A70" s="4" t="s">
        <v>90</v>
      </c>
    </row>
    <row r="71">
      <c r="A71" s="4" t="s">
        <v>33</v>
      </c>
    </row>
    <row r="72">
      <c r="A72" s="4" t="s">
        <v>34</v>
      </c>
    </row>
    <row r="73">
      <c r="A73" s="4" t="s">
        <v>51</v>
      </c>
    </row>
    <row r="74">
      <c r="A74" s="4" t="s">
        <v>4456</v>
      </c>
    </row>
    <row r="75">
      <c r="A75" s="4" t="s">
        <v>88</v>
      </c>
    </row>
    <row r="76">
      <c r="A76" s="4" t="s">
        <v>89</v>
      </c>
    </row>
    <row r="77">
      <c r="A77" s="4" t="s">
        <v>33</v>
      </c>
    </row>
    <row r="78">
      <c r="A78" s="4" t="s">
        <v>34</v>
      </c>
    </row>
    <row r="79">
      <c r="A79" s="4" t="s">
        <v>36</v>
      </c>
    </row>
    <row r="80">
      <c r="A80" s="4" t="s">
        <v>155</v>
      </c>
    </row>
    <row r="81">
      <c r="A81" s="4" t="s">
        <v>4457</v>
      </c>
    </row>
    <row r="82">
      <c r="A82" s="4" t="s">
        <v>88</v>
      </c>
    </row>
    <row r="83">
      <c r="A83" s="4" t="s">
        <v>89</v>
      </c>
    </row>
    <row r="84">
      <c r="A84" s="4" t="s">
        <v>33</v>
      </c>
    </row>
    <row r="85">
      <c r="A85" s="4" t="s">
        <v>34</v>
      </c>
    </row>
    <row r="86">
      <c r="A86" s="4" t="s">
        <v>50</v>
      </c>
    </row>
    <row r="87">
      <c r="A87" s="4" t="s">
        <v>40</v>
      </c>
    </row>
    <row r="88">
      <c r="A88" s="4" t="s">
        <v>129</v>
      </c>
    </row>
    <row r="89">
      <c r="A89" s="4" t="s">
        <v>56</v>
      </c>
    </row>
    <row r="90">
      <c r="A90" s="4" t="s">
        <v>4458</v>
      </c>
    </row>
    <row r="91">
      <c r="A91" s="4" t="s">
        <v>33</v>
      </c>
    </row>
    <row r="92">
      <c r="A92" s="4" t="s">
        <v>36</v>
      </c>
    </row>
    <row r="93">
      <c r="A93" s="4" t="s">
        <v>71</v>
      </c>
    </row>
    <row r="94">
      <c r="A94" s="4" t="s">
        <v>44</v>
      </c>
    </row>
    <row r="95">
      <c r="A95" s="4" t="s">
        <v>62</v>
      </c>
    </row>
    <row r="96">
      <c r="A96" s="4" t="s">
        <v>4459</v>
      </c>
    </row>
    <row r="97">
      <c r="A97" s="4" t="s">
        <v>4460</v>
      </c>
    </row>
    <row r="98">
      <c r="A98" s="4" t="s">
        <v>33</v>
      </c>
    </row>
    <row r="99">
      <c r="A99" s="4" t="s">
        <v>36</v>
      </c>
    </row>
    <row r="100">
      <c r="A100" s="4" t="s">
        <v>4461</v>
      </c>
    </row>
    <row r="101">
      <c r="A101" s="4" t="s">
        <v>41</v>
      </c>
    </row>
    <row r="102">
      <c r="A102" s="4" t="s">
        <v>3579</v>
      </c>
    </row>
    <row r="103">
      <c r="A103" s="4" t="s">
        <v>50</v>
      </c>
    </row>
    <row r="104">
      <c r="A104" s="4" t="s">
        <v>40</v>
      </c>
    </row>
    <row r="105">
      <c r="A105" s="4" t="s">
        <v>126</v>
      </c>
    </row>
    <row r="106">
      <c r="A106" s="4" t="s">
        <v>139</v>
      </c>
    </row>
    <row r="107">
      <c r="A107" s="4" t="s">
        <v>129</v>
      </c>
    </row>
    <row r="108">
      <c r="A108" s="4" t="s">
        <v>34</v>
      </c>
    </row>
    <row r="109">
      <c r="A109" s="4" t="s">
        <v>33</v>
      </c>
    </row>
    <row r="110">
      <c r="A110" s="4" t="s">
        <v>144</v>
      </c>
    </row>
    <row r="111">
      <c r="A111" s="4" t="s">
        <v>40</v>
      </c>
    </row>
    <row r="112">
      <c r="A112" s="4" t="s">
        <v>53</v>
      </c>
    </row>
    <row r="113">
      <c r="A113" s="4" t="s">
        <v>115</v>
      </c>
    </row>
    <row r="114">
      <c r="A114" s="4" t="s">
        <v>92</v>
      </c>
    </row>
    <row r="115">
      <c r="A115" s="4" t="s">
        <v>93</v>
      </c>
    </row>
    <row r="116">
      <c r="A116" s="4" t="s">
        <v>33</v>
      </c>
    </row>
    <row r="117">
      <c r="A117" s="4" t="s">
        <v>34</v>
      </c>
    </row>
    <row r="118">
      <c r="A118" s="4" t="s">
        <v>36</v>
      </c>
    </row>
    <row r="119">
      <c r="A119" s="4" t="s">
        <v>4462</v>
      </c>
    </row>
    <row r="120">
      <c r="A120" s="4" t="s">
        <v>4463</v>
      </c>
    </row>
    <row r="121">
      <c r="A121" s="4" t="s">
        <v>50</v>
      </c>
    </row>
    <row r="122">
      <c r="A122" s="4" t="s">
        <v>40</v>
      </c>
    </row>
    <row r="123">
      <c r="A123" s="4" t="s">
        <v>33</v>
      </c>
    </row>
    <row r="124">
      <c r="A124" s="4" t="s">
        <v>34</v>
      </c>
    </row>
    <row r="125">
      <c r="A125" s="4" t="s">
        <v>39</v>
      </c>
    </row>
    <row r="126">
      <c r="A126" s="4" t="s">
        <v>40</v>
      </c>
    </row>
    <row r="127">
      <c r="A127" s="4" t="s">
        <v>126</v>
      </c>
    </row>
    <row r="128">
      <c r="A128" s="4" t="s">
        <v>139</v>
      </c>
    </row>
    <row r="129">
      <c r="A129" s="4" t="s">
        <v>48</v>
      </c>
    </row>
    <row r="130">
      <c r="A130" s="4" t="s">
        <v>129</v>
      </c>
    </row>
    <row r="131">
      <c r="A131" s="4" t="s">
        <v>500</v>
      </c>
    </row>
    <row r="132">
      <c r="A132" s="4" t="s">
        <v>33</v>
      </c>
    </row>
    <row r="133">
      <c r="A133" s="4" t="s">
        <v>43</v>
      </c>
    </row>
    <row r="134">
      <c r="A134" s="4" t="s">
        <v>41</v>
      </c>
    </row>
    <row r="135">
      <c r="A135" s="4" t="s">
        <v>45</v>
      </c>
    </row>
    <row r="136">
      <c r="A136" s="4" t="s">
        <v>46</v>
      </c>
    </row>
    <row r="137">
      <c r="A137" s="4" t="s">
        <v>33</v>
      </c>
    </row>
    <row r="138">
      <c r="A138" s="4" t="s">
        <v>34</v>
      </c>
    </row>
    <row r="139">
      <c r="A139" s="4" t="s">
        <v>132</v>
      </c>
    </row>
    <row r="140">
      <c r="A140" s="4" t="s">
        <v>883</v>
      </c>
    </row>
    <row r="141">
      <c r="A141" s="4" t="s">
        <v>75</v>
      </c>
    </row>
    <row r="142">
      <c r="A142" s="4" t="s">
        <v>100</v>
      </c>
    </row>
    <row r="143">
      <c r="A143" s="4" t="s">
        <v>48</v>
      </c>
    </row>
    <row r="144">
      <c r="A144" s="4" t="s">
        <v>88</v>
      </c>
    </row>
    <row r="145">
      <c r="A145" s="4" t="s">
        <v>75</v>
      </c>
    </row>
    <row r="146">
      <c r="A146" s="4" t="s">
        <v>33</v>
      </c>
    </row>
    <row r="147">
      <c r="A147" s="4" t="s">
        <v>51</v>
      </c>
    </row>
    <row r="148">
      <c r="A148" s="4" t="s">
        <v>102</v>
      </c>
    </row>
    <row r="149">
      <c r="A149" s="4" t="s">
        <v>35</v>
      </c>
    </row>
    <row r="150">
      <c r="A150" s="4" t="s">
        <v>40</v>
      </c>
    </row>
    <row r="151">
      <c r="A151" s="4" t="s">
        <v>872</v>
      </c>
    </row>
    <row r="152">
      <c r="A152" s="4" t="s">
        <v>48</v>
      </c>
    </row>
    <row r="153">
      <c r="A153" s="4" t="s">
        <v>107</v>
      </c>
    </row>
    <row r="154">
      <c r="A154" s="4" t="s">
        <v>41</v>
      </c>
    </row>
    <row r="155">
      <c r="A155" s="4" t="s">
        <v>42</v>
      </c>
    </row>
    <row r="156">
      <c r="A156" s="4" t="s">
        <v>33</v>
      </c>
    </row>
    <row r="157">
      <c r="A157" s="4" t="s">
        <v>34</v>
      </c>
    </row>
    <row r="158">
      <c r="A158" s="4" t="s">
        <v>40</v>
      </c>
    </row>
    <row r="159">
      <c r="A159" s="4" t="s">
        <v>53</v>
      </c>
    </row>
    <row r="160">
      <c r="A160" s="4" t="s">
        <v>33</v>
      </c>
    </row>
    <row r="161">
      <c r="A161" s="4" t="s">
        <v>48</v>
      </c>
    </row>
    <row r="162">
      <c r="A162" s="4" t="s">
        <v>1230</v>
      </c>
    </row>
    <row r="163">
      <c r="A163" s="4" t="s">
        <v>521</v>
      </c>
    </row>
    <row r="164">
      <c r="A164" s="4" t="s">
        <v>4464</v>
      </c>
    </row>
    <row r="165">
      <c r="A165" s="4" t="s">
        <v>41</v>
      </c>
    </row>
    <row r="166">
      <c r="A166" s="4" t="s">
        <v>131</v>
      </c>
    </row>
    <row r="167">
      <c r="A167" s="4" t="s">
        <v>33</v>
      </c>
    </row>
    <row r="168">
      <c r="A168" s="4" t="s">
        <v>34</v>
      </c>
    </row>
    <row r="169">
      <c r="A169" s="4" t="s">
        <v>96</v>
      </c>
    </row>
    <row r="170">
      <c r="A170" s="4" t="s">
        <v>35</v>
      </c>
    </row>
    <row r="171">
      <c r="A171" s="4" t="s">
        <v>65</v>
      </c>
    </row>
    <row r="172">
      <c r="A172" s="4" t="s">
        <v>88</v>
      </c>
    </row>
    <row r="173">
      <c r="A173" s="4" t="s">
        <v>89</v>
      </c>
    </row>
    <row r="174">
      <c r="A174" s="4" t="s">
        <v>48</v>
      </c>
    </row>
    <row r="175">
      <c r="A175" s="4" t="s">
        <v>549</v>
      </c>
    </row>
    <row r="176">
      <c r="A176" s="4" t="s">
        <v>4465</v>
      </c>
    </row>
    <row r="177">
      <c r="A177" s="4" t="s">
        <v>33</v>
      </c>
    </row>
    <row r="178">
      <c r="A178" s="4" t="s">
        <v>34</v>
      </c>
    </row>
    <row r="179">
      <c r="A179" s="4" t="s">
        <v>96</v>
      </c>
    </row>
    <row r="180">
      <c r="A180" s="4" t="s">
        <v>97</v>
      </c>
    </row>
    <row r="181">
      <c r="A181" s="4" t="s">
        <v>92</v>
      </c>
    </row>
    <row r="182">
      <c r="A182" s="4" t="s">
        <v>1231</v>
      </c>
    </row>
    <row r="183">
      <c r="A183" s="4" t="s">
        <v>98</v>
      </c>
    </row>
    <row r="184">
      <c r="A184" s="4" t="s">
        <v>99</v>
      </c>
    </row>
    <row r="185">
      <c r="A185" s="4" t="s">
        <v>1244</v>
      </c>
    </row>
    <row r="186">
      <c r="A186" s="4" t="s">
        <v>33</v>
      </c>
    </row>
    <row r="187">
      <c r="A187" s="4" t="s">
        <v>34</v>
      </c>
    </row>
    <row r="188">
      <c r="A188" s="4" t="s">
        <v>497</v>
      </c>
    </row>
    <row r="189">
      <c r="A189" s="4" t="s">
        <v>4466</v>
      </c>
    </row>
    <row r="190">
      <c r="A190" s="4" t="s">
        <v>552</v>
      </c>
    </row>
    <row r="191">
      <c r="A191" s="4" t="s">
        <v>44</v>
      </c>
    </row>
    <row r="192">
      <c r="A192" s="4" t="s">
        <v>119</v>
      </c>
    </row>
    <row r="193">
      <c r="A193" s="4" t="s">
        <v>62</v>
      </c>
    </row>
    <row r="194">
      <c r="A194" s="4" t="s">
        <v>3571</v>
      </c>
    </row>
    <row r="195">
      <c r="A195" s="4" t="s">
        <v>33</v>
      </c>
    </row>
    <row r="196">
      <c r="A196" s="4" t="s">
        <v>34</v>
      </c>
    </row>
    <row r="197">
      <c r="A197" s="4" t="s">
        <v>50</v>
      </c>
    </row>
    <row r="198">
      <c r="A198" s="4" t="s">
        <v>40</v>
      </c>
    </row>
    <row r="199">
      <c r="A199" s="4" t="s">
        <v>35</v>
      </c>
    </row>
    <row r="200">
      <c r="A200" s="4" t="s">
        <v>107</v>
      </c>
    </row>
    <row r="201">
      <c r="A201" s="4" t="s">
        <v>41</v>
      </c>
    </row>
    <row r="202">
      <c r="A202" s="4" t="s">
        <v>42</v>
      </c>
    </row>
    <row r="203">
      <c r="A203" s="4" t="s">
        <v>48</v>
      </c>
    </row>
    <row r="204">
      <c r="A204" s="4" t="s">
        <v>88</v>
      </c>
    </row>
    <row r="205">
      <c r="A205" s="4" t="s">
        <v>89</v>
      </c>
    </row>
    <row r="206">
      <c r="A206" s="4" t="s">
        <v>62</v>
      </c>
    </row>
    <row r="207">
      <c r="A207" s="4" t="s">
        <v>63</v>
      </c>
    </row>
    <row r="208">
      <c r="A208" s="4" t="s">
        <v>64</v>
      </c>
    </row>
    <row r="209">
      <c r="A209" s="4" t="s">
        <v>35</v>
      </c>
    </row>
    <row r="210">
      <c r="A210" s="4" t="s">
        <v>65</v>
      </c>
    </row>
    <row r="211">
      <c r="A211" s="4" t="s">
        <v>1505</v>
      </c>
    </row>
    <row r="212">
      <c r="A212" s="4" t="s">
        <v>109</v>
      </c>
    </row>
    <row r="213">
      <c r="A213" s="4" t="s">
        <v>119</v>
      </c>
    </row>
    <row r="214">
      <c r="A214" s="4" t="s">
        <v>62</v>
      </c>
    </row>
    <row r="215">
      <c r="A215" s="4" t="s">
        <v>2608</v>
      </c>
    </row>
    <row r="216">
      <c r="A216" s="4" t="s">
        <v>910</v>
      </c>
    </row>
    <row r="217">
      <c r="A217" s="4" t="s">
        <v>33</v>
      </c>
    </row>
    <row r="218">
      <c r="A218" s="4" t="s">
        <v>48</v>
      </c>
    </row>
    <row r="219">
      <c r="A219" s="4" t="s">
        <v>147</v>
      </c>
    </row>
    <row r="220">
      <c r="A220" s="4" t="s">
        <v>80</v>
      </c>
    </row>
    <row r="221">
      <c r="A221" s="4" t="s">
        <v>866</v>
      </c>
    </row>
    <row r="222">
      <c r="A222" s="4" t="s">
        <v>2605</v>
      </c>
    </row>
    <row r="223">
      <c r="A223" s="4" t="s">
        <v>44</v>
      </c>
    </row>
    <row r="224">
      <c r="A224" s="4" t="s">
        <v>92</v>
      </c>
    </row>
    <row r="225">
      <c r="A225" s="4" t="s">
        <v>98</v>
      </c>
    </row>
    <row r="226">
      <c r="A226" s="4" t="s">
        <v>527</v>
      </c>
    </row>
    <row r="227">
      <c r="A227" s="4" t="s">
        <v>33</v>
      </c>
    </row>
    <row r="228">
      <c r="A228" s="4" t="s">
        <v>34</v>
      </c>
    </row>
    <row r="229">
      <c r="A229" s="4" t="s">
        <v>80</v>
      </c>
    </row>
    <row r="230">
      <c r="A230" s="4" t="s">
        <v>117</v>
      </c>
    </row>
    <row r="231">
      <c r="A231" s="4" t="s">
        <v>41</v>
      </c>
    </row>
    <row r="232">
      <c r="A232" s="4" t="s">
        <v>3296</v>
      </c>
    </row>
    <row r="233">
      <c r="A233" s="4" t="s">
        <v>96</v>
      </c>
    </row>
    <row r="234">
      <c r="A234" s="4" t="s">
        <v>1509</v>
      </c>
    </row>
    <row r="235">
      <c r="A235" s="4" t="s">
        <v>33</v>
      </c>
    </row>
    <row r="236">
      <c r="A236" s="4" t="s">
        <v>34</v>
      </c>
    </row>
    <row r="237">
      <c r="A237" s="4" t="s">
        <v>36</v>
      </c>
    </row>
    <row r="238">
      <c r="A238" s="4" t="s">
        <v>4467</v>
      </c>
    </row>
    <row r="239">
      <c r="A239" s="4" t="s">
        <v>41</v>
      </c>
    </row>
    <row r="240">
      <c r="A240" s="4" t="s">
        <v>4468</v>
      </c>
    </row>
    <row r="241">
      <c r="A241" s="4" t="s">
        <v>40</v>
      </c>
    </row>
    <row r="242">
      <c r="A242" s="4" t="s">
        <v>4469</v>
      </c>
    </row>
    <row r="243">
      <c r="A243" s="4" t="s">
        <v>33</v>
      </c>
    </row>
    <row r="244">
      <c r="A244" s="4" t="s">
        <v>34</v>
      </c>
    </row>
    <row r="245">
      <c r="A245" s="4" t="s">
        <v>96</v>
      </c>
    </row>
    <row r="246">
      <c r="A246" s="4" t="s">
        <v>35</v>
      </c>
    </row>
    <row r="247">
      <c r="A247" s="4" t="s">
        <v>65</v>
      </c>
    </row>
    <row r="248">
      <c r="A248" s="4" t="s">
        <v>1238</v>
      </c>
    </row>
    <row r="249">
      <c r="A249" s="4" t="s">
        <v>871</v>
      </c>
    </row>
    <row r="250">
      <c r="A250" s="4" t="s">
        <v>119</v>
      </c>
    </row>
    <row r="251">
      <c r="A251" s="4" t="s">
        <v>109</v>
      </c>
    </row>
    <row r="252">
      <c r="A252" s="4" t="s">
        <v>4470</v>
      </c>
    </row>
    <row r="253">
      <c r="A253" s="4" t="s">
        <v>33</v>
      </c>
    </row>
    <row r="254">
      <c r="A254" s="4" t="s">
        <v>34</v>
      </c>
    </row>
    <row r="255">
      <c r="A255" s="4" t="s">
        <v>80</v>
      </c>
    </row>
    <row r="256">
      <c r="A256" s="4" t="s">
        <v>117</v>
      </c>
    </row>
    <row r="257">
      <c r="A257" s="4" t="s">
        <v>41</v>
      </c>
    </row>
    <row r="258">
      <c r="A258" s="4" t="s">
        <v>3296</v>
      </c>
    </row>
    <row r="259">
      <c r="A259" s="4" t="s">
        <v>33</v>
      </c>
    </row>
    <row r="260">
      <c r="A260" s="4" t="s">
        <v>34</v>
      </c>
    </row>
    <row r="261">
      <c r="A261" s="4" t="s">
        <v>88</v>
      </c>
    </row>
    <row r="262">
      <c r="A262" s="4" t="s">
        <v>89</v>
      </c>
    </row>
    <row r="263">
      <c r="A263" s="4" t="s">
        <v>33</v>
      </c>
    </row>
    <row r="264">
      <c r="A264" s="4" t="s">
        <v>34</v>
      </c>
    </row>
    <row r="265">
      <c r="A265" s="4" t="s">
        <v>88</v>
      </c>
    </row>
    <row r="266">
      <c r="A266" s="4" t="s">
        <v>89</v>
      </c>
    </row>
    <row r="267">
      <c r="A267" s="4" t="s">
        <v>48</v>
      </c>
    </row>
    <row r="268">
      <c r="A268" s="4" t="s">
        <v>35</v>
      </c>
    </row>
    <row r="269">
      <c r="A269" s="4" t="s">
        <v>107</v>
      </c>
    </row>
    <row r="270">
      <c r="A270" s="4" t="s">
        <v>41</v>
      </c>
    </row>
    <row r="271">
      <c r="A271" s="4" t="s">
        <v>42</v>
      </c>
    </row>
    <row r="272">
      <c r="A272" s="4" t="s">
        <v>33</v>
      </c>
    </row>
    <row r="273">
      <c r="A273" s="4" t="s">
        <v>34</v>
      </c>
    </row>
    <row r="274">
      <c r="A274" s="4" t="s">
        <v>90</v>
      </c>
    </row>
    <row r="275">
      <c r="A275" s="4" t="s">
        <v>33</v>
      </c>
    </row>
    <row r="276">
      <c r="A276" s="4" t="s">
        <v>48</v>
      </c>
    </row>
    <row r="277">
      <c r="A277" s="4" t="s">
        <v>147</v>
      </c>
    </row>
    <row r="278">
      <c r="A278" s="4" t="s">
        <v>119</v>
      </c>
    </row>
    <row r="279">
      <c r="A279" s="4" t="s">
        <v>62</v>
      </c>
    </row>
    <row r="280">
      <c r="A280" s="4" t="s">
        <v>63</v>
      </c>
    </row>
    <row r="281">
      <c r="A281" s="4" t="s">
        <v>1237</v>
      </c>
    </row>
    <row r="282">
      <c r="A282" s="4" t="s">
        <v>61</v>
      </c>
    </row>
    <row r="283">
      <c r="A283" s="4" t="s">
        <v>33</v>
      </c>
    </row>
    <row r="284">
      <c r="A284" s="4" t="s">
        <v>144</v>
      </c>
    </row>
    <row r="285">
      <c r="A285" s="4" t="s">
        <v>35</v>
      </c>
    </row>
    <row r="286">
      <c r="A286" s="4" t="s">
        <v>40</v>
      </c>
    </row>
    <row r="287">
      <c r="A287" s="4" t="s">
        <v>935</v>
      </c>
    </row>
    <row r="288">
      <c r="A288" s="4" t="s">
        <v>48</v>
      </c>
    </row>
    <row r="289">
      <c r="A289" s="4" t="s">
        <v>107</v>
      </c>
    </row>
    <row r="290">
      <c r="A290" s="4" t="s">
        <v>41</v>
      </c>
    </row>
    <row r="291">
      <c r="A291" s="4" t="s">
        <v>42</v>
      </c>
    </row>
    <row r="292">
      <c r="A292" s="4" t="s">
        <v>33</v>
      </c>
    </row>
    <row r="293">
      <c r="A293" s="4" t="s">
        <v>48</v>
      </c>
    </row>
    <row r="294">
      <c r="A294" s="4" t="s">
        <v>1230</v>
      </c>
    </row>
    <row r="295">
      <c r="A295" s="4" t="s">
        <v>51</v>
      </c>
    </row>
    <row r="296">
      <c r="A296" s="4" t="s">
        <v>64</v>
      </c>
    </row>
    <row r="297">
      <c r="A297" s="4" t="s">
        <v>88</v>
      </c>
    </row>
    <row r="298">
      <c r="A298" s="4" t="s">
        <v>89</v>
      </c>
    </row>
    <row r="299">
      <c r="A299" s="4" t="s">
        <v>33</v>
      </c>
    </row>
    <row r="300">
      <c r="A300" s="4" t="s">
        <v>34</v>
      </c>
    </row>
    <row r="301">
      <c r="A301" s="4" t="s">
        <v>51</v>
      </c>
    </row>
    <row r="302">
      <c r="A302" s="4" t="s">
        <v>102</v>
      </c>
    </row>
    <row r="303">
      <c r="A303" s="4" t="s">
        <v>75</v>
      </c>
    </row>
    <row r="304">
      <c r="A304" s="4" t="s">
        <v>128</v>
      </c>
    </row>
    <row r="305">
      <c r="A305" s="4" t="s">
        <v>872</v>
      </c>
    </row>
    <row r="306">
      <c r="A306" s="4" t="s">
        <v>129</v>
      </c>
    </row>
    <row r="307">
      <c r="A307" s="4" t="s">
        <v>109</v>
      </c>
    </row>
    <row r="308">
      <c r="A308" s="4" t="s">
        <v>119</v>
      </c>
    </row>
    <row r="309">
      <c r="A309" s="4" t="s">
        <v>62</v>
      </c>
    </row>
    <row r="310">
      <c r="A310" s="4" t="s">
        <v>2608</v>
      </c>
    </row>
    <row r="311">
      <c r="A311" s="4" t="s">
        <v>33</v>
      </c>
    </row>
    <row r="312">
      <c r="A312" s="4" t="s">
        <v>34</v>
      </c>
    </row>
    <row r="313">
      <c r="A313" s="4" t="s">
        <v>90</v>
      </c>
    </row>
    <row r="314">
      <c r="A314" s="4" t="s">
        <v>33</v>
      </c>
    </row>
    <row r="315">
      <c r="A315" s="4" t="s">
        <v>34</v>
      </c>
    </row>
    <row r="316">
      <c r="A316" s="4" t="s">
        <v>88</v>
      </c>
    </row>
    <row r="317">
      <c r="A317" s="4" t="s">
        <v>89</v>
      </c>
    </row>
    <row r="318">
      <c r="A318" s="4" t="s">
        <v>48</v>
      </c>
    </row>
    <row r="319">
      <c r="A319" s="4" t="s">
        <v>35</v>
      </c>
    </row>
    <row r="320">
      <c r="A320" s="4" t="s">
        <v>107</v>
      </c>
    </row>
    <row r="321">
      <c r="A321" s="4" t="s">
        <v>41</v>
      </c>
    </row>
    <row r="322">
      <c r="A322" s="4" t="s">
        <v>42</v>
      </c>
    </row>
    <row r="323">
      <c r="A323" s="4" t="s">
        <v>90</v>
      </c>
    </row>
    <row r="324">
      <c r="A324" s="4" t="s">
        <v>33</v>
      </c>
    </row>
    <row r="325">
      <c r="A325" s="4" t="s">
        <v>36</v>
      </c>
    </row>
    <row r="326">
      <c r="A326" s="4" t="s">
        <v>105</v>
      </c>
    </row>
    <row r="327">
      <c r="A327" s="4" t="s">
        <v>35</v>
      </c>
    </row>
    <row r="328">
      <c r="A328" s="4" t="s">
        <v>2617</v>
      </c>
    </row>
    <row r="329">
      <c r="A329" s="4" t="s">
        <v>44</v>
      </c>
    </row>
    <row r="330">
      <c r="A330" s="4" t="s">
        <v>2604</v>
      </c>
    </row>
    <row r="331">
      <c r="A331" s="4" t="s">
        <v>88</v>
      </c>
    </row>
    <row r="332">
      <c r="A332" s="4" t="s">
        <v>75</v>
      </c>
    </row>
    <row r="333">
      <c r="A333" s="4" t="s">
        <v>48</v>
      </c>
    </row>
    <row r="334">
      <c r="A334" s="4" t="s">
        <v>35</v>
      </c>
    </row>
    <row r="335">
      <c r="A335" s="4" t="s">
        <v>107</v>
      </c>
    </row>
    <row r="336">
      <c r="A336" s="4" t="s">
        <v>41</v>
      </c>
    </row>
    <row r="337">
      <c r="A337" s="4" t="s">
        <v>42</v>
      </c>
    </row>
    <row r="338">
      <c r="A338" s="4" t="s">
        <v>33</v>
      </c>
    </row>
    <row r="339">
      <c r="A339" s="4" t="s">
        <v>34</v>
      </c>
    </row>
    <row r="340">
      <c r="A340" s="4" t="s">
        <v>549</v>
      </c>
    </row>
    <row r="341">
      <c r="A341" s="4" t="s">
        <v>4471</v>
      </c>
    </row>
    <row r="342">
      <c r="A342" s="4" t="s">
        <v>537</v>
      </c>
    </row>
    <row r="343">
      <c r="A343" s="4" t="s">
        <v>130</v>
      </c>
    </row>
    <row r="344">
      <c r="A344" s="4" t="s">
        <v>518</v>
      </c>
    </row>
    <row r="345">
      <c r="A345" s="4" t="s">
        <v>923</v>
      </c>
    </row>
    <row r="346">
      <c r="A346" s="4" t="s">
        <v>33</v>
      </c>
    </row>
    <row r="347">
      <c r="A347" s="4" t="s">
        <v>34</v>
      </c>
    </row>
    <row r="348">
      <c r="A348" s="4" t="s">
        <v>36</v>
      </c>
    </row>
    <row r="349">
      <c r="A349" s="4" t="s">
        <v>3583</v>
      </c>
    </row>
    <row r="350">
      <c r="A350" s="4" t="s">
        <v>41</v>
      </c>
    </row>
    <row r="351">
      <c r="A351" s="4" t="s">
        <v>908</v>
      </c>
    </row>
    <row r="352">
      <c r="A352" s="4" t="s">
        <v>50</v>
      </c>
    </row>
    <row r="353">
      <c r="A353" s="4" t="s">
        <v>40</v>
      </c>
    </row>
    <row r="354">
      <c r="A354" s="4" t="s">
        <v>33</v>
      </c>
    </row>
    <row r="355">
      <c r="A355" s="4" t="s">
        <v>48</v>
      </c>
    </row>
    <row r="356">
      <c r="A356" s="4" t="s">
        <v>147</v>
      </c>
    </row>
    <row r="357">
      <c r="A357" s="4" t="s">
        <v>80</v>
      </c>
    </row>
    <row r="358">
      <c r="A358" s="4" t="s">
        <v>866</v>
      </c>
    </row>
    <row r="359">
      <c r="A359" s="4" t="s">
        <v>33</v>
      </c>
    </row>
    <row r="360">
      <c r="A360" s="4" t="s">
        <v>34</v>
      </c>
    </row>
    <row r="361">
      <c r="A361" s="4" t="s">
        <v>35</v>
      </c>
    </row>
    <row r="362">
      <c r="A362" s="4" t="s">
        <v>96</v>
      </c>
    </row>
    <row r="363">
      <c r="A363" s="4" t="s">
        <v>65</v>
      </c>
    </row>
    <row r="364">
      <c r="A364" s="4" t="s">
        <v>103</v>
      </c>
    </row>
    <row r="365">
      <c r="A365" s="4" t="s">
        <v>104</v>
      </c>
    </row>
    <row r="366">
      <c r="A366" s="4" t="s">
        <v>40</v>
      </c>
    </row>
    <row r="367">
      <c r="A367" s="4" t="s">
        <v>75</v>
      </c>
    </row>
    <row r="368">
      <c r="A368" s="4" t="s">
        <v>966</v>
      </c>
    </row>
    <row r="369">
      <c r="A369" s="4" t="s">
        <v>62</v>
      </c>
    </row>
    <row r="370">
      <c r="A370" s="4" t="s">
        <v>64</v>
      </c>
    </row>
    <row r="371">
      <c r="A371" s="4" t="s">
        <v>33</v>
      </c>
    </row>
    <row r="372">
      <c r="A372" s="4" t="s">
        <v>34</v>
      </c>
    </row>
    <row r="373">
      <c r="A373" s="4" t="s">
        <v>132</v>
      </c>
    </row>
    <row r="374">
      <c r="A374" s="4" t="s">
        <v>133</v>
      </c>
    </row>
    <row r="375">
      <c r="A375" s="4" t="s">
        <v>134</v>
      </c>
    </row>
    <row r="376">
      <c r="A376" s="4" t="s">
        <v>135</v>
      </c>
    </row>
    <row r="377">
      <c r="A377" s="4" t="s">
        <v>33</v>
      </c>
    </row>
    <row r="378">
      <c r="A378" s="4" t="s">
        <v>34</v>
      </c>
    </row>
    <row r="379">
      <c r="A379" s="4" t="s">
        <v>36</v>
      </c>
    </row>
    <row r="380">
      <c r="A380" s="4" t="s">
        <v>4472</v>
      </c>
    </row>
    <row r="381">
      <c r="A381" s="4" t="s">
        <v>109</v>
      </c>
    </row>
    <row r="382">
      <c r="A382" s="4" t="s">
        <v>110</v>
      </c>
    </row>
    <row r="383">
      <c r="A383" s="4" t="s">
        <v>111</v>
      </c>
    </row>
    <row r="384">
      <c r="A384" s="4" t="s">
        <v>47</v>
      </c>
    </row>
    <row r="385">
      <c r="A385" s="4" t="s">
        <v>41</v>
      </c>
    </row>
    <row r="386">
      <c r="A386" s="4" t="s">
        <v>42</v>
      </c>
    </row>
    <row r="387">
      <c r="A387" s="4" t="s">
        <v>48</v>
      </c>
    </row>
    <row r="388">
      <c r="A388" s="4" t="s">
        <v>40</v>
      </c>
    </row>
    <row r="389">
      <c r="A389" s="4" t="s">
        <v>49</v>
      </c>
    </row>
    <row r="390">
      <c r="A390" s="4" t="s">
        <v>33</v>
      </c>
    </row>
    <row r="391">
      <c r="A391" s="4" t="s">
        <v>34</v>
      </c>
    </row>
    <row r="392">
      <c r="A392" s="4" t="s">
        <v>88</v>
      </c>
    </row>
    <row r="393">
      <c r="A393" s="4" t="s">
        <v>89</v>
      </c>
    </row>
    <row r="394">
      <c r="A394" s="4" t="s">
        <v>35</v>
      </c>
    </row>
    <row r="395">
      <c r="A395" s="4" t="s">
        <v>40</v>
      </c>
    </row>
    <row r="396">
      <c r="A396" s="4" t="s">
        <v>4473</v>
      </c>
    </row>
    <row r="397">
      <c r="A397" s="4" t="s">
        <v>33</v>
      </c>
    </row>
    <row r="398">
      <c r="A398" s="4" t="s">
        <v>34</v>
      </c>
    </row>
    <row r="399">
      <c r="A399" s="4" t="s">
        <v>132</v>
      </c>
    </row>
    <row r="400">
      <c r="A400" s="4" t="s">
        <v>133</v>
      </c>
    </row>
    <row r="401">
      <c r="A401" s="4" t="s">
        <v>46</v>
      </c>
    </row>
    <row r="402">
      <c r="A402" s="4" t="s">
        <v>88</v>
      </c>
    </row>
    <row r="403">
      <c r="A403" s="4" t="s">
        <v>89</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175</v>
      </c>
      <c r="D2" s="4" t="str">
        <f t="shared" ref="D2:D340" si="1">C2</f>
        <v>{"valorA":"ótimo","valorB":1.0}</v>
      </c>
      <c r="E2" s="8" t="str">
        <f t="shared" ref="E2:E340" si="2">SUBSTITUTE(MID(C2,FIND(":",C2)+1,FIND(",",C2)-FIND(":",C2)-1),"""","")</f>
        <v>ótimo</v>
      </c>
      <c r="F2" s="8" t="str">
        <f>IFERROR(__xludf.DUMMYFUNCTION("UNIQUE(E2:E340)"),"ótimo")</f>
        <v>ótimo</v>
      </c>
      <c r="G2" s="8" t="str">
        <f t="shared" ref="G2:G340" si="3">MID(C2,FIND("valorB",C2)+8,FIND("}",C2)-FIND("valorB",C2)-8)</f>
        <v>1.0</v>
      </c>
      <c r="H2" s="9">
        <f t="shared" ref="H2:H340" si="4">VALUE(SUBSTITUTE(G2,".",","))</f>
        <v>1</v>
      </c>
      <c r="I2" s="10">
        <f>IFERROR(__xludf.DUMMYFUNCTION("MAX(FILTER($H:$H,$E:$E=F2))"),49.0)</f>
        <v>49</v>
      </c>
    </row>
    <row r="3">
      <c r="C3" s="4" t="s">
        <v>177</v>
      </c>
      <c r="D3" s="4" t="str">
        <f t="shared" si="1"/>
        <v>{"valorA":"é","valorB":1.0}</v>
      </c>
      <c r="E3" s="8" t="str">
        <f t="shared" si="2"/>
        <v>é</v>
      </c>
      <c r="F3" s="8" t="str">
        <f>IFERROR(__xludf.DUMMYFUNCTION("""COMPUTED_VALUE"""),"é")</f>
        <v>é</v>
      </c>
      <c r="G3" s="8" t="str">
        <f t="shared" si="3"/>
        <v>1.0</v>
      </c>
      <c r="H3" s="9">
        <f t="shared" si="4"/>
        <v>1</v>
      </c>
      <c r="I3" s="10">
        <f>IFERROR(__xludf.DUMMYFUNCTION("MAX(FILTER($H:$H,$E:$E=F3))"),14.0)</f>
        <v>14</v>
      </c>
    </row>
    <row r="4">
      <c r="C4" s="4" t="s">
        <v>220</v>
      </c>
      <c r="D4" s="4" t="str">
        <f t="shared" si="1"/>
        <v>{"valorA":"bem","valorB":1.0}</v>
      </c>
      <c r="E4" s="8" t="str">
        <f t="shared" si="2"/>
        <v>bem</v>
      </c>
      <c r="F4" s="8" t="str">
        <f>IFERROR(__xludf.DUMMYFUNCTION("""COMPUTED_VALUE"""),"bem")</f>
        <v>bem</v>
      </c>
      <c r="G4" s="8" t="str">
        <f t="shared" si="3"/>
        <v>1.0</v>
      </c>
      <c r="H4" s="9">
        <f t="shared" si="4"/>
        <v>1</v>
      </c>
      <c r="I4" s="10">
        <f>IFERROR(__xludf.DUMMYFUNCTION("MAX(FILTER($H:$H,$E:$E=F4))"),8.0)</f>
        <v>8</v>
      </c>
    </row>
    <row r="5">
      <c r="C5" s="4" t="s">
        <v>203</v>
      </c>
      <c r="D5" s="4" t="str">
        <f t="shared" si="1"/>
        <v>{"valorA":"por","valorB":1.0}</v>
      </c>
      <c r="E5" s="8" t="str">
        <f t="shared" si="2"/>
        <v>por</v>
      </c>
      <c r="F5" s="8" t="str">
        <f>IFERROR(__xludf.DUMMYFUNCTION("""COMPUTED_VALUE"""),"por")</f>
        <v>por</v>
      </c>
      <c r="G5" s="8" t="str">
        <f t="shared" si="3"/>
        <v>1.0</v>
      </c>
      <c r="H5" s="9">
        <f t="shared" si="4"/>
        <v>1</v>
      </c>
      <c r="I5" s="10">
        <f>IFERROR(__xludf.DUMMYFUNCTION("MAX(FILTER($H:$H,$E:$E=F5))"),1.0)</f>
        <v>1</v>
      </c>
    </row>
    <row r="6">
      <c r="C6" s="4" t="s">
        <v>184</v>
      </c>
      <c r="D6" s="4" t="str">
        <f t="shared" si="1"/>
        <v>{"valorA":"e","valorB":1.0}</v>
      </c>
      <c r="E6" s="8" t="str">
        <f t="shared" si="2"/>
        <v>e</v>
      </c>
      <c r="F6" s="8" t="str">
        <f>IFERROR(__xludf.DUMMYFUNCTION("""COMPUTED_VALUE"""),"e")</f>
        <v>e</v>
      </c>
      <c r="G6" s="8" t="str">
        <f t="shared" si="3"/>
        <v>1.0</v>
      </c>
      <c r="H6" s="9">
        <f t="shared" si="4"/>
        <v>1</v>
      </c>
      <c r="I6" s="10">
        <f>IFERROR(__xludf.DUMMYFUNCTION("MAX(FILTER($H:$H,$E:$E=F6))"),16.0)</f>
        <v>16</v>
      </c>
    </row>
    <row r="7">
      <c r="C7" s="4" t="s">
        <v>4474</v>
      </c>
      <c r="D7" s="4" t="str">
        <f t="shared" si="1"/>
        <v>{"valorA":"desequeis","valorB":1.0}</v>
      </c>
      <c r="E7" s="8" t="str">
        <f t="shared" si="2"/>
        <v>desequeis</v>
      </c>
      <c r="F7" s="8" t="str">
        <f>IFERROR(__xludf.DUMMYFUNCTION("""COMPUTED_VALUE"""),"desequeis")</f>
        <v>desequeis</v>
      </c>
      <c r="G7" s="8" t="str">
        <f t="shared" si="3"/>
        <v>1.0</v>
      </c>
      <c r="H7" s="9">
        <f t="shared" si="4"/>
        <v>1</v>
      </c>
      <c r="I7" s="10">
        <f>IFERROR(__xludf.DUMMYFUNCTION("MAX(FILTER($H:$H,$E:$E=F7))"),1.0)</f>
        <v>1</v>
      </c>
    </row>
    <row r="8">
      <c r="C8" s="4" t="s">
        <v>1331</v>
      </c>
      <c r="D8" s="4" t="str">
        <f t="shared" si="1"/>
        <v>{"valorA":"ela","valorB":1.0}</v>
      </c>
      <c r="E8" s="8" t="str">
        <f t="shared" si="2"/>
        <v>ela</v>
      </c>
      <c r="F8" s="8" t="str">
        <f>IFERROR(__xludf.DUMMYFUNCTION("""COMPUTED_VALUE"""),"ela")</f>
        <v>ela</v>
      </c>
      <c r="G8" s="8" t="str">
        <f t="shared" si="3"/>
        <v>1.0</v>
      </c>
      <c r="H8" s="9">
        <f t="shared" si="4"/>
        <v>1</v>
      </c>
      <c r="I8" s="10">
        <f>IFERROR(__xludf.DUMMYFUNCTION("MAX(FILTER($H:$H,$E:$E=F8))"),1.0)</f>
        <v>1</v>
      </c>
    </row>
    <row r="9">
      <c r="C9" s="4" t="s">
        <v>4475</v>
      </c>
      <c r="D9" s="4" t="str">
        <f t="shared" si="1"/>
        <v>{"valorA":"mochila","valorB":1.0}</v>
      </c>
      <c r="E9" s="8" t="str">
        <f t="shared" si="2"/>
        <v>mochila</v>
      </c>
      <c r="F9" s="8" t="str">
        <f>IFERROR(__xludf.DUMMYFUNCTION("""COMPUTED_VALUE"""),"mochila")</f>
        <v>mochila</v>
      </c>
      <c r="G9" s="8" t="str">
        <f t="shared" si="3"/>
        <v>1.0</v>
      </c>
      <c r="H9" s="9">
        <f t="shared" si="4"/>
        <v>1</v>
      </c>
      <c r="I9" s="10">
        <f>IFERROR(__xludf.DUMMYFUNCTION("MAX(FILTER($H:$H,$E:$E=F9))"),2.0)</f>
        <v>2</v>
      </c>
    </row>
    <row r="10">
      <c r="C10" s="4" t="s">
        <v>1001</v>
      </c>
      <c r="D10" s="4" t="str">
        <f t="shared" si="1"/>
        <v>{"valorA":"produto","valorB":1.0}</v>
      </c>
      <c r="E10" s="8" t="str">
        <f t="shared" si="2"/>
        <v>produto</v>
      </c>
      <c r="F10" s="8" t="str">
        <f>IFERROR(__xludf.DUMMYFUNCTION("""COMPUTED_VALUE"""),"produto")</f>
        <v>produto</v>
      </c>
      <c r="G10" s="8" t="str">
        <f t="shared" si="3"/>
        <v>1.0</v>
      </c>
      <c r="H10" s="9">
        <f t="shared" si="4"/>
        <v>1</v>
      </c>
      <c r="I10" s="10">
        <f>IFERROR(__xludf.DUMMYFUNCTION("MAX(FILTER($H:$H,$E:$E=F10))"),34.0)</f>
        <v>34</v>
      </c>
    </row>
    <row r="11">
      <c r="C11" s="4" t="s">
        <v>335</v>
      </c>
      <c r="D11" s="4" t="str">
        <f t="shared" si="1"/>
        <v>{"valorA":"do","valorB":1.0}</v>
      </c>
      <c r="E11" s="8" t="str">
        <f t="shared" si="2"/>
        <v>do</v>
      </c>
      <c r="F11" s="8" t="str">
        <f>IFERROR(__xludf.DUMMYFUNCTION("""COMPUTED_VALUE"""),"do")</f>
        <v>do</v>
      </c>
      <c r="G11" s="8" t="str">
        <f t="shared" si="3"/>
        <v>1.0</v>
      </c>
      <c r="H11" s="9">
        <f t="shared" si="4"/>
        <v>1</v>
      </c>
      <c r="I11" s="10">
        <f>IFERROR(__xludf.DUMMYFUNCTION("MAX(FILTER($H:$H,$E:$E=F11))"),7.0)</f>
        <v>7</v>
      </c>
    </row>
    <row r="12">
      <c r="C12" s="4" t="s">
        <v>314</v>
      </c>
      <c r="D12" s="4" t="str">
        <f t="shared" si="1"/>
        <v>{"valorA":"resultado","valorB":1.0}</v>
      </c>
      <c r="E12" s="8" t="str">
        <f t="shared" si="2"/>
        <v>resultado</v>
      </c>
      <c r="F12" s="8" t="str">
        <f>IFERROR(__xludf.DUMMYFUNCTION("""COMPUTED_VALUE"""),"resultado")</f>
        <v>resultado</v>
      </c>
      <c r="G12" s="8" t="str">
        <f t="shared" si="3"/>
        <v>1.0</v>
      </c>
      <c r="H12" s="9">
        <f t="shared" si="4"/>
        <v>1</v>
      </c>
      <c r="I12" s="10">
        <f>IFERROR(__xludf.DUMMYFUNCTION("MAX(FILTER($H:$H,$E:$E=F12))"),1.0)</f>
        <v>1</v>
      </c>
    </row>
    <row r="13">
      <c r="C13" s="4" t="s">
        <v>190</v>
      </c>
      <c r="D13" s="4" t="str">
        <f t="shared" si="1"/>
        <v>{"valorA":"gostei","valorB":1.0}</v>
      </c>
      <c r="E13" s="8" t="str">
        <f t="shared" si="2"/>
        <v>gostei</v>
      </c>
      <c r="F13" s="8" t="str">
        <f>IFERROR(__xludf.DUMMYFUNCTION("""COMPUTED_VALUE"""),"gostei")</f>
        <v>gostei</v>
      </c>
      <c r="G13" s="8" t="str">
        <f t="shared" si="3"/>
        <v>1.0</v>
      </c>
      <c r="H13" s="9">
        <f t="shared" si="4"/>
        <v>1</v>
      </c>
      <c r="I13" s="10">
        <f>IFERROR(__xludf.DUMMYFUNCTION("MAX(FILTER($H:$H,$E:$E=F13))"),8.0)</f>
        <v>8</v>
      </c>
    </row>
    <row r="14">
      <c r="C14" s="4" t="s">
        <v>191</v>
      </c>
      <c r="D14" s="4" t="str">
        <f t="shared" si="1"/>
        <v>{"valorA":"ótimo","valorB":3.0}</v>
      </c>
      <c r="E14" s="8" t="str">
        <f t="shared" si="2"/>
        <v>ótimo</v>
      </c>
      <c r="F14" s="8" t="str">
        <f>IFERROR(__xludf.DUMMYFUNCTION("""COMPUTED_VALUE"""),"pouco")</f>
        <v>pouco</v>
      </c>
      <c r="G14" s="8" t="str">
        <f t="shared" si="3"/>
        <v>3.0</v>
      </c>
      <c r="H14" s="9">
        <f t="shared" si="4"/>
        <v>3</v>
      </c>
      <c r="I14" s="10">
        <f>IFERROR(__xludf.DUMMYFUNCTION("MAX(FILTER($H:$H,$E:$E=F14))"),1.0)</f>
        <v>1</v>
      </c>
    </row>
    <row r="15">
      <c r="C15" s="4" t="s">
        <v>1262</v>
      </c>
      <c r="D15" s="4" t="str">
        <f t="shared" si="1"/>
        <v>{"valorA":"pouco","valorB":1.0}</v>
      </c>
      <c r="E15" s="8" t="str">
        <f t="shared" si="2"/>
        <v>pouco</v>
      </c>
      <c r="F15" s="8" t="str">
        <f>IFERROR(__xludf.DUMMYFUNCTION("""COMPUTED_VALUE"""),"paguei")</f>
        <v>paguei</v>
      </c>
      <c r="G15" s="8" t="str">
        <f t="shared" si="3"/>
        <v>1.0</v>
      </c>
      <c r="H15" s="9">
        <f t="shared" si="4"/>
        <v>1</v>
      </c>
      <c r="I15" s="10">
        <f>IFERROR(__xludf.DUMMYFUNCTION("MAX(FILTER($H:$H,$E:$E=F15))"),1.0)</f>
        <v>1</v>
      </c>
    </row>
    <row r="16">
      <c r="C16" s="4" t="s">
        <v>577</v>
      </c>
      <c r="D16" s="4" t="str">
        <f t="shared" si="1"/>
        <v>{"valorA":"paguei","valorB":1.0}</v>
      </c>
      <c r="E16" s="8" t="str">
        <f t="shared" si="2"/>
        <v>paguei</v>
      </c>
      <c r="F16" s="8" t="str">
        <f>IFERROR(__xludf.DUMMYFUNCTION("""COMPUTED_VALUE"""),"essa")</f>
        <v>essa</v>
      </c>
      <c r="G16" s="8" t="str">
        <f t="shared" si="3"/>
        <v>1.0</v>
      </c>
      <c r="H16" s="9">
        <f t="shared" si="4"/>
        <v>1</v>
      </c>
      <c r="I16" s="10">
        <f>IFERROR(__xludf.DUMMYFUNCTION("MAX(FILTER($H:$H,$E:$E=F16))"),5.0)</f>
        <v>5</v>
      </c>
    </row>
    <row r="17">
      <c r="C17" s="4" t="s">
        <v>244</v>
      </c>
      <c r="D17" s="4" t="str">
        <f t="shared" si="1"/>
        <v>{"valorA":"essa","valorB":1.0}</v>
      </c>
      <c r="E17" s="8" t="str">
        <f t="shared" si="2"/>
        <v>essa</v>
      </c>
      <c r="F17" s="8" t="str">
        <f>IFERROR(__xludf.DUMMYFUNCTION("""COMPUTED_VALUE"""),"muito")</f>
        <v>muito</v>
      </c>
      <c r="G17" s="8" t="str">
        <f t="shared" si="3"/>
        <v>1.0</v>
      </c>
      <c r="H17" s="9">
        <f t="shared" si="4"/>
        <v>1</v>
      </c>
      <c r="I17" s="10">
        <f>IFERROR(__xludf.DUMMYFUNCTION("MAX(FILTER($H:$H,$E:$E=F17))"),17.0)</f>
        <v>17</v>
      </c>
    </row>
    <row r="18">
      <c r="C18" s="4" t="s">
        <v>193</v>
      </c>
      <c r="D18" s="4" t="str">
        <f t="shared" si="1"/>
        <v>{"valorA":"muito","valorB":2.0}</v>
      </c>
      <c r="E18" s="8" t="str">
        <f t="shared" si="2"/>
        <v>muito</v>
      </c>
      <c r="F18" s="8" t="str">
        <f>IFERROR(__xludf.DUMMYFUNCTION("""COMPUTED_VALUE"""),"prática")</f>
        <v>prática</v>
      </c>
      <c r="G18" s="8" t="str">
        <f t="shared" si="3"/>
        <v>2.0</v>
      </c>
      <c r="H18" s="9">
        <f t="shared" si="4"/>
        <v>2</v>
      </c>
      <c r="I18" s="10">
        <f>IFERROR(__xludf.DUMMYFUNCTION("MAX(FILTER($H:$H,$E:$E=F18))"),1.0)</f>
        <v>1</v>
      </c>
    </row>
    <row r="19">
      <c r="C19" s="4" t="s">
        <v>4476</v>
      </c>
      <c r="D19" s="4" t="str">
        <f t="shared" si="1"/>
        <v>{"valorA":"prática","valorB":1.0}</v>
      </c>
      <c r="E19" s="8" t="str">
        <f t="shared" si="2"/>
        <v>prática</v>
      </c>
      <c r="F19" s="8" t="str">
        <f>IFERROR(__xludf.DUMMYFUNCTION("""COMPUTED_VALUE"""),"confortável")</f>
        <v>confortável</v>
      </c>
      <c r="G19" s="8" t="str">
        <f t="shared" si="3"/>
        <v>1.0</v>
      </c>
      <c r="H19" s="9">
        <f t="shared" si="4"/>
        <v>1</v>
      </c>
      <c r="I19" s="10">
        <f>IFERROR(__xludf.DUMMYFUNCTION("MAX(FILTER($H:$H,$E:$E=F19))"),4.0)</f>
        <v>4</v>
      </c>
    </row>
    <row r="20">
      <c r="C20" s="4" t="s">
        <v>398</v>
      </c>
      <c r="D20" s="4" t="str">
        <f t="shared" si="1"/>
        <v>{"valorA":"confortável","valorB":1.0}</v>
      </c>
      <c r="E20" s="8" t="str">
        <f t="shared" si="2"/>
        <v>confortável</v>
      </c>
      <c r="F20" s="8" t="str">
        <f>IFERROR(__xludf.DUMMYFUNCTION("""COMPUTED_VALUE"""),"relojoeira")</f>
        <v>relojoeira</v>
      </c>
      <c r="G20" s="8" t="str">
        <f t="shared" si="3"/>
        <v>1.0</v>
      </c>
      <c r="H20" s="9">
        <f t="shared" si="4"/>
        <v>1</v>
      </c>
      <c r="I20" s="10">
        <f>IFERROR(__xludf.DUMMYFUNCTION("MAX(FILTER($H:$H,$E:$E=F20))"),3.0)</f>
        <v>3</v>
      </c>
    </row>
    <row r="21">
      <c r="C21" s="4" t="s">
        <v>399</v>
      </c>
      <c r="D21" s="4" t="str">
        <f t="shared" si="1"/>
        <v>{"valorA":"relojoeira","valorB":1.0}</v>
      </c>
      <c r="E21" s="8" t="str">
        <f t="shared" si="2"/>
        <v>relojoeira</v>
      </c>
      <c r="F21" s="8" t="str">
        <f>IFERROR(__xludf.DUMMYFUNCTION("""COMPUTED_VALUE"""),"bastante")</f>
        <v>bastante</v>
      </c>
      <c r="G21" s="8" t="str">
        <f t="shared" si="3"/>
        <v>1.0</v>
      </c>
      <c r="H21" s="9">
        <f t="shared" si="4"/>
        <v>1</v>
      </c>
      <c r="I21" s="10">
        <f>IFERROR(__xludf.DUMMYFUNCTION("MAX(FILTER($H:$H,$E:$E=F21))"),1.0)</f>
        <v>1</v>
      </c>
    </row>
    <row r="22">
      <c r="C22" s="4" t="s">
        <v>456</v>
      </c>
      <c r="D22" s="4" t="str">
        <f t="shared" si="1"/>
        <v>{"valorA":"bastante","valorB":1.0}</v>
      </c>
      <c r="E22" s="8" t="str">
        <f t="shared" si="2"/>
        <v>bastante</v>
      </c>
      <c r="F22" s="8" t="str">
        <f>IFERROR(__xludf.DUMMYFUNCTION("""COMPUTED_VALUE"""),"resultados")</f>
        <v>resultados</v>
      </c>
      <c r="G22" s="8" t="str">
        <f t="shared" si="3"/>
        <v>1.0</v>
      </c>
      <c r="H22" s="9">
        <f t="shared" si="4"/>
        <v>1</v>
      </c>
      <c r="I22" s="10">
        <f>IFERROR(__xludf.DUMMYFUNCTION("MAX(FILTER($H:$H,$E:$E=F22))"),1.0)</f>
        <v>1</v>
      </c>
    </row>
    <row r="23">
      <c r="C23" s="4" t="s">
        <v>268</v>
      </c>
      <c r="D23" s="4" t="str">
        <f t="shared" si="1"/>
        <v>{"valorA":"bem","valorB":3.0}</v>
      </c>
      <c r="E23" s="8" t="str">
        <f t="shared" si="2"/>
        <v>bem</v>
      </c>
      <c r="F23" s="8" t="str">
        <f>IFERROR(__xludf.DUMMYFUNCTION("""COMPUTED_VALUE"""),"vendeume")</f>
        <v>vendeume</v>
      </c>
      <c r="G23" s="8" t="str">
        <f t="shared" si="3"/>
        <v>3.0</v>
      </c>
      <c r="H23" s="9">
        <f t="shared" si="4"/>
        <v>3</v>
      </c>
      <c r="I23" s="10">
        <f>IFERROR(__xludf.DUMMYFUNCTION("MAX(FILTER($H:$H,$E:$E=F23))"),1.0)</f>
        <v>1</v>
      </c>
    </row>
    <row r="24">
      <c r="C24" s="4" t="s">
        <v>4477</v>
      </c>
      <c r="D24" s="4" t="str">
        <f t="shared" si="1"/>
        <v>{"valorA":"resultados","valorB":1.0}</v>
      </c>
      <c r="E24" s="8" t="str">
        <f t="shared" si="2"/>
        <v>resultados</v>
      </c>
      <c r="F24" s="8" t="str">
        <f>IFERROR(__xludf.DUMMYFUNCTION("""COMPUTED_VALUE"""),"dessa")</f>
        <v>dessa</v>
      </c>
      <c r="G24" s="8" t="str">
        <f t="shared" si="3"/>
        <v>1.0</v>
      </c>
      <c r="H24" s="9">
        <f t="shared" si="4"/>
        <v>1</v>
      </c>
      <c r="I24" s="10">
        <f>IFERROR(__xludf.DUMMYFUNCTION("MAX(FILTER($H:$H,$E:$E=F24))"),5.0)</f>
        <v>5</v>
      </c>
    </row>
    <row r="25">
      <c r="C25" s="4" t="s">
        <v>4478</v>
      </c>
      <c r="D25" s="4" t="str">
        <f t="shared" si="1"/>
        <v>{"valorA":"vendeume","valorB":1.0}</v>
      </c>
      <c r="E25" s="8" t="str">
        <f t="shared" si="2"/>
        <v>vendeume</v>
      </c>
      <c r="F25" s="8" t="str">
        <f>IFERROR(__xludf.DUMMYFUNCTION("""COMPUTED_VALUE"""),"funciona")</f>
        <v>funciona</v>
      </c>
      <c r="G25" s="8" t="str">
        <f t="shared" si="3"/>
        <v>1.0</v>
      </c>
      <c r="H25" s="9">
        <f t="shared" si="4"/>
        <v>1</v>
      </c>
      <c r="I25" s="10">
        <f>IFERROR(__xludf.DUMMYFUNCTION("MAX(FILTER($H:$H,$E:$E=F25))"),14.0)</f>
        <v>14</v>
      </c>
    </row>
    <row r="26">
      <c r="C26" s="4" t="s">
        <v>4479</v>
      </c>
      <c r="D26" s="4" t="str">
        <f t="shared" si="1"/>
        <v>{"valorA":"mochila","valorB":2.0}</v>
      </c>
      <c r="E26" s="8" t="str">
        <f t="shared" si="2"/>
        <v>mochila</v>
      </c>
      <c r="F26" s="8" t="str">
        <f>IFERROR(__xludf.DUMMYFUNCTION("""COMPUTED_VALUE"""),"preço")</f>
        <v>preço</v>
      </c>
      <c r="G26" s="8" t="str">
        <f t="shared" si="3"/>
        <v>2.0</v>
      </c>
      <c r="H26" s="9">
        <f t="shared" si="4"/>
        <v>2</v>
      </c>
      <c r="I26" s="10">
        <f>IFERROR(__xludf.DUMMYFUNCTION("MAX(FILTER($H:$H,$E:$E=F26))"),2.0)</f>
        <v>2</v>
      </c>
    </row>
    <row r="27">
      <c r="C27" s="4" t="s">
        <v>189</v>
      </c>
      <c r="D27" s="4" t="str">
        <f t="shared" si="1"/>
        <v>{"valorA":"produto","valorB":2.0}</v>
      </c>
      <c r="E27" s="8" t="str">
        <f t="shared" si="2"/>
        <v>produto</v>
      </c>
      <c r="F27" s="8" t="str">
        <f>IFERROR(__xludf.DUMMYFUNCTION("""COMPUTED_VALUE"""),"online")</f>
        <v>online</v>
      </c>
      <c r="G27" s="8" t="str">
        <f t="shared" si="3"/>
        <v>2.0</v>
      </c>
      <c r="H27" s="9">
        <f t="shared" si="4"/>
        <v>2</v>
      </c>
      <c r="I27" s="10">
        <f>IFERROR(__xludf.DUMMYFUNCTION("MAX(FILTER($H:$H,$E:$E=F27))"),3.0)</f>
        <v>3</v>
      </c>
    </row>
    <row r="28">
      <c r="C28" s="4" t="s">
        <v>392</v>
      </c>
      <c r="D28" s="4" t="str">
        <f t="shared" si="1"/>
        <v>{"valorA":"do","valorB":2.0}</v>
      </c>
      <c r="E28" s="8" t="str">
        <f t="shared" si="2"/>
        <v>do</v>
      </c>
      <c r="F28" s="8" t="str">
        <f>IFERROR(__xludf.DUMMYFUNCTION("""COMPUTED_VALUE"""),"com")</f>
        <v>com</v>
      </c>
      <c r="G28" s="8" t="str">
        <f t="shared" si="3"/>
        <v>2.0</v>
      </c>
      <c r="H28" s="9">
        <f t="shared" si="4"/>
        <v>2</v>
      </c>
      <c r="I28" s="10">
        <f>IFERROR(__xludf.DUMMYFUNCTION("MAX(FILTER($H:$H,$E:$E=F28))"),2.0)</f>
        <v>2</v>
      </c>
    </row>
    <row r="29">
      <c r="C29" s="4" t="s">
        <v>260</v>
      </c>
      <c r="D29" s="4" t="str">
        <f t="shared" si="1"/>
        <v>{"valorA":"gostei","valorB":2.0}</v>
      </c>
      <c r="E29" s="8" t="str">
        <f t="shared" si="2"/>
        <v>gostei</v>
      </c>
      <c r="F29" s="8" t="str">
        <f>IFERROR(__xludf.DUMMYFUNCTION("""COMPUTED_VALUE"""),"bluetooth")</f>
        <v>bluetooth</v>
      </c>
      <c r="G29" s="8" t="str">
        <f t="shared" si="3"/>
        <v>2.0</v>
      </c>
      <c r="H29" s="9">
        <f t="shared" si="4"/>
        <v>2</v>
      </c>
      <c r="I29" s="10">
        <f>IFERROR(__xludf.DUMMYFUNCTION("MAX(FILTER($H:$H,$E:$E=F29))"),1.0)</f>
        <v>1</v>
      </c>
    </row>
    <row r="30">
      <c r="C30" s="4" t="s">
        <v>210</v>
      </c>
      <c r="D30" s="4" t="str">
        <f t="shared" si="1"/>
        <v>{"valorA":"ótimo","valorB":5.0}</v>
      </c>
      <c r="E30" s="8" t="str">
        <f t="shared" si="2"/>
        <v>ótimo</v>
      </c>
      <c r="F30" s="8" t="str">
        <f>IFERROR(__xludf.DUMMYFUNCTION("""COMPUTED_VALUE"""),"super")</f>
        <v>super</v>
      </c>
      <c r="G30" s="8" t="str">
        <f t="shared" si="3"/>
        <v>5.0</v>
      </c>
      <c r="H30" s="9">
        <f t="shared" si="4"/>
        <v>5</v>
      </c>
      <c r="I30" s="10">
        <f>IFERROR(__xludf.DUMMYFUNCTION("MAX(FILTER($H:$H,$E:$E=F30))"),1.0)</f>
        <v>1</v>
      </c>
    </row>
    <row r="31">
      <c r="C31" s="4" t="s">
        <v>360</v>
      </c>
      <c r="D31" s="4" t="str">
        <f t="shared" si="1"/>
        <v>{"valorA":"dessa","valorB":1.0}</v>
      </c>
      <c r="E31" s="8" t="str">
        <f t="shared" si="2"/>
        <v>dessa</v>
      </c>
      <c r="F31" s="8" t="str">
        <f>IFERROR(__xludf.DUMMYFUNCTION("""COMPUTED_VALUE"""),"de")</f>
        <v>de</v>
      </c>
      <c r="G31" s="8" t="str">
        <f t="shared" si="3"/>
        <v>1.0</v>
      </c>
      <c r="H31" s="9">
        <f t="shared" si="4"/>
        <v>1</v>
      </c>
      <c r="I31" s="10">
        <f>IFERROR(__xludf.DUMMYFUNCTION("MAX(FILTER($H:$H,$E:$E=F31))"),15.0)</f>
        <v>15</v>
      </c>
    </row>
    <row r="32">
      <c r="C32" s="4" t="s">
        <v>248</v>
      </c>
      <c r="D32" s="4" t="str">
        <f t="shared" si="1"/>
        <v>{"valorA":"funciona","valorB":1.0}</v>
      </c>
      <c r="E32" s="8" t="str">
        <f t="shared" si="2"/>
        <v>funciona</v>
      </c>
      <c r="F32" s="8" t="str">
        <f>IFERROR(__xludf.DUMMYFUNCTION("""COMPUTED_VALUE"""),"ouvido")</f>
        <v>ouvido</v>
      </c>
      <c r="G32" s="8" t="str">
        <f t="shared" si="3"/>
        <v>1.0</v>
      </c>
      <c r="H32" s="9">
        <f t="shared" si="4"/>
        <v>1</v>
      </c>
      <c r="I32" s="10">
        <f>IFERROR(__xludf.DUMMYFUNCTION("MAX(FILTER($H:$H,$E:$E=F32))"),1.0)</f>
        <v>1</v>
      </c>
    </row>
    <row r="33">
      <c r="C33" s="4" t="s">
        <v>583</v>
      </c>
      <c r="D33" s="4" t="str">
        <f t="shared" si="1"/>
        <v>{"valorA":"preço","valorB":1.0}</v>
      </c>
      <c r="E33" s="8" t="str">
        <f t="shared" si="2"/>
        <v>preço</v>
      </c>
      <c r="F33" s="8" t="str">
        <f>IFERROR(__xludf.DUMMYFUNCTION("""COMPUTED_VALUE"""),"fone")</f>
        <v>fone</v>
      </c>
      <c r="G33" s="8" t="str">
        <f t="shared" si="3"/>
        <v>1.0</v>
      </c>
      <c r="H33" s="9">
        <f t="shared" si="4"/>
        <v>1</v>
      </c>
      <c r="I33" s="10">
        <f>IFERROR(__xludf.DUMMYFUNCTION("MAX(FILTER($H:$H,$E:$E=F33))"),1.0)</f>
        <v>1</v>
      </c>
    </row>
    <row r="34">
      <c r="C34" s="4" t="s">
        <v>179</v>
      </c>
      <c r="D34" s="4" t="str">
        <f t="shared" si="1"/>
        <v>{"valorA":"online","valorB":1.0}</v>
      </c>
      <c r="E34" s="8" t="str">
        <f t="shared" si="2"/>
        <v>online</v>
      </c>
      <c r="F34" s="8" t="str">
        <f>IFERROR(__xludf.DUMMYFUNCTION("""COMPUTED_VALUE"""),"som")</f>
        <v>som</v>
      </c>
      <c r="G34" s="8" t="str">
        <f t="shared" si="3"/>
        <v>1.0</v>
      </c>
      <c r="H34" s="9">
        <f t="shared" si="4"/>
        <v>1</v>
      </c>
      <c r="I34" s="10">
        <f>IFERROR(__xludf.DUMMYFUNCTION("MAX(FILTER($H:$H,$E:$E=F34))"),1.0)</f>
        <v>1</v>
      </c>
    </row>
    <row r="35">
      <c r="C35" s="4" t="s">
        <v>290</v>
      </c>
      <c r="D35" s="4" t="str">
        <f t="shared" si="1"/>
        <v>{"valorA":"com","valorB":1.0}</v>
      </c>
      <c r="E35" s="8" t="str">
        <f t="shared" si="2"/>
        <v>com</v>
      </c>
      <c r="F35" s="8" t="str">
        <f>IFERROR(__xludf.DUMMYFUNCTION("""COMPUTED_VALUE"""),"satisfeito")</f>
        <v>satisfeito</v>
      </c>
      <c r="G35" s="8" t="str">
        <f t="shared" si="3"/>
        <v>1.0</v>
      </c>
      <c r="H35" s="9">
        <f t="shared" si="4"/>
        <v>1</v>
      </c>
      <c r="I35" s="10">
        <f>IFERROR(__xludf.DUMMYFUNCTION("MAX(FILTER($H:$H,$E:$E=F35))"),3.0)</f>
        <v>3</v>
      </c>
    </row>
    <row r="36">
      <c r="C36" s="4" t="s">
        <v>1296</v>
      </c>
      <c r="D36" s="4" t="str">
        <f t="shared" si="1"/>
        <v>{"valorA":"bluetooth","valorB":1.0}</v>
      </c>
      <c r="E36" s="8" t="str">
        <f t="shared" si="2"/>
        <v>bluetooth</v>
      </c>
      <c r="F36" s="8" t="str">
        <f>IFERROR(__xludf.DUMMYFUNCTION("""COMPUTED_VALUE"""),"compra")</f>
        <v>compra</v>
      </c>
      <c r="G36" s="8" t="str">
        <f t="shared" si="3"/>
        <v>1.0</v>
      </c>
      <c r="H36" s="9">
        <f t="shared" si="4"/>
        <v>1</v>
      </c>
      <c r="I36" s="10">
        <f>IFERROR(__xludf.DUMMYFUNCTION("MAX(FILTER($H:$H,$E:$E=F36))"),2.0)</f>
        <v>2</v>
      </c>
    </row>
    <row r="37">
      <c r="C37" s="4" t="s">
        <v>492</v>
      </c>
      <c r="D37" s="4" t="str">
        <f t="shared" si="1"/>
        <v>{"valorA":"super","valorB":1.0}</v>
      </c>
      <c r="E37" s="8" t="str">
        <f t="shared" si="2"/>
        <v>super</v>
      </c>
      <c r="F37" s="8" t="str">
        <f>IFERROR(__xludf.DUMMYFUNCTION("""COMPUTED_VALUE"""),"a")</f>
        <v>a</v>
      </c>
      <c r="G37" s="8" t="str">
        <f t="shared" si="3"/>
        <v>1.0</v>
      </c>
      <c r="H37" s="9">
        <f t="shared" si="4"/>
        <v>1</v>
      </c>
      <c r="I37" s="10">
        <f>IFERROR(__xludf.DUMMYFUNCTION("MAX(FILTER($H:$H,$E:$E=F37))"),4.0)</f>
        <v>4</v>
      </c>
    </row>
    <row r="38">
      <c r="C38" s="4" t="s">
        <v>642</v>
      </c>
      <c r="D38" s="4" t="str">
        <f t="shared" si="1"/>
        <v>{"valorA":"de","valorB":1.0}</v>
      </c>
      <c r="E38" s="8" t="str">
        <f t="shared" si="2"/>
        <v>de</v>
      </c>
      <c r="F38" s="8" t="str">
        <f>IFERROR(__xludf.DUMMYFUNCTION("""COMPUTED_VALUE"""),"loja")</f>
        <v>loja</v>
      </c>
      <c r="G38" s="8" t="str">
        <f t="shared" si="3"/>
        <v>1.0</v>
      </c>
      <c r="H38" s="9">
        <f t="shared" si="4"/>
        <v>1</v>
      </c>
      <c r="I38" s="10">
        <f>IFERROR(__xludf.DUMMYFUNCTION("MAX(FILTER($H:$H,$E:$E=F38))"),3.0)</f>
        <v>3</v>
      </c>
    </row>
    <row r="39">
      <c r="C39" s="4" t="s">
        <v>1093</v>
      </c>
      <c r="D39" s="4" t="str">
        <f t="shared" si="1"/>
        <v>{"valorA":"ouvido","valorB":1.0}</v>
      </c>
      <c r="E39" s="8" t="str">
        <f t="shared" si="2"/>
        <v>ouvido</v>
      </c>
      <c r="F39" s="8" t="str">
        <f>IFERROR(__xludf.DUMMYFUNCTION("""COMPUTED_VALUE"""),"desse")</f>
        <v>desse</v>
      </c>
      <c r="G39" s="8" t="str">
        <f t="shared" si="3"/>
        <v>1.0</v>
      </c>
      <c r="H39" s="9">
        <f t="shared" si="4"/>
        <v>1</v>
      </c>
      <c r="I39" s="10">
        <f>IFERROR(__xludf.DUMMYFUNCTION("MAX(FILTER($H:$H,$E:$E=F39))"),5.0)</f>
        <v>5</v>
      </c>
    </row>
    <row r="40">
      <c r="C40" s="4" t="s">
        <v>1094</v>
      </c>
      <c r="D40" s="4" t="str">
        <f t="shared" si="1"/>
        <v>{"valorA":"fone","valorB":1.0}</v>
      </c>
      <c r="E40" s="8" t="str">
        <f t="shared" si="2"/>
        <v>fone</v>
      </c>
      <c r="F40" s="8" t="str">
        <f>IFERROR(__xludf.DUMMYFUNCTION("""COMPUTED_VALUE"""),"recomendo")</f>
        <v>recomendo</v>
      </c>
      <c r="G40" s="8" t="str">
        <f t="shared" si="3"/>
        <v>1.0</v>
      </c>
      <c r="H40" s="9">
        <f t="shared" si="4"/>
        <v>1</v>
      </c>
      <c r="I40" s="10">
        <f>IFERROR(__xludf.DUMMYFUNCTION("MAX(FILTER($H:$H,$E:$E=F40))"),5.0)</f>
        <v>5</v>
      </c>
    </row>
    <row r="41">
      <c r="C41" s="4" t="s">
        <v>585</v>
      </c>
      <c r="D41" s="4" t="str">
        <f t="shared" si="1"/>
        <v>{"valorA":"produto","valorB":3.0}</v>
      </c>
      <c r="E41" s="8" t="str">
        <f t="shared" si="2"/>
        <v>produto</v>
      </c>
      <c r="F41" s="8" t="str">
        <f>IFERROR(__xludf.DUMMYFUNCTION("""COMPUTED_VALUE"""),"faz")</f>
        <v>faz</v>
      </c>
      <c r="G41" s="8" t="str">
        <f t="shared" si="3"/>
        <v>3.0</v>
      </c>
      <c r="H41" s="9">
        <f t="shared" si="4"/>
        <v>3</v>
      </c>
      <c r="I41" s="10">
        <f>IFERROR(__xludf.DUMMYFUNCTION("MAX(FILTER($H:$H,$E:$E=F41))"),2.0)</f>
        <v>2</v>
      </c>
    </row>
    <row r="42">
      <c r="C42" s="4" t="s">
        <v>462</v>
      </c>
      <c r="D42" s="4" t="str">
        <f t="shared" si="1"/>
        <v>{"valorA":"do","valorB":3.0}</v>
      </c>
      <c r="E42" s="8" t="str">
        <f t="shared" si="2"/>
        <v>do</v>
      </c>
      <c r="F42" s="8" t="str">
        <f>IFERROR(__xludf.DUMMYFUNCTION("""COMPUTED_VALUE"""),"incrível")</f>
        <v>incrível</v>
      </c>
      <c r="G42" s="8" t="str">
        <f t="shared" si="3"/>
        <v>3.0</v>
      </c>
      <c r="H42" s="9">
        <f t="shared" si="4"/>
        <v>3</v>
      </c>
      <c r="I42" s="10">
        <f>IFERROR(__xludf.DUMMYFUNCTION("MAX(FILTER($H:$H,$E:$E=F42))"),5.0)</f>
        <v>5</v>
      </c>
    </row>
    <row r="43">
      <c r="C43" s="4" t="s">
        <v>316</v>
      </c>
      <c r="D43" s="4" t="str">
        <f t="shared" si="1"/>
        <v>{"valorA":"gostei","valorB":3.0}</v>
      </c>
      <c r="E43" s="8" t="str">
        <f t="shared" si="2"/>
        <v>gostei</v>
      </c>
      <c r="F43" s="8" t="str">
        <f>IFERROR(__xludf.DUMMYFUNCTION("""COMPUTED_VALUE"""),"o")</f>
        <v>o</v>
      </c>
      <c r="G43" s="8" t="str">
        <f t="shared" si="3"/>
        <v>3.0</v>
      </c>
      <c r="H43" s="9">
        <f t="shared" si="4"/>
        <v>3</v>
      </c>
      <c r="I43" s="10">
        <f>IFERROR(__xludf.DUMMYFUNCTION("MAX(FILTER($H:$H,$E:$E=F43))"),6.0)</f>
        <v>6</v>
      </c>
    </row>
    <row r="44">
      <c r="C44" s="4" t="s">
        <v>227</v>
      </c>
      <c r="D44" s="4" t="str">
        <f t="shared" si="1"/>
        <v>{"valorA":"ótimo","valorB":7.0}</v>
      </c>
      <c r="E44" s="8" t="str">
        <f t="shared" si="2"/>
        <v>ótimo</v>
      </c>
      <c r="F44" s="8" t="str">
        <f>IFERROR(__xludf.DUMMYFUNCTION("""COMPUTED_VALUE"""),"chuveiro")</f>
        <v>chuveiro</v>
      </c>
      <c r="G44" s="8" t="str">
        <f t="shared" si="3"/>
        <v>7.0</v>
      </c>
      <c r="H44" s="9">
        <f t="shared" si="4"/>
        <v>7</v>
      </c>
      <c r="I44" s="10">
        <f>IFERROR(__xludf.DUMMYFUNCTION("MAX(FILTER($H:$H,$E:$E=F44))"),1.0)</f>
        <v>1</v>
      </c>
    </row>
    <row r="45">
      <c r="C45" s="4" t="s">
        <v>667</v>
      </c>
      <c r="D45" s="4" t="str">
        <f t="shared" si="1"/>
        <v>{"valorA":"som","valorB":1.0}</v>
      </c>
      <c r="E45" s="8" t="str">
        <f t="shared" si="2"/>
        <v>som</v>
      </c>
      <c r="F45" s="8" t="str">
        <f>IFERROR(__xludf.DUMMYFUNCTION("""COMPUTED_VALUE"""),"que")</f>
        <v>que</v>
      </c>
      <c r="G45" s="8" t="str">
        <f t="shared" si="3"/>
        <v>1.0</v>
      </c>
      <c r="H45" s="9">
        <f t="shared" si="4"/>
        <v>1</v>
      </c>
      <c r="I45" s="10">
        <f>IFERROR(__xludf.DUMMYFUNCTION("MAX(FILTER($H:$H,$E:$E=F45))"),5.0)</f>
        <v>5</v>
      </c>
    </row>
    <row r="46">
      <c r="C46" s="4" t="s">
        <v>212</v>
      </c>
      <c r="D46" s="4" t="str">
        <f t="shared" si="1"/>
        <v>{"valorA":"muito","valorB":3.0}</v>
      </c>
      <c r="E46" s="8" t="str">
        <f t="shared" si="2"/>
        <v>muito</v>
      </c>
      <c r="F46" s="8" t="str">
        <f>IFERROR(__xludf.DUMMYFUNCTION("""COMPUTED_VALUE"""),"perfeitamente")</f>
        <v>perfeitamente</v>
      </c>
      <c r="G46" s="8" t="str">
        <f t="shared" si="3"/>
        <v>3.0</v>
      </c>
      <c r="H46" s="9">
        <f t="shared" si="4"/>
        <v>3</v>
      </c>
      <c r="I46" s="10">
        <f>IFERROR(__xludf.DUMMYFUNCTION("MAX(FILTER($H:$H,$E:$E=F46))"),11.0)</f>
        <v>11</v>
      </c>
    </row>
    <row r="47">
      <c r="C47" s="4" t="s">
        <v>215</v>
      </c>
      <c r="D47" s="4" t="str">
        <f t="shared" si="1"/>
        <v>{"valorA":"satisfeito","valorB":1.0}</v>
      </c>
      <c r="E47" s="8" t="str">
        <f t="shared" si="2"/>
        <v>satisfeito</v>
      </c>
      <c r="F47" s="8" t="str">
        <f>IFERROR(__xludf.DUMMYFUNCTION("""COMPUTED_VALUE"""),"seu")</f>
        <v>seu</v>
      </c>
      <c r="G47" s="8" t="str">
        <f t="shared" si="3"/>
        <v>1.0</v>
      </c>
      <c r="H47" s="9">
        <f t="shared" si="4"/>
        <v>1</v>
      </c>
      <c r="I47" s="10">
        <f>IFERROR(__xludf.DUMMYFUNCTION("MAX(FILTER($H:$H,$E:$E=F47))"),1.0)</f>
        <v>1</v>
      </c>
    </row>
    <row r="48">
      <c r="C48" s="4" t="s">
        <v>263</v>
      </c>
      <c r="D48" s="4" t="str">
        <f t="shared" si="1"/>
        <v>{"valorA":"compra","valorB":1.0}</v>
      </c>
      <c r="E48" s="8" t="str">
        <f t="shared" si="2"/>
        <v>compra</v>
      </c>
      <c r="F48" s="8" t="str">
        <f>IFERROR(__xludf.DUMMYFUNCTION("""COMPUTED_VALUE"""),"reflexo")</f>
        <v>reflexo</v>
      </c>
      <c r="G48" s="8" t="str">
        <f t="shared" si="3"/>
        <v>1.0</v>
      </c>
      <c r="H48" s="9">
        <f t="shared" si="4"/>
        <v>1</v>
      </c>
      <c r="I48" s="10">
        <f>IFERROR(__xludf.DUMMYFUNCTION("MAX(FILTER($H:$H,$E:$E=F48))"),1.0)</f>
        <v>1</v>
      </c>
    </row>
    <row r="49">
      <c r="C49" s="4" t="s">
        <v>580</v>
      </c>
      <c r="D49" s="4" t="str">
        <f t="shared" si="1"/>
        <v>{"valorA":"a","valorB":1.0}</v>
      </c>
      <c r="E49" s="8" t="str">
        <f t="shared" si="2"/>
        <v>a</v>
      </c>
      <c r="F49" s="8" t="str">
        <f>IFERROR(__xludf.DUMMYFUNCTION("""COMPUTED_VALUE"""),"funcionamento")</f>
        <v>funcionamento</v>
      </c>
      <c r="G49" s="8" t="str">
        <f t="shared" si="3"/>
        <v>1.0</v>
      </c>
      <c r="H49" s="9">
        <f t="shared" si="4"/>
        <v>1</v>
      </c>
      <c r="I49" s="10">
        <f>IFERROR(__xludf.DUMMYFUNCTION("MAX(FILTER($H:$H,$E:$E=F49))"),1.0)</f>
        <v>1</v>
      </c>
    </row>
    <row r="50">
      <c r="C50" s="4" t="s">
        <v>381</v>
      </c>
      <c r="D50" s="4" t="str">
        <f t="shared" si="1"/>
        <v>{"valorA":"dessa","valorB":2.0}</v>
      </c>
      <c r="E50" s="8" t="str">
        <f t="shared" si="2"/>
        <v>dessa</v>
      </c>
      <c r="F50" s="8" t="str">
        <f>IFERROR(__xludf.DUMMYFUNCTION("""COMPUTED_VALUE"""),"esse")</f>
        <v>esse</v>
      </c>
      <c r="G50" s="8" t="str">
        <f t="shared" si="3"/>
        <v>2.0</v>
      </c>
      <c r="H50" s="9">
        <f t="shared" si="4"/>
        <v>2</v>
      </c>
      <c r="I50" s="10">
        <f>IFERROR(__xludf.DUMMYFUNCTION("MAX(FILTER($H:$H,$E:$E=F50))"),8.0)</f>
        <v>8</v>
      </c>
    </row>
    <row r="51">
      <c r="C51" s="4" t="s">
        <v>361</v>
      </c>
      <c r="D51" s="4" t="str">
        <f t="shared" si="1"/>
        <v>{"valorA":"loja","valorB":1.0}</v>
      </c>
      <c r="E51" s="8" t="str">
        <f t="shared" si="2"/>
        <v>loja</v>
      </c>
      <c r="F51" s="8" t="str">
        <f>IFERROR(__xludf.DUMMYFUNCTION("""COMPUTED_VALUE"""),"câmera")</f>
        <v>câmera</v>
      </c>
      <c r="G51" s="8" t="str">
        <f t="shared" si="3"/>
        <v>1.0</v>
      </c>
      <c r="H51" s="9">
        <f t="shared" si="4"/>
        <v>1</v>
      </c>
      <c r="I51" s="10">
        <f>IFERROR(__xludf.DUMMYFUNCTION("MAX(FILTER($H:$H,$E:$E=F51))"),1.0)</f>
        <v>1</v>
      </c>
    </row>
    <row r="52">
      <c r="C52" s="4" t="s">
        <v>195</v>
      </c>
      <c r="D52" s="4" t="str">
        <f t="shared" si="1"/>
        <v>{"valorA":"desse","valorB":1.0}</v>
      </c>
      <c r="E52" s="8" t="str">
        <f t="shared" si="2"/>
        <v>desse</v>
      </c>
      <c r="F52" s="8" t="str">
        <f>IFERROR(__xludf.DUMMYFUNCTION("""COMPUTED_VALUE"""),"cabelos")</f>
        <v>cabelos</v>
      </c>
      <c r="G52" s="8" t="str">
        <f t="shared" si="3"/>
        <v>1.0</v>
      </c>
      <c r="H52" s="9">
        <f t="shared" si="4"/>
        <v>1</v>
      </c>
      <c r="I52" s="10">
        <f>IFERROR(__xludf.DUMMYFUNCTION("MAX(FILTER($H:$H,$E:$E=F52))"),1.0)</f>
        <v>1</v>
      </c>
    </row>
    <row r="53">
      <c r="C53" s="4" t="s">
        <v>277</v>
      </c>
      <c r="D53" s="4" t="str">
        <f t="shared" si="1"/>
        <v>{"valorA":"recomendo","valorB":2.0}</v>
      </c>
      <c r="E53" s="8" t="str">
        <f t="shared" si="2"/>
        <v>recomendo</v>
      </c>
      <c r="F53" s="8" t="str">
        <f>IFERROR(__xludf.DUMMYFUNCTION("""COMPUTED_VALUE"""),"para")</f>
        <v>para</v>
      </c>
      <c r="G53" s="8" t="str">
        <f t="shared" si="3"/>
        <v>2.0</v>
      </c>
      <c r="H53" s="9">
        <f t="shared" si="4"/>
        <v>2</v>
      </c>
      <c r="I53" s="10">
        <f>IFERROR(__xludf.DUMMYFUNCTION("MAX(FILTER($H:$H,$E:$E=F53))"),4.0)</f>
        <v>4</v>
      </c>
    </row>
    <row r="54">
      <c r="C54" s="4" t="s">
        <v>197</v>
      </c>
      <c r="D54" s="4" t="str">
        <f t="shared" si="1"/>
        <v>{"valorA":"é","valorB":2.0}</v>
      </c>
      <c r="E54" s="8" t="str">
        <f t="shared" si="2"/>
        <v>é</v>
      </c>
      <c r="F54" s="8" t="str">
        <f>IFERROR(__xludf.DUMMYFUNCTION("""COMPUTED_VALUE"""),"cortador")</f>
        <v>cortador</v>
      </c>
      <c r="G54" s="8" t="str">
        <f t="shared" si="3"/>
        <v>2.0</v>
      </c>
      <c r="H54" s="9">
        <f t="shared" si="4"/>
        <v>2</v>
      </c>
      <c r="I54" s="10">
        <f>IFERROR(__xludf.DUMMYFUNCTION("MAX(FILTER($H:$H,$E:$E=F54))"),1.0)</f>
        <v>1</v>
      </c>
    </row>
    <row r="55">
      <c r="C55" s="4" t="s">
        <v>1287</v>
      </c>
      <c r="D55" s="4" t="str">
        <f t="shared" si="1"/>
        <v>{"valorA":"faz","valorB":1.0}</v>
      </c>
      <c r="E55" s="8" t="str">
        <f t="shared" si="2"/>
        <v>faz</v>
      </c>
      <c r="F55" s="8" t="str">
        <f>IFERROR(__xludf.DUMMYFUNCTION("""COMPUTED_VALUE"""),"qualidade")</f>
        <v>qualidade</v>
      </c>
      <c r="G55" s="8" t="str">
        <f t="shared" si="3"/>
        <v>1.0</v>
      </c>
      <c r="H55" s="9">
        <f t="shared" si="4"/>
        <v>1</v>
      </c>
      <c r="I55" s="10">
        <f>IFERROR(__xludf.DUMMYFUNCTION("MAX(FILTER($H:$H,$E:$E=F55))"),2.0)</f>
        <v>2</v>
      </c>
    </row>
    <row r="56">
      <c r="C56" s="4" t="s">
        <v>202</v>
      </c>
      <c r="D56" s="4" t="str">
        <f t="shared" si="1"/>
        <v>{"valorA":"incrível","valorB":1.0}</v>
      </c>
      <c r="E56" s="8" t="str">
        <f t="shared" si="2"/>
        <v>incrível</v>
      </c>
      <c r="F56" s="8" t="str">
        <f>IFERROR(__xludf.DUMMYFUNCTION("""COMPUTED_VALUE"""),"neto")</f>
        <v>neto</v>
      </c>
      <c r="G56" s="8" t="str">
        <f t="shared" si="3"/>
        <v>1.0</v>
      </c>
      <c r="H56" s="9">
        <f t="shared" si="4"/>
        <v>1</v>
      </c>
      <c r="I56" s="10">
        <f>IFERROR(__xludf.DUMMYFUNCTION("MAX(FILTER($H:$H,$E:$E=F56))"),1.0)</f>
        <v>1</v>
      </c>
    </row>
    <row r="57">
      <c r="C57" s="4" t="s">
        <v>310</v>
      </c>
      <c r="D57" s="4" t="str">
        <f t="shared" si="1"/>
        <v>{"valorA":"o","valorB":1.0}</v>
      </c>
      <c r="E57" s="8" t="str">
        <f t="shared" si="2"/>
        <v>o</v>
      </c>
      <c r="F57" s="8" t="str">
        <f>IFERROR(__xludf.DUMMYFUNCTION("""COMPUTED_VALUE"""),"meu")</f>
        <v>meu</v>
      </c>
      <c r="G57" s="8" t="str">
        <f t="shared" si="3"/>
        <v>1.0</v>
      </c>
      <c r="H57" s="9">
        <f t="shared" si="4"/>
        <v>1</v>
      </c>
      <c r="I57" s="10">
        <f>IFERROR(__xludf.DUMMYFUNCTION("MAX(FILTER($H:$H,$E:$E=F57))"),7.0)</f>
        <v>7</v>
      </c>
    </row>
    <row r="58">
      <c r="C58" s="4" t="s">
        <v>4480</v>
      </c>
      <c r="D58" s="4" t="str">
        <f t="shared" si="1"/>
        <v>{"valorA":"chuveiro","valorB":1.0}</v>
      </c>
      <c r="E58" s="8" t="str">
        <f t="shared" si="2"/>
        <v>chuveiro</v>
      </c>
      <c r="F58" s="8" t="str">
        <f>IFERROR(__xludf.DUMMYFUNCTION("""COMPUTED_VALUE"""),"brinquedo")</f>
        <v>brinquedo</v>
      </c>
      <c r="G58" s="8" t="str">
        <f t="shared" si="3"/>
        <v>1.0</v>
      </c>
      <c r="H58" s="9">
        <f t="shared" si="4"/>
        <v>1</v>
      </c>
      <c r="I58" s="10">
        <f>IFERROR(__xludf.DUMMYFUNCTION("MAX(FILTER($H:$H,$E:$E=F58))"),1.0)</f>
        <v>1</v>
      </c>
    </row>
    <row r="59">
      <c r="C59" s="4" t="s">
        <v>295</v>
      </c>
      <c r="D59" s="4" t="str">
        <f t="shared" si="1"/>
        <v>{"valorA":"que","valorB":1.0}</v>
      </c>
      <c r="E59" s="8" t="str">
        <f t="shared" si="2"/>
        <v>que</v>
      </c>
      <c r="F59" s="8" t="str">
        <f>IFERROR(__xludf.DUMMYFUNCTION("""COMPUTED_VALUE"""),"adoramos")</f>
        <v>adoramos</v>
      </c>
      <c r="G59" s="8" t="str">
        <f t="shared" si="3"/>
        <v>1.0</v>
      </c>
      <c r="H59" s="9">
        <f t="shared" si="4"/>
        <v>1</v>
      </c>
      <c r="I59" s="10">
        <f>IFERROR(__xludf.DUMMYFUNCTION("MAX(FILTER($H:$H,$E:$E=F59))"),1.0)</f>
        <v>1</v>
      </c>
    </row>
    <row r="60">
      <c r="C60" s="4" t="s">
        <v>241</v>
      </c>
      <c r="D60" s="4" t="str">
        <f t="shared" si="1"/>
        <v>{"valorA":"produto","valorB":6.0}</v>
      </c>
      <c r="E60" s="8" t="str">
        <f t="shared" si="2"/>
        <v>produto</v>
      </c>
      <c r="F60" s="8" t="str">
        <f>IFERROR(__xludf.DUMMYFUNCTION("""COMPUTED_VALUE"""),"da")</f>
        <v>da</v>
      </c>
      <c r="G60" s="8" t="str">
        <f t="shared" si="3"/>
        <v>6.0</v>
      </c>
      <c r="H60" s="9">
        <f t="shared" si="4"/>
        <v>6</v>
      </c>
      <c r="I60" s="10">
        <f>IFERROR(__xludf.DUMMYFUNCTION("MAX(FILTER($H:$H,$E:$E=F60))"),2.0)</f>
        <v>2</v>
      </c>
    </row>
    <row r="61">
      <c r="C61" s="4" t="s">
        <v>612</v>
      </c>
      <c r="D61" s="4" t="str">
        <f t="shared" si="1"/>
        <v>{"valorA":"ótimo","valorB":10.0}</v>
      </c>
      <c r="E61" s="8" t="str">
        <f t="shared" si="2"/>
        <v>ótimo</v>
      </c>
      <c r="F61" s="8" t="str">
        <f>IFERROR(__xludf.DUMMYFUNCTION("""COMPUTED_VALUE"""),"alimentício")</f>
        <v>alimentício</v>
      </c>
      <c r="G61" s="8" t="str">
        <f t="shared" si="3"/>
        <v>10.0</v>
      </c>
      <c r="H61" s="9">
        <f t="shared" si="4"/>
        <v>10</v>
      </c>
      <c r="I61" s="10">
        <f>IFERROR(__xludf.DUMMYFUNCTION("MAX(FILTER($H:$H,$E:$E=F61))"),1.0)</f>
        <v>1</v>
      </c>
    </row>
    <row r="62">
      <c r="C62" s="4" t="s">
        <v>689</v>
      </c>
      <c r="D62" s="4" t="str">
        <f t="shared" si="1"/>
        <v>{"valorA":"perfeitamente","valorB":2.0}</v>
      </c>
      <c r="E62" s="8" t="str">
        <f t="shared" si="2"/>
        <v>perfeitamente</v>
      </c>
      <c r="F62" s="8" t="str">
        <f>IFERROR(__xludf.DUMMYFUNCTION("""COMPUTED_VALUE"""),"gosto")</f>
        <v>gosto</v>
      </c>
      <c r="G62" s="8" t="str">
        <f t="shared" si="3"/>
        <v>2.0</v>
      </c>
      <c r="H62" s="9">
        <f t="shared" si="4"/>
        <v>2</v>
      </c>
      <c r="I62" s="10">
        <f>IFERROR(__xludf.DUMMYFUNCTION("MAX(FILTER($H:$H,$E:$E=F62))"),1.0)</f>
        <v>1</v>
      </c>
    </row>
    <row r="63">
      <c r="C63" s="4" t="s">
        <v>231</v>
      </c>
      <c r="D63" s="4" t="str">
        <f t="shared" si="1"/>
        <v>{"valorA":"desse","valorB":2.0}</v>
      </c>
      <c r="E63" s="8" t="str">
        <f t="shared" si="2"/>
        <v>desse</v>
      </c>
      <c r="F63" s="8" t="str">
        <f>IFERROR(__xludf.DUMMYFUNCTION("""COMPUTED_VALUE"""),"suplemento")</f>
        <v>suplemento</v>
      </c>
      <c r="G63" s="8" t="str">
        <f t="shared" si="3"/>
        <v>2.0</v>
      </c>
      <c r="H63" s="9">
        <f t="shared" si="4"/>
        <v>2</v>
      </c>
      <c r="I63" s="10">
        <f>IFERROR(__xludf.DUMMYFUNCTION("MAX(FILTER($H:$H,$E:$E=F63))"),1.0)</f>
        <v>1</v>
      </c>
    </row>
    <row r="64">
      <c r="C64" s="4" t="s">
        <v>636</v>
      </c>
      <c r="D64" s="4" t="str">
        <f t="shared" si="1"/>
        <v>{"valorA":"funciona","valorB":3.0}</v>
      </c>
      <c r="E64" s="8" t="str">
        <f t="shared" si="2"/>
        <v>funciona</v>
      </c>
      <c r="F64" s="8" t="str">
        <f>IFERROR(__xludf.DUMMYFUNCTION("""COMPUTED_VALUE"""),"compras")</f>
        <v>compras</v>
      </c>
      <c r="G64" s="8" t="str">
        <f t="shared" si="3"/>
        <v>3.0</v>
      </c>
      <c r="H64" s="9">
        <f t="shared" si="4"/>
        <v>3</v>
      </c>
      <c r="I64" s="10">
        <f>IFERROR(__xludf.DUMMYFUNCTION("MAX(FILTER($H:$H,$E:$E=F64))"),1.0)</f>
        <v>1</v>
      </c>
    </row>
    <row r="65">
      <c r="C65" s="4" t="s">
        <v>196</v>
      </c>
      <c r="D65" s="4" t="str">
        <f t="shared" si="1"/>
        <v>{"valorA":"seu","valorB":1.0}</v>
      </c>
      <c r="E65" s="8" t="str">
        <f t="shared" si="2"/>
        <v>seu</v>
      </c>
      <c r="F65" s="8" t="str">
        <f>IFERROR(__xludf.DUMMYFUNCTION("""COMPUTED_VALUE"""),"carrinho")</f>
        <v>carrinho</v>
      </c>
      <c r="G65" s="8" t="str">
        <f t="shared" si="3"/>
        <v>1.0</v>
      </c>
      <c r="H65" s="9">
        <f t="shared" si="4"/>
        <v>1</v>
      </c>
      <c r="I65" s="10">
        <f>IFERROR(__xludf.DUMMYFUNCTION("MAX(FILTER($H:$H,$E:$E=F65))"),1.0)</f>
        <v>1</v>
      </c>
    </row>
    <row r="66">
      <c r="C66" s="4" t="s">
        <v>4481</v>
      </c>
      <c r="D66" s="4" t="str">
        <f t="shared" si="1"/>
        <v>{"valorA":"reflexo","valorB":1.0}</v>
      </c>
      <c r="E66" s="8" t="str">
        <f t="shared" si="2"/>
        <v>reflexo</v>
      </c>
      <c r="F66" s="8" t="str">
        <f>IFERROR(__xludf.DUMMYFUNCTION("""COMPUTED_VALUE"""),"relogio")</f>
        <v>relogio</v>
      </c>
      <c r="G66" s="8" t="str">
        <f t="shared" si="3"/>
        <v>1.0</v>
      </c>
      <c r="H66" s="9">
        <f t="shared" si="4"/>
        <v>1</v>
      </c>
      <c r="I66" s="10">
        <f>IFERROR(__xludf.DUMMYFUNCTION("MAX(FILTER($H:$H,$E:$E=F66))"),2.0)</f>
        <v>2</v>
      </c>
    </row>
    <row r="67">
      <c r="C67" s="4" t="s">
        <v>4482</v>
      </c>
      <c r="D67" s="4" t="str">
        <f t="shared" si="1"/>
        <v>{"valorA":"funcionamento","valorB":1.0}</v>
      </c>
      <c r="E67" s="8" t="str">
        <f t="shared" si="2"/>
        <v>funcionamento</v>
      </c>
      <c r="F67" s="8" t="str">
        <f>IFERROR(__xludf.DUMMYFUNCTION("""COMPUTED_VALUE"""),"preciso")</f>
        <v>preciso</v>
      </c>
      <c r="G67" s="8" t="str">
        <f t="shared" si="3"/>
        <v>1.0</v>
      </c>
      <c r="H67" s="9">
        <f t="shared" si="4"/>
        <v>1</v>
      </c>
      <c r="I67" s="10">
        <f>IFERROR(__xludf.DUMMYFUNCTION("MAX(FILTER($H:$H,$E:$E=F67))"),2.0)</f>
        <v>2</v>
      </c>
    </row>
    <row r="68">
      <c r="C68" s="4" t="s">
        <v>258</v>
      </c>
      <c r="D68" s="4" t="str">
        <f t="shared" si="1"/>
        <v>{"valorA":"produto","valorB":8.0}</v>
      </c>
      <c r="E68" s="8" t="str">
        <f t="shared" si="2"/>
        <v>produto</v>
      </c>
      <c r="F68" s="8" t="str">
        <f>IFERROR(__xludf.DUMMYFUNCTION("""COMPUTED_VALUE"""),"usar")</f>
        <v>usar</v>
      </c>
      <c r="G68" s="8" t="str">
        <f t="shared" si="3"/>
        <v>8.0</v>
      </c>
      <c r="H68" s="9">
        <f t="shared" si="4"/>
        <v>8</v>
      </c>
      <c r="I68" s="10">
        <f>IFERROR(__xludf.DUMMYFUNCTION("MAX(FILTER($H:$H,$E:$E=F68))"),7.0)</f>
        <v>7</v>
      </c>
    </row>
    <row r="69">
      <c r="C69" s="4" t="s">
        <v>483</v>
      </c>
      <c r="D69" s="4" t="str">
        <f t="shared" si="1"/>
        <v>{"valorA":"do","valorB":4.0}</v>
      </c>
      <c r="E69" s="8" t="str">
        <f t="shared" si="2"/>
        <v>do</v>
      </c>
      <c r="F69" s="8" t="str">
        <f>IFERROR(__xludf.DUMMYFUNCTION("""COMPUTED_VALUE"""),"feito")</f>
        <v>feito</v>
      </c>
      <c r="G69" s="8" t="str">
        <f t="shared" si="3"/>
        <v>4.0</v>
      </c>
      <c r="H69" s="9">
        <f t="shared" si="4"/>
        <v>4</v>
      </c>
      <c r="I69" s="10">
        <f>IFERROR(__xludf.DUMMYFUNCTION("MAX(FILTER($H:$H,$E:$E=F69))"),1.0)</f>
        <v>1</v>
      </c>
    </row>
    <row r="70">
      <c r="C70" s="4" t="s">
        <v>259</v>
      </c>
      <c r="D70" s="4" t="str">
        <f t="shared" si="1"/>
        <v>{"valorA":"ótimo","valorB":12.0}</v>
      </c>
      <c r="E70" s="8" t="str">
        <f t="shared" si="2"/>
        <v>ótimo</v>
      </c>
      <c r="F70" s="8" t="str">
        <f>IFERROR(__xludf.DUMMYFUNCTION("""COMPUTED_VALUE"""),"empresa")</f>
        <v>empresa</v>
      </c>
      <c r="G70" s="8" t="str">
        <f t="shared" si="3"/>
        <v>12.0</v>
      </c>
      <c r="H70" s="9">
        <f t="shared" si="4"/>
        <v>12</v>
      </c>
      <c r="I70" s="10">
        <f>IFERROR(__xludf.DUMMYFUNCTION("MAX(FILTER($H:$H,$E:$E=F70))"),1.0)</f>
        <v>1</v>
      </c>
    </row>
    <row r="71">
      <c r="C71" s="4" t="s">
        <v>393</v>
      </c>
      <c r="D71" s="4" t="str">
        <f t="shared" si="1"/>
        <v>{"valorA":"gostei","valorB":4.0}</v>
      </c>
      <c r="E71" s="8" t="str">
        <f t="shared" si="2"/>
        <v>gostei</v>
      </c>
      <c r="F71" s="8" t="str">
        <f>IFERROR(__xludf.DUMMYFUNCTION("""COMPUTED_VALUE"""),"fácil")</f>
        <v>fácil</v>
      </c>
      <c r="G71" s="8" t="str">
        <f t="shared" si="3"/>
        <v>4.0</v>
      </c>
      <c r="H71" s="9">
        <f t="shared" si="4"/>
        <v>4</v>
      </c>
      <c r="I71" s="10">
        <f>IFERROR(__xludf.DUMMYFUNCTION("MAX(FILTER($H:$H,$E:$E=F71))"),6.0)</f>
        <v>6</v>
      </c>
    </row>
    <row r="72">
      <c r="C72" s="4" t="s">
        <v>192</v>
      </c>
      <c r="D72" s="4" t="str">
        <f t="shared" si="1"/>
        <v>{"valorA":"esse","valorB":1.0}</v>
      </c>
      <c r="E72" s="8" t="str">
        <f t="shared" si="2"/>
        <v>esse</v>
      </c>
      <c r="F72" s="8" t="str">
        <f>IFERROR(__xludf.DUMMYFUNCTION("""COMPUTED_VALUE"""),"confiável")</f>
        <v>confiável</v>
      </c>
      <c r="G72" s="8" t="str">
        <f t="shared" si="3"/>
        <v>1.0</v>
      </c>
      <c r="H72" s="9">
        <f t="shared" si="4"/>
        <v>1</v>
      </c>
      <c r="I72" s="10">
        <f>IFERROR(__xludf.DUMMYFUNCTION("MAX(FILTER($H:$H,$E:$E=F72))"),2.0)</f>
        <v>2</v>
      </c>
    </row>
    <row r="73">
      <c r="C73" s="4" t="s">
        <v>446</v>
      </c>
      <c r="D73" s="4" t="str">
        <f t="shared" si="1"/>
        <v>{"valorA":"câmera","valorB":1.0}</v>
      </c>
      <c r="E73" s="8" t="str">
        <f t="shared" si="2"/>
        <v>câmera</v>
      </c>
      <c r="F73" s="8" t="str">
        <f>IFERROR(__xludf.DUMMYFUNCTION("""COMPUTED_VALUE"""),"eu")</f>
        <v>eu</v>
      </c>
      <c r="G73" s="8" t="str">
        <f t="shared" si="3"/>
        <v>1.0</v>
      </c>
      <c r="H73" s="9">
        <f t="shared" si="4"/>
        <v>1</v>
      </c>
      <c r="I73" s="10">
        <f>IFERROR(__xludf.DUMMYFUNCTION("MAX(FILTER($H:$H,$E:$E=F73))"),2.0)</f>
        <v>2</v>
      </c>
    </row>
    <row r="74">
      <c r="C74" s="4" t="s">
        <v>803</v>
      </c>
      <c r="D74" s="4" t="str">
        <f t="shared" si="1"/>
        <v>{"valorA":"perfeitamente","valorB":3.0}</v>
      </c>
      <c r="E74" s="8" t="str">
        <f t="shared" si="2"/>
        <v>perfeitamente</v>
      </c>
      <c r="F74" s="8" t="str">
        <f>IFERROR(__xludf.DUMMYFUNCTION("""COMPUTED_VALUE"""),"telefone")</f>
        <v>telefone</v>
      </c>
      <c r="G74" s="8" t="str">
        <f t="shared" si="3"/>
        <v>3.0</v>
      </c>
      <c r="H74" s="9">
        <f t="shared" si="4"/>
        <v>3</v>
      </c>
      <c r="I74" s="10">
        <f>IFERROR(__xludf.DUMMYFUNCTION("MAX(FILTER($H:$H,$E:$E=F74))"),1.0)</f>
        <v>1</v>
      </c>
    </row>
    <row r="75">
      <c r="C75" s="4" t="s">
        <v>246</v>
      </c>
      <c r="D75" s="4" t="str">
        <f t="shared" si="1"/>
        <v>{"valorA":"muito","valorB":4.0}</v>
      </c>
      <c r="E75" s="8" t="str">
        <f t="shared" si="2"/>
        <v>muito</v>
      </c>
      <c r="F75" s="8" t="str">
        <f>IFERROR(__xludf.DUMMYFUNCTION("""COMPUTED_VALUE"""),"realmente")</f>
        <v>realmente</v>
      </c>
      <c r="G75" s="8" t="str">
        <f t="shared" si="3"/>
        <v>4.0</v>
      </c>
      <c r="H75" s="9">
        <f t="shared" si="4"/>
        <v>4</v>
      </c>
      <c r="I75" s="10">
        <f>IFERROR(__xludf.DUMMYFUNCTION("MAX(FILTER($H:$H,$E:$E=F75))"),5.0)</f>
        <v>5</v>
      </c>
    </row>
    <row r="76">
      <c r="C76" s="4" t="s">
        <v>288</v>
      </c>
      <c r="D76" s="4" t="str">
        <f t="shared" si="1"/>
        <v>{"valorA":"funciona","valorB":4.0}</v>
      </c>
      <c r="E76" s="8" t="str">
        <f t="shared" si="2"/>
        <v>funciona</v>
      </c>
      <c r="F76" s="8" t="str">
        <f>IFERROR(__xludf.DUMMYFUNCTION("""COMPUTED_VALUE"""),"carregador")</f>
        <v>carregador</v>
      </c>
      <c r="G76" s="8" t="str">
        <f t="shared" si="3"/>
        <v>4.0</v>
      </c>
      <c r="H76" s="9">
        <f t="shared" si="4"/>
        <v>4</v>
      </c>
      <c r="I76" s="10">
        <f>IFERROR(__xludf.DUMMYFUNCTION("MAX(FILTER($H:$H,$E:$E=F76))"),1.0)</f>
        <v>1</v>
      </c>
    </row>
    <row r="77">
      <c r="C77" s="4" t="s">
        <v>4483</v>
      </c>
      <c r="D77" s="4" t="str">
        <f t="shared" si="1"/>
        <v>{"valorA":"cabelos","valorB":1.0}</v>
      </c>
      <c r="E77" s="8" t="str">
        <f t="shared" si="2"/>
        <v>cabelos</v>
      </c>
      <c r="F77" s="8" t="str">
        <f>IFERROR(__xludf.DUMMYFUNCTION("""COMPUTED_VALUE"""),"este")</f>
        <v>este</v>
      </c>
      <c r="G77" s="8" t="str">
        <f t="shared" si="3"/>
        <v>1.0</v>
      </c>
      <c r="H77" s="9">
        <f t="shared" si="4"/>
        <v>1</v>
      </c>
      <c r="I77" s="10">
        <f>IFERROR(__xludf.DUMMYFUNCTION("MAX(FILTER($H:$H,$E:$E=F77))"),1.0)</f>
        <v>1</v>
      </c>
    </row>
    <row r="78">
      <c r="C78" s="4" t="s">
        <v>178</v>
      </c>
      <c r="D78" s="4" t="str">
        <f t="shared" si="1"/>
        <v>{"valorA":"para","valorB":1.0}</v>
      </c>
      <c r="E78" s="8" t="str">
        <f t="shared" si="2"/>
        <v>para</v>
      </c>
      <c r="F78" s="8" t="str">
        <f>IFERROR(__xludf.DUMMYFUNCTION("""COMPUTED_VALUE"""),"adorno")</f>
        <v>adorno</v>
      </c>
      <c r="G78" s="8" t="str">
        <f t="shared" si="3"/>
        <v>1.0</v>
      </c>
      <c r="H78" s="9">
        <f t="shared" si="4"/>
        <v>1</v>
      </c>
      <c r="I78" s="10">
        <f>IFERROR(__xludf.DUMMYFUNCTION("MAX(FILTER($H:$H,$E:$E=F78))"),1.0)</f>
        <v>1</v>
      </c>
    </row>
    <row r="79">
      <c r="C79" s="4" t="s">
        <v>4484</v>
      </c>
      <c r="D79" s="4" t="str">
        <f t="shared" si="1"/>
        <v>{"valorA":"cortador","valorB":1.0}</v>
      </c>
      <c r="E79" s="8" t="str">
        <f t="shared" si="2"/>
        <v>cortador</v>
      </c>
      <c r="F79" s="8" t="str">
        <f>IFERROR(__xludf.DUMMYFUNCTION("""COMPUTED_VALUE"""),"vida")</f>
        <v>vida</v>
      </c>
      <c r="G79" s="8" t="str">
        <f t="shared" si="3"/>
        <v>1.0</v>
      </c>
      <c r="H79" s="9">
        <f t="shared" si="4"/>
        <v>1</v>
      </c>
      <c r="I79" s="10">
        <f>IFERROR(__xludf.DUMMYFUNCTION("MAX(FILTER($H:$H,$E:$E=F79))"),1.0)</f>
        <v>1</v>
      </c>
    </row>
    <row r="80">
      <c r="C80" s="4" t="s">
        <v>346</v>
      </c>
      <c r="D80" s="4" t="str">
        <f t="shared" si="1"/>
        <v>{"valorA":"qualidade","valorB":1.0}</v>
      </c>
      <c r="E80" s="8" t="str">
        <f t="shared" si="2"/>
        <v>qualidade</v>
      </c>
      <c r="F80" s="8" t="str">
        <f>IFERROR(__xludf.DUMMYFUNCTION("""COMPUTED_VALUE"""),"demasiado")</f>
        <v>demasiado</v>
      </c>
      <c r="G80" s="8" t="str">
        <f t="shared" si="3"/>
        <v>1.0</v>
      </c>
      <c r="H80" s="9">
        <f t="shared" si="4"/>
        <v>1</v>
      </c>
      <c r="I80" s="10">
        <f>IFERROR(__xludf.DUMMYFUNCTION("MAX(FILTER($H:$H,$E:$E=F80))"),1.0)</f>
        <v>1</v>
      </c>
    </row>
    <row r="81">
      <c r="C81" s="4" t="s">
        <v>4485</v>
      </c>
      <c r="D81" s="4" t="str">
        <f t="shared" si="1"/>
        <v>{"valorA":"neto","valorB":1.0}</v>
      </c>
      <c r="E81" s="8" t="str">
        <f t="shared" si="2"/>
        <v>neto</v>
      </c>
      <c r="F81" s="8" t="str">
        <f>IFERROR(__xludf.DUMMYFUNCTION("""COMPUTED_VALUE"""),"melhorar")</f>
        <v>melhorar</v>
      </c>
      <c r="G81" s="8" t="str">
        <f t="shared" si="3"/>
        <v>1.0</v>
      </c>
      <c r="H81" s="9">
        <f t="shared" si="4"/>
        <v>1</v>
      </c>
      <c r="I81" s="10">
        <f>IFERROR(__xludf.DUMMYFUNCTION("MAX(FILTER($H:$H,$E:$E=F81))"),1.0)</f>
        <v>1</v>
      </c>
    </row>
    <row r="82">
      <c r="C82" s="4" t="s">
        <v>200</v>
      </c>
      <c r="D82" s="4" t="str">
        <f t="shared" si="1"/>
        <v>{"valorA":"meu","valorB":1.0}</v>
      </c>
      <c r="E82" s="8" t="str">
        <f t="shared" si="2"/>
        <v>meu</v>
      </c>
      <c r="F82" s="8" t="str">
        <f>IFERROR(__xludf.DUMMYFUNCTION("""COMPUTED_VALUE"""),"caro")</f>
        <v>caro</v>
      </c>
      <c r="G82" s="8" t="str">
        <f t="shared" si="3"/>
        <v>1.0</v>
      </c>
      <c r="H82" s="9">
        <f t="shared" si="4"/>
        <v>1</v>
      </c>
      <c r="I82" s="10">
        <f>IFERROR(__xludf.DUMMYFUNCTION("MAX(FILTER($H:$H,$E:$E=F82))"),1.0)</f>
        <v>1</v>
      </c>
    </row>
    <row r="83">
      <c r="C83" s="4" t="s">
        <v>186</v>
      </c>
      <c r="D83" s="4" t="str">
        <f t="shared" si="1"/>
        <v>{"valorA":"de","valorB":2.0}</v>
      </c>
      <c r="E83" s="8" t="str">
        <f t="shared" si="2"/>
        <v>de</v>
      </c>
      <c r="F83" s="8" t="str">
        <f>IFERROR(__xludf.DUMMYFUNCTION("""COMPUTED_VALUE"""),"ajudou")</f>
        <v>ajudou</v>
      </c>
      <c r="G83" s="8" t="str">
        <f t="shared" si="3"/>
        <v>2.0</v>
      </c>
      <c r="H83" s="9">
        <f t="shared" si="4"/>
        <v>2</v>
      </c>
      <c r="I83" s="10">
        <f>IFERROR(__xludf.DUMMYFUNCTION("MAX(FILTER($H:$H,$E:$E=F83))"),1.0)</f>
        <v>1</v>
      </c>
    </row>
    <row r="84">
      <c r="C84" s="4" t="s">
        <v>781</v>
      </c>
      <c r="D84" s="4" t="str">
        <f t="shared" si="1"/>
        <v>{"valorA":"do","valorB":5.0}</v>
      </c>
      <c r="E84" s="8" t="str">
        <f t="shared" si="2"/>
        <v>do</v>
      </c>
      <c r="F84" s="8" t="str">
        <f>IFERROR(__xludf.DUMMYFUNCTION("""COMPUTED_VALUE"""),"mas")</f>
        <v>mas</v>
      </c>
      <c r="G84" s="8" t="str">
        <f t="shared" si="3"/>
        <v>5.0</v>
      </c>
      <c r="H84" s="9">
        <f t="shared" si="4"/>
        <v>5</v>
      </c>
      <c r="I84" s="10">
        <f>IFERROR(__xludf.DUMMYFUNCTION("MAX(FILTER($H:$H,$E:$E=F84))"),1.0)</f>
        <v>1</v>
      </c>
    </row>
    <row r="85">
      <c r="C85" s="4" t="s">
        <v>272</v>
      </c>
      <c r="D85" s="4" t="str">
        <f t="shared" si="1"/>
        <v>{"valorA":"produto","valorB":9.0}</v>
      </c>
      <c r="E85" s="8" t="str">
        <f t="shared" si="2"/>
        <v>produto</v>
      </c>
      <c r="F85" s="8" t="str">
        <f>IFERROR(__xludf.DUMMYFUNCTION("""COMPUTED_VALUE"""),"orçamento")</f>
        <v>orçamento</v>
      </c>
      <c r="G85" s="8" t="str">
        <f t="shared" si="3"/>
        <v>9.0</v>
      </c>
      <c r="H85" s="9">
        <f t="shared" si="4"/>
        <v>9</v>
      </c>
      <c r="I85" s="10">
        <f>IFERROR(__xludf.DUMMYFUNCTION("MAX(FILTER($H:$H,$E:$E=F85))"),1.0)</f>
        <v>1</v>
      </c>
    </row>
    <row r="86">
      <c r="C86" s="4" t="s">
        <v>429</v>
      </c>
      <c r="D86" s="4" t="str">
        <f t="shared" si="1"/>
        <v>{"valorA":"gostei","valorB":5.0}</v>
      </c>
      <c r="E86" s="8" t="str">
        <f t="shared" si="2"/>
        <v>gostei</v>
      </c>
      <c r="F86" s="8" t="str">
        <f>IFERROR(__xludf.DUMMYFUNCTION("""COMPUTED_VALUE"""),"diária")</f>
        <v>diária</v>
      </c>
      <c r="G86" s="8" t="str">
        <f t="shared" si="3"/>
        <v>5.0</v>
      </c>
      <c r="H86" s="9">
        <f t="shared" si="4"/>
        <v>5</v>
      </c>
      <c r="I86" s="10">
        <f>IFERROR(__xludf.DUMMYFUNCTION("MAX(FILTER($H:$H,$E:$E=F86))"),1.0)</f>
        <v>1</v>
      </c>
    </row>
    <row r="87">
      <c r="C87" s="4" t="s">
        <v>273</v>
      </c>
      <c r="D87" s="4" t="str">
        <f t="shared" si="1"/>
        <v>{"valorA":"ótimo","valorB":14.0}</v>
      </c>
      <c r="E87" s="8" t="str">
        <f t="shared" si="2"/>
        <v>ótimo</v>
      </c>
      <c r="F87" s="8" t="str">
        <f>IFERROR(__xludf.DUMMYFUNCTION("""COMPUTED_VALUE"""),"minha")</f>
        <v>minha</v>
      </c>
      <c r="G87" s="8" t="str">
        <f t="shared" si="3"/>
        <v>14.0</v>
      </c>
      <c r="H87" s="9">
        <f t="shared" si="4"/>
        <v>14</v>
      </c>
      <c r="I87" s="10">
        <f>IFERROR(__xludf.DUMMYFUNCTION("MAX(FILTER($H:$H,$E:$E=F87))"),2.0)</f>
        <v>2</v>
      </c>
    </row>
    <row r="88">
      <c r="C88" s="4" t="s">
        <v>243</v>
      </c>
      <c r="D88" s="4" t="str">
        <f t="shared" si="1"/>
        <v>{"valorA":"esse","valorB":3.0}</v>
      </c>
      <c r="E88" s="8" t="str">
        <f t="shared" si="2"/>
        <v>esse</v>
      </c>
      <c r="F88" s="8" t="str">
        <f>IFERROR(__xludf.DUMMYFUNCTION("""COMPUTED_VALUE"""),"antigo")</f>
        <v>antigo</v>
      </c>
      <c r="G88" s="8" t="str">
        <f t="shared" si="3"/>
        <v>3.0</v>
      </c>
      <c r="H88" s="9">
        <f t="shared" si="4"/>
        <v>3</v>
      </c>
      <c r="I88" s="10">
        <f>IFERROR(__xludf.DUMMYFUNCTION("MAX(FILTER($H:$H,$E:$E=F88))"),2.0)</f>
        <v>2</v>
      </c>
    </row>
    <row r="89">
      <c r="C89" s="4" t="s">
        <v>262</v>
      </c>
      <c r="D89" s="4" t="str">
        <f t="shared" si="1"/>
        <v>{"valorA":"muito","valorB":5.0}</v>
      </c>
      <c r="E89" s="8" t="str">
        <f t="shared" si="2"/>
        <v>muito</v>
      </c>
      <c r="F89" s="8" t="str">
        <f>IFERROR(__xludf.DUMMYFUNCTION("""COMPUTED_VALUE"""),"totalmente")</f>
        <v>totalmente</v>
      </c>
      <c r="G89" s="8" t="str">
        <f t="shared" si="3"/>
        <v>5.0</v>
      </c>
      <c r="H89" s="9">
        <f t="shared" si="4"/>
        <v>5</v>
      </c>
      <c r="I89" s="10">
        <f>IFERROR(__xludf.DUMMYFUNCTION("MAX(FILTER($H:$H,$E:$E=F89))"),1.0)</f>
        <v>1</v>
      </c>
    </row>
    <row r="90">
      <c r="C90" s="4" t="s">
        <v>4486</v>
      </c>
      <c r="D90" s="4" t="str">
        <f t="shared" si="1"/>
        <v>{"valorA":"brinquedo","valorB":1.0}</v>
      </c>
      <c r="E90" s="8" t="str">
        <f t="shared" si="2"/>
        <v>brinquedo</v>
      </c>
      <c r="F90" s="8" t="str">
        <f>IFERROR(__xludf.DUMMYFUNCTION("""COMPUTED_VALUE"""),"carro")</f>
        <v>carro</v>
      </c>
      <c r="G90" s="8" t="str">
        <f t="shared" si="3"/>
        <v>1.0</v>
      </c>
      <c r="H90" s="9">
        <f t="shared" si="4"/>
        <v>1</v>
      </c>
      <c r="I90" s="10">
        <f>IFERROR(__xludf.DUMMYFUNCTION("MAX(FILTER($H:$H,$E:$E=F90))"),3.0)</f>
        <v>3</v>
      </c>
    </row>
    <row r="91">
      <c r="C91" s="4" t="s">
        <v>4487</v>
      </c>
      <c r="D91" s="4" t="str">
        <f t="shared" si="1"/>
        <v>{"valorA":"adoramos","valorB":1.0}</v>
      </c>
      <c r="E91" s="8" t="str">
        <f t="shared" si="2"/>
        <v>adoramos</v>
      </c>
      <c r="F91" s="8" t="str">
        <f>IFERROR(__xludf.DUMMYFUNCTION("""COMPUTED_VALUE"""),"melhor")</f>
        <v>melhor</v>
      </c>
      <c r="G91" s="8" t="str">
        <f t="shared" si="3"/>
        <v>1.0</v>
      </c>
      <c r="H91" s="9">
        <f t="shared" si="4"/>
        <v>1</v>
      </c>
      <c r="I91" s="10">
        <f>IFERROR(__xludf.DUMMYFUNCTION("MAX(FILTER($H:$H,$E:$E=F91))"),1.0)</f>
        <v>1</v>
      </c>
    </row>
    <row r="92">
      <c r="C92" s="4" t="s">
        <v>323</v>
      </c>
      <c r="D92" s="4" t="str">
        <f t="shared" si="1"/>
        <v>{"valorA":"da","valorB":1.0}</v>
      </c>
      <c r="E92" s="8" t="str">
        <f t="shared" si="2"/>
        <v>da</v>
      </c>
      <c r="F92" s="8" t="str">
        <f>IFERROR(__xludf.DUMMYFUNCTION("""COMPUTED_VALUE"""),"novo")</f>
        <v>novo</v>
      </c>
      <c r="G92" s="8" t="str">
        <f t="shared" si="3"/>
        <v>1.0</v>
      </c>
      <c r="H92" s="9">
        <f t="shared" si="4"/>
        <v>1</v>
      </c>
      <c r="I92" s="10">
        <f>IFERROR(__xludf.DUMMYFUNCTION("MAX(FILTER($H:$H,$E:$E=F92))"),2.0)</f>
        <v>2</v>
      </c>
    </row>
    <row r="93">
      <c r="C93" s="4" t="s">
        <v>591</v>
      </c>
      <c r="D93" s="4" t="str">
        <f t="shared" si="1"/>
        <v>{"valorA":"qualidade","valorB":2.0}</v>
      </c>
      <c r="E93" s="8" t="str">
        <f t="shared" si="2"/>
        <v>qualidade</v>
      </c>
      <c r="F93" s="8" t="str">
        <f>IFERROR(__xludf.DUMMYFUNCTION("""COMPUTED_VALUE"""),"útil")</f>
        <v>útil</v>
      </c>
      <c r="G93" s="8" t="str">
        <f t="shared" si="3"/>
        <v>2.0</v>
      </c>
      <c r="H93" s="9">
        <f t="shared" si="4"/>
        <v>2</v>
      </c>
      <c r="I93" s="10">
        <f>IFERROR(__xludf.DUMMYFUNCTION("MAX(FILTER($H:$H,$E:$E=F93))"),1.0)</f>
        <v>1</v>
      </c>
    </row>
    <row r="94">
      <c r="C94" s="4" t="s">
        <v>328</v>
      </c>
      <c r="D94" s="4" t="str">
        <f t="shared" si="1"/>
        <v>{"valorA":"com","valorB":2.0}</v>
      </c>
      <c r="E94" s="8" t="str">
        <f t="shared" si="2"/>
        <v>com</v>
      </c>
      <c r="F94" s="8" t="str">
        <f>IFERROR(__xludf.DUMMYFUNCTION("""COMPUTED_VALUE"""),"ferramentas")</f>
        <v>ferramentas</v>
      </c>
      <c r="G94" s="8" t="str">
        <f t="shared" si="3"/>
        <v>2.0</v>
      </c>
      <c r="H94" s="9">
        <f t="shared" si="4"/>
        <v>2</v>
      </c>
      <c r="I94" s="10">
        <f>IFERROR(__xludf.DUMMYFUNCTION("MAX(FILTER($H:$H,$E:$E=F94))"),2.0)</f>
        <v>2</v>
      </c>
    </row>
    <row r="95">
      <c r="C95" s="4" t="s">
        <v>223</v>
      </c>
      <c r="D95" s="4" t="str">
        <f t="shared" si="1"/>
        <v>{"valorA":"e","valorB":2.0}</v>
      </c>
      <c r="E95" s="8" t="str">
        <f t="shared" si="2"/>
        <v>e</v>
      </c>
      <c r="F95" s="8" t="str">
        <f>IFERROR(__xludf.DUMMYFUNCTION("""COMPUTED_VALUE"""),"perfecta")</f>
        <v>perfecta</v>
      </c>
      <c r="G95" s="8" t="str">
        <f t="shared" si="3"/>
        <v>2.0</v>
      </c>
      <c r="H95" s="9">
        <f t="shared" si="4"/>
        <v>2</v>
      </c>
      <c r="I95" s="10">
        <f>IFERROR(__xludf.DUMMYFUNCTION("MAX(FILTER($H:$H,$E:$E=F95))"),1.0)</f>
        <v>1</v>
      </c>
    </row>
    <row r="96">
      <c r="C96" s="4" t="s">
        <v>4488</v>
      </c>
      <c r="D96" s="4" t="str">
        <f t="shared" si="1"/>
        <v>{"valorA":"alimentício","valorB":1.0}</v>
      </c>
      <c r="E96" s="8" t="str">
        <f t="shared" si="2"/>
        <v>alimentício</v>
      </c>
      <c r="F96" s="8" t="str">
        <f>IFERROR(__xludf.DUMMYFUNCTION("""COMPUTED_VALUE"""),"casa")</f>
        <v>casa</v>
      </c>
      <c r="G96" s="8" t="str">
        <f t="shared" si="3"/>
        <v>1.0</v>
      </c>
      <c r="H96" s="9">
        <f t="shared" si="4"/>
        <v>1</v>
      </c>
      <c r="I96" s="10">
        <f>IFERROR(__xludf.DUMMYFUNCTION("MAX(FILTER($H:$H,$E:$E=F96))"),1.0)</f>
        <v>1</v>
      </c>
    </row>
    <row r="97">
      <c r="C97" s="4" t="s">
        <v>187</v>
      </c>
      <c r="D97" s="4" t="str">
        <f t="shared" si="1"/>
        <v>{"valorA":"gosto","valorB":1.0}</v>
      </c>
      <c r="E97" s="8" t="str">
        <f t="shared" si="2"/>
        <v>gosto</v>
      </c>
      <c r="F97" s="8" t="str">
        <f>IFERROR(__xludf.DUMMYFUNCTION("""COMPUTED_VALUE"""),"cadeira")</f>
        <v>cadeira</v>
      </c>
      <c r="G97" s="8" t="str">
        <f t="shared" si="3"/>
        <v>1.0</v>
      </c>
      <c r="H97" s="9">
        <f t="shared" si="4"/>
        <v>1</v>
      </c>
      <c r="I97" s="10">
        <f>IFERROR(__xludf.DUMMYFUNCTION("MAX(FILTER($H:$H,$E:$E=F97))"),2.0)</f>
        <v>2</v>
      </c>
    </row>
    <row r="98">
      <c r="C98" s="4" t="s">
        <v>4489</v>
      </c>
      <c r="D98" s="4" t="str">
        <f t="shared" si="1"/>
        <v>{"valorA":"suplemento","valorB":1.0}</v>
      </c>
      <c r="E98" s="8" t="str">
        <f t="shared" si="2"/>
        <v>suplemento</v>
      </c>
      <c r="F98" s="8" t="str">
        <f>IFERROR(__xludf.DUMMYFUNCTION("""COMPUTED_VALUE"""),"caixa")</f>
        <v>caixa</v>
      </c>
      <c r="G98" s="8" t="str">
        <f t="shared" si="3"/>
        <v>1.0</v>
      </c>
      <c r="H98" s="9">
        <f t="shared" si="4"/>
        <v>1</v>
      </c>
      <c r="I98" s="10">
        <f>IFERROR(__xludf.DUMMYFUNCTION("MAX(FILTER($H:$H,$E:$E=F98))"),2.0)</f>
        <v>2</v>
      </c>
    </row>
    <row r="99">
      <c r="C99" s="4" t="s">
        <v>651</v>
      </c>
      <c r="D99" s="4" t="str">
        <f t="shared" si="1"/>
        <v>{"valorA":"produto","valorB":11.0}</v>
      </c>
      <c r="E99" s="8" t="str">
        <f t="shared" si="2"/>
        <v>produto</v>
      </c>
      <c r="F99" s="8" t="str">
        <f>IFERROR(__xludf.DUMMYFUNCTION("""COMPUTED_VALUE"""),"bacalhau")</f>
        <v>bacalhau</v>
      </c>
      <c r="G99" s="8" t="str">
        <f t="shared" si="3"/>
        <v>11.0</v>
      </c>
      <c r="H99" s="9">
        <f t="shared" si="4"/>
        <v>11</v>
      </c>
      <c r="I99" s="10">
        <f>IFERROR(__xludf.DUMMYFUNCTION("MAX(FILTER($H:$H,$E:$E=F99))"),1.0)</f>
        <v>1</v>
      </c>
    </row>
    <row r="100">
      <c r="C100" s="4" t="s">
        <v>843</v>
      </c>
      <c r="D100" s="4" t="str">
        <f t="shared" si="1"/>
        <v>{"valorA":"do","valorB":6.0}</v>
      </c>
      <c r="E100" s="8" t="str">
        <f t="shared" si="2"/>
        <v>do</v>
      </c>
      <c r="F100" s="8" t="str">
        <f>IFERROR(__xludf.DUMMYFUNCTION("""COMPUTED_VALUE"""),"termo")</f>
        <v>termo</v>
      </c>
      <c r="G100" s="8" t="str">
        <f t="shared" si="3"/>
        <v>6.0</v>
      </c>
      <c r="H100" s="9">
        <f t="shared" si="4"/>
        <v>6</v>
      </c>
      <c r="I100" s="10">
        <f>IFERROR(__xludf.DUMMYFUNCTION("MAX(FILTER($H:$H,$E:$E=F100))"),1.0)</f>
        <v>1</v>
      </c>
    </row>
    <row r="101">
      <c r="C101" s="4" t="s">
        <v>284</v>
      </c>
      <c r="D101" s="4" t="str">
        <f t="shared" si="1"/>
        <v>{"valorA":"ótimo","valorB":17.0}</v>
      </c>
      <c r="E101" s="8" t="str">
        <f t="shared" si="2"/>
        <v>ótimo</v>
      </c>
      <c r="F101" s="8" t="str">
        <f>IFERROR(__xludf.DUMMYFUNCTION("""COMPUTED_VALUE"""),"café")</f>
        <v>café</v>
      </c>
      <c r="G101" s="8" t="str">
        <f t="shared" si="3"/>
        <v>17.0</v>
      </c>
      <c r="H101" s="9">
        <f t="shared" si="4"/>
        <v>17</v>
      </c>
      <c r="I101" s="10">
        <f>IFERROR(__xludf.DUMMYFUNCTION("MAX(FILTER($H:$H,$E:$E=F101))"),1.0)</f>
        <v>1</v>
      </c>
    </row>
    <row r="102">
      <c r="C102" s="4" t="s">
        <v>715</v>
      </c>
      <c r="D102" s="4" t="str">
        <f t="shared" si="1"/>
        <v>{"valorA":"gostei","valorB":6.0}</v>
      </c>
      <c r="E102" s="8" t="str">
        <f t="shared" si="2"/>
        <v>gostei</v>
      </c>
      <c r="F102" s="8" t="str">
        <f>IFERROR(__xludf.DUMMYFUNCTION("""COMPUTED_VALUE"""),"tudo")</f>
        <v>tudo</v>
      </c>
      <c r="G102" s="8" t="str">
        <f t="shared" si="3"/>
        <v>6.0</v>
      </c>
      <c r="H102" s="9">
        <f t="shared" si="4"/>
        <v>6</v>
      </c>
      <c r="I102" s="10">
        <f>IFERROR(__xludf.DUMMYFUNCTION("MAX(FILTER($H:$H,$E:$E=F102))"),1.0)</f>
        <v>1</v>
      </c>
    </row>
    <row r="103">
      <c r="C103" s="4" t="s">
        <v>286</v>
      </c>
      <c r="D103" s="4" t="str">
        <f t="shared" si="1"/>
        <v>{"valorA":"esse","valorB":4.0}</v>
      </c>
      <c r="E103" s="8" t="str">
        <f t="shared" si="2"/>
        <v>esse</v>
      </c>
      <c r="F103" s="8" t="str">
        <f>IFERROR(__xludf.DUMMYFUNCTION("""COMPUTED_VALUE"""),"prometeu")</f>
        <v>prometeu</v>
      </c>
      <c r="G103" s="8" t="str">
        <f t="shared" si="3"/>
        <v>4.0</v>
      </c>
      <c r="H103" s="9">
        <f t="shared" si="4"/>
        <v>4</v>
      </c>
      <c r="I103" s="10">
        <f>IFERROR(__xludf.DUMMYFUNCTION("MAX(FILTER($H:$H,$E:$E=F103))"),1.0)</f>
        <v>1</v>
      </c>
    </row>
    <row r="104">
      <c r="C104" s="4" t="s">
        <v>300</v>
      </c>
      <c r="D104" s="4" t="str">
        <f t="shared" si="1"/>
        <v>{"valorA":"muito","valorB":8.0}</v>
      </c>
      <c r="E104" s="8" t="str">
        <f t="shared" si="2"/>
        <v>muito</v>
      </c>
      <c r="F104" s="8" t="str">
        <f>IFERROR(__xludf.DUMMYFUNCTION("""COMPUTED_VALUE"""),"sofá")</f>
        <v>sofá</v>
      </c>
      <c r="G104" s="8" t="str">
        <f t="shared" si="3"/>
        <v>8.0</v>
      </c>
      <c r="H104" s="9">
        <f t="shared" si="4"/>
        <v>8</v>
      </c>
      <c r="I104" s="10">
        <f>IFERROR(__xludf.DUMMYFUNCTION("MAX(FILTER($H:$H,$E:$E=F104))"),1.0)</f>
        <v>1</v>
      </c>
    </row>
    <row r="105">
      <c r="C105" s="4" t="s">
        <v>340</v>
      </c>
      <c r="D105" s="4" t="str">
        <f t="shared" si="1"/>
        <v>{"valorA":"satisfeito","valorB":2.0}</v>
      </c>
      <c r="E105" s="8" t="str">
        <f t="shared" si="2"/>
        <v>satisfeito</v>
      </c>
      <c r="F105" s="8" t="str">
        <f>IFERROR(__xludf.DUMMYFUNCTION("""COMPUTED_VALUE"""),"leve")</f>
        <v>leve</v>
      </c>
      <c r="G105" s="8" t="str">
        <f t="shared" si="3"/>
        <v>2.0</v>
      </c>
      <c r="H105" s="9">
        <f t="shared" si="4"/>
        <v>2</v>
      </c>
      <c r="I105" s="10">
        <f>IFERROR(__xludf.DUMMYFUNCTION("MAX(FILTER($H:$H,$E:$E=F105))"),1.0)</f>
        <v>1</v>
      </c>
    </row>
    <row r="106">
      <c r="C106" s="4" t="s">
        <v>341</v>
      </c>
      <c r="D106" s="4" t="str">
        <f t="shared" si="1"/>
        <v>{"valorA":"compra","valorB":2.0}</v>
      </c>
      <c r="E106" s="8" t="str">
        <f t="shared" si="2"/>
        <v>compra</v>
      </c>
      <c r="F106" s="8" t="str">
        <f>IFERROR(__xludf.DUMMYFUNCTION("""COMPUTED_VALUE"""),"adorei")</f>
        <v>adorei</v>
      </c>
      <c r="G106" s="8" t="str">
        <f t="shared" si="3"/>
        <v>2.0</v>
      </c>
      <c r="H106" s="9">
        <f t="shared" si="4"/>
        <v>2</v>
      </c>
      <c r="I106" s="10">
        <f>IFERROR(__xludf.DUMMYFUNCTION("MAX(FILTER($H:$H,$E:$E=F106))"),1.0)</f>
        <v>1</v>
      </c>
    </row>
    <row r="107">
      <c r="C107" s="4" t="s">
        <v>264</v>
      </c>
      <c r="D107" s="4" t="str">
        <f t="shared" si="1"/>
        <v>{"valorA":"a","valorB":2.0}</v>
      </c>
      <c r="E107" s="8" t="str">
        <f t="shared" si="2"/>
        <v>a</v>
      </c>
      <c r="F107" s="8" t="str">
        <f>IFERROR(__xludf.DUMMYFUNCTION("""COMPUTED_VALUE"""),"mais")</f>
        <v>mais</v>
      </c>
      <c r="G107" s="8" t="str">
        <f t="shared" si="3"/>
        <v>2.0</v>
      </c>
      <c r="H107" s="9">
        <f t="shared" si="4"/>
        <v>2</v>
      </c>
      <c r="I107" s="10">
        <f>IFERROR(__xludf.DUMMYFUNCTION("MAX(FILTER($H:$H,$E:$E=F107))"),1.0)</f>
        <v>1</v>
      </c>
    </row>
    <row r="108">
      <c r="C108" s="4" t="s">
        <v>418</v>
      </c>
      <c r="D108" s="4" t="str">
        <f t="shared" si="1"/>
        <v>{"valorA":"relojoeira","valorB":2.0}</v>
      </c>
      <c r="E108" s="8" t="str">
        <f t="shared" si="2"/>
        <v>relojoeira</v>
      </c>
      <c r="F108" s="8" t="str">
        <f>IFERROR(__xludf.DUMMYFUNCTION("""COMPUTED_VALUE"""),"relógio")</f>
        <v>relógio</v>
      </c>
      <c r="G108" s="8" t="str">
        <f t="shared" si="3"/>
        <v>2.0</v>
      </c>
      <c r="H108" s="9">
        <f t="shared" si="4"/>
        <v>2</v>
      </c>
      <c r="I108" s="10">
        <f>IFERROR(__xludf.DUMMYFUNCTION("MAX(FILTER($H:$H,$E:$E=F108))"),1.0)</f>
        <v>1</v>
      </c>
    </row>
    <row r="109">
      <c r="C109" s="4" t="s">
        <v>402</v>
      </c>
      <c r="D109" s="4" t="str">
        <f t="shared" si="1"/>
        <v>{"valorA":"da","valorB":2.0}</v>
      </c>
      <c r="E109" s="8" t="str">
        <f t="shared" si="2"/>
        <v>da</v>
      </c>
      <c r="F109" s="8" t="str">
        <f>IFERROR(__xludf.DUMMYFUNCTION("""COMPUTED_VALUE"""),"perfeito")</f>
        <v>perfeito</v>
      </c>
      <c r="G109" s="8" t="str">
        <f t="shared" si="3"/>
        <v>2.0</v>
      </c>
      <c r="H109" s="9">
        <f t="shared" si="4"/>
        <v>2</v>
      </c>
      <c r="I109" s="10">
        <f>IFERROR(__xludf.DUMMYFUNCTION("MAX(FILTER($H:$H,$E:$E=F109))"),1.0)</f>
        <v>1</v>
      </c>
    </row>
    <row r="110">
      <c r="C110" s="4" t="s">
        <v>1268</v>
      </c>
      <c r="D110" s="4" t="str">
        <f t="shared" si="1"/>
        <v>{"valorA":"preço","valorB":2.0}</v>
      </c>
      <c r="E110" s="8" t="str">
        <f t="shared" si="2"/>
        <v>preço</v>
      </c>
      <c r="F110" s="8" t="str">
        <f>IFERROR(__xludf.DUMMYFUNCTION("""COMPUTED_VALUE"""),"comprar")</f>
        <v>comprar</v>
      </c>
      <c r="G110" s="8" t="str">
        <f t="shared" si="3"/>
        <v>2.0</v>
      </c>
      <c r="H110" s="9">
        <f t="shared" si="4"/>
        <v>2</v>
      </c>
      <c r="I110" s="10">
        <f>IFERROR(__xludf.DUMMYFUNCTION("MAX(FILTER($H:$H,$E:$E=F110))"),1.0)</f>
        <v>1</v>
      </c>
    </row>
    <row r="111">
      <c r="C111" s="4" t="s">
        <v>249</v>
      </c>
      <c r="D111" s="4" t="str">
        <f t="shared" si="1"/>
        <v>{"valorA":"online","valorB":2.0}</v>
      </c>
      <c r="E111" s="8" t="str">
        <f t="shared" si="2"/>
        <v>online</v>
      </c>
      <c r="F111" s="8" t="str">
        <f>IFERROR(__xludf.DUMMYFUNCTION("""COMPUTED_VALUE"""),"dia")</f>
        <v>dia</v>
      </c>
      <c r="G111" s="8" t="str">
        <f t="shared" si="3"/>
        <v>2.0</v>
      </c>
      <c r="H111" s="9">
        <f t="shared" si="4"/>
        <v>2</v>
      </c>
      <c r="I111" s="10">
        <f>IFERROR(__xludf.DUMMYFUNCTION("MAX(FILTER($H:$H,$E:$E=F111))"),1.0)</f>
        <v>1</v>
      </c>
    </row>
    <row r="112">
      <c r="C112" s="4" t="s">
        <v>276</v>
      </c>
      <c r="D112" s="4" t="str">
        <f t="shared" si="1"/>
        <v>{"valorA":"é","valorB":3.0}</v>
      </c>
      <c r="E112" s="8" t="str">
        <f t="shared" si="2"/>
        <v>é</v>
      </c>
      <c r="F112" s="8" t="str">
        <f>IFERROR(__xludf.DUMMYFUNCTION("""COMPUTED_VALUE"""),"mim")</f>
        <v>mim</v>
      </c>
      <c r="G112" s="8" t="str">
        <f t="shared" si="3"/>
        <v>3.0</v>
      </c>
      <c r="H112" s="9">
        <f t="shared" si="4"/>
        <v>3</v>
      </c>
      <c r="I112" s="10">
        <f>IFERROR(__xludf.DUMMYFUNCTION("MAX(FILTER($H:$H,$E:$E=F112))"),1.0)</f>
        <v>1</v>
      </c>
    </row>
    <row r="113">
      <c r="C113" s="4" t="s">
        <v>176</v>
      </c>
      <c r="D113" s="4" t="str">
        <f t="shared" si="1"/>
        <v>{"valorA":"compras","valorB":1.0}</v>
      </c>
      <c r="E113" s="8" t="str">
        <f t="shared" si="2"/>
        <v>compras</v>
      </c>
      <c r="F113" s="8" t="str">
        <f>IFERROR(__xludf.DUMMYFUNCTION("""COMPUTED_VALUE"""),"outro")</f>
        <v>outro</v>
      </c>
      <c r="G113" s="8" t="str">
        <f t="shared" si="3"/>
        <v>1.0</v>
      </c>
      <c r="H113" s="9">
        <f t="shared" si="4"/>
        <v>1</v>
      </c>
      <c r="I113" s="10">
        <f>IFERROR(__xludf.DUMMYFUNCTION("MAX(FILTER($H:$H,$E:$E=F113))"),1.0)</f>
        <v>1</v>
      </c>
    </row>
    <row r="114">
      <c r="C114" s="4" t="s">
        <v>180</v>
      </c>
      <c r="D114" s="4" t="str">
        <f t="shared" si="1"/>
        <v>{"valorA":"carrinho","valorB":1.0}</v>
      </c>
      <c r="E114" s="8" t="str">
        <f t="shared" si="2"/>
        <v>carrinho</v>
      </c>
      <c r="F114" s="8" t="str">
        <f>IFERROR(__xludf.DUMMYFUNCTION("""COMPUTED_VALUE"""),"condicionador")</f>
        <v>condicionador</v>
      </c>
      <c r="G114" s="8" t="str">
        <f t="shared" si="3"/>
        <v>1.0</v>
      </c>
      <c r="H114" s="9">
        <f t="shared" si="4"/>
        <v>1</v>
      </c>
      <c r="I114" s="10">
        <f>IFERROR(__xludf.DUMMYFUNCTION("MAX(FILTER($H:$H,$E:$E=F114))"),1.0)</f>
        <v>1</v>
      </c>
    </row>
    <row r="115">
      <c r="C115" s="4" t="s">
        <v>267</v>
      </c>
      <c r="D115" s="4" t="str">
        <f t="shared" si="1"/>
        <v>{"valorA":"relogio","valorB":1.0}</v>
      </c>
      <c r="E115" s="8" t="str">
        <f t="shared" si="2"/>
        <v>relogio</v>
      </c>
      <c r="F115" s="8" t="str">
        <f>IFERROR(__xludf.DUMMYFUNCTION("""COMPUTED_VALUE"""),"ar")</f>
        <v>ar</v>
      </c>
      <c r="G115" s="8" t="str">
        <f t="shared" si="3"/>
        <v>1.0</v>
      </c>
      <c r="H115" s="9">
        <f t="shared" si="4"/>
        <v>1</v>
      </c>
      <c r="I115" s="10">
        <f>IFERROR(__xludf.DUMMYFUNCTION("MAX(FILTER($H:$H,$E:$E=F115))"),1.0)</f>
        <v>1</v>
      </c>
    </row>
    <row r="116">
      <c r="C116" s="4" t="s">
        <v>984</v>
      </c>
      <c r="D116" s="4" t="str">
        <f t="shared" si="1"/>
        <v>{"valorA":"preciso","valorB":1.0}</v>
      </c>
      <c r="E116" s="8" t="str">
        <f t="shared" si="2"/>
        <v>preciso</v>
      </c>
      <c r="F116" s="8" t="str">
        <f>IFERROR(__xludf.DUMMYFUNCTION("""COMPUTED_VALUE"""),"adoraria")</f>
        <v>adoraria</v>
      </c>
      <c r="G116" s="8" t="str">
        <f t="shared" si="3"/>
        <v>1.0</v>
      </c>
      <c r="H116" s="9">
        <f t="shared" si="4"/>
        <v>1</v>
      </c>
      <c r="I116" s="10">
        <f>IFERROR(__xludf.DUMMYFUNCTION("MAX(FILTER($H:$H,$E:$E=F116))"),1.0)</f>
        <v>1</v>
      </c>
    </row>
    <row r="117">
      <c r="C117" s="4" t="s">
        <v>308</v>
      </c>
      <c r="D117" s="4" t="str">
        <f t="shared" si="1"/>
        <v>{"valorA":"bem","valorB":5.0}</v>
      </c>
      <c r="E117" s="8" t="str">
        <f t="shared" si="2"/>
        <v>bem</v>
      </c>
      <c r="F117" s="8" t="str">
        <f>IFERROR(__xludf.DUMMYFUNCTION("""COMPUTED_VALUE"""),"um")</f>
        <v>um</v>
      </c>
      <c r="G117" s="8" t="str">
        <f t="shared" si="3"/>
        <v>5.0</v>
      </c>
      <c r="H117" s="9">
        <f t="shared" si="4"/>
        <v>5</v>
      </c>
      <c r="I117" s="10">
        <f>IFERROR(__xludf.DUMMYFUNCTION("MAX(FILTER($H:$H,$E:$E=F117))"),1.0)</f>
        <v>1</v>
      </c>
    </row>
    <row r="118">
      <c r="C118" s="4" t="s">
        <v>640</v>
      </c>
      <c r="D118" s="4" t="str">
        <f t="shared" si="1"/>
        <v>{"valorA":"usar","valorB":1.0}</v>
      </c>
      <c r="E118" s="8" t="str">
        <f t="shared" si="2"/>
        <v>usar</v>
      </c>
      <c r="F118" s="8" t="str">
        <f>IFERROR(__xludf.DUMMYFUNCTION("""COMPUTED_VALUE"""),"me")</f>
        <v>me</v>
      </c>
      <c r="G118" s="8" t="str">
        <f t="shared" si="3"/>
        <v>1.0</v>
      </c>
      <c r="H118" s="9">
        <f t="shared" si="4"/>
        <v>1</v>
      </c>
      <c r="I118" s="10">
        <f>IFERROR(__xludf.DUMMYFUNCTION("MAX(FILTER($H:$H,$E:$E=F118))"),1.0)</f>
        <v>1</v>
      </c>
    </row>
    <row r="119">
      <c r="C119" s="4" t="s">
        <v>281</v>
      </c>
      <c r="D119" s="4" t="str">
        <f t="shared" si="1"/>
        <v>{"valorA":"de","valorB":4.0}</v>
      </c>
      <c r="E119" s="8" t="str">
        <f t="shared" si="2"/>
        <v>de</v>
      </c>
      <c r="F119" s="8" t="str">
        <f>IFERROR(__xludf.DUMMYFUNCTION("""COMPUTED_VALUE"""),"on")</f>
        <v>on</v>
      </c>
      <c r="G119" s="8" t="str">
        <f t="shared" si="3"/>
        <v>4.0</v>
      </c>
      <c r="H119" s="9">
        <f t="shared" si="4"/>
        <v>4</v>
      </c>
      <c r="I119" s="10">
        <f>IFERROR(__xludf.DUMMYFUNCTION("MAX(FILTER($H:$H,$E:$E=F119))"),1.0)</f>
        <v>1</v>
      </c>
    </row>
    <row r="120">
      <c r="C120" s="4" t="s">
        <v>280</v>
      </c>
      <c r="D120" s="4" t="str">
        <f t="shared" si="1"/>
        <v>{"valorA":"e","valorB":4.0}</v>
      </c>
      <c r="E120" s="8" t="str">
        <f t="shared" si="2"/>
        <v>e</v>
      </c>
      <c r="F120" s="8" t="str">
        <f>IFERROR(__xludf.DUMMYFUNCTION("""COMPUTED_VALUE"""),"no")</f>
        <v>no</v>
      </c>
      <c r="G120" s="8" t="str">
        <f t="shared" si="3"/>
        <v>4.0</v>
      </c>
      <c r="H120" s="9">
        <f t="shared" si="4"/>
        <v>4</v>
      </c>
      <c r="I120" s="10">
        <f>IFERROR(__xludf.DUMMYFUNCTION("MAX(FILTER($H:$H,$E:$E=F120))"),1.0)</f>
        <v>1</v>
      </c>
    </row>
    <row r="121">
      <c r="C121" s="4" t="s">
        <v>1308</v>
      </c>
      <c r="D121" s="4" t="str">
        <f t="shared" si="1"/>
        <v>{"valorA":"feito","valorB":1.0}</v>
      </c>
      <c r="E121" s="8" t="str">
        <f t="shared" si="2"/>
        <v>feito</v>
      </c>
      <c r="F121" s="8" t="str">
        <f>IFERROR(__xludf.DUMMYFUNCTION("""COMPUTED_VALUE"""),"parece")</f>
        <v>parece</v>
      </c>
      <c r="G121" s="8" t="str">
        <f t="shared" si="3"/>
        <v>1.0</v>
      </c>
      <c r="H121" s="9">
        <f t="shared" si="4"/>
        <v>1</v>
      </c>
      <c r="I121" s="10">
        <f>IFERROR(__xludf.DUMMYFUNCTION("MAX(FILTER($H:$H,$E:$E=F121))"),1.0)</f>
        <v>1</v>
      </c>
    </row>
    <row r="122">
      <c r="C122" s="4" t="s">
        <v>1000</v>
      </c>
      <c r="D122" s="4" t="str">
        <f t="shared" si="1"/>
        <v>{"valorA":"empresa","valorB":1.0}</v>
      </c>
      <c r="E122" s="8" t="str">
        <f t="shared" si="2"/>
        <v>empresa</v>
      </c>
      <c r="F122" s="8" t="str">
        <f>IFERROR(__xludf.DUMMYFUNCTION("""COMPUTED_VALUE"""),"line")</f>
        <v>line</v>
      </c>
      <c r="G122" s="8" t="str">
        <f t="shared" si="3"/>
        <v>1.0</v>
      </c>
      <c r="H122" s="9">
        <f t="shared" si="4"/>
        <v>1</v>
      </c>
      <c r="I122" s="10">
        <f>IFERROR(__xludf.DUMMYFUNCTION("MAX(FILTER($H:$H,$E:$E=F122))"),1.0)</f>
        <v>1</v>
      </c>
    </row>
    <row r="123">
      <c r="C123" s="4" t="s">
        <v>282</v>
      </c>
      <c r="D123" s="4" t="str">
        <f t="shared" si="1"/>
        <v>{"valorA":"produto","valorB":12.0}</v>
      </c>
      <c r="E123" s="8" t="str">
        <f t="shared" si="2"/>
        <v>produto</v>
      </c>
      <c r="F123" s="8" t="str">
        <f>IFERROR(__xludf.DUMMYFUNCTION("""COMPUTED_VALUE"""),"ontem")</f>
        <v>ontem</v>
      </c>
      <c r="G123" s="8" t="str">
        <f t="shared" si="3"/>
        <v>12.0</v>
      </c>
      <c r="H123" s="9">
        <f t="shared" si="4"/>
        <v>12</v>
      </c>
      <c r="I123" s="10">
        <f>IFERROR(__xludf.DUMMYFUNCTION("MAX(FILTER($H:$H,$E:$E=F123))"),1.0)</f>
        <v>1</v>
      </c>
    </row>
    <row r="124">
      <c r="C124" s="4" t="s">
        <v>671</v>
      </c>
      <c r="D124" s="4" t="str">
        <f t="shared" si="1"/>
        <v>{"valorA":"ótimo","valorB":20.0}</v>
      </c>
      <c r="E124" s="8" t="str">
        <f t="shared" si="2"/>
        <v>ótimo</v>
      </c>
      <c r="F124" s="8" t="str">
        <f>IFERROR(__xludf.DUMMYFUNCTION("""COMPUTED_VALUE"""),"comprei")</f>
        <v>comprei</v>
      </c>
      <c r="G124" s="8" t="str">
        <f t="shared" si="3"/>
        <v>20.0</v>
      </c>
      <c r="H124" s="9">
        <f t="shared" si="4"/>
        <v>20</v>
      </c>
      <c r="I124" s="10">
        <f>IFERROR(__xludf.DUMMYFUNCTION("MAX(FILTER($H:$H,$E:$E=F124))"),1.0)</f>
        <v>1</v>
      </c>
    </row>
    <row r="125">
      <c r="C125" s="4" t="s">
        <v>285</v>
      </c>
      <c r="D125" s="4" t="str">
        <f t="shared" si="1"/>
        <v>{"valorA":"fácil","valorB":1.0}</v>
      </c>
      <c r="E125" s="8" t="str">
        <f t="shared" si="2"/>
        <v>fácil</v>
      </c>
      <c r="F125" s="8" t="str">
        <f>IFERROR(__xludf.DUMMYFUNCTION("""COMPUTED_VALUE"""),"facil")</f>
        <v>facil</v>
      </c>
      <c r="G125" s="8" t="str">
        <f t="shared" si="3"/>
        <v>1.0</v>
      </c>
      <c r="H125" s="9">
        <f t="shared" si="4"/>
        <v>1</v>
      </c>
      <c r="I125" s="10">
        <f>IFERROR(__xludf.DUMMYFUNCTION("MAX(FILTER($H:$H,$E:$E=F125))"),1.0)</f>
        <v>1</v>
      </c>
    </row>
    <row r="126">
      <c r="C126" s="4" t="s">
        <v>319</v>
      </c>
      <c r="D126" s="4" t="str">
        <f t="shared" si="1"/>
        <v>{"valorA":"muito","valorB":9.0}</v>
      </c>
      <c r="E126" s="8" t="str">
        <f t="shared" si="2"/>
        <v>muito</v>
      </c>
      <c r="F126" s="8" t="str">
        <f>IFERROR(__xludf.DUMMYFUNCTION("""COMPUTED_VALUE"""),"rápido")</f>
        <v>rápido</v>
      </c>
      <c r="G126" s="8" t="str">
        <f t="shared" si="3"/>
        <v>9.0</v>
      </c>
      <c r="H126" s="9">
        <f t="shared" si="4"/>
        <v>9</v>
      </c>
      <c r="I126" s="10">
        <f>IFERROR(__xludf.DUMMYFUNCTION("MAX(FILTER($H:$H,$E:$E=F126))"),1.0)</f>
        <v>1</v>
      </c>
    </row>
    <row r="127">
      <c r="C127" s="4" t="s">
        <v>433</v>
      </c>
      <c r="D127" s="4" t="str">
        <f t="shared" si="1"/>
        <v>{"valorA":"dessa","valorB":3.0}</v>
      </c>
      <c r="E127" s="8" t="str">
        <f t="shared" si="2"/>
        <v>dessa</v>
      </c>
      <c r="F127" s="8" t="str">
        <f>IFERROR(__xludf.DUMMYFUNCTION("""COMPUTED_VALUE"""),"laptops")</f>
        <v>laptops</v>
      </c>
      <c r="G127" s="8" t="str">
        <f t="shared" si="3"/>
        <v>3.0</v>
      </c>
      <c r="H127" s="9">
        <f t="shared" si="4"/>
        <v>3</v>
      </c>
      <c r="I127" s="10">
        <f>IFERROR(__xludf.DUMMYFUNCTION("MAX(FILTER($H:$H,$E:$E=F127))"),1.0)</f>
        <v>1</v>
      </c>
    </row>
    <row r="128">
      <c r="C128" s="4" t="s">
        <v>303</v>
      </c>
      <c r="D128" s="4" t="str">
        <f t="shared" si="1"/>
        <v>{"valorA":"funciona","valorB":5.0}</v>
      </c>
      <c r="E128" s="8" t="str">
        <f t="shared" si="2"/>
        <v>funciona</v>
      </c>
      <c r="F128" s="8" t="str">
        <f>IFERROR(__xludf.DUMMYFUNCTION("""COMPUTED_VALUE"""),"recomendável")</f>
        <v>recomendável</v>
      </c>
      <c r="G128" s="8" t="str">
        <f t="shared" si="3"/>
        <v>5.0</v>
      </c>
      <c r="H128" s="9">
        <f t="shared" si="4"/>
        <v>5</v>
      </c>
      <c r="I128" s="10">
        <f>IFERROR(__xludf.DUMMYFUNCTION("MAX(FILTER($H:$H,$E:$E=F128))"),1.0)</f>
        <v>1</v>
      </c>
    </row>
    <row r="129">
      <c r="C129" s="4" t="s">
        <v>1277</v>
      </c>
      <c r="D129" s="4" t="str">
        <f t="shared" si="1"/>
        <v>{"valorA":"desse","valorB":3.0}</v>
      </c>
      <c r="E129" s="8" t="str">
        <f t="shared" si="2"/>
        <v>desse</v>
      </c>
      <c r="F129" s="8"/>
      <c r="G129" s="8" t="str">
        <f t="shared" si="3"/>
        <v>3.0</v>
      </c>
      <c r="H129" s="9">
        <f t="shared" si="4"/>
        <v>3</v>
      </c>
      <c r="I129" s="6" t="str">
        <f>IFERROR(__xludf.DUMMYFUNCTION("MAX(FILTER($H:$H,$E:$E=F129))"),"#N/A")</f>
        <v>#N/A</v>
      </c>
    </row>
    <row r="130">
      <c r="C130" s="4" t="s">
        <v>305</v>
      </c>
      <c r="D130" s="4" t="str">
        <f t="shared" si="1"/>
        <v>{"valorA":"é","valorB":4.0}</v>
      </c>
      <c r="E130" s="8" t="str">
        <f t="shared" si="2"/>
        <v>é</v>
      </c>
      <c r="F130" s="8"/>
      <c r="G130" s="8" t="str">
        <f t="shared" si="3"/>
        <v>4.0</v>
      </c>
      <c r="H130" s="9">
        <f t="shared" si="4"/>
        <v>4</v>
      </c>
      <c r="I130" s="6" t="str">
        <f>IFERROR(__xludf.DUMMYFUNCTION("MAX(FILTER($H:$H,$E:$E=F130))"),"#N/A")</f>
        <v>#N/A</v>
      </c>
    </row>
    <row r="131">
      <c r="C131" s="4" t="s">
        <v>1269</v>
      </c>
      <c r="D131" s="4" t="str">
        <f t="shared" si="1"/>
        <v>{"valorA":"confiável","valorB":1.0}</v>
      </c>
      <c r="E131" s="8" t="str">
        <f t="shared" si="2"/>
        <v>confiável</v>
      </c>
      <c r="F131" s="8"/>
      <c r="G131" s="8" t="str">
        <f t="shared" si="3"/>
        <v>1.0</v>
      </c>
      <c r="H131" s="9">
        <f t="shared" si="4"/>
        <v>1</v>
      </c>
      <c r="I131" s="6" t="str">
        <f>IFERROR(__xludf.DUMMYFUNCTION("MAX(FILTER($H:$H,$E:$E=F131))"),"#N/A")</f>
        <v>#N/A</v>
      </c>
    </row>
    <row r="132">
      <c r="C132" s="4" t="s">
        <v>309</v>
      </c>
      <c r="D132" s="4" t="str">
        <f t="shared" si="1"/>
        <v>{"valorA":"incrível","valorB":2.0}</v>
      </c>
      <c r="E132" s="8" t="str">
        <f t="shared" si="2"/>
        <v>incrível</v>
      </c>
      <c r="F132" s="8"/>
      <c r="G132" s="8" t="str">
        <f t="shared" si="3"/>
        <v>2.0</v>
      </c>
      <c r="H132" s="9">
        <f t="shared" si="4"/>
        <v>2</v>
      </c>
      <c r="I132" s="6" t="str">
        <f>IFERROR(__xludf.DUMMYFUNCTION("MAX(FILTER($H:$H,$E:$E=F132))"),"#N/A")</f>
        <v>#N/A</v>
      </c>
    </row>
    <row r="133">
      <c r="C133" s="4" t="s">
        <v>371</v>
      </c>
      <c r="D133" s="4" t="str">
        <f t="shared" si="1"/>
        <v>{"valorA":"e","valorB":6.0}</v>
      </c>
      <c r="E133" s="8" t="str">
        <f t="shared" si="2"/>
        <v>e</v>
      </c>
      <c r="F133" s="8"/>
      <c r="G133" s="8" t="str">
        <f t="shared" si="3"/>
        <v>6.0</v>
      </c>
      <c r="H133" s="9">
        <f t="shared" si="4"/>
        <v>6</v>
      </c>
      <c r="I133" s="6" t="str">
        <f>IFERROR(__xludf.DUMMYFUNCTION("MAX(FILTER($H:$H,$E:$E=F133))"),"#N/A")</f>
        <v>#N/A</v>
      </c>
    </row>
    <row r="134">
      <c r="C134" s="4" t="s">
        <v>681</v>
      </c>
      <c r="D134" s="4" t="str">
        <f t="shared" si="1"/>
        <v>{"valorA":"de","valorB":5.0}</v>
      </c>
      <c r="E134" s="8" t="str">
        <f t="shared" si="2"/>
        <v>de</v>
      </c>
      <c r="F134" s="8"/>
      <c r="G134" s="8" t="str">
        <f t="shared" si="3"/>
        <v>5.0</v>
      </c>
      <c r="H134" s="9">
        <f t="shared" si="4"/>
        <v>5</v>
      </c>
      <c r="I134" s="6" t="str">
        <f>IFERROR(__xludf.DUMMYFUNCTION("MAX(FILTER($H:$H,$E:$E=F134))"),"#N/A")</f>
        <v>#N/A</v>
      </c>
    </row>
    <row r="135">
      <c r="C135" s="4" t="s">
        <v>732</v>
      </c>
      <c r="D135" s="4" t="str">
        <f t="shared" si="1"/>
        <v>{"valorA":"eu","valorB":1.0}</v>
      </c>
      <c r="E135" s="8" t="str">
        <f t="shared" si="2"/>
        <v>eu</v>
      </c>
      <c r="F135" s="8"/>
      <c r="G135" s="8" t="str">
        <f t="shared" si="3"/>
        <v>1.0</v>
      </c>
      <c r="H135" s="9">
        <f t="shared" si="4"/>
        <v>1</v>
      </c>
      <c r="I135" s="6" t="str">
        <f>IFERROR(__xludf.DUMMYFUNCTION("MAX(FILTER($H:$H,$E:$E=F135))"),"#N/A")</f>
        <v>#N/A</v>
      </c>
    </row>
    <row r="136">
      <c r="C136" s="4" t="s">
        <v>313</v>
      </c>
      <c r="D136" s="4" t="str">
        <f t="shared" si="1"/>
        <v>{"valorA":"produto","valorB":14.0}</v>
      </c>
      <c r="E136" s="8" t="str">
        <f t="shared" si="2"/>
        <v>produto</v>
      </c>
      <c r="F136" s="8"/>
      <c r="G136" s="8" t="str">
        <f t="shared" si="3"/>
        <v>14.0</v>
      </c>
      <c r="H136" s="9">
        <f t="shared" si="4"/>
        <v>14</v>
      </c>
      <c r="I136" s="6" t="str">
        <f>IFERROR(__xludf.DUMMYFUNCTION("MAX(FILTER($H:$H,$E:$E=F136))"),"#N/A")</f>
        <v>#N/A</v>
      </c>
    </row>
    <row r="137">
      <c r="C137" s="4" t="s">
        <v>354</v>
      </c>
      <c r="D137" s="4" t="str">
        <f t="shared" si="1"/>
        <v>{"valorA":"telefone","valorB":1.0}</v>
      </c>
      <c r="E137" s="8" t="str">
        <f t="shared" si="2"/>
        <v>telefone</v>
      </c>
      <c r="F137" s="8"/>
      <c r="G137" s="8" t="str">
        <f t="shared" si="3"/>
        <v>1.0</v>
      </c>
      <c r="H137" s="9">
        <f t="shared" si="4"/>
        <v>1</v>
      </c>
      <c r="I137" s="6" t="str">
        <f>IFERROR(__xludf.DUMMYFUNCTION("MAX(FILTER($H:$H,$E:$E=F137))"),"#N/A")</f>
        <v>#N/A</v>
      </c>
    </row>
    <row r="138">
      <c r="C138" s="4" t="s">
        <v>690</v>
      </c>
      <c r="D138" s="4" t="str">
        <f t="shared" si="1"/>
        <v>{"valorA":"ótimo","valorB":23.0}</v>
      </c>
      <c r="E138" s="8" t="str">
        <f t="shared" si="2"/>
        <v>ótimo</v>
      </c>
      <c r="F138" s="8"/>
      <c r="G138" s="8" t="str">
        <f t="shared" si="3"/>
        <v>23.0</v>
      </c>
      <c r="H138" s="9">
        <f t="shared" si="4"/>
        <v>23</v>
      </c>
      <c r="I138" s="6" t="str">
        <f>IFERROR(__xludf.DUMMYFUNCTION("MAX(FILTER($H:$H,$E:$E=F138))"),"#N/A")</f>
        <v>#N/A</v>
      </c>
    </row>
    <row r="139">
      <c r="C139" s="4" t="s">
        <v>261</v>
      </c>
      <c r="D139" s="4" t="str">
        <f t="shared" si="1"/>
        <v>{"valorA":"realmente","valorB":1.0}</v>
      </c>
      <c r="E139" s="8" t="str">
        <f t="shared" si="2"/>
        <v>realmente</v>
      </c>
      <c r="F139" s="8"/>
      <c r="G139" s="8" t="str">
        <f t="shared" si="3"/>
        <v>1.0</v>
      </c>
      <c r="H139" s="9">
        <f t="shared" si="4"/>
        <v>1</v>
      </c>
      <c r="I139" s="6" t="str">
        <f>IFERROR(__xludf.DUMMYFUNCTION("MAX(FILTER($H:$H,$E:$E=F139))"),"#N/A")</f>
        <v>#N/A</v>
      </c>
    </row>
    <row r="140">
      <c r="C140" s="4" t="s">
        <v>4490</v>
      </c>
      <c r="D140" s="4" t="str">
        <f t="shared" si="1"/>
        <v>{"valorA":"carregador","valorB":1.0}</v>
      </c>
      <c r="E140" s="8" t="str">
        <f t="shared" si="2"/>
        <v>carregador</v>
      </c>
      <c r="F140" s="8"/>
      <c r="G140" s="8" t="str">
        <f t="shared" si="3"/>
        <v>1.0</v>
      </c>
      <c r="H140" s="9">
        <f t="shared" si="4"/>
        <v>1</v>
      </c>
      <c r="I140" s="6" t="str">
        <f>IFERROR(__xludf.DUMMYFUNCTION("MAX(FILTER($H:$H,$E:$E=F140))"),"#N/A")</f>
        <v>#N/A</v>
      </c>
    </row>
    <row r="141">
      <c r="C141" s="4" t="s">
        <v>287</v>
      </c>
      <c r="D141" s="4" t="str">
        <f t="shared" si="1"/>
        <v>{"valorA":"perfeitamente","valorB":4.0}</v>
      </c>
      <c r="E141" s="8" t="str">
        <f t="shared" si="2"/>
        <v>perfeitamente</v>
      </c>
      <c r="F141" s="8"/>
      <c r="G141" s="8" t="str">
        <f t="shared" si="3"/>
        <v>4.0</v>
      </c>
      <c r="H141" s="9">
        <f t="shared" si="4"/>
        <v>4</v>
      </c>
      <c r="I141" s="6" t="str">
        <f>IFERROR(__xludf.DUMMYFUNCTION("MAX(FILTER($H:$H,$E:$E=F141))"),"#N/A")</f>
        <v>#N/A</v>
      </c>
    </row>
    <row r="142">
      <c r="C142" s="4" t="s">
        <v>339</v>
      </c>
      <c r="D142" s="4" t="str">
        <f t="shared" si="1"/>
        <v>{"valorA":"muito","valorB":10.0}</v>
      </c>
      <c r="E142" s="8" t="str">
        <f t="shared" si="2"/>
        <v>muito</v>
      </c>
      <c r="F142" s="8"/>
      <c r="G142" s="8" t="str">
        <f t="shared" si="3"/>
        <v>10.0</v>
      </c>
      <c r="H142" s="9">
        <f t="shared" si="4"/>
        <v>10</v>
      </c>
      <c r="I142" s="6" t="str">
        <f>IFERROR(__xludf.DUMMYFUNCTION("MAX(FILTER($H:$H,$E:$E=F142))"),"#N/A")</f>
        <v>#N/A</v>
      </c>
    </row>
    <row r="143">
      <c r="C143" s="4" t="s">
        <v>450</v>
      </c>
      <c r="D143" s="4" t="str">
        <f t="shared" si="1"/>
        <v>{"valorA":"satisfeito","valorB":3.0}</v>
      </c>
      <c r="E143" s="8" t="str">
        <f t="shared" si="2"/>
        <v>satisfeito</v>
      </c>
      <c r="F143" s="8"/>
      <c r="G143" s="8" t="str">
        <f t="shared" si="3"/>
        <v>3.0</v>
      </c>
      <c r="H143" s="9">
        <f t="shared" si="4"/>
        <v>3</v>
      </c>
      <c r="I143" s="6" t="str">
        <f>IFERROR(__xludf.DUMMYFUNCTION("MAX(FILTER($H:$H,$E:$E=F143))"),"#N/A")</f>
        <v>#N/A</v>
      </c>
    </row>
    <row r="144">
      <c r="C144" s="4" t="s">
        <v>618</v>
      </c>
      <c r="D144" s="4" t="str">
        <f t="shared" si="1"/>
        <v>{"valorA":"este","valorB":1.0}</v>
      </c>
      <c r="E144" s="8" t="str">
        <f t="shared" si="2"/>
        <v>este</v>
      </c>
      <c r="F144" s="8"/>
      <c r="G144" s="8" t="str">
        <f t="shared" si="3"/>
        <v>1.0</v>
      </c>
      <c r="H144" s="9">
        <f t="shared" si="4"/>
        <v>1</v>
      </c>
      <c r="I144" s="6" t="str">
        <f>IFERROR(__xludf.DUMMYFUNCTION("MAX(FILTER($H:$H,$E:$E=F144))"),"#N/A")</f>
        <v>#N/A</v>
      </c>
    </row>
    <row r="145">
      <c r="C145" s="4" t="s">
        <v>324</v>
      </c>
      <c r="D145" s="4" t="str">
        <f t="shared" si="1"/>
        <v>{"valorA":"funciona","valorB":6.0}</v>
      </c>
      <c r="E145" s="8" t="str">
        <f t="shared" si="2"/>
        <v>funciona</v>
      </c>
      <c r="F145" s="8"/>
      <c r="G145" s="8" t="str">
        <f t="shared" si="3"/>
        <v>6.0</v>
      </c>
      <c r="H145" s="9">
        <f t="shared" si="4"/>
        <v>6</v>
      </c>
      <c r="I145" s="6" t="str">
        <f>IFERROR(__xludf.DUMMYFUNCTION("MAX(FILTER($H:$H,$E:$E=F145))"),"#N/A")</f>
        <v>#N/A</v>
      </c>
    </row>
    <row r="146">
      <c r="C146" s="4" t="s">
        <v>4491</v>
      </c>
      <c r="D146" s="4" t="str">
        <f t="shared" si="1"/>
        <v>{"valorA":"adorno","valorB":1.0}</v>
      </c>
      <c r="E146" s="8" t="str">
        <f t="shared" si="2"/>
        <v>adorno</v>
      </c>
      <c r="F146" s="8"/>
      <c r="G146" s="8" t="str">
        <f t="shared" si="3"/>
        <v>1.0</v>
      </c>
      <c r="H146" s="9">
        <f t="shared" si="4"/>
        <v>1</v>
      </c>
      <c r="I146" s="6" t="str">
        <f>IFERROR(__xludf.DUMMYFUNCTION("MAX(FILTER($H:$H,$E:$E=F146))"),"#N/A")</f>
        <v>#N/A</v>
      </c>
    </row>
    <row r="147">
      <c r="C147" s="4" t="s">
        <v>613</v>
      </c>
      <c r="D147" s="4" t="str">
        <f t="shared" si="1"/>
        <v>{"valorA":"para","valorB":2.0}</v>
      </c>
      <c r="E147" s="8" t="str">
        <f t="shared" si="2"/>
        <v>para</v>
      </c>
      <c r="F147" s="8"/>
      <c r="G147" s="8" t="str">
        <f t="shared" si="3"/>
        <v>2.0</v>
      </c>
      <c r="H147" s="9">
        <f t="shared" si="4"/>
        <v>2</v>
      </c>
      <c r="I147" s="6" t="str">
        <f>IFERROR(__xludf.DUMMYFUNCTION("MAX(FILTER($H:$H,$E:$E=F147))"),"#N/A")</f>
        <v>#N/A</v>
      </c>
    </row>
    <row r="148">
      <c r="C148" s="4" t="s">
        <v>251</v>
      </c>
      <c r="D148" s="4" t="str">
        <f t="shared" si="1"/>
        <v>{"valorA":"vida","valorB":1.0}</v>
      </c>
      <c r="E148" s="8" t="str">
        <f t="shared" si="2"/>
        <v>vida</v>
      </c>
      <c r="F148" s="8"/>
      <c r="G148" s="8" t="str">
        <f t="shared" si="3"/>
        <v>1.0</v>
      </c>
      <c r="H148" s="9">
        <f t="shared" si="4"/>
        <v>1</v>
      </c>
      <c r="I148" s="6" t="str">
        <f>IFERROR(__xludf.DUMMYFUNCTION("MAX(FILTER($H:$H,$E:$E=F148))"),"#N/A")</f>
        <v>#N/A</v>
      </c>
    </row>
    <row r="149">
      <c r="C149" s="4" t="s">
        <v>4492</v>
      </c>
      <c r="D149" s="4" t="str">
        <f t="shared" si="1"/>
        <v>{"valorA":"demasiado","valorB":1.0}</v>
      </c>
      <c r="E149" s="8" t="str">
        <f t="shared" si="2"/>
        <v>demasiado</v>
      </c>
      <c r="F149" s="8"/>
      <c r="G149" s="8" t="str">
        <f t="shared" si="3"/>
        <v>1.0</v>
      </c>
      <c r="H149" s="9">
        <f t="shared" si="4"/>
        <v>1</v>
      </c>
      <c r="I149" s="6" t="str">
        <f>IFERROR(__xludf.DUMMYFUNCTION("MAX(FILTER($H:$H,$E:$E=F149))"),"#N/A")</f>
        <v>#N/A</v>
      </c>
    </row>
    <row r="150">
      <c r="C150" s="4" t="s">
        <v>1270</v>
      </c>
      <c r="D150" s="4" t="str">
        <f t="shared" si="1"/>
        <v>{"valorA":"melhorar","valorB":1.0}</v>
      </c>
      <c r="E150" s="8" t="str">
        <f t="shared" si="2"/>
        <v>melhorar</v>
      </c>
      <c r="F150" s="8"/>
      <c r="G150" s="8" t="str">
        <f t="shared" si="3"/>
        <v>1.0</v>
      </c>
      <c r="H150" s="9">
        <f t="shared" si="4"/>
        <v>1</v>
      </c>
      <c r="I150" s="6" t="str">
        <f>IFERROR(__xludf.DUMMYFUNCTION("MAX(FILTER($H:$H,$E:$E=F150))"),"#N/A")</f>
        <v>#N/A</v>
      </c>
    </row>
    <row r="151">
      <c r="C151" s="4" t="s">
        <v>367</v>
      </c>
      <c r="D151" s="4" t="str">
        <f t="shared" si="1"/>
        <v>{"valorA":"meu","valorB":2.0}</v>
      </c>
      <c r="E151" s="8" t="str">
        <f t="shared" si="2"/>
        <v>meu</v>
      </c>
      <c r="F151" s="8"/>
      <c r="G151" s="8" t="str">
        <f t="shared" si="3"/>
        <v>2.0</v>
      </c>
      <c r="H151" s="9">
        <f t="shared" si="4"/>
        <v>2</v>
      </c>
      <c r="I151" s="6" t="str">
        <f>IFERROR(__xludf.DUMMYFUNCTION("MAX(FILTER($H:$H,$E:$E=F151))"),"#N/A")</f>
        <v>#N/A</v>
      </c>
    </row>
    <row r="152">
      <c r="C152" s="4" t="s">
        <v>332</v>
      </c>
      <c r="D152" s="4" t="str">
        <f t="shared" si="1"/>
        <v>{"valorA":"o","valorB":2.0}</v>
      </c>
      <c r="E152" s="8" t="str">
        <f t="shared" si="2"/>
        <v>o</v>
      </c>
      <c r="F152" s="8"/>
      <c r="G152" s="8" t="str">
        <f t="shared" si="3"/>
        <v>2.0</v>
      </c>
      <c r="H152" s="9">
        <f t="shared" si="4"/>
        <v>2</v>
      </c>
      <c r="I152" s="6" t="str">
        <f>IFERROR(__xludf.DUMMYFUNCTION("MAX(FILTER($H:$H,$E:$E=F152))"),"#N/A")</f>
        <v>#N/A</v>
      </c>
    </row>
    <row r="153">
      <c r="C153" s="4" t="s">
        <v>740</v>
      </c>
      <c r="D153" s="4" t="str">
        <f t="shared" si="1"/>
        <v>{"valorA":"caro","valorB":1.0}</v>
      </c>
      <c r="E153" s="8" t="str">
        <f t="shared" si="2"/>
        <v>caro</v>
      </c>
      <c r="F153" s="8"/>
      <c r="G153" s="8" t="str">
        <f t="shared" si="3"/>
        <v>1.0</v>
      </c>
      <c r="H153" s="9">
        <f t="shared" si="4"/>
        <v>1</v>
      </c>
      <c r="I153" s="6" t="str">
        <f>IFERROR(__xludf.DUMMYFUNCTION("MAX(FILTER($H:$H,$E:$E=F153))"),"#N/A")</f>
        <v>#N/A</v>
      </c>
    </row>
    <row r="154">
      <c r="C154" s="4" t="s">
        <v>256</v>
      </c>
      <c r="D154" s="4" t="str">
        <f t="shared" si="1"/>
        <v>{"valorA":"ajudou","valorB":1.0}</v>
      </c>
      <c r="E154" s="8" t="str">
        <f t="shared" si="2"/>
        <v>ajudou</v>
      </c>
      <c r="F154" s="8"/>
      <c r="G154" s="8" t="str">
        <f t="shared" si="3"/>
        <v>1.0</v>
      </c>
      <c r="H154" s="9">
        <f t="shared" si="4"/>
        <v>1</v>
      </c>
      <c r="I154" s="6" t="str">
        <f>IFERROR(__xludf.DUMMYFUNCTION("MAX(FILTER($H:$H,$E:$E=F154))"),"#N/A")</f>
        <v>#N/A</v>
      </c>
    </row>
    <row r="155">
      <c r="C155" s="4" t="s">
        <v>688</v>
      </c>
      <c r="D155" s="4" t="str">
        <f t="shared" si="1"/>
        <v>{"valorA":"produto","valorB":16.0}</v>
      </c>
      <c r="E155" s="8" t="str">
        <f t="shared" si="2"/>
        <v>produto</v>
      </c>
      <c r="F155" s="8"/>
      <c r="G155" s="8" t="str">
        <f t="shared" si="3"/>
        <v>16.0</v>
      </c>
      <c r="H155" s="9">
        <f t="shared" si="4"/>
        <v>16</v>
      </c>
      <c r="I155" s="6" t="str">
        <f>IFERROR(__xludf.DUMMYFUNCTION("MAX(FILTER($H:$H,$E:$E=F155))"),"#N/A")</f>
        <v>#N/A</v>
      </c>
    </row>
    <row r="156">
      <c r="C156" s="4" t="s">
        <v>336</v>
      </c>
      <c r="D156" s="4" t="str">
        <f t="shared" si="1"/>
        <v>{"valorA":"ótimo","valorB":25.0}</v>
      </c>
      <c r="E156" s="8" t="str">
        <f t="shared" si="2"/>
        <v>ótimo</v>
      </c>
      <c r="F156" s="8"/>
      <c r="G156" s="8" t="str">
        <f t="shared" si="3"/>
        <v>25.0</v>
      </c>
      <c r="H156" s="9">
        <f t="shared" si="4"/>
        <v>25</v>
      </c>
      <c r="I156" s="6" t="str">
        <f>IFERROR(__xludf.DUMMYFUNCTION("MAX(FILTER($H:$H,$E:$E=F156))"),"#N/A")</f>
        <v>#N/A</v>
      </c>
    </row>
    <row r="157">
      <c r="C157" s="4" t="s">
        <v>1258</v>
      </c>
      <c r="D157" s="4" t="str">
        <f t="shared" si="1"/>
        <v>{"valorA":"realmente","valorB":2.0}</v>
      </c>
      <c r="E157" s="8" t="str">
        <f t="shared" si="2"/>
        <v>realmente</v>
      </c>
      <c r="F157" s="8"/>
      <c r="G157" s="8" t="str">
        <f t="shared" si="3"/>
        <v>2.0</v>
      </c>
      <c r="H157" s="9">
        <f t="shared" si="4"/>
        <v>2</v>
      </c>
      <c r="I157" s="6" t="str">
        <f>IFERROR(__xludf.DUMMYFUNCTION("MAX(FILTER($H:$H,$E:$E=F157))"),"#N/A")</f>
        <v>#N/A</v>
      </c>
    </row>
    <row r="158">
      <c r="C158" s="4" t="s">
        <v>1406</v>
      </c>
      <c r="D158" s="4" t="str">
        <f t="shared" si="1"/>
        <v>{"valorA":"mas","valorB":1.0}</v>
      </c>
      <c r="E158" s="8" t="str">
        <f t="shared" si="2"/>
        <v>mas</v>
      </c>
      <c r="F158" s="8"/>
      <c r="G158" s="8" t="str">
        <f t="shared" si="3"/>
        <v>1.0</v>
      </c>
      <c r="H158" s="9">
        <f t="shared" si="4"/>
        <v>1</v>
      </c>
      <c r="I158" s="6" t="str">
        <f>IFERROR(__xludf.DUMMYFUNCTION("MAX(FILTER($H:$H,$E:$E=F158))"),"#N/A")</f>
        <v>#N/A</v>
      </c>
    </row>
    <row r="159">
      <c r="C159" s="4" t="s">
        <v>4493</v>
      </c>
      <c r="D159" s="4" t="str">
        <f t="shared" si="1"/>
        <v>{"valorA":"orçamento","valorB":1.0}</v>
      </c>
      <c r="E159" s="8" t="str">
        <f t="shared" si="2"/>
        <v>orçamento</v>
      </c>
      <c r="F159" s="8"/>
      <c r="G159" s="8" t="str">
        <f t="shared" si="3"/>
        <v>1.0</v>
      </c>
      <c r="H159" s="9">
        <f t="shared" si="4"/>
        <v>1</v>
      </c>
      <c r="I159" s="6" t="str">
        <f>IFERROR(__xludf.DUMMYFUNCTION("MAX(FILTER($H:$H,$E:$E=F159))"),"#N/A")</f>
        <v>#N/A</v>
      </c>
    </row>
    <row r="160">
      <c r="C160" s="4" t="s">
        <v>320</v>
      </c>
      <c r="D160" s="4" t="str">
        <f t="shared" si="1"/>
        <v>{"valorA":"a","valorB":3.0}</v>
      </c>
      <c r="E160" s="8" t="str">
        <f t="shared" si="2"/>
        <v>a</v>
      </c>
      <c r="F160" s="8"/>
      <c r="G160" s="8" t="str">
        <f t="shared" si="3"/>
        <v>3.0</v>
      </c>
      <c r="H160" s="9">
        <f t="shared" si="4"/>
        <v>3</v>
      </c>
      <c r="I160" s="6" t="str">
        <f>IFERROR(__xludf.DUMMYFUNCTION("MAX(FILTER($H:$H,$E:$E=F160))"),"#N/A")</f>
        <v>#N/A</v>
      </c>
    </row>
    <row r="161">
      <c r="C161" s="4" t="s">
        <v>1318</v>
      </c>
      <c r="D161" s="4" t="str">
        <f t="shared" si="1"/>
        <v>{"valorA":"diária","valorB":1.0}</v>
      </c>
      <c r="E161" s="8" t="str">
        <f t="shared" si="2"/>
        <v>diária</v>
      </c>
      <c r="F161" s="8"/>
      <c r="G161" s="8" t="str">
        <f t="shared" si="3"/>
        <v>1.0</v>
      </c>
      <c r="H161" s="9">
        <f t="shared" si="4"/>
        <v>1</v>
      </c>
      <c r="I161" s="6" t="str">
        <f>IFERROR(__xludf.DUMMYFUNCTION("MAX(FILTER($H:$H,$E:$E=F161))"),"#N/A")</f>
        <v>#N/A</v>
      </c>
    </row>
    <row r="162">
      <c r="C162" s="4" t="s">
        <v>265</v>
      </c>
      <c r="D162" s="4" t="str">
        <f t="shared" si="1"/>
        <v>{"valorA":"minha","valorB":1.0}</v>
      </c>
      <c r="E162" s="8" t="str">
        <f t="shared" si="2"/>
        <v>minha</v>
      </c>
      <c r="F162" s="8"/>
      <c r="G162" s="8" t="str">
        <f t="shared" si="3"/>
        <v>1.0</v>
      </c>
      <c r="H162" s="9">
        <f t="shared" si="4"/>
        <v>1</v>
      </c>
      <c r="I162" s="6" t="str">
        <f>IFERROR(__xludf.DUMMYFUNCTION("MAX(FILTER($H:$H,$E:$E=F162))"),"#N/A")</f>
        <v>#N/A</v>
      </c>
    </row>
    <row r="163">
      <c r="C163" s="4" t="s">
        <v>4494</v>
      </c>
      <c r="D163" s="4" t="str">
        <f t="shared" si="1"/>
        <v>{"valorA":"antigo","valorB":1.0}</v>
      </c>
      <c r="E163" s="8" t="str">
        <f t="shared" si="2"/>
        <v>antigo</v>
      </c>
      <c r="F163" s="8"/>
      <c r="G163" s="8" t="str">
        <f t="shared" si="3"/>
        <v>1.0</v>
      </c>
      <c r="H163" s="9">
        <f t="shared" si="4"/>
        <v>1</v>
      </c>
      <c r="I163" s="6" t="str">
        <f>IFERROR(__xludf.DUMMYFUNCTION("MAX(FILTER($H:$H,$E:$E=F163))"),"#N/A")</f>
        <v>#N/A</v>
      </c>
    </row>
    <row r="164">
      <c r="C164" s="4" t="s">
        <v>344</v>
      </c>
      <c r="D164" s="4" t="str">
        <f t="shared" si="1"/>
        <v>{"valorA":"é","valorB":6.0}</v>
      </c>
      <c r="E164" s="8" t="str">
        <f t="shared" si="2"/>
        <v>é</v>
      </c>
      <c r="F164" s="8"/>
      <c r="G164" s="8" t="str">
        <f t="shared" si="3"/>
        <v>6.0</v>
      </c>
      <c r="H164" s="9">
        <f t="shared" si="4"/>
        <v>6</v>
      </c>
      <c r="I164" s="6" t="str">
        <f>IFERROR(__xludf.DUMMYFUNCTION("MAX(FILTER($H:$H,$E:$E=F164))"),"#N/A")</f>
        <v>#N/A</v>
      </c>
    </row>
    <row r="165">
      <c r="C165" s="4" t="s">
        <v>1029</v>
      </c>
      <c r="D165" s="4" t="str">
        <f t="shared" si="1"/>
        <v>{"valorA":"totalmente","valorB":1.0}</v>
      </c>
      <c r="E165" s="8" t="str">
        <f t="shared" si="2"/>
        <v>totalmente</v>
      </c>
      <c r="F165" s="8"/>
      <c r="G165" s="8" t="str">
        <f t="shared" si="3"/>
        <v>1.0</v>
      </c>
      <c r="H165" s="9">
        <f t="shared" si="4"/>
        <v>1</v>
      </c>
      <c r="I165" s="6" t="str">
        <f>IFERROR(__xludf.DUMMYFUNCTION("MAX(FILTER($H:$H,$E:$E=F165))"),"#N/A")</f>
        <v>#N/A</v>
      </c>
    </row>
    <row r="166">
      <c r="C166" s="4" t="s">
        <v>407</v>
      </c>
      <c r="D166" s="4" t="str">
        <f t="shared" si="1"/>
        <v>{"valorA":"meu","valorB":4.0}</v>
      </c>
      <c r="E166" s="8" t="str">
        <f t="shared" si="2"/>
        <v>meu</v>
      </c>
      <c r="F166" s="8"/>
      <c r="G166" s="8" t="str">
        <f t="shared" si="3"/>
        <v>4.0</v>
      </c>
      <c r="H166" s="9">
        <f t="shared" si="4"/>
        <v>4</v>
      </c>
      <c r="I166" s="6" t="str">
        <f>IFERROR(__xludf.DUMMYFUNCTION("MAX(FILTER($H:$H,$E:$E=F166))"),"#N/A")</f>
        <v>#N/A</v>
      </c>
    </row>
    <row r="167">
      <c r="C167" s="4" t="s">
        <v>369</v>
      </c>
      <c r="D167" s="4" t="str">
        <f t="shared" si="1"/>
        <v>{"valorA":"incrível","valorB":3.0}</v>
      </c>
      <c r="E167" s="8" t="str">
        <f t="shared" si="2"/>
        <v>incrível</v>
      </c>
      <c r="F167" s="8"/>
      <c r="G167" s="8" t="str">
        <f t="shared" si="3"/>
        <v>3.0</v>
      </c>
      <c r="H167" s="9">
        <f t="shared" si="4"/>
        <v>3</v>
      </c>
      <c r="I167" s="6" t="str">
        <f>IFERROR(__xludf.DUMMYFUNCTION("MAX(FILTER($H:$H,$E:$E=F167))"),"#N/A")</f>
        <v>#N/A</v>
      </c>
    </row>
    <row r="168">
      <c r="C168" s="4" t="s">
        <v>182</v>
      </c>
      <c r="D168" s="4" t="str">
        <f t="shared" si="1"/>
        <v>{"valorA":"usar","valorB":2.0}</v>
      </c>
      <c r="E168" s="8" t="str">
        <f t="shared" si="2"/>
        <v>usar</v>
      </c>
      <c r="F168" s="8"/>
      <c r="G168" s="8" t="str">
        <f t="shared" si="3"/>
        <v>2.0</v>
      </c>
      <c r="H168" s="9">
        <f t="shared" si="4"/>
        <v>2</v>
      </c>
      <c r="I168" s="6" t="str">
        <f>IFERROR(__xludf.DUMMYFUNCTION("MAX(FILTER($H:$H,$E:$E=F168))"),"#N/A")</f>
        <v>#N/A</v>
      </c>
    </row>
    <row r="169">
      <c r="C169" s="4" t="s">
        <v>666</v>
      </c>
      <c r="D169" s="4" t="str">
        <f t="shared" si="1"/>
        <v>{"valorA":"e","valorB":7.0}</v>
      </c>
      <c r="E169" s="8" t="str">
        <f t="shared" si="2"/>
        <v>e</v>
      </c>
      <c r="F169" s="8"/>
      <c r="G169" s="8" t="str">
        <f t="shared" si="3"/>
        <v>7.0</v>
      </c>
      <c r="H169" s="9">
        <f t="shared" si="4"/>
        <v>7</v>
      </c>
      <c r="I169" s="6" t="str">
        <f>IFERROR(__xludf.DUMMYFUNCTION("MAX(FILTER($H:$H,$E:$E=F169))"),"#N/A")</f>
        <v>#N/A</v>
      </c>
    </row>
    <row r="170">
      <c r="C170" s="4" t="s">
        <v>351</v>
      </c>
      <c r="D170" s="4" t="str">
        <f t="shared" si="1"/>
        <v>{"valorA":"o","valorB":3.0}</v>
      </c>
      <c r="E170" s="8" t="str">
        <f t="shared" si="2"/>
        <v>o</v>
      </c>
      <c r="F170" s="8"/>
      <c r="G170" s="8" t="str">
        <f t="shared" si="3"/>
        <v>3.0</v>
      </c>
      <c r="H170" s="9">
        <f t="shared" si="4"/>
        <v>3</v>
      </c>
      <c r="I170" s="6" t="str">
        <f>IFERROR(__xludf.DUMMYFUNCTION("MAX(FILTER($H:$H,$E:$E=F170))"),"#N/A")</f>
        <v>#N/A</v>
      </c>
    </row>
    <row r="171">
      <c r="C171" s="4" t="s">
        <v>294</v>
      </c>
      <c r="D171" s="4" t="str">
        <f t="shared" si="1"/>
        <v>{"valorA":"de","valorB":6.0}</v>
      </c>
      <c r="E171" s="8" t="str">
        <f t="shared" si="2"/>
        <v>de</v>
      </c>
      <c r="F171" s="8"/>
      <c r="G171" s="8" t="str">
        <f t="shared" si="3"/>
        <v>6.0</v>
      </c>
      <c r="H171" s="9">
        <f t="shared" si="4"/>
        <v>6</v>
      </c>
      <c r="I171" s="6" t="str">
        <f>IFERROR(__xludf.DUMMYFUNCTION("MAX(FILTER($H:$H,$E:$E=F171))"),"#N/A")</f>
        <v>#N/A</v>
      </c>
    </row>
    <row r="172">
      <c r="C172" s="4" t="s">
        <v>208</v>
      </c>
      <c r="D172" s="4" t="str">
        <f t="shared" si="1"/>
        <v>{"valorA":"carro","valorB":1.0}</v>
      </c>
      <c r="E172" s="8" t="str">
        <f t="shared" si="2"/>
        <v>carro</v>
      </c>
      <c r="F172" s="8"/>
      <c r="G172" s="8" t="str">
        <f t="shared" si="3"/>
        <v>1.0</v>
      </c>
      <c r="H172" s="9">
        <f t="shared" si="4"/>
        <v>1</v>
      </c>
      <c r="I172" s="6" t="str">
        <f>IFERROR(__xludf.DUMMYFUNCTION("MAX(FILTER($H:$H,$E:$E=F172))"),"#N/A")</f>
        <v>#N/A</v>
      </c>
    </row>
    <row r="173">
      <c r="C173" s="4" t="s">
        <v>333</v>
      </c>
      <c r="D173" s="4" t="str">
        <f t="shared" si="1"/>
        <v>{"valorA":"que","valorB":2.0}</v>
      </c>
      <c r="E173" s="8" t="str">
        <f t="shared" si="2"/>
        <v>que</v>
      </c>
      <c r="F173" s="8"/>
      <c r="G173" s="8" t="str">
        <f t="shared" si="3"/>
        <v>2.0</v>
      </c>
      <c r="H173" s="9">
        <f t="shared" si="4"/>
        <v>2</v>
      </c>
      <c r="I173" s="6" t="str">
        <f>IFERROR(__xludf.DUMMYFUNCTION("MAX(FILTER($H:$H,$E:$E=F173))"),"#N/A")</f>
        <v>#N/A</v>
      </c>
    </row>
    <row r="174">
      <c r="C174" s="4" t="s">
        <v>334</v>
      </c>
      <c r="D174" s="4" t="str">
        <f t="shared" si="1"/>
        <v>{"valorA":"produto","valorB":17.0}</v>
      </c>
      <c r="E174" s="8" t="str">
        <f t="shared" si="2"/>
        <v>produto</v>
      </c>
      <c r="F174" s="8"/>
      <c r="G174" s="8" t="str">
        <f t="shared" si="3"/>
        <v>17.0</v>
      </c>
      <c r="H174" s="9">
        <f t="shared" si="4"/>
        <v>17</v>
      </c>
      <c r="I174" s="6" t="str">
        <f>IFERROR(__xludf.DUMMYFUNCTION("MAX(FILTER($H:$H,$E:$E=F174))"),"#N/A")</f>
        <v>#N/A</v>
      </c>
    </row>
    <row r="175">
      <c r="C175" s="4" t="s">
        <v>773</v>
      </c>
      <c r="D175" s="4" t="str">
        <f t="shared" si="1"/>
        <v>{"valorA":"gostei","valorB":7.0}</v>
      </c>
      <c r="E175" s="8" t="str">
        <f t="shared" si="2"/>
        <v>gostei</v>
      </c>
      <c r="F175" s="8"/>
      <c r="G175" s="8" t="str">
        <f t="shared" si="3"/>
        <v>7.0</v>
      </c>
      <c r="H175" s="9">
        <f t="shared" si="4"/>
        <v>7</v>
      </c>
      <c r="I175" s="6" t="str">
        <f>IFERROR(__xludf.DUMMYFUNCTION("MAX(FILTER($H:$H,$E:$E=F175))"),"#N/A")</f>
        <v>#N/A</v>
      </c>
    </row>
    <row r="176">
      <c r="C176" s="4" t="s">
        <v>712</v>
      </c>
      <c r="D176" s="4" t="str">
        <f t="shared" si="1"/>
        <v>{"valorA":"ótimo","valorB":26.0}</v>
      </c>
      <c r="E176" s="8" t="str">
        <f t="shared" si="2"/>
        <v>ótimo</v>
      </c>
      <c r="F176" s="8"/>
      <c r="G176" s="8" t="str">
        <f t="shared" si="3"/>
        <v>26.0</v>
      </c>
      <c r="H176" s="9">
        <f t="shared" si="4"/>
        <v>26</v>
      </c>
      <c r="I176" s="6" t="str">
        <f>IFERROR(__xludf.DUMMYFUNCTION("MAX(FILTER($H:$H,$E:$E=F176))"),"#N/A")</f>
        <v>#N/A</v>
      </c>
    </row>
    <row r="177">
      <c r="C177" s="4" t="s">
        <v>396</v>
      </c>
      <c r="D177" s="4" t="str">
        <f t="shared" si="1"/>
        <v>{"valorA":"fácil","valorB":2.0}</v>
      </c>
      <c r="E177" s="8" t="str">
        <f t="shared" si="2"/>
        <v>fácil</v>
      </c>
      <c r="F177" s="8"/>
      <c r="G177" s="8" t="str">
        <f t="shared" si="3"/>
        <v>2.0</v>
      </c>
      <c r="H177" s="9">
        <f t="shared" si="4"/>
        <v>2</v>
      </c>
      <c r="I177" s="6" t="str">
        <f>IFERROR(__xludf.DUMMYFUNCTION("MAX(FILTER($H:$H,$E:$E=F177))"),"#N/A")</f>
        <v>#N/A</v>
      </c>
    </row>
    <row r="178">
      <c r="C178" s="4" t="s">
        <v>338</v>
      </c>
      <c r="D178" s="4" t="str">
        <f t="shared" si="1"/>
        <v>{"valorA":"perfeitamente","valorB":5.0}</v>
      </c>
      <c r="E178" s="8" t="str">
        <f t="shared" si="2"/>
        <v>perfeitamente</v>
      </c>
      <c r="F178" s="8"/>
      <c r="G178" s="8" t="str">
        <f t="shared" si="3"/>
        <v>5.0</v>
      </c>
      <c r="H178" s="9">
        <f t="shared" si="4"/>
        <v>5</v>
      </c>
      <c r="I178" s="6" t="str">
        <f>IFERROR(__xludf.DUMMYFUNCTION("MAX(FILTER($H:$H,$E:$E=F178))"),"#N/A")</f>
        <v>#N/A</v>
      </c>
    </row>
    <row r="179">
      <c r="C179" s="4" t="s">
        <v>358</v>
      </c>
      <c r="D179" s="4" t="str">
        <f t="shared" si="1"/>
        <v>{"valorA":"muito","valorB":11.0}</v>
      </c>
      <c r="E179" s="8" t="str">
        <f t="shared" si="2"/>
        <v>muito</v>
      </c>
      <c r="F179" s="8"/>
      <c r="G179" s="8" t="str">
        <f t="shared" si="3"/>
        <v>11.0</v>
      </c>
      <c r="H179" s="9">
        <f t="shared" si="4"/>
        <v>11</v>
      </c>
      <c r="I179" s="6" t="str">
        <f>IFERROR(__xludf.DUMMYFUNCTION("MAX(FILTER($H:$H,$E:$E=F179))"),"#N/A")</f>
        <v>#N/A</v>
      </c>
    </row>
    <row r="180">
      <c r="C180" s="4" t="s">
        <v>1569</v>
      </c>
      <c r="D180" s="4" t="str">
        <f t="shared" si="1"/>
        <v>{"valorA":"melhor","valorB":1.0}</v>
      </c>
      <c r="E180" s="8" t="str">
        <f t="shared" si="2"/>
        <v>melhor</v>
      </c>
      <c r="F180" s="8"/>
      <c r="G180" s="8" t="str">
        <f t="shared" si="3"/>
        <v>1.0</v>
      </c>
      <c r="H180" s="9">
        <f t="shared" si="4"/>
        <v>1</v>
      </c>
      <c r="I180" s="6" t="str">
        <f>IFERROR(__xludf.DUMMYFUNCTION("MAX(FILTER($H:$H,$E:$E=F180))"),"#N/A")</f>
        <v>#N/A</v>
      </c>
    </row>
    <row r="181">
      <c r="C181" s="4" t="s">
        <v>216</v>
      </c>
      <c r="D181" s="4" t="str">
        <f t="shared" si="1"/>
        <v>{"valorA":"novo","valorB":1.0}</v>
      </c>
      <c r="E181" s="8" t="str">
        <f t="shared" si="2"/>
        <v>novo</v>
      </c>
      <c r="F181" s="8"/>
      <c r="G181" s="8" t="str">
        <f t="shared" si="3"/>
        <v>1.0</v>
      </c>
      <c r="H181" s="9">
        <f t="shared" si="4"/>
        <v>1</v>
      </c>
      <c r="I181" s="6" t="str">
        <f>IFERROR(__xludf.DUMMYFUNCTION("MAX(FILTER($H:$H,$E:$E=F181))"),"#N/A")</f>
        <v>#N/A</v>
      </c>
    </row>
    <row r="182">
      <c r="C182" s="4" t="s">
        <v>343</v>
      </c>
      <c r="D182" s="4" t="str">
        <f t="shared" si="1"/>
        <v>{"valorA":"funciona","valorB":7.0}</v>
      </c>
      <c r="E182" s="8" t="str">
        <f t="shared" si="2"/>
        <v>funciona</v>
      </c>
      <c r="F182" s="8"/>
      <c r="G182" s="8" t="str">
        <f t="shared" si="3"/>
        <v>7.0</v>
      </c>
      <c r="H182" s="9">
        <f t="shared" si="4"/>
        <v>7</v>
      </c>
      <c r="I182" s="6" t="str">
        <f>IFERROR(__xludf.DUMMYFUNCTION("MAX(FILTER($H:$H,$E:$E=F182))"),"#N/A")</f>
        <v>#N/A</v>
      </c>
    </row>
    <row r="183">
      <c r="C183" s="4" t="s">
        <v>218</v>
      </c>
      <c r="D183" s="4" t="str">
        <f t="shared" si="1"/>
        <v>{"valorA":"para","valorB":3.0}</v>
      </c>
      <c r="E183" s="8" t="str">
        <f t="shared" si="2"/>
        <v>para</v>
      </c>
      <c r="F183" s="8"/>
      <c r="G183" s="8" t="str">
        <f t="shared" si="3"/>
        <v>3.0</v>
      </c>
      <c r="H183" s="9">
        <f t="shared" si="4"/>
        <v>3</v>
      </c>
      <c r="I183" s="6" t="str">
        <f>IFERROR(__xludf.DUMMYFUNCTION("MAX(FILTER($H:$H,$E:$E=F183))"),"#N/A")</f>
        <v>#N/A</v>
      </c>
    </row>
    <row r="184">
      <c r="C184" s="4" t="s">
        <v>387</v>
      </c>
      <c r="D184" s="4" t="str">
        <f t="shared" si="1"/>
        <v>{"valorA":"e","valorB":8.0}</v>
      </c>
      <c r="E184" s="8" t="str">
        <f t="shared" si="2"/>
        <v>e</v>
      </c>
      <c r="F184" s="8"/>
      <c r="G184" s="8" t="str">
        <f t="shared" si="3"/>
        <v>8.0</v>
      </c>
      <c r="H184" s="9">
        <f t="shared" si="4"/>
        <v>8</v>
      </c>
      <c r="I184" s="6" t="str">
        <f>IFERROR(__xludf.DUMMYFUNCTION("MAX(FILTER($H:$H,$E:$E=F184))"),"#N/A")</f>
        <v>#N/A</v>
      </c>
    </row>
    <row r="185">
      <c r="C185" s="4" t="s">
        <v>350</v>
      </c>
      <c r="D185" s="4" t="str">
        <f t="shared" si="1"/>
        <v>{"valorA":"de","valorB":7.0}</v>
      </c>
      <c r="E185" s="8" t="str">
        <f t="shared" si="2"/>
        <v>de</v>
      </c>
      <c r="F185" s="8"/>
      <c r="G185" s="8" t="str">
        <f t="shared" si="3"/>
        <v>7.0</v>
      </c>
      <c r="H185" s="9">
        <f t="shared" si="4"/>
        <v>7</v>
      </c>
      <c r="I185" s="6" t="str">
        <f>IFERROR(__xludf.DUMMYFUNCTION("MAX(FILTER($H:$H,$E:$E=F185))"),"#N/A")</f>
        <v>#N/A</v>
      </c>
    </row>
    <row r="186">
      <c r="C186" s="4" t="s">
        <v>1573</v>
      </c>
      <c r="D186" s="4" t="str">
        <f t="shared" si="1"/>
        <v>{"valorA":"útil","valorB":1.0}</v>
      </c>
      <c r="E186" s="8" t="str">
        <f t="shared" si="2"/>
        <v>útil</v>
      </c>
      <c r="F186" s="8"/>
      <c r="G186" s="8" t="str">
        <f t="shared" si="3"/>
        <v>1.0</v>
      </c>
      <c r="H186" s="9">
        <f t="shared" si="4"/>
        <v>1</v>
      </c>
      <c r="I186" s="6" t="str">
        <f>IFERROR(__xludf.DUMMYFUNCTION("MAX(FILTER($H:$H,$E:$E=F186))"),"#N/A")</f>
        <v>#N/A</v>
      </c>
    </row>
    <row r="187">
      <c r="C187" s="4" t="s">
        <v>4495</v>
      </c>
      <c r="D187" s="4" t="str">
        <f t="shared" si="1"/>
        <v>{"valorA":"ferramentas","valorB":1.0}</v>
      </c>
      <c r="E187" s="8" t="str">
        <f t="shared" si="2"/>
        <v>ferramentas</v>
      </c>
      <c r="F187" s="8"/>
      <c r="G187" s="8" t="str">
        <f t="shared" si="3"/>
        <v>1.0</v>
      </c>
      <c r="H187" s="9">
        <f t="shared" si="4"/>
        <v>1</v>
      </c>
      <c r="I187" s="6" t="str">
        <f>IFERROR(__xludf.DUMMYFUNCTION("MAX(FILTER($H:$H,$E:$E=F187))"),"#N/A")</f>
        <v>#N/A</v>
      </c>
    </row>
    <row r="188">
      <c r="C188" s="4" t="s">
        <v>4496</v>
      </c>
      <c r="D188" s="4" t="str">
        <f t="shared" si="1"/>
        <v>{"valorA":"perfecta","valorB":1.0}</v>
      </c>
      <c r="E188" s="8" t="str">
        <f t="shared" si="2"/>
        <v>perfecta</v>
      </c>
      <c r="F188" s="8"/>
      <c r="G188" s="8" t="str">
        <f t="shared" si="3"/>
        <v>1.0</v>
      </c>
      <c r="H188" s="9">
        <f t="shared" si="4"/>
        <v>1</v>
      </c>
      <c r="I188" s="6" t="str">
        <f>IFERROR(__xludf.DUMMYFUNCTION("MAX(FILTER($H:$H,$E:$E=F188))"),"#N/A")</f>
        <v>#N/A</v>
      </c>
    </row>
    <row r="189">
      <c r="C189" s="4" t="s">
        <v>714</v>
      </c>
      <c r="D189" s="4" t="str">
        <f t="shared" si="1"/>
        <v>{"valorA":"produto","valorB":18.0}</v>
      </c>
      <c r="E189" s="8" t="str">
        <f t="shared" si="2"/>
        <v>produto</v>
      </c>
      <c r="F189" s="8"/>
      <c r="G189" s="8" t="str">
        <f t="shared" si="3"/>
        <v>18.0</v>
      </c>
      <c r="H189" s="9">
        <f t="shared" si="4"/>
        <v>18</v>
      </c>
      <c r="I189" s="6" t="str">
        <f>IFERROR(__xludf.DUMMYFUNCTION("MAX(FILTER($H:$H,$E:$E=F189))"),"#N/A")</f>
        <v>#N/A</v>
      </c>
    </row>
    <row r="190">
      <c r="C190" s="4" t="s">
        <v>719</v>
      </c>
      <c r="D190" s="4" t="str">
        <f t="shared" si="1"/>
        <v>{"valorA":"ótimo","valorB":28.0}</v>
      </c>
      <c r="E190" s="8" t="str">
        <f t="shared" si="2"/>
        <v>ótimo</v>
      </c>
      <c r="F190" s="8"/>
      <c r="G190" s="8" t="str">
        <f t="shared" si="3"/>
        <v>28.0</v>
      </c>
      <c r="H190" s="9">
        <f t="shared" si="4"/>
        <v>28</v>
      </c>
      <c r="I190" s="6" t="str">
        <f>IFERROR(__xludf.DUMMYFUNCTION("MAX(FILTER($H:$H,$E:$E=F190))"),"#N/A")</f>
        <v>#N/A</v>
      </c>
    </row>
    <row r="191">
      <c r="C191" s="4" t="s">
        <v>318</v>
      </c>
      <c r="D191" s="4" t="str">
        <f t="shared" si="1"/>
        <v>{"valorA":"realmente","valorB":3.0}</v>
      </c>
      <c r="E191" s="8" t="str">
        <f t="shared" si="2"/>
        <v>realmente</v>
      </c>
      <c r="F191" s="8"/>
      <c r="G191" s="8" t="str">
        <f t="shared" si="3"/>
        <v>3.0</v>
      </c>
      <c r="H191" s="9">
        <f t="shared" si="4"/>
        <v>3</v>
      </c>
      <c r="I191" s="6" t="str">
        <f>IFERROR(__xludf.DUMMYFUNCTION("MAX(FILTER($H:$H,$E:$E=F191))"),"#N/A")</f>
        <v>#N/A</v>
      </c>
    </row>
    <row r="192">
      <c r="C192" s="4" t="s">
        <v>1282</v>
      </c>
      <c r="D192" s="4" t="str">
        <f t="shared" si="1"/>
        <v>{"valorA":"essa","valorB":3.0}</v>
      </c>
      <c r="E192" s="8" t="str">
        <f t="shared" si="2"/>
        <v>essa</v>
      </c>
      <c r="F192" s="8"/>
      <c r="G192" s="8" t="str">
        <f t="shared" si="3"/>
        <v>3.0</v>
      </c>
      <c r="H192" s="9">
        <f t="shared" si="4"/>
        <v>3</v>
      </c>
      <c r="I192" s="6" t="str">
        <f>IFERROR(__xludf.DUMMYFUNCTION("MAX(FILTER($H:$H,$E:$E=F192))"),"#N/A")</f>
        <v>#N/A</v>
      </c>
    </row>
    <row r="193">
      <c r="C193" s="4" t="s">
        <v>644</v>
      </c>
      <c r="D193" s="4" t="str">
        <f t="shared" si="1"/>
        <v>{"valorA":"casa","valorB":1.0}</v>
      </c>
      <c r="E193" s="8" t="str">
        <f t="shared" si="2"/>
        <v>casa</v>
      </c>
      <c r="F193" s="8"/>
      <c r="G193" s="8" t="str">
        <f t="shared" si="3"/>
        <v>1.0</v>
      </c>
      <c r="H193" s="9">
        <f t="shared" si="4"/>
        <v>1</v>
      </c>
      <c r="I193" s="6" t="str">
        <f>IFERROR(__xludf.DUMMYFUNCTION("MAX(FILTER($H:$H,$E:$E=F193))"),"#N/A")</f>
        <v>#N/A</v>
      </c>
    </row>
    <row r="194">
      <c r="C194" s="4" t="s">
        <v>1080</v>
      </c>
      <c r="D194" s="4" t="str">
        <f t="shared" si="1"/>
        <v>{"valorA":"confortável","valorB":2.0}</v>
      </c>
      <c r="E194" s="8" t="str">
        <f t="shared" si="2"/>
        <v>confortável</v>
      </c>
      <c r="F194" s="8"/>
      <c r="G194" s="8" t="str">
        <f t="shared" si="3"/>
        <v>2.0</v>
      </c>
      <c r="H194" s="9">
        <f t="shared" si="4"/>
        <v>2</v>
      </c>
      <c r="I194" s="6" t="str">
        <f>IFERROR(__xludf.DUMMYFUNCTION("MAX(FILTER($H:$H,$E:$E=F194))"),"#N/A")</f>
        <v>#N/A</v>
      </c>
    </row>
    <row r="195">
      <c r="C195" s="4" t="s">
        <v>342</v>
      </c>
      <c r="D195" s="4" t="str">
        <f t="shared" si="1"/>
        <v>{"valorA":"a","valorB":4.0}</v>
      </c>
      <c r="E195" s="8" t="str">
        <f t="shared" si="2"/>
        <v>a</v>
      </c>
      <c r="F195" s="8"/>
      <c r="G195" s="8" t="str">
        <f t="shared" si="3"/>
        <v>4.0</v>
      </c>
      <c r="H195" s="9">
        <f t="shared" si="4"/>
        <v>4</v>
      </c>
      <c r="I195" s="6" t="str">
        <f>IFERROR(__xludf.DUMMYFUNCTION("MAX(FILTER($H:$H,$E:$E=F195))"),"#N/A")</f>
        <v>#N/A</v>
      </c>
    </row>
    <row r="196">
      <c r="C196" s="4" t="s">
        <v>990</v>
      </c>
      <c r="D196" s="4" t="str">
        <f t="shared" si="1"/>
        <v>{"valorA":"cadeira","valorB":1.0}</v>
      </c>
      <c r="E196" s="8" t="str">
        <f t="shared" si="2"/>
        <v>cadeira</v>
      </c>
      <c r="F196" s="8"/>
      <c r="G196" s="8" t="str">
        <f t="shared" si="3"/>
        <v>1.0</v>
      </c>
      <c r="H196" s="9">
        <f t="shared" si="4"/>
        <v>1</v>
      </c>
      <c r="I196" s="6" t="str">
        <f>IFERROR(__xludf.DUMMYFUNCTION("MAX(FILTER($H:$H,$E:$E=F196))"),"#N/A")</f>
        <v>#N/A</v>
      </c>
    </row>
    <row r="197">
      <c r="C197" s="4" t="s">
        <v>304</v>
      </c>
      <c r="D197" s="4" t="str">
        <f t="shared" si="1"/>
        <v>{"valorA":"caixa","valorB":1.0}</v>
      </c>
      <c r="E197" s="8" t="str">
        <f t="shared" si="2"/>
        <v>caixa</v>
      </c>
      <c r="F197" s="8"/>
      <c r="G197" s="8" t="str">
        <f t="shared" si="3"/>
        <v>1.0</v>
      </c>
      <c r="H197" s="9">
        <f t="shared" si="4"/>
        <v>1</v>
      </c>
      <c r="I197" s="6" t="str">
        <f>IFERROR(__xludf.DUMMYFUNCTION("MAX(FILTER($H:$H,$E:$E=F197))"),"#N/A")</f>
        <v>#N/A</v>
      </c>
    </row>
    <row r="198">
      <c r="C198" s="4" t="s">
        <v>1272</v>
      </c>
      <c r="D198" s="4" t="str">
        <f t="shared" si="1"/>
        <v>{"valorA":"minha","valorB":2.0}</v>
      </c>
      <c r="E198" s="8" t="str">
        <f t="shared" si="2"/>
        <v>minha</v>
      </c>
      <c r="F198" s="8"/>
      <c r="G198" s="8" t="str">
        <f t="shared" si="3"/>
        <v>2.0</v>
      </c>
      <c r="H198" s="9">
        <f t="shared" si="4"/>
        <v>2</v>
      </c>
      <c r="I198" s="6" t="str">
        <f>IFERROR(__xludf.DUMMYFUNCTION("MAX(FILTER($H:$H,$E:$E=F198))"),"#N/A")</f>
        <v>#N/A</v>
      </c>
    </row>
    <row r="199">
      <c r="C199" s="4" t="s">
        <v>1255</v>
      </c>
      <c r="D199" s="4" t="str">
        <f t="shared" si="1"/>
        <v>{"valorA":"é","valorB":7.0}</v>
      </c>
      <c r="E199" s="8" t="str">
        <f t="shared" si="2"/>
        <v>é</v>
      </c>
      <c r="F199" s="8"/>
      <c r="G199" s="8" t="str">
        <f t="shared" si="3"/>
        <v>7.0</v>
      </c>
      <c r="H199" s="9">
        <f t="shared" si="4"/>
        <v>7</v>
      </c>
      <c r="I199" s="6" t="str">
        <f>IFERROR(__xludf.DUMMYFUNCTION("MAX(FILTER($H:$H,$E:$E=F199))"),"#N/A")</f>
        <v>#N/A</v>
      </c>
    </row>
    <row r="200">
      <c r="C200" s="4" t="s">
        <v>4497</v>
      </c>
      <c r="D200" s="4" t="str">
        <f t="shared" si="1"/>
        <v>{"valorA":"faz","valorB":2.0}</v>
      </c>
      <c r="E200" s="8" t="str">
        <f t="shared" si="2"/>
        <v>faz</v>
      </c>
      <c r="F200" s="8"/>
      <c r="G200" s="8" t="str">
        <f t="shared" si="3"/>
        <v>2.0</v>
      </c>
      <c r="H200" s="9">
        <f t="shared" si="4"/>
        <v>2</v>
      </c>
      <c r="I200" s="6" t="str">
        <f>IFERROR(__xludf.DUMMYFUNCTION("MAX(FILTER($H:$H,$E:$E=F200))"),"#N/A")</f>
        <v>#N/A</v>
      </c>
    </row>
    <row r="201">
      <c r="C201" s="4" t="s">
        <v>457</v>
      </c>
      <c r="D201" s="4" t="str">
        <f t="shared" si="1"/>
        <v>{"valorA":"incrível","valorB":4.0}</v>
      </c>
      <c r="E201" s="8" t="str">
        <f t="shared" si="2"/>
        <v>incrível</v>
      </c>
      <c r="F201" s="8"/>
      <c r="G201" s="8" t="str">
        <f t="shared" si="3"/>
        <v>4.0</v>
      </c>
      <c r="H201" s="9">
        <f t="shared" si="4"/>
        <v>4</v>
      </c>
      <c r="I201" s="6" t="str">
        <f>IFERROR(__xludf.DUMMYFUNCTION("MAX(FILTER($H:$H,$E:$E=F201))"),"#N/A")</f>
        <v>#N/A</v>
      </c>
    </row>
    <row r="202">
      <c r="C202" s="4" t="s">
        <v>372</v>
      </c>
      <c r="D202" s="4" t="str">
        <f t="shared" si="1"/>
        <v>{"valorA":"o","valorB":4.0}</v>
      </c>
      <c r="E202" s="8" t="str">
        <f t="shared" si="2"/>
        <v>o</v>
      </c>
      <c r="F202" s="8"/>
      <c r="G202" s="8" t="str">
        <f t="shared" si="3"/>
        <v>4.0</v>
      </c>
      <c r="H202" s="9">
        <f t="shared" si="4"/>
        <v>4</v>
      </c>
      <c r="I202" s="6" t="str">
        <f>IFERROR(__xludf.DUMMYFUNCTION("MAX(FILTER($H:$H,$E:$E=F202))"),"#N/A")</f>
        <v>#N/A</v>
      </c>
    </row>
    <row r="203">
      <c r="C203" s="4" t="s">
        <v>389</v>
      </c>
      <c r="D203" s="4" t="str">
        <f t="shared" si="1"/>
        <v>{"valorA":"de","valorB":8.0}</v>
      </c>
      <c r="E203" s="8" t="str">
        <f t="shared" si="2"/>
        <v>de</v>
      </c>
      <c r="F203" s="8"/>
      <c r="G203" s="8" t="str">
        <f t="shared" si="3"/>
        <v>8.0</v>
      </c>
      <c r="H203" s="9">
        <f t="shared" si="4"/>
        <v>8</v>
      </c>
      <c r="I203" s="6" t="str">
        <f>IFERROR(__xludf.DUMMYFUNCTION("MAX(FILTER($H:$H,$E:$E=F203))"),"#N/A")</f>
        <v>#N/A</v>
      </c>
    </row>
    <row r="204">
      <c r="C204" s="4" t="s">
        <v>4498</v>
      </c>
      <c r="D204" s="4" t="str">
        <f t="shared" si="1"/>
        <v>{"valorA":"bacalhau","valorB":1.0}</v>
      </c>
      <c r="E204" s="8" t="str">
        <f t="shared" si="2"/>
        <v>bacalhau</v>
      </c>
      <c r="F204" s="8"/>
      <c r="G204" s="8" t="str">
        <f t="shared" si="3"/>
        <v>1.0</v>
      </c>
      <c r="H204" s="9">
        <f t="shared" si="4"/>
        <v>1</v>
      </c>
      <c r="I204" s="6" t="str">
        <f>IFERROR(__xludf.DUMMYFUNCTION("MAX(FILTER($H:$H,$E:$E=F204))"),"#N/A")</f>
        <v>#N/A</v>
      </c>
    </row>
    <row r="205">
      <c r="C205" s="4" t="s">
        <v>4499</v>
      </c>
      <c r="D205" s="4" t="str">
        <f t="shared" si="1"/>
        <v>{"valorA":"termo","valorB":1.0}</v>
      </c>
      <c r="E205" s="8" t="str">
        <f t="shared" si="2"/>
        <v>termo</v>
      </c>
      <c r="F205" s="8"/>
      <c r="G205" s="8" t="str">
        <f t="shared" si="3"/>
        <v>1.0</v>
      </c>
      <c r="H205" s="9">
        <f t="shared" si="4"/>
        <v>1</v>
      </c>
      <c r="I205" s="6" t="str">
        <f>IFERROR(__xludf.DUMMYFUNCTION("MAX(FILTER($H:$H,$E:$E=F205))"),"#N/A")</f>
        <v>#N/A</v>
      </c>
    </row>
    <row r="206">
      <c r="C206" s="4" t="s">
        <v>593</v>
      </c>
      <c r="D206" s="4" t="str">
        <f t="shared" si="1"/>
        <v>{"valorA":"que","valorB":3.0}</v>
      </c>
      <c r="E206" s="8" t="str">
        <f t="shared" si="2"/>
        <v>que</v>
      </c>
      <c r="F206" s="8"/>
      <c r="G206" s="8" t="str">
        <f t="shared" si="3"/>
        <v>3.0</v>
      </c>
      <c r="H206" s="9">
        <f t="shared" si="4"/>
        <v>3</v>
      </c>
      <c r="I206" s="6" t="str">
        <f>IFERROR(__xludf.DUMMYFUNCTION("MAX(FILTER($H:$H,$E:$E=F206))"),"#N/A")</f>
        <v>#N/A</v>
      </c>
    </row>
    <row r="207">
      <c r="C207" s="4" t="s">
        <v>723</v>
      </c>
      <c r="D207" s="4" t="str">
        <f t="shared" si="1"/>
        <v>{"valorA":"produto","valorB":20.0}</v>
      </c>
      <c r="E207" s="8" t="str">
        <f t="shared" si="2"/>
        <v>produto</v>
      </c>
      <c r="F207" s="8"/>
      <c r="G207" s="8" t="str">
        <f t="shared" si="3"/>
        <v>20.0</v>
      </c>
      <c r="H207" s="9">
        <f t="shared" si="4"/>
        <v>20</v>
      </c>
      <c r="I207" s="6" t="str">
        <f>IFERROR(__xludf.DUMMYFUNCTION("MAX(FILTER($H:$H,$E:$E=F207))"),"#N/A")</f>
        <v>#N/A</v>
      </c>
    </row>
    <row r="208">
      <c r="C208" s="4" t="s">
        <v>376</v>
      </c>
      <c r="D208" s="4" t="str">
        <f t="shared" si="1"/>
        <v>{"valorA":"ótimo","valorB":30.0}</v>
      </c>
      <c r="E208" s="8" t="str">
        <f t="shared" si="2"/>
        <v>ótimo</v>
      </c>
      <c r="F208" s="8"/>
      <c r="G208" s="8" t="str">
        <f t="shared" si="3"/>
        <v>30.0</v>
      </c>
      <c r="H208" s="9">
        <f t="shared" si="4"/>
        <v>30</v>
      </c>
      <c r="I208" s="6" t="str">
        <f>IFERROR(__xludf.DUMMYFUNCTION("MAX(FILTER($H:$H,$E:$E=F208))"),"#N/A")</f>
        <v>#N/A</v>
      </c>
    </row>
    <row r="209">
      <c r="C209" s="4" t="s">
        <v>317</v>
      </c>
      <c r="D209" s="4" t="str">
        <f t="shared" si="1"/>
        <v>{"valorA":"esse","valorB":5.0}</v>
      </c>
      <c r="E209" s="8" t="str">
        <f t="shared" si="2"/>
        <v>esse</v>
      </c>
      <c r="F209" s="8"/>
      <c r="G209" s="8" t="str">
        <f t="shared" si="3"/>
        <v>5.0</v>
      </c>
      <c r="H209" s="9">
        <f t="shared" si="4"/>
        <v>5</v>
      </c>
      <c r="I209" s="6" t="str">
        <f>IFERROR(__xludf.DUMMYFUNCTION("MAX(FILTER($H:$H,$E:$E=F209))"),"#N/A")</f>
        <v>#N/A</v>
      </c>
    </row>
    <row r="210">
      <c r="C210" s="4" t="s">
        <v>465</v>
      </c>
      <c r="D210" s="4" t="str">
        <f t="shared" si="1"/>
        <v>{"valorA":"realmente","valorB":4.0}</v>
      </c>
      <c r="E210" s="8" t="str">
        <f t="shared" si="2"/>
        <v>realmente</v>
      </c>
      <c r="F210" s="8"/>
      <c r="G210" s="8" t="str">
        <f t="shared" si="3"/>
        <v>4.0</v>
      </c>
      <c r="H210" s="9">
        <f t="shared" si="4"/>
        <v>4</v>
      </c>
      <c r="I210" s="6" t="str">
        <f>IFERROR(__xludf.DUMMYFUNCTION("MAX(FILTER($H:$H,$E:$E=F210))"),"#N/A")</f>
        <v>#N/A</v>
      </c>
    </row>
    <row r="211">
      <c r="C211" s="4" t="s">
        <v>377</v>
      </c>
      <c r="D211" s="4" t="str">
        <f t="shared" si="1"/>
        <v>{"valorA":"muito","valorB":12.0}</v>
      </c>
      <c r="E211" s="8" t="str">
        <f t="shared" si="2"/>
        <v>muito</v>
      </c>
      <c r="F211" s="8"/>
      <c r="G211" s="8" t="str">
        <f t="shared" si="3"/>
        <v>12.0</v>
      </c>
      <c r="H211" s="9">
        <f t="shared" si="4"/>
        <v>12</v>
      </c>
      <c r="I211" s="6" t="str">
        <f>IFERROR(__xludf.DUMMYFUNCTION("MAX(FILTER($H:$H,$E:$E=F211))"),"#N/A")</f>
        <v>#N/A</v>
      </c>
    </row>
    <row r="212">
      <c r="C212" s="4" t="s">
        <v>4500</v>
      </c>
      <c r="D212" s="4" t="str">
        <f t="shared" si="1"/>
        <v>{"valorA":"café","valorB":1.0}</v>
      </c>
      <c r="E212" s="8" t="str">
        <f t="shared" si="2"/>
        <v>café</v>
      </c>
      <c r="F212" s="8"/>
      <c r="G212" s="8" t="str">
        <f t="shared" si="3"/>
        <v>1.0</v>
      </c>
      <c r="H212" s="9">
        <f t="shared" si="4"/>
        <v>1</v>
      </c>
      <c r="I212" s="6" t="str">
        <f>IFERROR(__xludf.DUMMYFUNCTION("MAX(FILTER($H:$H,$E:$E=F212))"),"#N/A")</f>
        <v>#N/A</v>
      </c>
    </row>
    <row r="213">
      <c r="C213" s="4" t="s">
        <v>989</v>
      </c>
      <c r="D213" s="4" t="str">
        <f t="shared" si="1"/>
        <v>{"valorA":"tudo","valorB":1.0}</v>
      </c>
      <c r="E213" s="8" t="str">
        <f t="shared" si="2"/>
        <v>tudo</v>
      </c>
      <c r="F213" s="8"/>
      <c r="G213" s="8" t="str">
        <f t="shared" si="3"/>
        <v>1.0</v>
      </c>
      <c r="H213" s="9">
        <f t="shared" si="4"/>
        <v>1</v>
      </c>
      <c r="I213" s="6" t="str">
        <f>IFERROR(__xludf.DUMMYFUNCTION("MAX(FILTER($H:$H,$E:$E=F213))"),"#N/A")</f>
        <v>#N/A</v>
      </c>
    </row>
    <row r="214">
      <c r="C214" s="4" t="s">
        <v>4501</v>
      </c>
      <c r="D214" s="4" t="str">
        <f t="shared" si="1"/>
        <v>{"valorA":"prometeu","valorB":1.0}</v>
      </c>
      <c r="E214" s="8" t="str">
        <f t="shared" si="2"/>
        <v>prometeu</v>
      </c>
      <c r="F214" s="8"/>
      <c r="G214" s="8" t="str">
        <f t="shared" si="3"/>
        <v>1.0</v>
      </c>
      <c r="H214" s="9">
        <f t="shared" si="4"/>
        <v>1</v>
      </c>
      <c r="I214" s="6" t="str">
        <f>IFERROR(__xludf.DUMMYFUNCTION("MAX(FILTER($H:$H,$E:$E=F214))"),"#N/A")</f>
        <v>#N/A</v>
      </c>
    </row>
    <row r="215">
      <c r="C215" s="4" t="s">
        <v>364</v>
      </c>
      <c r="D215" s="4" t="str">
        <f t="shared" si="1"/>
        <v>{"valorA":"é","valorB":8.0}</v>
      </c>
      <c r="E215" s="8" t="str">
        <f t="shared" si="2"/>
        <v>é</v>
      </c>
      <c r="F215" s="8"/>
      <c r="G215" s="8" t="str">
        <f t="shared" si="3"/>
        <v>8.0</v>
      </c>
      <c r="H215" s="9">
        <f t="shared" si="4"/>
        <v>8</v>
      </c>
      <c r="I215" s="6" t="str">
        <f>IFERROR(__xludf.DUMMYFUNCTION("MAX(FILTER($H:$H,$E:$E=F215))"),"#N/A")</f>
        <v>#N/A</v>
      </c>
    </row>
    <row r="216">
      <c r="C216" s="4" t="s">
        <v>279</v>
      </c>
      <c r="D216" s="4" t="str">
        <f t="shared" si="1"/>
        <v>{"valorA":"usar","valorB":3.0}</v>
      </c>
      <c r="E216" s="8" t="str">
        <f t="shared" si="2"/>
        <v>usar</v>
      </c>
      <c r="F216" s="8"/>
      <c r="G216" s="8" t="str">
        <f t="shared" si="3"/>
        <v>3.0</v>
      </c>
      <c r="H216" s="9">
        <f t="shared" si="4"/>
        <v>3</v>
      </c>
      <c r="I216" s="6" t="str">
        <f>IFERROR(__xludf.DUMMYFUNCTION("MAX(FILTER($H:$H,$E:$E=F216))"),"#N/A")</f>
        <v>#N/A</v>
      </c>
    </row>
    <row r="217">
      <c r="C217" s="4" t="s">
        <v>427</v>
      </c>
      <c r="D217" s="4" t="str">
        <f t="shared" si="1"/>
        <v>{"valorA":"de","valorB":10.0}</v>
      </c>
      <c r="E217" s="8" t="str">
        <f t="shared" si="2"/>
        <v>de</v>
      </c>
      <c r="F217" s="8"/>
      <c r="G217" s="8" t="str">
        <f t="shared" si="3"/>
        <v>10.0</v>
      </c>
      <c r="H217" s="9">
        <f t="shared" si="4"/>
        <v>10</v>
      </c>
      <c r="I217" s="6" t="str">
        <f>IFERROR(__xludf.DUMMYFUNCTION("MAX(FILTER($H:$H,$E:$E=F217))"),"#N/A")</f>
        <v>#N/A</v>
      </c>
    </row>
    <row r="218">
      <c r="C218" s="4" t="s">
        <v>425</v>
      </c>
      <c r="D218" s="4" t="str">
        <f t="shared" si="1"/>
        <v>{"valorA":"e","valorB":9.0}</v>
      </c>
      <c r="E218" s="8" t="str">
        <f t="shared" si="2"/>
        <v>e</v>
      </c>
      <c r="F218" s="8"/>
      <c r="G218" s="8" t="str">
        <f t="shared" si="3"/>
        <v>9.0</v>
      </c>
      <c r="H218" s="9">
        <f t="shared" si="4"/>
        <v>9</v>
      </c>
      <c r="I218" s="6" t="str">
        <f>IFERROR(__xludf.DUMMYFUNCTION("MAX(FILTER($H:$H,$E:$E=F218))"),"#N/A")</f>
        <v>#N/A</v>
      </c>
    </row>
    <row r="219">
      <c r="C219" s="4" t="s">
        <v>4502</v>
      </c>
      <c r="D219" s="4" t="str">
        <f t="shared" si="1"/>
        <v>{"valorA":"ferramentas","valorB":2.0}</v>
      </c>
      <c r="E219" s="8" t="str">
        <f t="shared" si="2"/>
        <v>ferramentas</v>
      </c>
      <c r="F219" s="8"/>
      <c r="G219" s="8" t="str">
        <f t="shared" si="3"/>
        <v>2.0</v>
      </c>
      <c r="H219" s="9">
        <f t="shared" si="4"/>
        <v>2</v>
      </c>
      <c r="I219" s="6" t="str">
        <f>IFERROR(__xludf.DUMMYFUNCTION("MAX(FILTER($H:$H,$E:$E=F219))"),"#N/A")</f>
        <v>#N/A</v>
      </c>
    </row>
    <row r="220">
      <c r="C220" s="4" t="s">
        <v>391</v>
      </c>
      <c r="D220" s="4" t="str">
        <f t="shared" si="1"/>
        <v>{"valorA":"produto","valorB":23.0}</v>
      </c>
      <c r="E220" s="8" t="str">
        <f t="shared" si="2"/>
        <v>produto</v>
      </c>
      <c r="F220" s="8"/>
      <c r="G220" s="8" t="str">
        <f t="shared" si="3"/>
        <v>23.0</v>
      </c>
      <c r="H220" s="9">
        <f t="shared" si="4"/>
        <v>23</v>
      </c>
      <c r="I220" s="6" t="str">
        <f>IFERROR(__xludf.DUMMYFUNCTION("MAX(FILTER($H:$H,$E:$E=F220))"),"#N/A")</f>
        <v>#N/A</v>
      </c>
    </row>
    <row r="221">
      <c r="C221" s="4" t="s">
        <v>762</v>
      </c>
      <c r="D221" s="4" t="str">
        <f t="shared" si="1"/>
        <v>{"valorA":"ótimo","valorB":33.0}</v>
      </c>
      <c r="E221" s="8" t="str">
        <f t="shared" si="2"/>
        <v>ótimo</v>
      </c>
      <c r="F221" s="8"/>
      <c r="G221" s="8" t="str">
        <f t="shared" si="3"/>
        <v>33.0</v>
      </c>
      <c r="H221" s="9">
        <f t="shared" si="4"/>
        <v>33</v>
      </c>
      <c r="I221" s="6" t="str">
        <f>IFERROR(__xludf.DUMMYFUNCTION("MAX(FILTER($H:$H,$E:$E=F221))"),"#N/A")</f>
        <v>#N/A</v>
      </c>
    </row>
    <row r="222">
      <c r="C222" s="4" t="s">
        <v>431</v>
      </c>
      <c r="D222" s="4" t="str">
        <f t="shared" si="1"/>
        <v>{"valorA":"fácil","valorB":3.0}</v>
      </c>
      <c r="E222" s="8" t="str">
        <f t="shared" si="2"/>
        <v>fácil</v>
      </c>
      <c r="F222" s="8"/>
      <c r="G222" s="8" t="str">
        <f t="shared" si="3"/>
        <v>3.0</v>
      </c>
      <c r="H222" s="9">
        <f t="shared" si="4"/>
        <v>3</v>
      </c>
      <c r="I222" s="6" t="str">
        <f>IFERROR(__xludf.DUMMYFUNCTION("MAX(FILTER($H:$H,$E:$E=F222))"),"#N/A")</f>
        <v>#N/A</v>
      </c>
    </row>
    <row r="223">
      <c r="C223" s="4" t="s">
        <v>488</v>
      </c>
      <c r="D223" s="4" t="str">
        <f t="shared" si="1"/>
        <v>{"valorA":"perfeitamente","valorB":7.0}</v>
      </c>
      <c r="E223" s="8" t="str">
        <f t="shared" si="2"/>
        <v>perfeitamente</v>
      </c>
      <c r="F223" s="8"/>
      <c r="G223" s="8" t="str">
        <f t="shared" si="3"/>
        <v>7.0</v>
      </c>
      <c r="H223" s="9">
        <f t="shared" si="4"/>
        <v>7</v>
      </c>
      <c r="I223" s="6" t="str">
        <f>IFERROR(__xludf.DUMMYFUNCTION("MAX(FILTER($H:$H,$E:$E=F223))"),"#N/A")</f>
        <v>#N/A</v>
      </c>
    </row>
    <row r="224">
      <c r="C224" s="4" t="s">
        <v>1291</v>
      </c>
      <c r="D224" s="4" t="str">
        <f t="shared" si="1"/>
        <v>{"valorA":"essa","valorB":4.0}</v>
      </c>
      <c r="E224" s="8" t="str">
        <f t="shared" si="2"/>
        <v>essa</v>
      </c>
      <c r="F224" s="8"/>
      <c r="G224" s="8" t="str">
        <f t="shared" si="3"/>
        <v>4.0</v>
      </c>
      <c r="H224" s="9">
        <f t="shared" si="4"/>
        <v>4</v>
      </c>
      <c r="I224" s="6" t="str">
        <f>IFERROR(__xludf.DUMMYFUNCTION("MAX(FILTER($H:$H,$E:$E=F224))"),"#N/A")</f>
        <v>#N/A</v>
      </c>
    </row>
    <row r="225">
      <c r="C225" s="4" t="s">
        <v>382</v>
      </c>
      <c r="D225" s="4" t="str">
        <f t="shared" si="1"/>
        <v>{"valorA":"funciona","valorB":9.0}</v>
      </c>
      <c r="E225" s="8" t="str">
        <f t="shared" si="2"/>
        <v>funciona</v>
      </c>
      <c r="F225" s="8"/>
      <c r="G225" s="8" t="str">
        <f t="shared" si="3"/>
        <v>9.0</v>
      </c>
      <c r="H225" s="9">
        <f t="shared" si="4"/>
        <v>9</v>
      </c>
      <c r="I225" s="6" t="str">
        <f>IFERROR(__xludf.DUMMYFUNCTION("MAX(FILTER($H:$H,$E:$E=F225))"),"#N/A")</f>
        <v>#N/A</v>
      </c>
    </row>
    <row r="226">
      <c r="C226" s="4" t="s">
        <v>4503</v>
      </c>
      <c r="D226" s="4" t="str">
        <f t="shared" si="1"/>
        <v>{"valorA":"caixa","valorB":2.0}</v>
      </c>
      <c r="E226" s="8" t="str">
        <f t="shared" si="2"/>
        <v>caixa</v>
      </c>
      <c r="F226" s="8"/>
      <c r="G226" s="8" t="str">
        <f t="shared" si="3"/>
        <v>2.0</v>
      </c>
      <c r="H226" s="9">
        <f t="shared" si="4"/>
        <v>2</v>
      </c>
      <c r="I226" s="6" t="str">
        <f>IFERROR(__xludf.DUMMYFUNCTION("MAX(FILTER($H:$H,$E:$E=F226))"),"#N/A")</f>
        <v>#N/A</v>
      </c>
    </row>
    <row r="227">
      <c r="C227" s="4" t="s">
        <v>384</v>
      </c>
      <c r="D227" s="4" t="str">
        <f t="shared" si="1"/>
        <v>{"valorA":"é","valorB":9.0}</v>
      </c>
      <c r="E227" s="8" t="str">
        <f t="shared" si="2"/>
        <v>é</v>
      </c>
      <c r="F227" s="8"/>
      <c r="G227" s="8" t="str">
        <f t="shared" si="3"/>
        <v>9.0</v>
      </c>
      <c r="H227" s="9">
        <f t="shared" si="4"/>
        <v>9</v>
      </c>
      <c r="I227" s="6" t="str">
        <f>IFERROR(__xludf.DUMMYFUNCTION("MAX(FILTER($H:$H,$E:$E=F227))"),"#N/A")</f>
        <v>#N/A</v>
      </c>
    </row>
    <row r="228">
      <c r="C228" s="4" t="s">
        <v>325</v>
      </c>
      <c r="D228" s="4" t="str">
        <f t="shared" si="1"/>
        <v>{"valorA":"recomendo","valorB":3.0}</v>
      </c>
      <c r="E228" s="8" t="str">
        <f t="shared" si="2"/>
        <v>recomendo</v>
      </c>
      <c r="F228" s="8"/>
      <c r="G228" s="8" t="str">
        <f t="shared" si="3"/>
        <v>3.0</v>
      </c>
      <c r="H228" s="9">
        <f t="shared" si="4"/>
        <v>3</v>
      </c>
      <c r="I228" s="6" t="str">
        <f>IFERROR(__xludf.DUMMYFUNCTION("MAX(FILTER($H:$H,$E:$E=F228))"),"#N/A")</f>
        <v>#N/A</v>
      </c>
    </row>
    <row r="229">
      <c r="C229" s="4" t="s">
        <v>831</v>
      </c>
      <c r="D229" s="4" t="str">
        <f t="shared" si="1"/>
        <v>{"valorA":"meu","valorB":5.0}</v>
      </c>
      <c r="E229" s="8" t="str">
        <f t="shared" si="2"/>
        <v>meu</v>
      </c>
      <c r="F229" s="8"/>
      <c r="G229" s="8" t="str">
        <f t="shared" si="3"/>
        <v>5.0</v>
      </c>
      <c r="H229" s="9">
        <f t="shared" si="4"/>
        <v>5</v>
      </c>
      <c r="I229" s="6" t="str">
        <f>IFERROR(__xludf.DUMMYFUNCTION("MAX(FILTER($H:$H,$E:$E=F229))"),"#N/A")</f>
        <v>#N/A</v>
      </c>
    </row>
    <row r="230">
      <c r="C230" s="4" t="s">
        <v>386</v>
      </c>
      <c r="D230" s="4" t="str">
        <f t="shared" si="1"/>
        <v>{"valorA":"usar","valorB":4.0}</v>
      </c>
      <c r="E230" s="8" t="str">
        <f t="shared" si="2"/>
        <v>usar</v>
      </c>
      <c r="F230" s="8"/>
      <c r="G230" s="8" t="str">
        <f t="shared" si="3"/>
        <v>4.0</v>
      </c>
      <c r="H230" s="9">
        <f t="shared" si="4"/>
        <v>4</v>
      </c>
      <c r="I230" s="6" t="str">
        <f>IFERROR(__xludf.DUMMYFUNCTION("MAX(FILTER($H:$H,$E:$E=F230))"),"#N/A")</f>
        <v>#N/A</v>
      </c>
    </row>
    <row r="231">
      <c r="C231" s="4" t="s">
        <v>441</v>
      </c>
      <c r="D231" s="4" t="str">
        <f t="shared" si="1"/>
        <v>{"valorA":"de","valorB":11.0}</v>
      </c>
      <c r="E231" s="8" t="str">
        <f t="shared" si="2"/>
        <v>de</v>
      </c>
      <c r="F231" s="8"/>
      <c r="G231" s="8" t="str">
        <f t="shared" si="3"/>
        <v>11.0</v>
      </c>
      <c r="H231" s="9">
        <f t="shared" si="4"/>
        <v>11</v>
      </c>
      <c r="I231" s="6" t="str">
        <f>IFERROR(__xludf.DUMMYFUNCTION("MAX(FILTER($H:$H,$E:$E=F231))"),"#N/A")</f>
        <v>#N/A</v>
      </c>
    </row>
    <row r="232">
      <c r="C232" s="4" t="s">
        <v>655</v>
      </c>
      <c r="D232" s="4" t="str">
        <f t="shared" si="1"/>
        <v>{"valorA":"o","valorB":5.0}</v>
      </c>
      <c r="E232" s="8" t="str">
        <f t="shared" si="2"/>
        <v>o</v>
      </c>
      <c r="F232" s="8"/>
      <c r="G232" s="8" t="str">
        <f t="shared" si="3"/>
        <v>5.0</v>
      </c>
      <c r="H232" s="9">
        <f t="shared" si="4"/>
        <v>5</v>
      </c>
      <c r="I232" s="6" t="str">
        <f>IFERROR(__xludf.DUMMYFUNCTION("MAX(FILTER($H:$H,$E:$E=F232))"),"#N/A")</f>
        <v>#N/A</v>
      </c>
    </row>
    <row r="233">
      <c r="C233" s="4" t="s">
        <v>477</v>
      </c>
      <c r="D233" s="4" t="str">
        <f t="shared" si="1"/>
        <v>{"valorA":"e","valorB":11.0}</v>
      </c>
      <c r="E233" s="8" t="str">
        <f t="shared" si="2"/>
        <v>e</v>
      </c>
      <c r="F233" s="8"/>
      <c r="G233" s="8" t="str">
        <f t="shared" si="3"/>
        <v>11.0</v>
      </c>
      <c r="H233" s="9">
        <f t="shared" si="4"/>
        <v>11</v>
      </c>
      <c r="I233" s="6" t="str">
        <f>IFERROR(__xludf.DUMMYFUNCTION("MAX(FILTER($H:$H,$E:$E=F233))"),"#N/A")</f>
        <v>#N/A</v>
      </c>
    </row>
    <row r="234">
      <c r="C234" s="4" t="s">
        <v>1288</v>
      </c>
      <c r="D234" s="4" t="str">
        <f t="shared" si="1"/>
        <v>{"valorA":"sofá","valorB":1.0}</v>
      </c>
      <c r="E234" s="8" t="str">
        <f t="shared" si="2"/>
        <v>sofá</v>
      </c>
      <c r="F234" s="8"/>
      <c r="G234" s="8" t="str">
        <f t="shared" si="3"/>
        <v>1.0</v>
      </c>
      <c r="H234" s="9">
        <f t="shared" si="4"/>
        <v>1</v>
      </c>
      <c r="I234" s="6" t="str">
        <f>IFERROR(__xludf.DUMMYFUNCTION("MAX(FILTER($H:$H,$E:$E=F234))"),"#N/A")</f>
        <v>#N/A</v>
      </c>
    </row>
    <row r="235">
      <c r="C235" s="4" t="s">
        <v>1086</v>
      </c>
      <c r="D235" s="4" t="str">
        <f t="shared" si="1"/>
        <v>{"valorA":"leve","valorB":1.0}</v>
      </c>
      <c r="E235" s="8" t="str">
        <f t="shared" si="2"/>
        <v>leve</v>
      </c>
      <c r="F235" s="8"/>
      <c r="G235" s="8" t="str">
        <f t="shared" si="3"/>
        <v>1.0</v>
      </c>
      <c r="H235" s="9">
        <f t="shared" si="4"/>
        <v>1</v>
      </c>
      <c r="I235" s="6" t="str">
        <f>IFERROR(__xludf.DUMMYFUNCTION("MAX(FILTER($H:$H,$E:$E=F235))"),"#N/A")</f>
        <v>#N/A</v>
      </c>
    </row>
    <row r="236">
      <c r="C236" s="4" t="s">
        <v>413</v>
      </c>
      <c r="D236" s="4" t="str">
        <f t="shared" si="1"/>
        <v>{"valorA":"produto","valorB":24.0}</v>
      </c>
      <c r="E236" s="8" t="str">
        <f t="shared" si="2"/>
        <v>produto</v>
      </c>
      <c r="F236" s="8"/>
      <c r="G236" s="8" t="str">
        <f t="shared" si="3"/>
        <v>24.0</v>
      </c>
      <c r="H236" s="9">
        <f t="shared" si="4"/>
        <v>24</v>
      </c>
      <c r="I236" s="6" t="str">
        <f>IFERROR(__xludf.DUMMYFUNCTION("MAX(FILTER($H:$H,$E:$E=F236))"),"#N/A")</f>
        <v>#N/A</v>
      </c>
    </row>
    <row r="237">
      <c r="C237" s="4" t="s">
        <v>414</v>
      </c>
      <c r="D237" s="4" t="str">
        <f t="shared" si="1"/>
        <v>{"valorA":"ótimo","valorB":36.0}</v>
      </c>
      <c r="E237" s="8" t="str">
        <f t="shared" si="2"/>
        <v>ótimo</v>
      </c>
      <c r="F237" s="8"/>
      <c r="G237" s="8" t="str">
        <f t="shared" si="3"/>
        <v>36.0</v>
      </c>
      <c r="H237" s="9">
        <f t="shared" si="4"/>
        <v>36</v>
      </c>
      <c r="I237" s="6" t="str">
        <f>IFERROR(__xludf.DUMMYFUNCTION("MAX(FILTER($H:$H,$E:$E=F237))"),"#N/A")</f>
        <v>#N/A</v>
      </c>
    </row>
    <row r="238">
      <c r="C238" s="4" t="s">
        <v>445</v>
      </c>
      <c r="D238" s="4" t="str">
        <f t="shared" si="1"/>
        <v>{"valorA":"fácil","valorB":4.0}</v>
      </c>
      <c r="E238" s="8" t="str">
        <f t="shared" si="2"/>
        <v>fácil</v>
      </c>
      <c r="F238" s="8"/>
      <c r="G238" s="8" t="str">
        <f t="shared" si="3"/>
        <v>4.0</v>
      </c>
      <c r="H238" s="9">
        <f t="shared" si="4"/>
        <v>4</v>
      </c>
      <c r="I238" s="6" t="str">
        <f>IFERROR(__xludf.DUMMYFUNCTION("MAX(FILTER($H:$H,$E:$E=F238))"),"#N/A")</f>
        <v>#N/A</v>
      </c>
    </row>
    <row r="239">
      <c r="C239" s="4" t="s">
        <v>829</v>
      </c>
      <c r="D239" s="4" t="str">
        <f t="shared" si="1"/>
        <v>{"valorA":"muito","valorB":13.0}</v>
      </c>
      <c r="E239" s="8" t="str">
        <f t="shared" si="2"/>
        <v>muito</v>
      </c>
      <c r="F239" s="8"/>
      <c r="G239" s="8" t="str">
        <f t="shared" si="3"/>
        <v>13.0</v>
      </c>
      <c r="H239" s="9">
        <f t="shared" si="4"/>
        <v>13</v>
      </c>
      <c r="I239" s="6" t="str">
        <f>IFERROR(__xludf.DUMMYFUNCTION("MAX(FILTER($H:$H,$E:$E=F239))"),"#N/A")</f>
        <v>#N/A</v>
      </c>
    </row>
    <row r="240">
      <c r="C240" s="4" t="s">
        <v>1095</v>
      </c>
      <c r="D240" s="4" t="str">
        <f t="shared" si="1"/>
        <v>{"valorA":"confortável","valorB":3.0}</v>
      </c>
      <c r="E240" s="8" t="str">
        <f t="shared" si="2"/>
        <v>confortável</v>
      </c>
      <c r="F240" s="8"/>
      <c r="G240" s="8" t="str">
        <f t="shared" si="3"/>
        <v>3.0</v>
      </c>
      <c r="H240" s="9">
        <f t="shared" si="4"/>
        <v>3</v>
      </c>
      <c r="I240" s="6" t="str">
        <f>IFERROR(__xludf.DUMMYFUNCTION("MAX(FILTER($H:$H,$E:$E=F240))"),"#N/A")</f>
        <v>#N/A</v>
      </c>
    </row>
    <row r="241">
      <c r="C241" s="4" t="s">
        <v>379</v>
      </c>
      <c r="D241" s="4" t="str">
        <f t="shared" si="1"/>
        <v>{"valorA":"novo","valorB":2.0}</v>
      </c>
      <c r="E241" s="8" t="str">
        <f t="shared" si="2"/>
        <v>novo</v>
      </c>
      <c r="F241" s="8"/>
      <c r="G241" s="8" t="str">
        <f t="shared" si="3"/>
        <v>2.0</v>
      </c>
      <c r="H241" s="9">
        <f t="shared" si="4"/>
        <v>2</v>
      </c>
      <c r="I241" s="6" t="str">
        <f>IFERROR(__xludf.DUMMYFUNCTION("MAX(FILTER($H:$H,$E:$E=F241))"),"#N/A")</f>
        <v>#N/A</v>
      </c>
    </row>
    <row r="242">
      <c r="C242" s="4" t="s">
        <v>466</v>
      </c>
      <c r="D242" s="4" t="str">
        <f t="shared" si="1"/>
        <v>{"valorA":"relojoeira","valorB":3.0}</v>
      </c>
      <c r="E242" s="8" t="str">
        <f t="shared" si="2"/>
        <v>relojoeira</v>
      </c>
      <c r="F242" s="8"/>
      <c r="G242" s="8" t="str">
        <f t="shared" si="3"/>
        <v>3.0</v>
      </c>
      <c r="H242" s="9">
        <f t="shared" si="4"/>
        <v>3</v>
      </c>
      <c r="I242" s="6" t="str">
        <f>IFERROR(__xludf.DUMMYFUNCTION("MAX(FILTER($H:$H,$E:$E=F242))"),"#N/A")</f>
        <v>#N/A</v>
      </c>
    </row>
    <row r="243">
      <c r="C243" s="4" t="s">
        <v>217</v>
      </c>
      <c r="D243" s="4" t="str">
        <f t="shared" si="1"/>
        <v>{"valorA":"adorei","valorB":1.0}</v>
      </c>
      <c r="E243" s="8" t="str">
        <f t="shared" si="2"/>
        <v>adorei</v>
      </c>
      <c r="F243" s="8"/>
      <c r="G243" s="8" t="str">
        <f t="shared" si="3"/>
        <v>1.0</v>
      </c>
      <c r="H243" s="9">
        <f t="shared" si="4"/>
        <v>1</v>
      </c>
      <c r="I243" s="6" t="str">
        <f>IFERROR(__xludf.DUMMYFUNCTION("MAX(FILTER($H:$H,$E:$E=F243))"),"#N/A")</f>
        <v>#N/A</v>
      </c>
    </row>
    <row r="244">
      <c r="C244" s="4" t="s">
        <v>345</v>
      </c>
      <c r="D244" s="4" t="str">
        <f t="shared" si="1"/>
        <v>{"valorA":"recomendo","valorB":4.0}</v>
      </c>
      <c r="E244" s="8" t="str">
        <f t="shared" si="2"/>
        <v>recomendo</v>
      </c>
      <c r="F244" s="8"/>
      <c r="G244" s="8" t="str">
        <f t="shared" si="3"/>
        <v>4.0</v>
      </c>
      <c r="H244" s="9">
        <f t="shared" si="4"/>
        <v>4</v>
      </c>
      <c r="I244" s="6" t="str">
        <f>IFERROR(__xludf.DUMMYFUNCTION("MAX(FILTER($H:$H,$E:$E=F244))"),"#N/A")</f>
        <v>#N/A</v>
      </c>
    </row>
    <row r="245">
      <c r="C245" s="4" t="s">
        <v>4504</v>
      </c>
      <c r="D245" s="4" t="str">
        <f t="shared" si="1"/>
        <v>{"valorA":"antigo","valorB":2.0}</v>
      </c>
      <c r="E245" s="8" t="str">
        <f t="shared" si="2"/>
        <v>antigo</v>
      </c>
      <c r="F245" s="8"/>
      <c r="G245" s="8" t="str">
        <f t="shared" si="3"/>
        <v>2.0</v>
      </c>
      <c r="H245" s="9">
        <f t="shared" si="4"/>
        <v>2</v>
      </c>
      <c r="I245" s="6" t="str">
        <f>IFERROR(__xludf.DUMMYFUNCTION("MAX(FILTER($H:$H,$E:$E=F245))"),"#N/A")</f>
        <v>#N/A</v>
      </c>
    </row>
    <row r="246">
      <c r="C246" s="4" t="s">
        <v>1321</v>
      </c>
      <c r="D246" s="4" t="str">
        <f t="shared" si="1"/>
        <v>{"valorA":"confiável","valorB":2.0}</v>
      </c>
      <c r="E246" s="8" t="str">
        <f t="shared" si="2"/>
        <v>confiável</v>
      </c>
      <c r="F246" s="8"/>
      <c r="G246" s="8" t="str">
        <f t="shared" si="3"/>
        <v>2.0</v>
      </c>
      <c r="H246" s="9">
        <f t="shared" si="4"/>
        <v>2</v>
      </c>
      <c r="I246" s="6" t="str">
        <f>IFERROR(__xludf.DUMMYFUNCTION("MAX(FILTER($H:$H,$E:$E=F246))"),"#N/A")</f>
        <v>#N/A</v>
      </c>
    </row>
    <row r="247">
      <c r="C247" s="4" t="s">
        <v>1328</v>
      </c>
      <c r="D247" s="4" t="str">
        <f t="shared" si="1"/>
        <v>{"valorA":"relogio","valorB":2.0}</v>
      </c>
      <c r="E247" s="8" t="str">
        <f t="shared" si="2"/>
        <v>relogio</v>
      </c>
      <c r="F247" s="8"/>
      <c r="G247" s="8" t="str">
        <f t="shared" si="3"/>
        <v>2.0</v>
      </c>
      <c r="H247" s="9">
        <f t="shared" si="4"/>
        <v>2</v>
      </c>
      <c r="I247" s="6" t="str">
        <f>IFERROR(__xludf.DUMMYFUNCTION("MAX(FILTER($H:$H,$E:$E=F247))"),"#N/A")</f>
        <v>#N/A</v>
      </c>
    </row>
    <row r="248">
      <c r="C248" s="4" t="s">
        <v>4505</v>
      </c>
      <c r="D248" s="4" t="str">
        <f t="shared" si="1"/>
        <v>{"valorA":"preciso","valorB":2.0}</v>
      </c>
      <c r="E248" s="8" t="str">
        <f t="shared" si="2"/>
        <v>preciso</v>
      </c>
      <c r="F248" s="8"/>
      <c r="G248" s="8" t="str">
        <f t="shared" si="3"/>
        <v>2.0</v>
      </c>
      <c r="H248" s="9">
        <f t="shared" si="4"/>
        <v>2</v>
      </c>
      <c r="I248" s="6" t="str">
        <f>IFERROR(__xludf.DUMMYFUNCTION("MAX(FILTER($H:$H,$E:$E=F248))"),"#N/A")</f>
        <v>#N/A</v>
      </c>
    </row>
    <row r="249">
      <c r="C249" s="4" t="s">
        <v>839</v>
      </c>
      <c r="D249" s="4" t="str">
        <f t="shared" si="1"/>
        <v>{"valorA":"meu","valorB":6.0}</v>
      </c>
      <c r="E249" s="8" t="str">
        <f t="shared" si="2"/>
        <v>meu</v>
      </c>
      <c r="F249" s="8"/>
      <c r="G249" s="8" t="str">
        <f t="shared" si="3"/>
        <v>6.0</v>
      </c>
      <c r="H249" s="9">
        <f t="shared" si="4"/>
        <v>6</v>
      </c>
      <c r="I249" s="6" t="str">
        <f>IFERROR(__xludf.DUMMYFUNCTION("MAX(FILTER($H:$H,$E:$E=F249))"),"#N/A")</f>
        <v>#N/A</v>
      </c>
    </row>
    <row r="250">
      <c r="C250" s="4" t="s">
        <v>330</v>
      </c>
      <c r="D250" s="4" t="str">
        <f t="shared" si="1"/>
        <v>{"valorA":"bem","valorB":6.0}</v>
      </c>
      <c r="E250" s="8" t="str">
        <f t="shared" si="2"/>
        <v>bem</v>
      </c>
      <c r="F250" s="8"/>
      <c r="G250" s="8" t="str">
        <f t="shared" si="3"/>
        <v>6.0</v>
      </c>
      <c r="H250" s="9">
        <f t="shared" si="4"/>
        <v>6</v>
      </c>
      <c r="I250" s="6" t="str">
        <f>IFERROR(__xludf.DUMMYFUNCTION("MAX(FILTER($H:$H,$E:$E=F250))"),"#N/A")</f>
        <v>#N/A</v>
      </c>
    </row>
    <row r="251">
      <c r="C251" s="4" t="s">
        <v>753</v>
      </c>
      <c r="D251" s="4" t="str">
        <f t="shared" si="1"/>
        <v>{"valorA":"e","valorB":12.0}</v>
      </c>
      <c r="E251" s="8" t="str">
        <f t="shared" si="2"/>
        <v>e</v>
      </c>
      <c r="F251" s="8"/>
      <c r="G251" s="8" t="str">
        <f t="shared" si="3"/>
        <v>12.0</v>
      </c>
      <c r="H251" s="9">
        <f t="shared" si="4"/>
        <v>12</v>
      </c>
      <c r="I251" s="6" t="str">
        <f>IFERROR(__xludf.DUMMYFUNCTION("MAX(FILTER($H:$H,$E:$E=F251))"),"#N/A")</f>
        <v>#N/A</v>
      </c>
    </row>
    <row r="252">
      <c r="C252" s="4" t="s">
        <v>409</v>
      </c>
      <c r="D252" s="4" t="str">
        <f t="shared" si="1"/>
        <v>{"valorA":"o","valorB":6.0}</v>
      </c>
      <c r="E252" s="8" t="str">
        <f t="shared" si="2"/>
        <v>o</v>
      </c>
      <c r="F252" s="8"/>
      <c r="G252" s="8" t="str">
        <f t="shared" si="3"/>
        <v>6.0</v>
      </c>
      <c r="H252" s="9">
        <f t="shared" si="4"/>
        <v>6</v>
      </c>
      <c r="I252" s="6" t="str">
        <f>IFERROR(__xludf.DUMMYFUNCTION("MAX(FILTER($H:$H,$E:$E=F252))"),"#N/A")</f>
        <v>#N/A</v>
      </c>
    </row>
    <row r="253">
      <c r="C253" s="4" t="s">
        <v>481</v>
      </c>
      <c r="D253" s="4" t="str">
        <f t="shared" si="1"/>
        <v>{"valorA":"que","valorB":4.0}</v>
      </c>
      <c r="E253" s="8" t="str">
        <f t="shared" si="2"/>
        <v>que</v>
      </c>
      <c r="F253" s="8"/>
      <c r="G253" s="8" t="str">
        <f t="shared" si="3"/>
        <v>4.0</v>
      </c>
      <c r="H253" s="9">
        <f t="shared" si="4"/>
        <v>4</v>
      </c>
      <c r="I253" s="6" t="str">
        <f>IFERROR(__xludf.DUMMYFUNCTION("MAX(FILTER($H:$H,$E:$E=F253))"),"#N/A")</f>
        <v>#N/A</v>
      </c>
    </row>
    <row r="254">
      <c r="C254" s="4" t="s">
        <v>374</v>
      </c>
      <c r="D254" s="4" t="str">
        <f t="shared" si="1"/>
        <v>{"valorA":"carro","valorB":2.0}</v>
      </c>
      <c r="E254" s="8" t="str">
        <f t="shared" si="2"/>
        <v>carro</v>
      </c>
      <c r="F254" s="8"/>
      <c r="G254" s="8" t="str">
        <f t="shared" si="3"/>
        <v>2.0</v>
      </c>
      <c r="H254" s="9">
        <f t="shared" si="4"/>
        <v>2</v>
      </c>
      <c r="I254" s="6" t="str">
        <f>IFERROR(__xludf.DUMMYFUNCTION("MAX(FILTER($H:$H,$E:$E=F254))"),"#N/A")</f>
        <v>#N/A</v>
      </c>
    </row>
    <row r="255">
      <c r="C255" s="4" t="s">
        <v>428</v>
      </c>
      <c r="D255" s="4" t="str">
        <f t="shared" si="1"/>
        <v>{"valorA":"produto","valorB":26.0}</v>
      </c>
      <c r="E255" s="8" t="str">
        <f t="shared" si="2"/>
        <v>produto</v>
      </c>
      <c r="F255" s="8"/>
      <c r="G255" s="8" t="str">
        <f t="shared" si="3"/>
        <v>26.0</v>
      </c>
      <c r="H255" s="9">
        <f t="shared" si="4"/>
        <v>26</v>
      </c>
      <c r="I255" s="6" t="str">
        <f>IFERROR(__xludf.DUMMYFUNCTION("MAX(FILTER($H:$H,$E:$E=F255))"),"#N/A")</f>
        <v>#N/A</v>
      </c>
    </row>
    <row r="256">
      <c r="C256" s="4" t="s">
        <v>4506</v>
      </c>
      <c r="D256" s="4" t="str">
        <f t="shared" si="1"/>
        <v>{"valorA":"do","valorB":7.0}</v>
      </c>
      <c r="E256" s="8" t="str">
        <f t="shared" si="2"/>
        <v>do</v>
      </c>
      <c r="F256" s="8"/>
      <c r="G256" s="8" t="str">
        <f t="shared" si="3"/>
        <v>7.0</v>
      </c>
      <c r="H256" s="9">
        <f t="shared" si="4"/>
        <v>7</v>
      </c>
      <c r="I256" s="6" t="str">
        <f>IFERROR(__xludf.DUMMYFUNCTION("MAX(FILTER($H:$H,$E:$E=F256))"),"#N/A")</f>
        <v>#N/A</v>
      </c>
    </row>
    <row r="257">
      <c r="C257" s="4" t="s">
        <v>799</v>
      </c>
      <c r="D257" s="4" t="str">
        <f t="shared" si="1"/>
        <v>{"valorA":"ótimo","valorB":39.0}</v>
      </c>
      <c r="E257" s="8" t="str">
        <f t="shared" si="2"/>
        <v>ótimo</v>
      </c>
      <c r="F257" s="8"/>
      <c r="G257" s="8" t="str">
        <f t="shared" si="3"/>
        <v>39.0</v>
      </c>
      <c r="H257" s="9">
        <f t="shared" si="4"/>
        <v>39</v>
      </c>
      <c r="I257" s="6" t="str">
        <f>IFERROR(__xludf.DUMMYFUNCTION("MAX(FILTER($H:$H,$E:$E=F257))"),"#N/A")</f>
        <v>#N/A</v>
      </c>
    </row>
    <row r="258">
      <c r="C258" s="4" t="s">
        <v>337</v>
      </c>
      <c r="D258" s="4" t="str">
        <f t="shared" si="1"/>
        <v>{"valorA":"mais","valorB":1.0}</v>
      </c>
      <c r="E258" s="8" t="str">
        <f t="shared" si="2"/>
        <v>mais</v>
      </c>
      <c r="F258" s="8"/>
      <c r="G258" s="8" t="str">
        <f t="shared" si="3"/>
        <v>1.0</v>
      </c>
      <c r="H258" s="9">
        <f t="shared" si="4"/>
        <v>1</v>
      </c>
      <c r="I258" s="6" t="str">
        <f>IFERROR(__xludf.DUMMYFUNCTION("MAX(FILTER($H:$H,$E:$E=F258))"),"#N/A")</f>
        <v>#N/A</v>
      </c>
    </row>
    <row r="259">
      <c r="C259" s="4" t="s">
        <v>1161</v>
      </c>
      <c r="D259" s="4" t="str">
        <f t="shared" si="1"/>
        <v>{"valorA":"perfeitamente","valorB":8.0}</v>
      </c>
      <c r="E259" s="8" t="str">
        <f t="shared" si="2"/>
        <v>perfeitamente</v>
      </c>
      <c r="F259" s="8"/>
      <c r="G259" s="8" t="str">
        <f t="shared" si="3"/>
        <v>8.0</v>
      </c>
      <c r="H259" s="9">
        <f t="shared" si="4"/>
        <v>8</v>
      </c>
      <c r="I259" s="6" t="str">
        <f>IFERROR(__xludf.DUMMYFUNCTION("MAX(FILTER($H:$H,$E:$E=F259))"),"#N/A")</f>
        <v>#N/A</v>
      </c>
    </row>
    <row r="260">
      <c r="C260" s="4" t="s">
        <v>4507</v>
      </c>
      <c r="D260" s="4" t="str">
        <f t="shared" si="1"/>
        <v>{"valorA":"desse","valorB":5.0}</v>
      </c>
      <c r="E260" s="8" t="str">
        <f t="shared" si="2"/>
        <v>desse</v>
      </c>
      <c r="F260" s="8"/>
      <c r="G260" s="8" t="str">
        <f t="shared" si="3"/>
        <v>5.0</v>
      </c>
      <c r="H260" s="9">
        <f t="shared" si="4"/>
        <v>5</v>
      </c>
      <c r="I260" s="6" t="str">
        <f>IFERROR(__xludf.DUMMYFUNCTION("MAX(FILTER($H:$H,$E:$E=F260))"),"#N/A")</f>
        <v>#N/A</v>
      </c>
    </row>
    <row r="261">
      <c r="C261" s="4" t="s">
        <v>434</v>
      </c>
      <c r="D261" s="4" t="str">
        <f t="shared" si="1"/>
        <v>{"valorA":"funciona","valorB":10.0}</v>
      </c>
      <c r="E261" s="8" t="str">
        <f t="shared" si="2"/>
        <v>funciona</v>
      </c>
      <c r="F261" s="8"/>
      <c r="G261" s="8" t="str">
        <f t="shared" si="3"/>
        <v>10.0</v>
      </c>
      <c r="H261" s="9">
        <f t="shared" si="4"/>
        <v>10</v>
      </c>
      <c r="I261" s="6" t="str">
        <f>IFERROR(__xludf.DUMMYFUNCTION("MAX(FILTER($H:$H,$E:$E=F261))"),"#N/A")</f>
        <v>#N/A</v>
      </c>
    </row>
    <row r="262">
      <c r="C262" s="4" t="s">
        <v>4508</v>
      </c>
      <c r="D262" s="4" t="str">
        <f t="shared" si="1"/>
        <v>{"valorA":"é","valorB":11.0}</v>
      </c>
      <c r="E262" s="8" t="str">
        <f t="shared" si="2"/>
        <v>é</v>
      </c>
      <c r="F262" s="8"/>
      <c r="G262" s="8" t="str">
        <f t="shared" si="3"/>
        <v>11.0</v>
      </c>
      <c r="H262" s="9">
        <f t="shared" si="4"/>
        <v>11</v>
      </c>
      <c r="I262" s="6" t="str">
        <f>IFERROR(__xludf.DUMMYFUNCTION("MAX(FILTER($H:$H,$E:$E=F262))"),"#N/A")</f>
        <v>#N/A</v>
      </c>
    </row>
    <row r="263">
      <c r="C263" s="4" t="s">
        <v>383</v>
      </c>
      <c r="D263" s="4" t="str">
        <f t="shared" si="1"/>
        <v>{"valorA":"recomendo","valorB":5.0}</v>
      </c>
      <c r="E263" s="8" t="str">
        <f t="shared" si="2"/>
        <v>recomendo</v>
      </c>
      <c r="F263" s="8"/>
      <c r="G263" s="8" t="str">
        <f t="shared" si="3"/>
        <v>5.0</v>
      </c>
      <c r="H263" s="9">
        <f t="shared" si="4"/>
        <v>5</v>
      </c>
      <c r="I263" s="6" t="str">
        <f>IFERROR(__xludf.DUMMYFUNCTION("MAX(FILTER($H:$H,$E:$E=F263))"),"#N/A")</f>
        <v>#N/A</v>
      </c>
    </row>
    <row r="264">
      <c r="C264" s="4" t="s">
        <v>439</v>
      </c>
      <c r="D264" s="4" t="str">
        <f t="shared" si="1"/>
        <v>{"valorA":"usar","valorB":5.0}</v>
      </c>
      <c r="E264" s="8" t="str">
        <f t="shared" si="2"/>
        <v>usar</v>
      </c>
      <c r="F264" s="8"/>
      <c r="G264" s="8" t="str">
        <f t="shared" si="3"/>
        <v>5.0</v>
      </c>
      <c r="H264" s="9">
        <f t="shared" si="4"/>
        <v>5</v>
      </c>
      <c r="I264" s="6" t="str">
        <f>IFERROR(__xludf.DUMMYFUNCTION("MAX(FILTER($H:$H,$E:$E=F264))"),"#N/A")</f>
        <v>#N/A</v>
      </c>
    </row>
    <row r="265">
      <c r="C265" s="4" t="s">
        <v>777</v>
      </c>
      <c r="D265" s="4" t="str">
        <f t="shared" si="1"/>
        <v>{"valorA":"e","valorB":13.0}</v>
      </c>
      <c r="E265" s="8" t="str">
        <f t="shared" si="2"/>
        <v>e</v>
      </c>
      <c r="F265" s="8"/>
      <c r="G265" s="8" t="str">
        <f t="shared" si="3"/>
        <v>13.0</v>
      </c>
      <c r="H265" s="9">
        <f t="shared" si="4"/>
        <v>13</v>
      </c>
      <c r="I265" s="6" t="str">
        <f>IFERROR(__xludf.DUMMYFUNCTION("MAX(FILTER($H:$H,$E:$E=F265))"),"#N/A")</f>
        <v>#N/A</v>
      </c>
    </row>
    <row r="266">
      <c r="C266" s="4" t="s">
        <v>788</v>
      </c>
      <c r="D266" s="4" t="str">
        <f t="shared" si="1"/>
        <v>{"valorA":"de","valorB":12.0}</v>
      </c>
      <c r="E266" s="8" t="str">
        <f t="shared" si="2"/>
        <v>de</v>
      </c>
      <c r="F266" s="8"/>
      <c r="G266" s="8" t="str">
        <f t="shared" si="3"/>
        <v>12.0</v>
      </c>
      <c r="H266" s="9">
        <f t="shared" si="4"/>
        <v>12</v>
      </c>
      <c r="I266" s="6" t="str">
        <f>IFERROR(__xludf.DUMMYFUNCTION("MAX(FILTER($H:$H,$E:$E=F266))"),"#N/A")</f>
        <v>#N/A</v>
      </c>
    </row>
    <row r="267">
      <c r="C267" s="4" t="s">
        <v>780</v>
      </c>
      <c r="D267" s="4" t="str">
        <f t="shared" si="1"/>
        <v>{"valorA":"produto","valorB":27.0}</v>
      </c>
      <c r="E267" s="8" t="str">
        <f t="shared" si="2"/>
        <v>produto</v>
      </c>
      <c r="F267" s="8"/>
      <c r="G267" s="8" t="str">
        <f t="shared" si="3"/>
        <v>27.0</v>
      </c>
      <c r="H267" s="9">
        <f t="shared" si="4"/>
        <v>27</v>
      </c>
      <c r="I267" s="6" t="str">
        <f>IFERROR(__xludf.DUMMYFUNCTION("MAX(FILTER($H:$H,$E:$E=F267))"),"#N/A")</f>
        <v>#N/A</v>
      </c>
    </row>
    <row r="268">
      <c r="C268" s="4" t="s">
        <v>283</v>
      </c>
      <c r="D268" s="4" t="str">
        <f t="shared" si="1"/>
        <v>{"valorA":"relógio","valorB":1.0}</v>
      </c>
      <c r="E268" s="8" t="str">
        <f t="shared" si="2"/>
        <v>relógio</v>
      </c>
      <c r="F268" s="8"/>
      <c r="G268" s="8" t="str">
        <f t="shared" si="3"/>
        <v>1.0</v>
      </c>
      <c r="H268" s="9">
        <f t="shared" si="4"/>
        <v>1</v>
      </c>
      <c r="I268" s="6" t="str">
        <f>IFERROR(__xludf.DUMMYFUNCTION("MAX(FILTER($H:$H,$E:$E=F268))"),"#N/A")</f>
        <v>#N/A</v>
      </c>
    </row>
    <row r="269">
      <c r="C269" s="4" t="s">
        <v>444</v>
      </c>
      <c r="D269" s="4" t="str">
        <f t="shared" si="1"/>
        <v>{"valorA":"ótimo","valorB":41.0}</v>
      </c>
      <c r="E269" s="8" t="str">
        <f t="shared" si="2"/>
        <v>ótimo</v>
      </c>
      <c r="F269" s="8"/>
      <c r="G269" s="8" t="str">
        <f t="shared" si="3"/>
        <v>41.0</v>
      </c>
      <c r="H269" s="9">
        <f t="shared" si="4"/>
        <v>41</v>
      </c>
      <c r="I269" s="6" t="str">
        <f>IFERROR(__xludf.DUMMYFUNCTION("MAX(FILTER($H:$H,$E:$E=F269))"),"#N/A")</f>
        <v>#N/A</v>
      </c>
    </row>
    <row r="270">
      <c r="C270" s="4" t="s">
        <v>724</v>
      </c>
      <c r="D270" s="4" t="str">
        <f t="shared" si="1"/>
        <v>{"valorA":"fácil","valorB":5.0}</v>
      </c>
      <c r="E270" s="8" t="str">
        <f t="shared" si="2"/>
        <v>fácil</v>
      </c>
      <c r="F270" s="8"/>
      <c r="G270" s="8" t="str">
        <f t="shared" si="3"/>
        <v>5.0</v>
      </c>
      <c r="H270" s="9">
        <f t="shared" si="4"/>
        <v>5</v>
      </c>
      <c r="I270" s="6" t="str">
        <f>IFERROR(__xludf.DUMMYFUNCTION("MAX(FILTER($H:$H,$E:$E=F270))"),"#N/A")</f>
        <v>#N/A</v>
      </c>
    </row>
    <row r="271">
      <c r="C271" s="4" t="s">
        <v>356</v>
      </c>
      <c r="D271" s="4" t="str">
        <f t="shared" si="1"/>
        <v>{"valorA":"esse","valorB":6.0}</v>
      </c>
      <c r="E271" s="8" t="str">
        <f t="shared" si="2"/>
        <v>esse</v>
      </c>
      <c r="F271" s="8"/>
      <c r="G271" s="8" t="str">
        <f t="shared" si="3"/>
        <v>6.0</v>
      </c>
      <c r="H271" s="9">
        <f t="shared" si="4"/>
        <v>6</v>
      </c>
      <c r="I271" s="6" t="str">
        <f>IFERROR(__xludf.DUMMYFUNCTION("MAX(FILTER($H:$H,$E:$E=F271))"),"#N/A")</f>
        <v>#N/A</v>
      </c>
    </row>
    <row r="272">
      <c r="C272" s="4" t="s">
        <v>1173</v>
      </c>
      <c r="D272" s="4" t="str">
        <f t="shared" si="1"/>
        <v>{"valorA":"perfeitamente","valorB":9.0}</v>
      </c>
      <c r="E272" s="8" t="str">
        <f t="shared" si="2"/>
        <v>perfeitamente</v>
      </c>
      <c r="F272" s="8"/>
      <c r="G272" s="8" t="str">
        <f t="shared" si="3"/>
        <v>9.0</v>
      </c>
      <c r="H272" s="9">
        <f t="shared" si="4"/>
        <v>9</v>
      </c>
      <c r="I272" s="6" t="str">
        <f>IFERROR(__xludf.DUMMYFUNCTION("MAX(FILTER($H:$H,$E:$E=F272))"),"#N/A")</f>
        <v>#N/A</v>
      </c>
    </row>
    <row r="273">
      <c r="C273" s="4" t="s">
        <v>453</v>
      </c>
      <c r="D273" s="4" t="str">
        <f t="shared" si="1"/>
        <v>{"valorA":"funciona","valorB":11.0}</v>
      </c>
      <c r="E273" s="8" t="str">
        <f t="shared" si="2"/>
        <v>funciona</v>
      </c>
      <c r="F273" s="8"/>
      <c r="G273" s="8" t="str">
        <f t="shared" si="3"/>
        <v>11.0</v>
      </c>
      <c r="H273" s="9">
        <f t="shared" si="4"/>
        <v>11</v>
      </c>
      <c r="I273" s="6" t="str">
        <f>IFERROR(__xludf.DUMMYFUNCTION("MAX(FILTER($H:$H,$E:$E=F273))"),"#N/A")</f>
        <v>#N/A</v>
      </c>
    </row>
    <row r="274">
      <c r="C274" s="4" t="s">
        <v>4509</v>
      </c>
      <c r="D274" s="4" t="str">
        <f t="shared" si="1"/>
        <v>{"valorA":"perfeito","valorB":1.0}</v>
      </c>
      <c r="E274" s="8" t="str">
        <f t="shared" si="2"/>
        <v>perfeito</v>
      </c>
      <c r="F274" s="8"/>
      <c r="G274" s="8" t="str">
        <f t="shared" si="3"/>
        <v>1.0</v>
      </c>
      <c r="H274" s="9">
        <f t="shared" si="4"/>
        <v>1</v>
      </c>
      <c r="I274" s="6" t="str">
        <f>IFERROR(__xludf.DUMMYFUNCTION("MAX(FILTER($H:$H,$E:$E=F274))"),"#N/A")</f>
        <v>#N/A</v>
      </c>
    </row>
    <row r="275">
      <c r="C275" s="4" t="s">
        <v>672</v>
      </c>
      <c r="D275" s="4" t="str">
        <f t="shared" si="1"/>
        <v>{"valorA":"comprar","valorB":1.0}</v>
      </c>
      <c r="E275" s="8" t="str">
        <f t="shared" si="2"/>
        <v>comprar</v>
      </c>
      <c r="F275" s="8"/>
      <c r="G275" s="8" t="str">
        <f t="shared" si="3"/>
        <v>1.0</v>
      </c>
      <c r="H275" s="9">
        <f t="shared" si="4"/>
        <v>1</v>
      </c>
      <c r="I275" s="6" t="str">
        <f>IFERROR(__xludf.DUMMYFUNCTION("MAX(FILTER($H:$H,$E:$E=F275))"),"#N/A")</f>
        <v>#N/A</v>
      </c>
    </row>
    <row r="276">
      <c r="C276" s="4" t="s">
        <v>234</v>
      </c>
      <c r="D276" s="4" t="str">
        <f t="shared" si="1"/>
        <v>{"valorA":"para","valorB":4.0}</v>
      </c>
      <c r="E276" s="8" t="str">
        <f t="shared" si="2"/>
        <v>para</v>
      </c>
      <c r="F276" s="8"/>
      <c r="G276" s="8" t="str">
        <f t="shared" si="3"/>
        <v>4.0</v>
      </c>
      <c r="H276" s="9">
        <f t="shared" si="4"/>
        <v>4</v>
      </c>
      <c r="I276" s="6" t="str">
        <f>IFERROR(__xludf.DUMMYFUNCTION("MAX(FILTER($H:$H,$E:$E=F276))"),"#N/A")</f>
        <v>#N/A</v>
      </c>
    </row>
    <row r="277">
      <c r="C277" s="4" t="s">
        <v>435</v>
      </c>
      <c r="D277" s="4" t="str">
        <f t="shared" si="1"/>
        <v>{"valorA":"é","valorB":12.0}</v>
      </c>
      <c r="E277" s="8" t="str">
        <f t="shared" si="2"/>
        <v>é</v>
      </c>
      <c r="F277" s="8"/>
      <c r="G277" s="8" t="str">
        <f t="shared" si="3"/>
        <v>12.0</v>
      </c>
      <c r="H277" s="9">
        <f t="shared" si="4"/>
        <v>12</v>
      </c>
      <c r="I277" s="6" t="str">
        <f>IFERROR(__xludf.DUMMYFUNCTION("MAX(FILTER($H:$H,$E:$E=F277))"),"#N/A")</f>
        <v>#N/A</v>
      </c>
    </row>
    <row r="278">
      <c r="C278" s="4" t="s">
        <v>1055</v>
      </c>
      <c r="D278" s="4" t="str">
        <f t="shared" si="1"/>
        <v>{"valorA":"dia","valorB":1.0}</v>
      </c>
      <c r="E278" s="8" t="str">
        <f t="shared" si="2"/>
        <v>dia</v>
      </c>
      <c r="F278" s="8"/>
      <c r="G278" s="8" t="str">
        <f t="shared" si="3"/>
        <v>1.0</v>
      </c>
      <c r="H278" s="9">
        <f t="shared" si="4"/>
        <v>1</v>
      </c>
      <c r="I278" s="6" t="str">
        <f>IFERROR(__xludf.DUMMYFUNCTION("MAX(FILTER($H:$H,$E:$E=F278))"),"#N/A")</f>
        <v>#N/A</v>
      </c>
    </row>
    <row r="279">
      <c r="C279" s="4" t="s">
        <v>4510</v>
      </c>
      <c r="D279" s="4" t="str">
        <f t="shared" si="1"/>
        <v>{"valorA":"mim","valorB":1.0}</v>
      </c>
      <c r="E279" s="8" t="str">
        <f t="shared" si="2"/>
        <v>mim</v>
      </c>
      <c r="F279" s="8"/>
      <c r="G279" s="8" t="str">
        <f t="shared" si="3"/>
        <v>1.0</v>
      </c>
      <c r="H279" s="9">
        <f t="shared" si="4"/>
        <v>1</v>
      </c>
      <c r="I279" s="6" t="str">
        <f>IFERROR(__xludf.DUMMYFUNCTION("MAX(FILTER($H:$H,$E:$E=F279))"),"#N/A")</f>
        <v>#N/A</v>
      </c>
    </row>
    <row r="280">
      <c r="C280" s="4" t="s">
        <v>744</v>
      </c>
      <c r="D280" s="4" t="str">
        <f t="shared" si="1"/>
        <v>{"valorA":"bem","valorB":7.0}</v>
      </c>
      <c r="E280" s="8" t="str">
        <f t="shared" si="2"/>
        <v>bem</v>
      </c>
      <c r="F280" s="8"/>
      <c r="G280" s="8" t="str">
        <f t="shared" si="3"/>
        <v>7.0</v>
      </c>
      <c r="H280" s="9">
        <f t="shared" si="4"/>
        <v>7</v>
      </c>
      <c r="I280" s="6" t="str">
        <f>IFERROR(__xludf.DUMMYFUNCTION("MAX(FILTER($H:$H,$E:$E=F280))"),"#N/A")</f>
        <v>#N/A</v>
      </c>
    </row>
    <row r="281">
      <c r="C281" s="4" t="s">
        <v>786</v>
      </c>
      <c r="D281" s="4" t="str">
        <f t="shared" si="1"/>
        <v>{"valorA":"usar","valorB":6.0}</v>
      </c>
      <c r="E281" s="8" t="str">
        <f t="shared" si="2"/>
        <v>usar</v>
      </c>
      <c r="F281" s="8"/>
      <c r="G281" s="8" t="str">
        <f t="shared" si="3"/>
        <v>6.0</v>
      </c>
      <c r="H281" s="9">
        <f t="shared" si="4"/>
        <v>6</v>
      </c>
      <c r="I281" s="6" t="str">
        <f>IFERROR(__xludf.DUMMYFUNCTION("MAX(FILTER($H:$H,$E:$E=F281))"),"#N/A")</f>
        <v>#N/A</v>
      </c>
    </row>
    <row r="282">
      <c r="C282" s="4" t="s">
        <v>329</v>
      </c>
      <c r="D282" s="4" t="str">
        <f t="shared" si="1"/>
        <v>{"valorA":"outro","valorB":1.0}</v>
      </c>
      <c r="E282" s="8" t="str">
        <f t="shared" si="2"/>
        <v>outro</v>
      </c>
      <c r="F282" s="8"/>
      <c r="G282" s="8" t="str">
        <f t="shared" si="3"/>
        <v>1.0</v>
      </c>
      <c r="H282" s="9">
        <f t="shared" si="4"/>
        <v>1</v>
      </c>
      <c r="I282" s="6" t="str">
        <f>IFERROR(__xludf.DUMMYFUNCTION("MAX(FILTER($H:$H,$E:$E=F282))"),"#N/A")</f>
        <v>#N/A</v>
      </c>
    </row>
    <row r="283">
      <c r="C283" s="4" t="s">
        <v>4511</v>
      </c>
      <c r="D283" s="4" t="str">
        <f t="shared" si="1"/>
        <v>{"valorA":"condicionador","valorB":1.0}</v>
      </c>
      <c r="E283" s="8" t="str">
        <f t="shared" si="2"/>
        <v>condicionador</v>
      </c>
      <c r="F283" s="8"/>
      <c r="G283" s="8" t="str">
        <f t="shared" si="3"/>
        <v>1.0</v>
      </c>
      <c r="H283" s="9">
        <f t="shared" si="4"/>
        <v>1</v>
      </c>
      <c r="I283" s="6" t="str">
        <f>IFERROR(__xludf.DUMMYFUNCTION("MAX(FILTER($H:$H,$E:$E=F283))"),"#N/A")</f>
        <v>#N/A</v>
      </c>
    </row>
    <row r="284">
      <c r="C284" s="4" t="s">
        <v>787</v>
      </c>
      <c r="D284" s="4" t="str">
        <f t="shared" si="1"/>
        <v>{"valorA":"e","valorB":14.0}</v>
      </c>
      <c r="E284" s="8" t="str">
        <f t="shared" si="2"/>
        <v>e</v>
      </c>
      <c r="F284" s="8"/>
      <c r="G284" s="8" t="str">
        <f t="shared" si="3"/>
        <v>14.0</v>
      </c>
      <c r="H284" s="9">
        <f t="shared" si="4"/>
        <v>14</v>
      </c>
      <c r="I284" s="6" t="str">
        <f>IFERROR(__xludf.DUMMYFUNCTION("MAX(FILTER($H:$H,$E:$E=F284))"),"#N/A")</f>
        <v>#N/A</v>
      </c>
    </row>
    <row r="285">
      <c r="C285" s="4" t="s">
        <v>841</v>
      </c>
      <c r="D285" s="4" t="str">
        <f t="shared" si="1"/>
        <v>{"valorA":"de","valorB":14.0}</v>
      </c>
      <c r="E285" s="8" t="str">
        <f t="shared" si="2"/>
        <v>de</v>
      </c>
      <c r="F285" s="8"/>
      <c r="G285" s="8" t="str">
        <f t="shared" si="3"/>
        <v>14.0</v>
      </c>
      <c r="H285" s="9">
        <f t="shared" si="4"/>
        <v>14</v>
      </c>
      <c r="I285" s="6" t="str">
        <f>IFERROR(__xludf.DUMMYFUNCTION("MAX(FILTER($H:$H,$E:$E=F285))"),"#N/A")</f>
        <v>#N/A</v>
      </c>
    </row>
    <row r="286">
      <c r="C286" s="4" t="s">
        <v>792</v>
      </c>
      <c r="D286" s="4" t="str">
        <f t="shared" si="1"/>
        <v>{"valorA":"eu","valorB":2.0}</v>
      </c>
      <c r="E286" s="8" t="str">
        <f t="shared" si="2"/>
        <v>eu</v>
      </c>
      <c r="F286" s="8"/>
      <c r="G286" s="8" t="str">
        <f t="shared" si="3"/>
        <v>2.0</v>
      </c>
      <c r="H286" s="9">
        <f t="shared" si="4"/>
        <v>2</v>
      </c>
      <c r="I286" s="6" t="str">
        <f>IFERROR(__xludf.DUMMYFUNCTION("MAX(FILTER($H:$H,$E:$E=F286))"),"#N/A")</f>
        <v>#N/A</v>
      </c>
    </row>
    <row r="287">
      <c r="C287" s="4" t="s">
        <v>1034</v>
      </c>
      <c r="D287" s="4" t="str">
        <f t="shared" si="1"/>
        <v>{"valorA":"ar","valorB":1.0}</v>
      </c>
      <c r="E287" s="8" t="str">
        <f t="shared" si="2"/>
        <v>ar</v>
      </c>
      <c r="F287" s="8"/>
      <c r="G287" s="8" t="str">
        <f t="shared" si="3"/>
        <v>1.0</v>
      </c>
      <c r="H287" s="9">
        <f t="shared" si="4"/>
        <v>1</v>
      </c>
      <c r="I287" s="6" t="str">
        <f>IFERROR(__xludf.DUMMYFUNCTION("MAX(FILTER($H:$H,$E:$E=F287))"),"#N/A")</f>
        <v>#N/A</v>
      </c>
    </row>
    <row r="288">
      <c r="C288" s="4" t="s">
        <v>809</v>
      </c>
      <c r="D288" s="4" t="str">
        <f t="shared" si="1"/>
        <v>{"valorA":"produto","valorB":29.0}</v>
      </c>
      <c r="E288" s="8" t="str">
        <f t="shared" si="2"/>
        <v>produto</v>
      </c>
      <c r="F288" s="8"/>
      <c r="G288" s="8" t="str">
        <f t="shared" si="3"/>
        <v>29.0</v>
      </c>
      <c r="H288" s="9">
        <f t="shared" si="4"/>
        <v>29</v>
      </c>
      <c r="I288" s="6" t="str">
        <f>IFERROR(__xludf.DUMMYFUNCTION("MAX(FILTER($H:$H,$E:$E=F288))"),"#N/A")</f>
        <v>#N/A</v>
      </c>
    </row>
    <row r="289">
      <c r="C289" s="4" t="s">
        <v>782</v>
      </c>
      <c r="D289" s="4" t="str">
        <f t="shared" si="1"/>
        <v>{"valorA":"gostei","valorB":8.0}</v>
      </c>
      <c r="E289" s="8" t="str">
        <f t="shared" si="2"/>
        <v>gostei</v>
      </c>
      <c r="F289" s="8"/>
      <c r="G289" s="8" t="str">
        <f t="shared" si="3"/>
        <v>8.0</v>
      </c>
      <c r="H289" s="9">
        <f t="shared" si="4"/>
        <v>8</v>
      </c>
      <c r="I289" s="6" t="str">
        <f>IFERROR(__xludf.DUMMYFUNCTION("MAX(FILTER($H:$H,$E:$E=F289))"),"#N/A")</f>
        <v>#N/A</v>
      </c>
    </row>
    <row r="290">
      <c r="C290" s="4" t="s">
        <v>819</v>
      </c>
      <c r="D290" s="4" t="str">
        <f t="shared" si="1"/>
        <v>{"valorA":"ótimo","valorB":43.0}</v>
      </c>
      <c r="E290" s="8" t="str">
        <f t="shared" si="2"/>
        <v>ótimo</v>
      </c>
      <c r="F290" s="8"/>
      <c r="G290" s="8" t="str">
        <f t="shared" si="3"/>
        <v>43.0</v>
      </c>
      <c r="H290" s="9">
        <f t="shared" si="4"/>
        <v>43</v>
      </c>
      <c r="I290" s="6" t="str">
        <f>IFERROR(__xludf.DUMMYFUNCTION("MAX(FILTER($H:$H,$E:$E=F290))"),"#N/A")</f>
        <v>#N/A</v>
      </c>
    </row>
    <row r="291">
      <c r="C291" s="4" t="s">
        <v>755</v>
      </c>
      <c r="D291" s="4" t="str">
        <f t="shared" si="1"/>
        <v>{"valorA":"fácil","valorB":6.0}</v>
      </c>
      <c r="E291" s="8" t="str">
        <f t="shared" si="2"/>
        <v>fácil</v>
      </c>
      <c r="F291" s="8"/>
      <c r="G291" s="8" t="str">
        <f t="shared" si="3"/>
        <v>6.0</v>
      </c>
      <c r="H291" s="9">
        <f t="shared" si="4"/>
        <v>6</v>
      </c>
      <c r="I291" s="6" t="str">
        <f>IFERROR(__xludf.DUMMYFUNCTION("MAX(FILTER($H:$H,$E:$E=F291))"),"#N/A")</f>
        <v>#N/A</v>
      </c>
    </row>
    <row r="292">
      <c r="C292" s="4" t="s">
        <v>395</v>
      </c>
      <c r="D292" s="4" t="str">
        <f t="shared" si="1"/>
        <v>{"valorA":"esse","valorB":7.0}</v>
      </c>
      <c r="E292" s="8" t="str">
        <f t="shared" si="2"/>
        <v>esse</v>
      </c>
      <c r="F292" s="8"/>
      <c r="G292" s="8" t="str">
        <f t="shared" si="3"/>
        <v>7.0</v>
      </c>
      <c r="H292" s="9">
        <f t="shared" si="4"/>
        <v>7</v>
      </c>
      <c r="I292" s="6" t="str">
        <f>IFERROR(__xludf.DUMMYFUNCTION("MAX(FILTER($H:$H,$E:$E=F292))"),"#N/A")</f>
        <v>#N/A</v>
      </c>
    </row>
    <row r="293">
      <c r="C293" s="4" t="s">
        <v>397</v>
      </c>
      <c r="D293" s="4" t="str">
        <f t="shared" si="1"/>
        <v>{"valorA":"muito","valorB":14.0}</v>
      </c>
      <c r="E293" s="8" t="str">
        <f t="shared" si="2"/>
        <v>muito</v>
      </c>
      <c r="F293" s="8"/>
      <c r="G293" s="8" t="str">
        <f t="shared" si="3"/>
        <v>14.0</v>
      </c>
      <c r="H293" s="9">
        <f t="shared" si="4"/>
        <v>14</v>
      </c>
      <c r="I293" s="6" t="str">
        <f>IFERROR(__xludf.DUMMYFUNCTION("MAX(FILTER($H:$H,$E:$E=F293))"),"#N/A")</f>
        <v>#N/A</v>
      </c>
    </row>
    <row r="294">
      <c r="C294" s="4" t="s">
        <v>4512</v>
      </c>
      <c r="D294" s="4" t="str">
        <f t="shared" si="1"/>
        <v>{"valorA":"adoraria","valorB":1.0}</v>
      </c>
      <c r="E294" s="8" t="str">
        <f t="shared" si="2"/>
        <v>adoraria</v>
      </c>
      <c r="F294" s="8"/>
      <c r="G294" s="8" t="str">
        <f t="shared" si="3"/>
        <v>1.0</v>
      </c>
      <c r="H294" s="9">
        <f t="shared" si="4"/>
        <v>1</v>
      </c>
      <c r="I294" s="6" t="str">
        <f>IFERROR(__xludf.DUMMYFUNCTION("MAX(FILTER($H:$H,$E:$E=F294))"),"#N/A")</f>
        <v>#N/A</v>
      </c>
    </row>
    <row r="295">
      <c r="C295" s="4" t="s">
        <v>490</v>
      </c>
      <c r="D295" s="4" t="str">
        <f t="shared" si="1"/>
        <v>{"valorA":"funciona","valorB":12.0}</v>
      </c>
      <c r="E295" s="8" t="str">
        <f t="shared" si="2"/>
        <v>funciona</v>
      </c>
      <c r="F295" s="8"/>
      <c r="G295" s="8" t="str">
        <f t="shared" si="3"/>
        <v>12.0</v>
      </c>
      <c r="H295" s="9">
        <f t="shared" si="4"/>
        <v>12</v>
      </c>
      <c r="I295" s="6" t="str">
        <f>IFERROR(__xludf.DUMMYFUNCTION("MAX(FILTER($H:$H,$E:$E=F295))"),"#N/A")</f>
        <v>#N/A</v>
      </c>
    </row>
    <row r="296">
      <c r="C296" s="4" t="s">
        <v>619</v>
      </c>
      <c r="D296" s="4" t="str">
        <f t="shared" si="1"/>
        <v>{"valorA":"um","valorB":1.0}</v>
      </c>
      <c r="E296" s="8" t="str">
        <f t="shared" si="2"/>
        <v>um</v>
      </c>
      <c r="F296" s="8"/>
      <c r="G296" s="8" t="str">
        <f t="shared" si="3"/>
        <v>1.0</v>
      </c>
      <c r="H296" s="9">
        <f t="shared" si="4"/>
        <v>1</v>
      </c>
      <c r="I296" s="6" t="str">
        <f>IFERROR(__xludf.DUMMYFUNCTION("MAX(FILTER($H:$H,$E:$E=F296))"),"#N/A")</f>
        <v>#N/A</v>
      </c>
    </row>
    <row r="297">
      <c r="C297" s="4" t="s">
        <v>454</v>
      </c>
      <c r="D297" s="4" t="str">
        <f t="shared" si="1"/>
        <v>{"valorA":"é","valorB":13.0}</v>
      </c>
      <c r="E297" s="8" t="str">
        <f t="shared" si="2"/>
        <v>é</v>
      </c>
      <c r="F297" s="8"/>
      <c r="G297" s="8" t="str">
        <f t="shared" si="3"/>
        <v>13.0</v>
      </c>
      <c r="H297" s="9">
        <f t="shared" si="4"/>
        <v>13</v>
      </c>
      <c r="I297" s="6" t="str">
        <f>IFERROR(__xludf.DUMMYFUNCTION("MAX(FILTER($H:$H,$E:$E=F297))"),"#N/A")</f>
        <v>#N/A</v>
      </c>
    </row>
    <row r="298">
      <c r="C298" s="4" t="s">
        <v>852</v>
      </c>
      <c r="D298" s="4" t="str">
        <f t="shared" si="1"/>
        <v>{"valorA":"meu","valorB":7.0}</v>
      </c>
      <c r="E298" s="8" t="str">
        <f t="shared" si="2"/>
        <v>meu</v>
      </c>
      <c r="F298" s="8"/>
      <c r="G298" s="8" t="str">
        <f t="shared" si="3"/>
        <v>7.0</v>
      </c>
      <c r="H298" s="9">
        <f t="shared" si="4"/>
        <v>7</v>
      </c>
      <c r="I298" s="6" t="str">
        <f>IFERROR(__xludf.DUMMYFUNCTION("MAX(FILTER($H:$H,$E:$E=F298))"),"#N/A")</f>
        <v>#N/A</v>
      </c>
    </row>
    <row r="299">
      <c r="C299" s="4" t="s">
        <v>348</v>
      </c>
      <c r="D299" s="4" t="str">
        <f t="shared" si="1"/>
        <v>{"valorA":"bem","valorB":8.0}</v>
      </c>
      <c r="E299" s="8" t="str">
        <f t="shared" si="2"/>
        <v>bem</v>
      </c>
      <c r="F299" s="8"/>
      <c r="G299" s="8" t="str">
        <f t="shared" si="3"/>
        <v>8.0</v>
      </c>
      <c r="H299" s="9">
        <f t="shared" si="4"/>
        <v>8</v>
      </c>
      <c r="I299" s="6" t="str">
        <f>IFERROR(__xludf.DUMMYFUNCTION("MAX(FILTER($H:$H,$E:$E=F299))"),"#N/A")</f>
        <v>#N/A</v>
      </c>
    </row>
    <row r="300">
      <c r="C300" s="4" t="s">
        <v>1264</v>
      </c>
      <c r="D300" s="4" t="str">
        <f t="shared" si="1"/>
        <v>{"valorA":"incrível","valorB":5.0}</v>
      </c>
      <c r="E300" s="8" t="str">
        <f t="shared" si="2"/>
        <v>incrível</v>
      </c>
      <c r="F300" s="8"/>
      <c r="G300" s="8" t="str">
        <f t="shared" si="3"/>
        <v>5.0</v>
      </c>
      <c r="H300" s="9">
        <f t="shared" si="4"/>
        <v>5</v>
      </c>
      <c r="I300" s="6" t="str">
        <f>IFERROR(__xludf.DUMMYFUNCTION("MAX(FILTER($H:$H,$E:$E=F300))"),"#N/A")</f>
        <v>#N/A</v>
      </c>
    </row>
    <row r="301">
      <c r="C301" s="4" t="s">
        <v>269</v>
      </c>
      <c r="D301" s="4" t="str">
        <f t="shared" si="1"/>
        <v>{"valorA":"me","valorB":1.0}</v>
      </c>
      <c r="E301" s="8" t="str">
        <f t="shared" si="2"/>
        <v>me</v>
      </c>
      <c r="F301" s="8"/>
      <c r="G301" s="8" t="str">
        <f t="shared" si="3"/>
        <v>1.0</v>
      </c>
      <c r="H301" s="9">
        <f t="shared" si="4"/>
        <v>1</v>
      </c>
      <c r="I301" s="6" t="str">
        <f>IFERROR(__xludf.DUMMYFUNCTION("MAX(FILTER($H:$H,$E:$E=F301))"),"#N/A")</f>
        <v>#N/A</v>
      </c>
    </row>
    <row r="302">
      <c r="C302" s="4" t="s">
        <v>846</v>
      </c>
      <c r="D302" s="4" t="str">
        <f t="shared" si="1"/>
        <v>{"valorA":"e","valorB":15.0}</v>
      </c>
      <c r="E302" s="8" t="str">
        <f t="shared" si="2"/>
        <v>e</v>
      </c>
      <c r="F302" s="8"/>
      <c r="G302" s="8" t="str">
        <f t="shared" si="3"/>
        <v>15.0</v>
      </c>
      <c r="H302" s="9">
        <f t="shared" si="4"/>
        <v>15</v>
      </c>
      <c r="I302" s="6" t="str">
        <f>IFERROR(__xludf.DUMMYFUNCTION("MAX(FILTER($H:$H,$E:$E=F302))"),"#N/A")</f>
        <v>#N/A</v>
      </c>
    </row>
    <row r="303">
      <c r="C303" s="4" t="s">
        <v>352</v>
      </c>
      <c r="D303" s="4" t="str">
        <f t="shared" si="1"/>
        <v>{"valorA":"on","valorB":1.0}</v>
      </c>
      <c r="E303" s="8" t="str">
        <f t="shared" si="2"/>
        <v>on</v>
      </c>
      <c r="F303" s="8"/>
      <c r="G303" s="8" t="str">
        <f t="shared" si="3"/>
        <v>1.0</v>
      </c>
      <c r="H303" s="9">
        <f t="shared" si="4"/>
        <v>1</v>
      </c>
      <c r="I303" s="6" t="str">
        <f>IFERROR(__xludf.DUMMYFUNCTION("MAX(FILTER($H:$H,$E:$E=F303))"),"#N/A")</f>
        <v>#N/A</v>
      </c>
    </row>
    <row r="304">
      <c r="C304" s="4" t="s">
        <v>390</v>
      </c>
      <c r="D304" s="4" t="str">
        <f t="shared" si="1"/>
        <v>{"valorA":"carro","valorB":3.0}</v>
      </c>
      <c r="E304" s="8" t="str">
        <f t="shared" si="2"/>
        <v>carro</v>
      </c>
      <c r="F304" s="8"/>
      <c r="G304" s="8" t="str">
        <f t="shared" si="3"/>
        <v>3.0</v>
      </c>
      <c r="H304" s="9">
        <f t="shared" si="4"/>
        <v>3</v>
      </c>
      <c r="I304" s="6" t="str">
        <f>IFERROR(__xludf.DUMMYFUNCTION("MAX(FILTER($H:$H,$E:$E=F304))"),"#N/A")</f>
        <v>#N/A</v>
      </c>
    </row>
    <row r="305">
      <c r="C305" s="4" t="s">
        <v>818</v>
      </c>
      <c r="D305" s="4" t="str">
        <f t="shared" si="1"/>
        <v>{"valorA":"produto","valorB":31.0}</v>
      </c>
      <c r="E305" s="8" t="str">
        <f t="shared" si="2"/>
        <v>produto</v>
      </c>
      <c r="F305" s="8"/>
      <c r="G305" s="8" t="str">
        <f t="shared" si="3"/>
        <v>31.0</v>
      </c>
      <c r="H305" s="9">
        <f t="shared" si="4"/>
        <v>31</v>
      </c>
      <c r="I305" s="6" t="str">
        <f>IFERROR(__xludf.DUMMYFUNCTION("MAX(FILTER($H:$H,$E:$E=F305))"),"#N/A")</f>
        <v>#N/A</v>
      </c>
    </row>
    <row r="306">
      <c r="C306" s="4" t="s">
        <v>835</v>
      </c>
      <c r="D306" s="4" t="str">
        <f t="shared" si="1"/>
        <v>{"valorA":"ótimo","valorB":46.0}</v>
      </c>
      <c r="E306" s="8" t="str">
        <f t="shared" si="2"/>
        <v>ótimo</v>
      </c>
      <c r="F306" s="8"/>
      <c r="G306" s="8" t="str">
        <f t="shared" si="3"/>
        <v>46.0</v>
      </c>
      <c r="H306" s="9">
        <f t="shared" si="4"/>
        <v>46</v>
      </c>
      <c r="I306" s="6" t="str">
        <f>IFERROR(__xludf.DUMMYFUNCTION("MAX(FILTER($H:$H,$E:$E=F306))"),"#N/A")</f>
        <v>#N/A</v>
      </c>
    </row>
    <row r="307">
      <c r="C307" s="4" t="s">
        <v>1160</v>
      </c>
      <c r="D307" s="4" t="str">
        <f t="shared" si="1"/>
        <v>{"valorA":"no","valorB":1.0}</v>
      </c>
      <c r="E307" s="8" t="str">
        <f t="shared" si="2"/>
        <v>no</v>
      </c>
      <c r="F307" s="8"/>
      <c r="G307" s="8" t="str">
        <f t="shared" si="3"/>
        <v>1.0</v>
      </c>
      <c r="H307" s="9">
        <f t="shared" si="4"/>
        <v>1</v>
      </c>
      <c r="I307" s="6" t="str">
        <f>IFERROR(__xludf.DUMMYFUNCTION("MAX(FILTER($H:$H,$E:$E=F307))"),"#N/A")</f>
        <v>#N/A</v>
      </c>
    </row>
    <row r="308">
      <c r="C308" s="4" t="s">
        <v>1283</v>
      </c>
      <c r="D308" s="4" t="str">
        <f t="shared" si="1"/>
        <v>{"valorA":"realmente","valorB":5.0}</v>
      </c>
      <c r="E308" s="8" t="str">
        <f t="shared" si="2"/>
        <v>realmente</v>
      </c>
      <c r="F308" s="8"/>
      <c r="G308" s="8" t="str">
        <f t="shared" si="3"/>
        <v>5.0</v>
      </c>
      <c r="H308" s="9">
        <f t="shared" si="4"/>
        <v>5</v>
      </c>
      <c r="I308" s="6" t="str">
        <f>IFERROR(__xludf.DUMMYFUNCTION("MAX(FILTER($H:$H,$E:$E=F308))"),"#N/A")</f>
        <v>#N/A</v>
      </c>
    </row>
    <row r="309">
      <c r="C309" s="4" t="s">
        <v>432</v>
      </c>
      <c r="D309" s="4" t="str">
        <f t="shared" si="1"/>
        <v>{"valorA":"muito","valorB":15.0}</v>
      </c>
      <c r="E309" s="8" t="str">
        <f t="shared" si="2"/>
        <v>muito</v>
      </c>
      <c r="F309" s="8"/>
      <c r="G309" s="8" t="str">
        <f t="shared" si="3"/>
        <v>15.0</v>
      </c>
      <c r="H309" s="9">
        <f t="shared" si="4"/>
        <v>15</v>
      </c>
      <c r="I309" s="6" t="str">
        <f>IFERROR(__xludf.DUMMYFUNCTION("MAX(FILTER($H:$H,$E:$E=F309))"),"#N/A")</f>
        <v>#N/A</v>
      </c>
    </row>
    <row r="310">
      <c r="C310" s="4" t="s">
        <v>1297</v>
      </c>
      <c r="D310" s="4" t="str">
        <f t="shared" si="1"/>
        <v>{"valorA":"essa","valorB":5.0}</v>
      </c>
      <c r="E310" s="8" t="str">
        <f t="shared" si="2"/>
        <v>essa</v>
      </c>
      <c r="F310" s="8"/>
      <c r="G310" s="8" t="str">
        <f t="shared" si="3"/>
        <v>5.0</v>
      </c>
      <c r="H310" s="9">
        <f t="shared" si="4"/>
        <v>5</v>
      </c>
      <c r="I310" s="6" t="str">
        <f>IFERROR(__xludf.DUMMYFUNCTION("MAX(FILTER($H:$H,$E:$E=F310))"),"#N/A")</f>
        <v>#N/A</v>
      </c>
    </row>
    <row r="311">
      <c r="C311" s="4" t="s">
        <v>275</v>
      </c>
      <c r="D311" s="4" t="str">
        <f t="shared" si="1"/>
        <v>{"valorA":"parece","valorB":1.0}</v>
      </c>
      <c r="E311" s="8" t="str">
        <f t="shared" si="2"/>
        <v>parece</v>
      </c>
      <c r="F311" s="8"/>
      <c r="G311" s="8" t="str">
        <f t="shared" si="3"/>
        <v>1.0</v>
      </c>
      <c r="H311" s="9">
        <f t="shared" si="4"/>
        <v>1</v>
      </c>
      <c r="I311" s="6" t="str">
        <f>IFERROR(__xludf.DUMMYFUNCTION("MAX(FILTER($H:$H,$E:$E=F311))"),"#N/A")</f>
        <v>#N/A</v>
      </c>
    </row>
    <row r="312">
      <c r="C312" s="4" t="s">
        <v>1136</v>
      </c>
      <c r="D312" s="4" t="str">
        <f t="shared" si="1"/>
        <v>{"valorA":"confortável","valorB":4.0}</v>
      </c>
      <c r="E312" s="8" t="str">
        <f t="shared" si="2"/>
        <v>confortável</v>
      </c>
      <c r="F312" s="8"/>
      <c r="G312" s="8" t="str">
        <f t="shared" si="3"/>
        <v>4.0</v>
      </c>
      <c r="H312" s="9">
        <f t="shared" si="4"/>
        <v>4</v>
      </c>
      <c r="I312" s="6" t="str">
        <f>IFERROR(__xludf.DUMMYFUNCTION("MAX(FILTER($H:$H,$E:$E=F312))"),"#N/A")</f>
        <v>#N/A</v>
      </c>
    </row>
    <row r="313">
      <c r="C313" s="4" t="s">
        <v>4513</v>
      </c>
      <c r="D313" s="4" t="str">
        <f t="shared" si="1"/>
        <v>{"valorA":"dessa","valorB":4.0}</v>
      </c>
      <c r="E313" s="8" t="str">
        <f t="shared" si="2"/>
        <v>dessa</v>
      </c>
      <c r="F313" s="8"/>
      <c r="G313" s="8" t="str">
        <f t="shared" si="3"/>
        <v>4.0</v>
      </c>
      <c r="H313" s="9">
        <f t="shared" si="4"/>
        <v>4</v>
      </c>
      <c r="I313" s="6" t="str">
        <f>IFERROR(__xludf.DUMMYFUNCTION("MAX(FILTER($H:$H,$E:$E=F313))"),"#N/A")</f>
        <v>#N/A</v>
      </c>
    </row>
    <row r="314">
      <c r="C314" s="4" t="s">
        <v>380</v>
      </c>
      <c r="D314" s="4" t="str">
        <f t="shared" si="1"/>
        <v>{"valorA":"loja","valorB":2.0}</v>
      </c>
      <c r="E314" s="8" t="str">
        <f t="shared" si="2"/>
        <v>loja</v>
      </c>
      <c r="F314" s="8"/>
      <c r="G314" s="8" t="str">
        <f t="shared" si="3"/>
        <v>2.0</v>
      </c>
      <c r="H314" s="9">
        <f t="shared" si="4"/>
        <v>2</v>
      </c>
      <c r="I314" s="6" t="str">
        <f>IFERROR(__xludf.DUMMYFUNCTION("MAX(FILTER($H:$H,$E:$E=F314))"),"#N/A")</f>
        <v>#N/A</v>
      </c>
    </row>
    <row r="315">
      <c r="C315" s="4" t="s">
        <v>362</v>
      </c>
      <c r="D315" s="4" t="str">
        <f t="shared" si="1"/>
        <v>{"valorA":"line","valorB":1.0}</v>
      </c>
      <c r="E315" s="8" t="str">
        <f t="shared" si="2"/>
        <v>line</v>
      </c>
      <c r="F315" s="8"/>
      <c r="G315" s="8" t="str">
        <f t="shared" si="3"/>
        <v>1.0</v>
      </c>
      <c r="H315" s="9">
        <f t="shared" si="4"/>
        <v>1</v>
      </c>
      <c r="I315" s="6" t="str">
        <f>IFERROR(__xludf.DUMMYFUNCTION("MAX(FILTER($H:$H,$E:$E=F315))"),"#N/A")</f>
        <v>#N/A</v>
      </c>
    </row>
    <row r="316">
      <c r="C316" s="4" t="s">
        <v>1138</v>
      </c>
      <c r="D316" s="4" t="str">
        <f t="shared" si="1"/>
        <v>{"valorA":"cadeira","valorB":2.0}</v>
      </c>
      <c r="E316" s="8" t="str">
        <f t="shared" si="2"/>
        <v>cadeira</v>
      </c>
      <c r="F316" s="8"/>
      <c r="G316" s="8" t="str">
        <f t="shared" si="3"/>
        <v>2.0</v>
      </c>
      <c r="H316" s="9">
        <f t="shared" si="4"/>
        <v>2</v>
      </c>
      <c r="I316" s="6" t="str">
        <f>IFERROR(__xludf.DUMMYFUNCTION("MAX(FILTER($H:$H,$E:$E=F316))"),"#N/A")</f>
        <v>#N/A</v>
      </c>
    </row>
    <row r="317">
      <c r="C317" s="4" t="s">
        <v>289</v>
      </c>
      <c r="D317" s="4" t="str">
        <f t="shared" si="1"/>
        <v>{"valorA":"ontem","valorB":1.0}</v>
      </c>
      <c r="E317" s="8" t="str">
        <f t="shared" si="2"/>
        <v>ontem</v>
      </c>
      <c r="F317" s="8"/>
      <c r="G317" s="8" t="str">
        <f t="shared" si="3"/>
        <v>1.0</v>
      </c>
      <c r="H317" s="9">
        <f t="shared" si="4"/>
        <v>1</v>
      </c>
      <c r="I317" s="6" t="str">
        <f>IFERROR(__xludf.DUMMYFUNCTION("MAX(FILTER($H:$H,$E:$E=F317))"),"#N/A")</f>
        <v>#N/A</v>
      </c>
    </row>
    <row r="318">
      <c r="C318" s="4" t="s">
        <v>468</v>
      </c>
      <c r="D318" s="4" t="str">
        <f t="shared" si="1"/>
        <v>{"valorA":"é","valorB":14.0}</v>
      </c>
      <c r="E318" s="8" t="str">
        <f t="shared" si="2"/>
        <v>é</v>
      </c>
      <c r="F318" s="8"/>
      <c r="G318" s="8" t="str">
        <f t="shared" si="3"/>
        <v>14.0</v>
      </c>
      <c r="H318" s="9">
        <f t="shared" si="4"/>
        <v>14</v>
      </c>
      <c r="I318" s="6" t="str">
        <f>IFERROR(__xludf.DUMMYFUNCTION("MAX(FILTER($H:$H,$E:$E=F318))"),"#N/A")</f>
        <v>#N/A</v>
      </c>
    </row>
    <row r="319">
      <c r="C319" s="4" t="s">
        <v>291</v>
      </c>
      <c r="D319" s="4" t="str">
        <f t="shared" si="1"/>
        <v>{"valorA":"comprei","valorB":1.0}</v>
      </c>
      <c r="E319" s="8" t="str">
        <f t="shared" si="2"/>
        <v>comprei</v>
      </c>
      <c r="F319" s="8"/>
      <c r="G319" s="8" t="str">
        <f t="shared" si="3"/>
        <v>1.0</v>
      </c>
      <c r="H319" s="9">
        <f t="shared" si="4"/>
        <v>1</v>
      </c>
      <c r="I319" s="6" t="str">
        <f>IFERROR(__xludf.DUMMYFUNCTION("MAX(FILTER($H:$H,$E:$E=F319))"),"#N/A")</f>
        <v>#N/A</v>
      </c>
    </row>
    <row r="320">
      <c r="C320" s="4" t="s">
        <v>181</v>
      </c>
      <c r="D320" s="4" t="str">
        <f t="shared" si="1"/>
        <v>{"valorA":"facil","valorB":1.0}</v>
      </c>
      <c r="E320" s="8" t="str">
        <f t="shared" si="2"/>
        <v>facil</v>
      </c>
      <c r="F320" s="8"/>
      <c r="G320" s="8" t="str">
        <f t="shared" si="3"/>
        <v>1.0</v>
      </c>
      <c r="H320" s="9">
        <f t="shared" si="4"/>
        <v>1</v>
      </c>
      <c r="I320" s="6" t="str">
        <f>IFERROR(__xludf.DUMMYFUNCTION("MAX(FILTER($H:$H,$E:$E=F320))"),"#N/A")</f>
        <v>#N/A</v>
      </c>
    </row>
    <row r="321">
      <c r="C321" s="4" t="s">
        <v>845</v>
      </c>
      <c r="D321" s="4" t="str">
        <f t="shared" si="1"/>
        <v>{"valorA":"usar","valorB":7.0}</v>
      </c>
      <c r="E321" s="8" t="str">
        <f t="shared" si="2"/>
        <v>usar</v>
      </c>
      <c r="F321" s="8"/>
      <c r="G321" s="8" t="str">
        <f t="shared" si="3"/>
        <v>7.0</v>
      </c>
      <c r="H321" s="9">
        <f t="shared" si="4"/>
        <v>7</v>
      </c>
      <c r="I321" s="6" t="str">
        <f>IFERROR(__xludf.DUMMYFUNCTION("MAX(FILTER($H:$H,$E:$E=F321))"),"#N/A")</f>
        <v>#N/A</v>
      </c>
    </row>
    <row r="322">
      <c r="C322" s="4" t="s">
        <v>861</v>
      </c>
      <c r="D322" s="4" t="str">
        <f t="shared" si="1"/>
        <v>{"valorA":"e","valorB":16.0}</v>
      </c>
      <c r="E322" s="8" t="str">
        <f t="shared" si="2"/>
        <v>e</v>
      </c>
      <c r="F322" s="8"/>
      <c r="G322" s="8" t="str">
        <f t="shared" si="3"/>
        <v>16.0</v>
      </c>
      <c r="H322" s="9">
        <f t="shared" si="4"/>
        <v>16</v>
      </c>
      <c r="I322" s="6" t="str">
        <f>IFERROR(__xludf.DUMMYFUNCTION("MAX(FILTER($H:$H,$E:$E=F322))"),"#N/A")</f>
        <v>#N/A</v>
      </c>
    </row>
    <row r="323">
      <c r="C323" s="4" t="s">
        <v>847</v>
      </c>
      <c r="D323" s="4" t="str">
        <f t="shared" si="1"/>
        <v>{"valorA":"de","valorB":15.0}</v>
      </c>
      <c r="E323" s="8" t="str">
        <f t="shared" si="2"/>
        <v>de</v>
      </c>
      <c r="F323" s="8"/>
      <c r="G323" s="8" t="str">
        <f t="shared" si="3"/>
        <v>15.0</v>
      </c>
      <c r="H323" s="9">
        <f t="shared" si="4"/>
        <v>15</v>
      </c>
      <c r="I323" s="6" t="str">
        <f>IFERROR(__xludf.DUMMYFUNCTION("MAX(FILTER($H:$H,$E:$E=F323))"),"#N/A")</f>
        <v>#N/A</v>
      </c>
    </row>
    <row r="324">
      <c r="C324" s="4" t="s">
        <v>188</v>
      </c>
      <c r="D324" s="4" t="str">
        <f t="shared" si="1"/>
        <v>{"valorA":"rápido","valorB":1.0}</v>
      </c>
      <c r="E324" s="8" t="str">
        <f t="shared" si="2"/>
        <v>rápido</v>
      </c>
      <c r="F324" s="8"/>
      <c r="G324" s="8" t="str">
        <f t="shared" si="3"/>
        <v>1.0</v>
      </c>
      <c r="H324" s="9">
        <f t="shared" si="4"/>
        <v>1</v>
      </c>
      <c r="I324" s="6" t="str">
        <f>IFERROR(__xludf.DUMMYFUNCTION("MAX(FILTER($H:$H,$E:$E=F324))"),"#N/A")</f>
        <v>#N/A</v>
      </c>
    </row>
    <row r="325">
      <c r="C325" s="4" t="s">
        <v>698</v>
      </c>
      <c r="D325" s="4" t="str">
        <f t="shared" si="1"/>
        <v>{"valorA":"que","valorB":5.0}</v>
      </c>
      <c r="E325" s="8" t="str">
        <f t="shared" si="2"/>
        <v>que</v>
      </c>
      <c r="F325" s="8"/>
      <c r="G325" s="8" t="str">
        <f t="shared" si="3"/>
        <v>5.0</v>
      </c>
      <c r="H325" s="9">
        <f t="shared" si="4"/>
        <v>5</v>
      </c>
      <c r="I325" s="6" t="str">
        <f>IFERROR(__xludf.DUMMYFUNCTION("MAX(FILTER($H:$H,$E:$E=F325))"),"#N/A")</f>
        <v>#N/A</v>
      </c>
    </row>
    <row r="326">
      <c r="C326" s="4" t="s">
        <v>482</v>
      </c>
      <c r="D326" s="4" t="str">
        <f t="shared" si="1"/>
        <v>{"valorA":"produto","valorB":33.0}</v>
      </c>
      <c r="E326" s="8" t="str">
        <f t="shared" si="2"/>
        <v>produto</v>
      </c>
      <c r="F326" s="8"/>
      <c r="G326" s="8" t="str">
        <f t="shared" si="3"/>
        <v>33.0</v>
      </c>
      <c r="H326" s="9">
        <f t="shared" si="4"/>
        <v>33</v>
      </c>
      <c r="I326" s="6" t="str">
        <f>IFERROR(__xludf.DUMMYFUNCTION("MAX(FILTER($H:$H,$E:$E=F326))"),"#N/A")</f>
        <v>#N/A</v>
      </c>
    </row>
    <row r="327">
      <c r="C327" s="4" t="s">
        <v>858</v>
      </c>
      <c r="D327" s="4" t="str">
        <f t="shared" si="1"/>
        <v>{"valorA":"ótimo","valorB":48.0}</v>
      </c>
      <c r="E327" s="8" t="str">
        <f t="shared" si="2"/>
        <v>ótimo</v>
      </c>
      <c r="F327" s="8"/>
      <c r="G327" s="8" t="str">
        <f t="shared" si="3"/>
        <v>48.0</v>
      </c>
      <c r="H327" s="9">
        <f t="shared" si="4"/>
        <v>48</v>
      </c>
      <c r="I327" s="6" t="str">
        <f>IFERROR(__xludf.DUMMYFUNCTION("MAX(FILTER($H:$H,$E:$E=F327))"),"#N/A")</f>
        <v>#N/A</v>
      </c>
    </row>
    <row r="328">
      <c r="C328" s="4" t="s">
        <v>4514</v>
      </c>
      <c r="D328" s="4" t="str">
        <f t="shared" si="1"/>
        <v>{"valorA":"laptops","valorB":1.0}</v>
      </c>
      <c r="E328" s="8" t="str">
        <f t="shared" si="2"/>
        <v>laptops</v>
      </c>
      <c r="F328" s="8"/>
      <c r="G328" s="8" t="str">
        <f t="shared" si="3"/>
        <v>1.0</v>
      </c>
      <c r="H328" s="9">
        <f t="shared" si="4"/>
        <v>1</v>
      </c>
      <c r="I328" s="6" t="str">
        <f>IFERROR(__xludf.DUMMYFUNCTION("MAX(FILTER($H:$H,$E:$E=F328))"),"#N/A")</f>
        <v>#N/A</v>
      </c>
    </row>
    <row r="329">
      <c r="C329" s="4" t="s">
        <v>487</v>
      </c>
      <c r="D329" s="4" t="str">
        <f t="shared" si="1"/>
        <v>{"valorA":"esse","valorB":8.0}</v>
      </c>
      <c r="E329" s="8" t="str">
        <f t="shared" si="2"/>
        <v>esse</v>
      </c>
      <c r="F329" s="8"/>
      <c r="G329" s="8" t="str">
        <f t="shared" si="3"/>
        <v>8.0</v>
      </c>
      <c r="H329" s="9">
        <f t="shared" si="4"/>
        <v>8</v>
      </c>
      <c r="I329" s="6" t="str">
        <f>IFERROR(__xludf.DUMMYFUNCTION("MAX(FILTER($H:$H,$E:$E=F329))"),"#N/A")</f>
        <v>#N/A</v>
      </c>
    </row>
    <row r="330">
      <c r="C330" s="4" t="s">
        <v>1189</v>
      </c>
      <c r="D330" s="4" t="str">
        <f t="shared" si="1"/>
        <v>{"valorA":"perfeitamente","valorB":10.0}</v>
      </c>
      <c r="E330" s="8" t="str">
        <f t="shared" si="2"/>
        <v>perfeitamente</v>
      </c>
      <c r="F330" s="8"/>
      <c r="G330" s="8" t="str">
        <f t="shared" si="3"/>
        <v>10.0</v>
      </c>
      <c r="H330" s="9">
        <f t="shared" si="4"/>
        <v>10</v>
      </c>
      <c r="I330" s="6" t="str">
        <f>IFERROR(__xludf.DUMMYFUNCTION("MAX(FILTER($H:$H,$E:$E=F330))"),"#N/A")</f>
        <v>#N/A</v>
      </c>
    </row>
    <row r="331">
      <c r="C331" s="4" t="s">
        <v>1323</v>
      </c>
      <c r="D331" s="4" t="str">
        <f t="shared" si="1"/>
        <v>{"valorA":"muito","valorB":17.0}</v>
      </c>
      <c r="E331" s="8" t="str">
        <f t="shared" si="2"/>
        <v>muito</v>
      </c>
      <c r="F331" s="8"/>
      <c r="G331" s="8" t="str">
        <f t="shared" si="3"/>
        <v>17.0</v>
      </c>
      <c r="H331" s="9">
        <f t="shared" si="4"/>
        <v>17</v>
      </c>
      <c r="I331" s="6" t="str">
        <f>IFERROR(__xludf.DUMMYFUNCTION("MAX(FILTER($H:$H,$E:$E=F331))"),"#N/A")</f>
        <v>#N/A</v>
      </c>
    </row>
    <row r="332">
      <c r="C332" s="4" t="s">
        <v>4515</v>
      </c>
      <c r="D332" s="4" t="str">
        <f t="shared" si="1"/>
        <v>{"valorA":"recomendável","valorB":1.0}</v>
      </c>
      <c r="E332" s="8" t="str">
        <f t="shared" si="2"/>
        <v>recomendável</v>
      </c>
      <c r="F332" s="8"/>
      <c r="G332" s="8" t="str">
        <f t="shared" si="3"/>
        <v>1.0</v>
      </c>
      <c r="H332" s="9">
        <f t="shared" si="4"/>
        <v>1</v>
      </c>
      <c r="I332" s="6" t="str">
        <f>IFERROR(__xludf.DUMMYFUNCTION("MAX(FILTER($H:$H,$E:$E=F332))"),"#N/A")</f>
        <v>#N/A</v>
      </c>
    </row>
    <row r="333">
      <c r="C333" s="4" t="s">
        <v>1180</v>
      </c>
      <c r="D333" s="4" t="str">
        <f t="shared" si="1"/>
        <v>{"valorA":"funciona","valorB":13.0}</v>
      </c>
      <c r="E333" s="8" t="str">
        <f t="shared" si="2"/>
        <v>funciona</v>
      </c>
      <c r="F333" s="8"/>
      <c r="G333" s="8" t="str">
        <f t="shared" si="3"/>
        <v>13.0</v>
      </c>
      <c r="H333" s="9">
        <f t="shared" si="4"/>
        <v>13</v>
      </c>
      <c r="I333" s="6" t="str">
        <f>IFERROR(__xludf.DUMMYFUNCTION("MAX(FILTER($H:$H,$E:$E=F333))"),"#N/A")</f>
        <v>#N/A</v>
      </c>
    </row>
    <row r="334">
      <c r="C334" s="4" t="s">
        <v>365</v>
      </c>
      <c r="D334" s="4" t="str">
        <f t="shared" si="1"/>
        <v>{"valorA":"online","valorB":3.0}</v>
      </c>
      <c r="E334" s="8" t="str">
        <f t="shared" si="2"/>
        <v>online</v>
      </c>
      <c r="F334" s="8"/>
      <c r="G334" s="8" t="str">
        <f t="shared" si="3"/>
        <v>3.0</v>
      </c>
      <c r="H334" s="9">
        <f t="shared" si="4"/>
        <v>3</v>
      </c>
      <c r="I334" s="6" t="str">
        <f>IFERROR(__xludf.DUMMYFUNCTION("MAX(FILTER($H:$H,$E:$E=F334))"),"#N/A")</f>
        <v>#N/A</v>
      </c>
    </row>
    <row r="335">
      <c r="C335" s="4" t="s">
        <v>863</v>
      </c>
      <c r="D335" s="4" t="str">
        <f t="shared" si="1"/>
        <v>{"valorA":"produto","valorB":34.0}</v>
      </c>
      <c r="E335" s="8" t="str">
        <f t="shared" si="2"/>
        <v>produto</v>
      </c>
      <c r="F335" s="8"/>
      <c r="G335" s="8" t="str">
        <f t="shared" si="3"/>
        <v>34.0</v>
      </c>
      <c r="H335" s="9">
        <f t="shared" si="4"/>
        <v>34</v>
      </c>
      <c r="I335" s="6" t="str">
        <f>IFERROR(__xludf.DUMMYFUNCTION("MAX(FILTER($H:$H,$E:$E=F335))"),"#N/A")</f>
        <v>#N/A</v>
      </c>
    </row>
    <row r="336">
      <c r="C336" s="4" t="s">
        <v>494</v>
      </c>
      <c r="D336" s="4" t="str">
        <f t="shared" si="1"/>
        <v>{"valorA":"ótimo","valorB":49.0}</v>
      </c>
      <c r="E336" s="8" t="str">
        <f t="shared" si="2"/>
        <v>ótimo</v>
      </c>
      <c r="F336" s="8"/>
      <c r="G336" s="8" t="str">
        <f t="shared" si="3"/>
        <v>49.0</v>
      </c>
      <c r="H336" s="9">
        <f t="shared" si="4"/>
        <v>49</v>
      </c>
      <c r="I336" s="6" t="str">
        <f>IFERROR(__xludf.DUMMYFUNCTION("MAX(FILTER($H:$H,$E:$E=F336))"),"#N/A")</f>
        <v>#N/A</v>
      </c>
    </row>
    <row r="337">
      <c r="C337" s="4" t="s">
        <v>4516</v>
      </c>
      <c r="D337" s="4" t="str">
        <f t="shared" si="1"/>
        <v>{"valorA":"perfeitamente","valorB":11.0}</v>
      </c>
      <c r="E337" s="8" t="str">
        <f t="shared" si="2"/>
        <v>perfeitamente</v>
      </c>
      <c r="F337" s="8"/>
      <c r="G337" s="8" t="str">
        <f t="shared" si="3"/>
        <v>11.0</v>
      </c>
      <c r="H337" s="9">
        <f t="shared" si="4"/>
        <v>11</v>
      </c>
      <c r="I337" s="6" t="str">
        <f>IFERROR(__xludf.DUMMYFUNCTION("MAX(FILTER($H:$H,$E:$E=F337))"),"#N/A")</f>
        <v>#N/A</v>
      </c>
    </row>
    <row r="338">
      <c r="C338" s="4" t="s">
        <v>4517</v>
      </c>
      <c r="D338" s="4" t="str">
        <f t="shared" si="1"/>
        <v>{"valorA":"dessa","valorB":5.0}</v>
      </c>
      <c r="E338" s="8" t="str">
        <f t="shared" si="2"/>
        <v>dessa</v>
      </c>
      <c r="F338" s="8"/>
      <c r="G338" s="8" t="str">
        <f t="shared" si="3"/>
        <v>5.0</v>
      </c>
      <c r="H338" s="9">
        <f t="shared" si="4"/>
        <v>5</v>
      </c>
      <c r="I338" s="6" t="str">
        <f>IFERROR(__xludf.DUMMYFUNCTION("MAX(FILTER($H:$H,$E:$E=F338))"),"#N/A")</f>
        <v>#N/A</v>
      </c>
    </row>
    <row r="339">
      <c r="C339" s="4" t="s">
        <v>4518</v>
      </c>
      <c r="D339" s="4" t="str">
        <f t="shared" si="1"/>
        <v>{"valorA":"loja","valorB":3.0}</v>
      </c>
      <c r="E339" s="8" t="str">
        <f t="shared" si="2"/>
        <v>loja</v>
      </c>
      <c r="F339" s="8"/>
      <c r="G339" s="8" t="str">
        <f t="shared" si="3"/>
        <v>3.0</v>
      </c>
      <c r="H339" s="9">
        <f t="shared" si="4"/>
        <v>3</v>
      </c>
      <c r="I339" s="6" t="str">
        <f>IFERROR(__xludf.DUMMYFUNCTION("MAX(FILTER($H:$H,$E:$E=F339))"),"#N/A")</f>
        <v>#N/A</v>
      </c>
    </row>
    <row r="340">
      <c r="C340" s="4" t="s">
        <v>1191</v>
      </c>
      <c r="D340" s="4" t="str">
        <f t="shared" si="1"/>
        <v>{"valorA":"funciona","valorB":14.0}</v>
      </c>
      <c r="E340" s="8" t="str">
        <f t="shared" si="2"/>
        <v>funciona</v>
      </c>
      <c r="F340" s="8"/>
      <c r="G340" s="8" t="str">
        <f t="shared" si="3"/>
        <v>14.0</v>
      </c>
      <c r="H340" s="9">
        <f t="shared" si="4"/>
        <v>14</v>
      </c>
      <c r="I340" s="6" t="str">
        <f>IFERROR(__xludf.DUMMYFUNCTION("MAX(FILTER($H:$H,$E:$E=F340))"),"#N/A")</f>
        <v>#N/A</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4519</v>
      </c>
      <c r="D1" s="5">
        <v>0.0</v>
      </c>
      <c r="G1" s="19" t="s">
        <v>4013</v>
      </c>
      <c r="H1" s="19" t="s">
        <v>4247</v>
      </c>
    </row>
    <row r="2">
      <c r="A2" s="4" t="s">
        <v>4520</v>
      </c>
      <c r="B2" s="6" t="str">
        <f t="shared" ref="B2:B340" si="1">MID(A2,FIND(":",A2)+1,LEN(A2)-FIND("segundos",A2))</f>
        <v>126.517</v>
      </c>
      <c r="C2" s="6" t="str">
        <f t="shared" ref="C2:C340" si="2">SUBSTITUTE(B2,".",",")</f>
        <v>126,517</v>
      </c>
      <c r="D2" s="6">
        <f t="shared" ref="D2:D340" si="3">VALUE(C2)</f>
        <v>126.517</v>
      </c>
      <c r="E2" s="6">
        <f t="shared" ref="E2:E340" si="4">D2-D1</f>
        <v>126.517</v>
      </c>
      <c r="G2" s="20">
        <f>AVERAGE(E2:E340)</f>
        <v>3.163952802</v>
      </c>
      <c r="H2" s="20">
        <f>STDEV(E2:E340)</f>
        <v>7.459254129</v>
      </c>
    </row>
    <row r="3">
      <c r="A3" s="4" t="s">
        <v>4521</v>
      </c>
      <c r="B3" s="6" t="str">
        <f t="shared" si="1"/>
        <v>142.635</v>
      </c>
      <c r="C3" s="6" t="str">
        <f t="shared" si="2"/>
        <v>142,635</v>
      </c>
      <c r="D3" s="6">
        <f t="shared" si="3"/>
        <v>142.635</v>
      </c>
      <c r="E3" s="6">
        <f t="shared" si="4"/>
        <v>16.118</v>
      </c>
    </row>
    <row r="4">
      <c r="A4" s="4" t="s">
        <v>4522</v>
      </c>
      <c r="B4" s="6" t="str">
        <f t="shared" si="1"/>
        <v>156.904</v>
      </c>
      <c r="C4" s="6" t="str">
        <f t="shared" si="2"/>
        <v>156,904</v>
      </c>
      <c r="D4" s="6">
        <f t="shared" si="3"/>
        <v>156.904</v>
      </c>
      <c r="E4" s="6">
        <f t="shared" si="4"/>
        <v>14.269</v>
      </c>
    </row>
    <row r="5">
      <c r="A5" s="4" t="s">
        <v>4523</v>
      </c>
      <c r="B5" s="6" t="str">
        <f t="shared" si="1"/>
        <v>157.596</v>
      </c>
      <c r="C5" s="6" t="str">
        <f t="shared" si="2"/>
        <v>157,596</v>
      </c>
      <c r="D5" s="6">
        <f t="shared" si="3"/>
        <v>157.596</v>
      </c>
      <c r="E5" s="6">
        <f t="shared" si="4"/>
        <v>0.692</v>
      </c>
    </row>
    <row r="6">
      <c r="A6" s="4" t="s">
        <v>4524</v>
      </c>
      <c r="B6" s="6" t="str">
        <f t="shared" si="1"/>
        <v>160.440</v>
      </c>
      <c r="C6" s="6" t="str">
        <f t="shared" si="2"/>
        <v>160,440</v>
      </c>
      <c r="D6" s="6">
        <f t="shared" si="3"/>
        <v>160.44</v>
      </c>
      <c r="E6" s="6">
        <f t="shared" si="4"/>
        <v>2.844</v>
      </c>
    </row>
    <row r="7">
      <c r="A7" s="4" t="s">
        <v>4525</v>
      </c>
      <c r="B7" s="6" t="str">
        <f t="shared" si="1"/>
        <v>161.885</v>
      </c>
      <c r="C7" s="6" t="str">
        <f t="shared" si="2"/>
        <v>161,885</v>
      </c>
      <c r="D7" s="6">
        <f t="shared" si="3"/>
        <v>161.885</v>
      </c>
      <c r="E7" s="6">
        <f t="shared" si="4"/>
        <v>1.445</v>
      </c>
    </row>
    <row r="8">
      <c r="A8" s="4" t="s">
        <v>4526</v>
      </c>
      <c r="B8" s="6" t="str">
        <f t="shared" si="1"/>
        <v>172.469</v>
      </c>
      <c r="C8" s="6" t="str">
        <f t="shared" si="2"/>
        <v>172,469</v>
      </c>
      <c r="D8" s="6">
        <f t="shared" si="3"/>
        <v>172.469</v>
      </c>
      <c r="E8" s="6">
        <f t="shared" si="4"/>
        <v>10.584</v>
      </c>
    </row>
    <row r="9">
      <c r="A9" s="4" t="s">
        <v>4527</v>
      </c>
      <c r="B9" s="6" t="str">
        <f t="shared" si="1"/>
        <v>172.684</v>
      </c>
      <c r="C9" s="6" t="str">
        <f t="shared" si="2"/>
        <v>172,684</v>
      </c>
      <c r="D9" s="6">
        <f t="shared" si="3"/>
        <v>172.684</v>
      </c>
      <c r="E9" s="6">
        <f t="shared" si="4"/>
        <v>0.215</v>
      </c>
    </row>
    <row r="10">
      <c r="A10" s="4" t="s">
        <v>4528</v>
      </c>
      <c r="B10" s="6" t="str">
        <f t="shared" si="1"/>
        <v>174.660</v>
      </c>
      <c r="C10" s="6" t="str">
        <f t="shared" si="2"/>
        <v>174,660</v>
      </c>
      <c r="D10" s="6">
        <f t="shared" si="3"/>
        <v>174.66</v>
      </c>
      <c r="E10" s="6">
        <f t="shared" si="4"/>
        <v>1.976</v>
      </c>
    </row>
    <row r="11">
      <c r="A11" s="4" t="s">
        <v>4529</v>
      </c>
      <c r="B11" s="6" t="str">
        <f t="shared" si="1"/>
        <v>174.929</v>
      </c>
      <c r="C11" s="6" t="str">
        <f t="shared" si="2"/>
        <v>174,929</v>
      </c>
      <c r="D11" s="6">
        <f t="shared" si="3"/>
        <v>174.929</v>
      </c>
      <c r="E11" s="6">
        <f t="shared" si="4"/>
        <v>0.269</v>
      </c>
    </row>
    <row r="12">
      <c r="A12" s="4" t="s">
        <v>4530</v>
      </c>
      <c r="B12" s="6" t="str">
        <f t="shared" si="1"/>
        <v>175.152</v>
      </c>
      <c r="C12" s="6" t="str">
        <f t="shared" si="2"/>
        <v>175,152</v>
      </c>
      <c r="D12" s="6">
        <f t="shared" si="3"/>
        <v>175.152</v>
      </c>
      <c r="E12" s="6">
        <f t="shared" si="4"/>
        <v>0.223</v>
      </c>
    </row>
    <row r="13">
      <c r="A13" s="4" t="s">
        <v>4531</v>
      </c>
      <c r="B13" s="6" t="str">
        <f t="shared" si="1"/>
        <v>175.376</v>
      </c>
      <c r="C13" s="6" t="str">
        <f t="shared" si="2"/>
        <v>175,376</v>
      </c>
      <c r="D13" s="6">
        <f t="shared" si="3"/>
        <v>175.376</v>
      </c>
      <c r="E13" s="6">
        <f t="shared" si="4"/>
        <v>0.224</v>
      </c>
    </row>
    <row r="14">
      <c r="A14" s="4" t="s">
        <v>4532</v>
      </c>
      <c r="B14" s="6" t="str">
        <f t="shared" si="1"/>
        <v>175.625</v>
      </c>
      <c r="C14" s="6" t="str">
        <f t="shared" si="2"/>
        <v>175,625</v>
      </c>
      <c r="D14" s="6">
        <f t="shared" si="3"/>
        <v>175.625</v>
      </c>
      <c r="E14" s="6">
        <f t="shared" si="4"/>
        <v>0.249</v>
      </c>
    </row>
    <row r="15">
      <c r="A15" s="4" t="s">
        <v>4533</v>
      </c>
      <c r="B15" s="6" t="str">
        <f t="shared" si="1"/>
        <v>176.375</v>
      </c>
      <c r="C15" s="6" t="str">
        <f t="shared" si="2"/>
        <v>176,375</v>
      </c>
      <c r="D15" s="6">
        <f t="shared" si="3"/>
        <v>176.375</v>
      </c>
      <c r="E15" s="6">
        <f t="shared" si="4"/>
        <v>0.75</v>
      </c>
    </row>
    <row r="16">
      <c r="A16" s="4" t="s">
        <v>4534</v>
      </c>
      <c r="B16" s="6" t="str">
        <f t="shared" si="1"/>
        <v>176.678</v>
      </c>
      <c r="C16" s="6" t="str">
        <f t="shared" si="2"/>
        <v>176,678</v>
      </c>
      <c r="D16" s="6">
        <f t="shared" si="3"/>
        <v>176.678</v>
      </c>
      <c r="E16" s="6">
        <f t="shared" si="4"/>
        <v>0.303</v>
      </c>
    </row>
    <row r="17">
      <c r="A17" s="4" t="s">
        <v>4535</v>
      </c>
      <c r="B17" s="6" t="str">
        <f t="shared" si="1"/>
        <v>178.599</v>
      </c>
      <c r="C17" s="6" t="str">
        <f t="shared" si="2"/>
        <v>178,599</v>
      </c>
      <c r="D17" s="6">
        <f t="shared" si="3"/>
        <v>178.599</v>
      </c>
      <c r="E17" s="6">
        <f t="shared" si="4"/>
        <v>1.921</v>
      </c>
    </row>
    <row r="18">
      <c r="A18" s="4" t="s">
        <v>4536</v>
      </c>
      <c r="B18" s="6" t="str">
        <f t="shared" si="1"/>
        <v>179.262</v>
      </c>
      <c r="C18" s="6" t="str">
        <f t="shared" si="2"/>
        <v>179,262</v>
      </c>
      <c r="D18" s="6">
        <f t="shared" si="3"/>
        <v>179.262</v>
      </c>
      <c r="E18" s="6">
        <f t="shared" si="4"/>
        <v>0.663</v>
      </c>
    </row>
    <row r="19">
      <c r="A19" s="4" t="s">
        <v>4537</v>
      </c>
      <c r="B19" s="6" t="str">
        <f t="shared" si="1"/>
        <v>179.900</v>
      </c>
      <c r="C19" s="6" t="str">
        <f t="shared" si="2"/>
        <v>179,900</v>
      </c>
      <c r="D19" s="6">
        <f t="shared" si="3"/>
        <v>179.9</v>
      </c>
      <c r="E19" s="6">
        <f t="shared" si="4"/>
        <v>0.638</v>
      </c>
    </row>
    <row r="20">
      <c r="A20" s="4" t="s">
        <v>4538</v>
      </c>
      <c r="B20" s="6" t="str">
        <f t="shared" si="1"/>
        <v>182.303</v>
      </c>
      <c r="C20" s="6" t="str">
        <f t="shared" si="2"/>
        <v>182,303</v>
      </c>
      <c r="D20" s="6">
        <f t="shared" si="3"/>
        <v>182.303</v>
      </c>
      <c r="E20" s="6">
        <f t="shared" si="4"/>
        <v>2.403</v>
      </c>
    </row>
    <row r="21">
      <c r="A21" s="4" t="s">
        <v>4539</v>
      </c>
      <c r="B21" s="6" t="str">
        <f t="shared" si="1"/>
        <v>184.958</v>
      </c>
      <c r="C21" s="6" t="str">
        <f t="shared" si="2"/>
        <v>184,958</v>
      </c>
      <c r="D21" s="6">
        <f t="shared" si="3"/>
        <v>184.958</v>
      </c>
      <c r="E21" s="6">
        <f t="shared" si="4"/>
        <v>2.655</v>
      </c>
    </row>
    <row r="22">
      <c r="A22" s="4" t="s">
        <v>4540</v>
      </c>
      <c r="B22" s="6" t="str">
        <f t="shared" si="1"/>
        <v>197.097</v>
      </c>
      <c r="C22" s="6" t="str">
        <f t="shared" si="2"/>
        <v>197,097</v>
      </c>
      <c r="D22" s="6">
        <f t="shared" si="3"/>
        <v>197.097</v>
      </c>
      <c r="E22" s="6">
        <f t="shared" si="4"/>
        <v>12.139</v>
      </c>
    </row>
    <row r="23">
      <c r="A23" s="4" t="s">
        <v>4541</v>
      </c>
      <c r="B23" s="6" t="str">
        <f t="shared" si="1"/>
        <v>203.788</v>
      </c>
      <c r="C23" s="6" t="str">
        <f t="shared" si="2"/>
        <v>203,788</v>
      </c>
      <c r="D23" s="6">
        <f t="shared" si="3"/>
        <v>203.788</v>
      </c>
      <c r="E23" s="6">
        <f t="shared" si="4"/>
        <v>6.691</v>
      </c>
    </row>
    <row r="24">
      <c r="A24" s="4" t="s">
        <v>4542</v>
      </c>
      <c r="B24" s="6" t="str">
        <f t="shared" si="1"/>
        <v>215.008</v>
      </c>
      <c r="C24" s="6" t="str">
        <f t="shared" si="2"/>
        <v>215,008</v>
      </c>
      <c r="D24" s="6">
        <f t="shared" si="3"/>
        <v>215.008</v>
      </c>
      <c r="E24" s="6">
        <f t="shared" si="4"/>
        <v>11.22</v>
      </c>
    </row>
    <row r="25">
      <c r="A25" s="4" t="s">
        <v>4543</v>
      </c>
      <c r="B25" s="6" t="str">
        <f t="shared" si="1"/>
        <v>215.407</v>
      </c>
      <c r="C25" s="6" t="str">
        <f t="shared" si="2"/>
        <v>215,407</v>
      </c>
      <c r="D25" s="6">
        <f t="shared" si="3"/>
        <v>215.407</v>
      </c>
      <c r="E25" s="6">
        <f t="shared" si="4"/>
        <v>0.399</v>
      </c>
    </row>
    <row r="26">
      <c r="A26" s="4" t="s">
        <v>4544</v>
      </c>
      <c r="B26" s="6" t="str">
        <f t="shared" si="1"/>
        <v>217.563</v>
      </c>
      <c r="C26" s="6" t="str">
        <f t="shared" si="2"/>
        <v>217,563</v>
      </c>
      <c r="D26" s="6">
        <f t="shared" si="3"/>
        <v>217.563</v>
      </c>
      <c r="E26" s="6">
        <f t="shared" si="4"/>
        <v>2.156</v>
      </c>
    </row>
    <row r="27">
      <c r="A27" s="4" t="s">
        <v>4545</v>
      </c>
      <c r="B27" s="6" t="str">
        <f t="shared" si="1"/>
        <v>218.276</v>
      </c>
      <c r="C27" s="6" t="str">
        <f t="shared" si="2"/>
        <v>218,276</v>
      </c>
      <c r="D27" s="6">
        <f t="shared" si="3"/>
        <v>218.276</v>
      </c>
      <c r="E27" s="6">
        <f t="shared" si="4"/>
        <v>0.713</v>
      </c>
    </row>
    <row r="28">
      <c r="A28" s="4" t="s">
        <v>4546</v>
      </c>
      <c r="B28" s="6" t="str">
        <f t="shared" si="1"/>
        <v>218.654</v>
      </c>
      <c r="C28" s="6" t="str">
        <f t="shared" si="2"/>
        <v>218,654</v>
      </c>
      <c r="D28" s="6">
        <f t="shared" si="3"/>
        <v>218.654</v>
      </c>
      <c r="E28" s="6">
        <f t="shared" si="4"/>
        <v>0.378</v>
      </c>
    </row>
    <row r="29">
      <c r="A29" s="4" t="s">
        <v>4547</v>
      </c>
      <c r="B29" s="6" t="str">
        <f t="shared" si="1"/>
        <v>220.162</v>
      </c>
      <c r="C29" s="6" t="str">
        <f t="shared" si="2"/>
        <v>220,162</v>
      </c>
      <c r="D29" s="6">
        <f t="shared" si="3"/>
        <v>220.162</v>
      </c>
      <c r="E29" s="6">
        <f t="shared" si="4"/>
        <v>1.508</v>
      </c>
    </row>
    <row r="30">
      <c r="A30" s="4" t="s">
        <v>4548</v>
      </c>
      <c r="B30" s="6" t="str">
        <f t="shared" si="1"/>
        <v>220.566</v>
      </c>
      <c r="C30" s="6" t="str">
        <f t="shared" si="2"/>
        <v>220,566</v>
      </c>
      <c r="D30" s="6">
        <f t="shared" si="3"/>
        <v>220.566</v>
      </c>
      <c r="E30" s="6">
        <f t="shared" si="4"/>
        <v>0.404</v>
      </c>
    </row>
    <row r="31">
      <c r="A31" s="4" t="s">
        <v>4549</v>
      </c>
      <c r="B31" s="6" t="str">
        <f t="shared" si="1"/>
        <v>227.910</v>
      </c>
      <c r="C31" s="6" t="str">
        <f t="shared" si="2"/>
        <v>227,910</v>
      </c>
      <c r="D31" s="6">
        <f t="shared" si="3"/>
        <v>227.91</v>
      </c>
      <c r="E31" s="6">
        <f t="shared" si="4"/>
        <v>7.344</v>
      </c>
    </row>
    <row r="32">
      <c r="A32" s="4" t="s">
        <v>4550</v>
      </c>
      <c r="B32" s="6" t="str">
        <f t="shared" si="1"/>
        <v>230.775</v>
      </c>
      <c r="C32" s="6" t="str">
        <f t="shared" si="2"/>
        <v>230,775</v>
      </c>
      <c r="D32" s="6">
        <f t="shared" si="3"/>
        <v>230.775</v>
      </c>
      <c r="E32" s="6">
        <f t="shared" si="4"/>
        <v>2.865</v>
      </c>
    </row>
    <row r="33">
      <c r="A33" s="4" t="s">
        <v>4551</v>
      </c>
      <c r="B33" s="6" t="str">
        <f t="shared" si="1"/>
        <v>232.053</v>
      </c>
      <c r="C33" s="6" t="str">
        <f t="shared" si="2"/>
        <v>232,053</v>
      </c>
      <c r="D33" s="6">
        <f t="shared" si="3"/>
        <v>232.053</v>
      </c>
      <c r="E33" s="6">
        <f t="shared" si="4"/>
        <v>1.278</v>
      </c>
    </row>
    <row r="34">
      <c r="A34" s="4" t="s">
        <v>4552</v>
      </c>
      <c r="B34" s="6" t="str">
        <f t="shared" si="1"/>
        <v>236.512</v>
      </c>
      <c r="C34" s="6" t="str">
        <f t="shared" si="2"/>
        <v>236,512</v>
      </c>
      <c r="D34" s="6">
        <f t="shared" si="3"/>
        <v>236.512</v>
      </c>
      <c r="E34" s="6">
        <f t="shared" si="4"/>
        <v>4.459</v>
      </c>
    </row>
    <row r="35">
      <c r="A35" s="4" t="s">
        <v>4553</v>
      </c>
      <c r="B35" s="6" t="str">
        <f t="shared" si="1"/>
        <v>239.103</v>
      </c>
      <c r="C35" s="6" t="str">
        <f t="shared" si="2"/>
        <v>239,103</v>
      </c>
      <c r="D35" s="6">
        <f t="shared" si="3"/>
        <v>239.103</v>
      </c>
      <c r="E35" s="6">
        <f t="shared" si="4"/>
        <v>2.591</v>
      </c>
    </row>
    <row r="36">
      <c r="A36" s="4" t="s">
        <v>4554</v>
      </c>
      <c r="B36" s="6" t="str">
        <f t="shared" si="1"/>
        <v>246.146</v>
      </c>
      <c r="C36" s="6" t="str">
        <f t="shared" si="2"/>
        <v>246,146</v>
      </c>
      <c r="D36" s="6">
        <f t="shared" si="3"/>
        <v>246.146</v>
      </c>
      <c r="E36" s="6">
        <f t="shared" si="4"/>
        <v>7.043</v>
      </c>
    </row>
    <row r="37">
      <c r="A37" s="4" t="s">
        <v>4555</v>
      </c>
      <c r="B37" s="6" t="str">
        <f t="shared" si="1"/>
        <v>246.708</v>
      </c>
      <c r="C37" s="6" t="str">
        <f t="shared" si="2"/>
        <v>246,708</v>
      </c>
      <c r="D37" s="6">
        <f t="shared" si="3"/>
        <v>246.708</v>
      </c>
      <c r="E37" s="6">
        <f t="shared" si="4"/>
        <v>0.562</v>
      </c>
    </row>
    <row r="38">
      <c r="A38" s="4" t="s">
        <v>4556</v>
      </c>
      <c r="B38" s="6" t="str">
        <f t="shared" si="1"/>
        <v>251.232</v>
      </c>
      <c r="C38" s="6" t="str">
        <f t="shared" si="2"/>
        <v>251,232</v>
      </c>
      <c r="D38" s="6">
        <f t="shared" si="3"/>
        <v>251.232</v>
      </c>
      <c r="E38" s="6">
        <f t="shared" si="4"/>
        <v>4.524</v>
      </c>
    </row>
    <row r="39">
      <c r="A39" s="4" t="s">
        <v>4557</v>
      </c>
      <c r="B39" s="6" t="str">
        <f t="shared" si="1"/>
        <v>253.134</v>
      </c>
      <c r="C39" s="6" t="str">
        <f t="shared" si="2"/>
        <v>253,134</v>
      </c>
      <c r="D39" s="6">
        <f t="shared" si="3"/>
        <v>253.134</v>
      </c>
      <c r="E39" s="6">
        <f t="shared" si="4"/>
        <v>1.902</v>
      </c>
    </row>
    <row r="40">
      <c r="A40" s="4" t="s">
        <v>4558</v>
      </c>
      <c r="B40" s="6" t="str">
        <f t="shared" si="1"/>
        <v>256.046</v>
      </c>
      <c r="C40" s="6" t="str">
        <f t="shared" si="2"/>
        <v>256,046</v>
      </c>
      <c r="D40" s="6">
        <f t="shared" si="3"/>
        <v>256.046</v>
      </c>
      <c r="E40" s="6">
        <f t="shared" si="4"/>
        <v>2.912</v>
      </c>
    </row>
    <row r="41">
      <c r="A41" s="4" t="s">
        <v>4559</v>
      </c>
      <c r="B41" s="6" t="str">
        <f t="shared" si="1"/>
        <v>262.410</v>
      </c>
      <c r="C41" s="6" t="str">
        <f t="shared" si="2"/>
        <v>262,410</v>
      </c>
      <c r="D41" s="6">
        <f t="shared" si="3"/>
        <v>262.41</v>
      </c>
      <c r="E41" s="6">
        <f t="shared" si="4"/>
        <v>6.364</v>
      </c>
    </row>
    <row r="42">
      <c r="A42" s="4" t="s">
        <v>4560</v>
      </c>
      <c r="B42" s="6" t="str">
        <f t="shared" si="1"/>
        <v>262.893</v>
      </c>
      <c r="C42" s="6" t="str">
        <f t="shared" si="2"/>
        <v>262,893</v>
      </c>
      <c r="D42" s="6">
        <f t="shared" si="3"/>
        <v>262.893</v>
      </c>
      <c r="E42" s="6">
        <f t="shared" si="4"/>
        <v>0.483</v>
      </c>
    </row>
    <row r="43">
      <c r="A43" s="4" t="s">
        <v>4561</v>
      </c>
      <c r="B43" s="6" t="str">
        <f t="shared" si="1"/>
        <v>263.456</v>
      </c>
      <c r="C43" s="6" t="str">
        <f t="shared" si="2"/>
        <v>263,456</v>
      </c>
      <c r="D43" s="6">
        <f t="shared" si="3"/>
        <v>263.456</v>
      </c>
      <c r="E43" s="6">
        <f t="shared" si="4"/>
        <v>0.563</v>
      </c>
    </row>
    <row r="44">
      <c r="A44" s="4" t="s">
        <v>4562</v>
      </c>
      <c r="B44" s="6" t="str">
        <f t="shared" si="1"/>
        <v>263.900</v>
      </c>
      <c r="C44" s="6" t="str">
        <f t="shared" si="2"/>
        <v>263,900</v>
      </c>
      <c r="D44" s="6">
        <f t="shared" si="3"/>
        <v>263.9</v>
      </c>
      <c r="E44" s="6">
        <f t="shared" si="4"/>
        <v>0.444</v>
      </c>
    </row>
    <row r="45">
      <c r="A45" s="4" t="s">
        <v>4563</v>
      </c>
      <c r="B45" s="6" t="str">
        <f t="shared" si="1"/>
        <v>264.312</v>
      </c>
      <c r="C45" s="6" t="str">
        <f t="shared" si="2"/>
        <v>264,312</v>
      </c>
      <c r="D45" s="6">
        <f t="shared" si="3"/>
        <v>264.312</v>
      </c>
      <c r="E45" s="6">
        <f t="shared" si="4"/>
        <v>0.412</v>
      </c>
    </row>
    <row r="46">
      <c r="A46" s="4" t="s">
        <v>4564</v>
      </c>
      <c r="B46" s="6" t="str">
        <f t="shared" si="1"/>
        <v>267.099</v>
      </c>
      <c r="C46" s="6" t="str">
        <f t="shared" si="2"/>
        <v>267,099</v>
      </c>
      <c r="D46" s="6">
        <f t="shared" si="3"/>
        <v>267.099</v>
      </c>
      <c r="E46" s="6">
        <f t="shared" si="4"/>
        <v>2.787</v>
      </c>
    </row>
    <row r="47">
      <c r="A47" s="4" t="s">
        <v>4565</v>
      </c>
      <c r="B47" s="6" t="str">
        <f t="shared" si="1"/>
        <v>268.592</v>
      </c>
      <c r="C47" s="6" t="str">
        <f t="shared" si="2"/>
        <v>268,592</v>
      </c>
      <c r="D47" s="6">
        <f t="shared" si="3"/>
        <v>268.592</v>
      </c>
      <c r="E47" s="6">
        <f t="shared" si="4"/>
        <v>1.493</v>
      </c>
    </row>
    <row r="48">
      <c r="A48" s="4" t="s">
        <v>4566</v>
      </c>
      <c r="B48" s="6" t="str">
        <f t="shared" si="1"/>
        <v>269.090</v>
      </c>
      <c r="C48" s="6" t="str">
        <f t="shared" si="2"/>
        <v>269,090</v>
      </c>
      <c r="D48" s="6">
        <f t="shared" si="3"/>
        <v>269.09</v>
      </c>
      <c r="E48" s="6">
        <f t="shared" si="4"/>
        <v>0.498</v>
      </c>
    </row>
    <row r="49">
      <c r="A49" s="4" t="s">
        <v>4567</v>
      </c>
      <c r="B49" s="6" t="str">
        <f t="shared" si="1"/>
        <v>270.438</v>
      </c>
      <c r="C49" s="6" t="str">
        <f t="shared" si="2"/>
        <v>270,438</v>
      </c>
      <c r="D49" s="6">
        <f t="shared" si="3"/>
        <v>270.438</v>
      </c>
      <c r="E49" s="6">
        <f t="shared" si="4"/>
        <v>1.348</v>
      </c>
    </row>
    <row r="50">
      <c r="A50" s="4" t="s">
        <v>4568</v>
      </c>
      <c r="B50" s="6" t="str">
        <f t="shared" si="1"/>
        <v>271.242</v>
      </c>
      <c r="C50" s="6" t="str">
        <f t="shared" si="2"/>
        <v>271,242</v>
      </c>
      <c r="D50" s="6">
        <f t="shared" si="3"/>
        <v>271.242</v>
      </c>
      <c r="E50" s="6">
        <f t="shared" si="4"/>
        <v>0.804</v>
      </c>
    </row>
    <row r="51">
      <c r="A51" s="4" t="s">
        <v>4569</v>
      </c>
      <c r="B51" s="6" t="str">
        <f t="shared" si="1"/>
        <v>272.289</v>
      </c>
      <c r="C51" s="6" t="str">
        <f t="shared" si="2"/>
        <v>272,289</v>
      </c>
      <c r="D51" s="6">
        <f t="shared" si="3"/>
        <v>272.289</v>
      </c>
      <c r="E51" s="6">
        <f t="shared" si="4"/>
        <v>1.047</v>
      </c>
    </row>
    <row r="52">
      <c r="A52" s="4" t="s">
        <v>4570</v>
      </c>
      <c r="B52" s="6" t="str">
        <f t="shared" si="1"/>
        <v>273.764</v>
      </c>
      <c r="C52" s="6" t="str">
        <f t="shared" si="2"/>
        <v>273,764</v>
      </c>
      <c r="D52" s="6">
        <f t="shared" si="3"/>
        <v>273.764</v>
      </c>
      <c r="E52" s="6">
        <f t="shared" si="4"/>
        <v>1.475</v>
      </c>
    </row>
    <row r="53">
      <c r="A53" s="4" t="s">
        <v>4571</v>
      </c>
      <c r="B53" s="6" t="str">
        <f t="shared" si="1"/>
        <v>279.987</v>
      </c>
      <c r="C53" s="6" t="str">
        <f t="shared" si="2"/>
        <v>279,987</v>
      </c>
      <c r="D53" s="6">
        <f t="shared" si="3"/>
        <v>279.987</v>
      </c>
      <c r="E53" s="6">
        <f t="shared" si="4"/>
        <v>6.223</v>
      </c>
    </row>
    <row r="54">
      <c r="A54" s="4" t="s">
        <v>4572</v>
      </c>
      <c r="B54" s="6" t="str">
        <f t="shared" si="1"/>
        <v>280.464</v>
      </c>
      <c r="C54" s="6" t="str">
        <f t="shared" si="2"/>
        <v>280,464</v>
      </c>
      <c r="D54" s="6">
        <f t="shared" si="3"/>
        <v>280.464</v>
      </c>
      <c r="E54" s="6">
        <f t="shared" si="4"/>
        <v>0.477</v>
      </c>
    </row>
    <row r="55">
      <c r="A55" s="4" t="s">
        <v>4573</v>
      </c>
      <c r="B55" s="6" t="str">
        <f t="shared" si="1"/>
        <v>289.567</v>
      </c>
      <c r="C55" s="6" t="str">
        <f t="shared" si="2"/>
        <v>289,567</v>
      </c>
      <c r="D55" s="6">
        <f t="shared" si="3"/>
        <v>289.567</v>
      </c>
      <c r="E55" s="6">
        <f t="shared" si="4"/>
        <v>9.103</v>
      </c>
    </row>
    <row r="56">
      <c r="A56" s="4" t="s">
        <v>4574</v>
      </c>
      <c r="B56" s="6" t="str">
        <f t="shared" si="1"/>
        <v>291.938</v>
      </c>
      <c r="C56" s="6" t="str">
        <f t="shared" si="2"/>
        <v>291,938</v>
      </c>
      <c r="D56" s="6">
        <f t="shared" si="3"/>
        <v>291.938</v>
      </c>
      <c r="E56" s="6">
        <f t="shared" si="4"/>
        <v>2.371</v>
      </c>
    </row>
    <row r="57">
      <c r="A57" s="4" t="s">
        <v>4575</v>
      </c>
      <c r="B57" s="6" t="str">
        <f t="shared" si="1"/>
        <v>295.918</v>
      </c>
      <c r="C57" s="6" t="str">
        <f t="shared" si="2"/>
        <v>295,918</v>
      </c>
      <c r="D57" s="6">
        <f t="shared" si="3"/>
        <v>295.918</v>
      </c>
      <c r="E57" s="6">
        <f t="shared" si="4"/>
        <v>3.98</v>
      </c>
    </row>
    <row r="58">
      <c r="A58" s="4" t="s">
        <v>4576</v>
      </c>
      <c r="B58" s="6" t="str">
        <f t="shared" si="1"/>
        <v>297.704</v>
      </c>
      <c r="C58" s="6" t="str">
        <f t="shared" si="2"/>
        <v>297,704</v>
      </c>
      <c r="D58" s="6">
        <f t="shared" si="3"/>
        <v>297.704</v>
      </c>
      <c r="E58" s="6">
        <f t="shared" si="4"/>
        <v>1.786</v>
      </c>
    </row>
    <row r="59">
      <c r="A59" s="4" t="s">
        <v>4577</v>
      </c>
      <c r="B59" s="6" t="str">
        <f t="shared" si="1"/>
        <v>304.782</v>
      </c>
      <c r="C59" s="6" t="str">
        <f t="shared" si="2"/>
        <v>304,782</v>
      </c>
      <c r="D59" s="6">
        <f t="shared" si="3"/>
        <v>304.782</v>
      </c>
      <c r="E59" s="6">
        <f t="shared" si="4"/>
        <v>7.078</v>
      </c>
    </row>
    <row r="60">
      <c r="A60" s="4" t="s">
        <v>4578</v>
      </c>
      <c r="B60" s="6" t="str">
        <f t="shared" si="1"/>
        <v>306.931</v>
      </c>
      <c r="C60" s="6" t="str">
        <f t="shared" si="2"/>
        <v>306,931</v>
      </c>
      <c r="D60" s="6">
        <f t="shared" si="3"/>
        <v>306.931</v>
      </c>
      <c r="E60" s="6">
        <f t="shared" si="4"/>
        <v>2.149</v>
      </c>
    </row>
    <row r="61">
      <c r="A61" s="4" t="s">
        <v>4579</v>
      </c>
      <c r="B61" s="6" t="str">
        <f t="shared" si="1"/>
        <v>308.598</v>
      </c>
      <c r="C61" s="6" t="str">
        <f t="shared" si="2"/>
        <v>308,598</v>
      </c>
      <c r="D61" s="6">
        <f t="shared" si="3"/>
        <v>308.598</v>
      </c>
      <c r="E61" s="6">
        <f t="shared" si="4"/>
        <v>1.667</v>
      </c>
    </row>
    <row r="62">
      <c r="A62" s="4" t="s">
        <v>4580</v>
      </c>
      <c r="B62" s="6" t="str">
        <f t="shared" si="1"/>
        <v>311.447</v>
      </c>
      <c r="C62" s="6" t="str">
        <f t="shared" si="2"/>
        <v>311,447</v>
      </c>
      <c r="D62" s="6">
        <f t="shared" si="3"/>
        <v>311.447</v>
      </c>
      <c r="E62" s="6">
        <f t="shared" si="4"/>
        <v>2.849</v>
      </c>
    </row>
    <row r="63">
      <c r="A63" s="4" t="s">
        <v>4581</v>
      </c>
      <c r="B63" s="6" t="str">
        <f t="shared" si="1"/>
        <v>317.660</v>
      </c>
      <c r="C63" s="6" t="str">
        <f t="shared" si="2"/>
        <v>317,660</v>
      </c>
      <c r="D63" s="6">
        <f t="shared" si="3"/>
        <v>317.66</v>
      </c>
      <c r="E63" s="6">
        <f t="shared" si="4"/>
        <v>6.213</v>
      </c>
    </row>
    <row r="64">
      <c r="A64" s="4" t="s">
        <v>4582</v>
      </c>
      <c r="B64" s="6" t="str">
        <f t="shared" si="1"/>
        <v>318.151</v>
      </c>
      <c r="C64" s="6" t="str">
        <f t="shared" si="2"/>
        <v>318,151</v>
      </c>
      <c r="D64" s="6">
        <f t="shared" si="3"/>
        <v>318.151</v>
      </c>
      <c r="E64" s="6">
        <f t="shared" si="4"/>
        <v>0.491</v>
      </c>
    </row>
    <row r="65">
      <c r="A65" s="4" t="s">
        <v>4583</v>
      </c>
      <c r="B65" s="6" t="str">
        <f t="shared" si="1"/>
        <v>324.771</v>
      </c>
      <c r="C65" s="6" t="str">
        <f t="shared" si="2"/>
        <v>324,771</v>
      </c>
      <c r="D65" s="6">
        <f t="shared" si="3"/>
        <v>324.771</v>
      </c>
      <c r="E65" s="6">
        <f t="shared" si="4"/>
        <v>6.62</v>
      </c>
    </row>
    <row r="66">
      <c r="A66" s="4" t="s">
        <v>4584</v>
      </c>
      <c r="B66" s="6" t="str">
        <f t="shared" si="1"/>
        <v>326.955</v>
      </c>
      <c r="C66" s="6" t="str">
        <f t="shared" si="2"/>
        <v>326,955</v>
      </c>
      <c r="D66" s="6">
        <f t="shared" si="3"/>
        <v>326.955</v>
      </c>
      <c r="E66" s="6">
        <f t="shared" si="4"/>
        <v>2.184</v>
      </c>
    </row>
    <row r="67">
      <c r="A67" s="4" t="s">
        <v>4585</v>
      </c>
      <c r="B67" s="6" t="str">
        <f t="shared" si="1"/>
        <v>351.554</v>
      </c>
      <c r="C67" s="6" t="str">
        <f t="shared" si="2"/>
        <v>351,554</v>
      </c>
      <c r="D67" s="6">
        <f t="shared" si="3"/>
        <v>351.554</v>
      </c>
      <c r="E67" s="6">
        <f t="shared" si="4"/>
        <v>24.599</v>
      </c>
    </row>
    <row r="68">
      <c r="A68" s="4" t="s">
        <v>4586</v>
      </c>
      <c r="B68" s="6" t="str">
        <f t="shared" si="1"/>
        <v>353.344</v>
      </c>
      <c r="C68" s="6" t="str">
        <f t="shared" si="2"/>
        <v>353,344</v>
      </c>
      <c r="D68" s="6">
        <f t="shared" si="3"/>
        <v>353.344</v>
      </c>
      <c r="E68" s="6">
        <f t="shared" si="4"/>
        <v>1.79</v>
      </c>
    </row>
    <row r="69">
      <c r="A69" s="4" t="s">
        <v>4587</v>
      </c>
      <c r="B69" s="6" t="str">
        <f t="shared" si="1"/>
        <v>353.790</v>
      </c>
      <c r="C69" s="6" t="str">
        <f t="shared" si="2"/>
        <v>353,790</v>
      </c>
      <c r="D69" s="6">
        <f t="shared" si="3"/>
        <v>353.79</v>
      </c>
      <c r="E69" s="6">
        <f t="shared" si="4"/>
        <v>0.446</v>
      </c>
    </row>
    <row r="70">
      <c r="A70" s="4" t="s">
        <v>4588</v>
      </c>
      <c r="B70" s="6" t="str">
        <f t="shared" si="1"/>
        <v>354.254</v>
      </c>
      <c r="C70" s="6" t="str">
        <f t="shared" si="2"/>
        <v>354,254</v>
      </c>
      <c r="D70" s="6">
        <f t="shared" si="3"/>
        <v>354.254</v>
      </c>
      <c r="E70" s="6">
        <f t="shared" si="4"/>
        <v>0.464</v>
      </c>
    </row>
    <row r="71">
      <c r="A71" s="4" t="s">
        <v>4589</v>
      </c>
      <c r="B71" s="6" t="str">
        <f t="shared" si="1"/>
        <v>354.743</v>
      </c>
      <c r="C71" s="6" t="str">
        <f t="shared" si="2"/>
        <v>354,743</v>
      </c>
      <c r="D71" s="6">
        <f t="shared" si="3"/>
        <v>354.743</v>
      </c>
      <c r="E71" s="6">
        <f t="shared" si="4"/>
        <v>0.489</v>
      </c>
    </row>
    <row r="72">
      <c r="A72" s="4" t="s">
        <v>4590</v>
      </c>
      <c r="B72" s="6" t="str">
        <f t="shared" si="1"/>
        <v>356.079</v>
      </c>
      <c r="C72" s="6" t="str">
        <f t="shared" si="2"/>
        <v>356,079</v>
      </c>
      <c r="D72" s="6">
        <f t="shared" si="3"/>
        <v>356.079</v>
      </c>
      <c r="E72" s="6">
        <f t="shared" si="4"/>
        <v>1.336</v>
      </c>
    </row>
    <row r="73">
      <c r="A73" s="4" t="s">
        <v>4591</v>
      </c>
      <c r="B73" s="6" t="str">
        <f t="shared" si="1"/>
        <v>356.922</v>
      </c>
      <c r="C73" s="6" t="str">
        <f t="shared" si="2"/>
        <v>356,922</v>
      </c>
      <c r="D73" s="6">
        <f t="shared" si="3"/>
        <v>356.922</v>
      </c>
      <c r="E73" s="6">
        <f t="shared" si="4"/>
        <v>0.843</v>
      </c>
    </row>
    <row r="74">
      <c r="A74" s="4" t="s">
        <v>4592</v>
      </c>
      <c r="B74" s="6" t="str">
        <f t="shared" si="1"/>
        <v>357.504</v>
      </c>
      <c r="C74" s="6" t="str">
        <f t="shared" si="2"/>
        <v>357,504</v>
      </c>
      <c r="D74" s="6">
        <f t="shared" si="3"/>
        <v>357.504</v>
      </c>
      <c r="E74" s="6">
        <f t="shared" si="4"/>
        <v>0.582</v>
      </c>
    </row>
    <row r="75">
      <c r="A75" s="4" t="s">
        <v>4593</v>
      </c>
      <c r="B75" s="6" t="str">
        <f t="shared" si="1"/>
        <v>358.545</v>
      </c>
      <c r="C75" s="6" t="str">
        <f t="shared" si="2"/>
        <v>358,545</v>
      </c>
      <c r="D75" s="6">
        <f t="shared" si="3"/>
        <v>358.545</v>
      </c>
      <c r="E75" s="6">
        <f t="shared" si="4"/>
        <v>1.041</v>
      </c>
    </row>
    <row r="76">
      <c r="A76" s="4" t="s">
        <v>4594</v>
      </c>
      <c r="B76" s="6" t="str">
        <f t="shared" si="1"/>
        <v>364.384</v>
      </c>
      <c r="C76" s="6" t="str">
        <f t="shared" si="2"/>
        <v>364,384</v>
      </c>
      <c r="D76" s="6">
        <f t="shared" si="3"/>
        <v>364.384</v>
      </c>
      <c r="E76" s="6">
        <f t="shared" si="4"/>
        <v>5.839</v>
      </c>
    </row>
    <row r="77">
      <c r="A77" s="4" t="s">
        <v>4595</v>
      </c>
      <c r="B77" s="6" t="str">
        <f t="shared" si="1"/>
        <v>370.257</v>
      </c>
      <c r="C77" s="6" t="str">
        <f t="shared" si="2"/>
        <v>370,257</v>
      </c>
      <c r="D77" s="6">
        <f t="shared" si="3"/>
        <v>370.257</v>
      </c>
      <c r="E77" s="6">
        <f t="shared" si="4"/>
        <v>5.873</v>
      </c>
    </row>
    <row r="78">
      <c r="A78" s="4" t="s">
        <v>4596</v>
      </c>
      <c r="B78" s="6" t="str">
        <f t="shared" si="1"/>
        <v>370.703</v>
      </c>
      <c r="C78" s="6" t="str">
        <f t="shared" si="2"/>
        <v>370,703</v>
      </c>
      <c r="D78" s="6">
        <f t="shared" si="3"/>
        <v>370.703</v>
      </c>
      <c r="E78" s="6">
        <f t="shared" si="4"/>
        <v>0.446</v>
      </c>
    </row>
    <row r="79">
      <c r="A79" s="4" t="s">
        <v>4597</v>
      </c>
      <c r="B79" s="6" t="str">
        <f t="shared" si="1"/>
        <v>371.113</v>
      </c>
      <c r="C79" s="6" t="str">
        <f t="shared" si="2"/>
        <v>371,113</v>
      </c>
      <c r="D79" s="6">
        <f t="shared" si="3"/>
        <v>371.113</v>
      </c>
      <c r="E79" s="6">
        <f t="shared" si="4"/>
        <v>0.41</v>
      </c>
    </row>
    <row r="80">
      <c r="A80" s="4" t="s">
        <v>4598</v>
      </c>
      <c r="B80" s="6" t="str">
        <f t="shared" si="1"/>
        <v>373.041</v>
      </c>
      <c r="C80" s="6" t="str">
        <f t="shared" si="2"/>
        <v>373,041</v>
      </c>
      <c r="D80" s="6">
        <f t="shared" si="3"/>
        <v>373.041</v>
      </c>
      <c r="E80" s="6">
        <f t="shared" si="4"/>
        <v>1.928</v>
      </c>
    </row>
    <row r="81">
      <c r="A81" s="4" t="s">
        <v>4599</v>
      </c>
      <c r="B81" s="6" t="str">
        <f t="shared" si="1"/>
        <v>374.909</v>
      </c>
      <c r="C81" s="6" t="str">
        <f t="shared" si="2"/>
        <v>374,909</v>
      </c>
      <c r="D81" s="6">
        <f t="shared" si="3"/>
        <v>374.909</v>
      </c>
      <c r="E81" s="6">
        <f t="shared" si="4"/>
        <v>1.868</v>
      </c>
    </row>
    <row r="82">
      <c r="A82" s="4" t="s">
        <v>4600</v>
      </c>
      <c r="B82" s="6" t="str">
        <f t="shared" si="1"/>
        <v>377.837</v>
      </c>
      <c r="C82" s="6" t="str">
        <f t="shared" si="2"/>
        <v>377,837</v>
      </c>
      <c r="D82" s="6">
        <f t="shared" si="3"/>
        <v>377.837</v>
      </c>
      <c r="E82" s="6">
        <f t="shared" si="4"/>
        <v>2.928</v>
      </c>
    </row>
    <row r="83">
      <c r="A83" s="4" t="s">
        <v>4601</v>
      </c>
      <c r="B83" s="6" t="str">
        <f t="shared" si="1"/>
        <v>386.482</v>
      </c>
      <c r="C83" s="6" t="str">
        <f t="shared" si="2"/>
        <v>386,482</v>
      </c>
      <c r="D83" s="6">
        <f t="shared" si="3"/>
        <v>386.482</v>
      </c>
      <c r="E83" s="6">
        <f t="shared" si="4"/>
        <v>8.645</v>
      </c>
    </row>
    <row r="84">
      <c r="A84" s="4" t="s">
        <v>4602</v>
      </c>
      <c r="B84" s="6" t="str">
        <f t="shared" si="1"/>
        <v>396.929</v>
      </c>
      <c r="C84" s="6" t="str">
        <f t="shared" si="2"/>
        <v>396,929</v>
      </c>
      <c r="D84" s="6">
        <f t="shared" si="3"/>
        <v>396.929</v>
      </c>
      <c r="E84" s="6">
        <f t="shared" si="4"/>
        <v>10.447</v>
      </c>
    </row>
    <row r="85">
      <c r="A85" s="4" t="s">
        <v>4603</v>
      </c>
      <c r="B85" s="6" t="str">
        <f t="shared" si="1"/>
        <v>397.439</v>
      </c>
      <c r="C85" s="6" t="str">
        <f t="shared" si="2"/>
        <v>397,439</v>
      </c>
      <c r="D85" s="6">
        <f t="shared" si="3"/>
        <v>397.439</v>
      </c>
      <c r="E85" s="6">
        <f t="shared" si="4"/>
        <v>0.51</v>
      </c>
    </row>
    <row r="86">
      <c r="A86" s="4" t="s">
        <v>4604</v>
      </c>
      <c r="B86" s="6" t="str">
        <f t="shared" si="1"/>
        <v>398.174</v>
      </c>
      <c r="C86" s="6" t="str">
        <f t="shared" si="2"/>
        <v>398,174</v>
      </c>
      <c r="D86" s="6">
        <f t="shared" si="3"/>
        <v>398.174</v>
      </c>
      <c r="E86" s="6">
        <f t="shared" si="4"/>
        <v>0.735</v>
      </c>
    </row>
    <row r="87">
      <c r="A87" s="4" t="s">
        <v>4605</v>
      </c>
      <c r="B87" s="6" t="str">
        <f t="shared" si="1"/>
        <v>399.336</v>
      </c>
      <c r="C87" s="6" t="str">
        <f t="shared" si="2"/>
        <v>399,336</v>
      </c>
      <c r="D87" s="6">
        <f t="shared" si="3"/>
        <v>399.336</v>
      </c>
      <c r="E87" s="6">
        <f t="shared" si="4"/>
        <v>1.162</v>
      </c>
    </row>
    <row r="88">
      <c r="A88" s="4" t="s">
        <v>4606</v>
      </c>
      <c r="B88" s="6" t="str">
        <f t="shared" si="1"/>
        <v>400.268</v>
      </c>
      <c r="C88" s="6" t="str">
        <f t="shared" si="2"/>
        <v>400,268</v>
      </c>
      <c r="D88" s="6">
        <f t="shared" si="3"/>
        <v>400.268</v>
      </c>
      <c r="E88" s="6">
        <f t="shared" si="4"/>
        <v>0.932</v>
      </c>
    </row>
    <row r="89">
      <c r="A89" s="4" t="s">
        <v>4607</v>
      </c>
      <c r="B89" s="6" t="str">
        <f t="shared" si="1"/>
        <v>402.617</v>
      </c>
      <c r="C89" s="6" t="str">
        <f t="shared" si="2"/>
        <v>402,617</v>
      </c>
      <c r="D89" s="6">
        <f t="shared" si="3"/>
        <v>402.617</v>
      </c>
      <c r="E89" s="6">
        <f t="shared" si="4"/>
        <v>2.349</v>
      </c>
    </row>
    <row r="90">
      <c r="A90" s="4" t="s">
        <v>4608</v>
      </c>
      <c r="B90" s="6" t="str">
        <f t="shared" si="1"/>
        <v>404.334</v>
      </c>
      <c r="C90" s="6" t="str">
        <f t="shared" si="2"/>
        <v>404,334</v>
      </c>
      <c r="D90" s="6">
        <f t="shared" si="3"/>
        <v>404.334</v>
      </c>
      <c r="E90" s="6">
        <f t="shared" si="4"/>
        <v>1.717</v>
      </c>
    </row>
    <row r="91">
      <c r="A91" s="4" t="s">
        <v>4609</v>
      </c>
      <c r="B91" s="6" t="str">
        <f t="shared" si="1"/>
        <v>406.766</v>
      </c>
      <c r="C91" s="6" t="str">
        <f t="shared" si="2"/>
        <v>406,766</v>
      </c>
      <c r="D91" s="6">
        <f t="shared" si="3"/>
        <v>406.766</v>
      </c>
      <c r="E91" s="6">
        <f t="shared" si="4"/>
        <v>2.432</v>
      </c>
    </row>
    <row r="92">
      <c r="A92" s="4" t="s">
        <v>4610</v>
      </c>
      <c r="B92" s="6" t="str">
        <f t="shared" si="1"/>
        <v>409.650</v>
      </c>
      <c r="C92" s="6" t="str">
        <f t="shared" si="2"/>
        <v>409,650</v>
      </c>
      <c r="D92" s="6">
        <f t="shared" si="3"/>
        <v>409.65</v>
      </c>
      <c r="E92" s="6">
        <f t="shared" si="4"/>
        <v>2.884</v>
      </c>
    </row>
    <row r="93">
      <c r="A93" s="4" t="s">
        <v>4611</v>
      </c>
      <c r="B93" s="6" t="str">
        <f t="shared" si="1"/>
        <v>416.907</v>
      </c>
      <c r="C93" s="6" t="str">
        <f t="shared" si="2"/>
        <v>416,907</v>
      </c>
      <c r="D93" s="6">
        <f t="shared" si="3"/>
        <v>416.907</v>
      </c>
      <c r="E93" s="6">
        <f t="shared" si="4"/>
        <v>7.257</v>
      </c>
    </row>
    <row r="94">
      <c r="A94" s="4" t="s">
        <v>4612</v>
      </c>
      <c r="B94" s="6" t="str">
        <f t="shared" si="1"/>
        <v>417.362</v>
      </c>
      <c r="C94" s="6" t="str">
        <f t="shared" si="2"/>
        <v>417,362</v>
      </c>
      <c r="D94" s="6">
        <f t="shared" si="3"/>
        <v>417.362</v>
      </c>
      <c r="E94" s="6">
        <f t="shared" si="4"/>
        <v>0.455</v>
      </c>
    </row>
    <row r="95">
      <c r="A95" s="4" t="s">
        <v>4613</v>
      </c>
      <c r="B95" s="6" t="str">
        <f t="shared" si="1"/>
        <v>429.171</v>
      </c>
      <c r="C95" s="6" t="str">
        <f t="shared" si="2"/>
        <v>429,171</v>
      </c>
      <c r="D95" s="6">
        <f t="shared" si="3"/>
        <v>429.171</v>
      </c>
      <c r="E95" s="6">
        <f t="shared" si="4"/>
        <v>11.809</v>
      </c>
    </row>
    <row r="96">
      <c r="A96" s="4" t="s">
        <v>4614</v>
      </c>
      <c r="B96" s="6" t="str">
        <f t="shared" si="1"/>
        <v>430.698</v>
      </c>
      <c r="C96" s="6" t="str">
        <f t="shared" si="2"/>
        <v>430,698</v>
      </c>
      <c r="D96" s="6">
        <f t="shared" si="3"/>
        <v>430.698</v>
      </c>
      <c r="E96" s="6">
        <f t="shared" si="4"/>
        <v>1.527</v>
      </c>
    </row>
    <row r="97">
      <c r="A97" s="4" t="s">
        <v>4615</v>
      </c>
      <c r="B97" s="6" t="str">
        <f t="shared" si="1"/>
        <v>433.084</v>
      </c>
      <c r="C97" s="6" t="str">
        <f t="shared" si="2"/>
        <v>433,084</v>
      </c>
      <c r="D97" s="6">
        <f t="shared" si="3"/>
        <v>433.084</v>
      </c>
      <c r="E97" s="6">
        <f t="shared" si="4"/>
        <v>2.386</v>
      </c>
    </row>
    <row r="98">
      <c r="A98" s="4" t="s">
        <v>4616</v>
      </c>
      <c r="B98" s="6" t="str">
        <f t="shared" si="1"/>
        <v>436.727</v>
      </c>
      <c r="C98" s="6" t="str">
        <f t="shared" si="2"/>
        <v>436,727</v>
      </c>
      <c r="D98" s="6">
        <f t="shared" si="3"/>
        <v>436.727</v>
      </c>
      <c r="E98" s="6">
        <f t="shared" si="4"/>
        <v>3.643</v>
      </c>
    </row>
    <row r="99">
      <c r="A99" s="4" t="s">
        <v>4617</v>
      </c>
      <c r="B99" s="6" t="str">
        <f t="shared" si="1"/>
        <v>441.059</v>
      </c>
      <c r="C99" s="6" t="str">
        <f t="shared" si="2"/>
        <v>441,059</v>
      </c>
      <c r="D99" s="6">
        <f t="shared" si="3"/>
        <v>441.059</v>
      </c>
      <c r="E99" s="6">
        <f t="shared" si="4"/>
        <v>4.332</v>
      </c>
    </row>
    <row r="100">
      <c r="A100" s="4" t="s">
        <v>4618</v>
      </c>
      <c r="B100" s="6" t="str">
        <f t="shared" si="1"/>
        <v>441.524</v>
      </c>
      <c r="C100" s="6" t="str">
        <f t="shared" si="2"/>
        <v>441,524</v>
      </c>
      <c r="D100" s="6">
        <f t="shared" si="3"/>
        <v>441.524</v>
      </c>
      <c r="E100" s="6">
        <f t="shared" si="4"/>
        <v>0.465</v>
      </c>
    </row>
    <row r="101">
      <c r="A101" s="4" t="s">
        <v>4619</v>
      </c>
      <c r="B101" s="6" t="str">
        <f t="shared" si="1"/>
        <v>442.029</v>
      </c>
      <c r="C101" s="6" t="str">
        <f t="shared" si="2"/>
        <v>442,029</v>
      </c>
      <c r="D101" s="6">
        <f t="shared" si="3"/>
        <v>442.029</v>
      </c>
      <c r="E101" s="6">
        <f t="shared" si="4"/>
        <v>0.505</v>
      </c>
    </row>
    <row r="102">
      <c r="A102" s="4" t="s">
        <v>4620</v>
      </c>
      <c r="B102" s="6" t="str">
        <f t="shared" si="1"/>
        <v>442.484</v>
      </c>
      <c r="C102" s="6" t="str">
        <f t="shared" si="2"/>
        <v>442,484</v>
      </c>
      <c r="D102" s="6">
        <f t="shared" si="3"/>
        <v>442.484</v>
      </c>
      <c r="E102" s="6">
        <f t="shared" si="4"/>
        <v>0.455</v>
      </c>
    </row>
    <row r="103">
      <c r="A103" s="4" t="s">
        <v>4621</v>
      </c>
      <c r="B103" s="6" t="str">
        <f t="shared" si="1"/>
        <v>444.374</v>
      </c>
      <c r="C103" s="6" t="str">
        <f t="shared" si="2"/>
        <v>444,374</v>
      </c>
      <c r="D103" s="6">
        <f t="shared" si="3"/>
        <v>444.374</v>
      </c>
      <c r="E103" s="6">
        <f t="shared" si="4"/>
        <v>1.89</v>
      </c>
    </row>
    <row r="104">
      <c r="A104" s="4" t="s">
        <v>4622</v>
      </c>
      <c r="B104" s="6" t="str">
        <f t="shared" si="1"/>
        <v>446.328</v>
      </c>
      <c r="C104" s="6" t="str">
        <f t="shared" si="2"/>
        <v>446,328</v>
      </c>
      <c r="D104" s="6">
        <f t="shared" si="3"/>
        <v>446.328</v>
      </c>
      <c r="E104" s="6">
        <f t="shared" si="4"/>
        <v>1.954</v>
      </c>
    </row>
    <row r="105">
      <c r="A105" s="4" t="s">
        <v>4623</v>
      </c>
      <c r="B105" s="6" t="str">
        <f t="shared" si="1"/>
        <v>447.941</v>
      </c>
      <c r="C105" s="6" t="str">
        <f t="shared" si="2"/>
        <v>447,941</v>
      </c>
      <c r="D105" s="6">
        <f t="shared" si="3"/>
        <v>447.941</v>
      </c>
      <c r="E105" s="6">
        <f t="shared" si="4"/>
        <v>1.613</v>
      </c>
    </row>
    <row r="106">
      <c r="A106" s="4" t="s">
        <v>4624</v>
      </c>
      <c r="B106" s="6" t="str">
        <f t="shared" si="1"/>
        <v>448.422</v>
      </c>
      <c r="C106" s="6" t="str">
        <f t="shared" si="2"/>
        <v>448,422</v>
      </c>
      <c r="D106" s="6">
        <f t="shared" si="3"/>
        <v>448.422</v>
      </c>
      <c r="E106" s="6">
        <f t="shared" si="4"/>
        <v>0.481</v>
      </c>
    </row>
    <row r="107">
      <c r="A107" s="4" t="s">
        <v>4625</v>
      </c>
      <c r="B107" s="6" t="str">
        <f t="shared" si="1"/>
        <v>449.688</v>
      </c>
      <c r="C107" s="6" t="str">
        <f t="shared" si="2"/>
        <v>449,688</v>
      </c>
      <c r="D107" s="6">
        <f t="shared" si="3"/>
        <v>449.688</v>
      </c>
      <c r="E107" s="6">
        <f t="shared" si="4"/>
        <v>1.266</v>
      </c>
    </row>
    <row r="108">
      <c r="A108" s="4" t="s">
        <v>4626</v>
      </c>
      <c r="B108" s="6" t="str">
        <f t="shared" si="1"/>
        <v>452.509</v>
      </c>
      <c r="C108" s="6" t="str">
        <f t="shared" si="2"/>
        <v>452,509</v>
      </c>
      <c r="D108" s="6">
        <f t="shared" si="3"/>
        <v>452.509</v>
      </c>
      <c r="E108" s="6">
        <f t="shared" si="4"/>
        <v>2.821</v>
      </c>
    </row>
    <row r="109">
      <c r="A109" s="4" t="s">
        <v>4627</v>
      </c>
      <c r="B109" s="6" t="str">
        <f t="shared" si="1"/>
        <v>455.065</v>
      </c>
      <c r="C109" s="6" t="str">
        <f t="shared" si="2"/>
        <v>455,065</v>
      </c>
      <c r="D109" s="6">
        <f t="shared" si="3"/>
        <v>455.065</v>
      </c>
      <c r="E109" s="6">
        <f t="shared" si="4"/>
        <v>2.556</v>
      </c>
    </row>
    <row r="110">
      <c r="A110" s="4" t="s">
        <v>4628</v>
      </c>
      <c r="B110" s="6" t="str">
        <f t="shared" si="1"/>
        <v>455.497</v>
      </c>
      <c r="C110" s="6" t="str">
        <f t="shared" si="2"/>
        <v>455,497</v>
      </c>
      <c r="D110" s="6">
        <f t="shared" si="3"/>
        <v>455.497</v>
      </c>
      <c r="E110" s="6">
        <f t="shared" si="4"/>
        <v>0.432</v>
      </c>
    </row>
    <row r="111">
      <c r="A111" s="4" t="s">
        <v>4629</v>
      </c>
      <c r="B111" s="6" t="str">
        <f t="shared" si="1"/>
        <v>460.607</v>
      </c>
      <c r="C111" s="6" t="str">
        <f t="shared" si="2"/>
        <v>460,607</v>
      </c>
      <c r="D111" s="6">
        <f t="shared" si="3"/>
        <v>460.607</v>
      </c>
      <c r="E111" s="6">
        <f t="shared" si="4"/>
        <v>5.11</v>
      </c>
    </row>
    <row r="112">
      <c r="A112" s="4" t="s">
        <v>4630</v>
      </c>
      <c r="B112" s="6" t="str">
        <f t="shared" si="1"/>
        <v>461.135</v>
      </c>
      <c r="C112" s="6" t="str">
        <f t="shared" si="2"/>
        <v>461,135</v>
      </c>
      <c r="D112" s="6">
        <f t="shared" si="3"/>
        <v>461.135</v>
      </c>
      <c r="E112" s="6">
        <f t="shared" si="4"/>
        <v>0.528</v>
      </c>
    </row>
    <row r="113">
      <c r="A113" s="4" t="s">
        <v>4631</v>
      </c>
      <c r="B113" s="6" t="str">
        <f t="shared" si="1"/>
        <v>461.581</v>
      </c>
      <c r="C113" s="6" t="str">
        <f t="shared" si="2"/>
        <v>461,581</v>
      </c>
      <c r="D113" s="6">
        <f t="shared" si="3"/>
        <v>461.581</v>
      </c>
      <c r="E113" s="6">
        <f t="shared" si="4"/>
        <v>0.446</v>
      </c>
    </row>
    <row r="114">
      <c r="A114" s="4" t="s">
        <v>4632</v>
      </c>
      <c r="B114" s="6" t="str">
        <f t="shared" si="1"/>
        <v>467.143</v>
      </c>
      <c r="C114" s="6" t="str">
        <f t="shared" si="2"/>
        <v>467,143</v>
      </c>
      <c r="D114" s="6">
        <f t="shared" si="3"/>
        <v>467.143</v>
      </c>
      <c r="E114" s="6">
        <f t="shared" si="4"/>
        <v>5.562</v>
      </c>
    </row>
    <row r="115">
      <c r="A115" s="4" t="s">
        <v>4633</v>
      </c>
      <c r="B115" s="6" t="str">
        <f t="shared" si="1"/>
        <v>467.593</v>
      </c>
      <c r="C115" s="6" t="str">
        <f t="shared" si="2"/>
        <v>467,593</v>
      </c>
      <c r="D115" s="6">
        <f t="shared" si="3"/>
        <v>467.593</v>
      </c>
      <c r="E115" s="6">
        <f t="shared" si="4"/>
        <v>0.45</v>
      </c>
    </row>
    <row r="116">
      <c r="A116" s="4" t="s">
        <v>4634</v>
      </c>
      <c r="B116" s="6" t="str">
        <f t="shared" si="1"/>
        <v>468.923</v>
      </c>
      <c r="C116" s="6" t="str">
        <f t="shared" si="2"/>
        <v>468,923</v>
      </c>
      <c r="D116" s="6">
        <f t="shared" si="3"/>
        <v>468.923</v>
      </c>
      <c r="E116" s="6">
        <f t="shared" si="4"/>
        <v>1.33</v>
      </c>
    </row>
    <row r="117">
      <c r="A117" s="4" t="s">
        <v>4635</v>
      </c>
      <c r="B117" s="6" t="str">
        <f t="shared" si="1"/>
        <v>475.084</v>
      </c>
      <c r="C117" s="6" t="str">
        <f t="shared" si="2"/>
        <v>475,084</v>
      </c>
      <c r="D117" s="6">
        <f t="shared" si="3"/>
        <v>475.084</v>
      </c>
      <c r="E117" s="6">
        <f t="shared" si="4"/>
        <v>6.161</v>
      </c>
    </row>
    <row r="118">
      <c r="A118" s="4" t="s">
        <v>4636</v>
      </c>
      <c r="B118" s="6" t="str">
        <f t="shared" si="1"/>
        <v>475.507</v>
      </c>
      <c r="C118" s="6" t="str">
        <f t="shared" si="2"/>
        <v>475,507</v>
      </c>
      <c r="D118" s="6">
        <f t="shared" si="3"/>
        <v>475.507</v>
      </c>
      <c r="E118" s="6">
        <f t="shared" si="4"/>
        <v>0.423</v>
      </c>
    </row>
    <row r="119">
      <c r="A119" s="4" t="s">
        <v>4637</v>
      </c>
      <c r="B119" s="6" t="str">
        <f t="shared" si="1"/>
        <v>479.205</v>
      </c>
      <c r="C119" s="6" t="str">
        <f t="shared" si="2"/>
        <v>479,205</v>
      </c>
      <c r="D119" s="6">
        <f t="shared" si="3"/>
        <v>479.205</v>
      </c>
      <c r="E119" s="6">
        <f t="shared" si="4"/>
        <v>3.698</v>
      </c>
    </row>
    <row r="120">
      <c r="A120" s="4" t="s">
        <v>4638</v>
      </c>
      <c r="B120" s="6" t="str">
        <f t="shared" si="1"/>
        <v>479.956</v>
      </c>
      <c r="C120" s="6" t="str">
        <f t="shared" si="2"/>
        <v>479,956</v>
      </c>
      <c r="D120" s="6">
        <f t="shared" si="3"/>
        <v>479.956</v>
      </c>
      <c r="E120" s="6">
        <f t="shared" si="4"/>
        <v>0.751</v>
      </c>
    </row>
    <row r="121">
      <c r="A121" s="4" t="s">
        <v>4639</v>
      </c>
      <c r="B121" s="6" t="str">
        <f t="shared" si="1"/>
        <v>481.131</v>
      </c>
      <c r="C121" s="6" t="str">
        <f t="shared" si="2"/>
        <v>481,131</v>
      </c>
      <c r="D121" s="6">
        <f t="shared" si="3"/>
        <v>481.131</v>
      </c>
      <c r="E121" s="6">
        <f t="shared" si="4"/>
        <v>1.175</v>
      </c>
    </row>
    <row r="122">
      <c r="A122" s="4" t="s">
        <v>4640</v>
      </c>
      <c r="B122" s="6" t="str">
        <f t="shared" si="1"/>
        <v>488.955</v>
      </c>
      <c r="C122" s="6" t="str">
        <f t="shared" si="2"/>
        <v>488,955</v>
      </c>
      <c r="D122" s="6">
        <f t="shared" si="3"/>
        <v>488.955</v>
      </c>
      <c r="E122" s="6">
        <f t="shared" si="4"/>
        <v>7.824</v>
      </c>
    </row>
    <row r="123">
      <c r="A123" s="4" t="s">
        <v>4641</v>
      </c>
      <c r="B123" s="6" t="str">
        <f t="shared" si="1"/>
        <v>491.540</v>
      </c>
      <c r="C123" s="6" t="str">
        <f t="shared" si="2"/>
        <v>491,540</v>
      </c>
      <c r="D123" s="6">
        <f t="shared" si="3"/>
        <v>491.54</v>
      </c>
      <c r="E123" s="6">
        <f t="shared" si="4"/>
        <v>2.585</v>
      </c>
    </row>
    <row r="124">
      <c r="A124" s="4" t="s">
        <v>4642</v>
      </c>
      <c r="B124" s="6" t="str">
        <f t="shared" si="1"/>
        <v>492.163</v>
      </c>
      <c r="C124" s="6" t="str">
        <f t="shared" si="2"/>
        <v>492,163</v>
      </c>
      <c r="D124" s="6">
        <f t="shared" si="3"/>
        <v>492.163</v>
      </c>
      <c r="E124" s="6">
        <f t="shared" si="4"/>
        <v>0.623</v>
      </c>
    </row>
    <row r="125">
      <c r="A125" s="4" t="s">
        <v>4643</v>
      </c>
      <c r="B125" s="6" t="str">
        <f t="shared" si="1"/>
        <v>493.430</v>
      </c>
      <c r="C125" s="6" t="str">
        <f t="shared" si="2"/>
        <v>493,430</v>
      </c>
      <c r="D125" s="6">
        <f t="shared" si="3"/>
        <v>493.43</v>
      </c>
      <c r="E125" s="6">
        <f t="shared" si="4"/>
        <v>1.267</v>
      </c>
    </row>
    <row r="126">
      <c r="A126" s="4" t="s">
        <v>4644</v>
      </c>
      <c r="B126" s="6" t="str">
        <f t="shared" si="1"/>
        <v>495.908</v>
      </c>
      <c r="C126" s="6" t="str">
        <f t="shared" si="2"/>
        <v>495,908</v>
      </c>
      <c r="D126" s="6">
        <f t="shared" si="3"/>
        <v>495.908</v>
      </c>
      <c r="E126" s="6">
        <f t="shared" si="4"/>
        <v>2.478</v>
      </c>
    </row>
    <row r="127">
      <c r="A127" s="4" t="s">
        <v>4645</v>
      </c>
      <c r="B127" s="6" t="str">
        <f t="shared" si="1"/>
        <v>499.235</v>
      </c>
      <c r="C127" s="6" t="str">
        <f t="shared" si="2"/>
        <v>499,235</v>
      </c>
      <c r="D127" s="6">
        <f t="shared" si="3"/>
        <v>499.235</v>
      </c>
      <c r="E127" s="6">
        <f t="shared" si="4"/>
        <v>3.327</v>
      </c>
    </row>
    <row r="128">
      <c r="A128" s="4" t="s">
        <v>4646</v>
      </c>
      <c r="B128" s="6" t="str">
        <f t="shared" si="1"/>
        <v>502.177</v>
      </c>
      <c r="C128" s="6" t="str">
        <f t="shared" si="2"/>
        <v>502,177</v>
      </c>
      <c r="D128" s="6">
        <f t="shared" si="3"/>
        <v>502.177</v>
      </c>
      <c r="E128" s="6">
        <f t="shared" si="4"/>
        <v>2.942</v>
      </c>
    </row>
    <row r="129">
      <c r="A129" s="4" t="s">
        <v>4647</v>
      </c>
      <c r="B129" s="6" t="str">
        <f t="shared" si="1"/>
        <v>502.709</v>
      </c>
      <c r="C129" s="6" t="str">
        <f t="shared" si="2"/>
        <v>502,709</v>
      </c>
      <c r="D129" s="6">
        <f t="shared" si="3"/>
        <v>502.709</v>
      </c>
      <c r="E129" s="6">
        <f t="shared" si="4"/>
        <v>0.532</v>
      </c>
    </row>
    <row r="130">
      <c r="A130" s="4" t="s">
        <v>4648</v>
      </c>
      <c r="B130" s="6" t="str">
        <f t="shared" si="1"/>
        <v>508.269</v>
      </c>
      <c r="C130" s="6" t="str">
        <f t="shared" si="2"/>
        <v>508,269</v>
      </c>
      <c r="D130" s="6">
        <f t="shared" si="3"/>
        <v>508.269</v>
      </c>
      <c r="E130" s="6">
        <f t="shared" si="4"/>
        <v>5.56</v>
      </c>
    </row>
    <row r="131">
      <c r="A131" s="4" t="s">
        <v>4649</v>
      </c>
      <c r="B131" s="6" t="str">
        <f t="shared" si="1"/>
        <v>509.915</v>
      </c>
      <c r="C131" s="6" t="str">
        <f t="shared" si="2"/>
        <v>509,915</v>
      </c>
      <c r="D131" s="6">
        <f t="shared" si="3"/>
        <v>509.915</v>
      </c>
      <c r="E131" s="6">
        <f t="shared" si="4"/>
        <v>1.646</v>
      </c>
    </row>
    <row r="132">
      <c r="A132" s="4" t="s">
        <v>4650</v>
      </c>
      <c r="B132" s="6" t="str">
        <f t="shared" si="1"/>
        <v>519.874</v>
      </c>
      <c r="C132" s="6" t="str">
        <f t="shared" si="2"/>
        <v>519,874</v>
      </c>
      <c r="D132" s="6">
        <f t="shared" si="3"/>
        <v>519.874</v>
      </c>
      <c r="E132" s="6">
        <f t="shared" si="4"/>
        <v>9.959</v>
      </c>
    </row>
    <row r="133">
      <c r="A133" s="4" t="s">
        <v>4651</v>
      </c>
      <c r="B133" s="6" t="str">
        <f t="shared" si="1"/>
        <v>523.546</v>
      </c>
      <c r="C133" s="6" t="str">
        <f t="shared" si="2"/>
        <v>523,546</v>
      </c>
      <c r="D133" s="6">
        <f t="shared" si="3"/>
        <v>523.546</v>
      </c>
      <c r="E133" s="6">
        <f t="shared" si="4"/>
        <v>3.672</v>
      </c>
    </row>
    <row r="134">
      <c r="A134" s="4" t="s">
        <v>4652</v>
      </c>
      <c r="B134" s="6" t="str">
        <f t="shared" si="1"/>
        <v>524.342</v>
      </c>
      <c r="C134" s="6" t="str">
        <f t="shared" si="2"/>
        <v>524,342</v>
      </c>
      <c r="D134" s="6">
        <f t="shared" si="3"/>
        <v>524.342</v>
      </c>
      <c r="E134" s="6">
        <f t="shared" si="4"/>
        <v>0.796</v>
      </c>
    </row>
    <row r="135">
      <c r="A135" s="4" t="s">
        <v>4653</v>
      </c>
      <c r="B135" s="6" t="str">
        <f t="shared" si="1"/>
        <v>525.843</v>
      </c>
      <c r="C135" s="6" t="str">
        <f t="shared" si="2"/>
        <v>525,843</v>
      </c>
      <c r="D135" s="6">
        <f t="shared" si="3"/>
        <v>525.843</v>
      </c>
      <c r="E135" s="6">
        <f t="shared" si="4"/>
        <v>1.501</v>
      </c>
    </row>
    <row r="136">
      <c r="A136" s="4" t="s">
        <v>4654</v>
      </c>
      <c r="B136" s="6" t="str">
        <f t="shared" si="1"/>
        <v>536.036</v>
      </c>
      <c r="C136" s="6" t="str">
        <f t="shared" si="2"/>
        <v>536,036</v>
      </c>
      <c r="D136" s="6">
        <f t="shared" si="3"/>
        <v>536.036</v>
      </c>
      <c r="E136" s="6">
        <f t="shared" si="4"/>
        <v>10.193</v>
      </c>
    </row>
    <row r="137">
      <c r="A137" s="4" t="s">
        <v>4655</v>
      </c>
      <c r="B137" s="6" t="str">
        <f t="shared" si="1"/>
        <v>537.732</v>
      </c>
      <c r="C137" s="6" t="str">
        <f t="shared" si="2"/>
        <v>537,732</v>
      </c>
      <c r="D137" s="6">
        <f t="shared" si="3"/>
        <v>537.732</v>
      </c>
      <c r="E137" s="6">
        <f t="shared" si="4"/>
        <v>1.696</v>
      </c>
    </row>
    <row r="138">
      <c r="A138" s="4" t="s">
        <v>4656</v>
      </c>
      <c r="B138" s="6" t="str">
        <f t="shared" si="1"/>
        <v>538.191</v>
      </c>
      <c r="C138" s="6" t="str">
        <f t="shared" si="2"/>
        <v>538,191</v>
      </c>
      <c r="D138" s="6">
        <f t="shared" si="3"/>
        <v>538.191</v>
      </c>
      <c r="E138" s="6">
        <f t="shared" si="4"/>
        <v>0.459</v>
      </c>
    </row>
    <row r="139">
      <c r="A139" s="4" t="s">
        <v>4657</v>
      </c>
      <c r="B139" s="6" t="str">
        <f t="shared" si="1"/>
        <v>540.425</v>
      </c>
      <c r="C139" s="6" t="str">
        <f t="shared" si="2"/>
        <v>540,425</v>
      </c>
      <c r="D139" s="6">
        <f t="shared" si="3"/>
        <v>540.425</v>
      </c>
      <c r="E139" s="6">
        <f t="shared" si="4"/>
        <v>2.234</v>
      </c>
    </row>
    <row r="140">
      <c r="A140" s="4" t="s">
        <v>4658</v>
      </c>
      <c r="B140" s="6" t="str">
        <f t="shared" si="1"/>
        <v>540.936</v>
      </c>
      <c r="C140" s="6" t="str">
        <f t="shared" si="2"/>
        <v>540,936</v>
      </c>
      <c r="D140" s="6">
        <f t="shared" si="3"/>
        <v>540.936</v>
      </c>
      <c r="E140" s="6">
        <f t="shared" si="4"/>
        <v>0.511</v>
      </c>
    </row>
    <row r="141">
      <c r="A141" s="4" t="s">
        <v>4659</v>
      </c>
      <c r="B141" s="6" t="str">
        <f t="shared" si="1"/>
        <v>541.468</v>
      </c>
      <c r="C141" s="6" t="str">
        <f t="shared" si="2"/>
        <v>541,468</v>
      </c>
      <c r="D141" s="6">
        <f t="shared" si="3"/>
        <v>541.468</v>
      </c>
      <c r="E141" s="6">
        <f t="shared" si="4"/>
        <v>0.532</v>
      </c>
    </row>
    <row r="142">
      <c r="A142" s="4" t="s">
        <v>4660</v>
      </c>
      <c r="B142" s="6" t="str">
        <f t="shared" si="1"/>
        <v>542.095</v>
      </c>
      <c r="C142" s="6" t="str">
        <f t="shared" si="2"/>
        <v>542,095</v>
      </c>
      <c r="D142" s="6">
        <f t="shared" si="3"/>
        <v>542.095</v>
      </c>
      <c r="E142" s="6">
        <f t="shared" si="4"/>
        <v>0.627</v>
      </c>
    </row>
    <row r="143">
      <c r="A143" s="4" t="s">
        <v>4661</v>
      </c>
      <c r="B143" s="6" t="str">
        <f t="shared" si="1"/>
        <v>543.447</v>
      </c>
      <c r="C143" s="6" t="str">
        <f t="shared" si="2"/>
        <v>543,447</v>
      </c>
      <c r="D143" s="6">
        <f t="shared" si="3"/>
        <v>543.447</v>
      </c>
      <c r="E143" s="6">
        <f t="shared" si="4"/>
        <v>1.352</v>
      </c>
    </row>
    <row r="144">
      <c r="A144" s="4" t="s">
        <v>4662</v>
      </c>
      <c r="B144" s="6" t="str">
        <f t="shared" si="1"/>
        <v>544.650</v>
      </c>
      <c r="C144" s="6" t="str">
        <f t="shared" si="2"/>
        <v>544,650</v>
      </c>
      <c r="D144" s="6">
        <f t="shared" si="3"/>
        <v>544.65</v>
      </c>
      <c r="E144" s="6">
        <f t="shared" si="4"/>
        <v>1.203</v>
      </c>
    </row>
    <row r="145">
      <c r="A145" s="4" t="s">
        <v>4663</v>
      </c>
      <c r="B145" s="6" t="str">
        <f t="shared" si="1"/>
        <v>548.939</v>
      </c>
      <c r="C145" s="6" t="str">
        <f t="shared" si="2"/>
        <v>548,939</v>
      </c>
      <c r="D145" s="6">
        <f t="shared" si="3"/>
        <v>548.939</v>
      </c>
      <c r="E145" s="6">
        <f t="shared" si="4"/>
        <v>4.289</v>
      </c>
    </row>
    <row r="146">
      <c r="A146" s="4" t="s">
        <v>4664</v>
      </c>
      <c r="B146" s="6" t="str">
        <f t="shared" si="1"/>
        <v>549.400</v>
      </c>
      <c r="C146" s="6" t="str">
        <f t="shared" si="2"/>
        <v>549,400</v>
      </c>
      <c r="D146" s="6">
        <f t="shared" si="3"/>
        <v>549.4</v>
      </c>
      <c r="E146" s="6">
        <f t="shared" si="4"/>
        <v>0.461</v>
      </c>
    </row>
    <row r="147">
      <c r="A147" s="4" t="s">
        <v>4665</v>
      </c>
      <c r="B147" s="6" t="str">
        <f t="shared" si="1"/>
        <v>554.968</v>
      </c>
      <c r="C147" s="6" t="str">
        <f t="shared" si="2"/>
        <v>554,968</v>
      </c>
      <c r="D147" s="6">
        <f t="shared" si="3"/>
        <v>554.968</v>
      </c>
      <c r="E147" s="6">
        <f t="shared" si="4"/>
        <v>5.568</v>
      </c>
    </row>
    <row r="148">
      <c r="A148" s="4" t="s">
        <v>4666</v>
      </c>
      <c r="B148" s="6" t="str">
        <f t="shared" si="1"/>
        <v>557.951</v>
      </c>
      <c r="C148" s="6" t="str">
        <f t="shared" si="2"/>
        <v>557,951</v>
      </c>
      <c r="D148" s="6">
        <f t="shared" si="3"/>
        <v>557.951</v>
      </c>
      <c r="E148" s="6">
        <f t="shared" si="4"/>
        <v>2.983</v>
      </c>
    </row>
    <row r="149">
      <c r="A149" s="4" t="s">
        <v>4667</v>
      </c>
      <c r="B149" s="6" t="str">
        <f t="shared" si="1"/>
        <v>558.397</v>
      </c>
      <c r="C149" s="6" t="str">
        <f t="shared" si="2"/>
        <v>558,397</v>
      </c>
      <c r="D149" s="6">
        <f t="shared" si="3"/>
        <v>558.397</v>
      </c>
      <c r="E149" s="6">
        <f t="shared" si="4"/>
        <v>0.446</v>
      </c>
    </row>
    <row r="150">
      <c r="A150" s="4" t="s">
        <v>4668</v>
      </c>
      <c r="B150" s="6" t="str">
        <f t="shared" si="1"/>
        <v>558.795</v>
      </c>
      <c r="C150" s="6" t="str">
        <f t="shared" si="2"/>
        <v>558,795</v>
      </c>
      <c r="D150" s="6">
        <f t="shared" si="3"/>
        <v>558.795</v>
      </c>
      <c r="E150" s="6">
        <f t="shared" si="4"/>
        <v>0.398</v>
      </c>
    </row>
    <row r="151">
      <c r="A151" s="4" t="s">
        <v>4669</v>
      </c>
      <c r="B151" s="6" t="str">
        <f t="shared" si="1"/>
        <v>562.940</v>
      </c>
      <c r="C151" s="6" t="str">
        <f t="shared" si="2"/>
        <v>562,940</v>
      </c>
      <c r="D151" s="6">
        <f t="shared" si="3"/>
        <v>562.94</v>
      </c>
      <c r="E151" s="6">
        <f t="shared" si="4"/>
        <v>4.145</v>
      </c>
    </row>
    <row r="152">
      <c r="A152" s="4" t="s">
        <v>4670</v>
      </c>
      <c r="B152" s="6" t="str">
        <f t="shared" si="1"/>
        <v>571.289</v>
      </c>
      <c r="C152" s="6" t="str">
        <f t="shared" si="2"/>
        <v>571,289</v>
      </c>
      <c r="D152" s="6">
        <f t="shared" si="3"/>
        <v>571.289</v>
      </c>
      <c r="E152" s="6">
        <f t="shared" si="4"/>
        <v>8.349</v>
      </c>
    </row>
    <row r="153">
      <c r="A153" s="4" t="s">
        <v>4671</v>
      </c>
      <c r="B153" s="6" t="str">
        <f t="shared" si="1"/>
        <v>576.095</v>
      </c>
      <c r="C153" s="6" t="str">
        <f t="shared" si="2"/>
        <v>576,095</v>
      </c>
      <c r="D153" s="6">
        <f t="shared" si="3"/>
        <v>576.095</v>
      </c>
      <c r="E153" s="6">
        <f t="shared" si="4"/>
        <v>4.806</v>
      </c>
    </row>
    <row r="154">
      <c r="A154" s="4" t="s">
        <v>4672</v>
      </c>
      <c r="B154" s="6" t="str">
        <f t="shared" si="1"/>
        <v>580.098</v>
      </c>
      <c r="C154" s="6" t="str">
        <f t="shared" si="2"/>
        <v>580,098</v>
      </c>
      <c r="D154" s="6">
        <f t="shared" si="3"/>
        <v>580.098</v>
      </c>
      <c r="E154" s="6">
        <f t="shared" si="4"/>
        <v>4.003</v>
      </c>
    </row>
    <row r="155">
      <c r="A155" s="4" t="s">
        <v>4673</v>
      </c>
      <c r="B155" s="6" t="str">
        <f t="shared" si="1"/>
        <v>583.837</v>
      </c>
      <c r="C155" s="6" t="str">
        <f t="shared" si="2"/>
        <v>583,837</v>
      </c>
      <c r="D155" s="6">
        <f t="shared" si="3"/>
        <v>583.837</v>
      </c>
      <c r="E155" s="6">
        <f t="shared" si="4"/>
        <v>3.739</v>
      </c>
    </row>
    <row r="156">
      <c r="A156" s="4" t="s">
        <v>4674</v>
      </c>
      <c r="B156" s="6" t="str">
        <f t="shared" si="1"/>
        <v>584.275</v>
      </c>
      <c r="C156" s="6" t="str">
        <f t="shared" si="2"/>
        <v>584,275</v>
      </c>
      <c r="D156" s="6">
        <f t="shared" si="3"/>
        <v>584.275</v>
      </c>
      <c r="E156" s="6">
        <f t="shared" si="4"/>
        <v>0.438</v>
      </c>
    </row>
    <row r="157">
      <c r="A157" s="4" t="s">
        <v>4675</v>
      </c>
      <c r="B157" s="6" t="str">
        <f t="shared" si="1"/>
        <v>586.326</v>
      </c>
      <c r="C157" s="6" t="str">
        <f t="shared" si="2"/>
        <v>586,326</v>
      </c>
      <c r="D157" s="6">
        <f t="shared" si="3"/>
        <v>586.326</v>
      </c>
      <c r="E157" s="6">
        <f t="shared" si="4"/>
        <v>2.051</v>
      </c>
    </row>
    <row r="158">
      <c r="A158" s="4" t="s">
        <v>4676</v>
      </c>
      <c r="B158" s="6" t="str">
        <f t="shared" si="1"/>
        <v>587.655</v>
      </c>
      <c r="C158" s="6" t="str">
        <f t="shared" si="2"/>
        <v>587,655</v>
      </c>
      <c r="D158" s="6">
        <f t="shared" si="3"/>
        <v>587.655</v>
      </c>
      <c r="E158" s="6">
        <f t="shared" si="4"/>
        <v>1.329</v>
      </c>
    </row>
    <row r="159">
      <c r="A159" s="4" t="s">
        <v>4677</v>
      </c>
      <c r="B159" s="6" t="str">
        <f t="shared" si="1"/>
        <v>589.434</v>
      </c>
      <c r="C159" s="6" t="str">
        <f t="shared" si="2"/>
        <v>589,434</v>
      </c>
      <c r="D159" s="6">
        <f t="shared" si="3"/>
        <v>589.434</v>
      </c>
      <c r="E159" s="6">
        <f t="shared" si="4"/>
        <v>1.779</v>
      </c>
    </row>
    <row r="160">
      <c r="A160" s="4" t="s">
        <v>4678</v>
      </c>
      <c r="B160" s="6" t="str">
        <f t="shared" si="1"/>
        <v>591.696</v>
      </c>
      <c r="C160" s="6" t="str">
        <f t="shared" si="2"/>
        <v>591,696</v>
      </c>
      <c r="D160" s="6">
        <f t="shared" si="3"/>
        <v>591.696</v>
      </c>
      <c r="E160" s="6">
        <f t="shared" si="4"/>
        <v>2.262</v>
      </c>
    </row>
    <row r="161">
      <c r="A161" s="4" t="s">
        <v>4679</v>
      </c>
      <c r="B161" s="6" t="str">
        <f t="shared" si="1"/>
        <v>595.235</v>
      </c>
      <c r="C161" s="6" t="str">
        <f t="shared" si="2"/>
        <v>595,235</v>
      </c>
      <c r="D161" s="6">
        <f t="shared" si="3"/>
        <v>595.235</v>
      </c>
      <c r="E161" s="6">
        <f t="shared" si="4"/>
        <v>3.539</v>
      </c>
    </row>
    <row r="162">
      <c r="A162" s="4" t="s">
        <v>4680</v>
      </c>
      <c r="B162" s="6" t="str">
        <f t="shared" si="1"/>
        <v>596.953</v>
      </c>
      <c r="C162" s="6" t="str">
        <f t="shared" si="2"/>
        <v>596,953</v>
      </c>
      <c r="D162" s="6">
        <f t="shared" si="3"/>
        <v>596.953</v>
      </c>
      <c r="E162" s="6">
        <f t="shared" si="4"/>
        <v>1.718</v>
      </c>
    </row>
    <row r="163">
      <c r="A163" s="4" t="s">
        <v>4681</v>
      </c>
      <c r="B163" s="6" t="str">
        <f t="shared" si="1"/>
        <v>601.333</v>
      </c>
      <c r="C163" s="6" t="str">
        <f t="shared" si="2"/>
        <v>601,333</v>
      </c>
      <c r="D163" s="6">
        <f t="shared" si="3"/>
        <v>601.333</v>
      </c>
      <c r="E163" s="6">
        <f t="shared" si="4"/>
        <v>4.38</v>
      </c>
    </row>
    <row r="164">
      <c r="A164" s="4" t="s">
        <v>4682</v>
      </c>
      <c r="B164" s="6" t="str">
        <f t="shared" si="1"/>
        <v>601.811</v>
      </c>
      <c r="C164" s="6" t="str">
        <f t="shared" si="2"/>
        <v>601,811</v>
      </c>
      <c r="D164" s="6">
        <f t="shared" si="3"/>
        <v>601.811</v>
      </c>
      <c r="E164" s="6">
        <f t="shared" si="4"/>
        <v>0.478</v>
      </c>
    </row>
    <row r="165">
      <c r="A165" s="4" t="s">
        <v>4683</v>
      </c>
      <c r="B165" s="6" t="str">
        <f t="shared" si="1"/>
        <v>604.206</v>
      </c>
      <c r="C165" s="6" t="str">
        <f t="shared" si="2"/>
        <v>604,206</v>
      </c>
      <c r="D165" s="6">
        <f t="shared" si="3"/>
        <v>604.206</v>
      </c>
      <c r="E165" s="6">
        <f t="shared" si="4"/>
        <v>2.395</v>
      </c>
    </row>
    <row r="166">
      <c r="A166" s="4" t="s">
        <v>4684</v>
      </c>
      <c r="B166" s="6" t="str">
        <f t="shared" si="1"/>
        <v>609.340</v>
      </c>
      <c r="C166" s="6" t="str">
        <f t="shared" si="2"/>
        <v>609,340</v>
      </c>
      <c r="D166" s="6">
        <f t="shared" si="3"/>
        <v>609.34</v>
      </c>
      <c r="E166" s="6">
        <f t="shared" si="4"/>
        <v>5.134</v>
      </c>
    </row>
    <row r="167">
      <c r="A167" s="4" t="s">
        <v>4685</v>
      </c>
      <c r="B167" s="6" t="str">
        <f t="shared" si="1"/>
        <v>614.337</v>
      </c>
      <c r="C167" s="6" t="str">
        <f t="shared" si="2"/>
        <v>614,337</v>
      </c>
      <c r="D167" s="6">
        <f t="shared" si="3"/>
        <v>614.337</v>
      </c>
      <c r="E167" s="6">
        <f t="shared" si="4"/>
        <v>4.997</v>
      </c>
    </row>
    <row r="168">
      <c r="A168" s="4" t="s">
        <v>4686</v>
      </c>
      <c r="B168" s="6" t="str">
        <f t="shared" si="1"/>
        <v>614.783</v>
      </c>
      <c r="C168" s="6" t="str">
        <f t="shared" si="2"/>
        <v>614,783</v>
      </c>
      <c r="D168" s="6">
        <f t="shared" si="3"/>
        <v>614.783</v>
      </c>
      <c r="E168" s="6">
        <f t="shared" si="4"/>
        <v>0.446</v>
      </c>
    </row>
    <row r="169">
      <c r="A169" s="4" t="s">
        <v>4687</v>
      </c>
      <c r="B169" s="6" t="str">
        <f t="shared" si="1"/>
        <v>617.543</v>
      </c>
      <c r="C169" s="6" t="str">
        <f t="shared" si="2"/>
        <v>617,543</v>
      </c>
      <c r="D169" s="6">
        <f t="shared" si="3"/>
        <v>617.543</v>
      </c>
      <c r="E169" s="6">
        <f t="shared" si="4"/>
        <v>2.76</v>
      </c>
    </row>
    <row r="170">
      <c r="A170" s="4" t="s">
        <v>4688</v>
      </c>
      <c r="B170" s="6" t="str">
        <f t="shared" si="1"/>
        <v>617.952</v>
      </c>
      <c r="C170" s="6" t="str">
        <f t="shared" si="2"/>
        <v>617,952</v>
      </c>
      <c r="D170" s="6">
        <f t="shared" si="3"/>
        <v>617.952</v>
      </c>
      <c r="E170" s="6">
        <f t="shared" si="4"/>
        <v>0.409</v>
      </c>
    </row>
    <row r="171">
      <c r="A171" s="4" t="s">
        <v>4689</v>
      </c>
      <c r="B171" s="6" t="str">
        <f t="shared" si="1"/>
        <v>618.365</v>
      </c>
      <c r="C171" s="6" t="str">
        <f t="shared" si="2"/>
        <v>618,365</v>
      </c>
      <c r="D171" s="6">
        <f t="shared" si="3"/>
        <v>618.365</v>
      </c>
      <c r="E171" s="6">
        <f t="shared" si="4"/>
        <v>0.413</v>
      </c>
    </row>
    <row r="172">
      <c r="A172" s="4" t="s">
        <v>4690</v>
      </c>
      <c r="B172" s="6" t="str">
        <f t="shared" si="1"/>
        <v>627.614</v>
      </c>
      <c r="C172" s="6" t="str">
        <f t="shared" si="2"/>
        <v>627,614</v>
      </c>
      <c r="D172" s="6">
        <f t="shared" si="3"/>
        <v>627.614</v>
      </c>
      <c r="E172" s="6">
        <f t="shared" si="4"/>
        <v>9.249</v>
      </c>
    </row>
    <row r="173">
      <c r="A173" s="4" t="s">
        <v>4691</v>
      </c>
      <c r="B173" s="6" t="str">
        <f t="shared" si="1"/>
        <v>628.370</v>
      </c>
      <c r="C173" s="6" t="str">
        <f t="shared" si="2"/>
        <v>628,370</v>
      </c>
      <c r="D173" s="6">
        <f t="shared" si="3"/>
        <v>628.37</v>
      </c>
      <c r="E173" s="6">
        <f t="shared" si="4"/>
        <v>0.756</v>
      </c>
    </row>
    <row r="174">
      <c r="A174" s="4" t="s">
        <v>4692</v>
      </c>
      <c r="B174" s="6" t="str">
        <f t="shared" si="1"/>
        <v>630.016</v>
      </c>
      <c r="C174" s="6" t="str">
        <f t="shared" si="2"/>
        <v>630,016</v>
      </c>
      <c r="D174" s="6">
        <f t="shared" si="3"/>
        <v>630.016</v>
      </c>
      <c r="E174" s="6">
        <f t="shared" si="4"/>
        <v>1.646</v>
      </c>
    </row>
    <row r="175">
      <c r="A175" s="4" t="s">
        <v>4693</v>
      </c>
      <c r="B175" s="6" t="str">
        <f t="shared" si="1"/>
        <v>630.967</v>
      </c>
      <c r="C175" s="6" t="str">
        <f t="shared" si="2"/>
        <v>630,967</v>
      </c>
      <c r="D175" s="6">
        <f t="shared" si="3"/>
        <v>630.967</v>
      </c>
      <c r="E175" s="6">
        <f t="shared" si="4"/>
        <v>0.951</v>
      </c>
    </row>
    <row r="176">
      <c r="A176" s="4" t="s">
        <v>4694</v>
      </c>
      <c r="B176" s="6" t="str">
        <f t="shared" si="1"/>
        <v>631.888</v>
      </c>
      <c r="C176" s="6" t="str">
        <f t="shared" si="2"/>
        <v>631,888</v>
      </c>
      <c r="D176" s="6">
        <f t="shared" si="3"/>
        <v>631.888</v>
      </c>
      <c r="E176" s="6">
        <f t="shared" si="4"/>
        <v>0.921</v>
      </c>
    </row>
    <row r="177">
      <c r="A177" s="4" t="s">
        <v>4695</v>
      </c>
      <c r="B177" s="6" t="str">
        <f t="shared" si="1"/>
        <v>632.558</v>
      </c>
      <c r="C177" s="6" t="str">
        <f t="shared" si="2"/>
        <v>632,558</v>
      </c>
      <c r="D177" s="6">
        <f t="shared" si="3"/>
        <v>632.558</v>
      </c>
      <c r="E177" s="6">
        <f t="shared" si="4"/>
        <v>0.67</v>
      </c>
    </row>
    <row r="178">
      <c r="A178" s="4" t="s">
        <v>4696</v>
      </c>
      <c r="B178" s="6" t="str">
        <f t="shared" si="1"/>
        <v>634.627</v>
      </c>
      <c r="C178" s="6" t="str">
        <f t="shared" si="2"/>
        <v>634,627</v>
      </c>
      <c r="D178" s="6">
        <f t="shared" si="3"/>
        <v>634.627</v>
      </c>
      <c r="E178" s="6">
        <f t="shared" si="4"/>
        <v>2.069</v>
      </c>
    </row>
    <row r="179">
      <c r="A179" s="4" t="s">
        <v>4697</v>
      </c>
      <c r="B179" s="6" t="str">
        <f t="shared" si="1"/>
        <v>635.583</v>
      </c>
      <c r="C179" s="6" t="str">
        <f t="shared" si="2"/>
        <v>635,583</v>
      </c>
      <c r="D179" s="6">
        <f t="shared" si="3"/>
        <v>635.583</v>
      </c>
      <c r="E179" s="6">
        <f t="shared" si="4"/>
        <v>0.956</v>
      </c>
    </row>
    <row r="180">
      <c r="A180" s="4" t="s">
        <v>4698</v>
      </c>
      <c r="B180" s="6" t="str">
        <f t="shared" si="1"/>
        <v>636.116</v>
      </c>
      <c r="C180" s="6" t="str">
        <f t="shared" si="2"/>
        <v>636,116</v>
      </c>
      <c r="D180" s="6">
        <f t="shared" si="3"/>
        <v>636.116</v>
      </c>
      <c r="E180" s="6">
        <f t="shared" si="4"/>
        <v>0.533</v>
      </c>
    </row>
    <row r="181">
      <c r="A181" s="4" t="s">
        <v>4699</v>
      </c>
      <c r="B181" s="6" t="str">
        <f t="shared" si="1"/>
        <v>640.899</v>
      </c>
      <c r="C181" s="6" t="str">
        <f t="shared" si="2"/>
        <v>640,899</v>
      </c>
      <c r="D181" s="6">
        <f t="shared" si="3"/>
        <v>640.899</v>
      </c>
      <c r="E181" s="6">
        <f t="shared" si="4"/>
        <v>4.783</v>
      </c>
    </row>
    <row r="182">
      <c r="A182" s="4" t="s">
        <v>4700</v>
      </c>
      <c r="B182" s="6" t="str">
        <f t="shared" si="1"/>
        <v>642.777</v>
      </c>
      <c r="C182" s="6" t="str">
        <f t="shared" si="2"/>
        <v>642,777</v>
      </c>
      <c r="D182" s="6">
        <f t="shared" si="3"/>
        <v>642.777</v>
      </c>
      <c r="E182" s="6">
        <f t="shared" si="4"/>
        <v>1.878</v>
      </c>
    </row>
    <row r="183">
      <c r="A183" s="4" t="s">
        <v>4701</v>
      </c>
      <c r="B183" s="6" t="str">
        <f t="shared" si="1"/>
        <v>648.835</v>
      </c>
      <c r="C183" s="6" t="str">
        <f t="shared" si="2"/>
        <v>648,835</v>
      </c>
      <c r="D183" s="6">
        <f t="shared" si="3"/>
        <v>648.835</v>
      </c>
      <c r="E183" s="6">
        <f t="shared" si="4"/>
        <v>6.058</v>
      </c>
    </row>
    <row r="184">
      <c r="A184" s="4" t="s">
        <v>4702</v>
      </c>
      <c r="B184" s="6" t="str">
        <f t="shared" si="1"/>
        <v>664.775</v>
      </c>
      <c r="C184" s="6" t="str">
        <f t="shared" si="2"/>
        <v>664,775</v>
      </c>
      <c r="D184" s="6">
        <f t="shared" si="3"/>
        <v>664.775</v>
      </c>
      <c r="E184" s="6">
        <f t="shared" si="4"/>
        <v>15.94</v>
      </c>
    </row>
    <row r="185">
      <c r="A185" s="4" t="s">
        <v>4703</v>
      </c>
      <c r="B185" s="6" t="str">
        <f t="shared" si="1"/>
        <v>665.432</v>
      </c>
      <c r="C185" s="6" t="str">
        <f t="shared" si="2"/>
        <v>665,432</v>
      </c>
      <c r="D185" s="6">
        <f t="shared" si="3"/>
        <v>665.432</v>
      </c>
      <c r="E185" s="6">
        <f t="shared" si="4"/>
        <v>0.657</v>
      </c>
    </row>
    <row r="186">
      <c r="A186" s="4" t="s">
        <v>4704</v>
      </c>
      <c r="B186" s="6" t="str">
        <f t="shared" si="1"/>
        <v>669.849</v>
      </c>
      <c r="C186" s="6" t="str">
        <f t="shared" si="2"/>
        <v>669,849</v>
      </c>
      <c r="D186" s="6">
        <f t="shared" si="3"/>
        <v>669.849</v>
      </c>
      <c r="E186" s="6">
        <f t="shared" si="4"/>
        <v>4.417</v>
      </c>
    </row>
    <row r="187">
      <c r="A187" s="4" t="s">
        <v>4705</v>
      </c>
      <c r="B187" s="6" t="str">
        <f t="shared" si="1"/>
        <v>670.988</v>
      </c>
      <c r="C187" s="6" t="str">
        <f t="shared" si="2"/>
        <v>670,988</v>
      </c>
      <c r="D187" s="6">
        <f t="shared" si="3"/>
        <v>670.988</v>
      </c>
      <c r="E187" s="6">
        <f t="shared" si="4"/>
        <v>1.139</v>
      </c>
    </row>
    <row r="188">
      <c r="A188" s="4" t="s">
        <v>4706</v>
      </c>
      <c r="B188" s="6" t="str">
        <f t="shared" si="1"/>
        <v>672.384</v>
      </c>
      <c r="C188" s="6" t="str">
        <f t="shared" si="2"/>
        <v>672,384</v>
      </c>
      <c r="D188" s="6">
        <f t="shared" si="3"/>
        <v>672.384</v>
      </c>
      <c r="E188" s="6">
        <f t="shared" si="4"/>
        <v>1.396</v>
      </c>
    </row>
    <row r="189">
      <c r="A189" s="4" t="s">
        <v>4707</v>
      </c>
      <c r="B189" s="6" t="str">
        <f t="shared" si="1"/>
        <v>677.623</v>
      </c>
      <c r="C189" s="6" t="str">
        <f t="shared" si="2"/>
        <v>677,623</v>
      </c>
      <c r="D189" s="6">
        <f t="shared" si="3"/>
        <v>677.623</v>
      </c>
      <c r="E189" s="6">
        <f t="shared" si="4"/>
        <v>5.239</v>
      </c>
    </row>
    <row r="190">
      <c r="A190" s="4" t="s">
        <v>4708</v>
      </c>
      <c r="B190" s="6" t="str">
        <f t="shared" si="1"/>
        <v>678.102</v>
      </c>
      <c r="C190" s="6" t="str">
        <f t="shared" si="2"/>
        <v>678,102</v>
      </c>
      <c r="D190" s="6">
        <f t="shared" si="3"/>
        <v>678.102</v>
      </c>
      <c r="E190" s="6">
        <f t="shared" si="4"/>
        <v>0.479</v>
      </c>
    </row>
    <row r="191">
      <c r="A191" s="4" t="s">
        <v>4709</v>
      </c>
      <c r="B191" s="6" t="str">
        <f t="shared" si="1"/>
        <v>680.822</v>
      </c>
      <c r="C191" s="6" t="str">
        <f t="shared" si="2"/>
        <v>680,822</v>
      </c>
      <c r="D191" s="6">
        <f t="shared" si="3"/>
        <v>680.822</v>
      </c>
      <c r="E191" s="6">
        <f t="shared" si="4"/>
        <v>2.72</v>
      </c>
    </row>
    <row r="192">
      <c r="A192" s="4" t="s">
        <v>4710</v>
      </c>
      <c r="B192" s="6" t="str">
        <f t="shared" si="1"/>
        <v>681.265</v>
      </c>
      <c r="C192" s="6" t="str">
        <f t="shared" si="2"/>
        <v>681,265</v>
      </c>
      <c r="D192" s="6">
        <f t="shared" si="3"/>
        <v>681.265</v>
      </c>
      <c r="E192" s="6">
        <f t="shared" si="4"/>
        <v>0.443</v>
      </c>
    </row>
    <row r="193">
      <c r="A193" s="4" t="s">
        <v>4711</v>
      </c>
      <c r="B193" s="6" t="str">
        <f t="shared" si="1"/>
        <v>682.505</v>
      </c>
      <c r="C193" s="6" t="str">
        <f t="shared" si="2"/>
        <v>682,505</v>
      </c>
      <c r="D193" s="6">
        <f t="shared" si="3"/>
        <v>682.505</v>
      </c>
      <c r="E193" s="6">
        <f t="shared" si="4"/>
        <v>1.24</v>
      </c>
    </row>
    <row r="194">
      <c r="A194" s="4" t="s">
        <v>4712</v>
      </c>
      <c r="B194" s="6" t="str">
        <f t="shared" si="1"/>
        <v>684.385</v>
      </c>
      <c r="C194" s="6" t="str">
        <f t="shared" si="2"/>
        <v>684,385</v>
      </c>
      <c r="D194" s="6">
        <f t="shared" si="3"/>
        <v>684.385</v>
      </c>
      <c r="E194" s="6">
        <f t="shared" si="4"/>
        <v>1.88</v>
      </c>
    </row>
    <row r="195">
      <c r="A195" s="4" t="s">
        <v>4713</v>
      </c>
      <c r="B195" s="6" t="str">
        <f t="shared" si="1"/>
        <v>685.366</v>
      </c>
      <c r="C195" s="6" t="str">
        <f t="shared" si="2"/>
        <v>685,366</v>
      </c>
      <c r="D195" s="6">
        <f t="shared" si="3"/>
        <v>685.366</v>
      </c>
      <c r="E195" s="6">
        <f t="shared" si="4"/>
        <v>0.981</v>
      </c>
    </row>
    <row r="196">
      <c r="A196" s="4" t="s">
        <v>4714</v>
      </c>
      <c r="B196" s="6" t="str">
        <f t="shared" si="1"/>
        <v>689.151</v>
      </c>
      <c r="C196" s="6" t="str">
        <f t="shared" si="2"/>
        <v>689,151</v>
      </c>
      <c r="D196" s="6">
        <f t="shared" si="3"/>
        <v>689.151</v>
      </c>
      <c r="E196" s="6">
        <f t="shared" si="4"/>
        <v>3.785</v>
      </c>
    </row>
    <row r="197">
      <c r="A197" s="4" t="s">
        <v>4715</v>
      </c>
      <c r="B197" s="6" t="str">
        <f t="shared" si="1"/>
        <v>689.572</v>
      </c>
      <c r="C197" s="6" t="str">
        <f t="shared" si="2"/>
        <v>689,572</v>
      </c>
      <c r="D197" s="6">
        <f t="shared" si="3"/>
        <v>689.572</v>
      </c>
      <c r="E197" s="6">
        <f t="shared" si="4"/>
        <v>0.421</v>
      </c>
    </row>
    <row r="198">
      <c r="A198" s="4" t="s">
        <v>4716</v>
      </c>
      <c r="B198" s="6" t="str">
        <f t="shared" si="1"/>
        <v>690.698</v>
      </c>
      <c r="C198" s="6" t="str">
        <f t="shared" si="2"/>
        <v>690,698</v>
      </c>
      <c r="D198" s="6">
        <f t="shared" si="3"/>
        <v>690.698</v>
      </c>
      <c r="E198" s="6">
        <f t="shared" si="4"/>
        <v>1.126</v>
      </c>
    </row>
    <row r="199">
      <c r="A199" s="4" t="s">
        <v>4717</v>
      </c>
      <c r="B199" s="6" t="str">
        <f t="shared" si="1"/>
        <v>695.536</v>
      </c>
      <c r="C199" s="6" t="str">
        <f t="shared" si="2"/>
        <v>695,536</v>
      </c>
      <c r="D199" s="6">
        <f t="shared" si="3"/>
        <v>695.536</v>
      </c>
      <c r="E199" s="6">
        <f t="shared" si="4"/>
        <v>4.838</v>
      </c>
    </row>
    <row r="200">
      <c r="A200" s="4" t="s">
        <v>4718</v>
      </c>
      <c r="B200" s="6" t="str">
        <f t="shared" si="1"/>
        <v>705.592</v>
      </c>
      <c r="C200" s="6" t="str">
        <f t="shared" si="2"/>
        <v>705,592</v>
      </c>
      <c r="D200" s="6">
        <f t="shared" si="3"/>
        <v>705.592</v>
      </c>
      <c r="E200" s="6">
        <f t="shared" si="4"/>
        <v>10.056</v>
      </c>
    </row>
    <row r="201">
      <c r="A201" s="4" t="s">
        <v>4719</v>
      </c>
      <c r="B201" s="6" t="str">
        <f t="shared" si="1"/>
        <v>708.476</v>
      </c>
      <c r="C201" s="6" t="str">
        <f t="shared" si="2"/>
        <v>708,476</v>
      </c>
      <c r="D201" s="6">
        <f t="shared" si="3"/>
        <v>708.476</v>
      </c>
      <c r="E201" s="6">
        <f t="shared" si="4"/>
        <v>2.884</v>
      </c>
    </row>
    <row r="202">
      <c r="A202" s="4" t="s">
        <v>4720</v>
      </c>
      <c r="B202" s="6" t="str">
        <f t="shared" si="1"/>
        <v>711.317</v>
      </c>
      <c r="C202" s="6" t="str">
        <f t="shared" si="2"/>
        <v>711,317</v>
      </c>
      <c r="D202" s="6">
        <f t="shared" si="3"/>
        <v>711.317</v>
      </c>
      <c r="E202" s="6">
        <f t="shared" si="4"/>
        <v>2.841</v>
      </c>
    </row>
    <row r="203">
      <c r="A203" s="4" t="s">
        <v>4721</v>
      </c>
      <c r="B203" s="6" t="str">
        <f t="shared" si="1"/>
        <v>712.099</v>
      </c>
      <c r="C203" s="6" t="str">
        <f t="shared" si="2"/>
        <v>712,099</v>
      </c>
      <c r="D203" s="6">
        <f t="shared" si="3"/>
        <v>712.099</v>
      </c>
      <c r="E203" s="6">
        <f t="shared" si="4"/>
        <v>0.782</v>
      </c>
    </row>
    <row r="204">
      <c r="A204" s="4" t="s">
        <v>4722</v>
      </c>
      <c r="B204" s="6" t="str">
        <f t="shared" si="1"/>
        <v>719.065</v>
      </c>
      <c r="C204" s="6" t="str">
        <f t="shared" si="2"/>
        <v>719,065</v>
      </c>
      <c r="D204" s="6">
        <f t="shared" si="3"/>
        <v>719.065</v>
      </c>
      <c r="E204" s="6">
        <f t="shared" si="4"/>
        <v>6.966</v>
      </c>
    </row>
    <row r="205">
      <c r="A205" s="4" t="s">
        <v>4723</v>
      </c>
      <c r="B205" s="6" t="str">
        <f t="shared" si="1"/>
        <v>719.532</v>
      </c>
      <c r="C205" s="6" t="str">
        <f t="shared" si="2"/>
        <v>719,532</v>
      </c>
      <c r="D205" s="6">
        <f t="shared" si="3"/>
        <v>719.532</v>
      </c>
      <c r="E205" s="6">
        <f t="shared" si="4"/>
        <v>0.467</v>
      </c>
    </row>
    <row r="206">
      <c r="A206" s="4" t="s">
        <v>4724</v>
      </c>
      <c r="B206" s="6" t="str">
        <f t="shared" si="1"/>
        <v>722.130</v>
      </c>
      <c r="C206" s="6" t="str">
        <f t="shared" si="2"/>
        <v>722,130</v>
      </c>
      <c r="D206" s="6">
        <f t="shared" si="3"/>
        <v>722.13</v>
      </c>
      <c r="E206" s="6">
        <f t="shared" si="4"/>
        <v>2.598</v>
      </c>
    </row>
    <row r="207">
      <c r="A207" s="4" t="s">
        <v>4725</v>
      </c>
      <c r="B207" s="6" t="str">
        <f t="shared" si="1"/>
        <v>723.456</v>
      </c>
      <c r="C207" s="6" t="str">
        <f t="shared" si="2"/>
        <v>723,456</v>
      </c>
      <c r="D207" s="6">
        <f t="shared" si="3"/>
        <v>723.456</v>
      </c>
      <c r="E207" s="6">
        <f t="shared" si="4"/>
        <v>1.326</v>
      </c>
    </row>
    <row r="208">
      <c r="A208" s="4" t="s">
        <v>4726</v>
      </c>
      <c r="B208" s="6" t="str">
        <f t="shared" si="1"/>
        <v>726.265</v>
      </c>
      <c r="C208" s="6" t="str">
        <f t="shared" si="2"/>
        <v>726,265</v>
      </c>
      <c r="D208" s="6">
        <f t="shared" si="3"/>
        <v>726.265</v>
      </c>
      <c r="E208" s="6">
        <f t="shared" si="4"/>
        <v>2.809</v>
      </c>
    </row>
    <row r="209">
      <c r="A209" s="4" t="s">
        <v>4727</v>
      </c>
      <c r="B209" s="6" t="str">
        <f t="shared" si="1"/>
        <v>726.925</v>
      </c>
      <c r="C209" s="6" t="str">
        <f t="shared" si="2"/>
        <v>726,925</v>
      </c>
      <c r="D209" s="6">
        <f t="shared" si="3"/>
        <v>726.925</v>
      </c>
      <c r="E209" s="6">
        <f t="shared" si="4"/>
        <v>0.66</v>
      </c>
    </row>
    <row r="210">
      <c r="A210" s="4" t="s">
        <v>4728</v>
      </c>
      <c r="B210" s="6" t="str">
        <f t="shared" si="1"/>
        <v>728.165</v>
      </c>
      <c r="C210" s="6" t="str">
        <f t="shared" si="2"/>
        <v>728,165</v>
      </c>
      <c r="D210" s="6">
        <f t="shared" si="3"/>
        <v>728.165</v>
      </c>
      <c r="E210" s="6">
        <f t="shared" si="4"/>
        <v>1.24</v>
      </c>
    </row>
    <row r="211">
      <c r="A211" s="4" t="s">
        <v>4729</v>
      </c>
      <c r="B211" s="6" t="str">
        <f t="shared" si="1"/>
        <v>729.126</v>
      </c>
      <c r="C211" s="6" t="str">
        <f t="shared" si="2"/>
        <v>729,126</v>
      </c>
      <c r="D211" s="6">
        <f t="shared" si="3"/>
        <v>729.126</v>
      </c>
      <c r="E211" s="6">
        <f t="shared" si="4"/>
        <v>0.961</v>
      </c>
    </row>
    <row r="212">
      <c r="A212" s="4" t="s">
        <v>4730</v>
      </c>
      <c r="B212" s="6" t="str">
        <f t="shared" si="1"/>
        <v>732.826</v>
      </c>
      <c r="C212" s="6" t="str">
        <f t="shared" si="2"/>
        <v>732,826</v>
      </c>
      <c r="D212" s="6">
        <f t="shared" si="3"/>
        <v>732.826</v>
      </c>
      <c r="E212" s="6">
        <f t="shared" si="4"/>
        <v>3.7</v>
      </c>
    </row>
    <row r="213">
      <c r="A213" s="4" t="s">
        <v>4731</v>
      </c>
      <c r="B213" s="6" t="str">
        <f t="shared" si="1"/>
        <v>734.858</v>
      </c>
      <c r="C213" s="6" t="str">
        <f t="shared" si="2"/>
        <v>734,858</v>
      </c>
      <c r="D213" s="6">
        <f t="shared" si="3"/>
        <v>734.858</v>
      </c>
      <c r="E213" s="6">
        <f t="shared" si="4"/>
        <v>2.032</v>
      </c>
    </row>
    <row r="214">
      <c r="A214" s="4" t="s">
        <v>4732</v>
      </c>
      <c r="B214" s="6" t="str">
        <f t="shared" si="1"/>
        <v>737.041</v>
      </c>
      <c r="C214" s="6" t="str">
        <f t="shared" si="2"/>
        <v>737,041</v>
      </c>
      <c r="D214" s="6">
        <f t="shared" si="3"/>
        <v>737.041</v>
      </c>
      <c r="E214" s="6">
        <f t="shared" si="4"/>
        <v>2.183</v>
      </c>
    </row>
    <row r="215">
      <c r="A215" s="4" t="s">
        <v>4733</v>
      </c>
      <c r="B215" s="6" t="str">
        <f t="shared" si="1"/>
        <v>742.805</v>
      </c>
      <c r="C215" s="6" t="str">
        <f t="shared" si="2"/>
        <v>742,805</v>
      </c>
      <c r="D215" s="6">
        <f t="shared" si="3"/>
        <v>742.805</v>
      </c>
      <c r="E215" s="6">
        <f t="shared" si="4"/>
        <v>5.764</v>
      </c>
    </row>
    <row r="216">
      <c r="A216" s="4" t="s">
        <v>4734</v>
      </c>
      <c r="B216" s="6" t="str">
        <f t="shared" si="1"/>
        <v>756.475</v>
      </c>
      <c r="C216" s="6" t="str">
        <f t="shared" si="2"/>
        <v>756,475</v>
      </c>
      <c r="D216" s="6">
        <f t="shared" si="3"/>
        <v>756.475</v>
      </c>
      <c r="E216" s="6">
        <f t="shared" si="4"/>
        <v>13.67</v>
      </c>
    </row>
    <row r="217">
      <c r="A217" s="4" t="s">
        <v>4735</v>
      </c>
      <c r="B217" s="6" t="str">
        <f t="shared" si="1"/>
        <v>759.591</v>
      </c>
      <c r="C217" s="6" t="str">
        <f t="shared" si="2"/>
        <v>759,591</v>
      </c>
      <c r="D217" s="6">
        <f t="shared" si="3"/>
        <v>759.591</v>
      </c>
      <c r="E217" s="6">
        <f t="shared" si="4"/>
        <v>3.116</v>
      </c>
    </row>
    <row r="218">
      <c r="A218" s="4" t="s">
        <v>4736</v>
      </c>
      <c r="B218" s="6" t="str">
        <f t="shared" si="1"/>
        <v>760.041</v>
      </c>
      <c r="C218" s="6" t="str">
        <f t="shared" si="2"/>
        <v>760,041</v>
      </c>
      <c r="D218" s="6">
        <f t="shared" si="3"/>
        <v>760.041</v>
      </c>
      <c r="E218" s="6">
        <f t="shared" si="4"/>
        <v>0.45</v>
      </c>
    </row>
    <row r="219">
      <c r="A219" s="4" t="s">
        <v>4737</v>
      </c>
      <c r="B219" s="6" t="str">
        <f t="shared" si="1"/>
        <v>765.473</v>
      </c>
      <c r="C219" s="6" t="str">
        <f t="shared" si="2"/>
        <v>765,473</v>
      </c>
      <c r="D219" s="6">
        <f t="shared" si="3"/>
        <v>765.473</v>
      </c>
      <c r="E219" s="6">
        <f t="shared" si="4"/>
        <v>5.432</v>
      </c>
    </row>
    <row r="220">
      <c r="A220" s="4" t="s">
        <v>4738</v>
      </c>
      <c r="B220" s="6" t="str">
        <f t="shared" si="1"/>
        <v>771.875</v>
      </c>
      <c r="C220" s="6" t="str">
        <f t="shared" si="2"/>
        <v>771,875</v>
      </c>
      <c r="D220" s="6">
        <f t="shared" si="3"/>
        <v>771.875</v>
      </c>
      <c r="E220" s="6">
        <f t="shared" si="4"/>
        <v>6.402</v>
      </c>
    </row>
    <row r="221">
      <c r="A221" s="4" t="s">
        <v>4739</v>
      </c>
      <c r="B221" s="6" t="str">
        <f t="shared" si="1"/>
        <v>773.069</v>
      </c>
      <c r="C221" s="6" t="str">
        <f t="shared" si="2"/>
        <v>773,069</v>
      </c>
      <c r="D221" s="6">
        <f t="shared" si="3"/>
        <v>773.069</v>
      </c>
      <c r="E221" s="6">
        <f t="shared" si="4"/>
        <v>1.194</v>
      </c>
    </row>
    <row r="222">
      <c r="A222" s="4" t="s">
        <v>4740</v>
      </c>
      <c r="B222" s="6" t="str">
        <f t="shared" si="1"/>
        <v>773.491</v>
      </c>
      <c r="C222" s="6" t="str">
        <f t="shared" si="2"/>
        <v>773,491</v>
      </c>
      <c r="D222" s="6">
        <f t="shared" si="3"/>
        <v>773.491</v>
      </c>
      <c r="E222" s="6">
        <f t="shared" si="4"/>
        <v>0.422</v>
      </c>
    </row>
    <row r="223">
      <c r="A223" s="4" t="s">
        <v>4741</v>
      </c>
      <c r="B223" s="6" t="str">
        <f t="shared" si="1"/>
        <v>775.945</v>
      </c>
      <c r="C223" s="6" t="str">
        <f t="shared" si="2"/>
        <v>775,945</v>
      </c>
      <c r="D223" s="6">
        <f t="shared" si="3"/>
        <v>775.945</v>
      </c>
      <c r="E223" s="6">
        <f t="shared" si="4"/>
        <v>2.454</v>
      </c>
    </row>
    <row r="224">
      <c r="A224" s="4" t="s">
        <v>4742</v>
      </c>
      <c r="B224" s="6" t="str">
        <f t="shared" si="1"/>
        <v>776.426</v>
      </c>
      <c r="C224" s="6" t="str">
        <f t="shared" si="2"/>
        <v>776,426</v>
      </c>
      <c r="D224" s="6">
        <f t="shared" si="3"/>
        <v>776.426</v>
      </c>
      <c r="E224" s="6">
        <f t="shared" si="4"/>
        <v>0.481</v>
      </c>
    </row>
    <row r="225">
      <c r="A225" s="4" t="s">
        <v>4743</v>
      </c>
      <c r="B225" s="6" t="str">
        <f t="shared" si="1"/>
        <v>784.023</v>
      </c>
      <c r="C225" s="6" t="str">
        <f t="shared" si="2"/>
        <v>784,023</v>
      </c>
      <c r="D225" s="6">
        <f t="shared" si="3"/>
        <v>784.023</v>
      </c>
      <c r="E225" s="6">
        <f t="shared" si="4"/>
        <v>7.597</v>
      </c>
    </row>
    <row r="226">
      <c r="A226" s="4" t="s">
        <v>4744</v>
      </c>
      <c r="B226" s="6" t="str">
        <f t="shared" si="1"/>
        <v>784.669</v>
      </c>
      <c r="C226" s="6" t="str">
        <f t="shared" si="2"/>
        <v>784,669</v>
      </c>
      <c r="D226" s="6">
        <f t="shared" si="3"/>
        <v>784.669</v>
      </c>
      <c r="E226" s="6">
        <f t="shared" si="4"/>
        <v>0.646</v>
      </c>
    </row>
    <row r="227">
      <c r="A227" s="4" t="s">
        <v>4745</v>
      </c>
      <c r="B227" s="6" t="str">
        <f t="shared" si="1"/>
        <v>790.141</v>
      </c>
      <c r="C227" s="6" t="str">
        <f t="shared" si="2"/>
        <v>790,141</v>
      </c>
      <c r="D227" s="6">
        <f t="shared" si="3"/>
        <v>790.141</v>
      </c>
      <c r="E227" s="6">
        <f t="shared" si="4"/>
        <v>5.472</v>
      </c>
    </row>
    <row r="228">
      <c r="A228" s="4" t="s">
        <v>4746</v>
      </c>
      <c r="B228" s="6" t="str">
        <f t="shared" si="1"/>
        <v>790.547</v>
      </c>
      <c r="C228" s="6" t="str">
        <f t="shared" si="2"/>
        <v>790,547</v>
      </c>
      <c r="D228" s="6">
        <f t="shared" si="3"/>
        <v>790.547</v>
      </c>
      <c r="E228" s="6">
        <f t="shared" si="4"/>
        <v>0.406</v>
      </c>
    </row>
    <row r="229">
      <c r="A229" s="4" t="s">
        <v>4747</v>
      </c>
      <c r="B229" s="6" t="str">
        <f t="shared" si="1"/>
        <v>797.438</v>
      </c>
      <c r="C229" s="6" t="str">
        <f t="shared" si="2"/>
        <v>797,438</v>
      </c>
      <c r="D229" s="6">
        <f t="shared" si="3"/>
        <v>797.438</v>
      </c>
      <c r="E229" s="6">
        <f t="shared" si="4"/>
        <v>6.891</v>
      </c>
    </row>
    <row r="230">
      <c r="A230" s="4" t="s">
        <v>4748</v>
      </c>
      <c r="B230" s="6" t="str">
        <f t="shared" si="1"/>
        <v>802.725</v>
      </c>
      <c r="C230" s="6" t="str">
        <f t="shared" si="2"/>
        <v>802,725</v>
      </c>
      <c r="D230" s="6">
        <f t="shared" si="3"/>
        <v>802.725</v>
      </c>
      <c r="E230" s="6">
        <f t="shared" si="4"/>
        <v>5.287</v>
      </c>
    </row>
    <row r="231">
      <c r="A231" s="4" t="s">
        <v>4749</v>
      </c>
      <c r="B231" s="6" t="str">
        <f t="shared" si="1"/>
        <v>806.266</v>
      </c>
      <c r="C231" s="6" t="str">
        <f t="shared" si="2"/>
        <v>806,266</v>
      </c>
      <c r="D231" s="6">
        <f t="shared" si="3"/>
        <v>806.266</v>
      </c>
      <c r="E231" s="6">
        <f t="shared" si="4"/>
        <v>3.541</v>
      </c>
    </row>
    <row r="232">
      <c r="A232" s="4" t="s">
        <v>4750</v>
      </c>
      <c r="B232" s="6" t="str">
        <f t="shared" si="1"/>
        <v>806.804</v>
      </c>
      <c r="C232" s="6" t="str">
        <f t="shared" si="2"/>
        <v>806,804</v>
      </c>
      <c r="D232" s="6">
        <f t="shared" si="3"/>
        <v>806.804</v>
      </c>
      <c r="E232" s="6">
        <f t="shared" si="4"/>
        <v>0.538</v>
      </c>
    </row>
    <row r="233">
      <c r="A233" s="4" t="s">
        <v>4751</v>
      </c>
      <c r="B233" s="6" t="str">
        <f t="shared" si="1"/>
        <v>807.219</v>
      </c>
      <c r="C233" s="6" t="str">
        <f t="shared" si="2"/>
        <v>807,219</v>
      </c>
      <c r="D233" s="6">
        <f t="shared" si="3"/>
        <v>807.219</v>
      </c>
      <c r="E233" s="6">
        <f t="shared" si="4"/>
        <v>0.415</v>
      </c>
    </row>
    <row r="234">
      <c r="A234" s="4" t="s">
        <v>4752</v>
      </c>
      <c r="B234" s="6" t="str">
        <f t="shared" si="1"/>
        <v>818.540</v>
      </c>
      <c r="C234" s="6" t="str">
        <f t="shared" si="2"/>
        <v>818,540</v>
      </c>
      <c r="D234" s="6">
        <f t="shared" si="3"/>
        <v>818.54</v>
      </c>
      <c r="E234" s="6">
        <f t="shared" si="4"/>
        <v>11.321</v>
      </c>
    </row>
    <row r="235">
      <c r="A235" s="4" t="s">
        <v>4753</v>
      </c>
      <c r="B235" s="6" t="str">
        <f t="shared" si="1"/>
        <v>819.012</v>
      </c>
      <c r="C235" s="6" t="str">
        <f t="shared" si="2"/>
        <v>819,012</v>
      </c>
      <c r="D235" s="6">
        <f t="shared" si="3"/>
        <v>819.012</v>
      </c>
      <c r="E235" s="6">
        <f t="shared" si="4"/>
        <v>0.472</v>
      </c>
    </row>
    <row r="236">
      <c r="A236" s="4" t="s">
        <v>4754</v>
      </c>
      <c r="B236" s="6" t="str">
        <f t="shared" si="1"/>
        <v>819.450</v>
      </c>
      <c r="C236" s="6" t="str">
        <f t="shared" si="2"/>
        <v>819,450</v>
      </c>
      <c r="D236" s="6">
        <f t="shared" si="3"/>
        <v>819.45</v>
      </c>
      <c r="E236" s="6">
        <f t="shared" si="4"/>
        <v>0.438</v>
      </c>
    </row>
    <row r="237">
      <c r="A237" s="4" t="s">
        <v>4755</v>
      </c>
      <c r="B237" s="6" t="str">
        <f t="shared" si="1"/>
        <v>820.425</v>
      </c>
      <c r="C237" s="6" t="str">
        <f t="shared" si="2"/>
        <v>820,425</v>
      </c>
      <c r="D237" s="6">
        <f t="shared" si="3"/>
        <v>820.425</v>
      </c>
      <c r="E237" s="6">
        <f t="shared" si="4"/>
        <v>0.975</v>
      </c>
    </row>
    <row r="238">
      <c r="A238" s="4" t="s">
        <v>4756</v>
      </c>
      <c r="B238" s="6" t="str">
        <f t="shared" si="1"/>
        <v>821.316</v>
      </c>
      <c r="C238" s="6" t="str">
        <f t="shared" si="2"/>
        <v>821,316</v>
      </c>
      <c r="D238" s="6">
        <f t="shared" si="3"/>
        <v>821.316</v>
      </c>
      <c r="E238" s="6">
        <f t="shared" si="4"/>
        <v>0.891</v>
      </c>
    </row>
    <row r="239">
      <c r="A239" s="4" t="s">
        <v>4757</v>
      </c>
      <c r="B239" s="6" t="str">
        <f t="shared" si="1"/>
        <v>823.905</v>
      </c>
      <c r="C239" s="6" t="str">
        <f t="shared" si="2"/>
        <v>823,905</v>
      </c>
      <c r="D239" s="6">
        <f t="shared" si="3"/>
        <v>823.905</v>
      </c>
      <c r="E239" s="6">
        <f t="shared" si="4"/>
        <v>2.589</v>
      </c>
    </row>
    <row r="240">
      <c r="A240" s="4" t="s">
        <v>4758</v>
      </c>
      <c r="B240" s="6" t="str">
        <f t="shared" si="1"/>
        <v>826.746</v>
      </c>
      <c r="C240" s="6" t="str">
        <f t="shared" si="2"/>
        <v>826,746</v>
      </c>
      <c r="D240" s="6">
        <f t="shared" si="3"/>
        <v>826.746</v>
      </c>
      <c r="E240" s="6">
        <f t="shared" si="4"/>
        <v>2.841</v>
      </c>
    </row>
    <row r="241">
      <c r="A241" s="4" t="s">
        <v>4759</v>
      </c>
      <c r="B241" s="6" t="str">
        <f t="shared" si="1"/>
        <v>829.015</v>
      </c>
      <c r="C241" s="6" t="str">
        <f t="shared" si="2"/>
        <v>829,015</v>
      </c>
      <c r="D241" s="6">
        <f t="shared" si="3"/>
        <v>829.015</v>
      </c>
      <c r="E241" s="6">
        <f t="shared" si="4"/>
        <v>2.269</v>
      </c>
    </row>
    <row r="242">
      <c r="A242" s="4" t="s">
        <v>4760</v>
      </c>
      <c r="B242" s="6" t="str">
        <f t="shared" si="1"/>
        <v>829.703</v>
      </c>
      <c r="C242" s="6" t="str">
        <f t="shared" si="2"/>
        <v>829,703</v>
      </c>
      <c r="D242" s="6">
        <f t="shared" si="3"/>
        <v>829.703</v>
      </c>
      <c r="E242" s="6">
        <f t="shared" si="4"/>
        <v>0.688</v>
      </c>
    </row>
    <row r="243">
      <c r="A243" s="4" t="s">
        <v>4761</v>
      </c>
      <c r="B243" s="6" t="str">
        <f t="shared" si="1"/>
        <v>830.126</v>
      </c>
      <c r="C243" s="6" t="str">
        <f t="shared" si="2"/>
        <v>830,126</v>
      </c>
      <c r="D243" s="6">
        <f t="shared" si="3"/>
        <v>830.126</v>
      </c>
      <c r="E243" s="6">
        <f t="shared" si="4"/>
        <v>0.423</v>
      </c>
    </row>
    <row r="244">
      <c r="A244" s="4" t="s">
        <v>4762</v>
      </c>
      <c r="B244" s="6" t="str">
        <f t="shared" si="1"/>
        <v>837.106</v>
      </c>
      <c r="C244" s="6" t="str">
        <f t="shared" si="2"/>
        <v>837,106</v>
      </c>
      <c r="D244" s="6">
        <f t="shared" si="3"/>
        <v>837.106</v>
      </c>
      <c r="E244" s="6">
        <f t="shared" si="4"/>
        <v>6.98</v>
      </c>
    </row>
    <row r="245">
      <c r="A245" s="4" t="s">
        <v>4763</v>
      </c>
      <c r="B245" s="6" t="str">
        <f t="shared" si="1"/>
        <v>837.562</v>
      </c>
      <c r="C245" s="6" t="str">
        <f t="shared" si="2"/>
        <v>837,562</v>
      </c>
      <c r="D245" s="6">
        <f t="shared" si="3"/>
        <v>837.562</v>
      </c>
      <c r="E245" s="6">
        <f t="shared" si="4"/>
        <v>0.456</v>
      </c>
    </row>
    <row r="246">
      <c r="A246" s="4" t="s">
        <v>4764</v>
      </c>
      <c r="B246" s="6" t="str">
        <f t="shared" si="1"/>
        <v>839.325</v>
      </c>
      <c r="C246" s="6" t="str">
        <f t="shared" si="2"/>
        <v>839,325</v>
      </c>
      <c r="D246" s="6">
        <f t="shared" si="3"/>
        <v>839.325</v>
      </c>
      <c r="E246" s="6">
        <f t="shared" si="4"/>
        <v>1.763</v>
      </c>
    </row>
    <row r="247">
      <c r="A247" s="4" t="s">
        <v>4765</v>
      </c>
      <c r="B247" s="6" t="str">
        <f t="shared" si="1"/>
        <v>842.655</v>
      </c>
      <c r="C247" s="6" t="str">
        <f t="shared" si="2"/>
        <v>842,655</v>
      </c>
      <c r="D247" s="6">
        <f t="shared" si="3"/>
        <v>842.655</v>
      </c>
      <c r="E247" s="6">
        <f t="shared" si="4"/>
        <v>3.33</v>
      </c>
    </row>
    <row r="248">
      <c r="A248" s="4" t="s">
        <v>4766</v>
      </c>
      <c r="B248" s="6" t="str">
        <f t="shared" si="1"/>
        <v>844.802</v>
      </c>
      <c r="C248" s="6" t="str">
        <f t="shared" si="2"/>
        <v>844,802</v>
      </c>
      <c r="D248" s="6">
        <f t="shared" si="3"/>
        <v>844.802</v>
      </c>
      <c r="E248" s="6">
        <f t="shared" si="4"/>
        <v>2.147</v>
      </c>
    </row>
    <row r="249">
      <c r="A249" s="4" t="s">
        <v>4767</v>
      </c>
      <c r="B249" s="6" t="str">
        <f t="shared" si="1"/>
        <v>845.566</v>
      </c>
      <c r="C249" s="6" t="str">
        <f t="shared" si="2"/>
        <v>845,566</v>
      </c>
      <c r="D249" s="6">
        <f t="shared" si="3"/>
        <v>845.566</v>
      </c>
      <c r="E249" s="6">
        <f t="shared" si="4"/>
        <v>0.764</v>
      </c>
    </row>
    <row r="250">
      <c r="A250" s="4" t="s">
        <v>4768</v>
      </c>
      <c r="B250" s="6" t="str">
        <f t="shared" si="1"/>
        <v>849.747</v>
      </c>
      <c r="C250" s="6" t="str">
        <f t="shared" si="2"/>
        <v>849,747</v>
      </c>
      <c r="D250" s="6">
        <f t="shared" si="3"/>
        <v>849.747</v>
      </c>
      <c r="E250" s="6">
        <f t="shared" si="4"/>
        <v>4.181</v>
      </c>
    </row>
    <row r="251">
      <c r="A251" s="4" t="s">
        <v>4769</v>
      </c>
      <c r="B251" s="6" t="str">
        <f t="shared" si="1"/>
        <v>853.266</v>
      </c>
      <c r="C251" s="6" t="str">
        <f t="shared" si="2"/>
        <v>853,266</v>
      </c>
      <c r="D251" s="6">
        <f t="shared" si="3"/>
        <v>853.266</v>
      </c>
      <c r="E251" s="6">
        <f t="shared" si="4"/>
        <v>3.519</v>
      </c>
    </row>
    <row r="252">
      <c r="A252" s="4" t="s">
        <v>4770</v>
      </c>
      <c r="B252" s="6" t="str">
        <f t="shared" si="1"/>
        <v>853.754</v>
      </c>
      <c r="C252" s="6" t="str">
        <f t="shared" si="2"/>
        <v>853,754</v>
      </c>
      <c r="D252" s="6">
        <f t="shared" si="3"/>
        <v>853.754</v>
      </c>
      <c r="E252" s="6">
        <f t="shared" si="4"/>
        <v>0.488</v>
      </c>
    </row>
    <row r="253">
      <c r="A253" s="4" t="s">
        <v>4771</v>
      </c>
      <c r="B253" s="6" t="str">
        <f t="shared" si="1"/>
        <v>863.116</v>
      </c>
      <c r="C253" s="6" t="str">
        <f t="shared" si="2"/>
        <v>863,116</v>
      </c>
      <c r="D253" s="6">
        <f t="shared" si="3"/>
        <v>863.116</v>
      </c>
      <c r="E253" s="6">
        <f t="shared" si="4"/>
        <v>9.362</v>
      </c>
    </row>
    <row r="254">
      <c r="A254" s="4" t="s">
        <v>4772</v>
      </c>
      <c r="B254" s="6" t="str">
        <f t="shared" si="1"/>
        <v>863.863</v>
      </c>
      <c r="C254" s="6" t="str">
        <f t="shared" si="2"/>
        <v>863,863</v>
      </c>
      <c r="D254" s="6">
        <f t="shared" si="3"/>
        <v>863.863</v>
      </c>
      <c r="E254" s="6">
        <f t="shared" si="4"/>
        <v>0.747</v>
      </c>
    </row>
    <row r="255">
      <c r="A255" s="4" t="s">
        <v>4773</v>
      </c>
      <c r="B255" s="6" t="str">
        <f t="shared" si="1"/>
        <v>865.238</v>
      </c>
      <c r="C255" s="6" t="str">
        <f t="shared" si="2"/>
        <v>865,238</v>
      </c>
      <c r="D255" s="6">
        <f t="shared" si="3"/>
        <v>865.238</v>
      </c>
      <c r="E255" s="6">
        <f t="shared" si="4"/>
        <v>1.375</v>
      </c>
    </row>
    <row r="256">
      <c r="A256" s="4" t="s">
        <v>4774</v>
      </c>
      <c r="B256" s="6" t="str">
        <f t="shared" si="1"/>
        <v>865.709</v>
      </c>
      <c r="C256" s="6" t="str">
        <f t="shared" si="2"/>
        <v>865,709</v>
      </c>
      <c r="D256" s="6">
        <f t="shared" si="3"/>
        <v>865.709</v>
      </c>
      <c r="E256" s="6">
        <f t="shared" si="4"/>
        <v>0.471</v>
      </c>
    </row>
    <row r="257">
      <c r="A257" s="4" t="s">
        <v>4775</v>
      </c>
      <c r="B257" s="6" t="str">
        <f t="shared" si="1"/>
        <v>866.760</v>
      </c>
      <c r="C257" s="6" t="str">
        <f t="shared" si="2"/>
        <v>866,760</v>
      </c>
      <c r="D257" s="6">
        <f t="shared" si="3"/>
        <v>866.76</v>
      </c>
      <c r="E257" s="6">
        <f t="shared" si="4"/>
        <v>1.051</v>
      </c>
    </row>
    <row r="258">
      <c r="A258" s="4" t="s">
        <v>4776</v>
      </c>
      <c r="B258" s="6" t="str">
        <f t="shared" si="1"/>
        <v>867.236</v>
      </c>
      <c r="C258" s="6" t="str">
        <f t="shared" si="2"/>
        <v>867,236</v>
      </c>
      <c r="D258" s="6">
        <f t="shared" si="3"/>
        <v>867.236</v>
      </c>
      <c r="E258" s="6">
        <f t="shared" si="4"/>
        <v>0.476</v>
      </c>
    </row>
    <row r="259">
      <c r="A259" s="4" t="s">
        <v>4777</v>
      </c>
      <c r="B259" s="6" t="str">
        <f t="shared" si="1"/>
        <v>869.875</v>
      </c>
      <c r="C259" s="6" t="str">
        <f t="shared" si="2"/>
        <v>869,875</v>
      </c>
      <c r="D259" s="6">
        <f t="shared" si="3"/>
        <v>869.875</v>
      </c>
      <c r="E259" s="6">
        <f t="shared" si="4"/>
        <v>2.639</v>
      </c>
    </row>
    <row r="260">
      <c r="A260" s="4" t="s">
        <v>4778</v>
      </c>
      <c r="B260" s="6" t="str">
        <f t="shared" si="1"/>
        <v>876.711</v>
      </c>
      <c r="C260" s="6" t="str">
        <f t="shared" si="2"/>
        <v>876,711</v>
      </c>
      <c r="D260" s="6">
        <f t="shared" si="3"/>
        <v>876.711</v>
      </c>
      <c r="E260" s="6">
        <f t="shared" si="4"/>
        <v>6.836</v>
      </c>
    </row>
    <row r="261">
      <c r="A261" s="4" t="s">
        <v>4779</v>
      </c>
      <c r="B261" s="6" t="str">
        <f t="shared" si="1"/>
        <v>877.133</v>
      </c>
      <c r="C261" s="6" t="str">
        <f t="shared" si="2"/>
        <v>877,133</v>
      </c>
      <c r="D261" s="6">
        <f t="shared" si="3"/>
        <v>877.133</v>
      </c>
      <c r="E261" s="6">
        <f t="shared" si="4"/>
        <v>0.422</v>
      </c>
    </row>
    <row r="262">
      <c r="A262" s="4" t="s">
        <v>4780</v>
      </c>
      <c r="B262" s="6" t="str">
        <f t="shared" si="1"/>
        <v>883.410</v>
      </c>
      <c r="C262" s="6" t="str">
        <f t="shared" si="2"/>
        <v>883,410</v>
      </c>
      <c r="D262" s="6">
        <f t="shared" si="3"/>
        <v>883.41</v>
      </c>
      <c r="E262" s="6">
        <f t="shared" si="4"/>
        <v>6.277</v>
      </c>
    </row>
    <row r="263">
      <c r="A263" s="4" t="s">
        <v>4781</v>
      </c>
      <c r="B263" s="6" t="str">
        <f t="shared" si="1"/>
        <v>883.844</v>
      </c>
      <c r="C263" s="6" t="str">
        <f t="shared" si="2"/>
        <v>883,844</v>
      </c>
      <c r="D263" s="6">
        <f t="shared" si="3"/>
        <v>883.844</v>
      </c>
      <c r="E263" s="6">
        <f t="shared" si="4"/>
        <v>0.434</v>
      </c>
    </row>
    <row r="264">
      <c r="A264" s="4" t="s">
        <v>4782</v>
      </c>
      <c r="B264" s="6" t="str">
        <f t="shared" si="1"/>
        <v>896.445</v>
      </c>
      <c r="C264" s="6" t="str">
        <f t="shared" si="2"/>
        <v>896,445</v>
      </c>
      <c r="D264" s="6">
        <f t="shared" si="3"/>
        <v>896.445</v>
      </c>
      <c r="E264" s="6">
        <f t="shared" si="4"/>
        <v>12.601</v>
      </c>
    </row>
    <row r="265">
      <c r="A265" s="4" t="s">
        <v>4783</v>
      </c>
      <c r="B265" s="6" t="str">
        <f t="shared" si="1"/>
        <v>900.358</v>
      </c>
      <c r="C265" s="6" t="str">
        <f t="shared" si="2"/>
        <v>900,358</v>
      </c>
      <c r="D265" s="6">
        <f t="shared" si="3"/>
        <v>900.358</v>
      </c>
      <c r="E265" s="6">
        <f t="shared" si="4"/>
        <v>3.913</v>
      </c>
    </row>
    <row r="266">
      <c r="A266" s="4" t="s">
        <v>4784</v>
      </c>
      <c r="B266" s="6" t="str">
        <f t="shared" si="1"/>
        <v>901.181</v>
      </c>
      <c r="C266" s="6" t="str">
        <f t="shared" si="2"/>
        <v>901,181</v>
      </c>
      <c r="D266" s="6">
        <f t="shared" si="3"/>
        <v>901.181</v>
      </c>
      <c r="E266" s="6">
        <f t="shared" si="4"/>
        <v>0.823</v>
      </c>
    </row>
    <row r="267">
      <c r="A267" s="4" t="s">
        <v>4785</v>
      </c>
      <c r="B267" s="6" t="str">
        <f t="shared" si="1"/>
        <v>912.865</v>
      </c>
      <c r="C267" s="6" t="str">
        <f t="shared" si="2"/>
        <v>912,865</v>
      </c>
      <c r="D267" s="6">
        <f t="shared" si="3"/>
        <v>912.865</v>
      </c>
      <c r="E267" s="6">
        <f t="shared" si="4"/>
        <v>11.684</v>
      </c>
    </row>
    <row r="268">
      <c r="A268" s="4" t="s">
        <v>4786</v>
      </c>
      <c r="B268" s="6" t="str">
        <f t="shared" si="1"/>
        <v>913.297</v>
      </c>
      <c r="C268" s="6" t="str">
        <f t="shared" si="2"/>
        <v>913,297</v>
      </c>
      <c r="D268" s="6">
        <f t="shared" si="3"/>
        <v>913.297</v>
      </c>
      <c r="E268" s="6">
        <f t="shared" si="4"/>
        <v>0.432</v>
      </c>
    </row>
    <row r="269">
      <c r="A269" s="4" t="s">
        <v>4787</v>
      </c>
      <c r="B269" s="6" t="str">
        <f t="shared" si="1"/>
        <v>913.742</v>
      </c>
      <c r="C269" s="6" t="str">
        <f t="shared" si="2"/>
        <v>913,742</v>
      </c>
      <c r="D269" s="6">
        <f t="shared" si="3"/>
        <v>913.742</v>
      </c>
      <c r="E269" s="6">
        <f t="shared" si="4"/>
        <v>0.445</v>
      </c>
    </row>
    <row r="270">
      <c r="A270" s="4" t="s">
        <v>4788</v>
      </c>
      <c r="B270" s="6" t="str">
        <f t="shared" si="1"/>
        <v>914.764</v>
      </c>
      <c r="C270" s="6" t="str">
        <f t="shared" si="2"/>
        <v>914,764</v>
      </c>
      <c r="D270" s="6">
        <f t="shared" si="3"/>
        <v>914.764</v>
      </c>
      <c r="E270" s="6">
        <f t="shared" si="4"/>
        <v>1.022</v>
      </c>
    </row>
    <row r="271">
      <c r="A271" s="4" t="s">
        <v>4789</v>
      </c>
      <c r="B271" s="6" t="str">
        <f t="shared" si="1"/>
        <v>915.327</v>
      </c>
      <c r="C271" s="6" t="str">
        <f t="shared" si="2"/>
        <v>915,327</v>
      </c>
      <c r="D271" s="6">
        <f t="shared" si="3"/>
        <v>915.327</v>
      </c>
      <c r="E271" s="6">
        <f t="shared" si="4"/>
        <v>0.563</v>
      </c>
    </row>
    <row r="272">
      <c r="A272" s="4" t="s">
        <v>4790</v>
      </c>
      <c r="B272" s="6" t="str">
        <f t="shared" si="1"/>
        <v>916.889</v>
      </c>
      <c r="C272" s="6" t="str">
        <f t="shared" si="2"/>
        <v>916,889</v>
      </c>
      <c r="D272" s="6">
        <f t="shared" si="3"/>
        <v>916.889</v>
      </c>
      <c r="E272" s="6">
        <f t="shared" si="4"/>
        <v>1.562</v>
      </c>
    </row>
    <row r="273">
      <c r="A273" s="4" t="s">
        <v>4791</v>
      </c>
      <c r="B273" s="6" t="str">
        <f t="shared" si="1"/>
        <v>924.229</v>
      </c>
      <c r="C273" s="6" t="str">
        <f t="shared" si="2"/>
        <v>924,229</v>
      </c>
      <c r="D273" s="6">
        <f t="shared" si="3"/>
        <v>924.229</v>
      </c>
      <c r="E273" s="6">
        <f t="shared" si="4"/>
        <v>7.34</v>
      </c>
    </row>
    <row r="274">
      <c r="A274" s="4" t="s">
        <v>4792</v>
      </c>
      <c r="B274" s="6" t="str">
        <f t="shared" si="1"/>
        <v>924.696</v>
      </c>
      <c r="C274" s="6" t="str">
        <f t="shared" si="2"/>
        <v>924,696</v>
      </c>
      <c r="D274" s="6">
        <f t="shared" si="3"/>
        <v>924.696</v>
      </c>
      <c r="E274" s="6">
        <f t="shared" si="4"/>
        <v>0.467</v>
      </c>
    </row>
    <row r="275">
      <c r="A275" s="4" t="s">
        <v>4793</v>
      </c>
      <c r="B275" s="6" t="str">
        <f t="shared" si="1"/>
        <v>931.326</v>
      </c>
      <c r="C275" s="6" t="str">
        <f t="shared" si="2"/>
        <v>931,326</v>
      </c>
      <c r="D275" s="6">
        <f t="shared" si="3"/>
        <v>931.326</v>
      </c>
      <c r="E275" s="6">
        <f t="shared" si="4"/>
        <v>6.63</v>
      </c>
    </row>
    <row r="276">
      <c r="A276" s="4" t="s">
        <v>4794</v>
      </c>
      <c r="B276" s="6" t="str">
        <f t="shared" si="1"/>
        <v>931.813</v>
      </c>
      <c r="C276" s="6" t="str">
        <f t="shared" si="2"/>
        <v>931,813</v>
      </c>
      <c r="D276" s="6">
        <f t="shared" si="3"/>
        <v>931.813</v>
      </c>
      <c r="E276" s="6">
        <f t="shared" si="4"/>
        <v>0.487</v>
      </c>
    </row>
    <row r="277">
      <c r="A277" s="4" t="s">
        <v>4795</v>
      </c>
      <c r="B277" s="6" t="str">
        <f t="shared" si="1"/>
        <v>932.281</v>
      </c>
      <c r="C277" s="6" t="str">
        <f t="shared" si="2"/>
        <v>932,281</v>
      </c>
      <c r="D277" s="6">
        <f t="shared" si="3"/>
        <v>932.281</v>
      </c>
      <c r="E277" s="6">
        <f t="shared" si="4"/>
        <v>0.468</v>
      </c>
    </row>
    <row r="278">
      <c r="A278" s="4" t="s">
        <v>4796</v>
      </c>
      <c r="B278" s="6" t="str">
        <f t="shared" si="1"/>
        <v>938.456</v>
      </c>
      <c r="C278" s="6" t="str">
        <f t="shared" si="2"/>
        <v>938,456</v>
      </c>
      <c r="D278" s="6">
        <f t="shared" si="3"/>
        <v>938.456</v>
      </c>
      <c r="E278" s="6">
        <f t="shared" si="4"/>
        <v>6.175</v>
      </c>
    </row>
    <row r="279">
      <c r="A279" s="4" t="s">
        <v>4797</v>
      </c>
      <c r="B279" s="6" t="str">
        <f t="shared" si="1"/>
        <v>942.003</v>
      </c>
      <c r="C279" s="6" t="str">
        <f t="shared" si="2"/>
        <v>942,003</v>
      </c>
      <c r="D279" s="6">
        <f t="shared" si="3"/>
        <v>942.003</v>
      </c>
      <c r="E279" s="6">
        <f t="shared" si="4"/>
        <v>3.547</v>
      </c>
    </row>
    <row r="280">
      <c r="A280" s="4" t="s">
        <v>4798</v>
      </c>
      <c r="B280" s="6" t="str">
        <f t="shared" si="1"/>
        <v>944.096</v>
      </c>
      <c r="C280" s="6" t="str">
        <f t="shared" si="2"/>
        <v>944,096</v>
      </c>
      <c r="D280" s="6">
        <f t="shared" si="3"/>
        <v>944.096</v>
      </c>
      <c r="E280" s="6">
        <f t="shared" si="4"/>
        <v>2.093</v>
      </c>
    </row>
    <row r="281">
      <c r="A281" s="4" t="s">
        <v>4799</v>
      </c>
      <c r="B281" s="6" t="str">
        <f t="shared" si="1"/>
        <v>944.517</v>
      </c>
      <c r="C281" s="6" t="str">
        <f t="shared" si="2"/>
        <v>944,517</v>
      </c>
      <c r="D281" s="6">
        <f t="shared" si="3"/>
        <v>944.517</v>
      </c>
      <c r="E281" s="6">
        <f t="shared" si="4"/>
        <v>0.421</v>
      </c>
    </row>
    <row r="282">
      <c r="A282" s="4" t="s">
        <v>4800</v>
      </c>
      <c r="B282" s="6" t="str">
        <f t="shared" si="1"/>
        <v>944.958</v>
      </c>
      <c r="C282" s="6" t="str">
        <f t="shared" si="2"/>
        <v>944,958</v>
      </c>
      <c r="D282" s="6">
        <f t="shared" si="3"/>
        <v>944.958</v>
      </c>
      <c r="E282" s="6">
        <f t="shared" si="4"/>
        <v>0.441</v>
      </c>
    </row>
    <row r="283">
      <c r="A283" s="4" t="s">
        <v>4801</v>
      </c>
      <c r="B283" s="6" t="str">
        <f t="shared" si="1"/>
        <v>946.124</v>
      </c>
      <c r="C283" s="6" t="str">
        <f t="shared" si="2"/>
        <v>946,124</v>
      </c>
      <c r="D283" s="6">
        <f t="shared" si="3"/>
        <v>946.124</v>
      </c>
      <c r="E283" s="6">
        <f t="shared" si="4"/>
        <v>1.166</v>
      </c>
    </row>
    <row r="284">
      <c r="A284" s="4" t="s">
        <v>4802</v>
      </c>
      <c r="B284" s="6" t="str">
        <f t="shared" si="1"/>
        <v>947.864</v>
      </c>
      <c r="C284" s="6" t="str">
        <f t="shared" si="2"/>
        <v>947,864</v>
      </c>
      <c r="D284" s="6">
        <f t="shared" si="3"/>
        <v>947.864</v>
      </c>
      <c r="E284" s="6">
        <f t="shared" si="4"/>
        <v>1.74</v>
      </c>
    </row>
    <row r="285">
      <c r="A285" s="4" t="s">
        <v>4803</v>
      </c>
      <c r="B285" s="6" t="str">
        <f t="shared" si="1"/>
        <v>948.582</v>
      </c>
      <c r="C285" s="6" t="str">
        <f t="shared" si="2"/>
        <v>948,582</v>
      </c>
      <c r="D285" s="6">
        <f t="shared" si="3"/>
        <v>948.582</v>
      </c>
      <c r="E285" s="6">
        <f t="shared" si="4"/>
        <v>0.718</v>
      </c>
    </row>
    <row r="286">
      <c r="A286" s="4" t="s">
        <v>4804</v>
      </c>
      <c r="B286" s="6" t="str">
        <f t="shared" si="1"/>
        <v>950.148</v>
      </c>
      <c r="C286" s="6" t="str">
        <f t="shared" si="2"/>
        <v>950,148</v>
      </c>
      <c r="D286" s="6">
        <f t="shared" si="3"/>
        <v>950.148</v>
      </c>
      <c r="E286" s="6">
        <f t="shared" si="4"/>
        <v>1.566</v>
      </c>
    </row>
    <row r="287">
      <c r="A287" s="4" t="s">
        <v>4805</v>
      </c>
      <c r="B287" s="6" t="str">
        <f t="shared" si="1"/>
        <v>952.723</v>
      </c>
      <c r="C287" s="6" t="str">
        <f t="shared" si="2"/>
        <v>952,723</v>
      </c>
      <c r="D287" s="6">
        <f t="shared" si="3"/>
        <v>952.723</v>
      </c>
      <c r="E287" s="6">
        <f t="shared" si="4"/>
        <v>2.575</v>
      </c>
    </row>
    <row r="288">
      <c r="A288" s="4" t="s">
        <v>4806</v>
      </c>
      <c r="B288" s="6" t="str">
        <f t="shared" si="1"/>
        <v>960.821</v>
      </c>
      <c r="C288" s="6" t="str">
        <f t="shared" si="2"/>
        <v>960,821</v>
      </c>
      <c r="D288" s="6">
        <f t="shared" si="3"/>
        <v>960.821</v>
      </c>
      <c r="E288" s="6">
        <f t="shared" si="4"/>
        <v>8.098</v>
      </c>
    </row>
    <row r="289">
      <c r="A289" s="4" t="s">
        <v>4807</v>
      </c>
      <c r="B289" s="6" t="str">
        <f t="shared" si="1"/>
        <v>961.874</v>
      </c>
      <c r="C289" s="6" t="str">
        <f t="shared" si="2"/>
        <v>961,874</v>
      </c>
      <c r="D289" s="6">
        <f t="shared" si="3"/>
        <v>961.874</v>
      </c>
      <c r="E289" s="6">
        <f t="shared" si="4"/>
        <v>1.053</v>
      </c>
    </row>
    <row r="290">
      <c r="A290" s="4" t="s">
        <v>4808</v>
      </c>
      <c r="B290" s="6" t="str">
        <f t="shared" si="1"/>
        <v>962.315</v>
      </c>
      <c r="C290" s="6" t="str">
        <f t="shared" si="2"/>
        <v>962,315</v>
      </c>
      <c r="D290" s="6">
        <f t="shared" si="3"/>
        <v>962.315</v>
      </c>
      <c r="E290" s="6">
        <f t="shared" si="4"/>
        <v>0.441</v>
      </c>
    </row>
    <row r="291">
      <c r="A291" s="4" t="s">
        <v>4809</v>
      </c>
      <c r="B291" s="6" t="str">
        <f t="shared" si="1"/>
        <v>962.742</v>
      </c>
      <c r="C291" s="6" t="str">
        <f t="shared" si="2"/>
        <v>962,742</v>
      </c>
      <c r="D291" s="6">
        <f t="shared" si="3"/>
        <v>962.742</v>
      </c>
      <c r="E291" s="6">
        <f t="shared" si="4"/>
        <v>0.427</v>
      </c>
    </row>
    <row r="292">
      <c r="A292" s="4" t="s">
        <v>4810</v>
      </c>
      <c r="B292" s="6" t="str">
        <f t="shared" si="1"/>
        <v>964.072</v>
      </c>
      <c r="C292" s="6" t="str">
        <f t="shared" si="2"/>
        <v>964,072</v>
      </c>
      <c r="D292" s="6">
        <f t="shared" si="3"/>
        <v>964.072</v>
      </c>
      <c r="E292" s="6">
        <f t="shared" si="4"/>
        <v>1.33</v>
      </c>
    </row>
    <row r="293">
      <c r="A293" s="4" t="s">
        <v>4811</v>
      </c>
      <c r="B293" s="6" t="str">
        <f t="shared" si="1"/>
        <v>966.410</v>
      </c>
      <c r="C293" s="6" t="str">
        <f t="shared" si="2"/>
        <v>966,410</v>
      </c>
      <c r="D293" s="6">
        <f t="shared" si="3"/>
        <v>966.41</v>
      </c>
      <c r="E293" s="6">
        <f t="shared" si="4"/>
        <v>2.338</v>
      </c>
    </row>
    <row r="294">
      <c r="A294" s="4" t="s">
        <v>4812</v>
      </c>
      <c r="B294" s="6" t="str">
        <f t="shared" si="1"/>
        <v>972.337</v>
      </c>
      <c r="C294" s="6" t="str">
        <f t="shared" si="2"/>
        <v>972,337</v>
      </c>
      <c r="D294" s="6">
        <f t="shared" si="3"/>
        <v>972.337</v>
      </c>
      <c r="E294" s="6">
        <f t="shared" si="4"/>
        <v>5.927</v>
      </c>
    </row>
    <row r="295">
      <c r="A295" s="4" t="s">
        <v>4813</v>
      </c>
      <c r="B295" s="6" t="str">
        <f t="shared" si="1"/>
        <v>973.057</v>
      </c>
      <c r="C295" s="6" t="str">
        <f t="shared" si="2"/>
        <v>973,057</v>
      </c>
      <c r="D295" s="6">
        <f t="shared" si="3"/>
        <v>973.057</v>
      </c>
      <c r="E295" s="6">
        <f t="shared" si="4"/>
        <v>0.72</v>
      </c>
    </row>
    <row r="296">
      <c r="A296" s="4" t="s">
        <v>4814</v>
      </c>
      <c r="B296" s="6" t="str">
        <f t="shared" si="1"/>
        <v>974.739</v>
      </c>
      <c r="C296" s="6" t="str">
        <f t="shared" si="2"/>
        <v>974,739</v>
      </c>
      <c r="D296" s="6">
        <f t="shared" si="3"/>
        <v>974.739</v>
      </c>
      <c r="E296" s="6">
        <f t="shared" si="4"/>
        <v>1.682</v>
      </c>
    </row>
    <row r="297">
      <c r="A297" s="4" t="s">
        <v>4815</v>
      </c>
      <c r="B297" s="6" t="str">
        <f t="shared" si="1"/>
        <v>979.814</v>
      </c>
      <c r="C297" s="6" t="str">
        <f t="shared" si="2"/>
        <v>979,814</v>
      </c>
      <c r="D297" s="6">
        <f t="shared" si="3"/>
        <v>979.814</v>
      </c>
      <c r="E297" s="6">
        <f t="shared" si="4"/>
        <v>5.075</v>
      </c>
    </row>
    <row r="298">
      <c r="A298" s="4" t="s">
        <v>4816</v>
      </c>
      <c r="B298" s="6" t="str">
        <f t="shared" si="1"/>
        <v>987.092</v>
      </c>
      <c r="C298" s="6" t="str">
        <f t="shared" si="2"/>
        <v>987,092</v>
      </c>
      <c r="D298" s="6">
        <f t="shared" si="3"/>
        <v>987.092</v>
      </c>
      <c r="E298" s="6">
        <f t="shared" si="4"/>
        <v>7.278</v>
      </c>
    </row>
    <row r="299">
      <c r="A299" s="4" t="s">
        <v>4817</v>
      </c>
      <c r="B299" s="6" t="str">
        <f t="shared" si="1"/>
        <v>991.941</v>
      </c>
      <c r="C299" s="6" t="str">
        <f t="shared" si="2"/>
        <v>991,941</v>
      </c>
      <c r="D299" s="6">
        <f t="shared" si="3"/>
        <v>991.941</v>
      </c>
      <c r="E299" s="6">
        <f t="shared" si="4"/>
        <v>4.849</v>
      </c>
    </row>
    <row r="300">
      <c r="A300" s="4" t="s">
        <v>4818</v>
      </c>
      <c r="B300" s="6" t="str">
        <f t="shared" si="1"/>
        <v>992.387</v>
      </c>
      <c r="C300" s="6" t="str">
        <f t="shared" si="2"/>
        <v>992,387</v>
      </c>
      <c r="D300" s="6">
        <f t="shared" si="3"/>
        <v>992.387</v>
      </c>
      <c r="E300" s="6">
        <f t="shared" si="4"/>
        <v>0.446</v>
      </c>
    </row>
    <row r="301">
      <c r="A301" s="4" t="s">
        <v>4819</v>
      </c>
      <c r="B301" s="6" t="str">
        <f t="shared" si="1"/>
        <v>994.451</v>
      </c>
      <c r="C301" s="6" t="str">
        <f t="shared" si="2"/>
        <v>994,451</v>
      </c>
      <c r="D301" s="6">
        <f t="shared" si="3"/>
        <v>994.451</v>
      </c>
      <c r="E301" s="6">
        <f t="shared" si="4"/>
        <v>2.064</v>
      </c>
    </row>
    <row r="302">
      <c r="A302" s="4" t="s">
        <v>4820</v>
      </c>
      <c r="B302" s="6" t="str">
        <f t="shared" si="1"/>
        <v>995.658</v>
      </c>
      <c r="C302" s="6" t="str">
        <f t="shared" si="2"/>
        <v>995,658</v>
      </c>
      <c r="D302" s="6">
        <f t="shared" si="3"/>
        <v>995.658</v>
      </c>
      <c r="E302" s="6">
        <f t="shared" si="4"/>
        <v>1.207</v>
      </c>
    </row>
    <row r="303">
      <c r="A303" s="4" t="s">
        <v>4821</v>
      </c>
      <c r="B303" s="6" t="str">
        <f t="shared" si="1"/>
        <v>996.783</v>
      </c>
      <c r="C303" s="6" t="str">
        <f t="shared" si="2"/>
        <v>996,783</v>
      </c>
      <c r="D303" s="6">
        <f t="shared" si="3"/>
        <v>996.783</v>
      </c>
      <c r="E303" s="6">
        <f t="shared" si="4"/>
        <v>1.125</v>
      </c>
    </row>
    <row r="304">
      <c r="A304" s="4" t="s">
        <v>4822</v>
      </c>
      <c r="B304" s="6" t="str">
        <f t="shared" si="1"/>
        <v>1006.08</v>
      </c>
      <c r="C304" s="6" t="str">
        <f t="shared" si="2"/>
        <v>1006,08</v>
      </c>
      <c r="D304" s="6">
        <f t="shared" si="3"/>
        <v>1006.08</v>
      </c>
      <c r="E304" s="6">
        <f t="shared" si="4"/>
        <v>9.297</v>
      </c>
    </row>
    <row r="305">
      <c r="A305" s="4" t="s">
        <v>4823</v>
      </c>
      <c r="B305" s="6" t="str">
        <f t="shared" si="1"/>
        <v>1008.01</v>
      </c>
      <c r="C305" s="6" t="str">
        <f t="shared" si="2"/>
        <v>1008,01</v>
      </c>
      <c r="D305" s="6">
        <f t="shared" si="3"/>
        <v>1008.01</v>
      </c>
      <c r="E305" s="6">
        <f t="shared" si="4"/>
        <v>1.93</v>
      </c>
    </row>
    <row r="306">
      <c r="A306" s="4" t="s">
        <v>4824</v>
      </c>
      <c r="B306" s="6" t="str">
        <f t="shared" si="1"/>
        <v>1009.43</v>
      </c>
      <c r="C306" s="6" t="str">
        <f t="shared" si="2"/>
        <v>1009,43</v>
      </c>
      <c r="D306" s="6">
        <f t="shared" si="3"/>
        <v>1009.43</v>
      </c>
      <c r="E306" s="6">
        <f t="shared" si="4"/>
        <v>1.42</v>
      </c>
    </row>
    <row r="307">
      <c r="A307" s="4" t="s">
        <v>4825</v>
      </c>
      <c r="B307" s="6" t="str">
        <f t="shared" si="1"/>
        <v>1010.65</v>
      </c>
      <c r="C307" s="6" t="str">
        <f t="shared" si="2"/>
        <v>1010,65</v>
      </c>
      <c r="D307" s="6">
        <f t="shared" si="3"/>
        <v>1010.65</v>
      </c>
      <c r="E307" s="6">
        <f t="shared" si="4"/>
        <v>1.22</v>
      </c>
    </row>
    <row r="308">
      <c r="A308" s="4" t="s">
        <v>4826</v>
      </c>
      <c r="B308" s="6" t="str">
        <f t="shared" si="1"/>
        <v>1012.27</v>
      </c>
      <c r="C308" s="6" t="str">
        <f t="shared" si="2"/>
        <v>1012,27</v>
      </c>
      <c r="D308" s="6">
        <f t="shared" si="3"/>
        <v>1012.27</v>
      </c>
      <c r="E308" s="6">
        <f t="shared" si="4"/>
        <v>1.62</v>
      </c>
    </row>
    <row r="309">
      <c r="A309" s="4" t="s">
        <v>4827</v>
      </c>
      <c r="B309" s="6" t="str">
        <f t="shared" si="1"/>
        <v>1012.66</v>
      </c>
      <c r="C309" s="6" t="str">
        <f t="shared" si="2"/>
        <v>1012,66</v>
      </c>
      <c r="D309" s="6">
        <f t="shared" si="3"/>
        <v>1012.66</v>
      </c>
      <c r="E309" s="6">
        <f t="shared" si="4"/>
        <v>0.39</v>
      </c>
    </row>
    <row r="310">
      <c r="A310" s="4" t="s">
        <v>4828</v>
      </c>
      <c r="B310" s="6" t="str">
        <f t="shared" si="1"/>
        <v>1013.04</v>
      </c>
      <c r="C310" s="6" t="str">
        <f t="shared" si="2"/>
        <v>1013,04</v>
      </c>
      <c r="D310" s="6">
        <f t="shared" si="3"/>
        <v>1013.04</v>
      </c>
      <c r="E310" s="6">
        <f t="shared" si="4"/>
        <v>0.38</v>
      </c>
    </row>
    <row r="311">
      <c r="A311" s="4" t="s">
        <v>4829</v>
      </c>
      <c r="B311" s="6" t="str">
        <f t="shared" si="1"/>
        <v>1013.43</v>
      </c>
      <c r="C311" s="6" t="str">
        <f t="shared" si="2"/>
        <v>1013,43</v>
      </c>
      <c r="D311" s="6">
        <f t="shared" si="3"/>
        <v>1013.43</v>
      </c>
      <c r="E311" s="6">
        <f t="shared" si="4"/>
        <v>0.39</v>
      </c>
    </row>
    <row r="312">
      <c r="A312" s="4" t="s">
        <v>4830</v>
      </c>
      <c r="B312" s="6" t="str">
        <f t="shared" si="1"/>
        <v>1015.95</v>
      </c>
      <c r="C312" s="6" t="str">
        <f t="shared" si="2"/>
        <v>1015,95</v>
      </c>
      <c r="D312" s="6">
        <f t="shared" si="3"/>
        <v>1015.95</v>
      </c>
      <c r="E312" s="6">
        <f t="shared" si="4"/>
        <v>2.52</v>
      </c>
    </row>
    <row r="313">
      <c r="A313" s="4" t="s">
        <v>4831</v>
      </c>
      <c r="B313" s="6" t="str">
        <f t="shared" si="1"/>
        <v>1016.74</v>
      </c>
      <c r="C313" s="6" t="str">
        <f t="shared" si="2"/>
        <v>1016,74</v>
      </c>
      <c r="D313" s="6">
        <f t="shared" si="3"/>
        <v>1016.74</v>
      </c>
      <c r="E313" s="6">
        <f t="shared" si="4"/>
        <v>0.79</v>
      </c>
    </row>
    <row r="314">
      <c r="A314" s="4" t="s">
        <v>4832</v>
      </c>
      <c r="B314" s="6" t="str">
        <f t="shared" si="1"/>
        <v>1018.02</v>
      </c>
      <c r="C314" s="6" t="str">
        <f t="shared" si="2"/>
        <v>1018,02</v>
      </c>
      <c r="D314" s="6">
        <f t="shared" si="3"/>
        <v>1018.02</v>
      </c>
      <c r="E314" s="6">
        <f t="shared" si="4"/>
        <v>1.28</v>
      </c>
    </row>
    <row r="315">
      <c r="A315" s="4" t="s">
        <v>4833</v>
      </c>
      <c r="B315" s="6" t="str">
        <f t="shared" si="1"/>
        <v>1018.43</v>
      </c>
      <c r="C315" s="6" t="str">
        <f t="shared" si="2"/>
        <v>1018,43</v>
      </c>
      <c r="D315" s="6">
        <f t="shared" si="3"/>
        <v>1018.43</v>
      </c>
      <c r="E315" s="6">
        <f t="shared" si="4"/>
        <v>0.41</v>
      </c>
    </row>
    <row r="316">
      <c r="A316" s="4" t="s">
        <v>4834</v>
      </c>
      <c r="B316" s="6" t="str">
        <f t="shared" si="1"/>
        <v>1020.61</v>
      </c>
      <c r="C316" s="6" t="str">
        <f t="shared" si="2"/>
        <v>1020,61</v>
      </c>
      <c r="D316" s="6">
        <f t="shared" si="3"/>
        <v>1020.61</v>
      </c>
      <c r="E316" s="6">
        <f t="shared" si="4"/>
        <v>2.18</v>
      </c>
    </row>
    <row r="317">
      <c r="A317" s="4" t="s">
        <v>4835</v>
      </c>
      <c r="B317" s="6" t="str">
        <f t="shared" si="1"/>
        <v>1025.78</v>
      </c>
      <c r="C317" s="6" t="str">
        <f t="shared" si="2"/>
        <v>1025,78</v>
      </c>
      <c r="D317" s="6">
        <f t="shared" si="3"/>
        <v>1025.78</v>
      </c>
      <c r="E317" s="6">
        <f t="shared" si="4"/>
        <v>5.17</v>
      </c>
    </row>
    <row r="318">
      <c r="A318" s="4" t="s">
        <v>4836</v>
      </c>
      <c r="B318" s="6" t="str">
        <f t="shared" si="1"/>
        <v>1026.51</v>
      </c>
      <c r="C318" s="6" t="str">
        <f t="shared" si="2"/>
        <v>1026,51</v>
      </c>
      <c r="D318" s="6">
        <f t="shared" si="3"/>
        <v>1026.51</v>
      </c>
      <c r="E318" s="6">
        <f t="shared" si="4"/>
        <v>0.73</v>
      </c>
    </row>
    <row r="319">
      <c r="A319" s="4" t="s">
        <v>4837</v>
      </c>
      <c r="B319" s="6" t="str">
        <f t="shared" si="1"/>
        <v>1028.79</v>
      </c>
      <c r="C319" s="6" t="str">
        <f t="shared" si="2"/>
        <v>1028,79</v>
      </c>
      <c r="D319" s="6">
        <f t="shared" si="3"/>
        <v>1028.79</v>
      </c>
      <c r="E319" s="6">
        <f t="shared" si="4"/>
        <v>2.28</v>
      </c>
    </row>
    <row r="320">
      <c r="A320" s="4" t="s">
        <v>4838</v>
      </c>
      <c r="B320" s="6" t="str">
        <f t="shared" si="1"/>
        <v>1030.09</v>
      </c>
      <c r="C320" s="6" t="str">
        <f t="shared" si="2"/>
        <v>1030,09</v>
      </c>
      <c r="D320" s="6">
        <f t="shared" si="3"/>
        <v>1030.09</v>
      </c>
      <c r="E320" s="6">
        <f t="shared" si="4"/>
        <v>1.3</v>
      </c>
    </row>
    <row r="321">
      <c r="A321" s="4" t="s">
        <v>4839</v>
      </c>
      <c r="B321" s="6" t="str">
        <f t="shared" si="1"/>
        <v>1033.90</v>
      </c>
      <c r="C321" s="6" t="str">
        <f t="shared" si="2"/>
        <v>1033,90</v>
      </c>
      <c r="D321" s="6">
        <f t="shared" si="3"/>
        <v>1033.9</v>
      </c>
      <c r="E321" s="6">
        <f t="shared" si="4"/>
        <v>3.81</v>
      </c>
    </row>
    <row r="322">
      <c r="A322" s="4" t="s">
        <v>4840</v>
      </c>
      <c r="B322" s="6" t="str">
        <f t="shared" si="1"/>
        <v>1035.76</v>
      </c>
      <c r="C322" s="6" t="str">
        <f t="shared" si="2"/>
        <v>1035,76</v>
      </c>
      <c r="D322" s="6">
        <f t="shared" si="3"/>
        <v>1035.76</v>
      </c>
      <c r="E322" s="6">
        <f t="shared" si="4"/>
        <v>1.86</v>
      </c>
    </row>
    <row r="323">
      <c r="A323" s="4" t="s">
        <v>4841</v>
      </c>
      <c r="B323" s="6" t="str">
        <f t="shared" si="1"/>
        <v>1036.18</v>
      </c>
      <c r="C323" s="6" t="str">
        <f t="shared" si="2"/>
        <v>1036,18</v>
      </c>
      <c r="D323" s="6">
        <f t="shared" si="3"/>
        <v>1036.18</v>
      </c>
      <c r="E323" s="6">
        <f t="shared" si="4"/>
        <v>0.42</v>
      </c>
    </row>
    <row r="324">
      <c r="A324" s="4" t="s">
        <v>4842</v>
      </c>
      <c r="B324" s="6" t="str">
        <f t="shared" si="1"/>
        <v>1039.12</v>
      </c>
      <c r="C324" s="6" t="str">
        <f t="shared" si="2"/>
        <v>1039,12</v>
      </c>
      <c r="D324" s="6">
        <f t="shared" si="3"/>
        <v>1039.12</v>
      </c>
      <c r="E324" s="6">
        <f t="shared" si="4"/>
        <v>2.94</v>
      </c>
    </row>
    <row r="325">
      <c r="A325" s="4" t="s">
        <v>4843</v>
      </c>
      <c r="B325" s="6" t="str">
        <f t="shared" si="1"/>
        <v>1041.18</v>
      </c>
      <c r="C325" s="6" t="str">
        <f t="shared" si="2"/>
        <v>1041,18</v>
      </c>
      <c r="D325" s="6">
        <f t="shared" si="3"/>
        <v>1041.18</v>
      </c>
      <c r="E325" s="6">
        <f t="shared" si="4"/>
        <v>2.06</v>
      </c>
    </row>
    <row r="326">
      <c r="A326" s="4" t="s">
        <v>4844</v>
      </c>
      <c r="B326" s="6" t="str">
        <f t="shared" si="1"/>
        <v>1042.00</v>
      </c>
      <c r="C326" s="6" t="str">
        <f t="shared" si="2"/>
        <v>1042,00</v>
      </c>
      <c r="D326" s="6">
        <f t="shared" si="3"/>
        <v>1042</v>
      </c>
      <c r="E326" s="6">
        <f t="shared" si="4"/>
        <v>0.82</v>
      </c>
    </row>
    <row r="327">
      <c r="A327" s="4" t="s">
        <v>4845</v>
      </c>
      <c r="B327" s="6" t="str">
        <f t="shared" si="1"/>
        <v>1042.74</v>
      </c>
      <c r="C327" s="6" t="str">
        <f t="shared" si="2"/>
        <v>1042,74</v>
      </c>
      <c r="D327" s="6">
        <f t="shared" si="3"/>
        <v>1042.74</v>
      </c>
      <c r="E327" s="6">
        <f t="shared" si="4"/>
        <v>0.74</v>
      </c>
    </row>
    <row r="328">
      <c r="A328" s="4" t="s">
        <v>4846</v>
      </c>
      <c r="B328" s="6" t="str">
        <f t="shared" si="1"/>
        <v>1043.16</v>
      </c>
      <c r="C328" s="6" t="str">
        <f t="shared" si="2"/>
        <v>1043,16</v>
      </c>
      <c r="D328" s="6">
        <f t="shared" si="3"/>
        <v>1043.16</v>
      </c>
      <c r="E328" s="6">
        <f t="shared" si="4"/>
        <v>0.42</v>
      </c>
    </row>
    <row r="329">
      <c r="A329" s="4" t="s">
        <v>4847</v>
      </c>
      <c r="B329" s="6" t="str">
        <f t="shared" si="1"/>
        <v>1043.59</v>
      </c>
      <c r="C329" s="6" t="str">
        <f t="shared" si="2"/>
        <v>1043,59</v>
      </c>
      <c r="D329" s="6">
        <f t="shared" si="3"/>
        <v>1043.59</v>
      </c>
      <c r="E329" s="6">
        <f t="shared" si="4"/>
        <v>0.43</v>
      </c>
    </row>
    <row r="330">
      <c r="A330" s="4" t="s">
        <v>4848</v>
      </c>
      <c r="B330" s="6" t="str">
        <f t="shared" si="1"/>
        <v>1044.26</v>
      </c>
      <c r="C330" s="6" t="str">
        <f t="shared" si="2"/>
        <v>1044,26</v>
      </c>
      <c r="D330" s="6">
        <f t="shared" si="3"/>
        <v>1044.26</v>
      </c>
      <c r="E330" s="6">
        <f t="shared" si="4"/>
        <v>0.67</v>
      </c>
    </row>
    <row r="331">
      <c r="A331" s="4" t="s">
        <v>4849</v>
      </c>
      <c r="B331" s="6" t="str">
        <f t="shared" si="1"/>
        <v>1044.77</v>
      </c>
      <c r="C331" s="6" t="str">
        <f t="shared" si="2"/>
        <v>1044,77</v>
      </c>
      <c r="D331" s="6">
        <f t="shared" si="3"/>
        <v>1044.77</v>
      </c>
      <c r="E331" s="6">
        <f t="shared" si="4"/>
        <v>0.51</v>
      </c>
    </row>
    <row r="332">
      <c r="A332" s="4" t="s">
        <v>4850</v>
      </c>
      <c r="B332" s="6" t="str">
        <f t="shared" si="1"/>
        <v>1047.84</v>
      </c>
      <c r="C332" s="6" t="str">
        <f t="shared" si="2"/>
        <v>1047,84</v>
      </c>
      <c r="D332" s="6">
        <f t="shared" si="3"/>
        <v>1047.84</v>
      </c>
      <c r="E332" s="6">
        <f t="shared" si="4"/>
        <v>3.07</v>
      </c>
    </row>
    <row r="333">
      <c r="A333" s="4" t="s">
        <v>4851</v>
      </c>
      <c r="B333" s="6" t="str">
        <f t="shared" si="1"/>
        <v>1048.26</v>
      </c>
      <c r="C333" s="6" t="str">
        <f t="shared" si="2"/>
        <v>1048,26</v>
      </c>
      <c r="D333" s="6">
        <f t="shared" si="3"/>
        <v>1048.26</v>
      </c>
      <c r="E333" s="6">
        <f t="shared" si="4"/>
        <v>0.42</v>
      </c>
    </row>
    <row r="334">
      <c r="A334" s="4" t="s">
        <v>4852</v>
      </c>
      <c r="B334" s="6" t="str">
        <f t="shared" si="1"/>
        <v>1052.19</v>
      </c>
      <c r="C334" s="6" t="str">
        <f t="shared" si="2"/>
        <v>1052,19</v>
      </c>
      <c r="D334" s="6">
        <f t="shared" si="3"/>
        <v>1052.19</v>
      </c>
      <c r="E334" s="6">
        <f t="shared" si="4"/>
        <v>3.93</v>
      </c>
    </row>
    <row r="335">
      <c r="A335" s="4" t="s">
        <v>4853</v>
      </c>
      <c r="B335" s="6" t="str">
        <f t="shared" si="1"/>
        <v>1066.74</v>
      </c>
      <c r="C335" s="6" t="str">
        <f t="shared" si="2"/>
        <v>1066,74</v>
      </c>
      <c r="D335" s="6">
        <f t="shared" si="3"/>
        <v>1066.74</v>
      </c>
      <c r="E335" s="6">
        <f t="shared" si="4"/>
        <v>14.55</v>
      </c>
    </row>
    <row r="336">
      <c r="A336" s="4" t="s">
        <v>4854</v>
      </c>
      <c r="B336" s="6" t="str">
        <f t="shared" si="1"/>
        <v>1067.17</v>
      </c>
      <c r="C336" s="6" t="str">
        <f t="shared" si="2"/>
        <v>1067,17</v>
      </c>
      <c r="D336" s="6">
        <f t="shared" si="3"/>
        <v>1067.17</v>
      </c>
      <c r="E336" s="6">
        <f t="shared" si="4"/>
        <v>0.43</v>
      </c>
    </row>
    <row r="337">
      <c r="A337" s="4" t="s">
        <v>4855</v>
      </c>
      <c r="B337" s="6" t="str">
        <f t="shared" si="1"/>
        <v>1068.38</v>
      </c>
      <c r="C337" s="6" t="str">
        <f t="shared" si="2"/>
        <v>1068,38</v>
      </c>
      <c r="D337" s="6">
        <f t="shared" si="3"/>
        <v>1068.38</v>
      </c>
      <c r="E337" s="6">
        <f t="shared" si="4"/>
        <v>1.21</v>
      </c>
    </row>
    <row r="338">
      <c r="A338" s="4" t="s">
        <v>4856</v>
      </c>
      <c r="B338" s="6" t="str">
        <f t="shared" si="1"/>
        <v>1070.78</v>
      </c>
      <c r="C338" s="6" t="str">
        <f t="shared" si="2"/>
        <v>1070,78</v>
      </c>
      <c r="D338" s="6">
        <f t="shared" si="3"/>
        <v>1070.78</v>
      </c>
      <c r="E338" s="6">
        <f t="shared" si="4"/>
        <v>2.4</v>
      </c>
    </row>
    <row r="339">
      <c r="A339" s="4" t="s">
        <v>4857</v>
      </c>
      <c r="B339" s="6" t="str">
        <f t="shared" si="1"/>
        <v>1071.69</v>
      </c>
      <c r="C339" s="6" t="str">
        <f t="shared" si="2"/>
        <v>1071,69</v>
      </c>
      <c r="D339" s="6">
        <f t="shared" si="3"/>
        <v>1071.69</v>
      </c>
      <c r="E339" s="6">
        <f t="shared" si="4"/>
        <v>0.91</v>
      </c>
    </row>
    <row r="340">
      <c r="A340" s="4" t="s">
        <v>4858</v>
      </c>
      <c r="B340" s="6" t="str">
        <f t="shared" si="1"/>
        <v>1072.58</v>
      </c>
      <c r="C340" s="6" t="str">
        <f t="shared" si="2"/>
        <v>1072,58</v>
      </c>
      <c r="D340" s="6">
        <f t="shared" si="3"/>
        <v>1072.58</v>
      </c>
      <c r="E340" s="6">
        <f t="shared" si="4"/>
        <v>0.89</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c r="H1" s="7"/>
    </row>
    <row r="2">
      <c r="A2" s="4" t="s">
        <v>4859</v>
      </c>
      <c r="C2" s="4"/>
      <c r="D2" s="4"/>
      <c r="E2" s="8"/>
      <c r="F2" s="8"/>
      <c r="G2" s="8"/>
      <c r="H2" s="9"/>
    </row>
    <row r="3">
      <c r="A3" s="4"/>
      <c r="C3" s="4"/>
      <c r="D3" s="4"/>
      <c r="E3" s="8"/>
      <c r="F3" s="8"/>
      <c r="G3" s="8"/>
      <c r="H3" s="9"/>
    </row>
    <row r="4">
      <c r="A4" s="4"/>
      <c r="C4" s="4"/>
      <c r="D4" s="4"/>
      <c r="E4" s="8"/>
      <c r="F4" s="8"/>
      <c r="G4" s="8"/>
      <c r="H4" s="9"/>
    </row>
    <row r="5">
      <c r="A5" s="4"/>
      <c r="C5" s="4"/>
      <c r="D5" s="4"/>
      <c r="E5" s="8"/>
      <c r="F5" s="8"/>
      <c r="G5" s="8"/>
      <c r="H5" s="9"/>
    </row>
    <row r="6">
      <c r="A6" s="4"/>
      <c r="C6" s="4"/>
      <c r="D6" s="4"/>
      <c r="E6" s="8"/>
      <c r="F6" s="8"/>
      <c r="G6" s="8"/>
      <c r="H6" s="9"/>
    </row>
    <row r="7">
      <c r="A7" s="4"/>
      <c r="C7" s="4"/>
      <c r="D7" s="4"/>
      <c r="E7" s="8"/>
      <c r="F7" s="8"/>
      <c r="G7" s="8"/>
      <c r="H7" s="9"/>
    </row>
    <row r="8">
      <c r="A8" s="4"/>
      <c r="C8" s="4"/>
      <c r="D8" s="4"/>
      <c r="E8" s="8"/>
      <c r="F8" s="8"/>
      <c r="G8" s="8"/>
      <c r="H8" s="9"/>
    </row>
    <row r="9">
      <c r="A9" s="4"/>
      <c r="C9" s="4"/>
      <c r="D9" s="4"/>
      <c r="E9" s="8"/>
      <c r="F9" s="8"/>
      <c r="G9" s="8"/>
      <c r="H9" s="9"/>
    </row>
    <row r="10">
      <c r="A10" s="4"/>
      <c r="C10" s="4"/>
      <c r="D10" s="4"/>
      <c r="E10" s="8"/>
      <c r="F10" s="8"/>
      <c r="G10" s="8"/>
      <c r="H10" s="9"/>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c r="H1" s="7"/>
    </row>
    <row r="2">
      <c r="A2" s="4" t="s">
        <v>33</v>
      </c>
      <c r="C2" s="4"/>
      <c r="D2" s="4"/>
      <c r="E2" s="8"/>
      <c r="F2" s="8"/>
      <c r="G2" s="8"/>
      <c r="H2" s="9"/>
    </row>
    <row r="3">
      <c r="A3" s="4" t="s">
        <v>506</v>
      </c>
      <c r="C3" s="4"/>
      <c r="D3" s="4"/>
      <c r="E3" s="8"/>
      <c r="F3" s="8"/>
      <c r="G3" s="8"/>
      <c r="H3" s="9"/>
    </row>
    <row r="4">
      <c r="A4" s="4" t="s">
        <v>536</v>
      </c>
      <c r="C4" s="4"/>
      <c r="D4" s="4"/>
      <c r="E4" s="8"/>
      <c r="F4" s="8"/>
      <c r="G4" s="8"/>
      <c r="H4" s="9"/>
    </row>
    <row r="5">
      <c r="A5" s="4" t="s">
        <v>41</v>
      </c>
      <c r="C5" s="4"/>
      <c r="D5" s="4"/>
      <c r="E5" s="8"/>
      <c r="F5" s="8"/>
      <c r="G5" s="8"/>
      <c r="H5" s="9"/>
    </row>
    <row r="6">
      <c r="A6" s="4" t="s">
        <v>537</v>
      </c>
      <c r="C6" s="4"/>
      <c r="D6" s="4"/>
      <c r="E6" s="8"/>
      <c r="F6" s="8"/>
      <c r="G6" s="8"/>
      <c r="H6" s="9"/>
    </row>
    <row r="7">
      <c r="A7" s="4" t="s">
        <v>130</v>
      </c>
    </row>
    <row r="8">
      <c r="A8" s="4" t="s">
        <v>4860</v>
      </c>
    </row>
    <row r="9">
      <c r="A9" s="4" t="s">
        <v>553</v>
      </c>
    </row>
    <row r="10">
      <c r="A10" s="4" t="s">
        <v>155</v>
      </c>
    </row>
    <row r="11">
      <c r="A11" s="4" t="s">
        <v>88</v>
      </c>
    </row>
    <row r="12">
      <c r="A12" s="4" t="s">
        <v>75</v>
      </c>
    </row>
    <row r="13">
      <c r="A13" s="4" t="s">
        <v>48</v>
      </c>
    </row>
    <row r="14">
      <c r="A14" s="4" t="s">
        <v>902</v>
      </c>
    </row>
    <row r="15">
      <c r="A15" s="4" t="s">
        <v>940</v>
      </c>
    </row>
    <row r="16">
      <c r="A16" s="4" t="s">
        <v>4861</v>
      </c>
    </row>
    <row r="17">
      <c r="A17" s="4" t="s">
        <v>41</v>
      </c>
    </row>
    <row r="18">
      <c r="A18" s="4" t="s">
        <v>156</v>
      </c>
    </row>
    <row r="19">
      <c r="A19" s="4" t="s">
        <v>157</v>
      </c>
    </row>
    <row r="20">
      <c r="A20" s="4" t="s">
        <v>57</v>
      </c>
    </row>
    <row r="21">
      <c r="A21" s="4" t="s">
        <v>33</v>
      </c>
    </row>
    <row r="22">
      <c r="A22" s="4" t="s">
        <v>34</v>
      </c>
    </row>
    <row r="23">
      <c r="A23" s="4" t="s">
        <v>497</v>
      </c>
    </row>
    <row r="24">
      <c r="A24" s="4" t="s">
        <v>552</v>
      </c>
    </row>
    <row r="25">
      <c r="A25" s="4" t="s">
        <v>4862</v>
      </c>
    </row>
    <row r="26">
      <c r="A26" s="4" t="s">
        <v>33</v>
      </c>
    </row>
    <row r="27">
      <c r="A27" s="4" t="s">
        <v>560</v>
      </c>
    </row>
    <row r="28">
      <c r="A28" s="4" t="s">
        <v>107</v>
      </c>
    </row>
    <row r="29">
      <c r="A29" s="4" t="s">
        <v>41</v>
      </c>
    </row>
    <row r="30">
      <c r="A30" s="4" t="s">
        <v>42</v>
      </c>
    </row>
    <row r="31">
      <c r="A31" s="4" t="s">
        <v>48</v>
      </c>
    </row>
    <row r="32">
      <c r="A32" s="4" t="s">
        <v>115</v>
      </c>
    </row>
    <row r="33">
      <c r="A33" s="4" t="s">
        <v>940</v>
      </c>
    </row>
    <row r="34">
      <c r="A34" s="4" t="s">
        <v>559</v>
      </c>
    </row>
    <row r="35">
      <c r="A35" s="4" t="s">
        <v>50</v>
      </c>
    </row>
    <row r="36">
      <c r="A36" s="4" t="s">
        <v>40</v>
      </c>
    </row>
    <row r="37">
      <c r="A37" s="4" t="s">
        <v>33</v>
      </c>
    </row>
    <row r="38">
      <c r="A38" s="4" t="s">
        <v>34</v>
      </c>
    </row>
    <row r="39">
      <c r="A39" s="4" t="s">
        <v>44</v>
      </c>
    </row>
    <row r="40">
      <c r="A40" s="4" t="s">
        <v>513</v>
      </c>
    </row>
    <row r="41">
      <c r="A41" s="4" t="s">
        <v>514</v>
      </c>
    </row>
    <row r="42">
      <c r="A42" s="4" t="s">
        <v>116</v>
      </c>
    </row>
    <row r="43">
      <c r="A43" s="4" t="s">
        <v>891</v>
      </c>
    </row>
    <row r="44">
      <c r="A44" s="4" t="s">
        <v>937</v>
      </c>
    </row>
    <row r="45">
      <c r="A45" s="4" t="s">
        <v>48</v>
      </c>
    </row>
    <row r="46">
      <c r="A46" s="4" t="s">
        <v>1354</v>
      </c>
    </row>
    <row r="47">
      <c r="A47" s="4" t="s">
        <v>139</v>
      </c>
    </row>
    <row r="48">
      <c r="A48" s="4" t="s">
        <v>33</v>
      </c>
    </row>
    <row r="49">
      <c r="A49" s="4" t="s">
        <v>560</v>
      </c>
    </row>
    <row r="50">
      <c r="A50" s="4" t="s">
        <v>107</v>
      </c>
    </row>
    <row r="51">
      <c r="A51" s="4" t="s">
        <v>41</v>
      </c>
    </row>
    <row r="52">
      <c r="A52" s="4" t="s">
        <v>42</v>
      </c>
    </row>
    <row r="53">
      <c r="A53" s="4" t="s">
        <v>48</v>
      </c>
    </row>
    <row r="54">
      <c r="A54" s="4" t="s">
        <v>935</v>
      </c>
    </row>
    <row r="55">
      <c r="A55" s="4" t="s">
        <v>39</v>
      </c>
    </row>
    <row r="56">
      <c r="A56" s="4" t="s">
        <v>40</v>
      </c>
    </row>
    <row r="57">
      <c r="A57" s="4" t="s">
        <v>33</v>
      </c>
    </row>
    <row r="58">
      <c r="A58" s="4" t="s">
        <v>34</v>
      </c>
    </row>
    <row r="59">
      <c r="A59" s="4" t="s">
        <v>44</v>
      </c>
    </row>
    <row r="60">
      <c r="A60" s="4" t="s">
        <v>513</v>
      </c>
    </row>
    <row r="61">
      <c r="A61" s="4" t="s">
        <v>533</v>
      </c>
    </row>
    <row r="62">
      <c r="A62" s="4" t="s">
        <v>116</v>
      </c>
    </row>
    <row r="63">
      <c r="A63" s="4" t="s">
        <v>3005</v>
      </c>
    </row>
    <row r="64">
      <c r="A64" s="4" t="s">
        <v>4863</v>
      </c>
    </row>
    <row r="65">
      <c r="A65" s="4" t="s">
        <v>48</v>
      </c>
    </row>
    <row r="66">
      <c r="A66" s="4" t="s">
        <v>924</v>
      </c>
    </row>
    <row r="67">
      <c r="A67" s="4" t="s">
        <v>33</v>
      </c>
    </row>
    <row r="68">
      <c r="A68" s="4" t="s">
        <v>34</v>
      </c>
    </row>
    <row r="69">
      <c r="A69" s="4" t="s">
        <v>44</v>
      </c>
    </row>
    <row r="70">
      <c r="A70" s="4" t="s">
        <v>119</v>
      </c>
    </row>
    <row r="71">
      <c r="A71" s="4" t="s">
        <v>500</v>
      </c>
    </row>
    <row r="72">
      <c r="A72" s="4" t="s">
        <v>109</v>
      </c>
    </row>
    <row r="73">
      <c r="A73" s="4" t="s">
        <v>4864</v>
      </c>
    </row>
    <row r="74">
      <c r="A74" s="4" t="s">
        <v>88</v>
      </c>
    </row>
    <row r="75">
      <c r="A75" s="4" t="s">
        <v>89</v>
      </c>
    </row>
    <row r="76">
      <c r="A76" s="4" t="s">
        <v>33</v>
      </c>
    </row>
    <row r="77">
      <c r="A77" s="4" t="s">
        <v>34</v>
      </c>
    </row>
    <row r="78">
      <c r="A78" s="4" t="s">
        <v>90</v>
      </c>
    </row>
    <row r="79">
      <c r="A79" s="4" t="s">
        <v>92</v>
      </c>
    </row>
    <row r="80">
      <c r="A80" s="4" t="s">
        <v>522</v>
      </c>
    </row>
    <row r="81">
      <c r="A81" s="4" t="s">
        <v>33</v>
      </c>
    </row>
    <row r="82">
      <c r="A82" s="4" t="s">
        <v>34</v>
      </c>
    </row>
    <row r="83">
      <c r="A83" s="4" t="s">
        <v>44</v>
      </c>
    </row>
    <row r="84">
      <c r="A84" s="4" t="s">
        <v>513</v>
      </c>
    </row>
    <row r="85">
      <c r="A85" s="4" t="s">
        <v>533</v>
      </c>
    </row>
    <row r="86">
      <c r="A86" s="4" t="s">
        <v>116</v>
      </c>
    </row>
    <row r="87">
      <c r="A87" s="4" t="s">
        <v>1354</v>
      </c>
    </row>
    <row r="88">
      <c r="A88" s="4" t="s">
        <v>139</v>
      </c>
    </row>
    <row r="89">
      <c r="A89" s="4" t="s">
        <v>48</v>
      </c>
    </row>
    <row r="90">
      <c r="A90" s="4" t="s">
        <v>500</v>
      </c>
    </row>
    <row r="91">
      <c r="A91" s="4" t="s">
        <v>529</v>
      </c>
    </row>
    <row r="92">
      <c r="A92" s="4" t="s">
        <v>33</v>
      </c>
    </row>
    <row r="93">
      <c r="A93" s="4" t="s">
        <v>1359</v>
      </c>
    </row>
    <row r="94">
      <c r="A94" s="4" t="s">
        <v>35</v>
      </c>
    </row>
    <row r="95">
      <c r="A95" s="4" t="s">
        <v>49</v>
      </c>
    </row>
    <row r="96">
      <c r="A96" s="4" t="s">
        <v>48</v>
      </c>
    </row>
    <row r="97">
      <c r="A97" s="4" t="s">
        <v>107</v>
      </c>
    </row>
    <row r="98">
      <c r="A98" s="4" t="s">
        <v>41</v>
      </c>
    </row>
    <row r="99">
      <c r="A99" s="4" t="s">
        <v>42</v>
      </c>
    </row>
    <row r="100">
      <c r="A100" s="4" t="s">
        <v>33</v>
      </c>
    </row>
    <row r="101">
      <c r="A101" s="4" t="s">
        <v>34</v>
      </c>
    </row>
    <row r="102">
      <c r="A102" s="4" t="s">
        <v>44</v>
      </c>
    </row>
    <row r="103">
      <c r="A103" s="4" t="s">
        <v>119</v>
      </c>
    </row>
    <row r="104">
      <c r="A104" s="4" t="s">
        <v>500</v>
      </c>
    </row>
    <row r="105">
      <c r="A105" s="4" t="s">
        <v>109</v>
      </c>
    </row>
    <row r="106">
      <c r="A106" s="4" t="s">
        <v>4864</v>
      </c>
    </row>
    <row r="107">
      <c r="A107" s="4" t="s">
        <v>50</v>
      </c>
    </row>
    <row r="108">
      <c r="A108" s="4" t="s">
        <v>40</v>
      </c>
    </row>
    <row r="109">
      <c r="A109" s="4" t="s">
        <v>33</v>
      </c>
    </row>
    <row r="110">
      <c r="A110" s="4" t="s">
        <v>34</v>
      </c>
    </row>
    <row r="111">
      <c r="A111" s="4" t="s">
        <v>88</v>
      </c>
    </row>
    <row r="112">
      <c r="A112" s="4" t="s">
        <v>89</v>
      </c>
    </row>
    <row r="113">
      <c r="A113" s="4" t="s">
        <v>48</v>
      </c>
    </row>
    <row r="114">
      <c r="A114" s="4" t="s">
        <v>35</v>
      </c>
    </row>
    <row r="115">
      <c r="A115" s="4" t="s">
        <v>75</v>
      </c>
    </row>
    <row r="116">
      <c r="A116" s="4" t="s">
        <v>145</v>
      </c>
    </row>
    <row r="117">
      <c r="A117" s="4" t="s">
        <v>33</v>
      </c>
    </row>
    <row r="118">
      <c r="A118" s="4" t="s">
        <v>34</v>
      </c>
    </row>
    <row r="119">
      <c r="A119" s="4" t="s">
        <v>44</v>
      </c>
    </row>
    <row r="120">
      <c r="A120" s="4" t="s">
        <v>513</v>
      </c>
    </row>
    <row r="121">
      <c r="A121" s="4" t="s">
        <v>1339</v>
      </c>
    </row>
    <row r="122">
      <c r="A122" s="4" t="s">
        <v>4865</v>
      </c>
    </row>
    <row r="123">
      <c r="A123" s="4" t="s">
        <v>549</v>
      </c>
    </row>
    <row r="124">
      <c r="A124" s="4" t="s">
        <v>498</v>
      </c>
    </row>
    <row r="125">
      <c r="A125" s="4" t="s">
        <v>870</v>
      </c>
    </row>
    <row r="126">
      <c r="A126" s="4" t="s">
        <v>4866</v>
      </c>
    </row>
    <row r="127">
      <c r="A127" s="4" t="s">
        <v>4867</v>
      </c>
    </row>
    <row r="128">
      <c r="A128" s="4" t="s">
        <v>115</v>
      </c>
    </row>
    <row r="129">
      <c r="A129" s="4" t="s">
        <v>970</v>
      </c>
    </row>
    <row r="130">
      <c r="A130" s="4" t="s">
        <v>33</v>
      </c>
    </row>
    <row r="131">
      <c r="A131" s="4" t="s">
        <v>506</v>
      </c>
    </row>
    <row r="132">
      <c r="A132" s="4" t="s">
        <v>39</v>
      </c>
    </row>
    <row r="133">
      <c r="A133" s="4" t="s">
        <v>40</v>
      </c>
    </row>
    <row r="134">
      <c r="A134" s="4" t="s">
        <v>129</v>
      </c>
    </row>
    <row r="135">
      <c r="A135" s="4" t="s">
        <v>1350</v>
      </c>
    </row>
    <row r="136">
      <c r="A136" s="4" t="s">
        <v>48</v>
      </c>
    </row>
    <row r="137">
      <c r="A137" s="4" t="s">
        <v>126</v>
      </c>
    </row>
    <row r="138">
      <c r="A138" s="4" t="s">
        <v>139</v>
      </c>
    </row>
    <row r="139">
      <c r="A139" s="4" t="s">
        <v>41</v>
      </c>
    </row>
    <row r="140">
      <c r="A140" s="4" t="s">
        <v>1338</v>
      </c>
    </row>
    <row r="141">
      <c r="A141" s="4" t="s">
        <v>33</v>
      </c>
    </row>
    <row r="142">
      <c r="A142" s="4" t="s">
        <v>34</v>
      </c>
    </row>
    <row r="143">
      <c r="A143" s="4" t="s">
        <v>498</v>
      </c>
    </row>
    <row r="144">
      <c r="A144" s="4" t="s">
        <v>951</v>
      </c>
    </row>
    <row r="145">
      <c r="A145" s="4" t="s">
        <v>901</v>
      </c>
    </row>
    <row r="146">
      <c r="A146" s="4" t="s">
        <v>115</v>
      </c>
    </row>
    <row r="147">
      <c r="A147" s="4" t="s">
        <v>970</v>
      </c>
    </row>
    <row r="148">
      <c r="A148" s="4" t="s">
        <v>90</v>
      </c>
    </row>
    <row r="149">
      <c r="A149" s="4" t="s">
        <v>92</v>
      </c>
    </row>
    <row r="150">
      <c r="A150" s="4" t="s">
        <v>549</v>
      </c>
    </row>
    <row r="151">
      <c r="A151" s="4" t="s">
        <v>3258</v>
      </c>
    </row>
    <row r="152">
      <c r="A152" s="4" t="s">
        <v>62</v>
      </c>
    </row>
    <row r="153">
      <c r="A153" s="4" t="s">
        <v>4868</v>
      </c>
    </row>
    <row r="154">
      <c r="A154" s="4" t="s">
        <v>33</v>
      </c>
    </row>
    <row r="155">
      <c r="A155" s="4" t="s">
        <v>34</v>
      </c>
    </row>
    <row r="156">
      <c r="A156" s="4" t="s">
        <v>497</v>
      </c>
    </row>
    <row r="157">
      <c r="A157" s="4" t="s">
        <v>119</v>
      </c>
    </row>
    <row r="158">
      <c r="A158" s="4" t="s">
        <v>500</v>
      </c>
    </row>
    <row r="159">
      <c r="A159" s="4" t="s">
        <v>35</v>
      </c>
    </row>
    <row r="160">
      <c r="A160" s="4" t="s">
        <v>40</v>
      </c>
    </row>
    <row r="161">
      <c r="A161" s="4" t="s">
        <v>1343</v>
      </c>
    </row>
    <row r="162">
      <c r="A162" s="4" t="s">
        <v>33</v>
      </c>
    </row>
    <row r="163">
      <c r="A163" s="4" t="s">
        <v>569</v>
      </c>
    </row>
    <row r="164">
      <c r="A164" s="4" t="s">
        <v>51</v>
      </c>
    </row>
    <row r="165">
      <c r="A165" s="4" t="s">
        <v>516</v>
      </c>
    </row>
    <row r="166">
      <c r="A166" s="4" t="s">
        <v>525</v>
      </c>
    </row>
    <row r="167">
      <c r="A167" s="4" t="s">
        <v>551</v>
      </c>
    </row>
    <row r="168">
      <c r="A168" s="4" t="s">
        <v>53</v>
      </c>
    </row>
    <row r="169">
      <c r="A169" s="4" t="s">
        <v>115</v>
      </c>
    </row>
    <row r="170">
      <c r="A170" s="4" t="s">
        <v>92</v>
      </c>
    </row>
    <row r="171">
      <c r="A171" s="4" t="s">
        <v>93</v>
      </c>
    </row>
    <row r="172">
      <c r="A172" s="4" t="s">
        <v>33</v>
      </c>
    </row>
    <row r="173">
      <c r="A173" s="4" t="s">
        <v>4869</v>
      </c>
    </row>
    <row r="174">
      <c r="A174" s="4" t="s">
        <v>107</v>
      </c>
    </row>
    <row r="175">
      <c r="A175" s="4" t="s">
        <v>41</v>
      </c>
    </row>
    <row r="176">
      <c r="A176" s="4" t="s">
        <v>4870</v>
      </c>
    </row>
    <row r="177">
      <c r="A177" s="4" t="s">
        <v>48</v>
      </c>
    </row>
    <row r="178">
      <c r="A178" s="4" t="s">
        <v>147</v>
      </c>
    </row>
    <row r="179">
      <c r="A179" s="4" t="s">
        <v>33</v>
      </c>
    </row>
    <row r="180">
      <c r="A180" s="4" t="s">
        <v>34</v>
      </c>
    </row>
    <row r="181">
      <c r="A181" s="4" t="s">
        <v>509</v>
      </c>
    </row>
    <row r="182">
      <c r="A182" s="4" t="s">
        <v>92</v>
      </c>
    </row>
    <row r="183">
      <c r="A183" s="4" t="s">
        <v>510</v>
      </c>
    </row>
    <row r="184">
      <c r="A184" s="4" t="s">
        <v>88</v>
      </c>
    </row>
    <row r="185">
      <c r="A185" s="4" t="s">
        <v>89</v>
      </c>
    </row>
    <row r="186">
      <c r="A186" s="4" t="s">
        <v>33</v>
      </c>
    </row>
    <row r="187">
      <c r="A187" s="4" t="s">
        <v>34</v>
      </c>
    </row>
    <row r="188">
      <c r="A188" s="4" t="s">
        <v>497</v>
      </c>
    </row>
    <row r="189">
      <c r="A189" s="4" t="s">
        <v>498</v>
      </c>
    </row>
    <row r="190">
      <c r="A190" s="4" t="s">
        <v>509</v>
      </c>
    </row>
    <row r="191">
      <c r="A191" s="4" t="s">
        <v>92</v>
      </c>
    </row>
    <row r="192">
      <c r="A192" s="4" t="s">
        <v>545</v>
      </c>
    </row>
    <row r="193">
      <c r="A193" s="4" t="s">
        <v>109</v>
      </c>
    </row>
    <row r="194">
      <c r="A194" s="4" t="s">
        <v>501</v>
      </c>
    </row>
    <row r="195">
      <c r="A195" s="4" t="s">
        <v>33</v>
      </c>
    </row>
    <row r="196">
      <c r="A196" s="4" t="s">
        <v>34</v>
      </c>
    </row>
    <row r="197">
      <c r="A197" s="4" t="s">
        <v>44</v>
      </c>
    </row>
    <row r="198">
      <c r="A198" s="4" t="s">
        <v>119</v>
      </c>
    </row>
    <row r="199">
      <c r="A199" s="4" t="s">
        <v>500</v>
      </c>
    </row>
    <row r="200">
      <c r="A200" s="4" t="s">
        <v>88</v>
      </c>
    </row>
    <row r="201">
      <c r="A201" s="4" t="s">
        <v>75</v>
      </c>
    </row>
    <row r="202">
      <c r="A202" s="4" t="s">
        <v>50</v>
      </c>
    </row>
    <row r="203">
      <c r="A203" s="4" t="s">
        <v>40</v>
      </c>
    </row>
    <row r="204">
      <c r="A204" s="4" t="s">
        <v>33</v>
      </c>
    </row>
    <row r="205">
      <c r="A205" s="4" t="s">
        <v>34</v>
      </c>
    </row>
    <row r="206">
      <c r="A206" s="4" t="s">
        <v>110</v>
      </c>
    </row>
    <row r="207">
      <c r="A207" s="4" t="s">
        <v>44</v>
      </c>
    </row>
    <row r="208">
      <c r="A208" s="4" t="s">
        <v>98</v>
      </c>
    </row>
    <row r="209">
      <c r="A209" s="4" t="s">
        <v>4871</v>
      </c>
    </row>
    <row r="210">
      <c r="A210" s="4" t="s">
        <v>48</v>
      </c>
    </row>
    <row r="211">
      <c r="A211" s="4" t="s">
        <v>1246</v>
      </c>
    </row>
    <row r="212">
      <c r="A212" s="4" t="s">
        <v>1356</v>
      </c>
    </row>
    <row r="213">
      <c r="A213" s="4" t="s">
        <v>33</v>
      </c>
    </row>
    <row r="214">
      <c r="A214" s="4" t="s">
        <v>34</v>
      </c>
    </row>
    <row r="215">
      <c r="A215" s="4" t="s">
        <v>546</v>
      </c>
    </row>
    <row r="216">
      <c r="A216" s="4" t="s">
        <v>40</v>
      </c>
    </row>
    <row r="217">
      <c r="A217" s="4" t="s">
        <v>520</v>
      </c>
    </row>
    <row r="218">
      <c r="A218" s="4" t="s">
        <v>4872</v>
      </c>
    </row>
    <row r="219">
      <c r="A219" s="4" t="s">
        <v>48</v>
      </c>
    </row>
    <row r="220">
      <c r="A220" s="4" t="s">
        <v>107</v>
      </c>
    </row>
    <row r="221">
      <c r="A221" s="4" t="s">
        <v>41</v>
      </c>
    </row>
    <row r="222">
      <c r="A222" s="4" t="s">
        <v>42</v>
      </c>
    </row>
    <row r="223">
      <c r="A223" s="4" t="s">
        <v>33</v>
      </c>
    </row>
    <row r="224">
      <c r="A224" s="4" t="s">
        <v>34</v>
      </c>
    </row>
    <row r="225">
      <c r="A225" s="4" t="s">
        <v>119</v>
      </c>
    </row>
    <row r="226">
      <c r="A226" s="4" t="s">
        <v>500</v>
      </c>
    </row>
    <row r="227">
      <c r="A227" s="4" t="s">
        <v>35</v>
      </c>
    </row>
    <row r="228">
      <c r="A228" s="4" t="s">
        <v>75</v>
      </c>
    </row>
    <row r="229">
      <c r="A229" s="4" t="s">
        <v>4873</v>
      </c>
    </row>
    <row r="230">
      <c r="A230" s="4" t="s">
        <v>44</v>
      </c>
    </row>
    <row r="231">
      <c r="A231" s="4" t="s">
        <v>119</v>
      </c>
    </row>
    <row r="232">
      <c r="A232" s="4" t="s">
        <v>109</v>
      </c>
    </row>
    <row r="233">
      <c r="A233" s="4" t="s">
        <v>4874</v>
      </c>
    </row>
    <row r="234">
      <c r="A234" s="4" t="s">
        <v>33</v>
      </c>
    </row>
    <row r="235">
      <c r="A235" s="4" t="s">
        <v>34</v>
      </c>
    </row>
    <row r="236">
      <c r="A236" s="4" t="s">
        <v>497</v>
      </c>
    </row>
    <row r="237">
      <c r="A237" s="4" t="s">
        <v>4875</v>
      </c>
    </row>
    <row r="238">
      <c r="A238" s="4" t="s">
        <v>4876</v>
      </c>
    </row>
    <row r="239">
      <c r="A239" s="4" t="s">
        <v>3682</v>
      </c>
    </row>
    <row r="240">
      <c r="A240" s="4" t="s">
        <v>138</v>
      </c>
    </row>
    <row r="241">
      <c r="A241" s="4" t="s">
        <v>1364</v>
      </c>
    </row>
    <row r="242">
      <c r="A242" s="4" t="s">
        <v>4877</v>
      </c>
    </row>
    <row r="243">
      <c r="A243" s="4" t="s">
        <v>160</v>
      </c>
    </row>
    <row r="244">
      <c r="A244" s="4" t="s">
        <v>4878</v>
      </c>
    </row>
    <row r="245">
      <c r="A245" s="4" t="s">
        <v>33</v>
      </c>
    </row>
    <row r="246">
      <c r="A246" s="4" t="s">
        <v>34</v>
      </c>
    </row>
    <row r="247">
      <c r="A247" s="4" t="s">
        <v>44</v>
      </c>
    </row>
    <row r="248">
      <c r="A248" s="4" t="s">
        <v>92</v>
      </c>
    </row>
    <row r="249">
      <c r="A249" s="4" t="s">
        <v>527</v>
      </c>
    </row>
    <row r="250">
      <c r="A250" s="4" t="s">
        <v>35</v>
      </c>
    </row>
    <row r="251">
      <c r="A251" s="4" t="s">
        <v>40</v>
      </c>
    </row>
    <row r="252">
      <c r="A252" s="4" t="s">
        <v>147</v>
      </c>
    </row>
    <row r="253">
      <c r="A253" s="4" t="s">
        <v>33</v>
      </c>
    </row>
    <row r="254">
      <c r="A254" s="4" t="s">
        <v>34</v>
      </c>
    </row>
    <row r="255">
      <c r="A255" s="4" t="s">
        <v>44</v>
      </c>
    </row>
    <row r="256">
      <c r="A256" s="4" t="s">
        <v>119</v>
      </c>
    </row>
    <row r="257">
      <c r="A257" s="4" t="s">
        <v>500</v>
      </c>
    </row>
    <row r="258">
      <c r="A258" s="4" t="s">
        <v>109</v>
      </c>
    </row>
    <row r="259">
      <c r="A259" s="4" t="s">
        <v>501</v>
      </c>
    </row>
    <row r="260">
      <c r="A260" s="4" t="s">
        <v>50</v>
      </c>
    </row>
    <row r="261">
      <c r="A261" s="4" t="s">
        <v>129</v>
      </c>
    </row>
    <row r="262">
      <c r="A262" s="4" t="s">
        <v>120</v>
      </c>
    </row>
    <row r="263">
      <c r="A263" s="4" t="s">
        <v>33</v>
      </c>
    </row>
    <row r="264">
      <c r="A264" s="4" t="s">
        <v>34</v>
      </c>
    </row>
    <row r="265">
      <c r="A265" s="4" t="s">
        <v>110</v>
      </c>
    </row>
    <row r="266">
      <c r="A266" s="4" t="s">
        <v>44</v>
      </c>
    </row>
    <row r="267">
      <c r="A267" s="4" t="s">
        <v>98</v>
      </c>
    </row>
    <row r="268">
      <c r="A268" s="4" t="s">
        <v>4871</v>
      </c>
    </row>
    <row r="269">
      <c r="A269" s="4" t="s">
        <v>48</v>
      </c>
    </row>
    <row r="270">
      <c r="A270" s="4" t="s">
        <v>1246</v>
      </c>
    </row>
    <row r="271">
      <c r="A271" s="4" t="s">
        <v>1356</v>
      </c>
    </row>
    <row r="272">
      <c r="A272" s="4" t="s">
        <v>33</v>
      </c>
    </row>
    <row r="273">
      <c r="A273" s="4" t="s">
        <v>516</v>
      </c>
    </row>
    <row r="274">
      <c r="A274" s="4" t="s">
        <v>520</v>
      </c>
    </row>
    <row r="275">
      <c r="A275" s="4" t="s">
        <v>500</v>
      </c>
    </row>
    <row r="276">
      <c r="A276" s="4" t="s">
        <v>33</v>
      </c>
    </row>
    <row r="277">
      <c r="A277" s="4" t="s">
        <v>34</v>
      </c>
    </row>
    <row r="278">
      <c r="A278" s="4" t="s">
        <v>40</v>
      </c>
    </row>
    <row r="279">
      <c r="A279" s="4" t="s">
        <v>520</v>
      </c>
    </row>
    <row r="280">
      <c r="A280" s="4" t="s">
        <v>44</v>
      </c>
    </row>
    <row r="281">
      <c r="A281" s="4" t="s">
        <v>513</v>
      </c>
    </row>
    <row r="282">
      <c r="A282" s="4" t="s">
        <v>533</v>
      </c>
    </row>
    <row r="283">
      <c r="A283" s="4" t="s">
        <v>116</v>
      </c>
    </row>
    <row r="284">
      <c r="A284" s="4" t="s">
        <v>4879</v>
      </c>
    </row>
    <row r="285">
      <c r="A285" s="4" t="s">
        <v>41</v>
      </c>
    </row>
    <row r="286">
      <c r="A286" s="4" t="s">
        <v>908</v>
      </c>
    </row>
    <row r="287">
      <c r="A287" s="4" t="s">
        <v>909</v>
      </c>
    </row>
    <row r="288">
      <c r="A288" s="4" t="s">
        <v>101</v>
      </c>
    </row>
    <row r="289">
      <c r="A289" s="4" t="s">
        <v>48</v>
      </c>
    </row>
    <row r="290">
      <c r="A290" s="4" t="s">
        <v>107</v>
      </c>
    </row>
    <row r="291">
      <c r="A291" s="4" t="s">
        <v>41</v>
      </c>
    </row>
    <row r="292">
      <c r="A292" s="4" t="s">
        <v>42</v>
      </c>
    </row>
    <row r="293">
      <c r="A293" s="4" t="s">
        <v>33</v>
      </c>
    </row>
    <row r="294">
      <c r="A294" s="4" t="s">
        <v>34</v>
      </c>
    </row>
    <row r="295">
      <c r="A295" s="4" t="s">
        <v>44</v>
      </c>
    </row>
    <row r="296">
      <c r="A296" s="4" t="s">
        <v>119</v>
      </c>
    </row>
    <row r="297">
      <c r="A297" s="4" t="s">
        <v>500</v>
      </c>
    </row>
    <row r="298">
      <c r="A298" s="4" t="s">
        <v>109</v>
      </c>
    </row>
    <row r="299">
      <c r="A299" s="4" t="s">
        <v>4864</v>
      </c>
    </row>
    <row r="300">
      <c r="A300" s="4" t="s">
        <v>50</v>
      </c>
    </row>
    <row r="301">
      <c r="A301" s="4" t="s">
        <v>40</v>
      </c>
    </row>
    <row r="302">
      <c r="A302" s="4" t="s">
        <v>33</v>
      </c>
    </row>
    <row r="303">
      <c r="A303" s="4" t="s">
        <v>34</v>
      </c>
    </row>
    <row r="304">
      <c r="A304" s="4" t="s">
        <v>497</v>
      </c>
    </row>
    <row r="305">
      <c r="A305" s="4" t="s">
        <v>502</v>
      </c>
    </row>
    <row r="306">
      <c r="A306" s="4" t="s">
        <v>40</v>
      </c>
    </row>
    <row r="307">
      <c r="A307" s="4" t="s">
        <v>44</v>
      </c>
    </row>
    <row r="308">
      <c r="A308" s="4" t="s">
        <v>503</v>
      </c>
    </row>
    <row r="309">
      <c r="A309" s="4" t="s">
        <v>33</v>
      </c>
    </row>
    <row r="310">
      <c r="A310" s="4" t="s">
        <v>34</v>
      </c>
    </row>
    <row r="311">
      <c r="A311" s="4" t="s">
        <v>497</v>
      </c>
    </row>
    <row r="312">
      <c r="A312" s="4" t="s">
        <v>498</v>
      </c>
    </row>
    <row r="313">
      <c r="A313" s="4" t="s">
        <v>499</v>
      </c>
    </row>
    <row r="314">
      <c r="A314" s="4" t="s">
        <v>119</v>
      </c>
    </row>
    <row r="315">
      <c r="A315" s="4" t="s">
        <v>500</v>
      </c>
    </row>
    <row r="316">
      <c r="A316" s="4" t="s">
        <v>536</v>
      </c>
    </row>
    <row r="317">
      <c r="A317" s="4" t="s">
        <v>109</v>
      </c>
    </row>
    <row r="318">
      <c r="A318" s="4" t="s">
        <v>4880</v>
      </c>
    </row>
    <row r="319">
      <c r="A319" s="4" t="s">
        <v>4881</v>
      </c>
    </row>
    <row r="320">
      <c r="A320" s="4" t="s">
        <v>4882</v>
      </c>
    </row>
    <row r="321">
      <c r="A321" s="4" t="s">
        <v>166</v>
      </c>
    </row>
    <row r="322">
      <c r="A322" s="4" t="s">
        <v>33</v>
      </c>
    </row>
    <row r="323">
      <c r="A323" s="4" t="s">
        <v>34</v>
      </c>
    </row>
    <row r="324">
      <c r="A324" s="4" t="s">
        <v>44</v>
      </c>
    </row>
    <row r="325">
      <c r="A325" s="4" t="s">
        <v>513</v>
      </c>
    </row>
    <row r="326">
      <c r="A326" s="4" t="s">
        <v>533</v>
      </c>
    </row>
    <row r="327">
      <c r="A327" s="4" t="s">
        <v>518</v>
      </c>
    </row>
    <row r="328">
      <c r="A328" s="4" t="s">
        <v>1359</v>
      </c>
    </row>
    <row r="329">
      <c r="A329" s="4" t="s">
        <v>935</v>
      </c>
    </row>
    <row r="330">
      <c r="A330" s="4" t="s">
        <v>48</v>
      </c>
    </row>
    <row r="331">
      <c r="A331" s="4" t="s">
        <v>107</v>
      </c>
    </row>
    <row r="332">
      <c r="A332" s="4" t="s">
        <v>41</v>
      </c>
    </row>
    <row r="333">
      <c r="A333" s="4" t="s">
        <v>42</v>
      </c>
    </row>
    <row r="334">
      <c r="A334" s="4" t="s">
        <v>48</v>
      </c>
    </row>
    <row r="335">
      <c r="A335" s="4" t="s">
        <v>128</v>
      </c>
    </row>
    <row r="336">
      <c r="A336" s="4" t="s">
        <v>570</v>
      </c>
    </row>
    <row r="337">
      <c r="A337" s="4" t="s">
        <v>33</v>
      </c>
    </row>
    <row r="338">
      <c r="A338" s="4" t="s">
        <v>34</v>
      </c>
    </row>
    <row r="339">
      <c r="A339" s="4" t="s">
        <v>107</v>
      </c>
    </row>
    <row r="340">
      <c r="A340" s="4" t="s">
        <v>41</v>
      </c>
    </row>
    <row r="341">
      <c r="A341" s="4" t="s">
        <v>42</v>
      </c>
    </row>
    <row r="342">
      <c r="A342" s="4" t="s">
        <v>48</v>
      </c>
    </row>
    <row r="343">
      <c r="A343" s="4" t="s">
        <v>529</v>
      </c>
    </row>
    <row r="344">
      <c r="A344" s="4" t="s">
        <v>39</v>
      </c>
    </row>
    <row r="345">
      <c r="A345" s="4" t="s">
        <v>40</v>
      </c>
    </row>
    <row r="346">
      <c r="A346" s="4" t="s">
        <v>33</v>
      </c>
    </row>
    <row r="347">
      <c r="A347" s="4" t="s">
        <v>500</v>
      </c>
    </row>
    <row r="348">
      <c r="A348" s="4" t="s">
        <v>44</v>
      </c>
    </row>
    <row r="349">
      <c r="A349" s="4" t="s">
        <v>518</v>
      </c>
    </row>
    <row r="350">
      <c r="A350" s="4" t="s">
        <v>34</v>
      </c>
    </row>
    <row r="351">
      <c r="A351" s="4" t="s">
        <v>519</v>
      </c>
    </row>
    <row r="352">
      <c r="A352" s="4" t="s">
        <v>520</v>
      </c>
    </row>
    <row r="353">
      <c r="A353" s="4" t="s">
        <v>138</v>
      </c>
    </row>
    <row r="354">
      <c r="A354" s="4" t="s">
        <v>521</v>
      </c>
    </row>
    <row r="355">
      <c r="A355" s="4" t="s">
        <v>4883</v>
      </c>
    </row>
    <row r="356">
      <c r="A356" s="4" t="s">
        <v>33</v>
      </c>
    </row>
    <row r="357">
      <c r="A357" s="4" t="s">
        <v>34</v>
      </c>
    </row>
    <row r="358">
      <c r="A358" s="4" t="s">
        <v>107</v>
      </c>
    </row>
    <row r="359">
      <c r="A359" s="4" t="s">
        <v>41</v>
      </c>
    </row>
    <row r="360">
      <c r="A360" s="4" t="s">
        <v>42</v>
      </c>
    </row>
    <row r="361">
      <c r="A361" s="4" t="s">
        <v>48</v>
      </c>
    </row>
    <row r="362">
      <c r="A362" s="4" t="s">
        <v>529</v>
      </c>
    </row>
    <row r="363">
      <c r="A363" s="4" t="s">
        <v>39</v>
      </c>
    </row>
    <row r="364">
      <c r="A364" s="4" t="s">
        <v>40</v>
      </c>
    </row>
    <row r="365">
      <c r="A365" s="4" t="s">
        <v>33</v>
      </c>
    </row>
    <row r="366">
      <c r="A366" s="4" t="s">
        <v>34</v>
      </c>
    </row>
    <row r="367">
      <c r="A367" s="4" t="s">
        <v>107</v>
      </c>
    </row>
    <row r="368">
      <c r="A368" s="4" t="s">
        <v>41</v>
      </c>
    </row>
    <row r="369">
      <c r="A369" s="4" t="s">
        <v>42</v>
      </c>
    </row>
    <row r="370">
      <c r="A370" s="4" t="s">
        <v>75</v>
      </c>
    </row>
    <row r="371">
      <c r="A371" s="4" t="s">
        <v>4884</v>
      </c>
    </row>
    <row r="372">
      <c r="A372" s="4" t="s">
        <v>4885</v>
      </c>
    </row>
    <row r="373">
      <c r="A373" s="4" t="s">
        <v>4886</v>
      </c>
    </row>
    <row r="374">
      <c r="A374" s="4" t="s">
        <v>48</v>
      </c>
    </row>
    <row r="375">
      <c r="A375" s="4" t="s">
        <v>49</v>
      </c>
    </row>
    <row r="376">
      <c r="A376" s="4" t="s">
        <v>90</v>
      </c>
    </row>
    <row r="377">
      <c r="A377" s="4" t="s">
        <v>33</v>
      </c>
    </row>
    <row r="378">
      <c r="A378" s="4" t="s">
        <v>34</v>
      </c>
    </row>
    <row r="379">
      <c r="A379" s="4" t="s">
        <v>44</v>
      </c>
    </row>
    <row r="380">
      <c r="A380" s="4" t="s">
        <v>513</v>
      </c>
    </row>
    <row r="381">
      <c r="A381" s="4" t="s">
        <v>514</v>
      </c>
    </row>
    <row r="382">
      <c r="A382" s="4" t="s">
        <v>518</v>
      </c>
    </row>
    <row r="383">
      <c r="A383" s="4" t="s">
        <v>540</v>
      </c>
    </row>
    <row r="384">
      <c r="A384" s="4" t="s">
        <v>41</v>
      </c>
    </row>
    <row r="385">
      <c r="A385" s="4" t="s">
        <v>139</v>
      </c>
    </row>
    <row r="386">
      <c r="A386" s="4" t="s">
        <v>90</v>
      </c>
    </row>
    <row r="387">
      <c r="A387" s="4" t="s">
        <v>33</v>
      </c>
    </row>
    <row r="388">
      <c r="A388" s="4" t="s">
        <v>34</v>
      </c>
    </row>
    <row r="389">
      <c r="A389" s="4" t="s">
        <v>88</v>
      </c>
    </row>
    <row r="390">
      <c r="A390" s="4" t="s">
        <v>75</v>
      </c>
    </row>
    <row r="391">
      <c r="A391" s="4" t="s">
        <v>48</v>
      </c>
    </row>
    <row r="392">
      <c r="A392" s="4" t="s">
        <v>35</v>
      </c>
    </row>
    <row r="393">
      <c r="A393" s="4" t="s">
        <v>107</v>
      </c>
    </row>
    <row r="394">
      <c r="A394" s="4" t="s">
        <v>41</v>
      </c>
    </row>
    <row r="395">
      <c r="A395" s="4" t="s">
        <v>42</v>
      </c>
    </row>
    <row r="396">
      <c r="A396" s="4" t="s">
        <v>90</v>
      </c>
    </row>
    <row r="397">
      <c r="A397" s="4" t="s">
        <v>33</v>
      </c>
    </row>
    <row r="398">
      <c r="A398" s="4" t="s">
        <v>540</v>
      </c>
    </row>
    <row r="399">
      <c r="A399" s="4" t="s">
        <v>4887</v>
      </c>
    </row>
    <row r="400">
      <c r="A400" s="4" t="s">
        <v>4873</v>
      </c>
    </row>
    <row r="401">
      <c r="A401" s="4" t="s">
        <v>88</v>
      </c>
    </row>
    <row r="402">
      <c r="A402" s="4" t="s">
        <v>89</v>
      </c>
    </row>
    <row r="403">
      <c r="A403" s="4" t="s">
        <v>33</v>
      </c>
    </row>
    <row r="404">
      <c r="A404" s="4" t="s">
        <v>500</v>
      </c>
    </row>
    <row r="405">
      <c r="A405" s="4" t="s">
        <v>68</v>
      </c>
    </row>
    <row r="406">
      <c r="A406" s="4" t="s">
        <v>518</v>
      </c>
    </row>
    <row r="407">
      <c r="A407" s="4" t="s">
        <v>34</v>
      </c>
    </row>
    <row r="408">
      <c r="A408" s="4" t="s">
        <v>519</v>
      </c>
    </row>
    <row r="409">
      <c r="A409" s="4" t="s">
        <v>520</v>
      </c>
    </row>
    <row r="410">
      <c r="A410" s="4" t="s">
        <v>90</v>
      </c>
    </row>
    <row r="411">
      <c r="A411" s="4" t="s">
        <v>44</v>
      </c>
    </row>
    <row r="412">
      <c r="A412" s="4" t="s">
        <v>522</v>
      </c>
    </row>
    <row r="413">
      <c r="A413" s="4" t="s">
        <v>33</v>
      </c>
    </row>
    <row r="414">
      <c r="A414" s="4" t="s">
        <v>34</v>
      </c>
    </row>
    <row r="415">
      <c r="A415" s="4" t="s">
        <v>39</v>
      </c>
    </row>
    <row r="416">
      <c r="A416" s="4" t="s">
        <v>40</v>
      </c>
    </row>
    <row r="417">
      <c r="A417" s="4" t="s">
        <v>51</v>
      </c>
    </row>
    <row r="418">
      <c r="A418" s="4" t="s">
        <v>105</v>
      </c>
    </row>
    <row r="419">
      <c r="A419" s="4" t="s">
        <v>3786</v>
      </c>
    </row>
    <row r="420">
      <c r="A420" s="4" t="s">
        <v>33</v>
      </c>
    </row>
    <row r="421">
      <c r="A421" s="4" t="s">
        <v>34</v>
      </c>
    </row>
    <row r="422">
      <c r="A422" s="4" t="s">
        <v>44</v>
      </c>
    </row>
    <row r="423">
      <c r="A423" s="4" t="s">
        <v>513</v>
      </c>
    </row>
    <row r="424">
      <c r="A424" s="4" t="s">
        <v>533</v>
      </c>
    </row>
    <row r="425">
      <c r="A425" s="4" t="s">
        <v>518</v>
      </c>
    </row>
    <row r="426">
      <c r="A426" s="4" t="s">
        <v>131</v>
      </c>
    </row>
    <row r="427">
      <c r="A427" s="4" t="s">
        <v>115</v>
      </c>
    </row>
    <row r="428">
      <c r="A428" s="4" t="s">
        <v>1354</v>
      </c>
    </row>
    <row r="429">
      <c r="A429" s="4" t="s">
        <v>139</v>
      </c>
    </row>
    <row r="430">
      <c r="A430" s="4" t="s">
        <v>48</v>
      </c>
    </row>
    <row r="431">
      <c r="A431" s="4" t="s">
        <v>500</v>
      </c>
    </row>
    <row r="432">
      <c r="A432" s="4" t="s">
        <v>1218</v>
      </c>
    </row>
    <row r="433">
      <c r="A433" s="4" t="s">
        <v>33</v>
      </c>
    </row>
    <row r="434">
      <c r="A434" s="4" t="s">
        <v>34</v>
      </c>
    </row>
    <row r="435">
      <c r="A435" s="4" t="s">
        <v>107</v>
      </c>
    </row>
    <row r="436">
      <c r="A436" s="4" t="s">
        <v>41</v>
      </c>
    </row>
    <row r="437">
      <c r="A437" s="4" t="s">
        <v>42</v>
      </c>
    </row>
    <row r="438">
      <c r="A438" s="4" t="s">
        <v>48</v>
      </c>
    </row>
    <row r="439">
      <c r="A439" s="4" t="s">
        <v>88</v>
      </c>
    </row>
    <row r="440">
      <c r="A440" s="4" t="s">
        <v>75</v>
      </c>
    </row>
    <row r="441">
      <c r="A441" s="4" t="s">
        <v>33</v>
      </c>
    </row>
    <row r="442">
      <c r="A442" s="4" t="s">
        <v>34</v>
      </c>
    </row>
    <row r="443">
      <c r="A443" s="4" t="s">
        <v>497</v>
      </c>
    </row>
    <row r="444">
      <c r="A444" s="4" t="s">
        <v>498</v>
      </c>
    </row>
    <row r="445">
      <c r="A445" s="4" t="s">
        <v>88</v>
      </c>
    </row>
    <row r="446">
      <c r="A446" s="4" t="s">
        <v>75</v>
      </c>
    </row>
    <row r="447">
      <c r="A447" s="4" t="s">
        <v>115</v>
      </c>
    </row>
    <row r="448">
      <c r="A448" s="4" t="s">
        <v>62</v>
      </c>
    </row>
    <row r="449">
      <c r="A449" s="4" t="s">
        <v>534</v>
      </c>
    </row>
    <row r="450">
      <c r="A450" s="4" t="s">
        <v>874</v>
      </c>
    </row>
    <row r="451">
      <c r="A451" s="4" t="s">
        <v>33</v>
      </c>
    </row>
    <row r="452">
      <c r="A452" s="4" t="s">
        <v>34</v>
      </c>
    </row>
    <row r="453">
      <c r="A453" s="4" t="s">
        <v>107</v>
      </c>
    </row>
    <row r="454">
      <c r="A454" s="4" t="s">
        <v>41</v>
      </c>
    </row>
    <row r="455">
      <c r="A455" s="4" t="s">
        <v>42</v>
      </c>
    </row>
    <row r="456">
      <c r="A456" s="4" t="s">
        <v>48</v>
      </c>
    </row>
    <row r="457">
      <c r="A457" s="4" t="s">
        <v>41</v>
      </c>
    </row>
    <row r="458">
      <c r="A458" s="4" t="s">
        <v>1223</v>
      </c>
    </row>
    <row r="459">
      <c r="A459" s="4" t="s">
        <v>90</v>
      </c>
    </row>
    <row r="460">
      <c r="A460" s="4" t="s">
        <v>40</v>
      </c>
    </row>
    <row r="461">
      <c r="A461" s="4" t="s">
        <v>33</v>
      </c>
    </row>
    <row r="462">
      <c r="A462" s="4" t="s">
        <v>506</v>
      </c>
    </row>
    <row r="463">
      <c r="A463" s="4" t="s">
        <v>509</v>
      </c>
    </row>
    <row r="464">
      <c r="A464" s="4" t="s">
        <v>92</v>
      </c>
    </row>
    <row r="465">
      <c r="A465" s="4" t="s">
        <v>510</v>
      </c>
    </row>
    <row r="466">
      <c r="A466" s="4" t="s">
        <v>33</v>
      </c>
    </row>
    <row r="467">
      <c r="A467" s="4" t="s">
        <v>506</v>
      </c>
    </row>
    <row r="468">
      <c r="A468" s="4" t="s">
        <v>39</v>
      </c>
    </row>
    <row r="469">
      <c r="A469" s="4" t="s">
        <v>40</v>
      </c>
    </row>
    <row r="470">
      <c r="A470" s="4" t="s">
        <v>126</v>
      </c>
    </row>
    <row r="471">
      <c r="A471" s="4" t="s">
        <v>139</v>
      </c>
    </row>
    <row r="472">
      <c r="A472" s="4" t="s">
        <v>41</v>
      </c>
    </row>
    <row r="473">
      <c r="A473" s="4" t="s">
        <v>1338</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175</v>
      </c>
      <c r="D2" s="4" t="str">
        <f t="shared" ref="D2:D450" si="1">C2</f>
        <v>{"valorA":"ótimo","valorB":1.0}</v>
      </c>
      <c r="E2" s="8" t="str">
        <f t="shared" ref="E2:E450" si="2">SUBSTITUTE(MID(C2,FIND(":",C2)+1,FIND(",",C2)-FIND(":",C2)-1),"""","")</f>
        <v>ótimo</v>
      </c>
      <c r="F2" s="8" t="str">
        <f>IFERROR(__xludf.DUMMYFUNCTION("UNIQUE(E2:E450)"),"ótimo")</f>
        <v>ótimo</v>
      </c>
      <c r="G2" s="8" t="str">
        <f t="shared" ref="G2:G450" si="3">MID(C2,FIND("valorB",C2)+8,FIND("}",C2)-FIND("valorB",C2)-8)</f>
        <v>1.0</v>
      </c>
      <c r="H2" s="9">
        <f t="shared" ref="H2:H450" si="4">VALUE(SUBSTITUTE(G2,".",","))</f>
        <v>1</v>
      </c>
      <c r="I2" s="10">
        <f>IFERROR(__xludf.DUMMYFUNCTION("MAX(FILTER($H:$H,$E:$E=F2))"),49.0)</f>
        <v>49</v>
      </c>
    </row>
    <row r="3">
      <c r="C3" s="4" t="s">
        <v>672</v>
      </c>
      <c r="D3" s="4" t="str">
        <f t="shared" si="1"/>
        <v>{"valorA":"comprar","valorB":1.0}</v>
      </c>
      <c r="E3" s="8" t="str">
        <f t="shared" si="2"/>
        <v>comprar</v>
      </c>
      <c r="F3" s="8" t="str">
        <f>IFERROR(__xludf.DUMMYFUNCTION("""COMPUTED_VALUE"""),"comprar")</f>
        <v>comprar</v>
      </c>
      <c r="G3" s="8" t="str">
        <f t="shared" si="3"/>
        <v>1.0</v>
      </c>
      <c r="H3" s="9">
        <f t="shared" si="4"/>
        <v>1</v>
      </c>
      <c r="I3" s="10">
        <f>IFERROR(__xludf.DUMMYFUNCTION("MAX(FILTER($H:$H,$E:$E=F3))"),1.0)</f>
        <v>1</v>
      </c>
    </row>
    <row r="4">
      <c r="C4" s="4" t="s">
        <v>198</v>
      </c>
      <c r="D4" s="4" t="str">
        <f t="shared" si="1"/>
        <v>{"valorA":"comentário","valorB":1.0}</v>
      </c>
      <c r="E4" s="8" t="str">
        <f t="shared" si="2"/>
        <v>comentário</v>
      </c>
      <c r="F4" s="8" t="str">
        <f>IFERROR(__xludf.DUMMYFUNCTION("""COMPUTED_VALUE"""),"comentário")</f>
        <v>comentário</v>
      </c>
      <c r="G4" s="8" t="str">
        <f t="shared" si="3"/>
        <v>1.0</v>
      </c>
      <c r="H4" s="9">
        <f t="shared" si="4"/>
        <v>1</v>
      </c>
      <c r="I4" s="10">
        <f>IFERROR(__xludf.DUMMYFUNCTION("MAX(FILTER($H:$H,$E:$E=F4))"),1.0)</f>
        <v>1</v>
      </c>
    </row>
    <row r="5">
      <c r="C5" s="4" t="s">
        <v>4888</v>
      </c>
      <c r="D5" s="4" t="str">
        <f t="shared" si="1"/>
        <v>{"valorA":"igual","valorB":1.0}</v>
      </c>
      <c r="E5" s="8" t="str">
        <f t="shared" si="2"/>
        <v>igual</v>
      </c>
      <c r="F5" s="8" t="str">
        <f>IFERROR(__xludf.DUMMYFUNCTION("""COMPUTED_VALUE"""),"igual")</f>
        <v>igual</v>
      </c>
      <c r="G5" s="8" t="str">
        <f t="shared" si="3"/>
        <v>1.0</v>
      </c>
      <c r="H5" s="9">
        <f t="shared" si="4"/>
        <v>1</v>
      </c>
      <c r="I5" s="10">
        <f>IFERROR(__xludf.DUMMYFUNCTION("MAX(FILTER($H:$H,$E:$E=F5))"),1.0)</f>
        <v>1</v>
      </c>
    </row>
    <row r="6">
      <c r="C6" s="4" t="s">
        <v>750</v>
      </c>
      <c r="D6" s="4" t="str">
        <f t="shared" si="1"/>
        <v>{"valorA":"ótima","valorB":1.0}</v>
      </c>
      <c r="E6" s="8" t="str">
        <f t="shared" si="2"/>
        <v>ótima</v>
      </c>
      <c r="F6" s="8" t="str">
        <f>IFERROR(__xludf.DUMMYFUNCTION("""COMPUTED_VALUE"""),"ótima")</f>
        <v>ótima</v>
      </c>
      <c r="G6" s="8" t="str">
        <f t="shared" si="3"/>
        <v>1.0</v>
      </c>
      <c r="H6" s="9">
        <f t="shared" si="4"/>
        <v>1</v>
      </c>
      <c r="I6" s="10">
        <f>IFERROR(__xludf.DUMMYFUNCTION("MAX(FILTER($H:$H,$E:$E=F6))"),1.0)</f>
        <v>1</v>
      </c>
    </row>
    <row r="7">
      <c r="C7" s="4" t="s">
        <v>220</v>
      </c>
      <c r="D7" s="4" t="str">
        <f t="shared" si="1"/>
        <v>{"valorA":"bem","valorB":1.0}</v>
      </c>
      <c r="E7" s="8" t="str">
        <f t="shared" si="2"/>
        <v>bem</v>
      </c>
      <c r="F7" s="8" t="str">
        <f>IFERROR(__xludf.DUMMYFUNCTION("""COMPUTED_VALUE"""),"bem")</f>
        <v>bem</v>
      </c>
      <c r="G7" s="8" t="str">
        <f t="shared" si="3"/>
        <v>1.0</v>
      </c>
      <c r="H7" s="9">
        <f t="shared" si="4"/>
        <v>1</v>
      </c>
      <c r="I7" s="10">
        <f>IFERROR(__xludf.DUMMYFUNCTION("MAX(FILTER($H:$H,$E:$E=F7))"),8.0)</f>
        <v>8</v>
      </c>
    </row>
    <row r="8">
      <c r="C8" s="4" t="s">
        <v>438</v>
      </c>
      <c r="D8" s="4" t="str">
        <f t="shared" si="1"/>
        <v>{"valorA":"fotos","valorB":1.0}</v>
      </c>
      <c r="E8" s="8" t="str">
        <f t="shared" si="2"/>
        <v>fotos</v>
      </c>
      <c r="F8" s="8" t="str">
        <f>IFERROR(__xludf.DUMMYFUNCTION("""COMPUTED_VALUE"""),"fotos")</f>
        <v>fotos</v>
      </c>
      <c r="G8" s="8" t="str">
        <f t="shared" si="3"/>
        <v>1.0</v>
      </c>
      <c r="H8" s="9">
        <f t="shared" si="4"/>
        <v>1</v>
      </c>
      <c r="I8" s="10">
        <f>IFERROR(__xludf.DUMMYFUNCTION("MAX(FILTER($H:$H,$E:$E=F8))"),1.0)</f>
        <v>1</v>
      </c>
    </row>
    <row r="9">
      <c r="C9" s="4" t="s">
        <v>673</v>
      </c>
      <c r="D9" s="4" t="str">
        <f t="shared" si="1"/>
        <v>{"valorA":"gostaria","valorB":1.0}</v>
      </c>
      <c r="E9" s="8" t="str">
        <f t="shared" si="2"/>
        <v>gostaria</v>
      </c>
      <c r="F9" s="8" t="str">
        <f>IFERROR(__xludf.DUMMYFUNCTION("""COMPUTED_VALUE"""),"gostaria")</f>
        <v>gostaria</v>
      </c>
      <c r="G9" s="8" t="str">
        <f t="shared" si="3"/>
        <v>1.0</v>
      </c>
      <c r="H9" s="9">
        <f t="shared" si="4"/>
        <v>1</v>
      </c>
      <c r="I9" s="10">
        <f>IFERROR(__xludf.DUMMYFUNCTION("MAX(FILTER($H:$H,$E:$E=F9))"),2.0)</f>
        <v>2</v>
      </c>
    </row>
    <row r="10">
      <c r="C10" s="4" t="s">
        <v>329</v>
      </c>
      <c r="D10" s="4" t="str">
        <f t="shared" si="1"/>
        <v>{"valorA":"outro","valorB":1.0}</v>
      </c>
      <c r="E10" s="8" t="str">
        <f t="shared" si="2"/>
        <v>outro</v>
      </c>
      <c r="F10" s="8" t="str">
        <f>IFERROR(__xludf.DUMMYFUNCTION("""COMPUTED_VALUE"""),"outro")</f>
        <v>outro</v>
      </c>
      <c r="G10" s="8" t="str">
        <f t="shared" si="3"/>
        <v>1.0</v>
      </c>
      <c r="H10" s="9">
        <f t="shared" si="4"/>
        <v>1</v>
      </c>
      <c r="I10" s="10">
        <f>IFERROR(__xludf.DUMMYFUNCTION("MAX(FILTER($H:$H,$E:$E=F10))"),1.0)</f>
        <v>1</v>
      </c>
    </row>
    <row r="11">
      <c r="C11" s="4" t="s">
        <v>184</v>
      </c>
      <c r="D11" s="4" t="str">
        <f t="shared" si="1"/>
        <v>{"valorA":"e","valorB":1.0}</v>
      </c>
      <c r="E11" s="8" t="str">
        <f t="shared" si="2"/>
        <v>e</v>
      </c>
      <c r="F11" s="8" t="str">
        <f>IFERROR(__xludf.DUMMYFUNCTION("""COMPUTED_VALUE"""),"e")</f>
        <v>e</v>
      </c>
      <c r="G11" s="8" t="str">
        <f t="shared" si="3"/>
        <v>1.0</v>
      </c>
      <c r="H11" s="9">
        <f t="shared" si="4"/>
        <v>1</v>
      </c>
      <c r="I11" s="10">
        <f>IFERROR(__xludf.DUMMYFUNCTION("MAX(FILTER($H:$H,$E:$E=F11))"),23.0)</f>
        <v>23</v>
      </c>
    </row>
    <row r="12">
      <c r="C12" s="4" t="s">
        <v>186</v>
      </c>
      <c r="D12" s="4" t="str">
        <f t="shared" si="1"/>
        <v>{"valorA":"de","valorB":2.0}</v>
      </c>
      <c r="E12" s="8" t="str">
        <f t="shared" si="2"/>
        <v>de</v>
      </c>
      <c r="F12" s="8" t="str">
        <f>IFERROR(__xludf.DUMMYFUNCTION("""COMPUTED_VALUE"""),"de")</f>
        <v>de</v>
      </c>
      <c r="G12" s="8" t="str">
        <f t="shared" si="3"/>
        <v>2.0</v>
      </c>
      <c r="H12" s="9">
        <f t="shared" si="4"/>
        <v>2</v>
      </c>
      <c r="I12" s="10">
        <f>IFERROR(__xludf.DUMMYFUNCTION("MAX(FILTER($H:$H,$E:$E=F12))"),20.0)</f>
        <v>20</v>
      </c>
    </row>
    <row r="13">
      <c r="C13" s="4" t="s">
        <v>4889</v>
      </c>
      <c r="D13" s="4" t="str">
        <f t="shared" si="1"/>
        <v>{"valorA":"opções","valorB":1.0}</v>
      </c>
      <c r="E13" s="8" t="str">
        <f t="shared" si="2"/>
        <v>opções</v>
      </c>
      <c r="F13" s="8" t="str">
        <f>IFERROR(__xludf.DUMMYFUNCTION("""COMPUTED_VALUE"""),"opções")</f>
        <v>opções</v>
      </c>
      <c r="G13" s="8" t="str">
        <f t="shared" si="3"/>
        <v>1.0</v>
      </c>
      <c r="H13" s="9">
        <f t="shared" si="4"/>
        <v>1</v>
      </c>
      <c r="I13" s="10">
        <f>IFERROR(__xludf.DUMMYFUNCTION("MAX(FILTER($H:$H,$E:$E=F13))"),1.0)</f>
        <v>1</v>
      </c>
    </row>
    <row r="14">
      <c r="C14" s="4" t="s">
        <v>442</v>
      </c>
      <c r="D14" s="4" t="str">
        <f t="shared" si="1"/>
        <v>{"valorA":"incríveis","valorB":1.0}</v>
      </c>
      <c r="E14" s="8" t="str">
        <f t="shared" si="2"/>
        <v>incríveis</v>
      </c>
      <c r="F14" s="8" t="str">
        <f>IFERROR(__xludf.DUMMYFUNCTION("""COMPUTED_VALUE"""),"incríveis")</f>
        <v>incríveis</v>
      </c>
      <c r="G14" s="8" t="str">
        <f t="shared" si="3"/>
        <v>1.0</v>
      </c>
      <c r="H14" s="9">
        <f t="shared" si="4"/>
        <v>1</v>
      </c>
      <c r="I14" s="10">
        <f>IFERROR(__xludf.DUMMYFUNCTION("MAX(FILTER($H:$H,$E:$E=F14))"),1.0)</f>
        <v>1</v>
      </c>
    </row>
    <row r="15">
      <c r="C15" s="4" t="s">
        <v>586</v>
      </c>
      <c r="D15" s="4" t="str">
        <f t="shared" si="1"/>
        <v>{"valorA":"televisor","valorB":1.0}</v>
      </c>
      <c r="E15" s="8" t="str">
        <f t="shared" si="2"/>
        <v>televisor</v>
      </c>
      <c r="F15" s="8" t="str">
        <f>IFERROR(__xludf.DUMMYFUNCTION("""COMPUTED_VALUE"""),"televisor")</f>
        <v>televisor</v>
      </c>
      <c r="G15" s="8" t="str">
        <f t="shared" si="3"/>
        <v>1.0</v>
      </c>
      <c r="H15" s="9">
        <f t="shared" si="4"/>
        <v>1</v>
      </c>
      <c r="I15" s="10">
        <f>IFERROR(__xludf.DUMMYFUNCTION("MAX(FILTER($H:$H,$E:$E=F15))"),4.0)</f>
        <v>4</v>
      </c>
    </row>
    <row r="16">
      <c r="C16" s="4" t="s">
        <v>1027</v>
      </c>
      <c r="D16" s="4" t="str">
        <f t="shared" si="1"/>
        <v>{"valorA":"tem","valorB":1.0}</v>
      </c>
      <c r="E16" s="8" t="str">
        <f t="shared" si="2"/>
        <v>tem</v>
      </c>
      <c r="F16" s="8" t="str">
        <f>IFERROR(__xludf.DUMMYFUNCTION("""COMPUTED_VALUE"""),"tem")</f>
        <v>tem</v>
      </c>
      <c r="G16" s="8" t="str">
        <f t="shared" si="3"/>
        <v>1.0</v>
      </c>
      <c r="H16" s="9">
        <f t="shared" si="4"/>
        <v>1</v>
      </c>
      <c r="I16" s="10">
        <f>IFERROR(__xludf.DUMMYFUNCTION("MAX(FILTER($H:$H,$E:$E=F16))"),1.0)</f>
        <v>1</v>
      </c>
    </row>
    <row r="17">
      <c r="C17" s="4" t="s">
        <v>446</v>
      </c>
      <c r="D17" s="4" t="str">
        <f t="shared" si="1"/>
        <v>{"valorA":"câmera","valorB":1.0}</v>
      </c>
      <c r="E17" s="8" t="str">
        <f t="shared" si="2"/>
        <v>câmera</v>
      </c>
      <c r="F17" s="8" t="str">
        <f>IFERROR(__xludf.DUMMYFUNCTION("""COMPUTED_VALUE"""),"câmera")</f>
        <v>câmera</v>
      </c>
      <c r="G17" s="8" t="str">
        <f t="shared" si="3"/>
        <v>1.0</v>
      </c>
      <c r="H17" s="9">
        <f t="shared" si="4"/>
        <v>1</v>
      </c>
      <c r="I17" s="10">
        <f>IFERROR(__xludf.DUMMYFUNCTION("MAX(FILTER($H:$H,$E:$E=F17))"),1.0)</f>
        <v>1</v>
      </c>
    </row>
    <row r="18">
      <c r="C18" s="4" t="s">
        <v>248</v>
      </c>
      <c r="D18" s="4" t="str">
        <f t="shared" si="1"/>
        <v>{"valorA":"funciona","valorB":1.0}</v>
      </c>
      <c r="E18" s="8" t="str">
        <f t="shared" si="2"/>
        <v>funciona</v>
      </c>
      <c r="F18" s="8" t="str">
        <f>IFERROR(__xludf.DUMMYFUNCTION("""COMPUTED_VALUE"""),"funciona")</f>
        <v>funciona</v>
      </c>
      <c r="G18" s="8" t="str">
        <f t="shared" si="3"/>
        <v>1.0</v>
      </c>
      <c r="H18" s="9">
        <f t="shared" si="4"/>
        <v>1</v>
      </c>
      <c r="I18" s="10">
        <f>IFERROR(__xludf.DUMMYFUNCTION("MAX(FILTER($H:$H,$E:$E=F18))"),9.0)</f>
        <v>9</v>
      </c>
    </row>
    <row r="19">
      <c r="C19" s="4" t="s">
        <v>1090</v>
      </c>
      <c r="D19" s="4" t="str">
        <f t="shared" si="1"/>
        <v>{"valorA":"muitas","valorB":1.0}</v>
      </c>
      <c r="E19" s="8" t="str">
        <f t="shared" si="2"/>
        <v>muitas</v>
      </c>
      <c r="F19" s="8" t="str">
        <f>IFERROR(__xludf.DUMMYFUNCTION("""COMPUTED_VALUE"""),"muitas")</f>
        <v>muitas</v>
      </c>
      <c r="G19" s="8" t="str">
        <f t="shared" si="3"/>
        <v>1.0</v>
      </c>
      <c r="H19" s="9">
        <f t="shared" si="4"/>
        <v>1</v>
      </c>
      <c r="I19" s="10">
        <f>IFERROR(__xludf.DUMMYFUNCTION("MAX(FILTER($H:$H,$E:$E=F19))"),2.0)</f>
        <v>2</v>
      </c>
    </row>
    <row r="20">
      <c r="C20" s="4" t="s">
        <v>740</v>
      </c>
      <c r="D20" s="4" t="str">
        <f t="shared" si="1"/>
        <v>{"valorA":"caro","valorB":1.0}</v>
      </c>
      <c r="E20" s="8" t="str">
        <f t="shared" si="2"/>
        <v>caro</v>
      </c>
      <c r="F20" s="8" t="str">
        <f>IFERROR(__xludf.DUMMYFUNCTION("""COMPUTED_VALUE"""),"caro")</f>
        <v>caro</v>
      </c>
      <c r="G20" s="8" t="str">
        <f t="shared" si="3"/>
        <v>1.0</v>
      </c>
      <c r="H20" s="9">
        <f t="shared" si="4"/>
        <v>1</v>
      </c>
      <c r="I20" s="10">
        <f>IFERROR(__xludf.DUMMYFUNCTION("MAX(FILTER($H:$H,$E:$E=F20))"),1.0)</f>
        <v>1</v>
      </c>
    </row>
    <row r="21">
      <c r="C21" s="4" t="s">
        <v>1001</v>
      </c>
      <c r="D21" s="4" t="str">
        <f t="shared" si="1"/>
        <v>{"valorA":"produto","valorB":1.0}</v>
      </c>
      <c r="E21" s="8" t="str">
        <f t="shared" si="2"/>
        <v>produto</v>
      </c>
      <c r="F21" s="8" t="str">
        <f>IFERROR(__xludf.DUMMYFUNCTION("""COMPUTED_VALUE"""),"produto")</f>
        <v>produto</v>
      </c>
      <c r="G21" s="8" t="str">
        <f t="shared" si="3"/>
        <v>1.0</v>
      </c>
      <c r="H21" s="9">
        <f t="shared" si="4"/>
        <v>1</v>
      </c>
      <c r="I21" s="10">
        <f>IFERROR(__xludf.DUMMYFUNCTION("MAX(FILTER($H:$H,$E:$E=F21))"),38.0)</f>
        <v>38</v>
      </c>
    </row>
    <row r="22">
      <c r="C22" s="4" t="s">
        <v>576</v>
      </c>
      <c r="D22" s="4" t="str">
        <f t="shared" si="1"/>
        <v>{"valorA":"ótimo","valorB":2.0}</v>
      </c>
      <c r="E22" s="8" t="str">
        <f t="shared" si="2"/>
        <v>ótimo</v>
      </c>
      <c r="F22" s="8" t="str">
        <f>IFERROR(__xludf.DUMMYFUNCTION("""COMPUTED_VALUE"""),"mas")</f>
        <v>mas</v>
      </c>
      <c r="G22" s="8" t="str">
        <f t="shared" si="3"/>
        <v>2.0</v>
      </c>
      <c r="H22" s="9">
        <f t="shared" si="4"/>
        <v>2</v>
      </c>
      <c r="I22" s="10">
        <f>IFERROR(__xludf.DUMMYFUNCTION("MAX(FILTER($H:$H,$E:$E=F22))"),7.0)</f>
        <v>7</v>
      </c>
    </row>
    <row r="23">
      <c r="C23" s="4" t="s">
        <v>1406</v>
      </c>
      <c r="D23" s="4" t="str">
        <f t="shared" si="1"/>
        <v>{"valorA":"mas","valorB":1.0}</v>
      </c>
      <c r="E23" s="8" t="str">
        <f t="shared" si="2"/>
        <v>mas</v>
      </c>
      <c r="F23" s="8" t="str">
        <f>IFERROR(__xludf.DUMMYFUNCTION("""COMPUTED_VALUE"""),"demais")</f>
        <v>demais</v>
      </c>
      <c r="G23" s="8" t="str">
        <f t="shared" si="3"/>
        <v>1.0</v>
      </c>
      <c r="H23" s="9">
        <f t="shared" si="4"/>
        <v>1</v>
      </c>
      <c r="I23" s="10">
        <f>IFERROR(__xludf.DUMMYFUNCTION("MAX(FILTER($H:$H,$E:$E=F23))"),1.0)</f>
        <v>1</v>
      </c>
    </row>
    <row r="24">
      <c r="C24" s="4" t="s">
        <v>4890</v>
      </c>
      <c r="D24" s="4" t="str">
        <f t="shared" si="1"/>
        <v>{"valorA":"demais","valorB":1.0}</v>
      </c>
      <c r="E24" s="8" t="str">
        <f t="shared" si="2"/>
        <v>demais</v>
      </c>
      <c r="F24" s="8" t="str">
        <f>IFERROR(__xludf.DUMMYFUNCTION("""COMPUTED_VALUE"""),"para")</f>
        <v>para</v>
      </c>
      <c r="G24" s="8" t="str">
        <f t="shared" si="3"/>
        <v>1.0</v>
      </c>
      <c r="H24" s="9">
        <f t="shared" si="4"/>
        <v>1</v>
      </c>
      <c r="I24" s="10">
        <f>IFERROR(__xludf.DUMMYFUNCTION("MAX(FILTER($H:$H,$E:$E=F24))"),20.0)</f>
        <v>20</v>
      </c>
    </row>
    <row r="25">
      <c r="C25" s="4" t="s">
        <v>178</v>
      </c>
      <c r="D25" s="4" t="str">
        <f t="shared" si="1"/>
        <v>{"valorA":"para","valorB":1.0}</v>
      </c>
      <c r="E25" s="8" t="str">
        <f t="shared" si="2"/>
        <v>para</v>
      </c>
      <c r="F25" s="8" t="str">
        <f>IFERROR(__xludf.DUMMYFUNCTION("""COMPUTED_VALUE"""),"com")</f>
        <v>com</v>
      </c>
      <c r="G25" s="8" t="str">
        <f t="shared" si="3"/>
        <v>1.0</v>
      </c>
      <c r="H25" s="9">
        <f t="shared" si="4"/>
        <v>1</v>
      </c>
      <c r="I25" s="10">
        <f>IFERROR(__xludf.DUMMYFUNCTION("MAX(FILTER($H:$H,$E:$E=F25))"),6.0)</f>
        <v>6</v>
      </c>
    </row>
    <row r="26">
      <c r="C26" s="4" t="s">
        <v>290</v>
      </c>
      <c r="D26" s="4" t="str">
        <f t="shared" si="1"/>
        <v>{"valorA":"com","valorB":1.0}</v>
      </c>
      <c r="E26" s="8" t="str">
        <f t="shared" si="2"/>
        <v>com</v>
      </c>
      <c r="F26" s="8" t="str">
        <f>IFERROR(__xludf.DUMMYFUNCTION("""COMPUTED_VALUE"""),"tablet")</f>
        <v>tablet</v>
      </c>
      <c r="G26" s="8" t="str">
        <f t="shared" si="3"/>
        <v>1.0</v>
      </c>
      <c r="H26" s="9">
        <f t="shared" si="4"/>
        <v>1</v>
      </c>
      <c r="I26" s="10">
        <f>IFERROR(__xludf.DUMMYFUNCTION("MAX(FILTER($H:$H,$E:$E=F26))"),2.0)</f>
        <v>2</v>
      </c>
    </row>
    <row r="27">
      <c r="C27" s="4" t="s">
        <v>785</v>
      </c>
      <c r="D27" s="4" t="str">
        <f t="shared" si="1"/>
        <v>{"valorA":"tablet","valorB":1.0}</v>
      </c>
      <c r="E27" s="8" t="str">
        <f t="shared" si="2"/>
        <v>tablet</v>
      </c>
      <c r="F27" s="8" t="str">
        <f>IFERROR(__xludf.DUMMYFUNCTION("""COMPUTED_VALUE"""),"usar")</f>
        <v>usar</v>
      </c>
      <c r="G27" s="8" t="str">
        <f t="shared" si="3"/>
        <v>1.0</v>
      </c>
      <c r="H27" s="9">
        <f t="shared" si="4"/>
        <v>1</v>
      </c>
      <c r="I27" s="10">
        <f>IFERROR(__xludf.DUMMYFUNCTION("MAX(FILTER($H:$H,$E:$E=F27))"),12.0)</f>
        <v>12</v>
      </c>
    </row>
    <row r="28">
      <c r="C28" s="4" t="s">
        <v>640</v>
      </c>
      <c r="D28" s="4" t="str">
        <f t="shared" si="1"/>
        <v>{"valorA":"usar","valorB":1.0}</v>
      </c>
      <c r="E28" s="8" t="str">
        <f t="shared" si="2"/>
        <v>usar</v>
      </c>
      <c r="F28" s="8" t="str">
        <f>IFERROR(__xludf.DUMMYFUNCTION("""COMPUTED_VALUE"""),"quem")</f>
        <v>quem</v>
      </c>
      <c r="G28" s="8" t="str">
        <f t="shared" si="3"/>
        <v>1.0</v>
      </c>
      <c r="H28" s="9">
        <f t="shared" si="4"/>
        <v>1</v>
      </c>
      <c r="I28" s="10">
        <f>IFERROR(__xludf.DUMMYFUNCTION("MAX(FILTER($H:$H,$E:$E=F28))"),8.0)</f>
        <v>8</v>
      </c>
    </row>
    <row r="29">
      <c r="C29" s="4" t="s">
        <v>610</v>
      </c>
      <c r="D29" s="4" t="str">
        <f t="shared" si="1"/>
        <v>{"valorA":"quem","valorB":1.0}</v>
      </c>
      <c r="E29" s="8" t="str">
        <f t="shared" si="2"/>
        <v>quem</v>
      </c>
      <c r="F29" s="8" t="str">
        <f>IFERROR(__xludf.DUMMYFUNCTION("""COMPUTED_VALUE"""),"procura")</f>
        <v>procura</v>
      </c>
      <c r="G29" s="8" t="str">
        <f t="shared" si="3"/>
        <v>1.0</v>
      </c>
      <c r="H29" s="9">
        <f t="shared" si="4"/>
        <v>1</v>
      </c>
      <c r="I29" s="10">
        <f>IFERROR(__xludf.DUMMYFUNCTION("MAX(FILTER($H:$H,$E:$E=F29))"),2.0)</f>
        <v>2</v>
      </c>
    </row>
    <row r="30">
      <c r="C30" s="4" t="s">
        <v>223</v>
      </c>
      <c r="D30" s="4" t="str">
        <f t="shared" si="1"/>
        <v>{"valorA":"e","valorB":2.0}</v>
      </c>
      <c r="E30" s="8" t="str">
        <f t="shared" si="2"/>
        <v>e</v>
      </c>
      <c r="F30" s="8" t="str">
        <f>IFERROR(__xludf.DUMMYFUNCTION("""COMPUTED_VALUE"""),"uma")</f>
        <v>uma</v>
      </c>
      <c r="G30" s="8" t="str">
        <f t="shared" si="3"/>
        <v>2.0</v>
      </c>
      <c r="H30" s="9">
        <f t="shared" si="4"/>
        <v>2</v>
      </c>
      <c r="I30" s="10">
        <f>IFERROR(__xludf.DUMMYFUNCTION("MAX(FILTER($H:$H,$E:$E=F30))"),4.0)</f>
        <v>4</v>
      </c>
    </row>
    <row r="31">
      <c r="C31" s="4" t="s">
        <v>255</v>
      </c>
      <c r="D31" s="4" t="str">
        <f t="shared" si="1"/>
        <v>{"valorA":"de","valorB":3.0}</v>
      </c>
      <c r="E31" s="8" t="str">
        <f t="shared" si="2"/>
        <v>de</v>
      </c>
      <c r="F31" s="8" t="str">
        <f>IFERROR(__xludf.DUMMYFUNCTION("""COMPUTED_VALUE"""),"gostei")</f>
        <v>gostei</v>
      </c>
      <c r="G31" s="8" t="str">
        <f t="shared" si="3"/>
        <v>3.0</v>
      </c>
      <c r="H31" s="9">
        <f t="shared" si="4"/>
        <v>3</v>
      </c>
      <c r="I31" s="10">
        <f>IFERROR(__xludf.DUMMYFUNCTION("MAX(FILTER($H:$H,$E:$E=F31))"),5.0)</f>
        <v>5</v>
      </c>
    </row>
    <row r="32">
      <c r="C32" s="4" t="s">
        <v>611</v>
      </c>
      <c r="D32" s="4" t="str">
        <f t="shared" si="1"/>
        <v>{"valorA":"procura","valorB":1.0}</v>
      </c>
      <c r="E32" s="8" t="str">
        <f t="shared" si="2"/>
        <v>procura</v>
      </c>
      <c r="F32" s="8" t="str">
        <f>IFERROR(__xludf.DUMMYFUNCTION("""COMPUTED_VALUE"""),"fácil")</f>
        <v>fácil</v>
      </c>
      <c r="G32" s="8" t="str">
        <f t="shared" si="3"/>
        <v>1.0</v>
      </c>
      <c r="H32" s="9">
        <f t="shared" si="4"/>
        <v>1</v>
      </c>
      <c r="I32" s="10">
        <f>IFERROR(__xludf.DUMMYFUNCTION("MAX(FILTER($H:$H,$E:$E=F32))"),13.0)</f>
        <v>13</v>
      </c>
    </row>
    <row r="33">
      <c r="C33" s="4" t="s">
        <v>189</v>
      </c>
      <c r="D33" s="4" t="str">
        <f t="shared" si="1"/>
        <v>{"valorA":"produto","valorB":2.0}</v>
      </c>
      <c r="E33" s="8" t="str">
        <f t="shared" si="2"/>
        <v>produto</v>
      </c>
      <c r="F33" s="8" t="str">
        <f>IFERROR(__xludf.DUMMYFUNCTION("""COMPUTED_VALUE"""),"muito")</f>
        <v>muito</v>
      </c>
      <c r="G33" s="8" t="str">
        <f t="shared" si="3"/>
        <v>2.0</v>
      </c>
      <c r="H33" s="9">
        <f t="shared" si="4"/>
        <v>2</v>
      </c>
      <c r="I33" s="10">
        <f>IFERROR(__xludf.DUMMYFUNCTION("MAX(FILTER($H:$H,$E:$E=F33))"),16.0)</f>
        <v>16</v>
      </c>
    </row>
    <row r="34">
      <c r="C34" s="4" t="s">
        <v>297</v>
      </c>
      <c r="D34" s="4" t="str">
        <f t="shared" si="1"/>
        <v>{"valorA":"uma","valorB":1.0}</v>
      </c>
      <c r="E34" s="8" t="str">
        <f t="shared" si="2"/>
        <v>uma</v>
      </c>
      <c r="F34" s="8" t="str">
        <f>IFERROR(__xludf.DUMMYFUNCTION("""COMPUTED_VALUE"""),"funcionalidades")</f>
        <v>funcionalidades</v>
      </c>
      <c r="G34" s="8" t="str">
        <f t="shared" si="3"/>
        <v>1.0</v>
      </c>
      <c r="H34" s="9">
        <f t="shared" si="4"/>
        <v>1</v>
      </c>
      <c r="I34" s="10">
        <f>IFERROR(__xludf.DUMMYFUNCTION("MAX(FILTER($H:$H,$E:$E=F34))"),1.0)</f>
        <v>1</v>
      </c>
    </row>
    <row r="35">
      <c r="C35" s="4" t="s">
        <v>587</v>
      </c>
      <c r="D35" s="4" t="str">
        <f t="shared" si="1"/>
        <v>{"valorA":"ótimo","valorB":4.0}</v>
      </c>
      <c r="E35" s="8" t="str">
        <f t="shared" si="2"/>
        <v>ótimo</v>
      </c>
      <c r="F35" s="8" t="str">
        <f>IFERROR(__xludf.DUMMYFUNCTION("""COMPUTED_VALUE"""),"qualidade")</f>
        <v>qualidade</v>
      </c>
      <c r="G35" s="8" t="str">
        <f t="shared" si="3"/>
        <v>4.0</v>
      </c>
      <c r="H35" s="9">
        <f t="shared" si="4"/>
        <v>4</v>
      </c>
      <c r="I35" s="10">
        <f>IFERROR(__xludf.DUMMYFUNCTION("MAX(FILTER($H:$H,$E:$E=F35))"),6.0)</f>
        <v>6</v>
      </c>
    </row>
    <row r="36">
      <c r="C36" s="4" t="s">
        <v>190</v>
      </c>
      <c r="D36" s="4" t="str">
        <f t="shared" si="1"/>
        <v>{"valorA":"gostei","valorB":1.0}</v>
      </c>
      <c r="E36" s="8" t="str">
        <f t="shared" si="2"/>
        <v>gostei</v>
      </c>
      <c r="F36" s="8" t="str">
        <f>IFERROR(__xludf.DUMMYFUNCTION("""COMPUTED_VALUE"""),"boa")</f>
        <v>boa</v>
      </c>
      <c r="G36" s="8" t="str">
        <f t="shared" si="3"/>
        <v>1.0</v>
      </c>
      <c r="H36" s="9">
        <f t="shared" si="4"/>
        <v>1</v>
      </c>
      <c r="I36" s="10">
        <f>IFERROR(__xludf.DUMMYFUNCTION("MAX(FILTER($H:$H,$E:$E=F36))"),3.0)</f>
        <v>3</v>
      </c>
    </row>
    <row r="37">
      <c r="C37" s="4" t="s">
        <v>285</v>
      </c>
      <c r="D37" s="4" t="str">
        <f t="shared" si="1"/>
        <v>{"valorA":"fácil","valorB":1.0}</v>
      </c>
      <c r="E37" s="8" t="str">
        <f t="shared" si="2"/>
        <v>fácil</v>
      </c>
      <c r="F37" s="8" t="str">
        <f>IFERROR(__xludf.DUMMYFUNCTION("""COMPUTED_VALUE"""),"gosto")</f>
        <v>gosto</v>
      </c>
      <c r="G37" s="8" t="str">
        <f t="shared" si="3"/>
        <v>1.0</v>
      </c>
      <c r="H37" s="9">
        <f t="shared" si="4"/>
        <v>1</v>
      </c>
      <c r="I37" s="10">
        <f>IFERROR(__xludf.DUMMYFUNCTION("MAX(FILTER($H:$H,$E:$E=F37))"),6.0)</f>
        <v>6</v>
      </c>
    </row>
    <row r="38">
      <c r="C38" s="4" t="s">
        <v>579</v>
      </c>
      <c r="D38" s="4" t="str">
        <f t="shared" si="1"/>
        <v>{"valorA":"muito","valorB":1.0}</v>
      </c>
      <c r="E38" s="8" t="str">
        <f t="shared" si="2"/>
        <v>muito</v>
      </c>
      <c r="F38" s="8" t="str">
        <f>IFERROR(__xludf.DUMMYFUNCTION("""COMPUTED_VALUE"""),"lavadora")</f>
        <v>lavadora</v>
      </c>
      <c r="G38" s="8" t="str">
        <f t="shared" si="3"/>
        <v>1.0</v>
      </c>
      <c r="H38" s="9">
        <f t="shared" si="4"/>
        <v>1</v>
      </c>
      <c r="I38" s="10">
        <f>IFERROR(__xludf.DUMMYFUNCTION("MAX(FILTER($H:$H,$E:$E=F38))"),1.0)</f>
        <v>1</v>
      </c>
    </row>
    <row r="39">
      <c r="C39" s="4" t="s">
        <v>783</v>
      </c>
      <c r="D39" s="4" t="str">
        <f t="shared" si="1"/>
        <v>{"valorA":"funcionalidades","valorB":1.0}</v>
      </c>
      <c r="E39" s="8" t="str">
        <f t="shared" si="2"/>
        <v>funcionalidades</v>
      </c>
      <c r="F39" s="8" t="str">
        <f>IFERROR(__xludf.DUMMYFUNCTION("""COMPUTED_VALUE"""),"leve")</f>
        <v>leve</v>
      </c>
      <c r="G39" s="8" t="str">
        <f t="shared" si="3"/>
        <v>1.0</v>
      </c>
      <c r="H39" s="9">
        <f t="shared" si="4"/>
        <v>1</v>
      </c>
      <c r="I39" s="10">
        <f>IFERROR(__xludf.DUMMYFUNCTION("MAX(FILTER($H:$H,$E:$E=F39))"),2.0)</f>
        <v>2</v>
      </c>
    </row>
    <row r="40">
      <c r="C40" s="4" t="s">
        <v>1179</v>
      </c>
      <c r="D40" s="4" t="str">
        <f t="shared" si="1"/>
        <v>{"valorA":"muitas","valorB":2.0}</v>
      </c>
      <c r="E40" s="8" t="str">
        <f t="shared" si="2"/>
        <v>muitas</v>
      </c>
      <c r="F40" s="8" t="str">
        <f>IFERROR(__xludf.DUMMYFUNCTION("""COMPUTED_VALUE"""),"barata")</f>
        <v>barata</v>
      </c>
      <c r="G40" s="8" t="str">
        <f t="shared" si="3"/>
        <v>2.0</v>
      </c>
      <c r="H40" s="9">
        <f t="shared" si="4"/>
        <v>2</v>
      </c>
      <c r="I40" s="10">
        <f>IFERROR(__xludf.DUMMYFUNCTION("MAX(FILTER($H:$H,$E:$E=F40))"),1.0)</f>
        <v>1</v>
      </c>
    </row>
    <row r="41">
      <c r="C41" s="4" t="s">
        <v>346</v>
      </c>
      <c r="D41" s="4" t="str">
        <f t="shared" si="1"/>
        <v>{"valorA":"qualidade","valorB":1.0}</v>
      </c>
      <c r="E41" s="8" t="str">
        <f t="shared" si="2"/>
        <v>qualidade</v>
      </c>
      <c r="F41" s="8" t="str">
        <f>IFERROR(__xludf.DUMMYFUNCTION("""COMPUTED_VALUE"""),"econômica")</f>
        <v>econômica</v>
      </c>
      <c r="G41" s="8" t="str">
        <f t="shared" si="3"/>
        <v>1.0</v>
      </c>
      <c r="H41" s="9">
        <f t="shared" si="4"/>
        <v>1</v>
      </c>
      <c r="I41" s="10">
        <f>IFERROR(__xludf.DUMMYFUNCTION("MAX(FILTER($H:$H,$E:$E=F41))"),1.0)</f>
        <v>1</v>
      </c>
    </row>
    <row r="42">
      <c r="C42" s="4" t="s">
        <v>1457</v>
      </c>
      <c r="D42" s="4" t="str">
        <f t="shared" si="1"/>
        <v>{"valorA":"tablet","valorB":2.0}</v>
      </c>
      <c r="E42" s="8" t="str">
        <f t="shared" si="2"/>
        <v>tablet</v>
      </c>
      <c r="F42" s="8" t="str">
        <f>IFERROR(__xludf.DUMMYFUNCTION("""COMPUTED_VALUE"""),"opção")</f>
        <v>opção</v>
      </c>
      <c r="G42" s="8" t="str">
        <f t="shared" si="3"/>
        <v>2.0</v>
      </c>
      <c r="H42" s="9">
        <f t="shared" si="4"/>
        <v>2</v>
      </c>
      <c r="I42" s="10">
        <f>IFERROR(__xludf.DUMMYFUNCTION("MAX(FILTER($H:$H,$E:$E=F42))"),1.0)</f>
        <v>1</v>
      </c>
    </row>
    <row r="43">
      <c r="C43" s="4" t="s">
        <v>182</v>
      </c>
      <c r="D43" s="4" t="str">
        <f t="shared" si="1"/>
        <v>{"valorA":"usar","valorB":2.0}</v>
      </c>
      <c r="E43" s="8" t="str">
        <f t="shared" si="2"/>
        <v>usar</v>
      </c>
      <c r="F43" s="8" t="str">
        <f>IFERROR(__xludf.DUMMYFUNCTION("""COMPUTED_VALUE"""),"funcional")</f>
        <v>funcional</v>
      </c>
      <c r="G43" s="8" t="str">
        <f t="shared" si="3"/>
        <v>2.0</v>
      </c>
      <c r="H43" s="9">
        <f t="shared" si="4"/>
        <v>2</v>
      </c>
      <c r="I43" s="10">
        <f>IFERROR(__xludf.DUMMYFUNCTION("MAX(FILTER($H:$H,$E:$E=F43))"),1.0)</f>
        <v>1</v>
      </c>
    </row>
    <row r="44">
      <c r="C44" s="4" t="s">
        <v>280</v>
      </c>
      <c r="D44" s="4" t="str">
        <f t="shared" si="1"/>
        <v>{"valorA":"e","valorB":4.0}</v>
      </c>
      <c r="E44" s="8" t="str">
        <f t="shared" si="2"/>
        <v>e</v>
      </c>
      <c r="F44" s="8" t="str">
        <f>IFERROR(__xludf.DUMMYFUNCTION("""COMPUTED_VALUE"""),"busca")</f>
        <v>busca</v>
      </c>
      <c r="G44" s="8" t="str">
        <f t="shared" si="3"/>
        <v>4.0</v>
      </c>
      <c r="H44" s="9">
        <f t="shared" si="4"/>
        <v>4</v>
      </c>
      <c r="I44" s="10">
        <f>IFERROR(__xludf.DUMMYFUNCTION("MAX(FILTER($H:$H,$E:$E=F44))"),5.0)</f>
        <v>5</v>
      </c>
    </row>
    <row r="45">
      <c r="C45" s="4" t="s">
        <v>1418</v>
      </c>
      <c r="D45" s="4" t="str">
        <f t="shared" si="1"/>
        <v>{"valorA":"boa","valorB":1.0}</v>
      </c>
      <c r="E45" s="8" t="str">
        <f t="shared" si="2"/>
        <v>boa</v>
      </c>
      <c r="F45" s="8" t="str">
        <f>IFERROR(__xludf.DUMMYFUNCTION("""COMPUTED_VALUE"""),"o")</f>
        <v>o</v>
      </c>
      <c r="G45" s="8" t="str">
        <f t="shared" si="3"/>
        <v>1.0</v>
      </c>
      <c r="H45" s="9">
        <f t="shared" si="4"/>
        <v>1</v>
      </c>
      <c r="I45" s="10">
        <f>IFERROR(__xludf.DUMMYFUNCTION("MAX(FILTER($H:$H,$E:$E=F45))"),9.0)</f>
        <v>9</v>
      </c>
    </row>
    <row r="46">
      <c r="C46" s="4" t="s">
        <v>281</v>
      </c>
      <c r="D46" s="4" t="str">
        <f t="shared" si="1"/>
        <v>{"valorA":"de","valorB":4.0}</v>
      </c>
      <c r="E46" s="8" t="str">
        <f t="shared" si="2"/>
        <v>de</v>
      </c>
      <c r="F46" s="8" t="str">
        <f>IFERROR(__xludf.DUMMYFUNCTION("""COMPUTED_VALUE"""),"que")</f>
        <v>que</v>
      </c>
      <c r="G46" s="8" t="str">
        <f t="shared" si="3"/>
        <v>4.0</v>
      </c>
      <c r="H46" s="9">
        <f t="shared" si="4"/>
        <v>4</v>
      </c>
      <c r="I46" s="10">
        <f>IFERROR(__xludf.DUMMYFUNCTION("MAX(FILTER($H:$H,$E:$E=F46))"),7.0)</f>
        <v>7</v>
      </c>
    </row>
    <row r="47">
      <c r="C47" s="4" t="s">
        <v>187</v>
      </c>
      <c r="D47" s="4" t="str">
        <f t="shared" si="1"/>
        <v>{"valorA":"gosto","valorB":1.0}</v>
      </c>
      <c r="E47" s="8" t="str">
        <f t="shared" si="2"/>
        <v>gosto</v>
      </c>
      <c r="F47" s="8" t="str">
        <f>IFERROR(__xludf.DUMMYFUNCTION("""COMPUTED_VALUE"""),"perfeitamente")</f>
        <v>perfeitamente</v>
      </c>
      <c r="G47" s="8" t="str">
        <f t="shared" si="3"/>
        <v>1.0</v>
      </c>
      <c r="H47" s="9">
        <f t="shared" si="4"/>
        <v>1</v>
      </c>
      <c r="I47" s="10">
        <f>IFERROR(__xludf.DUMMYFUNCTION("MAX(FILTER($H:$H,$E:$E=F47))"),4.0)</f>
        <v>4</v>
      </c>
    </row>
    <row r="48">
      <c r="C48" s="4" t="s">
        <v>1008</v>
      </c>
      <c r="D48" s="4" t="str">
        <f t="shared" si="1"/>
        <v>{"valorA":"lavadora","valorB":1.0}</v>
      </c>
      <c r="E48" s="8" t="str">
        <f t="shared" si="2"/>
        <v>lavadora</v>
      </c>
      <c r="F48" s="8" t="str">
        <f>IFERROR(__xludf.DUMMYFUNCTION("""COMPUTED_VALUE"""),"custou")</f>
        <v>custou</v>
      </c>
      <c r="G48" s="8" t="str">
        <f t="shared" si="3"/>
        <v>1.0</v>
      </c>
      <c r="H48" s="9">
        <f t="shared" si="4"/>
        <v>1</v>
      </c>
      <c r="I48" s="10">
        <f>IFERROR(__xludf.DUMMYFUNCTION("MAX(FILTER($H:$H,$E:$E=F48))"),3.0)</f>
        <v>3</v>
      </c>
    </row>
    <row r="49">
      <c r="C49" s="4" t="s">
        <v>1086</v>
      </c>
      <c r="D49" s="4" t="str">
        <f t="shared" si="1"/>
        <v>{"valorA":"leve","valorB":1.0}</v>
      </c>
      <c r="E49" s="8" t="str">
        <f t="shared" si="2"/>
        <v>leve</v>
      </c>
      <c r="F49" s="8" t="str">
        <f>IFERROR(__xludf.DUMMYFUNCTION("""COMPUTED_VALUE"""),"preço")</f>
        <v>preço</v>
      </c>
      <c r="G49" s="8" t="str">
        <f t="shared" si="3"/>
        <v>1.0</v>
      </c>
      <c r="H49" s="9">
        <f t="shared" si="4"/>
        <v>1</v>
      </c>
      <c r="I49" s="10">
        <f>IFERROR(__xludf.DUMMYFUNCTION("MAX(FILTER($H:$H,$E:$E=F49))"),13.0)</f>
        <v>13</v>
      </c>
    </row>
    <row r="50">
      <c r="C50" s="4" t="s">
        <v>1088</v>
      </c>
      <c r="D50" s="4" t="str">
        <f t="shared" si="1"/>
        <v>{"valorA":"barata","valorB":1.0}</v>
      </c>
      <c r="E50" s="8" t="str">
        <f t="shared" si="2"/>
        <v>barata</v>
      </c>
      <c r="F50" s="8" t="str">
        <f>IFERROR(__xludf.DUMMYFUNCTION("""COMPUTED_VALUE"""),"recomendo")</f>
        <v>recomendo</v>
      </c>
      <c r="G50" s="8" t="str">
        <f t="shared" si="3"/>
        <v>1.0</v>
      </c>
      <c r="H50" s="9">
        <f t="shared" si="4"/>
        <v>1</v>
      </c>
      <c r="I50" s="10">
        <f>IFERROR(__xludf.DUMMYFUNCTION("MAX(FILTER($H:$H,$E:$E=F50))"),7.0)</f>
        <v>7</v>
      </c>
    </row>
    <row r="51">
      <c r="C51" s="4" t="s">
        <v>210</v>
      </c>
      <c r="D51" s="4" t="str">
        <f t="shared" si="1"/>
        <v>{"valorA":"ótimo","valorB":5.0}</v>
      </c>
      <c r="E51" s="8" t="str">
        <f t="shared" si="2"/>
        <v>ótimo</v>
      </c>
      <c r="F51" s="8" t="str">
        <f>IFERROR(__xludf.DUMMYFUNCTION("""COMPUTED_VALUE"""),"todos")</f>
        <v>todos</v>
      </c>
      <c r="G51" s="8" t="str">
        <f t="shared" si="3"/>
        <v>5.0</v>
      </c>
      <c r="H51" s="9">
        <f t="shared" si="4"/>
        <v>5</v>
      </c>
      <c r="I51" s="10">
        <f>IFERROR(__xludf.DUMMYFUNCTION("MAX(FILTER($H:$H,$E:$E=F51))"),2.0)</f>
        <v>2</v>
      </c>
    </row>
    <row r="52">
      <c r="C52" s="4" t="s">
        <v>396</v>
      </c>
      <c r="D52" s="4" t="str">
        <f t="shared" si="1"/>
        <v>{"valorA":"fácil","valorB":2.0}</v>
      </c>
      <c r="E52" s="8" t="str">
        <f t="shared" si="2"/>
        <v>fácil</v>
      </c>
      <c r="F52" s="8" t="str">
        <f>IFERROR(__xludf.DUMMYFUNCTION("""COMPUTED_VALUE"""),"a")</f>
        <v>a</v>
      </c>
      <c r="G52" s="8" t="str">
        <f t="shared" si="3"/>
        <v>2.0</v>
      </c>
      <c r="H52" s="9">
        <f t="shared" si="4"/>
        <v>2</v>
      </c>
      <c r="I52" s="10">
        <f>IFERROR(__xludf.DUMMYFUNCTION("MAX(FILTER($H:$H,$E:$E=F52))"),7.0)</f>
        <v>7</v>
      </c>
    </row>
    <row r="53">
      <c r="C53" s="4" t="s">
        <v>193</v>
      </c>
      <c r="D53" s="4" t="str">
        <f t="shared" si="1"/>
        <v>{"valorA":"muito","valorB":2.0}</v>
      </c>
      <c r="E53" s="8" t="str">
        <f t="shared" si="2"/>
        <v>muito</v>
      </c>
      <c r="F53" s="8" t="str">
        <f>IFERROR(__xludf.DUMMYFUNCTION("""COMPUTED_VALUE"""),"econômico")</f>
        <v>econômico</v>
      </c>
      <c r="G53" s="8" t="str">
        <f t="shared" si="3"/>
        <v>2.0</v>
      </c>
      <c r="H53" s="9">
        <f t="shared" si="4"/>
        <v>2</v>
      </c>
      <c r="I53" s="10">
        <f>IFERROR(__xludf.DUMMYFUNCTION("MAX(FILTER($H:$H,$E:$E=F53))"),3.0)</f>
        <v>3</v>
      </c>
    </row>
    <row r="54">
      <c r="C54" s="4" t="s">
        <v>613</v>
      </c>
      <c r="D54" s="4" t="str">
        <f t="shared" si="1"/>
        <v>{"valorA":"para","valorB":2.0}</v>
      </c>
      <c r="E54" s="8" t="str">
        <f t="shared" si="2"/>
        <v>para</v>
      </c>
      <c r="F54" s="8" t="str">
        <f>IFERROR(__xludf.DUMMYFUNCTION("""COMPUTED_VALUE"""),"é")</f>
        <v>é</v>
      </c>
      <c r="G54" s="8" t="str">
        <f t="shared" si="3"/>
        <v>2.0</v>
      </c>
      <c r="H54" s="9">
        <f t="shared" si="4"/>
        <v>2</v>
      </c>
      <c r="I54" s="10">
        <f>IFERROR(__xludf.DUMMYFUNCTION("MAX(FILTER($H:$H,$E:$E=F54))"),6.0)</f>
        <v>6</v>
      </c>
    </row>
    <row r="55">
      <c r="C55" s="4" t="s">
        <v>4891</v>
      </c>
      <c r="D55" s="4" t="str">
        <f t="shared" si="1"/>
        <v>{"valorA":"econômica","valorB":1.0}</v>
      </c>
      <c r="E55" s="8" t="str">
        <f t="shared" si="2"/>
        <v>econômica</v>
      </c>
      <c r="F55" s="8" t="str">
        <f>IFERROR(__xludf.DUMMYFUNCTION("""COMPUTED_VALUE"""),"laptop")</f>
        <v>laptop</v>
      </c>
      <c r="G55" s="8" t="str">
        <f t="shared" si="3"/>
        <v>1.0</v>
      </c>
      <c r="H55" s="9">
        <f t="shared" si="4"/>
        <v>1</v>
      </c>
      <c r="I55" s="10">
        <f>IFERROR(__xludf.DUMMYFUNCTION("MAX(FILTER($H:$H,$E:$E=F55))"),2.0)</f>
        <v>2</v>
      </c>
    </row>
    <row r="56">
      <c r="C56" s="4" t="s">
        <v>665</v>
      </c>
      <c r="D56" s="4" t="str">
        <f t="shared" si="1"/>
        <v>{"valorA":"quem","valorB":2.0}</v>
      </c>
      <c r="E56" s="8" t="str">
        <f t="shared" si="2"/>
        <v>quem</v>
      </c>
      <c r="F56" s="8" t="str">
        <f>IFERROR(__xludf.DUMMYFUNCTION("""COMPUTED_VALUE"""),"rápido")</f>
        <v>rápido</v>
      </c>
      <c r="G56" s="8" t="str">
        <f t="shared" si="3"/>
        <v>2.0</v>
      </c>
      <c r="H56" s="9">
        <f t="shared" si="4"/>
        <v>2</v>
      </c>
      <c r="I56" s="10">
        <f>IFERROR(__xludf.DUMMYFUNCTION("MAX(FILTER($H:$H,$E:$E=F56))"),2.0)</f>
        <v>2</v>
      </c>
    </row>
    <row r="57">
      <c r="C57" s="4" t="s">
        <v>331</v>
      </c>
      <c r="D57" s="4" t="str">
        <f t="shared" si="1"/>
        <v>{"valorA":"e","valorB":5.0}</v>
      </c>
      <c r="E57" s="8" t="str">
        <f t="shared" si="2"/>
        <v>e</v>
      </c>
      <c r="F57" s="8" t="str">
        <f>IFERROR(__xludf.DUMMYFUNCTION("""COMPUTED_VALUE"""),"durável")</f>
        <v>durável</v>
      </c>
      <c r="G57" s="8" t="str">
        <f t="shared" si="3"/>
        <v>5.0</v>
      </c>
      <c r="H57" s="9">
        <f t="shared" si="4"/>
        <v>5</v>
      </c>
      <c r="I57" s="10">
        <f>IFERROR(__xludf.DUMMYFUNCTION("MAX(FILTER($H:$H,$E:$E=F57))"),1.0)</f>
        <v>1</v>
      </c>
    </row>
    <row r="58">
      <c r="C58" s="4" t="s">
        <v>4892</v>
      </c>
      <c r="D58" s="4" t="str">
        <f t="shared" si="1"/>
        <v>{"valorA":"opção","valorB":1.0}</v>
      </c>
      <c r="E58" s="8" t="str">
        <f t="shared" si="2"/>
        <v>opção</v>
      </c>
      <c r="F58" s="8" t="str">
        <f>IFERROR(__xludf.DUMMYFUNCTION("""COMPUTED_VALUE"""),"ele")</f>
        <v>ele</v>
      </c>
      <c r="G58" s="8" t="str">
        <f t="shared" si="3"/>
        <v>1.0</v>
      </c>
      <c r="H58" s="9">
        <f t="shared" si="4"/>
        <v>1</v>
      </c>
      <c r="I58" s="10">
        <f>IFERROR(__xludf.DUMMYFUNCTION("MAX(FILTER($H:$H,$E:$E=F58))"),2.0)</f>
        <v>2</v>
      </c>
    </row>
    <row r="59">
      <c r="C59" s="4" t="s">
        <v>1069</v>
      </c>
      <c r="D59" s="4" t="str">
        <f t="shared" si="1"/>
        <v>{"valorA":"funcional","valorB":1.0}</v>
      </c>
      <c r="E59" s="8" t="str">
        <f t="shared" si="2"/>
        <v>funcional</v>
      </c>
      <c r="F59" s="8" t="str">
        <f>IFERROR(__xludf.DUMMYFUNCTION("""COMPUTED_VALUE"""),"economizar")</f>
        <v>economizar</v>
      </c>
      <c r="G59" s="8" t="str">
        <f t="shared" si="3"/>
        <v>1.0</v>
      </c>
      <c r="H59" s="9">
        <f t="shared" si="4"/>
        <v>1</v>
      </c>
      <c r="I59" s="10">
        <f>IFERROR(__xludf.DUMMYFUNCTION("MAX(FILTER($H:$H,$E:$E=F59))"),1.0)</f>
        <v>1</v>
      </c>
    </row>
    <row r="60">
      <c r="C60" s="4" t="s">
        <v>585</v>
      </c>
      <c r="D60" s="4" t="str">
        <f t="shared" si="1"/>
        <v>{"valorA":"produto","valorB":3.0}</v>
      </c>
      <c r="E60" s="8" t="str">
        <f t="shared" si="2"/>
        <v>produto</v>
      </c>
      <c r="F60" s="8" t="str">
        <f>IFERROR(__xludf.DUMMYFUNCTION("""COMPUTED_VALUE"""),"tenho")</f>
        <v>tenho</v>
      </c>
      <c r="G60" s="8" t="str">
        <f t="shared" si="3"/>
        <v>3.0</v>
      </c>
      <c r="H60" s="9">
        <f t="shared" si="4"/>
        <v>3</v>
      </c>
      <c r="I60" s="10">
        <f>IFERROR(__xludf.DUMMYFUNCTION("MAX(FILTER($H:$H,$E:$E=F60))"),1.0)</f>
        <v>1</v>
      </c>
    </row>
    <row r="61">
      <c r="C61" s="4" t="s">
        <v>1451</v>
      </c>
      <c r="D61" s="4" t="str">
        <f t="shared" si="1"/>
        <v>{"valorA":"uma","valorB":2.0}</v>
      </c>
      <c r="E61" s="8" t="str">
        <f t="shared" si="2"/>
        <v>uma</v>
      </c>
      <c r="F61" s="8" t="str">
        <f>IFERROR(__xludf.DUMMYFUNCTION("""COMPUTED_VALUE"""),"nenhum")</f>
        <v>nenhum</v>
      </c>
      <c r="G61" s="8" t="str">
        <f t="shared" si="3"/>
        <v>2.0</v>
      </c>
      <c r="H61" s="9">
        <f t="shared" si="4"/>
        <v>2</v>
      </c>
      <c r="I61" s="10">
        <f>IFERROR(__xludf.DUMMYFUNCTION("MAX(FILTER($H:$H,$E:$E=F61))"),1.0)</f>
        <v>1</v>
      </c>
    </row>
    <row r="62">
      <c r="C62" s="4" t="s">
        <v>594</v>
      </c>
      <c r="D62" s="4" t="str">
        <f t="shared" si="1"/>
        <v>{"valorA":"ótimo","valorB":6.0}</v>
      </c>
      <c r="E62" s="8" t="str">
        <f t="shared" si="2"/>
        <v>ótimo</v>
      </c>
      <c r="F62" s="8" t="str">
        <f>IFERROR(__xludf.DUMMYFUNCTION("""COMPUTED_VALUE"""),"problema")</f>
        <v>problema</v>
      </c>
      <c r="G62" s="8" t="str">
        <f t="shared" si="3"/>
        <v>6.0</v>
      </c>
      <c r="H62" s="9">
        <f t="shared" si="4"/>
        <v>6</v>
      </c>
      <c r="I62" s="10">
        <f>IFERROR(__xludf.DUMMYFUNCTION("MAX(FILTER($H:$H,$E:$E=F62))"),1.0)</f>
        <v>1</v>
      </c>
    </row>
    <row r="63">
      <c r="C63" s="4" t="s">
        <v>669</v>
      </c>
      <c r="D63" s="4" t="str">
        <f t="shared" si="1"/>
        <v>{"valorA":"busca","valorB":1.0}</v>
      </c>
      <c r="E63" s="8" t="str">
        <f t="shared" si="2"/>
        <v>busca</v>
      </c>
      <c r="F63" s="8" t="str">
        <f>IFERROR(__xludf.DUMMYFUNCTION("""COMPUTED_VALUE"""),"quer")</f>
        <v>quer</v>
      </c>
      <c r="G63" s="8" t="str">
        <f t="shared" si="3"/>
        <v>1.0</v>
      </c>
      <c r="H63" s="9">
        <f t="shared" si="4"/>
        <v>1</v>
      </c>
      <c r="I63" s="10">
        <f>IFERROR(__xludf.DUMMYFUNCTION("MAX(FILTER($H:$H,$E:$E=F63))"),1.0)</f>
        <v>1</v>
      </c>
    </row>
    <row r="64">
      <c r="C64" s="4" t="s">
        <v>218</v>
      </c>
      <c r="D64" s="4" t="str">
        <f t="shared" si="1"/>
        <v>{"valorA":"para","valorB":3.0}</v>
      </c>
      <c r="E64" s="8" t="str">
        <f t="shared" si="2"/>
        <v>para</v>
      </c>
      <c r="F64" s="8" t="str">
        <f>IFERROR(__xludf.DUMMYFUNCTION("""COMPUTED_VALUE"""),"eu")</f>
        <v>eu</v>
      </c>
      <c r="G64" s="8" t="str">
        <f t="shared" si="3"/>
        <v>3.0</v>
      </c>
      <c r="H64" s="9">
        <f t="shared" si="4"/>
        <v>3</v>
      </c>
      <c r="I64" s="10">
        <f>IFERROR(__xludf.DUMMYFUNCTION("MAX(FILTER($H:$H,$E:$E=F64))"),2.0)</f>
        <v>2</v>
      </c>
    </row>
    <row r="65">
      <c r="C65" s="4" t="s">
        <v>310</v>
      </c>
      <c r="D65" s="4" t="str">
        <f t="shared" si="1"/>
        <v>{"valorA":"o","valorB":1.0}</v>
      </c>
      <c r="E65" s="8" t="str">
        <f t="shared" si="2"/>
        <v>o</v>
      </c>
      <c r="F65" s="8" t="str">
        <f>IFERROR(__xludf.DUMMYFUNCTION("""COMPUTED_VALUE"""),"não")</f>
        <v>não</v>
      </c>
      <c r="G65" s="8" t="str">
        <f t="shared" si="3"/>
        <v>1.0</v>
      </c>
      <c r="H65" s="9">
        <f t="shared" si="4"/>
        <v>1</v>
      </c>
      <c r="I65" s="10">
        <f>IFERROR(__xludf.DUMMYFUNCTION("MAX(FILTER($H:$H,$E:$E=F65))"),5.0)</f>
        <v>5</v>
      </c>
    </row>
    <row r="66">
      <c r="C66" s="4" t="s">
        <v>295</v>
      </c>
      <c r="D66" s="4" t="str">
        <f t="shared" si="1"/>
        <v>{"valorA":"que","valorB":1.0}</v>
      </c>
      <c r="E66" s="8" t="str">
        <f t="shared" si="2"/>
        <v>que</v>
      </c>
      <c r="F66" s="8" t="str">
        <f>IFERROR(__xludf.DUMMYFUNCTION("""COMPUTED_VALUE"""),"brilho")</f>
        <v>brilho</v>
      </c>
      <c r="G66" s="8" t="str">
        <f t="shared" si="3"/>
        <v>1.0</v>
      </c>
      <c r="H66" s="9">
        <f t="shared" si="4"/>
        <v>1</v>
      </c>
      <c r="I66" s="10">
        <f>IFERROR(__xludf.DUMMYFUNCTION("MAX(FILTER($H:$H,$E:$E=F66))"),1.0)</f>
        <v>1</v>
      </c>
    </row>
    <row r="67">
      <c r="C67" s="4" t="s">
        <v>209</v>
      </c>
      <c r="D67" s="4" t="str">
        <f t="shared" si="1"/>
        <v>{"valorA":"produto","valorB":4.0}</v>
      </c>
      <c r="E67" s="8" t="str">
        <f t="shared" si="2"/>
        <v>produto</v>
      </c>
      <c r="F67" s="8" t="str">
        <f>IFERROR(__xludf.DUMMYFUNCTION("""COMPUTED_VALUE"""),"imagem")</f>
        <v>imagem</v>
      </c>
      <c r="G67" s="8" t="str">
        <f t="shared" si="3"/>
        <v>4.0</v>
      </c>
      <c r="H67" s="9">
        <f t="shared" si="4"/>
        <v>4</v>
      </c>
      <c r="I67" s="10">
        <f>IFERROR(__xludf.DUMMYFUNCTION("MAX(FILTER($H:$H,$E:$E=F67))"),2.0)</f>
        <v>2</v>
      </c>
    </row>
    <row r="68">
      <c r="C68" s="4" t="s">
        <v>227</v>
      </c>
      <c r="D68" s="4" t="str">
        <f t="shared" si="1"/>
        <v>{"valorA":"ótimo","valorB":7.0}</v>
      </c>
      <c r="E68" s="8" t="str">
        <f t="shared" si="2"/>
        <v>ótimo</v>
      </c>
      <c r="F68" s="8" t="str">
        <f>IFERROR(__xludf.DUMMYFUNCTION("""COMPUTED_VALUE"""),"do")</f>
        <v>do</v>
      </c>
      <c r="G68" s="8" t="str">
        <f t="shared" si="3"/>
        <v>7.0</v>
      </c>
      <c r="H68" s="9">
        <f t="shared" si="4"/>
        <v>7</v>
      </c>
      <c r="I68" s="10">
        <f>IFERROR(__xludf.DUMMYFUNCTION("MAX(FILTER($H:$H,$E:$E=F68))"),2.0)</f>
        <v>2</v>
      </c>
    </row>
    <row r="69">
      <c r="C69" s="4" t="s">
        <v>245</v>
      </c>
      <c r="D69" s="4" t="str">
        <f t="shared" si="1"/>
        <v>{"valorA":"perfeitamente","valorB":1.0}</v>
      </c>
      <c r="E69" s="8" t="str">
        <f t="shared" si="2"/>
        <v>perfeitamente</v>
      </c>
      <c r="F69" s="8" t="str">
        <f>IFERROR(__xludf.DUMMYFUNCTION("""COMPUTED_VALUE"""),"da")</f>
        <v>da</v>
      </c>
      <c r="G69" s="8" t="str">
        <f t="shared" si="3"/>
        <v>1.0</v>
      </c>
      <c r="H69" s="9">
        <f t="shared" si="4"/>
        <v>1</v>
      </c>
      <c r="I69" s="10">
        <f>IFERROR(__xludf.DUMMYFUNCTION("MAX(FILTER($H:$H,$E:$E=F69))"),2.0)</f>
        <v>2</v>
      </c>
    </row>
    <row r="70">
      <c r="C70" s="4" t="s">
        <v>4893</v>
      </c>
      <c r="D70" s="4" t="str">
        <f t="shared" si="1"/>
        <v>{"valorA":"custou","valorB":1.0}</v>
      </c>
      <c r="E70" s="8" t="str">
        <f t="shared" si="2"/>
        <v>custou</v>
      </c>
      <c r="F70" s="8" t="str">
        <f>IFERROR(__xludf.DUMMYFUNCTION("""COMPUTED_VALUE"""),"tive")</f>
        <v>tive</v>
      </c>
      <c r="G70" s="8" t="str">
        <f t="shared" si="3"/>
        <v>1.0</v>
      </c>
      <c r="H70" s="9">
        <f t="shared" si="4"/>
        <v>1</v>
      </c>
      <c r="I70" s="10">
        <f>IFERROR(__xludf.DUMMYFUNCTION("MAX(FILTER($H:$H,$E:$E=F70))"),1.0)</f>
        <v>1</v>
      </c>
    </row>
    <row r="71">
      <c r="C71" s="4" t="s">
        <v>631</v>
      </c>
      <c r="D71" s="4" t="str">
        <f t="shared" si="1"/>
        <v>{"valorA":"funciona","valorB":2.0}</v>
      </c>
      <c r="E71" s="8" t="str">
        <f t="shared" si="2"/>
        <v>funciona</v>
      </c>
      <c r="F71" s="8" t="str">
        <f>IFERROR(__xludf.DUMMYFUNCTION("""COMPUTED_VALUE"""),"meu")</f>
        <v>meu</v>
      </c>
      <c r="G71" s="8" t="str">
        <f t="shared" si="3"/>
        <v>2.0</v>
      </c>
      <c r="H71" s="9">
        <f t="shared" si="4"/>
        <v>2</v>
      </c>
      <c r="I71" s="10">
        <f>IFERROR(__xludf.DUMMYFUNCTION("MAX(FILTER($H:$H,$E:$E=F71))"),2.0)</f>
        <v>2</v>
      </c>
    </row>
    <row r="72">
      <c r="C72" s="4" t="s">
        <v>583</v>
      </c>
      <c r="D72" s="4" t="str">
        <f t="shared" si="1"/>
        <v>{"valorA":"preço","valorB":1.0}</v>
      </c>
      <c r="E72" s="8" t="str">
        <f t="shared" si="2"/>
        <v>preço</v>
      </c>
      <c r="F72" s="21" t="str">
        <f>IFERROR(__xludf.DUMMYFUNCTION("""COMPUTED_VALUE"""),"micro")</f>
        <v>micro</v>
      </c>
      <c r="G72" s="8" t="str">
        <f t="shared" si="3"/>
        <v>1.0</v>
      </c>
      <c r="H72" s="9">
        <f t="shared" si="4"/>
        <v>1</v>
      </c>
      <c r="I72" s="10">
        <f>IFERROR(__xludf.DUMMYFUNCTION("MAX(FILTER($H:$H,$E:$E=F72))"),1.0)</f>
        <v>1</v>
      </c>
    </row>
    <row r="73">
      <c r="C73" s="4" t="s">
        <v>235</v>
      </c>
      <c r="D73" s="4" t="str">
        <f t="shared" si="1"/>
        <v>{"valorA":"recomendo","valorB":1.0}</v>
      </c>
      <c r="E73" s="8" t="str">
        <f t="shared" si="2"/>
        <v>recomendo</v>
      </c>
      <c r="F73" s="8" t="str">
        <f>IFERROR(__xludf.DUMMYFUNCTION("""COMPUTED_VALUE"""),"problemas")</f>
        <v>problemas</v>
      </c>
      <c r="G73" s="8" t="str">
        <f t="shared" si="3"/>
        <v>1.0</v>
      </c>
      <c r="H73" s="9">
        <f t="shared" si="4"/>
        <v>1</v>
      </c>
      <c r="I73" s="10">
        <f>IFERROR(__xludf.DUMMYFUNCTION("MAX(FILTER($H:$H,$E:$E=F73))"),1.0)</f>
        <v>1</v>
      </c>
    </row>
    <row r="74">
      <c r="C74" s="4" t="s">
        <v>604</v>
      </c>
      <c r="D74" s="4" t="str">
        <f t="shared" si="1"/>
        <v>{"valorA":"produto","valorB":5.0}</v>
      </c>
      <c r="E74" s="8" t="str">
        <f t="shared" si="2"/>
        <v>produto</v>
      </c>
      <c r="F74" s="8" t="str">
        <f>IFERROR(__xludf.DUMMYFUNCTION("""COMPUTED_VALUE"""),"amo")</f>
        <v>amo</v>
      </c>
      <c r="G74" s="8" t="str">
        <f t="shared" si="3"/>
        <v>5.0</v>
      </c>
      <c r="H74" s="9">
        <f t="shared" si="4"/>
        <v>5</v>
      </c>
      <c r="I74" s="10">
        <f>IFERROR(__xludf.DUMMYFUNCTION("MAX(FILTER($H:$H,$E:$E=F74))"),1.0)</f>
        <v>1</v>
      </c>
    </row>
    <row r="75">
      <c r="C75" s="4" t="s">
        <v>605</v>
      </c>
      <c r="D75" s="4" t="str">
        <f t="shared" si="1"/>
        <v>{"valorA":"ótimo","valorB":8.0}</v>
      </c>
      <c r="E75" s="8" t="str">
        <f t="shared" si="2"/>
        <v>ótimo</v>
      </c>
      <c r="F75" s="8" t="str">
        <f>IFERROR(__xludf.DUMMYFUNCTION("""COMPUTED_VALUE"""),"preçoqualidade")</f>
        <v>preçoqualidade</v>
      </c>
      <c r="G75" s="8" t="str">
        <f t="shared" si="3"/>
        <v>8.0</v>
      </c>
      <c r="H75" s="9">
        <f t="shared" si="4"/>
        <v>8</v>
      </c>
      <c r="I75" s="10">
        <f>IFERROR(__xludf.DUMMYFUNCTION("MAX(FILTER($H:$H,$E:$E=F75))"),1.0)</f>
        <v>1</v>
      </c>
    </row>
    <row r="76">
      <c r="C76" s="4" t="s">
        <v>617</v>
      </c>
      <c r="D76" s="4" t="str">
        <f t="shared" si="1"/>
        <v>{"valorA":"todos","valorB":1.0}</v>
      </c>
      <c r="E76" s="8" t="str">
        <f t="shared" si="2"/>
        <v>todos</v>
      </c>
      <c r="F76" s="8" t="str">
        <f>IFERROR(__xludf.DUMMYFUNCTION("""COMPUTED_VALUE"""),"fico")</f>
        <v>fico</v>
      </c>
      <c r="G76" s="8" t="str">
        <f t="shared" si="3"/>
        <v>1.0</v>
      </c>
      <c r="H76" s="9">
        <f t="shared" si="4"/>
        <v>1</v>
      </c>
      <c r="I76" s="10">
        <f>IFERROR(__xludf.DUMMYFUNCTION("MAX(FILTER($H:$H,$E:$E=F76))"),1.0)</f>
        <v>1</v>
      </c>
    </row>
    <row r="77">
      <c r="C77" s="4" t="s">
        <v>580</v>
      </c>
      <c r="D77" s="4" t="str">
        <f t="shared" si="1"/>
        <v>{"valorA":"a","valorB":1.0}</v>
      </c>
      <c r="E77" s="8" t="str">
        <f t="shared" si="2"/>
        <v>a</v>
      </c>
      <c r="F77" s="8" t="str">
        <f>IFERROR(__xludf.DUMMYFUNCTION("""COMPUTED_VALUE"""),"tv")</f>
        <v>tv</v>
      </c>
      <c r="G77" s="8" t="str">
        <f t="shared" si="3"/>
        <v>1.0</v>
      </c>
      <c r="H77" s="9">
        <f t="shared" si="4"/>
        <v>1</v>
      </c>
      <c r="I77" s="10">
        <f>IFERROR(__xludf.DUMMYFUNCTION("MAX(FILTER($H:$H,$E:$E=F77))"),2.0)</f>
        <v>2</v>
      </c>
    </row>
    <row r="78">
      <c r="C78" s="4" t="s">
        <v>639</v>
      </c>
      <c r="D78" s="4" t="str">
        <f t="shared" si="1"/>
        <v>{"valorA":"econômico","valorB":1.0}</v>
      </c>
      <c r="E78" s="8" t="str">
        <f t="shared" si="2"/>
        <v>econômico</v>
      </c>
      <c r="F78" s="8" t="str">
        <f>IFERROR(__xludf.DUMMYFUNCTION("""COMPUTED_VALUE"""),"alto")</f>
        <v>alto</v>
      </c>
      <c r="G78" s="8" t="str">
        <f t="shared" si="3"/>
        <v>1.0</v>
      </c>
      <c r="H78" s="9">
        <f t="shared" si="4"/>
        <v>1</v>
      </c>
      <c r="I78" s="10">
        <f>IFERROR(__xludf.DUMMYFUNCTION("MAX(FILTER($H:$H,$E:$E=F78))"),1.0)</f>
        <v>1</v>
      </c>
    </row>
    <row r="79">
      <c r="C79" s="4" t="s">
        <v>234</v>
      </c>
      <c r="D79" s="4" t="str">
        <f t="shared" si="1"/>
        <v>{"valorA":"para","valorB":4.0}</v>
      </c>
      <c r="E79" s="8" t="str">
        <f t="shared" si="2"/>
        <v>para</v>
      </c>
      <c r="F79" s="8" t="str">
        <f>IFERROR(__xludf.DUMMYFUNCTION("""COMPUTED_VALUE"""),"led")</f>
        <v>led</v>
      </c>
      <c r="G79" s="8" t="str">
        <f t="shared" si="3"/>
        <v>4.0</v>
      </c>
      <c r="H79" s="9">
        <f t="shared" si="4"/>
        <v>4</v>
      </c>
      <c r="I79" s="10">
        <f>IFERROR(__xludf.DUMMYFUNCTION("MAX(FILTER($H:$H,$E:$E=F79))"),1.0)</f>
        <v>1</v>
      </c>
    </row>
    <row r="80">
      <c r="C80" s="4" t="s">
        <v>177</v>
      </c>
      <c r="D80" s="4" t="str">
        <f t="shared" si="1"/>
        <v>{"valorA":"é","valorB":1.0}</v>
      </c>
      <c r="E80" s="8" t="str">
        <f t="shared" si="2"/>
        <v>é</v>
      </c>
      <c r="F80" s="8" t="str">
        <f>IFERROR(__xludf.DUMMYFUNCTION("""COMPUTED_VALUE"""),"satisfeito")</f>
        <v>satisfeito</v>
      </c>
      <c r="G80" s="8" t="str">
        <f t="shared" si="3"/>
        <v>1.0</v>
      </c>
      <c r="H80" s="9">
        <f t="shared" si="4"/>
        <v>1</v>
      </c>
      <c r="I80" s="10">
        <f>IFERROR(__xludf.DUMMYFUNCTION("MAX(FILTER($H:$H,$E:$E=F80))"),1.0)</f>
        <v>1</v>
      </c>
    </row>
    <row r="81">
      <c r="C81" s="4" t="s">
        <v>591</v>
      </c>
      <c r="D81" s="4" t="str">
        <f t="shared" si="1"/>
        <v>{"valorA":"qualidade","valorB":2.0}</v>
      </c>
      <c r="E81" s="8" t="str">
        <f t="shared" si="2"/>
        <v>qualidade</v>
      </c>
      <c r="F81" s="8" t="str">
        <f>IFERROR(__xludf.DUMMYFUNCTION("""COMPUTED_VALUE"""),"compra")</f>
        <v>compra</v>
      </c>
      <c r="G81" s="8" t="str">
        <f t="shared" si="3"/>
        <v>2.0</v>
      </c>
      <c r="H81" s="9">
        <f t="shared" si="4"/>
        <v>2</v>
      </c>
      <c r="I81" s="10">
        <f>IFERROR(__xludf.DUMMYFUNCTION("MAX(FILTER($H:$H,$E:$E=F81))"),1.0)</f>
        <v>1</v>
      </c>
    </row>
    <row r="82">
      <c r="C82" s="4" t="s">
        <v>279</v>
      </c>
      <c r="D82" s="4" t="str">
        <f t="shared" si="1"/>
        <v>{"valorA":"usar","valorB":3.0}</v>
      </c>
      <c r="E82" s="8" t="str">
        <f t="shared" si="2"/>
        <v>usar</v>
      </c>
      <c r="F82" s="8" t="str">
        <f>IFERROR(__xludf.DUMMYFUNCTION("""COMPUTED_VALUE"""),"desse")</f>
        <v>desse</v>
      </c>
      <c r="G82" s="8" t="str">
        <f t="shared" si="3"/>
        <v>3.0</v>
      </c>
      <c r="H82" s="9">
        <f t="shared" si="4"/>
        <v>3</v>
      </c>
      <c r="I82" s="10">
        <f>IFERROR(__xludf.DUMMYFUNCTION("MAX(FILTER($H:$H,$E:$E=F82))"),2.0)</f>
        <v>2</v>
      </c>
    </row>
    <row r="83">
      <c r="C83" s="4" t="s">
        <v>1426</v>
      </c>
      <c r="D83" s="4" t="str">
        <f t="shared" si="1"/>
        <v>{"valorA":"laptop","valorB":1.0}</v>
      </c>
      <c r="E83" s="8" t="str">
        <f t="shared" si="2"/>
        <v>laptop</v>
      </c>
      <c r="F83" s="8" t="str">
        <f>IFERROR(__xludf.DUMMYFUNCTION("""COMPUTED_VALUE"""),"transportar")</f>
        <v>transportar</v>
      </c>
      <c r="G83" s="8" t="str">
        <f t="shared" si="3"/>
        <v>1.0</v>
      </c>
      <c r="H83" s="9">
        <f t="shared" si="4"/>
        <v>1</v>
      </c>
      <c r="I83" s="10">
        <f>IFERROR(__xludf.DUMMYFUNCTION("MAX(FILTER($H:$H,$E:$E=F83))"),1.0)</f>
        <v>1</v>
      </c>
    </row>
    <row r="84">
      <c r="C84" s="4" t="s">
        <v>1485</v>
      </c>
      <c r="D84" s="4" t="str">
        <f t="shared" si="1"/>
        <v>{"valorA":"boa","valorB":2.0}</v>
      </c>
      <c r="E84" s="8" t="str">
        <f t="shared" si="2"/>
        <v>boa</v>
      </c>
      <c r="F84" s="8" t="str">
        <f>IFERROR(__xludf.DUMMYFUNCTION("""COMPUTED_VALUE"""),"cadeirão")</f>
        <v>cadeirão</v>
      </c>
      <c r="G84" s="8" t="str">
        <f t="shared" si="3"/>
        <v>2.0</v>
      </c>
      <c r="H84" s="9">
        <f t="shared" si="4"/>
        <v>2</v>
      </c>
      <c r="I84" s="10">
        <f>IFERROR(__xludf.DUMMYFUNCTION("MAX(FILTER($H:$H,$E:$E=F84))"),1.0)</f>
        <v>1</v>
      </c>
    </row>
    <row r="85">
      <c r="C85" s="4" t="s">
        <v>680</v>
      </c>
      <c r="D85" s="4" t="str">
        <f t="shared" si="1"/>
        <v>{"valorA":"quem","valorB":3.0}</v>
      </c>
      <c r="E85" s="8" t="str">
        <f t="shared" si="2"/>
        <v>quem</v>
      </c>
      <c r="F85" s="8" t="str">
        <f>IFERROR(__xludf.DUMMYFUNCTION("""COMPUTED_VALUE"""),"confortável")</f>
        <v>confortável</v>
      </c>
      <c r="G85" s="8" t="str">
        <f t="shared" si="3"/>
        <v>3.0</v>
      </c>
      <c r="H85" s="9">
        <f t="shared" si="4"/>
        <v>3</v>
      </c>
      <c r="I85" s="10">
        <f>IFERROR(__xludf.DUMMYFUNCTION("MAX(FILTER($H:$H,$E:$E=F85))"),2.0)</f>
        <v>2</v>
      </c>
    </row>
    <row r="86">
      <c r="C86" s="4" t="s">
        <v>666</v>
      </c>
      <c r="D86" s="4" t="str">
        <f t="shared" si="1"/>
        <v>{"valorA":"e","valorB":7.0}</v>
      </c>
      <c r="E86" s="8" t="str">
        <f t="shared" si="2"/>
        <v>e</v>
      </c>
      <c r="F86" s="8" t="str">
        <f>IFERROR(__xludf.DUMMYFUNCTION("""COMPUTED_VALUE"""),"valeu")</f>
        <v>valeu</v>
      </c>
      <c r="G86" s="8" t="str">
        <f t="shared" si="3"/>
        <v>7.0</v>
      </c>
      <c r="H86" s="9">
        <f t="shared" si="4"/>
        <v>7</v>
      </c>
      <c r="I86" s="10">
        <f>IFERROR(__xludf.DUMMYFUNCTION("MAX(FILTER($H:$H,$E:$E=F86))"),3.0)</f>
        <v>3</v>
      </c>
    </row>
    <row r="87">
      <c r="C87" s="4" t="s">
        <v>681</v>
      </c>
      <c r="D87" s="4" t="str">
        <f t="shared" si="1"/>
        <v>{"valorA":"de","valorB":5.0}</v>
      </c>
      <c r="E87" s="8" t="str">
        <f t="shared" si="2"/>
        <v>de</v>
      </c>
      <c r="F87" s="8" t="str">
        <f>IFERROR(__xludf.DUMMYFUNCTION("""COMPUTED_VALUE"""),"espera")</f>
        <v>espera</v>
      </c>
      <c r="G87" s="8" t="str">
        <f t="shared" si="3"/>
        <v>5.0</v>
      </c>
      <c r="H87" s="9">
        <f t="shared" si="4"/>
        <v>5</v>
      </c>
      <c r="I87" s="10">
        <f>IFERROR(__xludf.DUMMYFUNCTION("MAX(FILTER($H:$H,$E:$E=F87))"),2.0)</f>
        <v>2</v>
      </c>
    </row>
    <row r="88">
      <c r="C88" s="4" t="s">
        <v>188</v>
      </c>
      <c r="D88" s="4" t="str">
        <f t="shared" si="1"/>
        <v>{"valorA":"rápido","valorB":1.0}</v>
      </c>
      <c r="E88" s="8" t="str">
        <f t="shared" si="2"/>
        <v>rápido</v>
      </c>
      <c r="F88" s="8" t="str">
        <f>IFERROR(__xludf.DUMMYFUNCTION("""COMPUTED_VALUE"""),"paguei")</f>
        <v>paguei</v>
      </c>
      <c r="G88" s="8" t="str">
        <f t="shared" si="3"/>
        <v>1.0</v>
      </c>
      <c r="H88" s="9">
        <f t="shared" si="4"/>
        <v>1</v>
      </c>
      <c r="I88" s="10">
        <f>IFERROR(__xludf.DUMMYFUNCTION("MAX(FILTER($H:$H,$E:$E=F88))"),2.0)</f>
        <v>2</v>
      </c>
    </row>
    <row r="89">
      <c r="C89" s="4" t="s">
        <v>241</v>
      </c>
      <c r="D89" s="4" t="str">
        <f t="shared" si="1"/>
        <v>{"valorA":"produto","valorB":6.0}</v>
      </c>
      <c r="E89" s="8" t="str">
        <f t="shared" si="2"/>
        <v>produto</v>
      </c>
      <c r="F89" s="8" t="str">
        <f>IFERROR(__xludf.DUMMYFUNCTION("""COMPUTED_VALUE"""),"quantia")</f>
        <v>quantia</v>
      </c>
      <c r="G89" s="8" t="str">
        <f t="shared" si="3"/>
        <v>6.0</v>
      </c>
      <c r="H89" s="9">
        <f t="shared" si="4"/>
        <v>6</v>
      </c>
      <c r="I89" s="10">
        <f>IFERROR(__xludf.DUMMYFUNCTION("MAX(FILTER($H:$H,$E:$E=F89))"),1.0)</f>
        <v>1</v>
      </c>
    </row>
    <row r="90">
      <c r="C90" s="4" t="s">
        <v>612</v>
      </c>
      <c r="D90" s="4" t="str">
        <f t="shared" si="1"/>
        <v>{"valorA":"ótimo","valorB":10.0}</v>
      </c>
      <c r="E90" s="8" t="str">
        <f t="shared" si="2"/>
        <v>ótimo</v>
      </c>
      <c r="F90" s="8" t="str">
        <f>IFERROR(__xludf.DUMMYFUNCTION("""COMPUTED_VALUE"""),"comprei")</f>
        <v>comprei</v>
      </c>
      <c r="G90" s="8" t="str">
        <f t="shared" si="3"/>
        <v>10.0</v>
      </c>
      <c r="H90" s="9">
        <f t="shared" si="4"/>
        <v>10</v>
      </c>
      <c r="I90" s="10">
        <f>IFERROR(__xludf.DUMMYFUNCTION("MAX(FILTER($H:$H,$E:$E=F90))"),2.0)</f>
        <v>2</v>
      </c>
    </row>
    <row r="91">
      <c r="C91" s="4" t="s">
        <v>4894</v>
      </c>
      <c r="D91" s="4" t="str">
        <f t="shared" si="1"/>
        <v>{"valorA":"uma","valorB":3.0}</v>
      </c>
      <c r="E91" s="8" t="str">
        <f t="shared" si="2"/>
        <v>uma</v>
      </c>
      <c r="F91" s="8" t="str">
        <f>IFERROR(__xludf.DUMMYFUNCTION("""COMPUTED_VALUE"""),"valor")</f>
        <v>valor</v>
      </c>
      <c r="G91" s="8" t="str">
        <f t="shared" si="3"/>
        <v>3.0</v>
      </c>
      <c r="H91" s="9">
        <f t="shared" si="4"/>
        <v>3</v>
      </c>
      <c r="I91" s="10">
        <f>IFERROR(__xludf.DUMMYFUNCTION("MAX(FILTER($H:$H,$E:$E=F91))"),1.0)</f>
        <v>1</v>
      </c>
    </row>
    <row r="92">
      <c r="C92" s="4" t="s">
        <v>431</v>
      </c>
      <c r="D92" s="4" t="str">
        <f t="shared" si="1"/>
        <v>{"valorA":"fácil","valorB":3.0}</v>
      </c>
      <c r="E92" s="8" t="str">
        <f t="shared" si="2"/>
        <v>fácil</v>
      </c>
      <c r="F92" s="8" t="str">
        <f>IFERROR(__xludf.DUMMYFUNCTION("""COMPUTED_VALUE"""),"bom")</f>
        <v>bom</v>
      </c>
      <c r="G92" s="8" t="str">
        <f t="shared" si="3"/>
        <v>3.0</v>
      </c>
      <c r="H92" s="9">
        <f t="shared" si="4"/>
        <v>3</v>
      </c>
      <c r="I92" s="10">
        <f>IFERROR(__xludf.DUMMYFUNCTION("MAX(FILTER($H:$H,$E:$E=F92))"),5.0)</f>
        <v>5</v>
      </c>
    </row>
    <row r="93">
      <c r="C93" s="4" t="s">
        <v>685</v>
      </c>
      <c r="D93" s="4" t="str">
        <f t="shared" si="1"/>
        <v>{"valorA":"busca","valorB":2.0}</v>
      </c>
      <c r="E93" s="8" t="str">
        <f t="shared" si="2"/>
        <v>busca</v>
      </c>
      <c r="F93" s="8" t="str">
        <f>IFERROR(__xludf.DUMMYFUNCTION("""COMPUTED_VALUE"""),"filha")</f>
        <v>filha</v>
      </c>
      <c r="G93" s="8" t="str">
        <f t="shared" si="3"/>
        <v>2.0</v>
      </c>
      <c r="H93" s="9">
        <f t="shared" si="4"/>
        <v>2</v>
      </c>
      <c r="I93" s="10">
        <f>IFERROR(__xludf.DUMMYFUNCTION("MAX(FILTER($H:$H,$E:$E=F93))"),2.0)</f>
        <v>2</v>
      </c>
    </row>
    <row r="94">
      <c r="C94" s="4" t="s">
        <v>1268</v>
      </c>
      <c r="D94" s="4" t="str">
        <f t="shared" si="1"/>
        <v>{"valorA":"preço","valorB":2.0}</v>
      </c>
      <c r="E94" s="8" t="str">
        <f t="shared" si="2"/>
        <v>preço</v>
      </c>
      <c r="F94" s="8" t="str">
        <f>IFERROR(__xludf.DUMMYFUNCTION("""COMPUTED_VALUE"""),"ela")</f>
        <v>ela</v>
      </c>
      <c r="G94" s="8" t="str">
        <f t="shared" si="3"/>
        <v>2.0</v>
      </c>
      <c r="H94" s="9">
        <f t="shared" si="4"/>
        <v>2</v>
      </c>
      <c r="I94" s="10">
        <f>IFERROR(__xludf.DUMMYFUNCTION("MAX(FILTER($H:$H,$E:$E=F94))"),2.0)</f>
        <v>2</v>
      </c>
    </row>
    <row r="95">
      <c r="C95" s="4" t="s">
        <v>403</v>
      </c>
      <c r="D95" s="4" t="str">
        <f t="shared" si="1"/>
        <v>{"valorA":"para","valorB":5.0}</v>
      </c>
      <c r="E95" s="8" t="str">
        <f t="shared" si="2"/>
        <v>para</v>
      </c>
      <c r="F95" s="8" t="str">
        <f>IFERROR(__xludf.DUMMYFUNCTION("""COMPUTED_VALUE"""),"adora")</f>
        <v>adora</v>
      </c>
      <c r="G95" s="8" t="str">
        <f t="shared" si="3"/>
        <v>5.0</v>
      </c>
      <c r="H95" s="9">
        <f t="shared" si="4"/>
        <v>5</v>
      </c>
      <c r="I95" s="10">
        <f>IFERROR(__xludf.DUMMYFUNCTION("MAX(FILTER($H:$H,$E:$E=F95))"),2.0)</f>
        <v>2</v>
      </c>
    </row>
    <row r="96">
      <c r="C96" s="4" t="s">
        <v>332</v>
      </c>
      <c r="D96" s="4" t="str">
        <f t="shared" si="1"/>
        <v>{"valorA":"o","valorB":2.0}</v>
      </c>
      <c r="E96" s="8" t="str">
        <f t="shared" si="2"/>
        <v>o</v>
      </c>
      <c r="F96" s="8" t="str">
        <f>IFERROR(__xludf.DUMMYFUNCTION("""COMPUTED_VALUE"""),"efficiente")</f>
        <v>efficiente</v>
      </c>
      <c r="G96" s="8" t="str">
        <f t="shared" si="3"/>
        <v>2.0</v>
      </c>
      <c r="H96" s="9">
        <f t="shared" si="4"/>
        <v>2</v>
      </c>
      <c r="I96" s="10">
        <f>IFERROR(__xludf.DUMMYFUNCTION("MAX(FILTER($H:$H,$E:$E=F96))"),1.0)</f>
        <v>1</v>
      </c>
    </row>
    <row r="97">
      <c r="C97" s="4" t="s">
        <v>333</v>
      </c>
      <c r="D97" s="4" t="str">
        <f t="shared" si="1"/>
        <v>{"valorA":"que","valorB":2.0}</v>
      </c>
      <c r="E97" s="8" t="str">
        <f t="shared" si="2"/>
        <v>que</v>
      </c>
      <c r="F97" s="8" t="str">
        <f>IFERROR(__xludf.DUMMYFUNCTION("""COMPUTED_VALUE"""),"minha")</f>
        <v>minha</v>
      </c>
      <c r="G97" s="8" t="str">
        <f t="shared" si="3"/>
        <v>2.0</v>
      </c>
      <c r="H97" s="9">
        <f t="shared" si="4"/>
        <v>2</v>
      </c>
      <c r="I97" s="10">
        <f>IFERROR(__xludf.DUMMYFUNCTION("MAX(FILTER($H:$H,$E:$E=F97))"),2.0)</f>
        <v>2</v>
      </c>
    </row>
    <row r="98">
      <c r="C98" s="4" t="s">
        <v>616</v>
      </c>
      <c r="D98" s="4" t="str">
        <f t="shared" si="1"/>
        <v>{"valorA":"produto","valorB":7.0}</v>
      </c>
      <c r="E98" s="8" t="str">
        <f t="shared" si="2"/>
        <v>produto</v>
      </c>
      <c r="F98" s="8" t="str">
        <f>IFERROR(__xludf.DUMMYFUNCTION("""COMPUTED_VALUE"""),"oferece")</f>
        <v>oferece</v>
      </c>
      <c r="G98" s="8" t="str">
        <f t="shared" si="3"/>
        <v>7.0</v>
      </c>
      <c r="H98" s="9">
        <f t="shared" si="4"/>
        <v>7</v>
      </c>
      <c r="I98" s="10">
        <f>IFERROR(__xludf.DUMMYFUNCTION("MAX(FILTER($H:$H,$E:$E=F98))"),1.0)</f>
        <v>1</v>
      </c>
    </row>
    <row r="99">
      <c r="C99" s="4" t="s">
        <v>621</v>
      </c>
      <c r="D99" s="4" t="str">
        <f t="shared" si="1"/>
        <v>{"valorA":"ótimo","valorB":11.0}</v>
      </c>
      <c r="E99" s="8" t="str">
        <f t="shared" si="2"/>
        <v>ótimo</v>
      </c>
      <c r="F99" s="8" t="str">
        <f>IFERROR(__xludf.DUMMYFUNCTION("""COMPUTED_VALUE"""),"justo")</f>
        <v>justo</v>
      </c>
      <c r="G99" s="8" t="str">
        <f t="shared" si="3"/>
        <v>11.0</v>
      </c>
      <c r="H99" s="9">
        <f t="shared" si="4"/>
        <v>11</v>
      </c>
      <c r="I99" s="10">
        <f>IFERROR(__xludf.DUMMYFUNCTION("MAX(FILTER($H:$H,$E:$E=F99))"),2.0)</f>
        <v>2</v>
      </c>
    </row>
    <row r="100">
      <c r="C100" s="4" t="s">
        <v>260</v>
      </c>
      <c r="D100" s="4" t="str">
        <f t="shared" si="1"/>
        <v>{"valorA":"gostei","valorB":2.0}</v>
      </c>
      <c r="E100" s="8" t="str">
        <f t="shared" si="2"/>
        <v>gostei</v>
      </c>
      <c r="F100" s="8" t="str">
        <f>IFERROR(__xludf.DUMMYFUNCTION("""COMPUTED_VALUE"""),"umas")</f>
        <v>umas</v>
      </c>
      <c r="G100" s="8" t="str">
        <f t="shared" si="3"/>
        <v>2.0</v>
      </c>
      <c r="H100" s="9">
        <f t="shared" si="4"/>
        <v>2</v>
      </c>
      <c r="I100" s="10">
        <f>IFERROR(__xludf.DUMMYFUNCTION("MAX(FILTER($H:$H,$E:$E=F100))"),1.0)</f>
        <v>1</v>
      </c>
    </row>
    <row r="101">
      <c r="C101" s="4" t="s">
        <v>212</v>
      </c>
      <c r="D101" s="4" t="str">
        <f t="shared" si="1"/>
        <v>{"valorA":"muito","valorB":3.0}</v>
      </c>
      <c r="E101" s="8" t="str">
        <f t="shared" si="2"/>
        <v>muito</v>
      </c>
      <c r="F101" s="8" t="str">
        <f>IFERROR(__xludf.DUMMYFUNCTION("""COMPUTED_VALUE"""),"em")</f>
        <v>em</v>
      </c>
      <c r="G101" s="8" t="str">
        <f t="shared" si="3"/>
        <v>3.0</v>
      </c>
      <c r="H101" s="9">
        <f t="shared" si="4"/>
        <v>3</v>
      </c>
      <c r="I101" s="10">
        <f>IFERROR(__xludf.DUMMYFUNCTION("MAX(FILTER($H:$H,$E:$E=F101))"),1.0)</f>
        <v>1</v>
      </c>
    </row>
    <row r="102">
      <c r="C102" s="4" t="s">
        <v>4895</v>
      </c>
      <c r="D102" s="4" t="str">
        <f t="shared" si="1"/>
        <v>{"valorA":"custou","valorB":2.0}</v>
      </c>
      <c r="E102" s="8" t="str">
        <f t="shared" si="2"/>
        <v>custou</v>
      </c>
      <c r="F102" s="8" t="str">
        <f>IFERROR(__xludf.DUMMYFUNCTION("""COMPUTED_VALUE"""),"informações")</f>
        <v>informações</v>
      </c>
      <c r="G102" s="8" t="str">
        <f t="shared" si="3"/>
        <v>2.0</v>
      </c>
      <c r="H102" s="9">
        <f t="shared" si="4"/>
        <v>2</v>
      </c>
      <c r="I102" s="10">
        <f>IFERROR(__xludf.DUMMYFUNCTION("MAX(FILTER($H:$H,$E:$E=F102))"),1.0)</f>
        <v>1</v>
      </c>
    </row>
    <row r="103">
      <c r="C103" s="4" t="s">
        <v>590</v>
      </c>
      <c r="D103" s="4" t="str">
        <f t="shared" si="1"/>
        <v>{"valorA":"preço","valorB":3.0}</v>
      </c>
      <c r="E103" s="8" t="str">
        <f t="shared" si="2"/>
        <v>preço</v>
      </c>
      <c r="F103" s="8" t="str">
        <f>IFERROR(__xludf.DUMMYFUNCTION("""COMPUTED_VALUE"""),"resumir")</f>
        <v>resumir</v>
      </c>
      <c r="G103" s="8" t="str">
        <f t="shared" si="3"/>
        <v>3.0</v>
      </c>
      <c r="H103" s="9">
        <f t="shared" si="4"/>
        <v>3</v>
      </c>
      <c r="I103" s="10">
        <f>IFERROR(__xludf.DUMMYFUNCTION("MAX(FILTER($H:$H,$E:$E=F103))"),1.0)</f>
        <v>1</v>
      </c>
    </row>
    <row r="104">
      <c r="C104" s="4" t="s">
        <v>197</v>
      </c>
      <c r="D104" s="4" t="str">
        <f t="shared" si="1"/>
        <v>{"valorA":"é","valorB":2.0}</v>
      </c>
      <c r="E104" s="8" t="str">
        <f t="shared" si="2"/>
        <v>é</v>
      </c>
      <c r="F104" s="8" t="str">
        <f>IFERROR(__xludf.DUMMYFUNCTION("""COMPUTED_VALUE"""),"usálo")</f>
        <v>usálo</v>
      </c>
      <c r="G104" s="8" t="str">
        <f t="shared" si="3"/>
        <v>2.0</v>
      </c>
      <c r="H104" s="9">
        <f t="shared" si="4"/>
        <v>2</v>
      </c>
      <c r="I104" s="10">
        <f>IFERROR(__xludf.DUMMYFUNCTION("MAX(FILTER($H:$H,$E:$E=F104))"),1.0)</f>
        <v>1</v>
      </c>
    </row>
    <row r="105">
      <c r="C105" s="4" t="s">
        <v>634</v>
      </c>
      <c r="D105" s="4" t="str">
        <f t="shared" si="1"/>
        <v>{"valorA":"bem","valorB":2.0}</v>
      </c>
      <c r="E105" s="8" t="str">
        <f t="shared" si="2"/>
        <v>bem</v>
      </c>
      <c r="F105" s="8" t="str">
        <f>IFERROR(__xludf.DUMMYFUNCTION("""COMPUTED_VALUE"""),"faltou")</f>
        <v>faltou</v>
      </c>
      <c r="G105" s="8" t="str">
        <f t="shared" si="3"/>
        <v>2.0</v>
      </c>
      <c r="H105" s="9">
        <f t="shared" si="4"/>
        <v>2</v>
      </c>
      <c r="I105" s="10">
        <f>IFERROR(__xludf.DUMMYFUNCTION("MAX(FILTER($H:$H,$E:$E=F105))"),1.0)</f>
        <v>1</v>
      </c>
    </row>
    <row r="106">
      <c r="C106" s="4" t="s">
        <v>387</v>
      </c>
      <c r="D106" s="4" t="str">
        <f t="shared" si="1"/>
        <v>{"valorA":"e","valorB":8.0}</v>
      </c>
      <c r="E106" s="8" t="str">
        <f t="shared" si="2"/>
        <v>e</v>
      </c>
      <c r="F106" s="8" t="str">
        <f>IFERROR(__xludf.DUMMYFUNCTION("""COMPUTED_VALUE"""),"como")</f>
        <v>como</v>
      </c>
      <c r="G106" s="8" t="str">
        <f t="shared" si="3"/>
        <v>8.0</v>
      </c>
      <c r="H106" s="9">
        <f t="shared" si="4"/>
        <v>8</v>
      </c>
      <c r="I106" s="10">
        <f>IFERROR(__xludf.DUMMYFUNCTION("MAX(FILTER($H:$H,$E:$E=F106))"),2.0)</f>
        <v>2</v>
      </c>
    </row>
    <row r="107">
      <c r="C107" s="4" t="s">
        <v>388</v>
      </c>
      <c r="D107" s="4" t="str">
        <f t="shared" si="1"/>
        <v>{"valorA":"durável","valorB":1.0}</v>
      </c>
      <c r="E107" s="8" t="str">
        <f t="shared" si="2"/>
        <v>durável</v>
      </c>
      <c r="F107" s="8" t="str">
        <f>IFERROR(__xludf.DUMMYFUNCTION("""COMPUTED_VALUE"""),"sobre")</f>
        <v>sobre</v>
      </c>
      <c r="G107" s="8" t="str">
        <f t="shared" si="3"/>
        <v>1.0</v>
      </c>
      <c r="H107" s="9">
        <f t="shared" si="4"/>
        <v>1</v>
      </c>
      <c r="I107" s="10">
        <f>IFERROR(__xludf.DUMMYFUNCTION("MAX(FILTER($H:$H,$E:$E=F107))"),1.0)</f>
        <v>1</v>
      </c>
    </row>
    <row r="108">
      <c r="C108" s="4" t="s">
        <v>258</v>
      </c>
      <c r="D108" s="4" t="str">
        <f t="shared" si="1"/>
        <v>{"valorA":"produto","valorB":8.0}</v>
      </c>
      <c r="E108" s="8" t="str">
        <f t="shared" si="2"/>
        <v>produto</v>
      </c>
      <c r="F108" s="8" t="str">
        <f>IFERROR(__xludf.DUMMYFUNCTION("""COMPUTED_VALUE"""),"casa")</f>
        <v>casa</v>
      </c>
      <c r="G108" s="8" t="str">
        <f t="shared" si="3"/>
        <v>8.0</v>
      </c>
      <c r="H108" s="9">
        <f t="shared" si="4"/>
        <v>8</v>
      </c>
      <c r="I108" s="10">
        <f>IFERROR(__xludf.DUMMYFUNCTION("MAX(FILTER($H:$H,$E:$E=F108))"),1.0)</f>
        <v>1</v>
      </c>
    </row>
    <row r="109">
      <c r="C109" s="4" t="s">
        <v>259</v>
      </c>
      <c r="D109" s="4" t="str">
        <f t="shared" si="1"/>
        <v>{"valorA":"ótimo","valorB":12.0}</v>
      </c>
      <c r="E109" s="8" t="str">
        <f t="shared" si="2"/>
        <v>ótimo</v>
      </c>
      <c r="F109" s="8" t="str">
        <f>IFERROR(__xludf.DUMMYFUNCTION("""COMPUTED_VALUE"""),"resultado")</f>
        <v>resultado</v>
      </c>
      <c r="G109" s="8" t="str">
        <f t="shared" si="3"/>
        <v>12.0</v>
      </c>
      <c r="H109" s="9">
        <f t="shared" si="4"/>
        <v>12</v>
      </c>
      <c r="I109" s="10">
        <f>IFERROR(__xludf.DUMMYFUNCTION("MAX(FILTER($H:$H,$E:$E=F109))"),1.0)</f>
        <v>1</v>
      </c>
    </row>
    <row r="110">
      <c r="C110" s="4" t="s">
        <v>689</v>
      </c>
      <c r="D110" s="4" t="str">
        <f t="shared" si="1"/>
        <v>{"valorA":"perfeitamente","valorB":2.0}</v>
      </c>
      <c r="E110" s="8" t="str">
        <f t="shared" si="2"/>
        <v>perfeitamente</v>
      </c>
      <c r="F110" s="8" t="str">
        <f>IFERROR(__xludf.DUMMYFUNCTION("""COMPUTED_VALUE"""),"barato")</f>
        <v>barato</v>
      </c>
      <c r="G110" s="8" t="str">
        <f t="shared" si="3"/>
        <v>2.0</v>
      </c>
      <c r="H110" s="9">
        <f t="shared" si="4"/>
        <v>2</v>
      </c>
      <c r="I110" s="10">
        <f>IFERROR(__xludf.DUMMYFUNCTION("MAX(FILTER($H:$H,$E:$E=F110))"),1.0)</f>
        <v>1</v>
      </c>
    </row>
    <row r="111">
      <c r="C111" s="4" t="s">
        <v>636</v>
      </c>
      <c r="D111" s="4" t="str">
        <f t="shared" si="1"/>
        <v>{"valorA":"funciona","valorB":3.0}</v>
      </c>
      <c r="E111" s="8" t="str">
        <f t="shared" si="2"/>
        <v>funciona</v>
      </c>
      <c r="F111" s="8" t="str">
        <f>IFERROR(__xludf.DUMMYFUNCTION("""COMPUTED_VALUE"""),"condicionado")</f>
        <v>condicionado</v>
      </c>
      <c r="G111" s="8" t="str">
        <f t="shared" si="3"/>
        <v>3.0</v>
      </c>
      <c r="H111" s="9">
        <f t="shared" si="4"/>
        <v>3</v>
      </c>
      <c r="I111" s="10">
        <f>IFERROR(__xludf.DUMMYFUNCTION("MAX(FILTER($H:$H,$E:$E=F111))"),1.0)</f>
        <v>1</v>
      </c>
    </row>
    <row r="112">
      <c r="C112" s="4" t="s">
        <v>1149</v>
      </c>
      <c r="D112" s="4" t="str">
        <f t="shared" si="1"/>
        <v>{"valorA":"ele","valorB":1.0}</v>
      </c>
      <c r="E112" s="8" t="str">
        <f t="shared" si="2"/>
        <v>ele</v>
      </c>
      <c r="F112" s="8" t="str">
        <f>IFERROR(__xludf.DUMMYFUNCTION("""COMPUTED_VALUE"""),"solução")</f>
        <v>solução</v>
      </c>
      <c r="G112" s="8" t="str">
        <f t="shared" si="3"/>
        <v>1.0</v>
      </c>
      <c r="H112" s="9">
        <f t="shared" si="4"/>
        <v>1</v>
      </c>
      <c r="I112" s="10">
        <f>IFERROR(__xludf.DUMMYFUNCTION("MAX(FILTER($H:$H,$E:$E=F112))"),1.0)</f>
        <v>1</v>
      </c>
    </row>
    <row r="113">
      <c r="C113" s="4" t="s">
        <v>419</v>
      </c>
      <c r="D113" s="4" t="str">
        <f t="shared" si="1"/>
        <v>{"valorA":"para","valorB":6.0}</v>
      </c>
      <c r="E113" s="8" t="str">
        <f t="shared" si="2"/>
        <v>para</v>
      </c>
      <c r="F113" s="8" t="str">
        <f>IFERROR(__xludf.DUMMYFUNCTION("""COMPUTED_VALUE"""),"ar")</f>
        <v>ar</v>
      </c>
      <c r="G113" s="8" t="str">
        <f t="shared" si="3"/>
        <v>6.0</v>
      </c>
      <c r="H113" s="9">
        <f t="shared" si="4"/>
        <v>6</v>
      </c>
      <c r="I113" s="10">
        <f>IFERROR(__xludf.DUMMYFUNCTION("MAX(FILTER($H:$H,$E:$E=F113))"),1.0)</f>
        <v>1</v>
      </c>
    </row>
    <row r="114">
      <c r="C114" s="4" t="s">
        <v>4896</v>
      </c>
      <c r="D114" s="4" t="str">
        <f t="shared" si="1"/>
        <v>{"valorA":"economizar","valorB":1.0}</v>
      </c>
      <c r="E114" s="8" t="str">
        <f t="shared" si="2"/>
        <v>economizar</v>
      </c>
      <c r="F114" s="8" t="str">
        <f>IFERROR(__xludf.DUMMYFUNCTION("""COMPUTED_VALUE"""),"chegar")</f>
        <v>chegar</v>
      </c>
      <c r="G114" s="8" t="str">
        <f t="shared" si="3"/>
        <v>1.0</v>
      </c>
      <c r="H114" s="9">
        <f t="shared" si="4"/>
        <v>1</v>
      </c>
      <c r="I114" s="10">
        <f>IFERROR(__xludf.DUMMYFUNCTION("MAX(FILTER($H:$H,$E:$E=F114))"),1.0)</f>
        <v>1</v>
      </c>
    </row>
    <row r="115">
      <c r="C115" s="4" t="s">
        <v>328</v>
      </c>
      <c r="D115" s="4" t="str">
        <f t="shared" si="1"/>
        <v>{"valorA":"com","valorB":2.0}</v>
      </c>
      <c r="E115" s="8" t="str">
        <f t="shared" si="2"/>
        <v>com</v>
      </c>
      <c r="F115" s="8" t="str">
        <f>IFERROR(__xludf.DUMMYFUNCTION("""COMPUTED_VALUE"""),"demorou")</f>
        <v>demorou</v>
      </c>
      <c r="G115" s="8" t="str">
        <f t="shared" si="3"/>
        <v>2.0</v>
      </c>
      <c r="H115" s="9">
        <f t="shared" si="4"/>
        <v>2</v>
      </c>
      <c r="I115" s="10">
        <f>IFERROR(__xludf.DUMMYFUNCTION("MAX(FILTER($H:$H,$E:$E=F115))"),1.0)</f>
        <v>1</v>
      </c>
    </row>
    <row r="116">
      <c r="C116" s="4" t="s">
        <v>981</v>
      </c>
      <c r="D116" s="4" t="str">
        <f t="shared" si="1"/>
        <v>{"valorA":"tenho","valorB":1.0}</v>
      </c>
      <c r="E116" s="8" t="str">
        <f t="shared" si="2"/>
        <v>tenho</v>
      </c>
      <c r="F116" s="8" t="str">
        <f>IFERROR(__xludf.DUMMYFUNCTION("""COMPUTED_VALUE"""),"valorizei")</f>
        <v>valorizei</v>
      </c>
      <c r="G116" s="8" t="str">
        <f t="shared" si="3"/>
        <v>1.0</v>
      </c>
      <c r="H116" s="9">
        <f t="shared" si="4"/>
        <v>1</v>
      </c>
      <c r="I116" s="10">
        <f>IFERROR(__xludf.DUMMYFUNCTION("MAX(FILTER($H:$H,$E:$E=F116))"),1.0)</f>
        <v>1</v>
      </c>
    </row>
    <row r="117">
      <c r="C117" s="4" t="s">
        <v>4897</v>
      </c>
      <c r="D117" s="4" t="str">
        <f t="shared" si="1"/>
        <v>{"valorA":"nenhum","valorB":1.0}</v>
      </c>
      <c r="E117" s="8" t="str">
        <f t="shared" si="2"/>
        <v>nenhum</v>
      </c>
      <c r="F117" s="8" t="str">
        <f>IFERROR(__xludf.DUMMYFUNCTION("""COMPUTED_VALUE"""),"dinheiro")</f>
        <v>dinheiro</v>
      </c>
      <c r="G117" s="8" t="str">
        <f t="shared" si="3"/>
        <v>1.0</v>
      </c>
      <c r="H117" s="9">
        <f t="shared" si="4"/>
        <v>1</v>
      </c>
      <c r="I117" s="10">
        <f>IFERROR(__xludf.DUMMYFUNCTION("MAX(FILTER($H:$H,$E:$E=F117))"),1.0)</f>
        <v>1</v>
      </c>
    </row>
    <row r="118">
      <c r="C118" s="4" t="s">
        <v>4898</v>
      </c>
      <c r="D118" s="4" t="str">
        <f t="shared" si="1"/>
        <v>{"valorA":"problema","valorB":1.0}</v>
      </c>
      <c r="E118" s="8" t="str">
        <f t="shared" si="2"/>
        <v>problema</v>
      </c>
      <c r="F118" s="8" t="str">
        <f>IFERROR(__xludf.DUMMYFUNCTION("""COMPUTED_VALUE"""),"menos")</f>
        <v>menos</v>
      </c>
      <c r="G118" s="8" t="str">
        <f t="shared" si="3"/>
        <v>1.0</v>
      </c>
      <c r="H118" s="9">
        <f t="shared" si="4"/>
        <v>1</v>
      </c>
      <c r="I118" s="10">
        <f>IFERROR(__xludf.DUMMYFUNCTION("MAX(FILTER($H:$H,$E:$E=F118))"),1.0)</f>
        <v>1</v>
      </c>
    </row>
    <row r="119">
      <c r="C119" s="4" t="s">
        <v>1398</v>
      </c>
      <c r="D119" s="4" t="str">
        <f t="shared" si="1"/>
        <v>{"valorA":"quer","valorB":1.0}</v>
      </c>
      <c r="E119" s="8" t="str">
        <f t="shared" si="2"/>
        <v>quer</v>
      </c>
      <c r="F119" s="8" t="str">
        <f>IFERROR(__xludf.DUMMYFUNCTION("""COMPUTED_VALUE"""),"tivesse")</f>
        <v>tivesse</v>
      </c>
      <c r="G119" s="8" t="str">
        <f t="shared" si="3"/>
        <v>1.0</v>
      </c>
      <c r="H119" s="9">
        <f t="shared" si="4"/>
        <v>1</v>
      </c>
      <c r="I119" s="10">
        <f>IFERROR(__xludf.DUMMYFUNCTION("MAX(FILTER($H:$H,$E:$E=F119))"),1.0)</f>
        <v>1</v>
      </c>
    </row>
    <row r="120">
      <c r="C120" s="4" t="s">
        <v>694</v>
      </c>
      <c r="D120" s="4" t="str">
        <f t="shared" si="1"/>
        <v>{"valorA":"quem","valorB":4.0}</v>
      </c>
      <c r="E120" s="8" t="str">
        <f t="shared" si="2"/>
        <v>quem</v>
      </c>
      <c r="F120" s="8" t="str">
        <f>IFERROR(__xludf.DUMMYFUNCTION("""COMPUTED_VALUE"""),"custado")</f>
        <v>custado</v>
      </c>
      <c r="G120" s="8" t="str">
        <f t="shared" si="3"/>
        <v>4.0</v>
      </c>
      <c r="H120" s="9">
        <f t="shared" si="4"/>
        <v>4</v>
      </c>
      <c r="I120" s="10">
        <f>IFERROR(__xludf.DUMMYFUNCTION("MAX(FILTER($H:$H,$E:$E=F120))"),1.0)</f>
        <v>1</v>
      </c>
    </row>
    <row r="121">
      <c r="C121" s="4" t="s">
        <v>732</v>
      </c>
      <c r="D121" s="4" t="str">
        <f t="shared" si="1"/>
        <v>{"valorA":"eu","valorB":1.0}</v>
      </c>
      <c r="E121" s="8" t="str">
        <f t="shared" si="2"/>
        <v>eu</v>
      </c>
      <c r="F121" s="8" t="str">
        <f>IFERROR(__xludf.DUMMYFUNCTION("""COMPUTED_VALUE"""),"exemplos")</f>
        <v>exemplos</v>
      </c>
      <c r="G121" s="8" t="str">
        <f t="shared" si="3"/>
        <v>1.0</v>
      </c>
      <c r="H121" s="9">
        <f t="shared" si="4"/>
        <v>1</v>
      </c>
      <c r="I121" s="10">
        <f>IFERROR(__xludf.DUMMYFUNCTION("MAX(FILTER($H:$H,$E:$E=F121))"),1.0)</f>
        <v>1</v>
      </c>
    </row>
    <row r="122">
      <c r="C122" s="4" t="s">
        <v>272</v>
      </c>
      <c r="D122" s="4" t="str">
        <f t="shared" si="1"/>
        <v>{"valorA":"produto","valorB":9.0}</v>
      </c>
      <c r="E122" s="8" t="str">
        <f t="shared" si="2"/>
        <v>produto</v>
      </c>
      <c r="F122" s="8" t="str">
        <f>IFERROR(__xludf.DUMMYFUNCTION("""COMPUTED_VALUE"""),"mais")</f>
        <v>mais</v>
      </c>
      <c r="G122" s="8" t="str">
        <f t="shared" si="3"/>
        <v>9.0</v>
      </c>
      <c r="H122" s="9">
        <f t="shared" si="4"/>
        <v>9</v>
      </c>
      <c r="I122" s="10">
        <f>IFERROR(__xludf.DUMMYFUNCTION("MAX(FILTER($H:$H,$E:$E=F122))"),1.0)</f>
        <v>1</v>
      </c>
    </row>
    <row r="123">
      <c r="C123" s="4" t="s">
        <v>628</v>
      </c>
      <c r="D123" s="4" t="str">
        <f t="shared" si="1"/>
        <v>{"valorA":"ótimo","valorB":13.0}</v>
      </c>
      <c r="E123" s="8" t="str">
        <f t="shared" si="2"/>
        <v>ótimo</v>
      </c>
      <c r="F123" s="8" t="str">
        <f>IFERROR(__xludf.DUMMYFUNCTION("""COMPUTED_VALUE"""),"um")</f>
        <v>um</v>
      </c>
      <c r="G123" s="8" t="str">
        <f t="shared" si="3"/>
        <v>13.0</v>
      </c>
      <c r="H123" s="9">
        <f t="shared" si="4"/>
        <v>13</v>
      </c>
      <c r="I123" s="10">
        <f>IFERROR(__xludf.DUMMYFUNCTION("MAX(FILTER($H:$H,$E:$E=F123))"),5.0)</f>
        <v>5</v>
      </c>
    </row>
    <row r="124">
      <c r="C124" s="4" t="s">
        <v>582</v>
      </c>
      <c r="D124" s="4" t="str">
        <f t="shared" si="1"/>
        <v>{"valorA":"não","valorB":1.0}</v>
      </c>
      <c r="E124" s="8" t="str">
        <f t="shared" si="2"/>
        <v>não</v>
      </c>
      <c r="F124" s="8" t="str">
        <f>IFERROR(__xludf.DUMMYFUNCTION("""COMPUTED_VALUE"""),"tão")</f>
        <v>tão</v>
      </c>
      <c r="G124" s="8" t="str">
        <f t="shared" si="3"/>
        <v>1.0</v>
      </c>
      <c r="H124" s="9">
        <f t="shared" si="4"/>
        <v>1</v>
      </c>
      <c r="I124" s="10">
        <f>IFERROR(__xludf.DUMMYFUNCTION("MAX(FILTER($H:$H,$E:$E=F124))"),2.0)</f>
        <v>2</v>
      </c>
    </row>
    <row r="125">
      <c r="C125" s="4" t="s">
        <v>582</v>
      </c>
      <c r="D125" s="4" t="str">
        <f t="shared" si="1"/>
        <v>{"valorA":"não","valorB":1.0}</v>
      </c>
      <c r="E125" s="8" t="str">
        <f t="shared" si="2"/>
        <v>não</v>
      </c>
      <c r="F125" s="8" t="str">
        <f>IFERROR(__xludf.DUMMYFUNCTION("""COMPUTED_VALUE"""),"amoooooo")</f>
        <v>amoooooo</v>
      </c>
      <c r="G125" s="8" t="str">
        <f t="shared" si="3"/>
        <v>1.0</v>
      </c>
      <c r="H125" s="9">
        <f t="shared" si="4"/>
        <v>1</v>
      </c>
      <c r="I125" s="10">
        <f>IFERROR(__xludf.DUMMYFUNCTION("MAX(FILTER($H:$H,$E:$E=F125))"),1.0)</f>
        <v>1</v>
      </c>
    </row>
    <row r="126">
      <c r="C126" s="4" t="s">
        <v>1413</v>
      </c>
      <c r="D126" s="4" t="str">
        <f t="shared" si="1"/>
        <v>{"valorA":"brilho","valorB":1.0}</v>
      </c>
      <c r="E126" s="8" t="str">
        <f t="shared" si="2"/>
        <v>brilho</v>
      </c>
      <c r="F126" s="8" t="str">
        <f>IFERROR(__xludf.DUMMYFUNCTION("""COMPUTED_VALUE"""),"este")</f>
        <v>este</v>
      </c>
      <c r="G126" s="8" t="str">
        <f t="shared" si="3"/>
        <v>1.0</v>
      </c>
      <c r="H126" s="9">
        <f t="shared" si="4"/>
        <v>1</v>
      </c>
      <c r="I126" s="10">
        <f>IFERROR(__xludf.DUMMYFUNCTION("MAX(FILTER($H:$H,$E:$E=F126))"),1.0)</f>
        <v>1</v>
      </c>
    </row>
    <row r="127">
      <c r="C127" s="4" t="s">
        <v>1414</v>
      </c>
      <c r="D127" s="4" t="str">
        <f t="shared" si="1"/>
        <v>{"valorA":"qualidade","valorB":3.0}</v>
      </c>
      <c r="E127" s="8" t="str">
        <f t="shared" si="2"/>
        <v>qualidade</v>
      </c>
      <c r="F127" s="8" t="str">
        <f>IFERROR(__xludf.DUMMYFUNCTION("""COMPUTED_VALUE"""),"conectado")</f>
        <v>conectado</v>
      </c>
      <c r="G127" s="8" t="str">
        <f t="shared" si="3"/>
        <v>3.0</v>
      </c>
      <c r="H127" s="9">
        <f t="shared" si="4"/>
        <v>3</v>
      </c>
      <c r="I127" s="10">
        <f>IFERROR(__xludf.DUMMYFUNCTION("MAX(FILTER($H:$H,$E:$E=F127))"),1.0)</f>
        <v>1</v>
      </c>
    </row>
    <row r="128">
      <c r="C128" s="4" t="s">
        <v>1397</v>
      </c>
      <c r="D128" s="4" t="str">
        <f t="shared" si="1"/>
        <v>{"valorA":"imagem","valorB":1.0}</v>
      </c>
      <c r="E128" s="8" t="str">
        <f t="shared" si="2"/>
        <v>imagem</v>
      </c>
      <c r="F128" s="8" t="str">
        <f>IFERROR(__xludf.DUMMYFUNCTION("""COMPUTED_VALUE"""),"à")</f>
        <v>à</v>
      </c>
      <c r="G128" s="8" t="str">
        <f t="shared" si="3"/>
        <v>1.0</v>
      </c>
      <c r="H128" s="9">
        <f t="shared" si="4"/>
        <v>1</v>
      </c>
      <c r="I128" s="10">
        <f>IFERROR(__xludf.DUMMYFUNCTION("MAX(FILTER($H:$H,$E:$E=F128))"),1.0)</f>
        <v>1</v>
      </c>
    </row>
    <row r="129">
      <c r="C129" s="4" t="s">
        <v>294</v>
      </c>
      <c r="D129" s="4" t="str">
        <f t="shared" si="1"/>
        <v>{"valorA":"de","valorB":6.0}</v>
      </c>
      <c r="E129" s="8" t="str">
        <f t="shared" si="2"/>
        <v>de</v>
      </c>
      <c r="F129" s="8" t="str">
        <f>IFERROR(__xludf.DUMMYFUNCTION("""COMPUTED_VALUE"""),"internet")</f>
        <v>internet</v>
      </c>
      <c r="G129" s="8" t="str">
        <f t="shared" si="3"/>
        <v>6.0</v>
      </c>
      <c r="H129" s="9">
        <f t="shared" si="4"/>
        <v>6</v>
      </c>
      <c r="I129" s="10">
        <f>IFERROR(__xludf.DUMMYFUNCTION("MAX(FILTER($H:$H,$E:$E=F129))"),1.0)</f>
        <v>1</v>
      </c>
    </row>
    <row r="130">
      <c r="C130" s="4" t="s">
        <v>425</v>
      </c>
      <c r="D130" s="4" t="str">
        <f t="shared" si="1"/>
        <v>{"valorA":"e","valorB":9.0}</v>
      </c>
      <c r="E130" s="8" t="str">
        <f t="shared" si="2"/>
        <v>e</v>
      </c>
      <c r="F130" s="8" t="str">
        <f>IFERROR(__xludf.DUMMYFUNCTION("""COMPUTED_VALUE"""),"monitor")</f>
        <v>monitor</v>
      </c>
      <c r="G130" s="8" t="str">
        <f t="shared" si="3"/>
        <v>9.0</v>
      </c>
      <c r="H130" s="9">
        <f t="shared" si="4"/>
        <v>9</v>
      </c>
      <c r="I130" s="10">
        <f>IFERROR(__xludf.DUMMYFUNCTION("MAX(FILTER($H:$H,$E:$E=F130))"),2.0)</f>
        <v>2</v>
      </c>
    </row>
    <row r="131">
      <c r="C131" s="4" t="s">
        <v>373</v>
      </c>
      <c r="D131" s="4" t="str">
        <f t="shared" si="1"/>
        <v>{"valorA":"gosto","valorB":2.0}</v>
      </c>
      <c r="E131" s="8" t="str">
        <f t="shared" si="2"/>
        <v>gosto</v>
      </c>
      <c r="F131" s="8" t="str">
        <f>IFERROR(__xludf.DUMMYFUNCTION("""COMPUTED_VALUE"""),"precio")</f>
        <v>precio</v>
      </c>
      <c r="G131" s="8" t="str">
        <f t="shared" si="3"/>
        <v>2.0</v>
      </c>
      <c r="H131" s="9">
        <f t="shared" si="4"/>
        <v>2</v>
      </c>
      <c r="I131" s="10">
        <f>IFERROR(__xludf.DUMMYFUNCTION("MAX(FILTER($H:$H,$E:$E=F131))"),1.0)</f>
        <v>1</v>
      </c>
    </row>
    <row r="132">
      <c r="C132" s="4" t="s">
        <v>335</v>
      </c>
      <c r="D132" s="4" t="str">
        <f t="shared" si="1"/>
        <v>{"valorA":"do","valorB":1.0}</v>
      </c>
      <c r="E132" s="8" t="str">
        <f t="shared" si="2"/>
        <v>do</v>
      </c>
      <c r="F132" s="8" t="str">
        <f>IFERROR(__xludf.DUMMYFUNCTION("""COMPUTED_VALUE"""),"por")</f>
        <v>por</v>
      </c>
      <c r="G132" s="8" t="str">
        <f t="shared" si="3"/>
        <v>1.0</v>
      </c>
      <c r="H132" s="9">
        <f t="shared" si="4"/>
        <v>1</v>
      </c>
      <c r="I132" s="10">
        <f>IFERROR(__xludf.DUMMYFUNCTION("MAX(FILTER($H:$H,$E:$E=F132))"),1.0)</f>
        <v>1</v>
      </c>
    </row>
    <row r="133">
      <c r="C133" s="4" t="s">
        <v>674</v>
      </c>
      <c r="D133" s="4" t="str">
        <f t="shared" si="1"/>
        <v>{"valorA":"televisor","valorB":2.0}</v>
      </c>
      <c r="E133" s="8" t="str">
        <f t="shared" si="2"/>
        <v>televisor</v>
      </c>
      <c r="F133" s="8" t="str">
        <f>IFERROR(__xludf.DUMMYFUNCTION("""COMPUTED_VALUE"""),"digital")</f>
        <v>digital</v>
      </c>
      <c r="G133" s="8" t="str">
        <f t="shared" si="3"/>
        <v>2.0</v>
      </c>
      <c r="H133" s="9">
        <f t="shared" si="4"/>
        <v>2</v>
      </c>
      <c r="I133" s="10">
        <f>IFERROR(__xludf.DUMMYFUNCTION("MAX(FILTER($H:$H,$E:$E=F133))"),1.0)</f>
        <v>1</v>
      </c>
    </row>
    <row r="134">
      <c r="C134" s="4" t="s">
        <v>273</v>
      </c>
      <c r="D134" s="4" t="str">
        <f t="shared" si="1"/>
        <v>{"valorA":"ótimo","valorB":14.0}</v>
      </c>
      <c r="E134" s="8" t="str">
        <f t="shared" si="2"/>
        <v>ótimo</v>
      </c>
      <c r="F134" s="8" t="str">
        <f>IFERROR(__xludf.DUMMYFUNCTION("""COMPUTED_VALUE"""),"relógio")</f>
        <v>relógio</v>
      </c>
      <c r="G134" s="8" t="str">
        <f t="shared" si="3"/>
        <v>14.0</v>
      </c>
      <c r="H134" s="9">
        <f t="shared" si="4"/>
        <v>14</v>
      </c>
      <c r="I134" s="10">
        <f>IFERROR(__xludf.DUMMYFUNCTION("MAX(FILTER($H:$H,$E:$E=F134))"),1.0)</f>
        <v>1</v>
      </c>
    </row>
    <row r="135">
      <c r="C135" s="4" t="s">
        <v>246</v>
      </c>
      <c r="D135" s="4" t="str">
        <f t="shared" si="1"/>
        <v>{"valorA":"muito","valorB":4.0}</v>
      </c>
      <c r="E135" s="8" t="str">
        <f t="shared" si="2"/>
        <v>muito</v>
      </c>
      <c r="F135" s="8" t="str">
        <f>IFERROR(__xludf.DUMMYFUNCTION("""COMPUTED_VALUE"""),"acessível")</f>
        <v>acessível</v>
      </c>
      <c r="G135" s="8" t="str">
        <f t="shared" si="3"/>
        <v>4.0</v>
      </c>
      <c r="H135" s="9">
        <f t="shared" si="4"/>
        <v>4</v>
      </c>
      <c r="I135" s="10">
        <f>IFERROR(__xludf.DUMMYFUNCTION("MAX(FILTER($H:$H,$E:$E=F135))"),1.0)</f>
        <v>1</v>
      </c>
    </row>
    <row r="136">
      <c r="C136" s="4" t="s">
        <v>323</v>
      </c>
      <c r="D136" s="4" t="str">
        <f t="shared" si="1"/>
        <v>{"valorA":"da","valorB":1.0}</v>
      </c>
      <c r="E136" s="8" t="str">
        <f t="shared" si="2"/>
        <v>da</v>
      </c>
      <c r="F136" s="8" t="str">
        <f>IFERROR(__xludf.DUMMYFUNCTION("""COMPUTED_VALUE"""),"telefone")</f>
        <v>telefone</v>
      </c>
      <c r="G136" s="8" t="str">
        <f t="shared" si="3"/>
        <v>1.0</v>
      </c>
      <c r="H136" s="9">
        <f t="shared" si="4"/>
        <v>1</v>
      </c>
      <c r="I136" s="10">
        <f>IFERROR(__xludf.DUMMYFUNCTION("MAX(FILTER($H:$H,$E:$E=F136))"),1.0)</f>
        <v>1</v>
      </c>
    </row>
    <row r="137">
      <c r="C137" s="4" t="s">
        <v>1425</v>
      </c>
      <c r="D137" s="4" t="str">
        <f t="shared" si="1"/>
        <v>{"valorA":"ele","valorB":2.0}</v>
      </c>
      <c r="E137" s="8" t="str">
        <f t="shared" si="2"/>
        <v>ele</v>
      </c>
      <c r="F137" s="8" t="str">
        <f>IFERROR(__xludf.DUMMYFUNCTION("""COMPUTED_VALUE"""),"operacional")</f>
        <v>operacional</v>
      </c>
      <c r="G137" s="8" t="str">
        <f t="shared" si="3"/>
        <v>2.0</v>
      </c>
      <c r="H137" s="9">
        <f t="shared" si="4"/>
        <v>2</v>
      </c>
      <c r="I137" s="10">
        <f>IFERROR(__xludf.DUMMYFUNCTION("MAX(FILTER($H:$H,$E:$E=F137))"),1.0)</f>
        <v>1</v>
      </c>
    </row>
    <row r="138">
      <c r="C138" s="4" t="s">
        <v>277</v>
      </c>
      <c r="D138" s="4" t="str">
        <f t="shared" si="1"/>
        <v>{"valorA":"recomendo","valorB":2.0}</v>
      </c>
      <c r="E138" s="8" t="str">
        <f t="shared" si="2"/>
        <v>recomendo</v>
      </c>
      <c r="F138" s="8" t="str">
        <f>IFERROR(__xludf.DUMMYFUNCTION("""COMPUTED_VALUE"""),"sistema")</f>
        <v>sistema</v>
      </c>
      <c r="G138" s="8" t="str">
        <f t="shared" si="3"/>
        <v>2.0</v>
      </c>
      <c r="H138" s="9">
        <f t="shared" si="4"/>
        <v>2</v>
      </c>
      <c r="I138" s="10">
        <f>IFERROR(__xludf.DUMMYFUNCTION("MAX(FILTER($H:$H,$E:$E=F138))"),1.0)</f>
        <v>1</v>
      </c>
    </row>
    <row r="139">
      <c r="C139" s="4" t="s">
        <v>404</v>
      </c>
      <c r="D139" s="4" t="str">
        <f t="shared" si="1"/>
        <v>{"valorA":"com","valorB":3.0}</v>
      </c>
      <c r="E139" s="8" t="str">
        <f t="shared" si="2"/>
        <v>com</v>
      </c>
      <c r="F139" s="8" t="str">
        <f>IFERROR(__xludf.DUMMYFUNCTION("""COMPUTED_VALUE"""),"manter")</f>
        <v>manter</v>
      </c>
      <c r="G139" s="8" t="str">
        <f t="shared" si="3"/>
        <v>3.0</v>
      </c>
      <c r="H139" s="9">
        <f t="shared" si="4"/>
        <v>3</v>
      </c>
      <c r="I139" s="10">
        <f>IFERROR(__xludf.DUMMYFUNCTION("MAX(FILTER($H:$H,$E:$E=F139))"),1.0)</f>
        <v>1</v>
      </c>
    </row>
    <row r="140">
      <c r="C140" s="4" t="s">
        <v>1101</v>
      </c>
      <c r="D140" s="4" t="str">
        <f t="shared" si="1"/>
        <v>{"valorA":"tive","valorB":1.0}</v>
      </c>
      <c r="E140" s="8" t="str">
        <f t="shared" si="2"/>
        <v>tive</v>
      </c>
      <c r="F140" s="8"/>
      <c r="G140" s="8" t="str">
        <f t="shared" si="3"/>
        <v>1.0</v>
      </c>
      <c r="H140" s="9">
        <f t="shared" si="4"/>
        <v>1</v>
      </c>
      <c r="I140" s="6" t="str">
        <f>IFERROR(__xludf.DUMMYFUNCTION("MAX(FILTER($H:$H,$E:$E=F140))"),"#N/A")</f>
        <v>#N/A</v>
      </c>
    </row>
    <row r="141">
      <c r="C141" s="4" t="s">
        <v>200</v>
      </c>
      <c r="D141" s="4" t="str">
        <f t="shared" si="1"/>
        <v>{"valorA":"meu","valorB":1.0}</v>
      </c>
      <c r="E141" s="8" t="str">
        <f t="shared" si="2"/>
        <v>meu</v>
      </c>
      <c r="F141" s="8"/>
      <c r="G141" s="8" t="str">
        <f t="shared" si="3"/>
        <v>1.0</v>
      </c>
      <c r="H141" s="9">
        <f t="shared" si="4"/>
        <v>1</v>
      </c>
      <c r="I141" s="6" t="str">
        <f>IFERROR(__xludf.DUMMYFUNCTION("MAX(FILTER($H:$H,$E:$E=F141))"),"#N/A")</f>
        <v>#N/A</v>
      </c>
    </row>
    <row r="142">
      <c r="C142" s="4" t="s">
        <v>792</v>
      </c>
      <c r="D142" s="4" t="str">
        <f t="shared" si="1"/>
        <v>{"valorA":"eu","valorB":2.0}</v>
      </c>
      <c r="E142" s="8" t="str">
        <f t="shared" si="2"/>
        <v>eu</v>
      </c>
      <c r="F142" s="8"/>
      <c r="G142" s="8" t="str">
        <f t="shared" si="3"/>
        <v>2.0</v>
      </c>
      <c r="H142" s="9">
        <f t="shared" si="4"/>
        <v>2</v>
      </c>
      <c r="I142" s="6" t="str">
        <f>IFERROR(__xludf.DUMMYFUNCTION("MAX(FILTER($H:$H,$E:$E=F142))"),"#N/A")</f>
        <v>#N/A</v>
      </c>
    </row>
    <row r="143">
      <c r="C143" s="4" t="s">
        <v>643</v>
      </c>
      <c r="D143" s="4" t="str">
        <f t="shared" si="1"/>
        <v>{"valorA":"produto","valorB":10.0}</v>
      </c>
      <c r="E143" s="8" t="str">
        <f t="shared" si="2"/>
        <v>produto</v>
      </c>
      <c r="F143" s="8"/>
      <c r="G143" s="8" t="str">
        <f t="shared" si="3"/>
        <v>10.0</v>
      </c>
      <c r="H143" s="9">
        <f t="shared" si="4"/>
        <v>10</v>
      </c>
      <c r="I143" s="6" t="str">
        <f>IFERROR(__xludf.DUMMYFUNCTION("MAX(FILTER($H:$H,$E:$E=F143))"),"#N/A")</f>
        <v>#N/A</v>
      </c>
    </row>
    <row r="144">
      <c r="C144" s="4" t="s">
        <v>638</v>
      </c>
      <c r="D144" s="4" t="str">
        <f t="shared" si="1"/>
        <v>{"valorA":"ótimo","valorB":15.0}</v>
      </c>
      <c r="E144" s="8" t="str">
        <f t="shared" si="2"/>
        <v>ótimo</v>
      </c>
      <c r="F144" s="8"/>
      <c r="G144" s="8" t="str">
        <f t="shared" si="3"/>
        <v>15.0</v>
      </c>
      <c r="H144" s="9">
        <f t="shared" si="4"/>
        <v>15</v>
      </c>
      <c r="I144" s="6" t="str">
        <f>IFERROR(__xludf.DUMMYFUNCTION("MAX(FILTER($H:$H,$E:$E=F144))"),"#N/A")</f>
        <v>#N/A</v>
      </c>
    </row>
    <row r="145">
      <c r="C145" s="4" t="s">
        <v>4899</v>
      </c>
      <c r="D145" s="4" t="str">
        <f t="shared" si="1"/>
        <v>{"valorA":"micro","valorB":1.0}</v>
      </c>
      <c r="E145" s="8" t="str">
        <f t="shared" si="2"/>
        <v>micro</v>
      </c>
      <c r="F145" s="8"/>
      <c r="G145" s="8" t="str">
        <f t="shared" si="3"/>
        <v>1.0</v>
      </c>
      <c r="H145" s="9">
        <f t="shared" si="4"/>
        <v>1</v>
      </c>
      <c r="I145" s="6" t="str">
        <f>IFERROR(__xludf.DUMMYFUNCTION("MAX(FILTER($H:$H,$E:$E=F145))"),"#N/A")</f>
        <v>#N/A</v>
      </c>
    </row>
    <row r="146">
      <c r="C146" s="4" t="s">
        <v>264</v>
      </c>
      <c r="D146" s="4" t="str">
        <f t="shared" si="1"/>
        <v>{"valorA":"a","valorB":2.0}</v>
      </c>
      <c r="E146" s="8" t="str">
        <f t="shared" si="2"/>
        <v>a</v>
      </c>
      <c r="F146" s="8"/>
      <c r="G146" s="8" t="str">
        <f t="shared" si="3"/>
        <v>2.0</v>
      </c>
      <c r="H146" s="9">
        <f t="shared" si="4"/>
        <v>2</v>
      </c>
      <c r="I146" s="6" t="str">
        <f>IFERROR(__xludf.DUMMYFUNCTION("MAX(FILTER($H:$H,$E:$E=F146))"),"#N/A")</f>
        <v>#N/A</v>
      </c>
    </row>
    <row r="147">
      <c r="C147" s="4" t="s">
        <v>589</v>
      </c>
      <c r="D147" s="4" t="str">
        <f t="shared" si="1"/>
        <v>{"valorA":"não","valorB":2.0}</v>
      </c>
      <c r="E147" s="8" t="str">
        <f t="shared" si="2"/>
        <v>não</v>
      </c>
      <c r="F147" s="8"/>
      <c r="G147" s="8" t="str">
        <f t="shared" si="3"/>
        <v>2.0</v>
      </c>
      <c r="H147" s="9">
        <f t="shared" si="4"/>
        <v>2</v>
      </c>
      <c r="I147" s="6" t="str">
        <f>IFERROR(__xludf.DUMMYFUNCTION("MAX(FILTER($H:$H,$E:$E=F147))"),"#N/A")</f>
        <v>#N/A</v>
      </c>
    </row>
    <row r="148">
      <c r="C148" s="4" t="s">
        <v>1020</v>
      </c>
      <c r="D148" s="4" t="str">
        <f t="shared" si="1"/>
        <v>{"valorA":"problemas","valorB":1.0}</v>
      </c>
      <c r="E148" s="8" t="str">
        <f t="shared" si="2"/>
        <v>problemas</v>
      </c>
      <c r="F148" s="8"/>
      <c r="G148" s="8" t="str">
        <f t="shared" si="3"/>
        <v>1.0</v>
      </c>
      <c r="H148" s="9">
        <f t="shared" si="4"/>
        <v>1</v>
      </c>
      <c r="I148" s="6" t="str">
        <f>IFERROR(__xludf.DUMMYFUNCTION("MAX(FILTER($H:$H,$E:$E=F148))"),"#N/A")</f>
        <v>#N/A</v>
      </c>
    </row>
    <row r="149">
      <c r="C149" s="4" t="s">
        <v>4900</v>
      </c>
      <c r="D149" s="4" t="str">
        <f t="shared" si="1"/>
        <v>{"valorA":"amo","valorB":1.0}</v>
      </c>
      <c r="E149" s="8" t="str">
        <f t="shared" si="2"/>
        <v>amo</v>
      </c>
      <c r="F149" s="8"/>
      <c r="G149" s="8" t="str">
        <f t="shared" si="3"/>
        <v>1.0</v>
      </c>
      <c r="H149" s="9">
        <f t="shared" si="4"/>
        <v>1</v>
      </c>
      <c r="I149" s="6" t="str">
        <f>IFERROR(__xludf.DUMMYFUNCTION("MAX(FILTER($H:$H,$E:$E=F149))"),"#N/A")</f>
        <v>#N/A</v>
      </c>
    </row>
    <row r="150">
      <c r="C150" s="4" t="s">
        <v>837</v>
      </c>
      <c r="D150" s="4" t="str">
        <f t="shared" si="1"/>
        <v>{"valorA":"preçoqualidade","valorB":1.0}</v>
      </c>
      <c r="E150" s="8" t="str">
        <f t="shared" si="2"/>
        <v>preçoqualidade</v>
      </c>
      <c r="F150" s="8"/>
      <c r="G150" s="8" t="str">
        <f t="shared" si="3"/>
        <v>1.0</v>
      </c>
      <c r="H150" s="9">
        <f t="shared" si="4"/>
        <v>1</v>
      </c>
      <c r="I150" s="6" t="str">
        <f>IFERROR(__xludf.DUMMYFUNCTION("MAX(FILTER($H:$H,$E:$E=F150))"),"#N/A")</f>
        <v>#N/A</v>
      </c>
    </row>
    <row r="151">
      <c r="C151" s="4" t="s">
        <v>276</v>
      </c>
      <c r="D151" s="4" t="str">
        <f t="shared" si="1"/>
        <v>{"valorA":"é","valorB":3.0}</v>
      </c>
      <c r="E151" s="8" t="str">
        <f t="shared" si="2"/>
        <v>é</v>
      </c>
      <c r="F151" s="8"/>
      <c r="G151" s="8" t="str">
        <f t="shared" si="3"/>
        <v>3.0</v>
      </c>
      <c r="H151" s="9">
        <f t="shared" si="4"/>
        <v>3</v>
      </c>
      <c r="I151" s="6" t="str">
        <f>IFERROR(__xludf.DUMMYFUNCTION("MAX(FILTER($H:$H,$E:$E=F151))"),"#N/A")</f>
        <v>#N/A</v>
      </c>
    </row>
    <row r="152">
      <c r="C152" s="4" t="s">
        <v>436</v>
      </c>
      <c r="D152" s="4" t="str">
        <f t="shared" si="1"/>
        <v>{"valorA":"com","valorB":4.0}</v>
      </c>
      <c r="E152" s="8" t="str">
        <f t="shared" si="2"/>
        <v>com</v>
      </c>
      <c r="F152" s="8"/>
      <c r="G152" s="8" t="str">
        <f t="shared" si="3"/>
        <v>4.0</v>
      </c>
      <c r="H152" s="9">
        <f t="shared" si="4"/>
        <v>4</v>
      </c>
      <c r="I152" s="6" t="str">
        <f>IFERROR(__xludf.DUMMYFUNCTION("MAX(FILTER($H:$H,$E:$E=F152))"),"#N/A")</f>
        <v>#N/A</v>
      </c>
    </row>
    <row r="153">
      <c r="C153" s="4" t="s">
        <v>735</v>
      </c>
      <c r="D153" s="4" t="str">
        <f t="shared" si="1"/>
        <v>{"valorA":"fico","valorB":1.0}</v>
      </c>
      <c r="E153" s="8" t="str">
        <f t="shared" si="2"/>
        <v>fico</v>
      </c>
      <c r="F153" s="8"/>
      <c r="G153" s="8" t="str">
        <f t="shared" si="3"/>
        <v>1.0</v>
      </c>
      <c r="H153" s="9">
        <f t="shared" si="4"/>
        <v>1</v>
      </c>
      <c r="I153" s="6" t="str">
        <f>IFERROR(__xludf.DUMMYFUNCTION("MAX(FILTER($H:$H,$E:$E=F153))"),"#N/A")</f>
        <v>#N/A</v>
      </c>
    </row>
    <row r="154">
      <c r="C154" s="4" t="s">
        <v>607</v>
      </c>
      <c r="D154" s="4" t="str">
        <f t="shared" si="1"/>
        <v>{"valorA":"tv","valorB":1.0}</v>
      </c>
      <c r="E154" s="8" t="str">
        <f t="shared" si="2"/>
        <v>tv</v>
      </c>
      <c r="F154" s="8"/>
      <c r="G154" s="8" t="str">
        <f t="shared" si="3"/>
        <v>1.0</v>
      </c>
      <c r="H154" s="9">
        <f t="shared" si="4"/>
        <v>1</v>
      </c>
      <c r="I154" s="6" t="str">
        <f>IFERROR(__xludf.DUMMYFUNCTION("MAX(FILTER($H:$H,$E:$E=F154))"),"#N/A")</f>
        <v>#N/A</v>
      </c>
    </row>
    <row r="155">
      <c r="C155" s="4" t="s">
        <v>351</v>
      </c>
      <c r="D155" s="4" t="str">
        <f t="shared" si="1"/>
        <v>{"valorA":"o","valorB":3.0}</v>
      </c>
      <c r="E155" s="8" t="str">
        <f t="shared" si="2"/>
        <v>o</v>
      </c>
      <c r="F155" s="8"/>
      <c r="G155" s="8" t="str">
        <f t="shared" si="3"/>
        <v>3.0</v>
      </c>
      <c r="H155" s="9">
        <f t="shared" si="4"/>
        <v>3</v>
      </c>
      <c r="I155" s="6" t="str">
        <f>IFERROR(__xludf.DUMMYFUNCTION("MAX(FILTER($H:$H,$E:$E=F155))"),"#N/A")</f>
        <v>#N/A</v>
      </c>
    </row>
    <row r="156">
      <c r="C156" s="4" t="s">
        <v>1405</v>
      </c>
      <c r="D156" s="4" t="str">
        <f t="shared" si="1"/>
        <v>{"valorA":"alto","valorB":1.0}</v>
      </c>
      <c r="E156" s="8" t="str">
        <f t="shared" si="2"/>
        <v>alto</v>
      </c>
      <c r="F156" s="8"/>
      <c r="G156" s="8" t="str">
        <f t="shared" si="3"/>
        <v>1.0</v>
      </c>
      <c r="H156" s="9">
        <f t="shared" si="4"/>
        <v>1</v>
      </c>
      <c r="I156" s="6" t="str">
        <f>IFERROR(__xludf.DUMMYFUNCTION("MAX(FILTER($H:$H,$E:$E=F156))"),"#N/A")</f>
        <v>#N/A</v>
      </c>
    </row>
    <row r="157">
      <c r="C157" s="4" t="s">
        <v>635</v>
      </c>
      <c r="D157" s="4" t="str">
        <f t="shared" si="1"/>
        <v>{"valorA":"led","valorB":1.0}</v>
      </c>
      <c r="E157" s="8" t="str">
        <f t="shared" si="2"/>
        <v>led</v>
      </c>
      <c r="F157" s="8"/>
      <c r="G157" s="8" t="str">
        <f t="shared" si="3"/>
        <v>1.0</v>
      </c>
      <c r="H157" s="9">
        <f t="shared" si="4"/>
        <v>1</v>
      </c>
      <c r="I157" s="6" t="str">
        <f>IFERROR(__xludf.DUMMYFUNCTION("MAX(FILTER($H:$H,$E:$E=F157))"),"#N/A")</f>
        <v>#N/A</v>
      </c>
    </row>
    <row r="158">
      <c r="C158" s="4" t="s">
        <v>651</v>
      </c>
      <c r="D158" s="4" t="str">
        <f t="shared" si="1"/>
        <v>{"valorA":"produto","valorB":11.0}</v>
      </c>
      <c r="E158" s="8" t="str">
        <f t="shared" si="2"/>
        <v>produto</v>
      </c>
      <c r="F158" s="8"/>
      <c r="G158" s="8" t="str">
        <f t="shared" si="3"/>
        <v>11.0</v>
      </c>
      <c r="H158" s="9">
        <f t="shared" si="4"/>
        <v>11</v>
      </c>
      <c r="I158" s="6" t="str">
        <f>IFERROR(__xludf.DUMMYFUNCTION("MAX(FILTER($H:$H,$E:$E=F158))"),"#N/A")</f>
        <v>#N/A</v>
      </c>
    </row>
    <row r="159">
      <c r="C159" s="4" t="s">
        <v>284</v>
      </c>
      <c r="D159" s="4" t="str">
        <f t="shared" si="1"/>
        <v>{"valorA":"ótimo","valorB":17.0}</v>
      </c>
      <c r="E159" s="8" t="str">
        <f t="shared" si="2"/>
        <v>ótimo</v>
      </c>
      <c r="F159" s="8"/>
      <c r="G159" s="8" t="str">
        <f t="shared" si="3"/>
        <v>17.0</v>
      </c>
      <c r="H159" s="9">
        <f t="shared" si="4"/>
        <v>17</v>
      </c>
      <c r="I159" s="6" t="str">
        <f>IFERROR(__xludf.DUMMYFUNCTION("MAX(FILTER($H:$H,$E:$E=F159))"),"#N/A")</f>
        <v>#N/A</v>
      </c>
    </row>
    <row r="160">
      <c r="C160" s="4" t="s">
        <v>578</v>
      </c>
      <c r="D160" s="4" t="str">
        <f t="shared" si="1"/>
        <v>{"valorA":"mas","valorB":2.0}</v>
      </c>
      <c r="E160" s="8" t="str">
        <f t="shared" si="2"/>
        <v>mas</v>
      </c>
      <c r="F160" s="8"/>
      <c r="G160" s="8" t="str">
        <f t="shared" si="3"/>
        <v>2.0</v>
      </c>
      <c r="H160" s="9">
        <f t="shared" si="4"/>
        <v>2</v>
      </c>
      <c r="I160" s="6" t="str">
        <f>IFERROR(__xludf.DUMMYFUNCTION("MAX(FILTER($H:$H,$E:$E=F160))"),"#N/A")</f>
        <v>#N/A</v>
      </c>
    </row>
    <row r="161">
      <c r="C161" s="4" t="s">
        <v>262</v>
      </c>
      <c r="D161" s="4" t="str">
        <f t="shared" si="1"/>
        <v>{"valorA":"muito","valorB":5.0}</v>
      </c>
      <c r="E161" s="8" t="str">
        <f t="shared" si="2"/>
        <v>muito</v>
      </c>
      <c r="F161" s="8"/>
      <c r="G161" s="8" t="str">
        <f t="shared" si="3"/>
        <v>5.0</v>
      </c>
      <c r="H161" s="9">
        <f t="shared" si="4"/>
        <v>5</v>
      </c>
      <c r="I161" s="6" t="str">
        <f>IFERROR(__xludf.DUMMYFUNCTION("MAX(FILTER($H:$H,$E:$E=F161))"),"#N/A")</f>
        <v>#N/A</v>
      </c>
    </row>
    <row r="162">
      <c r="C162" s="4" t="s">
        <v>215</v>
      </c>
      <c r="D162" s="4" t="str">
        <f t="shared" si="1"/>
        <v>{"valorA":"satisfeito","valorB":1.0}</v>
      </c>
      <c r="E162" s="8" t="str">
        <f t="shared" si="2"/>
        <v>satisfeito</v>
      </c>
      <c r="F162" s="8"/>
      <c r="G162" s="8" t="str">
        <f t="shared" si="3"/>
        <v>1.0</v>
      </c>
      <c r="H162" s="9">
        <f t="shared" si="4"/>
        <v>1</v>
      </c>
      <c r="I162" s="6" t="str">
        <f>IFERROR(__xludf.DUMMYFUNCTION("MAX(FILTER($H:$H,$E:$E=F162))"),"#N/A")</f>
        <v>#N/A</v>
      </c>
    </row>
    <row r="163">
      <c r="C163" s="4" t="s">
        <v>263</v>
      </c>
      <c r="D163" s="4" t="str">
        <f t="shared" si="1"/>
        <v>{"valorA":"compra","valorB":1.0}</v>
      </c>
      <c r="E163" s="8" t="str">
        <f t="shared" si="2"/>
        <v>compra</v>
      </c>
      <c r="F163" s="8"/>
      <c r="G163" s="8" t="str">
        <f t="shared" si="3"/>
        <v>1.0</v>
      </c>
      <c r="H163" s="9">
        <f t="shared" si="4"/>
        <v>1</v>
      </c>
      <c r="I163" s="6" t="str">
        <f>IFERROR(__xludf.DUMMYFUNCTION("MAX(FILTER($H:$H,$E:$E=F163))"),"#N/A")</f>
        <v>#N/A</v>
      </c>
    </row>
    <row r="164">
      <c r="C164" s="4" t="s">
        <v>320</v>
      </c>
      <c r="D164" s="4" t="str">
        <f t="shared" si="1"/>
        <v>{"valorA":"a","valorB":3.0}</v>
      </c>
      <c r="E164" s="8" t="str">
        <f t="shared" si="2"/>
        <v>a</v>
      </c>
      <c r="F164" s="8"/>
      <c r="G164" s="8" t="str">
        <f t="shared" si="3"/>
        <v>3.0</v>
      </c>
      <c r="H164" s="9">
        <f t="shared" si="4"/>
        <v>3</v>
      </c>
      <c r="I164" s="6" t="str">
        <f>IFERROR(__xludf.DUMMYFUNCTION("MAX(FILTER($H:$H,$E:$E=F164))"),"#N/A")</f>
        <v>#N/A</v>
      </c>
    </row>
    <row r="165">
      <c r="C165" s="4" t="s">
        <v>195</v>
      </c>
      <c r="D165" s="4" t="str">
        <f t="shared" si="1"/>
        <v>{"valorA":"desse","valorB":1.0}</v>
      </c>
      <c r="E165" s="8" t="str">
        <f t="shared" si="2"/>
        <v>desse</v>
      </c>
      <c r="F165" s="8"/>
      <c r="G165" s="8" t="str">
        <f t="shared" si="3"/>
        <v>1.0</v>
      </c>
      <c r="H165" s="9">
        <f t="shared" si="4"/>
        <v>1</v>
      </c>
      <c r="I165" s="6" t="str">
        <f>IFERROR(__xludf.DUMMYFUNCTION("MAX(FILTER($H:$H,$E:$E=F165))"),"#N/A")</f>
        <v>#N/A</v>
      </c>
    </row>
    <row r="166">
      <c r="C166" s="4" t="s">
        <v>599</v>
      </c>
      <c r="D166" s="4" t="str">
        <f t="shared" si="1"/>
        <v>{"valorA":"preço","valorB":4.0}</v>
      </c>
      <c r="E166" s="8" t="str">
        <f t="shared" si="2"/>
        <v>preço</v>
      </c>
      <c r="F166" s="8"/>
      <c r="G166" s="8" t="str">
        <f t="shared" si="3"/>
        <v>4.0</v>
      </c>
      <c r="H166" s="9">
        <f t="shared" si="4"/>
        <v>4</v>
      </c>
      <c r="I166" s="6" t="str">
        <f>IFERROR(__xludf.DUMMYFUNCTION("MAX(FILTER($H:$H,$E:$E=F166))"),"#N/A")</f>
        <v>#N/A</v>
      </c>
    </row>
    <row r="167">
      <c r="C167" s="4" t="s">
        <v>440</v>
      </c>
      <c r="D167" s="4" t="str">
        <f t="shared" si="1"/>
        <v>{"valorA":"e","valorB":10.0}</v>
      </c>
      <c r="E167" s="8" t="str">
        <f t="shared" si="2"/>
        <v>e</v>
      </c>
      <c r="F167" s="8"/>
      <c r="G167" s="8" t="str">
        <f t="shared" si="3"/>
        <v>10.0</v>
      </c>
      <c r="H167" s="9">
        <f t="shared" si="4"/>
        <v>10</v>
      </c>
      <c r="I167" s="6" t="str">
        <f>IFERROR(__xludf.DUMMYFUNCTION("MAX(FILTER($H:$H,$E:$E=F167))"),"#N/A")</f>
        <v>#N/A</v>
      </c>
    </row>
    <row r="168">
      <c r="C168" s="4" t="s">
        <v>350</v>
      </c>
      <c r="D168" s="4" t="str">
        <f t="shared" si="1"/>
        <v>{"valorA":"de","valorB":7.0}</v>
      </c>
      <c r="E168" s="8" t="str">
        <f t="shared" si="2"/>
        <v>de</v>
      </c>
      <c r="F168" s="8"/>
      <c r="G168" s="8" t="str">
        <f t="shared" si="3"/>
        <v>7.0</v>
      </c>
      <c r="H168" s="9">
        <f t="shared" si="4"/>
        <v>7</v>
      </c>
      <c r="I168" s="6" t="str">
        <f>IFERROR(__xludf.DUMMYFUNCTION("MAX(FILTER($H:$H,$E:$E=F168))"),"#N/A")</f>
        <v>#N/A</v>
      </c>
    </row>
    <row r="169">
      <c r="C169" s="4" t="s">
        <v>658</v>
      </c>
      <c r="D169" s="4" t="str">
        <f t="shared" si="1"/>
        <v>{"valorA":"ótimo","valorB":18.0}</v>
      </c>
      <c r="E169" s="8" t="str">
        <f t="shared" si="2"/>
        <v>ótimo</v>
      </c>
      <c r="F169" s="8"/>
      <c r="G169" s="8" t="str">
        <f t="shared" si="3"/>
        <v>18.0</v>
      </c>
      <c r="H169" s="9">
        <f t="shared" si="4"/>
        <v>18</v>
      </c>
      <c r="I169" s="6" t="str">
        <f>IFERROR(__xludf.DUMMYFUNCTION("MAX(FILTER($H:$H,$E:$E=F169))"),"#N/A")</f>
        <v>#N/A</v>
      </c>
    </row>
    <row r="170">
      <c r="C170" s="4" t="s">
        <v>445</v>
      </c>
      <c r="D170" s="4" t="str">
        <f t="shared" si="1"/>
        <v>{"valorA":"fácil","valorB":4.0}</v>
      </c>
      <c r="E170" s="8" t="str">
        <f t="shared" si="2"/>
        <v>fácil</v>
      </c>
      <c r="F170" s="8"/>
      <c r="G170" s="8" t="str">
        <f t="shared" si="3"/>
        <v>4.0</v>
      </c>
      <c r="H170" s="9">
        <f t="shared" si="4"/>
        <v>4</v>
      </c>
      <c r="I170" s="6" t="str">
        <f>IFERROR(__xludf.DUMMYFUNCTION("MAX(FILTER($H:$H,$E:$E=F170))"),"#N/A")</f>
        <v>#N/A</v>
      </c>
    </row>
    <row r="171">
      <c r="C171" s="4" t="s">
        <v>4901</v>
      </c>
      <c r="D171" s="4" t="str">
        <f t="shared" si="1"/>
        <v>{"valorA":"transportar","valorB":1.0}</v>
      </c>
      <c r="E171" s="8" t="str">
        <f t="shared" si="2"/>
        <v>transportar</v>
      </c>
      <c r="F171" s="8"/>
      <c r="G171" s="8" t="str">
        <f t="shared" si="3"/>
        <v>1.0</v>
      </c>
      <c r="H171" s="9">
        <f t="shared" si="4"/>
        <v>1</v>
      </c>
      <c r="I171" s="6" t="str">
        <f>IFERROR(__xludf.DUMMYFUNCTION("MAX(FILTER($H:$H,$E:$E=F171))"),"#N/A")</f>
        <v>#N/A</v>
      </c>
    </row>
    <row r="172">
      <c r="C172" s="4" t="s">
        <v>4902</v>
      </c>
      <c r="D172" s="4" t="str">
        <f t="shared" si="1"/>
        <v>{"valorA":"cadeirão","valorB":1.0}</v>
      </c>
      <c r="E172" s="8" t="str">
        <f t="shared" si="2"/>
        <v>cadeirão</v>
      </c>
      <c r="F172" s="8"/>
      <c r="G172" s="8" t="str">
        <f t="shared" si="3"/>
        <v>1.0</v>
      </c>
      <c r="H172" s="9">
        <f t="shared" si="4"/>
        <v>1</v>
      </c>
      <c r="I172" s="6" t="str">
        <f>IFERROR(__xludf.DUMMYFUNCTION("MAX(FILTER($H:$H,$E:$E=F172))"),"#N/A")</f>
        <v>#N/A</v>
      </c>
    </row>
    <row r="173">
      <c r="C173" s="4" t="s">
        <v>398</v>
      </c>
      <c r="D173" s="4" t="str">
        <f t="shared" si="1"/>
        <v>{"valorA":"confortável","valorB":1.0}</v>
      </c>
      <c r="E173" s="8" t="str">
        <f t="shared" si="2"/>
        <v>confortável</v>
      </c>
      <c r="F173" s="8"/>
      <c r="G173" s="8" t="str">
        <f t="shared" si="3"/>
        <v>1.0</v>
      </c>
      <c r="H173" s="9">
        <f t="shared" si="4"/>
        <v>1</v>
      </c>
      <c r="I173" s="6" t="str">
        <f>IFERROR(__xludf.DUMMYFUNCTION("MAX(FILTER($H:$H,$E:$E=F173))"),"#N/A")</f>
        <v>#N/A</v>
      </c>
    </row>
    <row r="174">
      <c r="C174" s="4" t="s">
        <v>600</v>
      </c>
      <c r="D174" s="4" t="str">
        <f t="shared" si="1"/>
        <v>{"valorA":"valeu","valorB":1.0}</v>
      </c>
      <c r="E174" s="8" t="str">
        <f t="shared" si="2"/>
        <v>valeu</v>
      </c>
      <c r="F174" s="8"/>
      <c r="G174" s="8" t="str">
        <f t="shared" si="3"/>
        <v>1.0</v>
      </c>
      <c r="H174" s="9">
        <f t="shared" si="4"/>
        <v>1</v>
      </c>
      <c r="I174" s="6" t="str">
        <f>IFERROR(__xludf.DUMMYFUNCTION("MAX(FILTER($H:$H,$E:$E=F174))"),"#N/A")</f>
        <v>#N/A</v>
      </c>
    </row>
    <row r="175">
      <c r="C175" s="4" t="s">
        <v>603</v>
      </c>
      <c r="D175" s="4" t="str">
        <f t="shared" si="1"/>
        <v>{"valorA":"espera","valorB":1.0}</v>
      </c>
      <c r="E175" s="8" t="str">
        <f t="shared" si="2"/>
        <v>espera</v>
      </c>
      <c r="F175" s="8"/>
      <c r="G175" s="8" t="str">
        <f t="shared" si="3"/>
        <v>1.0</v>
      </c>
      <c r="H175" s="9">
        <f t="shared" si="4"/>
        <v>1</v>
      </c>
      <c r="I175" s="6" t="str">
        <f>IFERROR(__xludf.DUMMYFUNCTION("MAX(FILTER($H:$H,$E:$E=F175))"),"#N/A")</f>
        <v>#N/A</v>
      </c>
    </row>
    <row r="176">
      <c r="C176" s="4" t="s">
        <v>282</v>
      </c>
      <c r="D176" s="4" t="str">
        <f t="shared" si="1"/>
        <v>{"valorA":"produto","valorB":12.0}</v>
      </c>
      <c r="E176" s="8" t="str">
        <f t="shared" si="2"/>
        <v>produto</v>
      </c>
      <c r="F176" s="8"/>
      <c r="G176" s="8" t="str">
        <f t="shared" si="3"/>
        <v>12.0</v>
      </c>
      <c r="H176" s="9">
        <f t="shared" si="4"/>
        <v>12</v>
      </c>
      <c r="I176" s="6" t="str">
        <f>IFERROR(__xludf.DUMMYFUNCTION("MAX(FILTER($H:$H,$E:$E=F176))"),"#N/A")</f>
        <v>#N/A</v>
      </c>
    </row>
    <row r="177">
      <c r="C177" s="4" t="s">
        <v>298</v>
      </c>
      <c r="D177" s="4" t="str">
        <f t="shared" si="1"/>
        <v>{"valorA":"ótimo","valorB":19.0}</v>
      </c>
      <c r="E177" s="8" t="str">
        <f t="shared" si="2"/>
        <v>ótimo</v>
      </c>
      <c r="F177" s="8"/>
      <c r="G177" s="8" t="str">
        <f t="shared" si="3"/>
        <v>19.0</v>
      </c>
      <c r="H177" s="9">
        <f t="shared" si="4"/>
        <v>19</v>
      </c>
      <c r="I177" s="6" t="str">
        <f>IFERROR(__xludf.DUMMYFUNCTION("MAX(FILTER($H:$H,$E:$E=F177))"),"#N/A")</f>
        <v>#N/A</v>
      </c>
    </row>
    <row r="178">
      <c r="C178" s="4" t="s">
        <v>803</v>
      </c>
      <c r="D178" s="4" t="str">
        <f t="shared" si="1"/>
        <v>{"valorA":"perfeitamente","valorB":3.0}</v>
      </c>
      <c r="E178" s="8" t="str">
        <f t="shared" si="2"/>
        <v>perfeitamente</v>
      </c>
      <c r="F178" s="8"/>
      <c r="G178" s="8" t="str">
        <f t="shared" si="3"/>
        <v>3.0</v>
      </c>
      <c r="H178" s="9">
        <f t="shared" si="4"/>
        <v>3</v>
      </c>
      <c r="I178" s="6" t="str">
        <f>IFERROR(__xludf.DUMMYFUNCTION("MAX(FILTER($H:$H,$E:$E=F178))"),"#N/A")</f>
        <v>#N/A</v>
      </c>
    </row>
    <row r="179">
      <c r="C179" s="4" t="s">
        <v>342</v>
      </c>
      <c r="D179" s="4" t="str">
        <f t="shared" si="1"/>
        <v>{"valorA":"a","valorB":4.0}</v>
      </c>
      <c r="E179" s="8" t="str">
        <f t="shared" si="2"/>
        <v>a</v>
      </c>
      <c r="F179" s="8"/>
      <c r="G179" s="8" t="str">
        <f t="shared" si="3"/>
        <v>4.0</v>
      </c>
      <c r="H179" s="9">
        <f t="shared" si="4"/>
        <v>4</v>
      </c>
      <c r="I179" s="6" t="str">
        <f>IFERROR(__xludf.DUMMYFUNCTION("MAX(FILTER($H:$H,$E:$E=F179))"),"#N/A")</f>
        <v>#N/A</v>
      </c>
    </row>
    <row r="180">
      <c r="C180" s="4" t="s">
        <v>288</v>
      </c>
      <c r="D180" s="4" t="str">
        <f t="shared" si="1"/>
        <v>{"valorA":"funciona","valorB":4.0}</v>
      </c>
      <c r="E180" s="8" t="str">
        <f t="shared" si="2"/>
        <v>funciona</v>
      </c>
      <c r="F180" s="8"/>
      <c r="G180" s="8" t="str">
        <f t="shared" si="3"/>
        <v>4.0</v>
      </c>
      <c r="H180" s="9">
        <f t="shared" si="4"/>
        <v>4</v>
      </c>
      <c r="I180" s="6" t="str">
        <f>IFERROR(__xludf.DUMMYFUNCTION("MAX(FILTER($H:$H,$E:$E=F180))"),"#N/A")</f>
        <v>#N/A</v>
      </c>
    </row>
    <row r="181">
      <c r="C181" s="4" t="s">
        <v>625</v>
      </c>
      <c r="D181" s="4" t="str">
        <f t="shared" si="1"/>
        <v>{"valorA":"valeu","valorB":2.0}</v>
      </c>
      <c r="E181" s="8" t="str">
        <f t="shared" si="2"/>
        <v>valeu</v>
      </c>
      <c r="F181" s="8"/>
      <c r="G181" s="8" t="str">
        <f t="shared" si="3"/>
        <v>2.0</v>
      </c>
      <c r="H181" s="9">
        <f t="shared" si="4"/>
        <v>2</v>
      </c>
      <c r="I181" s="6" t="str">
        <f>IFERROR(__xludf.DUMMYFUNCTION("MAX(FILTER($H:$H,$E:$E=F181))"),"#N/A")</f>
        <v>#N/A</v>
      </c>
    </row>
    <row r="182">
      <c r="C182" s="4" t="s">
        <v>593</v>
      </c>
      <c r="D182" s="4" t="str">
        <f t="shared" si="1"/>
        <v>{"valorA":"que","valorB":3.0}</v>
      </c>
      <c r="E182" s="8" t="str">
        <f t="shared" si="2"/>
        <v>que</v>
      </c>
      <c r="F182" s="8"/>
      <c r="G182" s="8" t="str">
        <f t="shared" si="3"/>
        <v>3.0</v>
      </c>
      <c r="H182" s="9">
        <f t="shared" si="4"/>
        <v>3</v>
      </c>
      <c r="I182" s="6" t="str">
        <f>IFERROR(__xludf.DUMMYFUNCTION("MAX(FILTER($H:$H,$E:$E=F182))"),"#N/A")</f>
        <v>#N/A</v>
      </c>
    </row>
    <row r="183">
      <c r="C183" s="4" t="s">
        <v>661</v>
      </c>
      <c r="D183" s="4" t="str">
        <f t="shared" si="1"/>
        <v>{"valorA":"produto","valorB":13.0}</v>
      </c>
      <c r="E183" s="8" t="str">
        <f t="shared" si="2"/>
        <v>produto</v>
      </c>
      <c r="F183" s="8"/>
      <c r="G183" s="8" t="str">
        <f t="shared" si="3"/>
        <v>13.0</v>
      </c>
      <c r="H183" s="9">
        <f t="shared" si="4"/>
        <v>13</v>
      </c>
      <c r="I183" s="6" t="str">
        <f>IFERROR(__xludf.DUMMYFUNCTION("MAX(FILTER($H:$H,$E:$E=F183))"),"#N/A")</f>
        <v>#N/A</v>
      </c>
    </row>
    <row r="184">
      <c r="C184" s="4" t="s">
        <v>671</v>
      </c>
      <c r="D184" s="4" t="str">
        <f t="shared" si="1"/>
        <v>{"valorA":"ótimo","valorB":20.0}</v>
      </c>
      <c r="E184" s="8" t="str">
        <f t="shared" si="2"/>
        <v>ótimo</v>
      </c>
      <c r="F184" s="8"/>
      <c r="G184" s="8" t="str">
        <f t="shared" si="3"/>
        <v>20.0</v>
      </c>
      <c r="H184" s="9">
        <f t="shared" si="4"/>
        <v>20</v>
      </c>
      <c r="I184" s="6" t="str">
        <f>IFERROR(__xludf.DUMMYFUNCTION("MAX(FILTER($H:$H,$E:$E=F184))"),"#N/A")</f>
        <v>#N/A</v>
      </c>
    </row>
    <row r="185">
      <c r="C185" s="4" t="s">
        <v>577</v>
      </c>
      <c r="D185" s="4" t="str">
        <f t="shared" si="1"/>
        <v>{"valorA":"paguei","valorB":1.0}</v>
      </c>
      <c r="E185" s="8" t="str">
        <f t="shared" si="2"/>
        <v>paguei</v>
      </c>
      <c r="F185" s="8"/>
      <c r="G185" s="8" t="str">
        <f t="shared" si="3"/>
        <v>1.0</v>
      </c>
      <c r="H185" s="9">
        <f t="shared" si="4"/>
        <v>1</v>
      </c>
      <c r="I185" s="6" t="str">
        <f>IFERROR(__xludf.DUMMYFUNCTION("MAX(FILTER($H:$H,$E:$E=F185))"),"#N/A")</f>
        <v>#N/A</v>
      </c>
    </row>
    <row r="186">
      <c r="C186" s="4" t="s">
        <v>588</v>
      </c>
      <c r="D186" s="4" t="str">
        <f t="shared" si="1"/>
        <v>{"valorA":"mas","valorB":3.0}</v>
      </c>
      <c r="E186" s="8" t="str">
        <f t="shared" si="2"/>
        <v>mas</v>
      </c>
      <c r="F186" s="8"/>
      <c r="G186" s="8" t="str">
        <f t="shared" si="3"/>
        <v>3.0</v>
      </c>
      <c r="H186" s="9">
        <f t="shared" si="4"/>
        <v>3</v>
      </c>
      <c r="I186" s="6" t="str">
        <f>IFERROR(__xludf.DUMMYFUNCTION("MAX(FILTER($H:$H,$E:$E=F186))"),"#N/A")</f>
        <v>#N/A</v>
      </c>
    </row>
    <row r="187">
      <c r="C187" s="4" t="s">
        <v>452</v>
      </c>
      <c r="D187" s="4" t="str">
        <f t="shared" si="1"/>
        <v>{"valorA":"a","valorB":5.0}</v>
      </c>
      <c r="E187" s="8" t="str">
        <f t="shared" si="2"/>
        <v>a</v>
      </c>
      <c r="F187" s="8"/>
      <c r="G187" s="8" t="str">
        <f t="shared" si="3"/>
        <v>5.0</v>
      </c>
      <c r="H187" s="9">
        <f t="shared" si="4"/>
        <v>5</v>
      </c>
      <c r="I187" s="6" t="str">
        <f>IFERROR(__xludf.DUMMYFUNCTION("MAX(FILTER($H:$H,$E:$E=F187))"),"#N/A")</f>
        <v>#N/A</v>
      </c>
    </row>
    <row r="188">
      <c r="C188" s="4" t="s">
        <v>597</v>
      </c>
      <c r="D188" s="4" t="str">
        <f t="shared" si="1"/>
        <v>{"valorA":"não","valorB":3.0}</v>
      </c>
      <c r="E188" s="8" t="str">
        <f t="shared" si="2"/>
        <v>não</v>
      </c>
      <c r="F188" s="8"/>
      <c r="G188" s="8" t="str">
        <f t="shared" si="3"/>
        <v>3.0</v>
      </c>
      <c r="H188" s="9">
        <f t="shared" si="4"/>
        <v>3</v>
      </c>
      <c r="I188" s="6" t="str">
        <f>IFERROR(__xludf.DUMMYFUNCTION("MAX(FILTER($H:$H,$E:$E=F188))"),"#N/A")</f>
        <v>#N/A</v>
      </c>
    </row>
    <row r="189">
      <c r="C189" s="4" t="s">
        <v>704</v>
      </c>
      <c r="D189" s="4" t="str">
        <f t="shared" si="1"/>
        <v>{"valorA":"quantia","valorB":1.0}</v>
      </c>
      <c r="E189" s="8" t="str">
        <f t="shared" si="2"/>
        <v>quantia</v>
      </c>
      <c r="F189" s="8"/>
      <c r="G189" s="8" t="str">
        <f t="shared" si="3"/>
        <v>1.0</v>
      </c>
      <c r="H189" s="9">
        <f t="shared" si="4"/>
        <v>1</v>
      </c>
      <c r="I189" s="6" t="str">
        <f>IFERROR(__xludf.DUMMYFUNCTION("MAX(FILTER($H:$H,$E:$E=F189))"),"#N/A")</f>
        <v>#N/A</v>
      </c>
    </row>
    <row r="190">
      <c r="C190" s="4" t="s">
        <v>469</v>
      </c>
      <c r="D190" s="4" t="str">
        <f t="shared" si="1"/>
        <v>{"valorA":"para","valorB":7.0}</v>
      </c>
      <c r="E190" s="8" t="str">
        <f t="shared" si="2"/>
        <v>para</v>
      </c>
      <c r="F190" s="8"/>
      <c r="G190" s="8" t="str">
        <f t="shared" si="3"/>
        <v>7.0</v>
      </c>
      <c r="H190" s="9">
        <f t="shared" si="4"/>
        <v>7</v>
      </c>
      <c r="I190" s="6" t="str">
        <f>IFERROR(__xludf.DUMMYFUNCTION("MAX(FILTER($H:$H,$E:$E=F190))"),"#N/A")</f>
        <v>#N/A</v>
      </c>
    </row>
    <row r="191">
      <c r="C191" s="4" t="s">
        <v>268</v>
      </c>
      <c r="D191" s="4" t="str">
        <f t="shared" si="1"/>
        <v>{"valorA":"bem","valorB":3.0}</v>
      </c>
      <c r="E191" s="8" t="str">
        <f t="shared" si="2"/>
        <v>bem</v>
      </c>
      <c r="F191" s="8"/>
      <c r="G191" s="8" t="str">
        <f t="shared" si="3"/>
        <v>3.0</v>
      </c>
      <c r="H191" s="9">
        <f t="shared" si="4"/>
        <v>3</v>
      </c>
      <c r="I191" s="6" t="str">
        <f>IFERROR(__xludf.DUMMYFUNCTION("MAX(FILTER($H:$H,$E:$E=F191))"),"#N/A")</f>
        <v>#N/A</v>
      </c>
    </row>
    <row r="192">
      <c r="C192" s="4" t="s">
        <v>372</v>
      </c>
      <c r="D192" s="4" t="str">
        <f t="shared" si="1"/>
        <v>{"valorA":"o","valorB":4.0}</v>
      </c>
      <c r="E192" s="8" t="str">
        <f t="shared" si="2"/>
        <v>o</v>
      </c>
      <c r="F192" s="8"/>
      <c r="G192" s="8" t="str">
        <f t="shared" si="3"/>
        <v>4.0</v>
      </c>
      <c r="H192" s="9">
        <f t="shared" si="4"/>
        <v>4</v>
      </c>
      <c r="I192" s="6" t="str">
        <f>IFERROR(__xludf.DUMMYFUNCTION("MAX(FILTER($H:$H,$E:$E=F192))"),"#N/A")</f>
        <v>#N/A</v>
      </c>
    </row>
    <row r="193">
      <c r="C193" s="4" t="s">
        <v>313</v>
      </c>
      <c r="D193" s="4" t="str">
        <f t="shared" si="1"/>
        <v>{"valorA":"produto","valorB":14.0}</v>
      </c>
      <c r="E193" s="8" t="str">
        <f t="shared" si="2"/>
        <v>produto</v>
      </c>
      <c r="F193" s="8"/>
      <c r="G193" s="8" t="str">
        <f t="shared" si="3"/>
        <v>14.0</v>
      </c>
      <c r="H193" s="9">
        <f t="shared" si="4"/>
        <v>14</v>
      </c>
      <c r="I193" s="6" t="str">
        <f>IFERROR(__xludf.DUMMYFUNCTION("MAX(FILTER($H:$H,$E:$E=F193))"),"#N/A")</f>
        <v>#N/A</v>
      </c>
    </row>
    <row r="194">
      <c r="C194" s="4" t="s">
        <v>316</v>
      </c>
      <c r="D194" s="4" t="str">
        <f t="shared" si="1"/>
        <v>{"valorA":"gostei","valorB":3.0}</v>
      </c>
      <c r="E194" s="8" t="str">
        <f t="shared" si="2"/>
        <v>gostei</v>
      </c>
      <c r="F194" s="8"/>
      <c r="G194" s="8" t="str">
        <f t="shared" si="3"/>
        <v>3.0</v>
      </c>
      <c r="H194" s="9">
        <f t="shared" si="4"/>
        <v>3</v>
      </c>
      <c r="I194" s="6" t="str">
        <f>IFERROR(__xludf.DUMMYFUNCTION("MAX(FILTER($H:$H,$E:$E=F194))"),"#N/A")</f>
        <v>#N/A</v>
      </c>
    </row>
    <row r="195">
      <c r="C195" s="4" t="s">
        <v>677</v>
      </c>
      <c r="D195" s="4" t="str">
        <f t="shared" si="1"/>
        <v>{"valorA":"ótimo","valorB":21.0}</v>
      </c>
      <c r="E195" s="8" t="str">
        <f t="shared" si="2"/>
        <v>ótimo</v>
      </c>
      <c r="F195" s="8"/>
      <c r="G195" s="8" t="str">
        <f t="shared" si="3"/>
        <v>21.0</v>
      </c>
      <c r="H195" s="9">
        <f t="shared" si="4"/>
        <v>21</v>
      </c>
      <c r="I195" s="6" t="str">
        <f>IFERROR(__xludf.DUMMYFUNCTION("MAX(FILTER($H:$H,$E:$E=F195))"),"#N/A")</f>
        <v>#N/A</v>
      </c>
    </row>
    <row r="196">
      <c r="C196" s="4" t="s">
        <v>662</v>
      </c>
      <c r="D196" s="4" t="str">
        <f t="shared" si="1"/>
        <v>{"valorA":"muito","valorB":6.0}</v>
      </c>
      <c r="E196" s="8" t="str">
        <f t="shared" si="2"/>
        <v>muito</v>
      </c>
      <c r="F196" s="8"/>
      <c r="G196" s="8" t="str">
        <f t="shared" si="3"/>
        <v>6.0</v>
      </c>
      <c r="H196" s="9">
        <f t="shared" si="4"/>
        <v>6</v>
      </c>
      <c r="I196" s="6" t="str">
        <f>IFERROR(__xludf.DUMMYFUNCTION("MAX(FILTER($H:$H,$E:$E=F196))"),"#N/A")</f>
        <v>#N/A</v>
      </c>
    </row>
    <row r="197">
      <c r="C197" s="4" t="s">
        <v>303</v>
      </c>
      <c r="D197" s="4" t="str">
        <f t="shared" si="1"/>
        <v>{"valorA":"funciona","valorB":5.0}</v>
      </c>
      <c r="E197" s="8" t="str">
        <f t="shared" si="2"/>
        <v>funciona</v>
      </c>
      <c r="F197" s="8"/>
      <c r="G197" s="8" t="str">
        <f t="shared" si="3"/>
        <v>5.0</v>
      </c>
      <c r="H197" s="9">
        <f t="shared" si="4"/>
        <v>5</v>
      </c>
      <c r="I197" s="6" t="str">
        <f>IFERROR(__xludf.DUMMYFUNCTION("MAX(FILTER($H:$H,$E:$E=F197))"),"#N/A")</f>
        <v>#N/A</v>
      </c>
    </row>
    <row r="198">
      <c r="C198" s="4" t="s">
        <v>620</v>
      </c>
      <c r="D198" s="4" t="str">
        <f t="shared" si="1"/>
        <v>{"valorA":"preço","valorB":5.0}</v>
      </c>
      <c r="E198" s="8" t="str">
        <f t="shared" si="2"/>
        <v>preço</v>
      </c>
      <c r="F198" s="8"/>
      <c r="G198" s="8" t="str">
        <f t="shared" si="3"/>
        <v>5.0</v>
      </c>
      <c r="H198" s="9">
        <f t="shared" si="4"/>
        <v>5</v>
      </c>
      <c r="I198" s="6" t="str">
        <f>IFERROR(__xludf.DUMMYFUNCTION("MAX(FILTER($H:$H,$E:$E=F198))"),"#N/A")</f>
        <v>#N/A</v>
      </c>
    </row>
    <row r="199">
      <c r="C199" s="4" t="s">
        <v>678</v>
      </c>
      <c r="D199" s="4" t="str">
        <f t="shared" si="1"/>
        <v>{"valorA":"para","valorB":8.0}</v>
      </c>
      <c r="E199" s="8" t="str">
        <f t="shared" si="2"/>
        <v>para</v>
      </c>
      <c r="F199" s="8"/>
      <c r="G199" s="8" t="str">
        <f t="shared" si="3"/>
        <v>8.0</v>
      </c>
      <c r="H199" s="9">
        <f t="shared" si="4"/>
        <v>8</v>
      </c>
      <c r="I199" s="6" t="str">
        <f>IFERROR(__xludf.DUMMYFUNCTION("MAX(FILTER($H:$H,$E:$E=F199))"),"#N/A")</f>
        <v>#N/A</v>
      </c>
    </row>
    <row r="200">
      <c r="C200" s="4" t="s">
        <v>291</v>
      </c>
      <c r="D200" s="4" t="str">
        <f t="shared" si="1"/>
        <v>{"valorA":"comprei","valorB":1.0}</v>
      </c>
      <c r="E200" s="8" t="str">
        <f t="shared" si="2"/>
        <v>comprei</v>
      </c>
      <c r="F200" s="8"/>
      <c r="G200" s="8" t="str">
        <f t="shared" si="3"/>
        <v>1.0</v>
      </c>
      <c r="H200" s="9">
        <f t="shared" si="4"/>
        <v>1</v>
      </c>
      <c r="I200" s="6" t="str">
        <f>IFERROR(__xludf.DUMMYFUNCTION("MAX(FILTER($H:$H,$E:$E=F200))"),"#N/A")</f>
        <v>#N/A</v>
      </c>
    </row>
    <row r="201">
      <c r="C201" s="4" t="s">
        <v>708</v>
      </c>
      <c r="D201" s="4" t="str">
        <f t="shared" si="1"/>
        <v>{"valorA":"valor","valorB":1.0}</v>
      </c>
      <c r="E201" s="8" t="str">
        <f t="shared" si="2"/>
        <v>valor</v>
      </c>
      <c r="F201" s="8"/>
      <c r="G201" s="8" t="str">
        <f t="shared" si="3"/>
        <v>1.0</v>
      </c>
      <c r="H201" s="9">
        <f t="shared" si="4"/>
        <v>1</v>
      </c>
      <c r="I201" s="6" t="str">
        <f>IFERROR(__xludf.DUMMYFUNCTION("MAX(FILTER($H:$H,$E:$E=F201))"),"#N/A")</f>
        <v>#N/A</v>
      </c>
    </row>
    <row r="202">
      <c r="C202" s="4" t="s">
        <v>386</v>
      </c>
      <c r="D202" s="4" t="str">
        <f t="shared" si="1"/>
        <v>{"valorA":"usar","valorB":4.0}</v>
      </c>
      <c r="E202" s="8" t="str">
        <f t="shared" si="2"/>
        <v>usar</v>
      </c>
      <c r="F202" s="8"/>
      <c r="G202" s="8" t="str">
        <f t="shared" si="3"/>
        <v>4.0</v>
      </c>
      <c r="H202" s="9">
        <f t="shared" si="4"/>
        <v>4</v>
      </c>
      <c r="I202" s="6" t="str">
        <f>IFERROR(__xludf.DUMMYFUNCTION("MAX(FILTER($H:$H,$E:$E=F202))"),"#N/A")</f>
        <v>#N/A</v>
      </c>
    </row>
    <row r="203">
      <c r="C203" s="4" t="s">
        <v>753</v>
      </c>
      <c r="D203" s="4" t="str">
        <f t="shared" si="1"/>
        <v>{"valorA":"e","valorB":12.0}</v>
      </c>
      <c r="E203" s="8" t="str">
        <f t="shared" si="2"/>
        <v>e</v>
      </c>
      <c r="F203" s="8"/>
      <c r="G203" s="8" t="str">
        <f t="shared" si="3"/>
        <v>12.0</v>
      </c>
      <c r="H203" s="9">
        <f t="shared" si="4"/>
        <v>12</v>
      </c>
      <c r="I203" s="6" t="str">
        <f>IFERROR(__xludf.DUMMYFUNCTION("MAX(FILTER($H:$H,$E:$E=F203))"),"#N/A")</f>
        <v>#N/A</v>
      </c>
    </row>
    <row r="204">
      <c r="C204" s="4" t="s">
        <v>615</v>
      </c>
      <c r="D204" s="4" t="str">
        <f t="shared" si="1"/>
        <v>{"valorA":"bom","valorB":1.0}</v>
      </c>
      <c r="E204" s="8" t="str">
        <f t="shared" si="2"/>
        <v>bom</v>
      </c>
      <c r="F204" s="8"/>
      <c r="G204" s="8" t="str">
        <f t="shared" si="3"/>
        <v>1.0</v>
      </c>
      <c r="H204" s="9">
        <f t="shared" si="4"/>
        <v>1</v>
      </c>
      <c r="I204" s="6" t="str">
        <f>IFERROR(__xludf.DUMMYFUNCTION("MAX(FILTER($H:$H,$E:$E=F204))"),"#N/A")</f>
        <v>#N/A</v>
      </c>
    </row>
    <row r="205">
      <c r="C205" s="4" t="s">
        <v>389</v>
      </c>
      <c r="D205" s="4" t="str">
        <f t="shared" si="1"/>
        <v>{"valorA":"de","valorB":8.0}</v>
      </c>
      <c r="E205" s="8" t="str">
        <f t="shared" si="2"/>
        <v>de</v>
      </c>
      <c r="F205" s="8"/>
      <c r="G205" s="8" t="str">
        <f t="shared" si="3"/>
        <v>8.0</v>
      </c>
      <c r="H205" s="9">
        <f t="shared" si="4"/>
        <v>8</v>
      </c>
      <c r="I205" s="6" t="str">
        <f>IFERROR(__xludf.DUMMYFUNCTION("MAX(FILTER($H:$H,$E:$E=F205))"),"#N/A")</f>
        <v>#N/A</v>
      </c>
    </row>
    <row r="206">
      <c r="C206" s="4" t="s">
        <v>4903</v>
      </c>
      <c r="D206" s="4" t="str">
        <f t="shared" si="1"/>
        <v>{"valorA":"filha","valorB":1.0}</v>
      </c>
      <c r="E206" s="8" t="str">
        <f t="shared" si="2"/>
        <v>filha</v>
      </c>
      <c r="F206" s="8"/>
      <c r="G206" s="8" t="str">
        <f t="shared" si="3"/>
        <v>1.0</v>
      </c>
      <c r="H206" s="9">
        <f t="shared" si="4"/>
        <v>1</v>
      </c>
      <c r="I206" s="6" t="str">
        <f>IFERROR(__xludf.DUMMYFUNCTION("MAX(FILTER($H:$H,$E:$E=F206))"),"#N/A")</f>
        <v>#N/A</v>
      </c>
    </row>
    <row r="207">
      <c r="C207" s="4" t="s">
        <v>1331</v>
      </c>
      <c r="D207" s="4" t="str">
        <f t="shared" si="1"/>
        <v>{"valorA":"ela","valorB":1.0}</v>
      </c>
      <c r="E207" s="8" t="str">
        <f t="shared" si="2"/>
        <v>ela</v>
      </c>
      <c r="F207" s="8"/>
      <c r="G207" s="8" t="str">
        <f t="shared" si="3"/>
        <v>1.0</v>
      </c>
      <c r="H207" s="9">
        <f t="shared" si="4"/>
        <v>1</v>
      </c>
      <c r="I207" s="6" t="str">
        <f>IFERROR(__xludf.DUMMYFUNCTION("MAX(FILTER($H:$H,$E:$E=F207))"),"#N/A")</f>
        <v>#N/A</v>
      </c>
    </row>
    <row r="208">
      <c r="C208" s="4" t="s">
        <v>688</v>
      </c>
      <c r="D208" s="4" t="str">
        <f t="shared" si="1"/>
        <v>{"valorA":"produto","valorB":16.0}</v>
      </c>
      <c r="E208" s="8" t="str">
        <f t="shared" si="2"/>
        <v>produto</v>
      </c>
      <c r="F208" s="8"/>
      <c r="G208" s="8" t="str">
        <f t="shared" si="3"/>
        <v>16.0</v>
      </c>
      <c r="H208" s="9">
        <f t="shared" si="4"/>
        <v>16</v>
      </c>
      <c r="I208" s="6" t="str">
        <f>IFERROR(__xludf.DUMMYFUNCTION("MAX(FILTER($H:$H,$E:$E=F208))"),"#N/A")</f>
        <v>#N/A</v>
      </c>
    </row>
    <row r="209">
      <c r="C209" s="4" t="s">
        <v>690</v>
      </c>
      <c r="D209" s="4" t="str">
        <f t="shared" si="1"/>
        <v>{"valorA":"ótimo","valorB":23.0}</v>
      </c>
      <c r="E209" s="8" t="str">
        <f t="shared" si="2"/>
        <v>ótimo</v>
      </c>
      <c r="F209" s="8"/>
      <c r="G209" s="8" t="str">
        <f t="shared" si="3"/>
        <v>23.0</v>
      </c>
      <c r="H209" s="9">
        <f t="shared" si="4"/>
        <v>23</v>
      </c>
      <c r="I209" s="6" t="str">
        <f>IFERROR(__xludf.DUMMYFUNCTION("MAX(FILTER($H:$H,$E:$E=F209))"),"#N/A")</f>
        <v>#N/A</v>
      </c>
    </row>
    <row r="210">
      <c r="C210" s="4" t="s">
        <v>724</v>
      </c>
      <c r="D210" s="4" t="str">
        <f t="shared" si="1"/>
        <v>{"valorA":"fácil","valorB":5.0}</v>
      </c>
      <c r="E210" s="8" t="str">
        <f t="shared" si="2"/>
        <v>fácil</v>
      </c>
      <c r="F210" s="8"/>
      <c r="G210" s="8" t="str">
        <f t="shared" si="3"/>
        <v>5.0</v>
      </c>
      <c r="H210" s="9">
        <f t="shared" si="4"/>
        <v>5</v>
      </c>
      <c r="I210" s="6" t="str">
        <f>IFERROR(__xludf.DUMMYFUNCTION("MAX(FILTER($H:$H,$E:$E=F210))"),"#N/A")</f>
        <v>#N/A</v>
      </c>
    </row>
    <row r="211">
      <c r="C211" s="4" t="s">
        <v>274</v>
      </c>
      <c r="D211" s="4" t="str">
        <f t="shared" si="1"/>
        <v>{"valorA":"muito","valorB":7.0}</v>
      </c>
      <c r="E211" s="8" t="str">
        <f t="shared" si="2"/>
        <v>muito</v>
      </c>
      <c r="F211" s="8"/>
      <c r="G211" s="8" t="str">
        <f t="shared" si="3"/>
        <v>7.0</v>
      </c>
      <c r="H211" s="9">
        <f t="shared" si="4"/>
        <v>7</v>
      </c>
      <c r="I211" s="6" t="str">
        <f>IFERROR(__xludf.DUMMYFUNCTION("MAX(FILTER($H:$H,$E:$E=F211))"),"#N/A")</f>
        <v>#N/A</v>
      </c>
    </row>
    <row r="212">
      <c r="C212" s="4" t="s">
        <v>1422</v>
      </c>
      <c r="D212" s="4" t="str">
        <f t="shared" si="1"/>
        <v>{"valorA":"adora","valorB":1.0}</v>
      </c>
      <c r="E212" s="8" t="str">
        <f t="shared" si="2"/>
        <v>adora</v>
      </c>
      <c r="F212" s="8"/>
      <c r="G212" s="8" t="str">
        <f t="shared" si="3"/>
        <v>1.0</v>
      </c>
      <c r="H212" s="9">
        <f t="shared" si="4"/>
        <v>1</v>
      </c>
      <c r="I212" s="6" t="str">
        <f>IFERROR(__xludf.DUMMYFUNCTION("MAX(FILTER($H:$H,$E:$E=F212))"),"#N/A")</f>
        <v>#N/A</v>
      </c>
    </row>
    <row r="213">
      <c r="C213" s="4" t="s">
        <v>4904</v>
      </c>
      <c r="D213" s="4" t="str">
        <f t="shared" si="1"/>
        <v>{"valorA":"efficiente","valorB":1.0}</v>
      </c>
      <c r="E213" s="8" t="str">
        <f t="shared" si="2"/>
        <v>efficiente</v>
      </c>
      <c r="F213" s="8"/>
      <c r="G213" s="8" t="str">
        <f t="shared" si="3"/>
        <v>1.0</v>
      </c>
      <c r="H213" s="9">
        <f t="shared" si="4"/>
        <v>1</v>
      </c>
      <c r="I213" s="6" t="str">
        <f>IFERROR(__xludf.DUMMYFUNCTION("MAX(FILTER($H:$H,$E:$E=F213))"),"#N/A")</f>
        <v>#N/A</v>
      </c>
    </row>
    <row r="214">
      <c r="C214" s="4" t="s">
        <v>265</v>
      </c>
      <c r="D214" s="4" t="str">
        <f t="shared" si="1"/>
        <v>{"valorA":"minha","valorB":1.0}</v>
      </c>
      <c r="E214" s="8" t="str">
        <f t="shared" si="2"/>
        <v>minha</v>
      </c>
      <c r="F214" s="8"/>
      <c r="G214" s="8" t="str">
        <f t="shared" si="3"/>
        <v>1.0</v>
      </c>
      <c r="H214" s="9">
        <f t="shared" si="4"/>
        <v>1</v>
      </c>
      <c r="I214" s="6" t="str">
        <f>IFERROR(__xludf.DUMMYFUNCTION("MAX(FILTER($H:$H,$E:$E=F214))"),"#N/A")</f>
        <v>#N/A</v>
      </c>
    </row>
    <row r="215">
      <c r="C215" s="4" t="s">
        <v>305</v>
      </c>
      <c r="D215" s="4" t="str">
        <f t="shared" si="1"/>
        <v>{"valorA":"é","valorB":4.0}</v>
      </c>
      <c r="E215" s="8" t="str">
        <f t="shared" si="2"/>
        <v>é</v>
      </c>
      <c r="F215" s="8"/>
      <c r="G215" s="8" t="str">
        <f t="shared" si="3"/>
        <v>4.0</v>
      </c>
      <c r="H215" s="9">
        <f t="shared" si="4"/>
        <v>4</v>
      </c>
      <c r="I215" s="6" t="str">
        <f>IFERROR(__xludf.DUMMYFUNCTION("MAX(FILTER($H:$H,$E:$E=F215))"),"#N/A")</f>
        <v>#N/A</v>
      </c>
    </row>
    <row r="216">
      <c r="C216" s="4" t="s">
        <v>691</v>
      </c>
      <c r="D216" s="4" t="str">
        <f t="shared" si="1"/>
        <v>{"valorA":"para","valorB":9.0}</v>
      </c>
      <c r="E216" s="8" t="str">
        <f t="shared" si="2"/>
        <v>para</v>
      </c>
      <c r="F216" s="8"/>
      <c r="G216" s="8" t="str">
        <f t="shared" si="3"/>
        <v>9.0</v>
      </c>
      <c r="H216" s="9">
        <f t="shared" si="4"/>
        <v>9</v>
      </c>
      <c r="I216" s="6" t="str">
        <f>IFERROR(__xludf.DUMMYFUNCTION("MAX(FILTER($H:$H,$E:$E=F216))"),"#N/A")</f>
        <v>#N/A</v>
      </c>
    </row>
    <row r="217">
      <c r="C217" s="4" t="s">
        <v>4905</v>
      </c>
      <c r="D217" s="4" t="str">
        <f t="shared" si="1"/>
        <v>{"valorA":"oferece","valorB":1.0}</v>
      </c>
      <c r="E217" s="8" t="str">
        <f t="shared" si="2"/>
        <v>oferece</v>
      </c>
      <c r="F217" s="8"/>
      <c r="G217" s="8" t="str">
        <f t="shared" si="3"/>
        <v>1.0</v>
      </c>
      <c r="H217" s="9">
        <f t="shared" si="4"/>
        <v>1</v>
      </c>
      <c r="I217" s="6" t="str">
        <f>IFERROR(__xludf.DUMMYFUNCTION("MAX(FILTER($H:$H,$E:$E=F217))"),"#N/A")</f>
        <v>#N/A</v>
      </c>
    </row>
    <row r="218">
      <c r="C218" s="4" t="s">
        <v>293</v>
      </c>
      <c r="D218" s="4" t="str">
        <f t="shared" si="1"/>
        <v>{"valorA":"bem","valorB":4.0}</v>
      </c>
      <c r="E218" s="8" t="str">
        <f t="shared" si="2"/>
        <v>bem</v>
      </c>
      <c r="F218" s="8"/>
      <c r="G218" s="8" t="str">
        <f t="shared" si="3"/>
        <v>4.0</v>
      </c>
      <c r="H218" s="9">
        <f t="shared" si="4"/>
        <v>4</v>
      </c>
      <c r="I218" s="6" t="str">
        <f>IFERROR(__xludf.DUMMYFUNCTION("MAX(FILTER($H:$H,$E:$E=F218))"),"#N/A")</f>
        <v>#N/A</v>
      </c>
    </row>
    <row r="219">
      <c r="C219" s="4" t="s">
        <v>4906</v>
      </c>
      <c r="D219" s="4" t="str">
        <f t="shared" si="1"/>
        <v>{"valorA":"justo","valorB":1.0}</v>
      </c>
      <c r="E219" s="8" t="str">
        <f t="shared" si="2"/>
        <v>justo</v>
      </c>
      <c r="F219" s="8"/>
      <c r="G219" s="8" t="str">
        <f t="shared" si="3"/>
        <v>1.0</v>
      </c>
      <c r="H219" s="9">
        <f t="shared" si="4"/>
        <v>1</v>
      </c>
      <c r="I219" s="6" t="str">
        <f>IFERROR(__xludf.DUMMYFUNCTION("MAX(FILTER($H:$H,$E:$E=F219))"),"#N/A")</f>
        <v>#N/A</v>
      </c>
    </row>
    <row r="220">
      <c r="C220" s="4" t="s">
        <v>409</v>
      </c>
      <c r="D220" s="4" t="str">
        <f t="shared" si="1"/>
        <v>{"valorA":"o","valorB":6.0}</v>
      </c>
      <c r="E220" s="8" t="str">
        <f t="shared" si="2"/>
        <v>o</v>
      </c>
      <c r="F220" s="8"/>
      <c r="G220" s="8" t="str">
        <f t="shared" si="3"/>
        <v>6.0</v>
      </c>
      <c r="H220" s="9">
        <f t="shared" si="4"/>
        <v>6</v>
      </c>
      <c r="I220" s="6" t="str">
        <f>IFERROR(__xludf.DUMMYFUNCTION("MAX(FILTER($H:$H,$E:$E=F220))"),"#N/A")</f>
        <v>#N/A</v>
      </c>
    </row>
    <row r="221">
      <c r="C221" s="4" t="s">
        <v>481</v>
      </c>
      <c r="D221" s="4" t="str">
        <f t="shared" si="1"/>
        <v>{"valorA":"que","valorB":4.0}</v>
      </c>
      <c r="E221" s="8" t="str">
        <f t="shared" si="2"/>
        <v>que</v>
      </c>
      <c r="F221" s="8"/>
      <c r="G221" s="8" t="str">
        <f t="shared" si="3"/>
        <v>4.0</v>
      </c>
      <c r="H221" s="9">
        <f t="shared" si="4"/>
        <v>4</v>
      </c>
      <c r="I221" s="6" t="str">
        <f>IFERROR(__xludf.DUMMYFUNCTION("MAX(FILTER($H:$H,$E:$E=F221))"),"#N/A")</f>
        <v>#N/A</v>
      </c>
    </row>
    <row r="222">
      <c r="C222" s="4" t="s">
        <v>334</v>
      </c>
      <c r="D222" s="4" t="str">
        <f t="shared" si="1"/>
        <v>{"valorA":"produto","valorB":17.0}</v>
      </c>
      <c r="E222" s="8" t="str">
        <f t="shared" si="2"/>
        <v>produto</v>
      </c>
      <c r="F222" s="8"/>
      <c r="G222" s="8" t="str">
        <f t="shared" si="3"/>
        <v>17.0</v>
      </c>
      <c r="H222" s="9">
        <f t="shared" si="4"/>
        <v>17</v>
      </c>
      <c r="I222" s="6" t="str">
        <f>IFERROR(__xludf.DUMMYFUNCTION("MAX(FILTER($H:$H,$E:$E=F222))"),"#N/A")</f>
        <v>#N/A</v>
      </c>
    </row>
    <row r="223">
      <c r="C223" s="4" t="s">
        <v>696</v>
      </c>
      <c r="D223" s="4" t="str">
        <f t="shared" si="1"/>
        <v>{"valorA":"ótimo","valorB":24.0}</v>
      </c>
      <c r="E223" s="8" t="str">
        <f t="shared" si="2"/>
        <v>ótimo</v>
      </c>
      <c r="F223" s="8"/>
      <c r="G223" s="8" t="str">
        <f t="shared" si="3"/>
        <v>24.0</v>
      </c>
      <c r="H223" s="9">
        <f t="shared" si="4"/>
        <v>24</v>
      </c>
      <c r="I223" s="6" t="str">
        <f>IFERROR(__xludf.DUMMYFUNCTION("MAX(FILTER($H:$H,$E:$E=F223))"),"#N/A")</f>
        <v>#N/A</v>
      </c>
    </row>
    <row r="224">
      <c r="C224" s="4" t="s">
        <v>624</v>
      </c>
      <c r="D224" s="4" t="str">
        <f t="shared" si="1"/>
        <v>{"valorA":"preço","valorB":6.0}</v>
      </c>
      <c r="E224" s="8" t="str">
        <f t="shared" si="2"/>
        <v>preço</v>
      </c>
      <c r="F224" s="8"/>
      <c r="G224" s="8" t="str">
        <f t="shared" si="3"/>
        <v>6.0</v>
      </c>
      <c r="H224" s="9">
        <f t="shared" si="4"/>
        <v>6</v>
      </c>
      <c r="I224" s="6" t="str">
        <f>IFERROR(__xludf.DUMMYFUNCTION("MAX(FILTER($H:$H,$E:$E=F224))"),"#N/A")</f>
        <v>#N/A</v>
      </c>
    </row>
    <row r="225">
      <c r="C225" s="4" t="s">
        <v>4907</v>
      </c>
      <c r="D225" s="4" t="str">
        <f t="shared" si="1"/>
        <v>{"valorA":"umas","valorB":1.0}</v>
      </c>
      <c r="E225" s="8" t="str">
        <f t="shared" si="2"/>
        <v>umas</v>
      </c>
      <c r="F225" s="8"/>
      <c r="G225" s="8" t="str">
        <f t="shared" si="3"/>
        <v>1.0</v>
      </c>
      <c r="H225" s="9">
        <f t="shared" si="4"/>
        <v>1</v>
      </c>
      <c r="I225" s="6" t="str">
        <f>IFERROR(__xludf.DUMMYFUNCTION("MAX(FILTER($H:$H,$E:$E=F225))"),"#N/A")</f>
        <v>#N/A</v>
      </c>
    </row>
    <row r="226">
      <c r="C226" s="4" t="s">
        <v>455</v>
      </c>
      <c r="D226" s="4" t="str">
        <f t="shared" si="1"/>
        <v>{"valorA":"em","valorB":1.0}</v>
      </c>
      <c r="E226" s="8" t="str">
        <f t="shared" si="2"/>
        <v>em</v>
      </c>
      <c r="F226" s="8"/>
      <c r="G226" s="8" t="str">
        <f t="shared" si="3"/>
        <v>1.0</v>
      </c>
      <c r="H226" s="9">
        <f t="shared" si="4"/>
        <v>1</v>
      </c>
      <c r="I226" s="6" t="str">
        <f>IFERROR(__xludf.DUMMYFUNCTION("MAX(FILTER($H:$H,$E:$E=F226))"),"#N/A")</f>
        <v>#N/A</v>
      </c>
    </row>
    <row r="227">
      <c r="C227" s="4" t="s">
        <v>4908</v>
      </c>
      <c r="D227" s="4" t="str">
        <f t="shared" si="1"/>
        <v>{"valorA":"informações","valorB":1.0}</v>
      </c>
      <c r="E227" s="8" t="str">
        <f t="shared" si="2"/>
        <v>informações</v>
      </c>
      <c r="F227" s="8"/>
      <c r="G227" s="8" t="str">
        <f t="shared" si="3"/>
        <v>1.0</v>
      </c>
      <c r="H227" s="9">
        <f t="shared" si="4"/>
        <v>1</v>
      </c>
      <c r="I227" s="6" t="str">
        <f>IFERROR(__xludf.DUMMYFUNCTION("MAX(FILTER($H:$H,$E:$E=F227))"),"#N/A")</f>
        <v>#N/A</v>
      </c>
    </row>
    <row r="228">
      <c r="C228" s="4" t="s">
        <v>4909</v>
      </c>
      <c r="D228" s="4" t="str">
        <f t="shared" si="1"/>
        <v>{"valorA":"resumir","valorB":1.0}</v>
      </c>
      <c r="E228" s="8" t="str">
        <f t="shared" si="2"/>
        <v>resumir</v>
      </c>
      <c r="F228" s="8"/>
      <c r="G228" s="8" t="str">
        <f t="shared" si="3"/>
        <v>1.0</v>
      </c>
      <c r="H228" s="9">
        <f t="shared" si="4"/>
        <v>1</v>
      </c>
      <c r="I228" s="6" t="str">
        <f>IFERROR(__xludf.DUMMYFUNCTION("MAX(FILTER($H:$H,$E:$E=F228))"),"#N/A")</f>
        <v>#N/A</v>
      </c>
    </row>
    <row r="229">
      <c r="C229" s="4" t="s">
        <v>1437</v>
      </c>
      <c r="D229" s="4" t="str">
        <f t="shared" si="1"/>
        <v>{"valorA":"usálo","valorB":1.0}</v>
      </c>
      <c r="E229" s="8" t="str">
        <f t="shared" si="2"/>
        <v>usálo</v>
      </c>
      <c r="F229" s="8"/>
      <c r="G229" s="8" t="str">
        <f t="shared" si="3"/>
        <v>1.0</v>
      </c>
      <c r="H229" s="9">
        <f t="shared" si="4"/>
        <v>1</v>
      </c>
      <c r="I229" s="6" t="str">
        <f>IFERROR(__xludf.DUMMYFUNCTION("MAX(FILTER($H:$H,$E:$E=F229))"),"#N/A")</f>
        <v>#N/A</v>
      </c>
    </row>
    <row r="230">
      <c r="C230" s="4" t="s">
        <v>714</v>
      </c>
      <c r="D230" s="4" t="str">
        <f t="shared" si="1"/>
        <v>{"valorA":"produto","valorB":18.0}</v>
      </c>
      <c r="E230" s="8" t="str">
        <f t="shared" si="2"/>
        <v>produto</v>
      </c>
      <c r="F230" s="8"/>
      <c r="G230" s="8" t="str">
        <f t="shared" si="3"/>
        <v>18.0</v>
      </c>
      <c r="H230" s="9">
        <f t="shared" si="4"/>
        <v>18</v>
      </c>
      <c r="I230" s="6" t="str">
        <f>IFERROR(__xludf.DUMMYFUNCTION("MAX(FILTER($H:$H,$E:$E=F230))"),"#N/A")</f>
        <v>#N/A</v>
      </c>
    </row>
    <row r="231">
      <c r="C231" s="4" t="s">
        <v>336</v>
      </c>
      <c r="D231" s="4" t="str">
        <f t="shared" si="1"/>
        <v>{"valorA":"ótimo","valorB":25.0}</v>
      </c>
      <c r="E231" s="8" t="str">
        <f t="shared" si="2"/>
        <v>ótimo</v>
      </c>
      <c r="F231" s="8"/>
      <c r="G231" s="8" t="str">
        <f t="shared" si="3"/>
        <v>25.0</v>
      </c>
      <c r="H231" s="9">
        <f t="shared" si="4"/>
        <v>25</v>
      </c>
      <c r="I231" s="6" t="str">
        <f>IFERROR(__xludf.DUMMYFUNCTION("MAX(FILTER($H:$H,$E:$E=F231))"),"#N/A")</f>
        <v>#N/A</v>
      </c>
    </row>
    <row r="232">
      <c r="C232" s="4" t="s">
        <v>4910</v>
      </c>
      <c r="D232" s="4" t="str">
        <f t="shared" si="1"/>
        <v>{"valorA":"faltou","valorB":1.0}</v>
      </c>
      <c r="E232" s="8" t="str">
        <f t="shared" si="2"/>
        <v>faltou</v>
      </c>
      <c r="F232" s="8"/>
      <c r="G232" s="8" t="str">
        <f t="shared" si="3"/>
        <v>1.0</v>
      </c>
      <c r="H232" s="9">
        <f t="shared" si="4"/>
        <v>1</v>
      </c>
      <c r="I232" s="6" t="str">
        <f>IFERROR(__xludf.DUMMYFUNCTION("MAX(FILTER($H:$H,$E:$E=F232))"),"#N/A")</f>
        <v>#N/A</v>
      </c>
    </row>
    <row r="233">
      <c r="C233" s="4" t="s">
        <v>596</v>
      </c>
      <c r="D233" s="4" t="str">
        <f t="shared" si="1"/>
        <v>{"valorA":"mas","valorB":4.0}</v>
      </c>
      <c r="E233" s="8" t="str">
        <f t="shared" si="2"/>
        <v>mas</v>
      </c>
      <c r="F233" s="8"/>
      <c r="G233" s="8" t="str">
        <f t="shared" si="3"/>
        <v>4.0</v>
      </c>
      <c r="H233" s="9">
        <f t="shared" si="4"/>
        <v>4</v>
      </c>
      <c r="I233" s="6" t="str">
        <f>IFERROR(__xludf.DUMMYFUNCTION("MAX(FILTER($H:$H,$E:$E=F233))"),"#N/A")</f>
        <v>#N/A</v>
      </c>
    </row>
    <row r="234">
      <c r="C234" s="4" t="s">
        <v>359</v>
      </c>
      <c r="D234" s="4" t="str">
        <f t="shared" si="1"/>
        <v>{"valorA":"como","valorB":1.0}</v>
      </c>
      <c r="E234" s="8" t="str">
        <f t="shared" si="2"/>
        <v>como</v>
      </c>
      <c r="F234" s="8"/>
      <c r="G234" s="8" t="str">
        <f t="shared" si="3"/>
        <v>1.0</v>
      </c>
      <c r="H234" s="9">
        <f t="shared" si="4"/>
        <v>1</v>
      </c>
      <c r="I234" s="6" t="str">
        <f>IFERROR(__xludf.DUMMYFUNCTION("MAX(FILTER($H:$H,$E:$E=F234))"),"#N/A")</f>
        <v>#N/A</v>
      </c>
    </row>
    <row r="235">
      <c r="C235" s="4" t="s">
        <v>4911</v>
      </c>
      <c r="D235" s="4" t="str">
        <f t="shared" si="1"/>
        <v>{"valorA":"sobre","valorB":1.0}</v>
      </c>
      <c r="E235" s="8" t="str">
        <f t="shared" si="2"/>
        <v>sobre</v>
      </c>
      <c r="F235" s="8"/>
      <c r="G235" s="8" t="str">
        <f t="shared" si="3"/>
        <v>1.0</v>
      </c>
      <c r="H235" s="9">
        <f t="shared" si="4"/>
        <v>1</v>
      </c>
      <c r="I235" s="6" t="str">
        <f>IFERROR(__xludf.DUMMYFUNCTION("MAX(FILTER($H:$H,$E:$E=F235))"),"#N/A")</f>
        <v>#N/A</v>
      </c>
    </row>
    <row r="236">
      <c r="C236" s="4" t="s">
        <v>720</v>
      </c>
      <c r="D236" s="4" t="str">
        <f t="shared" si="1"/>
        <v>{"valorA":"para","valorB":10.0}</v>
      </c>
      <c r="E236" s="8" t="str">
        <f t="shared" si="2"/>
        <v>para</v>
      </c>
      <c r="F236" s="8"/>
      <c r="G236" s="8" t="str">
        <f t="shared" si="3"/>
        <v>10.0</v>
      </c>
      <c r="H236" s="9">
        <f t="shared" si="4"/>
        <v>10</v>
      </c>
      <c r="I236" s="6" t="str">
        <f>IFERROR(__xludf.DUMMYFUNCTION("MAX(FILTER($H:$H,$E:$E=F236))"),"#N/A")</f>
        <v>#N/A</v>
      </c>
    </row>
    <row r="237">
      <c r="C237" s="4" t="s">
        <v>326</v>
      </c>
      <c r="D237" s="4" t="str">
        <f t="shared" si="1"/>
        <v>{"valorA":"é","valorB":5.0}</v>
      </c>
      <c r="E237" s="8" t="str">
        <f t="shared" si="2"/>
        <v>é</v>
      </c>
      <c r="F237" s="8"/>
      <c r="G237" s="8" t="str">
        <f t="shared" si="3"/>
        <v>5.0</v>
      </c>
      <c r="H237" s="9">
        <f t="shared" si="4"/>
        <v>5</v>
      </c>
      <c r="I237" s="6" t="str">
        <f>IFERROR(__xludf.DUMMYFUNCTION("MAX(FILTER($H:$H,$E:$E=F237))"),"#N/A")</f>
        <v>#N/A</v>
      </c>
    </row>
    <row r="238">
      <c r="C238" s="4" t="s">
        <v>353</v>
      </c>
      <c r="D238" s="4" t="str">
        <f t="shared" si="1"/>
        <v>{"valorA":"produto","valorB":19.0}</v>
      </c>
      <c r="E238" s="8" t="str">
        <f t="shared" si="2"/>
        <v>produto</v>
      </c>
      <c r="F238" s="8"/>
      <c r="G238" s="8" t="str">
        <f t="shared" si="3"/>
        <v>19.0</v>
      </c>
      <c r="H238" s="9">
        <f t="shared" si="4"/>
        <v>19</v>
      </c>
      <c r="I238" s="6" t="str">
        <f>IFERROR(__xludf.DUMMYFUNCTION("MAX(FILTER($H:$H,$E:$E=F238))"),"#N/A")</f>
        <v>#N/A</v>
      </c>
    </row>
    <row r="239">
      <c r="C239" s="4" t="s">
        <v>712</v>
      </c>
      <c r="D239" s="4" t="str">
        <f t="shared" si="1"/>
        <v>{"valorA":"ótimo","valorB":26.0}</v>
      </c>
      <c r="E239" s="8" t="str">
        <f t="shared" si="2"/>
        <v>ótimo</v>
      </c>
      <c r="F239" s="8"/>
      <c r="G239" s="8" t="str">
        <f t="shared" si="3"/>
        <v>26.0</v>
      </c>
      <c r="H239" s="9">
        <f t="shared" si="4"/>
        <v>26</v>
      </c>
      <c r="I239" s="6" t="str">
        <f>IFERROR(__xludf.DUMMYFUNCTION("MAX(FILTER($H:$H,$E:$E=F239))"),"#N/A")</f>
        <v>#N/A</v>
      </c>
    </row>
    <row r="240">
      <c r="C240" s="4" t="s">
        <v>300</v>
      </c>
      <c r="D240" s="4" t="str">
        <f t="shared" si="1"/>
        <v>{"valorA":"muito","valorB":8.0}</v>
      </c>
      <c r="E240" s="8" t="str">
        <f t="shared" si="2"/>
        <v>muito</v>
      </c>
      <c r="F240" s="8"/>
      <c r="G240" s="8" t="str">
        <f t="shared" si="3"/>
        <v>8.0</v>
      </c>
      <c r="H240" s="9">
        <f t="shared" si="4"/>
        <v>8</v>
      </c>
      <c r="I240" s="6" t="str">
        <f>IFERROR(__xludf.DUMMYFUNCTION("MAX(FILTER($H:$H,$E:$E=F240))"),"#N/A")</f>
        <v>#N/A</v>
      </c>
    </row>
    <row r="241">
      <c r="C241" s="4" t="s">
        <v>644</v>
      </c>
      <c r="D241" s="4" t="str">
        <f t="shared" si="1"/>
        <v>{"valorA":"casa","valorB":1.0}</v>
      </c>
      <c r="E241" s="8" t="str">
        <f t="shared" si="2"/>
        <v>casa</v>
      </c>
      <c r="F241" s="8"/>
      <c r="G241" s="8" t="str">
        <f t="shared" si="3"/>
        <v>1.0</v>
      </c>
      <c r="H241" s="9">
        <f t="shared" si="4"/>
        <v>1</v>
      </c>
      <c r="I241" s="6" t="str">
        <f>IFERROR(__xludf.DUMMYFUNCTION("MAX(FILTER($H:$H,$E:$E=F241))"),"#N/A")</f>
        <v>#N/A</v>
      </c>
    </row>
    <row r="242">
      <c r="C242" s="4" t="s">
        <v>1080</v>
      </c>
      <c r="D242" s="4" t="str">
        <f t="shared" si="1"/>
        <v>{"valorA":"confortável","valorB":2.0}</v>
      </c>
      <c r="E242" s="8" t="str">
        <f t="shared" si="2"/>
        <v>confortável</v>
      </c>
      <c r="F242" s="8"/>
      <c r="G242" s="8" t="str">
        <f t="shared" si="3"/>
        <v>2.0</v>
      </c>
      <c r="H242" s="9">
        <f t="shared" si="4"/>
        <v>2</v>
      </c>
      <c r="I242" s="6" t="str">
        <f>IFERROR(__xludf.DUMMYFUNCTION("MAX(FILTER($H:$H,$E:$E=F242))"),"#N/A")</f>
        <v>#N/A</v>
      </c>
    </row>
    <row r="243">
      <c r="C243" s="4" t="s">
        <v>489</v>
      </c>
      <c r="D243" s="4" t="str">
        <f t="shared" si="1"/>
        <v>{"valorA":"a","valorB":6.0}</v>
      </c>
      <c r="E243" s="8" t="str">
        <f t="shared" si="2"/>
        <v>a</v>
      </c>
      <c r="F243" s="8"/>
      <c r="G243" s="8" t="str">
        <f t="shared" si="3"/>
        <v>6.0</v>
      </c>
      <c r="H243" s="9">
        <f t="shared" si="4"/>
        <v>6</v>
      </c>
      <c r="I243" s="6" t="str">
        <f>IFERROR(__xludf.DUMMYFUNCTION("MAX(FILTER($H:$H,$E:$E=F243))"),"#N/A")</f>
        <v>#N/A</v>
      </c>
    </row>
    <row r="244">
      <c r="C244" s="4" t="s">
        <v>743</v>
      </c>
      <c r="D244" s="4" t="str">
        <f t="shared" si="1"/>
        <v>{"valorA":"para","valorB":12.0}</v>
      </c>
      <c r="E244" s="8" t="str">
        <f t="shared" si="2"/>
        <v>para</v>
      </c>
      <c r="F244" s="8"/>
      <c r="G244" s="8" t="str">
        <f t="shared" si="3"/>
        <v>12.0</v>
      </c>
      <c r="H244" s="9">
        <f t="shared" si="4"/>
        <v>12</v>
      </c>
      <c r="I244" s="6" t="str">
        <f>IFERROR(__xludf.DUMMYFUNCTION("MAX(FILTER($H:$H,$E:$E=F244))"),"#N/A")</f>
        <v>#N/A</v>
      </c>
    </row>
    <row r="245">
      <c r="C245" s="4" t="s">
        <v>470</v>
      </c>
      <c r="D245" s="4" t="str">
        <f t="shared" si="1"/>
        <v>{"valorA":"comprei","valorB":2.0}</v>
      </c>
      <c r="E245" s="8" t="str">
        <f t="shared" si="2"/>
        <v>comprei</v>
      </c>
      <c r="F245" s="8"/>
      <c r="G245" s="8" t="str">
        <f t="shared" si="3"/>
        <v>2.0</v>
      </c>
      <c r="H245" s="9">
        <f t="shared" si="4"/>
        <v>2</v>
      </c>
      <c r="I245" s="6" t="str">
        <f>IFERROR(__xludf.DUMMYFUNCTION("MAX(FILTER($H:$H,$E:$E=F245))"),"#N/A")</f>
        <v>#N/A</v>
      </c>
    </row>
    <row r="246">
      <c r="C246" s="4" t="s">
        <v>777</v>
      </c>
      <c r="D246" s="4" t="str">
        <f t="shared" si="1"/>
        <v>{"valorA":"e","valorB":13.0}</v>
      </c>
      <c r="E246" s="8" t="str">
        <f t="shared" si="2"/>
        <v>e</v>
      </c>
      <c r="F246" s="8"/>
      <c r="G246" s="8" t="str">
        <f t="shared" si="3"/>
        <v>13.0</v>
      </c>
      <c r="H246" s="9">
        <f t="shared" si="4"/>
        <v>13</v>
      </c>
      <c r="I246" s="6" t="str">
        <f>IFERROR(__xludf.DUMMYFUNCTION("MAX(FILTER($H:$H,$E:$E=F246))"),"#N/A")</f>
        <v>#N/A</v>
      </c>
    </row>
    <row r="247">
      <c r="C247" s="4" t="s">
        <v>745</v>
      </c>
      <c r="D247" s="4" t="str">
        <f t="shared" si="1"/>
        <v>{"valorA":"o","valorB":7.0}</v>
      </c>
      <c r="E247" s="8" t="str">
        <f t="shared" si="2"/>
        <v>o</v>
      </c>
      <c r="F247" s="8"/>
      <c r="G247" s="8" t="str">
        <f t="shared" si="3"/>
        <v>7.0</v>
      </c>
      <c r="H247" s="9">
        <f t="shared" si="4"/>
        <v>7</v>
      </c>
      <c r="I247" s="6" t="str">
        <f>IFERROR(__xludf.DUMMYFUNCTION("MAX(FILTER($H:$H,$E:$E=F247))"),"#N/A")</f>
        <v>#N/A</v>
      </c>
    </row>
    <row r="248">
      <c r="C248" s="4" t="s">
        <v>698</v>
      </c>
      <c r="D248" s="4" t="str">
        <f t="shared" si="1"/>
        <v>{"valorA":"que","valorB":5.0}</v>
      </c>
      <c r="E248" s="8" t="str">
        <f t="shared" si="2"/>
        <v>que</v>
      </c>
      <c r="F248" s="8"/>
      <c r="G248" s="8" t="str">
        <f t="shared" si="3"/>
        <v>5.0</v>
      </c>
      <c r="H248" s="9">
        <f t="shared" si="4"/>
        <v>5</v>
      </c>
      <c r="I248" s="6" t="str">
        <f>IFERROR(__xludf.DUMMYFUNCTION("MAX(FILTER($H:$H,$E:$E=F248))"),"#N/A")</f>
        <v>#N/A</v>
      </c>
    </row>
    <row r="249">
      <c r="C249" s="4" t="s">
        <v>4912</v>
      </c>
      <c r="D249" s="4" t="str">
        <f t="shared" si="1"/>
        <v>{"valorA":"filha","valorB":2.0}</v>
      </c>
      <c r="E249" s="8" t="str">
        <f t="shared" si="2"/>
        <v>filha</v>
      </c>
      <c r="F249" s="8"/>
      <c r="G249" s="8" t="str">
        <f t="shared" si="3"/>
        <v>2.0</v>
      </c>
      <c r="H249" s="9">
        <f t="shared" si="4"/>
        <v>2</v>
      </c>
      <c r="I249" s="6" t="str">
        <f>IFERROR(__xludf.DUMMYFUNCTION("MAX(FILTER($H:$H,$E:$E=F249))"),"#N/A")</f>
        <v>#N/A</v>
      </c>
    </row>
    <row r="250">
      <c r="C250" s="4" t="s">
        <v>4913</v>
      </c>
      <c r="D250" s="4" t="str">
        <f t="shared" si="1"/>
        <v>{"valorA":"ela","valorB":2.0}</v>
      </c>
      <c r="E250" s="8" t="str">
        <f t="shared" si="2"/>
        <v>ela</v>
      </c>
      <c r="F250" s="8"/>
      <c r="G250" s="8" t="str">
        <f t="shared" si="3"/>
        <v>2.0</v>
      </c>
      <c r="H250" s="9">
        <f t="shared" si="4"/>
        <v>2</v>
      </c>
      <c r="I250" s="6" t="str">
        <f>IFERROR(__xludf.DUMMYFUNCTION("MAX(FILTER($H:$H,$E:$E=F250))"),"#N/A")</f>
        <v>#N/A</v>
      </c>
    </row>
    <row r="251">
      <c r="C251" s="4" t="s">
        <v>375</v>
      </c>
      <c r="D251" s="4" t="str">
        <f t="shared" si="1"/>
        <v>{"valorA":"produto","valorB":21.0}</v>
      </c>
      <c r="E251" s="8" t="str">
        <f t="shared" si="2"/>
        <v>produto</v>
      </c>
      <c r="F251" s="8"/>
      <c r="G251" s="8" t="str">
        <f t="shared" si="3"/>
        <v>21.0</v>
      </c>
      <c r="H251" s="9">
        <f t="shared" si="4"/>
        <v>21</v>
      </c>
      <c r="I251" s="6" t="str">
        <f>IFERROR(__xludf.DUMMYFUNCTION("MAX(FILTER($H:$H,$E:$E=F251))"),"#N/A")</f>
        <v>#N/A</v>
      </c>
    </row>
    <row r="252">
      <c r="C252" s="4" t="s">
        <v>392</v>
      </c>
      <c r="D252" s="4" t="str">
        <f t="shared" si="1"/>
        <v>{"valorA":"do","valorB":2.0}</v>
      </c>
      <c r="E252" s="8" t="str">
        <f t="shared" si="2"/>
        <v>do</v>
      </c>
      <c r="F252" s="8"/>
      <c r="G252" s="8" t="str">
        <f t="shared" si="3"/>
        <v>2.0</v>
      </c>
      <c r="H252" s="9">
        <f t="shared" si="4"/>
        <v>2</v>
      </c>
      <c r="I252" s="6" t="str">
        <f>IFERROR(__xludf.DUMMYFUNCTION("MAX(FILTER($H:$H,$E:$E=F252))"),"#N/A")</f>
        <v>#N/A</v>
      </c>
    </row>
    <row r="253">
      <c r="C253" s="4" t="s">
        <v>719</v>
      </c>
      <c r="D253" s="4" t="str">
        <f t="shared" si="1"/>
        <v>{"valorA":"ótimo","valorB":28.0}</v>
      </c>
      <c r="E253" s="8" t="str">
        <f t="shared" si="2"/>
        <v>ótimo</v>
      </c>
      <c r="F253" s="8"/>
      <c r="G253" s="8" t="str">
        <f t="shared" si="3"/>
        <v>28.0</v>
      </c>
      <c r="H253" s="9">
        <f t="shared" si="4"/>
        <v>28</v>
      </c>
      <c r="I253" s="6" t="str">
        <f>IFERROR(__xludf.DUMMYFUNCTION("MAX(FILTER($H:$H,$E:$E=F253))"),"#N/A")</f>
        <v>#N/A</v>
      </c>
    </row>
    <row r="254">
      <c r="C254" s="4" t="s">
        <v>393</v>
      </c>
      <c r="D254" s="4" t="str">
        <f t="shared" si="1"/>
        <v>{"valorA":"gostei","valorB":4.0}</v>
      </c>
      <c r="E254" s="8" t="str">
        <f t="shared" si="2"/>
        <v>gostei</v>
      </c>
      <c r="F254" s="8"/>
      <c r="G254" s="8" t="str">
        <f t="shared" si="3"/>
        <v>4.0</v>
      </c>
      <c r="H254" s="9">
        <f t="shared" si="4"/>
        <v>4</v>
      </c>
      <c r="I254" s="6" t="str">
        <f>IFERROR(__xludf.DUMMYFUNCTION("MAX(FILTER($H:$H,$E:$E=F254))"),"#N/A")</f>
        <v>#N/A</v>
      </c>
    </row>
    <row r="255">
      <c r="C255" s="4" t="s">
        <v>314</v>
      </c>
      <c r="D255" s="4" t="str">
        <f t="shared" si="1"/>
        <v>{"valorA":"resultado","valorB":1.0}</v>
      </c>
      <c r="E255" s="8" t="str">
        <f t="shared" si="2"/>
        <v>resultado</v>
      </c>
      <c r="F255" s="8"/>
      <c r="G255" s="8" t="str">
        <f t="shared" si="3"/>
        <v>1.0</v>
      </c>
      <c r="H255" s="9">
        <f t="shared" si="4"/>
        <v>1</v>
      </c>
      <c r="I255" s="6" t="str">
        <f>IFERROR(__xludf.DUMMYFUNCTION("MAX(FILTER($H:$H,$E:$E=F255))"),"#N/A")</f>
        <v>#N/A</v>
      </c>
    </row>
    <row r="256">
      <c r="C256" s="4" t="s">
        <v>595</v>
      </c>
      <c r="D256" s="4" t="str">
        <f t="shared" si="1"/>
        <v>{"valorA":"paguei","valorB":2.0}</v>
      </c>
      <c r="E256" s="8" t="str">
        <f t="shared" si="2"/>
        <v>paguei</v>
      </c>
      <c r="F256" s="8"/>
      <c r="G256" s="8" t="str">
        <f t="shared" si="3"/>
        <v>2.0</v>
      </c>
      <c r="H256" s="9">
        <f t="shared" si="4"/>
        <v>2</v>
      </c>
      <c r="I256" s="6" t="str">
        <f>IFERROR(__xludf.DUMMYFUNCTION("MAX(FILTER($H:$H,$E:$E=F256))"),"#N/A")</f>
        <v>#N/A</v>
      </c>
    </row>
    <row r="257">
      <c r="C257" s="4" t="s">
        <v>4914</v>
      </c>
      <c r="D257" s="4" t="str">
        <f t="shared" si="1"/>
        <v>{"valorA":"adora","valorB":2.0}</v>
      </c>
      <c r="E257" s="8" t="str">
        <f t="shared" si="2"/>
        <v>adora</v>
      </c>
      <c r="F257" s="8"/>
      <c r="G257" s="8" t="str">
        <f t="shared" si="3"/>
        <v>2.0</v>
      </c>
      <c r="H257" s="9">
        <f t="shared" si="4"/>
        <v>2</v>
      </c>
      <c r="I257" s="6" t="str">
        <f>IFERROR(__xludf.DUMMYFUNCTION("MAX(FILTER($H:$H,$E:$E=F257))"),"#N/A")</f>
        <v>#N/A</v>
      </c>
    </row>
    <row r="258">
      <c r="C258" s="4" t="s">
        <v>637</v>
      </c>
      <c r="D258" s="4" t="str">
        <f t="shared" si="1"/>
        <v>{"valorA":"preço","valorB":7.0}</v>
      </c>
      <c r="E258" s="8" t="str">
        <f t="shared" si="2"/>
        <v>preço</v>
      </c>
      <c r="F258" s="8"/>
      <c r="G258" s="8" t="str">
        <f t="shared" si="3"/>
        <v>7.0</v>
      </c>
      <c r="H258" s="9">
        <f t="shared" si="4"/>
        <v>7</v>
      </c>
      <c r="I258" s="6" t="str">
        <f>IFERROR(__xludf.DUMMYFUNCTION("MAX(FILTER($H:$H,$E:$E=F258))"),"#N/A")</f>
        <v>#N/A</v>
      </c>
    </row>
    <row r="259">
      <c r="C259" s="4" t="s">
        <v>1272</v>
      </c>
      <c r="D259" s="4" t="str">
        <f t="shared" si="1"/>
        <v>{"valorA":"minha","valorB":2.0}</v>
      </c>
      <c r="E259" s="8" t="str">
        <f t="shared" si="2"/>
        <v>minha</v>
      </c>
      <c r="F259" s="8"/>
      <c r="G259" s="8" t="str">
        <f t="shared" si="3"/>
        <v>2.0</v>
      </c>
      <c r="H259" s="9">
        <f t="shared" si="4"/>
        <v>2</v>
      </c>
      <c r="I259" s="6" t="str">
        <f>IFERROR(__xludf.DUMMYFUNCTION("MAX(FILTER($H:$H,$E:$E=F259))"),"#N/A")</f>
        <v>#N/A</v>
      </c>
    </row>
    <row r="260">
      <c r="C260" s="4" t="s">
        <v>633</v>
      </c>
      <c r="D260" s="4" t="str">
        <f t="shared" si="1"/>
        <v>{"valorA":"tv","valorB":2.0}</v>
      </c>
      <c r="E260" s="8" t="str">
        <f t="shared" si="2"/>
        <v>tv</v>
      </c>
      <c r="F260" s="8"/>
      <c r="G260" s="8" t="str">
        <f t="shared" si="3"/>
        <v>2.0</v>
      </c>
      <c r="H260" s="9">
        <f t="shared" si="4"/>
        <v>2</v>
      </c>
      <c r="I260" s="6" t="str">
        <f>IFERROR(__xludf.DUMMYFUNCTION("MAX(FILTER($H:$H,$E:$E=F260))"),"#N/A")</f>
        <v>#N/A</v>
      </c>
    </row>
    <row r="261">
      <c r="C261" s="4" t="s">
        <v>648</v>
      </c>
      <c r="D261" s="4" t="str">
        <f t="shared" si="1"/>
        <v>{"valorA":"bom","valorB":2.0}</v>
      </c>
      <c r="E261" s="8" t="str">
        <f t="shared" si="2"/>
        <v>bom</v>
      </c>
      <c r="F261" s="8"/>
      <c r="G261" s="8" t="str">
        <f t="shared" si="3"/>
        <v>2.0</v>
      </c>
      <c r="H261" s="9">
        <f t="shared" si="4"/>
        <v>2</v>
      </c>
      <c r="I261" s="6" t="str">
        <f>IFERROR(__xludf.DUMMYFUNCTION("MAX(FILTER($H:$H,$E:$E=F261))"),"#N/A")</f>
        <v>#N/A</v>
      </c>
    </row>
    <row r="262">
      <c r="C262" s="4" t="s">
        <v>727</v>
      </c>
      <c r="D262" s="4" t="str">
        <f t="shared" si="1"/>
        <v>{"valorA":"ótimo","valorB":29.0}</v>
      </c>
      <c r="E262" s="8" t="str">
        <f t="shared" si="2"/>
        <v>ótimo</v>
      </c>
      <c r="F262" s="8"/>
      <c r="G262" s="8" t="str">
        <f t="shared" si="3"/>
        <v>29.0</v>
      </c>
      <c r="H262" s="9">
        <f t="shared" si="4"/>
        <v>29</v>
      </c>
      <c r="I262" s="6" t="str">
        <f>IFERROR(__xludf.DUMMYFUNCTION("MAX(FILTER($H:$H,$E:$E=F262))"),"#N/A")</f>
        <v>#N/A</v>
      </c>
    </row>
    <row r="263">
      <c r="C263" s="4" t="s">
        <v>654</v>
      </c>
      <c r="D263" s="4" t="str">
        <f t="shared" si="1"/>
        <v>{"valorA":"preço","valorB":8.0}</v>
      </c>
      <c r="E263" s="8" t="str">
        <f t="shared" si="2"/>
        <v>preço</v>
      </c>
      <c r="F263" s="8"/>
      <c r="G263" s="8" t="str">
        <f t="shared" si="3"/>
        <v>8.0</v>
      </c>
      <c r="H263" s="9">
        <f t="shared" si="4"/>
        <v>8</v>
      </c>
      <c r="I263" s="6" t="str">
        <f>IFERROR(__xludf.DUMMYFUNCTION("MAX(FILTER($H:$H,$E:$E=F263))"),"#N/A")</f>
        <v>#N/A</v>
      </c>
    </row>
    <row r="264">
      <c r="C264" s="4" t="s">
        <v>757</v>
      </c>
      <c r="D264" s="4" t="str">
        <f t="shared" si="1"/>
        <v>{"valorA":"para","valorB":13.0}</v>
      </c>
      <c r="E264" s="8" t="str">
        <f t="shared" si="2"/>
        <v>para</v>
      </c>
      <c r="F264" s="8"/>
      <c r="G264" s="8" t="str">
        <f t="shared" si="3"/>
        <v>13.0</v>
      </c>
      <c r="H264" s="9">
        <f t="shared" si="4"/>
        <v>13</v>
      </c>
      <c r="I264" s="6" t="str">
        <f>IFERROR(__xludf.DUMMYFUNCTION("MAX(FILTER($H:$H,$E:$E=F264))"),"#N/A")</f>
        <v>#N/A</v>
      </c>
    </row>
    <row r="265">
      <c r="C265" s="4" t="s">
        <v>266</v>
      </c>
      <c r="D265" s="4" t="str">
        <f t="shared" si="1"/>
        <v>{"valorA":"barato","valorB":1.0}</v>
      </c>
      <c r="E265" s="8" t="str">
        <f t="shared" si="2"/>
        <v>barato</v>
      </c>
      <c r="F265" s="8"/>
      <c r="G265" s="8" t="str">
        <f t="shared" si="3"/>
        <v>1.0</v>
      </c>
      <c r="H265" s="9">
        <f t="shared" si="4"/>
        <v>1</v>
      </c>
      <c r="I265" s="6" t="str">
        <f>IFERROR(__xludf.DUMMYFUNCTION("MAX(FILTER($H:$H,$E:$E=F265))"),"#N/A")</f>
        <v>#N/A</v>
      </c>
    </row>
    <row r="266">
      <c r="C266" s="4" t="s">
        <v>1030</v>
      </c>
      <c r="D266" s="4" t="str">
        <f t="shared" si="1"/>
        <v>{"valorA":"condicionado","valorB":1.0}</v>
      </c>
      <c r="E266" s="8" t="str">
        <f t="shared" si="2"/>
        <v>condicionado</v>
      </c>
      <c r="F266" s="8"/>
      <c r="G266" s="8" t="str">
        <f t="shared" si="3"/>
        <v>1.0</v>
      </c>
      <c r="H266" s="9">
        <f t="shared" si="4"/>
        <v>1</v>
      </c>
      <c r="I266" s="6" t="str">
        <f>IFERROR(__xludf.DUMMYFUNCTION("MAX(FILTER($H:$H,$E:$E=F266))"),"#N/A")</f>
        <v>#N/A</v>
      </c>
    </row>
    <row r="267">
      <c r="C267" s="4" t="s">
        <v>439</v>
      </c>
      <c r="D267" s="4" t="str">
        <f t="shared" si="1"/>
        <v>{"valorA":"usar","valorB":5.0}</v>
      </c>
      <c r="E267" s="8" t="str">
        <f t="shared" si="2"/>
        <v>usar</v>
      </c>
      <c r="F267" s="8"/>
      <c r="G267" s="8" t="str">
        <f t="shared" si="3"/>
        <v>5.0</v>
      </c>
      <c r="H267" s="9">
        <f t="shared" si="4"/>
        <v>5</v>
      </c>
      <c r="I267" s="6" t="str">
        <f>IFERROR(__xludf.DUMMYFUNCTION("MAX(FILTER($H:$H,$E:$E=F267))"),"#N/A")</f>
        <v>#N/A</v>
      </c>
    </row>
    <row r="268">
      <c r="C268" s="4" t="s">
        <v>4915</v>
      </c>
      <c r="D268" s="4" t="str">
        <f t="shared" si="1"/>
        <v>{"valorA":"solução","valorB":1.0}</v>
      </c>
      <c r="E268" s="8" t="str">
        <f t="shared" si="2"/>
        <v>solução</v>
      </c>
      <c r="F268" s="8"/>
      <c r="G268" s="8" t="str">
        <f t="shared" si="3"/>
        <v>1.0</v>
      </c>
      <c r="H268" s="9">
        <f t="shared" si="4"/>
        <v>1</v>
      </c>
      <c r="I268" s="6" t="str">
        <f>IFERROR(__xludf.DUMMYFUNCTION("MAX(FILTER($H:$H,$E:$E=F268))"),"#N/A")</f>
        <v>#N/A</v>
      </c>
    </row>
    <row r="269">
      <c r="C269" s="4" t="s">
        <v>787</v>
      </c>
      <c r="D269" s="4" t="str">
        <f t="shared" si="1"/>
        <v>{"valorA":"e","valorB":14.0}</v>
      </c>
      <c r="E269" s="8" t="str">
        <f t="shared" si="2"/>
        <v>e</v>
      </c>
      <c r="F269" s="8"/>
      <c r="G269" s="8" t="str">
        <f t="shared" si="3"/>
        <v>14.0</v>
      </c>
      <c r="H269" s="9">
        <f t="shared" si="4"/>
        <v>14</v>
      </c>
      <c r="I269" s="6" t="str">
        <f>IFERROR(__xludf.DUMMYFUNCTION("MAX(FILTER($H:$H,$E:$E=F269))"),"#N/A")</f>
        <v>#N/A</v>
      </c>
    </row>
    <row r="270">
      <c r="C270" s="4" t="s">
        <v>1450</v>
      </c>
      <c r="D270" s="4" t="str">
        <f t="shared" si="1"/>
        <v>{"valorA":"quem","valorB":5.0}</v>
      </c>
      <c r="E270" s="8" t="str">
        <f t="shared" si="2"/>
        <v>quem</v>
      </c>
      <c r="F270" s="8"/>
      <c r="G270" s="8" t="str">
        <f t="shared" si="3"/>
        <v>5.0</v>
      </c>
      <c r="H270" s="9">
        <f t="shared" si="4"/>
        <v>5</v>
      </c>
      <c r="I270" s="6" t="str">
        <f>IFERROR(__xludf.DUMMYFUNCTION("MAX(FILTER($H:$H,$E:$E=F270))"),"#N/A")</f>
        <v>#N/A</v>
      </c>
    </row>
    <row r="271">
      <c r="C271" s="4" t="s">
        <v>664</v>
      </c>
      <c r="D271" s="4" t="str">
        <f t="shared" si="1"/>
        <v>{"valorA":"bom","valorB":3.0}</v>
      </c>
      <c r="E271" s="8" t="str">
        <f t="shared" si="2"/>
        <v>bom</v>
      </c>
      <c r="F271" s="8"/>
      <c r="G271" s="8" t="str">
        <f t="shared" si="3"/>
        <v>3.0</v>
      </c>
      <c r="H271" s="9">
        <f t="shared" si="4"/>
        <v>3</v>
      </c>
      <c r="I271" s="6" t="str">
        <f>IFERROR(__xludf.DUMMYFUNCTION("MAX(FILTER($H:$H,$E:$E=F271))"),"#N/A")</f>
        <v>#N/A</v>
      </c>
    </row>
    <row r="272">
      <c r="C272" s="4" t="s">
        <v>427</v>
      </c>
      <c r="D272" s="4" t="str">
        <f t="shared" si="1"/>
        <v>{"valorA":"de","valorB":10.0}</v>
      </c>
      <c r="E272" s="8" t="str">
        <f t="shared" si="2"/>
        <v>de</v>
      </c>
      <c r="F272" s="8"/>
      <c r="G272" s="8" t="str">
        <f t="shared" si="3"/>
        <v>10.0</v>
      </c>
      <c r="H272" s="9">
        <f t="shared" si="4"/>
        <v>10</v>
      </c>
      <c r="I272" s="6" t="str">
        <f>IFERROR(__xludf.DUMMYFUNCTION("MAX(FILTER($H:$H,$E:$E=F272))"),"#N/A")</f>
        <v>#N/A</v>
      </c>
    </row>
    <row r="273">
      <c r="C273" s="4" t="s">
        <v>1034</v>
      </c>
      <c r="D273" s="4" t="str">
        <f t="shared" si="1"/>
        <v>{"valorA":"ar","valorB":1.0}</v>
      </c>
      <c r="E273" s="8" t="str">
        <f t="shared" si="2"/>
        <v>ar</v>
      </c>
      <c r="F273" s="8"/>
      <c r="G273" s="8" t="str">
        <f t="shared" si="3"/>
        <v>1.0</v>
      </c>
      <c r="H273" s="9">
        <f t="shared" si="4"/>
        <v>1</v>
      </c>
      <c r="I273" s="6" t="str">
        <f>IFERROR(__xludf.DUMMYFUNCTION("MAX(FILTER($H:$H,$E:$E=F273))"),"#N/A")</f>
        <v>#N/A</v>
      </c>
    </row>
    <row r="274">
      <c r="C274" s="4" t="s">
        <v>741</v>
      </c>
      <c r="D274" s="4" t="str">
        <f t="shared" si="1"/>
        <v>{"valorA":"produto","valorB":22.0}</v>
      </c>
      <c r="E274" s="8" t="str">
        <f t="shared" si="2"/>
        <v>produto</v>
      </c>
      <c r="F274" s="8"/>
      <c r="G274" s="8" t="str">
        <f t="shared" si="3"/>
        <v>22.0</v>
      </c>
      <c r="H274" s="9">
        <f t="shared" si="4"/>
        <v>22</v>
      </c>
      <c r="I274" s="6" t="str">
        <f>IFERROR(__xludf.DUMMYFUNCTION("MAX(FILTER($H:$H,$E:$E=F274))"),"#N/A")</f>
        <v>#N/A</v>
      </c>
    </row>
    <row r="275">
      <c r="C275" s="4" t="s">
        <v>4916</v>
      </c>
      <c r="D275" s="4" t="str">
        <f t="shared" si="1"/>
        <v>{"valorA":"uma","valorB":4.0}</v>
      </c>
      <c r="E275" s="8" t="str">
        <f t="shared" si="2"/>
        <v>uma</v>
      </c>
      <c r="F275" s="8"/>
      <c r="G275" s="8" t="str">
        <f t="shared" si="3"/>
        <v>4.0</v>
      </c>
      <c r="H275" s="9">
        <f t="shared" si="4"/>
        <v>4</v>
      </c>
      <c r="I275" s="6" t="str">
        <f>IFERROR(__xludf.DUMMYFUNCTION("MAX(FILTER($H:$H,$E:$E=F275))"),"#N/A")</f>
        <v>#N/A</v>
      </c>
    </row>
    <row r="276">
      <c r="C276" s="4" t="s">
        <v>376</v>
      </c>
      <c r="D276" s="4" t="str">
        <f t="shared" si="1"/>
        <v>{"valorA":"ótimo","valorB":30.0}</v>
      </c>
      <c r="E276" s="8" t="str">
        <f t="shared" si="2"/>
        <v>ótimo</v>
      </c>
      <c r="F276" s="8"/>
      <c r="G276" s="8" t="str">
        <f t="shared" si="3"/>
        <v>30.0</v>
      </c>
      <c r="H276" s="9">
        <f t="shared" si="4"/>
        <v>30</v>
      </c>
      <c r="I276" s="6" t="str">
        <f>IFERROR(__xludf.DUMMYFUNCTION("MAX(FILTER($H:$H,$E:$E=F276))"),"#N/A")</f>
        <v>#N/A</v>
      </c>
    </row>
    <row r="277">
      <c r="C277" s="4" t="s">
        <v>755</v>
      </c>
      <c r="D277" s="4" t="str">
        <f t="shared" si="1"/>
        <v>{"valorA":"fácil","valorB":6.0}</v>
      </c>
      <c r="E277" s="8" t="str">
        <f t="shared" si="2"/>
        <v>fácil</v>
      </c>
      <c r="F277" s="8"/>
      <c r="G277" s="8" t="str">
        <f t="shared" si="3"/>
        <v>6.0</v>
      </c>
      <c r="H277" s="9">
        <f t="shared" si="4"/>
        <v>6</v>
      </c>
      <c r="I277" s="6" t="str">
        <f>IFERROR(__xludf.DUMMYFUNCTION("MAX(FILTER($H:$H,$E:$E=F277))"),"#N/A")</f>
        <v>#N/A</v>
      </c>
    </row>
    <row r="278">
      <c r="C278" s="4" t="s">
        <v>319</v>
      </c>
      <c r="D278" s="4" t="str">
        <f t="shared" si="1"/>
        <v>{"valorA":"muito","valorB":9.0}</v>
      </c>
      <c r="E278" s="8" t="str">
        <f t="shared" si="2"/>
        <v>muito</v>
      </c>
      <c r="F278" s="8"/>
      <c r="G278" s="8" t="str">
        <f t="shared" si="3"/>
        <v>9.0</v>
      </c>
      <c r="H278" s="9">
        <f t="shared" si="4"/>
        <v>9</v>
      </c>
      <c r="I278" s="6" t="str">
        <f>IFERROR(__xludf.DUMMYFUNCTION("MAX(FILTER($H:$H,$E:$E=F278))"),"#N/A")</f>
        <v>#N/A</v>
      </c>
    </row>
    <row r="279">
      <c r="C279" s="4" t="s">
        <v>1463</v>
      </c>
      <c r="D279" s="4" t="str">
        <f t="shared" si="1"/>
        <v>{"valorA":"busca","valorB":3.0}</v>
      </c>
      <c r="E279" s="8" t="str">
        <f t="shared" si="2"/>
        <v>busca</v>
      </c>
      <c r="F279" s="8"/>
      <c r="G279" s="8" t="str">
        <f t="shared" si="3"/>
        <v>3.0</v>
      </c>
      <c r="H279" s="9">
        <f t="shared" si="4"/>
        <v>3</v>
      </c>
      <c r="I279" s="6" t="str">
        <f>IFERROR(__xludf.DUMMYFUNCTION("MAX(FILTER($H:$H,$E:$E=F279))"),"#N/A")</f>
        <v>#N/A</v>
      </c>
    </row>
    <row r="280">
      <c r="C280" s="4" t="s">
        <v>790</v>
      </c>
      <c r="D280" s="4" t="str">
        <f t="shared" si="1"/>
        <v>{"valorA":"para","valorB":15.0}</v>
      </c>
      <c r="E280" s="8" t="str">
        <f t="shared" si="2"/>
        <v>para</v>
      </c>
      <c r="F280" s="8"/>
      <c r="G280" s="8" t="str">
        <f t="shared" si="3"/>
        <v>15.0</v>
      </c>
      <c r="H280" s="9">
        <f t="shared" si="4"/>
        <v>15</v>
      </c>
      <c r="I280" s="6" t="str">
        <f>IFERROR(__xludf.DUMMYFUNCTION("MAX(FILTER($H:$H,$E:$E=F280))"),"#N/A")</f>
        <v>#N/A</v>
      </c>
    </row>
    <row r="281">
      <c r="C281" s="4" t="s">
        <v>574</v>
      </c>
      <c r="D281" s="4" t="str">
        <f t="shared" si="1"/>
        <v>{"valorA":"chegar","valorB":1.0}</v>
      </c>
      <c r="E281" s="8" t="str">
        <f t="shared" si="2"/>
        <v>chegar</v>
      </c>
      <c r="F281" s="8"/>
      <c r="G281" s="8" t="str">
        <f t="shared" si="3"/>
        <v>1.0</v>
      </c>
      <c r="H281" s="9">
        <f t="shared" si="4"/>
        <v>1</v>
      </c>
      <c r="I281" s="6" t="str">
        <f>IFERROR(__xludf.DUMMYFUNCTION("MAX(FILTER($H:$H,$E:$E=F281))"),"#N/A")</f>
        <v>#N/A</v>
      </c>
    </row>
    <row r="282">
      <c r="C282" s="4" t="s">
        <v>575</v>
      </c>
      <c r="D282" s="4" t="str">
        <f t="shared" si="1"/>
        <v>{"valorA":"demorou","valorB":1.0}</v>
      </c>
      <c r="E282" s="8" t="str">
        <f t="shared" si="2"/>
        <v>demorou</v>
      </c>
      <c r="F282" s="8"/>
      <c r="G282" s="8" t="str">
        <f t="shared" si="3"/>
        <v>1.0</v>
      </c>
      <c r="H282" s="9">
        <f t="shared" si="4"/>
        <v>1</v>
      </c>
      <c r="I282" s="6" t="str">
        <f>IFERROR(__xludf.DUMMYFUNCTION("MAX(FILTER($H:$H,$E:$E=F282))"),"#N/A")</f>
        <v>#N/A</v>
      </c>
    </row>
    <row r="283">
      <c r="C283" s="4" t="s">
        <v>476</v>
      </c>
      <c r="D283" s="4" t="str">
        <f t="shared" si="1"/>
        <v>{"valorA":"o","valorB":8.0}</v>
      </c>
      <c r="E283" s="8" t="str">
        <f t="shared" si="2"/>
        <v>o</v>
      </c>
      <c r="F283" s="8"/>
      <c r="G283" s="8" t="str">
        <f t="shared" si="3"/>
        <v>8.0</v>
      </c>
      <c r="H283" s="9">
        <f t="shared" si="4"/>
        <v>8</v>
      </c>
      <c r="I283" s="6" t="str">
        <f>IFERROR(__xludf.DUMMYFUNCTION("MAX(FILTER($H:$H,$E:$E=F283))"),"#N/A")</f>
        <v>#N/A</v>
      </c>
    </row>
    <row r="284">
      <c r="C284" s="4" t="s">
        <v>746</v>
      </c>
      <c r="D284" s="4" t="str">
        <f t="shared" si="1"/>
        <v>{"valorA":"que","valorB":6.0}</v>
      </c>
      <c r="E284" s="8" t="str">
        <f t="shared" si="2"/>
        <v>que</v>
      </c>
      <c r="F284" s="8"/>
      <c r="G284" s="8" t="str">
        <f t="shared" si="3"/>
        <v>6.0</v>
      </c>
      <c r="H284" s="9">
        <f t="shared" si="4"/>
        <v>6</v>
      </c>
      <c r="I284" s="6" t="str">
        <f>IFERROR(__xludf.DUMMYFUNCTION("MAX(FILTER($H:$H,$E:$E=F284))"),"#N/A")</f>
        <v>#N/A</v>
      </c>
    </row>
    <row r="285">
      <c r="C285" s="4" t="s">
        <v>413</v>
      </c>
      <c r="D285" s="4" t="str">
        <f t="shared" si="1"/>
        <v>{"valorA":"produto","valorB":24.0}</v>
      </c>
      <c r="E285" s="8" t="str">
        <f t="shared" si="2"/>
        <v>produto</v>
      </c>
      <c r="F285" s="8"/>
      <c r="G285" s="8" t="str">
        <f t="shared" si="3"/>
        <v>24.0</v>
      </c>
      <c r="H285" s="9">
        <f t="shared" si="4"/>
        <v>24</v>
      </c>
      <c r="I285" s="6" t="str">
        <f>IFERROR(__xludf.DUMMYFUNCTION("MAX(FILTER($H:$H,$E:$E=F285))"),"#N/A")</f>
        <v>#N/A</v>
      </c>
    </row>
    <row r="286">
      <c r="C286" s="4" t="s">
        <v>429</v>
      </c>
      <c r="D286" s="4" t="str">
        <f t="shared" si="1"/>
        <v>{"valorA":"gostei","valorB":5.0}</v>
      </c>
      <c r="E286" s="8" t="str">
        <f t="shared" si="2"/>
        <v>gostei</v>
      </c>
      <c r="F286" s="8"/>
      <c r="G286" s="8" t="str">
        <f t="shared" si="3"/>
        <v>5.0</v>
      </c>
      <c r="H286" s="9">
        <f t="shared" si="4"/>
        <v>5</v>
      </c>
      <c r="I286" s="6" t="str">
        <f>IFERROR(__xludf.DUMMYFUNCTION("MAX(FILTER($H:$H,$E:$E=F286))"),"#N/A")</f>
        <v>#N/A</v>
      </c>
    </row>
    <row r="287">
      <c r="C287" s="4" t="s">
        <v>747</v>
      </c>
      <c r="D287" s="4" t="str">
        <f t="shared" si="1"/>
        <v>{"valorA":"ótimo","valorB":32.0}</v>
      </c>
      <c r="E287" s="8" t="str">
        <f t="shared" si="2"/>
        <v>ótimo</v>
      </c>
      <c r="F287" s="8"/>
      <c r="G287" s="8" t="str">
        <f t="shared" si="3"/>
        <v>32.0</v>
      </c>
      <c r="H287" s="9">
        <f t="shared" si="4"/>
        <v>32</v>
      </c>
      <c r="I287" s="6" t="str">
        <f>IFERROR(__xludf.DUMMYFUNCTION("MAX(FILTER($H:$H,$E:$E=F287))"),"#N/A")</f>
        <v>#N/A</v>
      </c>
    </row>
    <row r="288">
      <c r="C288" s="4" t="s">
        <v>358</v>
      </c>
      <c r="D288" s="4" t="str">
        <f t="shared" si="1"/>
        <v>{"valorA":"muito","valorB":11.0}</v>
      </c>
      <c r="E288" s="8" t="str">
        <f t="shared" si="2"/>
        <v>muito</v>
      </c>
      <c r="F288" s="8"/>
      <c r="G288" s="8" t="str">
        <f t="shared" si="3"/>
        <v>11.0</v>
      </c>
      <c r="H288" s="9">
        <f t="shared" si="4"/>
        <v>11</v>
      </c>
      <c r="I288" s="6" t="str">
        <f>IFERROR(__xludf.DUMMYFUNCTION("MAX(FILTER($H:$H,$E:$E=F288))"),"#N/A")</f>
        <v>#N/A</v>
      </c>
    </row>
    <row r="289">
      <c r="C289" s="4" t="s">
        <v>701</v>
      </c>
      <c r="D289" s="4" t="str">
        <f t="shared" si="1"/>
        <v>{"valorA":"mas","valorB":5.0}</v>
      </c>
      <c r="E289" s="8" t="str">
        <f t="shared" si="2"/>
        <v>mas</v>
      </c>
      <c r="F289" s="8"/>
      <c r="G289" s="8" t="str">
        <f t="shared" si="3"/>
        <v>5.0</v>
      </c>
      <c r="H289" s="9">
        <f t="shared" si="4"/>
        <v>5</v>
      </c>
      <c r="I289" s="6" t="str">
        <f>IFERROR(__xludf.DUMMYFUNCTION("MAX(FILTER($H:$H,$E:$E=F289))"),"#N/A")</f>
        <v>#N/A</v>
      </c>
    </row>
    <row r="290">
      <c r="C290" s="4" t="s">
        <v>4917</v>
      </c>
      <c r="D290" s="4" t="str">
        <f t="shared" si="1"/>
        <v>{"valorA":"custou","valorB":3.0}</v>
      </c>
      <c r="E290" s="8" t="str">
        <f t="shared" si="2"/>
        <v>custou</v>
      </c>
      <c r="F290" s="8"/>
      <c r="G290" s="8" t="str">
        <f t="shared" si="3"/>
        <v>3.0</v>
      </c>
      <c r="H290" s="9">
        <f t="shared" si="4"/>
        <v>3</v>
      </c>
      <c r="I290" s="6" t="str">
        <f>IFERROR(__xludf.DUMMYFUNCTION("MAX(FILTER($H:$H,$E:$E=F290))"),"#N/A")</f>
        <v>#N/A</v>
      </c>
    </row>
    <row r="291">
      <c r="C291" s="4" t="s">
        <v>657</v>
      </c>
      <c r="D291" s="4" t="str">
        <f t="shared" si="1"/>
        <v>{"valorA":"preço","valorB":9.0}</v>
      </c>
      <c r="E291" s="8" t="str">
        <f t="shared" si="2"/>
        <v>preço</v>
      </c>
      <c r="F291" s="8"/>
      <c r="G291" s="8" t="str">
        <f t="shared" si="3"/>
        <v>9.0</v>
      </c>
      <c r="H291" s="9">
        <f t="shared" si="4"/>
        <v>9</v>
      </c>
      <c r="I291" s="6" t="str">
        <f>IFERROR(__xludf.DUMMYFUNCTION("MAX(FILTER($H:$H,$E:$E=F291))"),"#N/A")</f>
        <v>#N/A</v>
      </c>
    </row>
    <row r="292">
      <c r="C292" s="4" t="s">
        <v>573</v>
      </c>
      <c r="D292" s="4" t="str">
        <f t="shared" si="1"/>
        <v>{"valorA":"valorizei","valorB":1.0}</v>
      </c>
      <c r="E292" s="8" t="str">
        <f t="shared" si="2"/>
        <v>valorizei</v>
      </c>
      <c r="F292" s="8"/>
      <c r="G292" s="8" t="str">
        <f t="shared" si="3"/>
        <v>1.0</v>
      </c>
      <c r="H292" s="9">
        <f t="shared" si="4"/>
        <v>1</v>
      </c>
      <c r="I292" s="6" t="str">
        <f>IFERROR(__xludf.DUMMYFUNCTION("MAX(FILTER($H:$H,$E:$E=F292))"),"#N/A")</f>
        <v>#N/A</v>
      </c>
    </row>
    <row r="293">
      <c r="C293" s="4" t="s">
        <v>717</v>
      </c>
      <c r="D293" s="4" t="str">
        <f t="shared" si="1"/>
        <v>{"valorA":"gostaria","valorB":2.0}</v>
      </c>
      <c r="E293" s="8" t="str">
        <f t="shared" si="2"/>
        <v>gostaria</v>
      </c>
      <c r="F293" s="8"/>
      <c r="G293" s="8" t="str">
        <f t="shared" si="3"/>
        <v>2.0</v>
      </c>
      <c r="H293" s="9">
        <f t="shared" si="4"/>
        <v>2</v>
      </c>
      <c r="I293" s="6" t="str">
        <f>IFERROR(__xludf.DUMMYFUNCTION("MAX(FILTER($H:$H,$E:$E=F293))"),"#N/A")</f>
        <v>#N/A</v>
      </c>
    </row>
    <row r="294">
      <c r="C294" s="4" t="s">
        <v>791</v>
      </c>
      <c r="D294" s="4" t="str">
        <f t="shared" si="1"/>
        <v>{"valorA":"o","valorB":9.0}</v>
      </c>
      <c r="E294" s="8" t="str">
        <f t="shared" si="2"/>
        <v>o</v>
      </c>
      <c r="F294" s="8"/>
      <c r="G294" s="8" t="str">
        <f t="shared" si="3"/>
        <v>9.0</v>
      </c>
      <c r="H294" s="9">
        <f t="shared" si="4"/>
        <v>9</v>
      </c>
      <c r="I294" s="6" t="str">
        <f>IFERROR(__xludf.DUMMYFUNCTION("MAX(FILTER($H:$H,$E:$E=F294))"),"#N/A")</f>
        <v>#N/A</v>
      </c>
    </row>
    <row r="295">
      <c r="C295" s="4" t="s">
        <v>478</v>
      </c>
      <c r="D295" s="4" t="str">
        <f t="shared" si="1"/>
        <v>{"valorA":"dinheiro","valorB":1.0}</v>
      </c>
      <c r="E295" s="8" t="str">
        <f t="shared" si="2"/>
        <v>dinheiro</v>
      </c>
      <c r="F295" s="8"/>
      <c r="G295" s="8" t="str">
        <f t="shared" si="3"/>
        <v>1.0</v>
      </c>
      <c r="H295" s="9">
        <f t="shared" si="4"/>
        <v>1</v>
      </c>
      <c r="I295" s="6" t="str">
        <f>IFERROR(__xludf.DUMMYFUNCTION("MAX(FILTER($H:$H,$E:$E=F295))"),"#N/A")</f>
        <v>#N/A</v>
      </c>
    </row>
    <row r="296">
      <c r="C296" s="4" t="s">
        <v>4918</v>
      </c>
      <c r="D296" s="4" t="str">
        <f t="shared" si="1"/>
        <v>{"valorA":"menos","valorB":1.0}</v>
      </c>
      <c r="E296" s="8" t="str">
        <f t="shared" si="2"/>
        <v>menos</v>
      </c>
      <c r="F296" s="8"/>
      <c r="G296" s="8" t="str">
        <f t="shared" si="3"/>
        <v>1.0</v>
      </c>
      <c r="H296" s="9">
        <f t="shared" si="4"/>
        <v>1</v>
      </c>
      <c r="I296" s="6" t="str">
        <f>IFERROR(__xludf.DUMMYFUNCTION("MAX(FILTER($H:$H,$E:$E=F296))"),"#N/A")</f>
        <v>#N/A</v>
      </c>
    </row>
    <row r="297">
      <c r="C297" s="4" t="s">
        <v>760</v>
      </c>
      <c r="D297" s="4" t="str">
        <f t="shared" si="1"/>
        <v>{"valorA":"que","valorB":7.0}</v>
      </c>
      <c r="E297" s="8" t="str">
        <f t="shared" si="2"/>
        <v>que</v>
      </c>
      <c r="F297" s="8"/>
      <c r="G297" s="8" t="str">
        <f t="shared" si="3"/>
        <v>7.0</v>
      </c>
      <c r="H297" s="9">
        <f t="shared" si="4"/>
        <v>7</v>
      </c>
      <c r="I297" s="6" t="str">
        <f>IFERROR(__xludf.DUMMYFUNCTION("MAX(FILTER($H:$H,$E:$E=F297))"),"#N/A")</f>
        <v>#N/A</v>
      </c>
    </row>
    <row r="298">
      <c r="C298" s="4" t="s">
        <v>766</v>
      </c>
      <c r="D298" s="4" t="str">
        <f t="shared" si="1"/>
        <v>{"valorA":"produto","valorB":25.0}</v>
      </c>
      <c r="E298" s="8" t="str">
        <f t="shared" si="2"/>
        <v>produto</v>
      </c>
      <c r="F298" s="8"/>
      <c r="G298" s="8" t="str">
        <f t="shared" si="3"/>
        <v>25.0</v>
      </c>
      <c r="H298" s="9">
        <f t="shared" si="4"/>
        <v>25</v>
      </c>
      <c r="I298" s="6" t="str">
        <f>IFERROR(__xludf.DUMMYFUNCTION("MAX(FILTER($H:$H,$E:$E=F298))"),"#N/A")</f>
        <v>#N/A</v>
      </c>
    </row>
    <row r="299">
      <c r="C299" s="4" t="s">
        <v>762</v>
      </c>
      <c r="D299" s="4" t="str">
        <f t="shared" si="1"/>
        <v>{"valorA":"ótimo","valorB":33.0}</v>
      </c>
      <c r="E299" s="8" t="str">
        <f t="shared" si="2"/>
        <v>ótimo</v>
      </c>
      <c r="F299" s="8"/>
      <c r="G299" s="8" t="str">
        <f t="shared" si="3"/>
        <v>33.0</v>
      </c>
      <c r="H299" s="9">
        <f t="shared" si="4"/>
        <v>33</v>
      </c>
      <c r="I299" s="6" t="str">
        <f>IFERROR(__xludf.DUMMYFUNCTION("MAX(FILTER($H:$H,$E:$E=F299))"),"#N/A")</f>
        <v>#N/A</v>
      </c>
    </row>
    <row r="300">
      <c r="C300" s="4" t="s">
        <v>742</v>
      </c>
      <c r="D300" s="4" t="str">
        <f t="shared" si="1"/>
        <v>{"valorA":"mas","valorB":6.0}</v>
      </c>
      <c r="E300" s="8" t="str">
        <f t="shared" si="2"/>
        <v>mas</v>
      </c>
      <c r="F300" s="8"/>
      <c r="G300" s="8" t="str">
        <f t="shared" si="3"/>
        <v>6.0</v>
      </c>
      <c r="H300" s="9">
        <f t="shared" si="4"/>
        <v>6</v>
      </c>
      <c r="I300" s="6" t="str">
        <f>IFERROR(__xludf.DUMMYFUNCTION("MAX(FILTER($H:$H,$E:$E=F300))"),"#N/A")</f>
        <v>#N/A</v>
      </c>
    </row>
    <row r="301">
      <c r="C301" s="4" t="s">
        <v>652</v>
      </c>
      <c r="D301" s="4" t="str">
        <f t="shared" si="1"/>
        <v>{"valorA":"não","valorB":4.0}</v>
      </c>
      <c r="E301" s="8" t="str">
        <f t="shared" si="2"/>
        <v>não</v>
      </c>
      <c r="F301" s="8"/>
      <c r="G301" s="8" t="str">
        <f t="shared" si="3"/>
        <v>4.0</v>
      </c>
      <c r="H301" s="9">
        <f t="shared" si="4"/>
        <v>4</v>
      </c>
      <c r="I301" s="6" t="str">
        <f>IFERROR(__xludf.DUMMYFUNCTION("MAX(FILTER($H:$H,$E:$E=F301))"),"#N/A")</f>
        <v>#N/A</v>
      </c>
    </row>
    <row r="302">
      <c r="C302" s="4" t="s">
        <v>4919</v>
      </c>
      <c r="D302" s="4" t="str">
        <f t="shared" si="1"/>
        <v>{"valorA":"tivesse","valorB":1.0}</v>
      </c>
      <c r="E302" s="8" t="str">
        <f t="shared" si="2"/>
        <v>tivesse</v>
      </c>
      <c r="F302" s="8"/>
      <c r="G302" s="8" t="str">
        <f t="shared" si="3"/>
        <v>1.0</v>
      </c>
      <c r="H302" s="9">
        <f t="shared" si="4"/>
        <v>1</v>
      </c>
      <c r="I302" s="6" t="str">
        <f>IFERROR(__xludf.DUMMYFUNCTION("MAX(FILTER($H:$H,$E:$E=F302))"),"#N/A")</f>
        <v>#N/A</v>
      </c>
    </row>
    <row r="303">
      <c r="C303" s="4" t="s">
        <v>4920</v>
      </c>
      <c r="D303" s="4" t="str">
        <f t="shared" si="1"/>
        <v>{"valorA":"custado","valorB":1.0}</v>
      </c>
      <c r="E303" s="8" t="str">
        <f t="shared" si="2"/>
        <v>custado</v>
      </c>
      <c r="F303" s="8"/>
      <c r="G303" s="8" t="str">
        <f t="shared" si="3"/>
        <v>1.0</v>
      </c>
      <c r="H303" s="9">
        <f t="shared" si="4"/>
        <v>1</v>
      </c>
      <c r="I303" s="6" t="str">
        <f>IFERROR(__xludf.DUMMYFUNCTION("MAX(FILTER($H:$H,$E:$E=F303))"),"#N/A")</f>
        <v>#N/A</v>
      </c>
    </row>
    <row r="304">
      <c r="C304" s="4" t="s">
        <v>705</v>
      </c>
      <c r="D304" s="4" t="str">
        <f t="shared" si="1"/>
        <v>{"valorA":"preço","valorB":10.0}</v>
      </c>
      <c r="E304" s="8" t="str">
        <f t="shared" si="2"/>
        <v>preço</v>
      </c>
      <c r="F304" s="8"/>
      <c r="G304" s="8" t="str">
        <f t="shared" si="3"/>
        <v>10.0</v>
      </c>
      <c r="H304" s="9">
        <f t="shared" si="4"/>
        <v>10</v>
      </c>
      <c r="I304" s="6" t="str">
        <f>IFERROR(__xludf.DUMMYFUNCTION("MAX(FILTER($H:$H,$E:$E=F304))"),"#N/A")</f>
        <v>#N/A</v>
      </c>
    </row>
    <row r="305">
      <c r="C305" s="4" t="s">
        <v>836</v>
      </c>
      <c r="D305" s="4" t="str">
        <f t="shared" si="1"/>
        <v>{"valorA":"exemplos","valorB":1.0}</v>
      </c>
      <c r="E305" s="8" t="str">
        <f t="shared" si="2"/>
        <v>exemplos</v>
      </c>
      <c r="F305" s="8"/>
      <c r="G305" s="8" t="str">
        <f t="shared" si="3"/>
        <v>1.0</v>
      </c>
      <c r="H305" s="9">
        <f t="shared" si="4"/>
        <v>1</v>
      </c>
      <c r="I305" s="6" t="str">
        <f>IFERROR(__xludf.DUMMYFUNCTION("MAX(FILTER($H:$H,$E:$E=F305))"),"#N/A")</f>
        <v>#N/A</v>
      </c>
    </row>
    <row r="306">
      <c r="C306" s="4" t="s">
        <v>1647</v>
      </c>
      <c r="D306" s="4" t="str">
        <f t="shared" si="1"/>
        <v>{"valorA":"para","valorB":16.0}</v>
      </c>
      <c r="E306" s="8" t="str">
        <f t="shared" si="2"/>
        <v>para</v>
      </c>
      <c r="F306" s="8"/>
      <c r="G306" s="8" t="str">
        <f t="shared" si="3"/>
        <v>16.0</v>
      </c>
      <c r="H306" s="9">
        <f t="shared" si="4"/>
        <v>16</v>
      </c>
      <c r="I306" s="6" t="str">
        <f>IFERROR(__xludf.DUMMYFUNCTION("MAX(FILTER($H:$H,$E:$E=F306))"),"#N/A")</f>
        <v>#N/A</v>
      </c>
    </row>
    <row r="307">
      <c r="C307" s="4" t="s">
        <v>786</v>
      </c>
      <c r="D307" s="4" t="str">
        <f t="shared" si="1"/>
        <v>{"valorA":"usar","valorB":6.0}</v>
      </c>
      <c r="E307" s="8" t="str">
        <f t="shared" si="2"/>
        <v>usar</v>
      </c>
      <c r="F307" s="8"/>
      <c r="G307" s="8" t="str">
        <f t="shared" si="3"/>
        <v>6.0</v>
      </c>
      <c r="H307" s="9">
        <f t="shared" si="4"/>
        <v>6</v>
      </c>
      <c r="I307" s="6" t="str">
        <f>IFERROR(__xludf.DUMMYFUNCTION("MAX(FILTER($H:$H,$E:$E=F307))"),"#N/A")</f>
        <v>#N/A</v>
      </c>
    </row>
    <row r="308">
      <c r="C308" s="4" t="s">
        <v>4921</v>
      </c>
      <c r="D308" s="4" t="str">
        <f t="shared" si="1"/>
        <v>{"valorA":"laptop","valorB":2.0}</v>
      </c>
      <c r="E308" s="8" t="str">
        <f t="shared" si="2"/>
        <v>laptop</v>
      </c>
      <c r="F308" s="8"/>
      <c r="G308" s="8" t="str">
        <f t="shared" si="3"/>
        <v>2.0</v>
      </c>
      <c r="H308" s="9">
        <f t="shared" si="4"/>
        <v>2</v>
      </c>
      <c r="I308" s="6" t="str">
        <f>IFERROR(__xludf.DUMMYFUNCTION("MAX(FILTER($H:$H,$E:$E=F308))"),"#N/A")</f>
        <v>#N/A</v>
      </c>
    </row>
    <row r="309">
      <c r="C309" s="4" t="s">
        <v>1462</v>
      </c>
      <c r="D309" s="4" t="str">
        <f t="shared" si="1"/>
        <v>{"valorA":"quem","valorB":6.0}</v>
      </c>
      <c r="E309" s="8" t="str">
        <f t="shared" si="2"/>
        <v>quem</v>
      </c>
      <c r="F309" s="8"/>
      <c r="G309" s="8" t="str">
        <f t="shared" si="3"/>
        <v>6.0</v>
      </c>
      <c r="H309" s="9">
        <f t="shared" si="4"/>
        <v>6</v>
      </c>
      <c r="I309" s="6" t="str">
        <f>IFERROR(__xludf.DUMMYFUNCTION("MAX(FILTER($H:$H,$E:$E=F309))"),"#N/A")</f>
        <v>#N/A</v>
      </c>
    </row>
    <row r="310">
      <c r="C310" s="4" t="s">
        <v>861</v>
      </c>
      <c r="D310" s="4" t="str">
        <f t="shared" si="1"/>
        <v>{"valorA":"e","valorB":16.0}</v>
      </c>
      <c r="E310" s="8" t="str">
        <f t="shared" si="2"/>
        <v>e</v>
      </c>
      <c r="F310" s="8"/>
      <c r="G310" s="8" t="str">
        <f t="shared" si="3"/>
        <v>16.0</v>
      </c>
      <c r="H310" s="9">
        <f t="shared" si="4"/>
        <v>16</v>
      </c>
      <c r="I310" s="6" t="str">
        <f>IFERROR(__xludf.DUMMYFUNCTION("MAX(FILTER($H:$H,$E:$E=F310))"),"#N/A")</f>
        <v>#N/A</v>
      </c>
    </row>
    <row r="311">
      <c r="C311" s="4" t="s">
        <v>441</v>
      </c>
      <c r="D311" s="4" t="str">
        <f t="shared" si="1"/>
        <v>{"valorA":"de","valorB":11.0}</v>
      </c>
      <c r="E311" s="8" t="str">
        <f t="shared" si="2"/>
        <v>de</v>
      </c>
      <c r="F311" s="8"/>
      <c r="G311" s="8" t="str">
        <f t="shared" si="3"/>
        <v>11.0</v>
      </c>
      <c r="H311" s="9">
        <f t="shared" si="4"/>
        <v>11</v>
      </c>
      <c r="I311" s="6" t="str">
        <f>IFERROR(__xludf.DUMMYFUNCTION("MAX(FILTER($H:$H,$E:$E=F311))"),"#N/A")</f>
        <v>#N/A</v>
      </c>
    </row>
    <row r="312">
      <c r="C312" s="4" t="s">
        <v>428</v>
      </c>
      <c r="D312" s="4" t="str">
        <f t="shared" si="1"/>
        <v>{"valorA":"produto","valorB":26.0}</v>
      </c>
      <c r="E312" s="8" t="str">
        <f t="shared" si="2"/>
        <v>produto</v>
      </c>
      <c r="F312" s="8"/>
      <c r="G312" s="8" t="str">
        <f t="shared" si="3"/>
        <v>26.0</v>
      </c>
      <c r="H312" s="9">
        <f t="shared" si="4"/>
        <v>26</v>
      </c>
      <c r="I312" s="6" t="str">
        <f>IFERROR(__xludf.DUMMYFUNCTION("MAX(FILTER($H:$H,$E:$E=F312))"),"#N/A")</f>
        <v>#N/A</v>
      </c>
    </row>
    <row r="313">
      <c r="C313" s="4" t="s">
        <v>4922</v>
      </c>
      <c r="D313" s="4" t="str">
        <f t="shared" si="1"/>
        <v>{"valorA":"leve","valorB":2.0}</v>
      </c>
      <c r="E313" s="8" t="str">
        <f t="shared" si="2"/>
        <v>leve</v>
      </c>
      <c r="F313" s="8"/>
      <c r="G313" s="8" t="str">
        <f t="shared" si="3"/>
        <v>2.0</v>
      </c>
      <c r="H313" s="9">
        <f t="shared" si="4"/>
        <v>2</v>
      </c>
      <c r="I313" s="6" t="str">
        <f>IFERROR(__xludf.DUMMYFUNCTION("MAX(FILTER($H:$H,$E:$E=F313))"),"#N/A")</f>
        <v>#N/A</v>
      </c>
    </row>
    <row r="314">
      <c r="C314" s="4" t="s">
        <v>337</v>
      </c>
      <c r="D314" s="4" t="str">
        <f t="shared" si="1"/>
        <v>{"valorA":"mais","valorB":1.0}</v>
      </c>
      <c r="E314" s="8" t="str">
        <f t="shared" si="2"/>
        <v>mais</v>
      </c>
      <c r="F314" s="8"/>
      <c r="G314" s="8" t="str">
        <f t="shared" si="3"/>
        <v>1.0</v>
      </c>
      <c r="H314" s="9">
        <f t="shared" si="4"/>
        <v>1</v>
      </c>
      <c r="I314" s="6" t="str">
        <f>IFERROR(__xludf.DUMMYFUNCTION("MAX(FILTER($H:$H,$E:$E=F314))"),"#N/A")</f>
        <v>#N/A</v>
      </c>
    </row>
    <row r="315">
      <c r="C315" s="4" t="s">
        <v>394</v>
      </c>
      <c r="D315" s="4" t="str">
        <f t="shared" si="1"/>
        <v>{"valorA":"ótimo","valorB":34.0}</v>
      </c>
      <c r="E315" s="8" t="str">
        <f t="shared" si="2"/>
        <v>ótimo</v>
      </c>
      <c r="F315" s="8"/>
      <c r="G315" s="8" t="str">
        <f t="shared" si="3"/>
        <v>34.0</v>
      </c>
      <c r="H315" s="9">
        <f t="shared" si="4"/>
        <v>34</v>
      </c>
      <c r="I315" s="6" t="str">
        <f>IFERROR(__xludf.DUMMYFUNCTION("MAX(FILTER($H:$H,$E:$E=F315))"),"#N/A")</f>
        <v>#N/A</v>
      </c>
    </row>
    <row r="316">
      <c r="C316" s="4" t="s">
        <v>789</v>
      </c>
      <c r="D316" s="4" t="str">
        <f t="shared" si="1"/>
        <v>{"valorA":"fácil","valorB":7.0}</v>
      </c>
      <c r="E316" s="8" t="str">
        <f t="shared" si="2"/>
        <v>fácil</v>
      </c>
      <c r="F316" s="8"/>
      <c r="G316" s="8" t="str">
        <f t="shared" si="3"/>
        <v>7.0</v>
      </c>
      <c r="H316" s="9">
        <f t="shared" si="4"/>
        <v>7</v>
      </c>
      <c r="I316" s="6" t="str">
        <f>IFERROR(__xludf.DUMMYFUNCTION("MAX(FILTER($H:$H,$E:$E=F316))"),"#N/A")</f>
        <v>#N/A</v>
      </c>
    </row>
    <row r="317">
      <c r="C317" s="4" t="s">
        <v>4923</v>
      </c>
      <c r="D317" s="4" t="str">
        <f t="shared" si="1"/>
        <v>{"valorA":"busca","valorB":4.0}</v>
      </c>
      <c r="E317" s="8" t="str">
        <f t="shared" si="2"/>
        <v>busca</v>
      </c>
      <c r="F317" s="8"/>
      <c r="G317" s="8" t="str">
        <f t="shared" si="3"/>
        <v>4.0</v>
      </c>
      <c r="H317" s="9">
        <f t="shared" si="4"/>
        <v>4</v>
      </c>
      <c r="I317" s="6" t="str">
        <f>IFERROR(__xludf.DUMMYFUNCTION("MAX(FILTER($H:$H,$E:$E=F317))"),"#N/A")</f>
        <v>#N/A</v>
      </c>
    </row>
    <row r="318">
      <c r="C318" s="4" t="s">
        <v>619</v>
      </c>
      <c r="D318" s="4" t="str">
        <f t="shared" si="1"/>
        <v>{"valorA":"um","valorB":1.0}</v>
      </c>
      <c r="E318" s="8" t="str">
        <f t="shared" si="2"/>
        <v>um</v>
      </c>
      <c r="F318" s="8"/>
      <c r="G318" s="8" t="str">
        <f t="shared" si="3"/>
        <v>1.0</v>
      </c>
      <c r="H318" s="9">
        <f t="shared" si="4"/>
        <v>1</v>
      </c>
      <c r="I318" s="6" t="str">
        <f>IFERROR(__xludf.DUMMYFUNCTION("MAX(FILTER($H:$H,$E:$E=F318))"),"#N/A")</f>
        <v>#N/A</v>
      </c>
    </row>
    <row r="319">
      <c r="C319" s="4" t="s">
        <v>713</v>
      </c>
      <c r="D319" s="4" t="str">
        <f t="shared" si="1"/>
        <v>{"valorA":"econômico","valorB":2.0}</v>
      </c>
      <c r="E319" s="8" t="str">
        <f t="shared" si="2"/>
        <v>econômico</v>
      </c>
      <c r="F319" s="8"/>
      <c r="G319" s="8" t="str">
        <f t="shared" si="3"/>
        <v>2.0</v>
      </c>
      <c r="H319" s="9">
        <f t="shared" si="4"/>
        <v>2</v>
      </c>
      <c r="I319" s="6" t="str">
        <f>IFERROR(__xludf.DUMMYFUNCTION("MAX(FILTER($H:$H,$E:$E=F319))"),"#N/A")</f>
        <v>#N/A</v>
      </c>
    </row>
    <row r="320">
      <c r="C320" s="4" t="s">
        <v>845</v>
      </c>
      <c r="D320" s="4" t="str">
        <f t="shared" si="1"/>
        <v>{"valorA":"usar","valorB":7.0}</v>
      </c>
      <c r="E320" s="8" t="str">
        <f t="shared" si="2"/>
        <v>usar</v>
      </c>
      <c r="F320" s="8"/>
      <c r="G320" s="8" t="str">
        <f t="shared" si="3"/>
        <v>7.0</v>
      </c>
      <c r="H320" s="9">
        <f t="shared" si="4"/>
        <v>7</v>
      </c>
      <c r="I320" s="6" t="str">
        <f>IFERROR(__xludf.DUMMYFUNCTION("MAX(FILTER($H:$H,$E:$E=F320))"),"#N/A")</f>
        <v>#N/A</v>
      </c>
    </row>
    <row r="321">
      <c r="C321" s="4" t="s">
        <v>4924</v>
      </c>
      <c r="D321" s="4" t="str">
        <f t="shared" si="1"/>
        <v>{"valorA":"e","valorB":17.0}</v>
      </c>
      <c r="E321" s="8" t="str">
        <f t="shared" si="2"/>
        <v>e</v>
      </c>
      <c r="F321" s="8"/>
      <c r="G321" s="8" t="str">
        <f t="shared" si="3"/>
        <v>17.0</v>
      </c>
      <c r="H321" s="9">
        <f t="shared" si="4"/>
        <v>17</v>
      </c>
      <c r="I321" s="6" t="str">
        <f>IFERROR(__xludf.DUMMYFUNCTION("MAX(FILTER($H:$H,$E:$E=F321))"),"#N/A")</f>
        <v>#N/A</v>
      </c>
    </row>
    <row r="322">
      <c r="C322" s="4" t="s">
        <v>788</v>
      </c>
      <c r="D322" s="4" t="str">
        <f t="shared" si="1"/>
        <v>{"valorA":"de","valorB":12.0}</v>
      </c>
      <c r="E322" s="8" t="str">
        <f t="shared" si="2"/>
        <v>de</v>
      </c>
      <c r="F322" s="8"/>
      <c r="G322" s="8" t="str">
        <f t="shared" si="3"/>
        <v>12.0</v>
      </c>
      <c r="H322" s="9">
        <f t="shared" si="4"/>
        <v>12</v>
      </c>
      <c r="I322" s="6" t="str">
        <f>IFERROR(__xludf.DUMMYFUNCTION("MAX(FILTER($H:$H,$E:$E=F322))"),"#N/A")</f>
        <v>#N/A</v>
      </c>
    </row>
    <row r="323">
      <c r="C323" s="4" t="s">
        <v>459</v>
      </c>
      <c r="D323" s="4" t="str">
        <f t="shared" si="1"/>
        <v>{"valorA":"gosto","valorB":3.0}</v>
      </c>
      <c r="E323" s="8" t="str">
        <f t="shared" si="2"/>
        <v>gosto</v>
      </c>
      <c r="F323" s="8"/>
      <c r="G323" s="8" t="str">
        <f t="shared" si="3"/>
        <v>3.0</v>
      </c>
      <c r="H323" s="9">
        <f t="shared" si="4"/>
        <v>3</v>
      </c>
      <c r="I323" s="6" t="str">
        <f>IFERROR(__xludf.DUMMYFUNCTION("MAX(FILTER($H:$H,$E:$E=F323))"),"#N/A")</f>
        <v>#N/A</v>
      </c>
    </row>
    <row r="324">
      <c r="C324" s="4" t="s">
        <v>780</v>
      </c>
      <c r="D324" s="4" t="str">
        <f t="shared" si="1"/>
        <v>{"valorA":"produto","valorB":27.0}</v>
      </c>
      <c r="E324" s="8" t="str">
        <f t="shared" si="2"/>
        <v>produto</v>
      </c>
      <c r="F324" s="8"/>
      <c r="G324" s="8" t="str">
        <f t="shared" si="3"/>
        <v>27.0</v>
      </c>
      <c r="H324" s="9">
        <f t="shared" si="4"/>
        <v>27</v>
      </c>
      <c r="I324" s="6" t="str">
        <f>IFERROR(__xludf.DUMMYFUNCTION("MAX(FILTER($H:$H,$E:$E=F324))"),"#N/A")</f>
        <v>#N/A</v>
      </c>
    </row>
    <row r="325">
      <c r="C325" s="4" t="s">
        <v>768</v>
      </c>
      <c r="D325" s="4" t="str">
        <f t="shared" si="1"/>
        <v>{"valorA":"ótimo","valorB":35.0}</v>
      </c>
      <c r="E325" s="8" t="str">
        <f t="shared" si="2"/>
        <v>ótimo</v>
      </c>
      <c r="F325" s="8"/>
      <c r="G325" s="8" t="str">
        <f t="shared" si="3"/>
        <v>35.0</v>
      </c>
      <c r="H325" s="9">
        <f t="shared" si="4"/>
        <v>35</v>
      </c>
      <c r="I325" s="6" t="str">
        <f>IFERROR(__xludf.DUMMYFUNCTION("MAX(FILTER($H:$H,$E:$E=F325))"),"#N/A")</f>
        <v>#N/A</v>
      </c>
    </row>
    <row r="326">
      <c r="C326" s="4" t="s">
        <v>848</v>
      </c>
      <c r="D326" s="4" t="str">
        <f t="shared" si="1"/>
        <v>{"valorA":"fácil","valorB":8.0}</v>
      </c>
      <c r="E326" s="8" t="str">
        <f t="shared" si="2"/>
        <v>fácil</v>
      </c>
      <c r="F326" s="8"/>
      <c r="G326" s="8" t="str">
        <f t="shared" si="3"/>
        <v>8.0</v>
      </c>
      <c r="H326" s="9">
        <f t="shared" si="4"/>
        <v>8</v>
      </c>
      <c r="I326" s="6" t="str">
        <f>IFERROR(__xludf.DUMMYFUNCTION("MAX(FILTER($H:$H,$E:$E=F326))"),"#N/A")</f>
        <v>#N/A</v>
      </c>
    </row>
    <row r="327">
      <c r="C327" s="4" t="s">
        <v>377</v>
      </c>
      <c r="D327" s="4" t="str">
        <f t="shared" si="1"/>
        <v>{"valorA":"muito","valorB":12.0}</v>
      </c>
      <c r="E327" s="8" t="str">
        <f t="shared" si="2"/>
        <v>muito</v>
      </c>
      <c r="F327" s="8"/>
      <c r="G327" s="8" t="str">
        <f t="shared" si="3"/>
        <v>12.0</v>
      </c>
      <c r="H327" s="9">
        <f t="shared" si="4"/>
        <v>12</v>
      </c>
      <c r="I327" s="6" t="str">
        <f>IFERROR(__xludf.DUMMYFUNCTION("MAX(FILTER($H:$H,$E:$E=F327))"),"#N/A")</f>
        <v>#N/A</v>
      </c>
    </row>
    <row r="328">
      <c r="C328" s="4" t="s">
        <v>4925</v>
      </c>
      <c r="D328" s="4" t="str">
        <f t="shared" si="1"/>
        <v>{"valorA":"para","valorB":17.0}</v>
      </c>
      <c r="E328" s="8" t="str">
        <f t="shared" si="2"/>
        <v>para</v>
      </c>
      <c r="F328" s="8"/>
      <c r="G328" s="8" t="str">
        <f t="shared" si="3"/>
        <v>17.0</v>
      </c>
      <c r="H328" s="9">
        <f t="shared" si="4"/>
        <v>17</v>
      </c>
      <c r="I328" s="6" t="str">
        <f>IFERROR(__xludf.DUMMYFUNCTION("MAX(FILTER($H:$H,$E:$E=F328))"),"#N/A")</f>
        <v>#N/A</v>
      </c>
    </row>
    <row r="329">
      <c r="C329" s="4" t="s">
        <v>614</v>
      </c>
      <c r="D329" s="4" t="str">
        <f t="shared" si="1"/>
        <v>{"valorA":"tão","valorB":1.0}</v>
      </c>
      <c r="E329" s="8" t="str">
        <f t="shared" si="2"/>
        <v>tão</v>
      </c>
      <c r="F329" s="8"/>
      <c r="G329" s="8" t="str">
        <f t="shared" si="3"/>
        <v>1.0</v>
      </c>
      <c r="H329" s="9">
        <f t="shared" si="4"/>
        <v>1</v>
      </c>
      <c r="I329" s="6" t="str">
        <f>IFERROR(__xludf.DUMMYFUNCTION("MAX(FILTER($H:$H,$E:$E=F329))"),"#N/A")</f>
        <v>#N/A</v>
      </c>
    </row>
    <row r="330">
      <c r="C330" s="4" t="s">
        <v>4926</v>
      </c>
      <c r="D330" s="4" t="str">
        <f t="shared" si="1"/>
        <v>{"valorA":"amoooooo","valorB":1.0}</v>
      </c>
      <c r="E330" s="8" t="str">
        <f t="shared" si="2"/>
        <v>amoooooo</v>
      </c>
      <c r="F330" s="8"/>
      <c r="G330" s="8" t="str">
        <f t="shared" si="3"/>
        <v>1.0</v>
      </c>
      <c r="H330" s="9">
        <f t="shared" si="4"/>
        <v>1</v>
      </c>
      <c r="I330" s="6" t="str">
        <f>IFERROR(__xludf.DUMMYFUNCTION("MAX(FILTER($H:$H,$E:$E=F330))"),"#N/A")</f>
        <v>#N/A</v>
      </c>
    </row>
    <row r="331">
      <c r="C331" s="4" t="s">
        <v>731</v>
      </c>
      <c r="D331" s="4" t="str">
        <f t="shared" si="1"/>
        <v>{"valorA":"bom","valorB":4.0}</v>
      </c>
      <c r="E331" s="8" t="str">
        <f t="shared" si="2"/>
        <v>bom</v>
      </c>
      <c r="F331" s="8"/>
      <c r="G331" s="8" t="str">
        <f t="shared" si="3"/>
        <v>4.0</v>
      </c>
      <c r="H331" s="9">
        <f t="shared" si="4"/>
        <v>4</v>
      </c>
      <c r="I331" s="6" t="str">
        <f>IFERROR(__xludf.DUMMYFUNCTION("MAX(FILTER($H:$H,$E:$E=F331))"),"#N/A")</f>
        <v>#N/A</v>
      </c>
    </row>
    <row r="332">
      <c r="C332" s="4" t="s">
        <v>443</v>
      </c>
      <c r="D332" s="4" t="str">
        <f t="shared" si="1"/>
        <v>{"valorA":"produto","valorB":28.0}</v>
      </c>
      <c r="E332" s="8" t="str">
        <f t="shared" si="2"/>
        <v>produto</v>
      </c>
      <c r="F332" s="8"/>
      <c r="G332" s="8" t="str">
        <f t="shared" si="3"/>
        <v>28.0</v>
      </c>
      <c r="H332" s="9">
        <f t="shared" si="4"/>
        <v>28</v>
      </c>
      <c r="I332" s="6" t="str">
        <f>IFERROR(__xludf.DUMMYFUNCTION("MAX(FILTER($H:$H,$E:$E=F332))"),"#N/A")</f>
        <v>#N/A</v>
      </c>
    </row>
    <row r="333">
      <c r="C333" s="4" t="s">
        <v>414</v>
      </c>
      <c r="D333" s="4" t="str">
        <f t="shared" si="1"/>
        <v>{"valorA":"ótimo","valorB":36.0}</v>
      </c>
      <c r="E333" s="8" t="str">
        <f t="shared" si="2"/>
        <v>ótimo</v>
      </c>
      <c r="F333" s="8"/>
      <c r="G333" s="8" t="str">
        <f t="shared" si="3"/>
        <v>36.0</v>
      </c>
      <c r="H333" s="9">
        <f t="shared" si="4"/>
        <v>36</v>
      </c>
      <c r="I333" s="6" t="str">
        <f>IFERROR(__xludf.DUMMYFUNCTION("MAX(FILTER($H:$H,$E:$E=F333))"),"#N/A")</f>
        <v>#N/A</v>
      </c>
    </row>
    <row r="334">
      <c r="C334" s="4" t="s">
        <v>774</v>
      </c>
      <c r="D334" s="4" t="str">
        <f t="shared" si="1"/>
        <v>{"valorA":"como","valorB":2.0}</v>
      </c>
      <c r="E334" s="8" t="str">
        <f t="shared" si="2"/>
        <v>como</v>
      </c>
      <c r="F334" s="8"/>
      <c r="G334" s="8" t="str">
        <f t="shared" si="3"/>
        <v>2.0</v>
      </c>
      <c r="H334" s="9">
        <f t="shared" si="4"/>
        <v>2</v>
      </c>
      <c r="I334" s="6" t="str">
        <f>IFERROR(__xludf.DUMMYFUNCTION("MAX(FILTER($H:$H,$E:$E=F334))"),"#N/A")</f>
        <v>#N/A</v>
      </c>
    </row>
    <row r="335">
      <c r="C335" s="4" t="s">
        <v>618</v>
      </c>
      <c r="D335" s="4" t="str">
        <f t="shared" si="1"/>
        <v>{"valorA":"este","valorB":1.0}</v>
      </c>
      <c r="E335" s="8" t="str">
        <f t="shared" si="2"/>
        <v>este</v>
      </c>
      <c r="F335" s="8"/>
      <c r="G335" s="8" t="str">
        <f t="shared" si="3"/>
        <v>1.0</v>
      </c>
      <c r="H335" s="9">
        <f t="shared" si="4"/>
        <v>1</v>
      </c>
      <c r="I335" s="6" t="str">
        <f>IFERROR(__xludf.DUMMYFUNCTION("MAX(FILTER($H:$H,$E:$E=F335))"),"#N/A")</f>
        <v>#N/A</v>
      </c>
    </row>
    <row r="336">
      <c r="C336" s="4" t="s">
        <v>653</v>
      </c>
      <c r="D336" s="4" t="str">
        <f t="shared" si="1"/>
        <v>{"valorA":"um","valorB":2.0}</v>
      </c>
      <c r="E336" s="8" t="str">
        <f t="shared" si="2"/>
        <v>um</v>
      </c>
      <c r="F336" s="8"/>
      <c r="G336" s="8" t="str">
        <f t="shared" si="3"/>
        <v>2.0</v>
      </c>
      <c r="H336" s="9">
        <f t="shared" si="4"/>
        <v>2</v>
      </c>
      <c r="I336" s="6" t="str">
        <f>IFERROR(__xludf.DUMMYFUNCTION("MAX(FILTER($H:$H,$E:$E=F336))"),"#N/A")</f>
        <v>#N/A</v>
      </c>
    </row>
    <row r="337">
      <c r="C337" s="4" t="s">
        <v>711</v>
      </c>
      <c r="D337" s="4" t="str">
        <f t="shared" si="1"/>
        <v>{"valorA":"preço","valorB":11.0}</v>
      </c>
      <c r="E337" s="8" t="str">
        <f t="shared" si="2"/>
        <v>preço</v>
      </c>
      <c r="F337" s="8"/>
      <c r="G337" s="8" t="str">
        <f t="shared" si="3"/>
        <v>11.0</v>
      </c>
      <c r="H337" s="9">
        <f t="shared" si="4"/>
        <v>11</v>
      </c>
      <c r="I337" s="6" t="str">
        <f>IFERROR(__xludf.DUMMYFUNCTION("MAX(FILTER($H:$H,$E:$E=F337))"),"#N/A")</f>
        <v>#N/A</v>
      </c>
    </row>
    <row r="338">
      <c r="C338" s="4" t="s">
        <v>859</v>
      </c>
      <c r="D338" s="4" t="str">
        <f t="shared" si="1"/>
        <v>{"valorA":"econômico","valorB":3.0}</v>
      </c>
      <c r="E338" s="8" t="str">
        <f t="shared" si="2"/>
        <v>econômico</v>
      </c>
      <c r="F338" s="8"/>
      <c r="G338" s="8" t="str">
        <f t="shared" si="3"/>
        <v>3.0</v>
      </c>
      <c r="H338" s="9">
        <f t="shared" si="4"/>
        <v>3</v>
      </c>
      <c r="I338" s="6" t="str">
        <f>IFERROR(__xludf.DUMMYFUNCTION("MAX(FILTER($H:$H,$E:$E=F338))"),"#N/A")</f>
        <v>#N/A</v>
      </c>
    </row>
    <row r="339">
      <c r="C339" s="4" t="s">
        <v>860</v>
      </c>
      <c r="D339" s="4" t="str">
        <f t="shared" si="1"/>
        <v>{"valorA":"usar","valorB":8.0}</v>
      </c>
      <c r="E339" s="8" t="str">
        <f t="shared" si="2"/>
        <v>usar</v>
      </c>
      <c r="F339" s="8"/>
      <c r="G339" s="8" t="str">
        <f t="shared" si="3"/>
        <v>8.0</v>
      </c>
      <c r="H339" s="9">
        <f t="shared" si="4"/>
        <v>8</v>
      </c>
      <c r="I339" s="6" t="str">
        <f>IFERROR(__xludf.DUMMYFUNCTION("MAX(FILTER($H:$H,$E:$E=F339))"),"#N/A")</f>
        <v>#N/A</v>
      </c>
    </row>
    <row r="340">
      <c r="C340" s="4" t="s">
        <v>832</v>
      </c>
      <c r="D340" s="4" t="str">
        <f t="shared" si="1"/>
        <v>{"valorA":"de","valorB":13.0}</v>
      </c>
      <c r="E340" s="8" t="str">
        <f t="shared" si="2"/>
        <v>de</v>
      </c>
      <c r="F340" s="8"/>
      <c r="G340" s="8" t="str">
        <f t="shared" si="3"/>
        <v>13.0</v>
      </c>
      <c r="H340" s="9">
        <f t="shared" si="4"/>
        <v>13</v>
      </c>
      <c r="I340" s="6" t="str">
        <f>IFERROR(__xludf.DUMMYFUNCTION("MAX(FILTER($H:$H,$E:$E=F340))"),"#N/A")</f>
        <v>#N/A</v>
      </c>
    </row>
    <row r="341">
      <c r="C341" s="4" t="s">
        <v>4927</v>
      </c>
      <c r="D341" s="4" t="str">
        <f t="shared" si="1"/>
        <v>{"valorA":"e","valorB":18.0}</v>
      </c>
      <c r="E341" s="8" t="str">
        <f t="shared" si="2"/>
        <v>e</v>
      </c>
      <c r="F341" s="8"/>
      <c r="G341" s="8" t="str">
        <f t="shared" si="3"/>
        <v>18.0</v>
      </c>
      <c r="H341" s="9">
        <f t="shared" si="4"/>
        <v>18</v>
      </c>
      <c r="I341" s="6" t="str">
        <f>IFERROR(__xludf.DUMMYFUNCTION("MAX(FILTER($H:$H,$E:$E=F341))"),"#N/A")</f>
        <v>#N/A</v>
      </c>
    </row>
    <row r="342">
      <c r="C342" s="4" t="s">
        <v>1458</v>
      </c>
      <c r="D342" s="4" t="str">
        <f t="shared" si="1"/>
        <v>{"valorA":"gosto","valorB":4.0}</v>
      </c>
      <c r="E342" s="8" t="str">
        <f t="shared" si="2"/>
        <v>gosto</v>
      </c>
      <c r="F342" s="8"/>
      <c r="G342" s="8" t="str">
        <f t="shared" si="3"/>
        <v>4.0</v>
      </c>
      <c r="H342" s="9">
        <f t="shared" si="4"/>
        <v>4</v>
      </c>
      <c r="I342" s="6" t="str">
        <f>IFERROR(__xludf.DUMMYFUNCTION("MAX(FILTER($H:$H,$E:$E=F342))"),"#N/A")</f>
        <v>#N/A</v>
      </c>
    </row>
    <row r="343">
      <c r="C343" s="4" t="s">
        <v>809</v>
      </c>
      <c r="D343" s="4" t="str">
        <f t="shared" si="1"/>
        <v>{"valorA":"produto","valorB":29.0}</v>
      </c>
      <c r="E343" s="8" t="str">
        <f t="shared" si="2"/>
        <v>produto</v>
      </c>
      <c r="F343" s="8"/>
      <c r="G343" s="8" t="str">
        <f t="shared" si="3"/>
        <v>29.0</v>
      </c>
      <c r="H343" s="9">
        <f t="shared" si="4"/>
        <v>29</v>
      </c>
      <c r="I343" s="6" t="str">
        <f>IFERROR(__xludf.DUMMYFUNCTION("MAX(FILTER($H:$H,$E:$E=F343))"),"#N/A")</f>
        <v>#N/A</v>
      </c>
    </row>
    <row r="344">
      <c r="C344" s="4" t="s">
        <v>864</v>
      </c>
      <c r="D344" s="4" t="str">
        <f t="shared" si="1"/>
        <v>{"valorA":"fácil","valorB":9.0}</v>
      </c>
      <c r="E344" s="8" t="str">
        <f t="shared" si="2"/>
        <v>fácil</v>
      </c>
      <c r="F344" s="8"/>
      <c r="G344" s="8" t="str">
        <f t="shared" si="3"/>
        <v>9.0</v>
      </c>
      <c r="H344" s="9">
        <f t="shared" si="4"/>
        <v>9</v>
      </c>
      <c r="I344" s="6" t="str">
        <f>IFERROR(__xludf.DUMMYFUNCTION("MAX(FILTER($H:$H,$E:$E=F344))"),"#N/A")</f>
        <v>#N/A</v>
      </c>
    </row>
    <row r="345">
      <c r="C345" s="4" t="s">
        <v>784</v>
      </c>
      <c r="D345" s="4" t="str">
        <f t="shared" si="1"/>
        <v>{"valorA":"ótimo","valorB":37.0}</v>
      </c>
      <c r="E345" s="8" t="str">
        <f t="shared" si="2"/>
        <v>ótimo</v>
      </c>
      <c r="F345" s="8"/>
      <c r="G345" s="8" t="str">
        <f t="shared" si="3"/>
        <v>37.0</v>
      </c>
      <c r="H345" s="9">
        <f t="shared" si="4"/>
        <v>37</v>
      </c>
      <c r="I345" s="6" t="str">
        <f>IFERROR(__xludf.DUMMYFUNCTION("MAX(FILTER($H:$H,$E:$E=F345))"),"#N/A")</f>
        <v>#N/A</v>
      </c>
    </row>
    <row r="346">
      <c r="C346" s="4" t="s">
        <v>829</v>
      </c>
      <c r="D346" s="4" t="str">
        <f t="shared" si="1"/>
        <v>{"valorA":"muito","valorB":13.0}</v>
      </c>
      <c r="E346" s="8" t="str">
        <f t="shared" si="2"/>
        <v>muito</v>
      </c>
      <c r="F346" s="8"/>
      <c r="G346" s="8" t="str">
        <f t="shared" si="3"/>
        <v>13.0</v>
      </c>
      <c r="H346" s="9">
        <f t="shared" si="4"/>
        <v>13</v>
      </c>
      <c r="I346" s="6" t="str">
        <f>IFERROR(__xludf.DUMMYFUNCTION("MAX(FILTER($H:$H,$E:$E=F346))"),"#N/A")</f>
        <v>#N/A</v>
      </c>
    </row>
    <row r="347">
      <c r="C347" s="4" t="s">
        <v>4928</v>
      </c>
      <c r="D347" s="4" t="str">
        <f t="shared" si="1"/>
        <v>{"valorA":"conectado","valorB":1.0}</v>
      </c>
      <c r="E347" s="8" t="str">
        <f t="shared" si="2"/>
        <v>conectado</v>
      </c>
      <c r="F347" s="8"/>
      <c r="G347" s="8" t="str">
        <f t="shared" si="3"/>
        <v>1.0</v>
      </c>
      <c r="H347" s="9">
        <f t="shared" si="4"/>
        <v>1</v>
      </c>
      <c r="I347" s="6" t="str">
        <f>IFERROR(__xludf.DUMMYFUNCTION("MAX(FILTER($H:$H,$E:$E=F347))"),"#N/A")</f>
        <v>#N/A</v>
      </c>
    </row>
    <row r="348">
      <c r="C348" s="4" t="s">
        <v>325</v>
      </c>
      <c r="D348" s="4" t="str">
        <f t="shared" si="1"/>
        <v>{"valorA":"recomendo","valorB":3.0}</v>
      </c>
      <c r="E348" s="8" t="str">
        <f t="shared" si="2"/>
        <v>recomendo</v>
      </c>
      <c r="F348" s="8"/>
      <c r="G348" s="8" t="str">
        <f t="shared" si="3"/>
        <v>3.0</v>
      </c>
      <c r="H348" s="9">
        <f t="shared" si="4"/>
        <v>3</v>
      </c>
      <c r="I348" s="6" t="str">
        <f>IFERROR(__xludf.DUMMYFUNCTION("MAX(FILTER($H:$H,$E:$E=F348))"),"#N/A")</f>
        <v>#N/A</v>
      </c>
    </row>
    <row r="349">
      <c r="C349" s="4" t="s">
        <v>308</v>
      </c>
      <c r="D349" s="4" t="str">
        <f t="shared" si="1"/>
        <v>{"valorA":"bem","valorB":5.0}</v>
      </c>
      <c r="E349" s="8" t="str">
        <f t="shared" si="2"/>
        <v>bem</v>
      </c>
      <c r="F349" s="8"/>
      <c r="G349" s="8" t="str">
        <f t="shared" si="3"/>
        <v>5.0</v>
      </c>
      <c r="H349" s="9">
        <f t="shared" si="4"/>
        <v>5</v>
      </c>
      <c r="I349" s="6" t="str">
        <f>IFERROR(__xludf.DUMMYFUNCTION("MAX(FILTER($H:$H,$E:$E=F349))"),"#N/A")</f>
        <v>#N/A</v>
      </c>
    </row>
    <row r="350">
      <c r="C350" s="4" t="s">
        <v>4929</v>
      </c>
      <c r="D350" s="4" t="str">
        <f t="shared" si="1"/>
        <v>{"valorA":"usar","valorB":9.0}</v>
      </c>
      <c r="E350" s="8" t="str">
        <f t="shared" si="2"/>
        <v>usar</v>
      </c>
      <c r="F350" s="8"/>
      <c r="G350" s="8" t="str">
        <f t="shared" si="3"/>
        <v>9.0</v>
      </c>
      <c r="H350" s="9">
        <f t="shared" si="4"/>
        <v>9</v>
      </c>
      <c r="I350" s="6" t="str">
        <f>IFERROR(__xludf.DUMMYFUNCTION("MAX(FILTER($H:$H,$E:$E=F350))"),"#N/A")</f>
        <v>#N/A</v>
      </c>
    </row>
    <row r="351">
      <c r="C351" s="4" t="s">
        <v>841</v>
      </c>
      <c r="D351" s="4" t="str">
        <f t="shared" si="1"/>
        <v>{"valorA":"de","valorB":14.0}</v>
      </c>
      <c r="E351" s="8" t="str">
        <f t="shared" si="2"/>
        <v>de</v>
      </c>
      <c r="F351" s="8"/>
      <c r="G351" s="8" t="str">
        <f t="shared" si="3"/>
        <v>14.0</v>
      </c>
      <c r="H351" s="9">
        <f t="shared" si="4"/>
        <v>14</v>
      </c>
      <c r="I351" s="6" t="str">
        <f>IFERROR(__xludf.DUMMYFUNCTION("MAX(FILTER($H:$H,$E:$E=F351))"),"#N/A")</f>
        <v>#N/A</v>
      </c>
    </row>
    <row r="352">
      <c r="C352" s="4" t="s">
        <v>4930</v>
      </c>
      <c r="D352" s="4" t="str">
        <f t="shared" si="1"/>
        <v>{"valorA":"e","valorB":19.0}</v>
      </c>
      <c r="E352" s="8" t="str">
        <f t="shared" si="2"/>
        <v>e</v>
      </c>
      <c r="F352" s="8"/>
      <c r="G352" s="8" t="str">
        <f t="shared" si="3"/>
        <v>19.0</v>
      </c>
      <c r="H352" s="9">
        <f t="shared" si="4"/>
        <v>19</v>
      </c>
      <c r="I352" s="6" t="str">
        <f>IFERROR(__xludf.DUMMYFUNCTION("MAX(FILTER($H:$H,$E:$E=F352))"),"#N/A")</f>
        <v>#N/A</v>
      </c>
    </row>
    <row r="353">
      <c r="C353" s="4" t="s">
        <v>4931</v>
      </c>
      <c r="D353" s="4" t="str">
        <f t="shared" si="1"/>
        <v>{"valorA":"à","valorB":1.0}</v>
      </c>
      <c r="E353" s="8" t="str">
        <f t="shared" si="2"/>
        <v>à</v>
      </c>
      <c r="F353" s="8"/>
      <c r="G353" s="8" t="str">
        <f t="shared" si="3"/>
        <v>1.0</v>
      </c>
      <c r="H353" s="9">
        <f t="shared" si="4"/>
        <v>1</v>
      </c>
      <c r="I353" s="6" t="str">
        <f>IFERROR(__xludf.DUMMYFUNCTION("MAX(FILTER($H:$H,$E:$E=F353))"),"#N/A")</f>
        <v>#N/A</v>
      </c>
    </row>
    <row r="354">
      <c r="C354" s="4" t="s">
        <v>1049</v>
      </c>
      <c r="D354" s="4" t="str">
        <f t="shared" si="1"/>
        <v>{"valorA":"rápido","valorB":2.0}</v>
      </c>
      <c r="E354" s="8" t="str">
        <f t="shared" si="2"/>
        <v>rápido</v>
      </c>
      <c r="F354" s="8"/>
      <c r="G354" s="8" t="str">
        <f t="shared" si="3"/>
        <v>2.0</v>
      </c>
      <c r="H354" s="9">
        <f t="shared" si="4"/>
        <v>2</v>
      </c>
      <c r="I354" s="6" t="str">
        <f>IFERROR(__xludf.DUMMYFUNCTION("MAX(FILTER($H:$H,$E:$E=F354))"),"#N/A")</f>
        <v>#N/A</v>
      </c>
    </row>
    <row r="355">
      <c r="C355" s="4" t="s">
        <v>4932</v>
      </c>
      <c r="D355" s="4" t="str">
        <f t="shared" si="1"/>
        <v>{"valorA":"internet","valorB":1.0}</v>
      </c>
      <c r="E355" s="8" t="str">
        <f t="shared" si="2"/>
        <v>internet</v>
      </c>
      <c r="F355" s="8"/>
      <c r="G355" s="8" t="str">
        <f t="shared" si="3"/>
        <v>1.0</v>
      </c>
      <c r="H355" s="9">
        <f t="shared" si="4"/>
        <v>1</v>
      </c>
      <c r="I355" s="6" t="str">
        <f>IFERROR(__xludf.DUMMYFUNCTION("MAX(FILTER($H:$H,$E:$E=F355))"),"#N/A")</f>
        <v>#N/A</v>
      </c>
    </row>
    <row r="356">
      <c r="C356" s="4" t="s">
        <v>461</v>
      </c>
      <c r="D356" s="4" t="str">
        <f t="shared" si="1"/>
        <v>{"valorA":"produto","valorB":30.0}</v>
      </c>
      <c r="E356" s="8" t="str">
        <f t="shared" si="2"/>
        <v>produto</v>
      </c>
      <c r="F356" s="8"/>
      <c r="G356" s="8" t="str">
        <f t="shared" si="3"/>
        <v>30.0</v>
      </c>
      <c r="H356" s="9">
        <f t="shared" si="4"/>
        <v>30</v>
      </c>
      <c r="I356" s="6" t="str">
        <f>IFERROR(__xludf.DUMMYFUNCTION("MAX(FILTER($H:$H,$E:$E=F356))"),"#N/A")</f>
        <v>#N/A</v>
      </c>
    </row>
    <row r="357">
      <c r="C357" s="4" t="s">
        <v>430</v>
      </c>
      <c r="D357" s="4" t="str">
        <f t="shared" si="1"/>
        <v>{"valorA":"ótimo","valorB":38.0}</v>
      </c>
      <c r="E357" s="8" t="str">
        <f t="shared" si="2"/>
        <v>ótimo</v>
      </c>
      <c r="F357" s="8"/>
      <c r="G357" s="8" t="str">
        <f t="shared" si="3"/>
        <v>38.0</v>
      </c>
      <c r="H357" s="9">
        <f t="shared" si="4"/>
        <v>38</v>
      </c>
      <c r="I357" s="6" t="str">
        <f>IFERROR(__xludf.DUMMYFUNCTION("MAX(FILTER($H:$H,$E:$E=F357))"),"#N/A")</f>
        <v>#N/A</v>
      </c>
    </row>
    <row r="358">
      <c r="C358" s="4" t="s">
        <v>4933</v>
      </c>
      <c r="D358" s="4" t="str">
        <f t="shared" si="1"/>
        <v>{"valorA":"fácil","valorB":10.0}</v>
      </c>
      <c r="E358" s="8" t="str">
        <f t="shared" si="2"/>
        <v>fácil</v>
      </c>
      <c r="F358" s="8"/>
      <c r="G358" s="8" t="str">
        <f t="shared" si="3"/>
        <v>10.0</v>
      </c>
      <c r="H358" s="9">
        <f t="shared" si="4"/>
        <v>10</v>
      </c>
      <c r="I358" s="6" t="str">
        <f>IFERROR(__xludf.DUMMYFUNCTION("MAX(FILTER($H:$H,$E:$E=F358))"),"#N/A")</f>
        <v>#N/A</v>
      </c>
    </row>
    <row r="359">
      <c r="C359" s="4" t="s">
        <v>345</v>
      </c>
      <c r="D359" s="4" t="str">
        <f t="shared" si="1"/>
        <v>{"valorA":"recomendo","valorB":4.0}</v>
      </c>
      <c r="E359" s="8" t="str">
        <f t="shared" si="2"/>
        <v>recomendo</v>
      </c>
      <c r="F359" s="8"/>
      <c r="G359" s="8" t="str">
        <f t="shared" si="3"/>
        <v>4.0</v>
      </c>
      <c r="H359" s="9">
        <f t="shared" si="4"/>
        <v>4</v>
      </c>
      <c r="I359" s="6" t="str">
        <f>IFERROR(__xludf.DUMMYFUNCTION("MAX(FILTER($H:$H,$E:$E=F359))"),"#N/A")</f>
        <v>#N/A</v>
      </c>
    </row>
    <row r="360">
      <c r="C360" s="4" t="s">
        <v>4934</v>
      </c>
      <c r="D360" s="4" t="str">
        <f t="shared" si="1"/>
        <v>{"valorA":"para","valorB":18.0}</v>
      </c>
      <c r="E360" s="8" t="str">
        <f t="shared" si="2"/>
        <v>para</v>
      </c>
      <c r="F360" s="8"/>
      <c r="G360" s="8" t="str">
        <f t="shared" si="3"/>
        <v>18.0</v>
      </c>
      <c r="H360" s="9">
        <f t="shared" si="4"/>
        <v>18</v>
      </c>
      <c r="I360" s="6" t="str">
        <f>IFERROR(__xludf.DUMMYFUNCTION("MAX(FILTER($H:$H,$E:$E=F360))"),"#N/A")</f>
        <v>#N/A</v>
      </c>
    </row>
    <row r="361">
      <c r="C361" s="4" t="s">
        <v>606</v>
      </c>
      <c r="D361" s="4" t="str">
        <f t="shared" si="1"/>
        <v>{"valorA":"qualidade","valorB":4.0}</v>
      </c>
      <c r="E361" s="8" t="str">
        <f t="shared" si="2"/>
        <v>qualidade</v>
      </c>
      <c r="F361" s="8"/>
      <c r="G361" s="8" t="str">
        <f t="shared" si="3"/>
        <v>4.0</v>
      </c>
      <c r="H361" s="9">
        <f t="shared" si="4"/>
        <v>4</v>
      </c>
      <c r="I361" s="6" t="str">
        <f>IFERROR(__xludf.DUMMYFUNCTION("MAX(FILTER($H:$H,$E:$E=F361))"),"#N/A")</f>
        <v>#N/A</v>
      </c>
    </row>
    <row r="362">
      <c r="C362" s="4" t="s">
        <v>1470</v>
      </c>
      <c r="D362" s="4" t="str">
        <f t="shared" si="1"/>
        <v>{"valorA":"quem","valorB":7.0}</v>
      </c>
      <c r="E362" s="8" t="str">
        <f t="shared" si="2"/>
        <v>quem</v>
      </c>
      <c r="F362" s="8"/>
      <c r="G362" s="8" t="str">
        <f t="shared" si="3"/>
        <v>7.0</v>
      </c>
      <c r="H362" s="9">
        <f t="shared" si="4"/>
        <v>7</v>
      </c>
      <c r="I362" s="6" t="str">
        <f>IFERROR(__xludf.DUMMYFUNCTION("MAX(FILTER($H:$H,$E:$E=F362))"),"#N/A")</f>
        <v>#N/A</v>
      </c>
    </row>
    <row r="363">
      <c r="C363" s="4" t="s">
        <v>847</v>
      </c>
      <c r="D363" s="4" t="str">
        <f t="shared" si="1"/>
        <v>{"valorA":"de","valorB":15.0}</v>
      </c>
      <c r="E363" s="8" t="str">
        <f t="shared" si="2"/>
        <v>de</v>
      </c>
      <c r="F363" s="8"/>
      <c r="G363" s="8" t="str">
        <f t="shared" si="3"/>
        <v>15.0</v>
      </c>
      <c r="H363" s="9">
        <f t="shared" si="4"/>
        <v>15</v>
      </c>
      <c r="I363" s="6" t="str">
        <f>IFERROR(__xludf.DUMMYFUNCTION("MAX(FILTER($H:$H,$E:$E=F363))"),"#N/A")</f>
        <v>#N/A</v>
      </c>
    </row>
    <row r="364">
      <c r="C364" s="4" t="s">
        <v>682</v>
      </c>
      <c r="D364" s="4" t="str">
        <f t="shared" si="1"/>
        <v>{"valorA":"monitor","valorB":1.0}</v>
      </c>
      <c r="E364" s="8" t="str">
        <f t="shared" si="2"/>
        <v>monitor</v>
      </c>
      <c r="F364" s="8"/>
      <c r="G364" s="8" t="str">
        <f t="shared" si="3"/>
        <v>1.0</v>
      </c>
      <c r="H364" s="9">
        <f t="shared" si="4"/>
        <v>1</v>
      </c>
      <c r="I364" s="6" t="str">
        <f>IFERROR(__xludf.DUMMYFUNCTION("MAX(FILTER($H:$H,$E:$E=F364))"),"#N/A")</f>
        <v>#N/A</v>
      </c>
    </row>
    <row r="365">
      <c r="C365" s="4" t="s">
        <v>4935</v>
      </c>
      <c r="D365" s="4" t="str">
        <f t="shared" si="1"/>
        <v>{"valorA":"procura","valorB":2.0}</v>
      </c>
      <c r="E365" s="8" t="str">
        <f t="shared" si="2"/>
        <v>procura</v>
      </c>
      <c r="F365" s="8"/>
      <c r="G365" s="8" t="str">
        <f t="shared" si="3"/>
        <v>2.0</v>
      </c>
      <c r="H365" s="9">
        <f t="shared" si="4"/>
        <v>2</v>
      </c>
      <c r="I365" s="6" t="str">
        <f>IFERROR(__xludf.DUMMYFUNCTION("MAX(FILTER($H:$H,$E:$E=F365))"),"#N/A")</f>
        <v>#N/A</v>
      </c>
    </row>
    <row r="366">
      <c r="C366" s="4" t="s">
        <v>818</v>
      </c>
      <c r="D366" s="4" t="str">
        <f t="shared" si="1"/>
        <v>{"valorA":"produto","valorB":31.0}</v>
      </c>
      <c r="E366" s="8" t="str">
        <f t="shared" si="2"/>
        <v>produto</v>
      </c>
      <c r="F366" s="8"/>
      <c r="G366" s="8" t="str">
        <f t="shared" si="3"/>
        <v>31.0</v>
      </c>
      <c r="H366" s="9">
        <f t="shared" si="4"/>
        <v>31</v>
      </c>
      <c r="I366" s="6" t="str">
        <f>IFERROR(__xludf.DUMMYFUNCTION("MAX(FILTER($H:$H,$E:$E=F366))"),"#N/A")</f>
        <v>#N/A</v>
      </c>
    </row>
    <row r="367">
      <c r="C367" s="4" t="s">
        <v>799</v>
      </c>
      <c r="D367" s="4" t="str">
        <f t="shared" si="1"/>
        <v>{"valorA":"ótimo","valorB":39.0}</v>
      </c>
      <c r="E367" s="8" t="str">
        <f t="shared" si="2"/>
        <v>ótimo</v>
      </c>
      <c r="F367" s="8"/>
      <c r="G367" s="8" t="str">
        <f t="shared" si="3"/>
        <v>39.0</v>
      </c>
      <c r="H367" s="9">
        <f t="shared" si="4"/>
        <v>39</v>
      </c>
      <c r="I367" s="6" t="str">
        <f>IFERROR(__xludf.DUMMYFUNCTION("MAX(FILTER($H:$H,$E:$E=F367))"),"#N/A")</f>
        <v>#N/A</v>
      </c>
    </row>
    <row r="368">
      <c r="C368" s="4" t="s">
        <v>670</v>
      </c>
      <c r="D368" s="4" t="str">
        <f t="shared" si="1"/>
        <v>{"valorA":"um","valorB":3.0}</v>
      </c>
      <c r="E368" s="8" t="str">
        <f t="shared" si="2"/>
        <v>um</v>
      </c>
      <c r="F368" s="8"/>
      <c r="G368" s="8" t="str">
        <f t="shared" si="3"/>
        <v>3.0</v>
      </c>
      <c r="H368" s="9">
        <f t="shared" si="4"/>
        <v>3</v>
      </c>
      <c r="I368" s="6" t="str">
        <f>IFERROR(__xludf.DUMMYFUNCTION("MAX(FILTER($H:$H,$E:$E=F368))"),"#N/A")</f>
        <v>#N/A</v>
      </c>
    </row>
    <row r="369">
      <c r="C369" s="4" t="s">
        <v>383</v>
      </c>
      <c r="D369" s="4" t="str">
        <f t="shared" si="1"/>
        <v>{"valorA":"recomendo","valorB":5.0}</v>
      </c>
      <c r="E369" s="8" t="str">
        <f t="shared" si="2"/>
        <v>recomendo</v>
      </c>
      <c r="F369" s="8"/>
      <c r="G369" s="8" t="str">
        <f t="shared" si="3"/>
        <v>5.0</v>
      </c>
      <c r="H369" s="9">
        <f t="shared" si="4"/>
        <v>5</v>
      </c>
      <c r="I369" s="6" t="str">
        <f>IFERROR(__xludf.DUMMYFUNCTION("MAX(FILTER($H:$H,$E:$E=F369))"),"#N/A")</f>
        <v>#N/A</v>
      </c>
    </row>
    <row r="370">
      <c r="C370" s="4" t="s">
        <v>344</v>
      </c>
      <c r="D370" s="4" t="str">
        <f t="shared" si="1"/>
        <v>{"valorA":"é","valorB":6.0}</v>
      </c>
      <c r="E370" s="8" t="str">
        <f t="shared" si="2"/>
        <v>é</v>
      </c>
      <c r="F370" s="8"/>
      <c r="G370" s="8" t="str">
        <f t="shared" si="3"/>
        <v>6.0</v>
      </c>
      <c r="H370" s="9">
        <f t="shared" si="4"/>
        <v>6</v>
      </c>
      <c r="I370" s="6" t="str">
        <f>IFERROR(__xludf.DUMMYFUNCTION("MAX(FILTER($H:$H,$E:$E=F370))"),"#N/A")</f>
        <v>#N/A</v>
      </c>
    </row>
    <row r="371">
      <c r="C371" s="4" t="s">
        <v>330</v>
      </c>
      <c r="D371" s="4" t="str">
        <f t="shared" si="1"/>
        <v>{"valorA":"bem","valorB":6.0}</v>
      </c>
      <c r="E371" s="8" t="str">
        <f t="shared" si="2"/>
        <v>bem</v>
      </c>
      <c r="F371" s="8"/>
      <c r="G371" s="8" t="str">
        <f t="shared" si="3"/>
        <v>6.0</v>
      </c>
      <c r="H371" s="9">
        <f t="shared" si="4"/>
        <v>6</v>
      </c>
      <c r="I371" s="6" t="str">
        <f>IFERROR(__xludf.DUMMYFUNCTION("MAX(FILTER($H:$H,$E:$E=F371))"),"#N/A")</f>
        <v>#N/A</v>
      </c>
    </row>
    <row r="372">
      <c r="C372" s="4" t="s">
        <v>4936</v>
      </c>
      <c r="D372" s="4" t="str">
        <f t="shared" si="1"/>
        <v>{"valorA":"usar","valorB":10.0}</v>
      </c>
      <c r="E372" s="8" t="str">
        <f t="shared" si="2"/>
        <v>usar</v>
      </c>
      <c r="F372" s="8"/>
      <c r="G372" s="8" t="str">
        <f t="shared" si="3"/>
        <v>10.0</v>
      </c>
      <c r="H372" s="9">
        <f t="shared" si="4"/>
        <v>10</v>
      </c>
      <c r="I372" s="6" t="str">
        <f>IFERROR(__xludf.DUMMYFUNCTION("MAX(FILTER($H:$H,$E:$E=F372))"),"#N/A")</f>
        <v>#N/A</v>
      </c>
    </row>
    <row r="373">
      <c r="C373" s="4" t="s">
        <v>862</v>
      </c>
      <c r="D373" s="4" t="str">
        <f t="shared" si="1"/>
        <v>{"valorA":"de","valorB":16.0}</v>
      </c>
      <c r="E373" s="8" t="str">
        <f t="shared" si="2"/>
        <v>de</v>
      </c>
      <c r="F373" s="8"/>
      <c r="G373" s="8" t="str">
        <f t="shared" si="3"/>
        <v>16.0</v>
      </c>
      <c r="H373" s="9">
        <f t="shared" si="4"/>
        <v>16</v>
      </c>
      <c r="I373" s="6" t="str">
        <f>IFERROR(__xludf.DUMMYFUNCTION("MAX(FILTER($H:$H,$E:$E=F373))"),"#N/A")</f>
        <v>#N/A</v>
      </c>
    </row>
    <row r="374">
      <c r="C374" s="4" t="s">
        <v>4937</v>
      </c>
      <c r="D374" s="4" t="str">
        <f t="shared" si="1"/>
        <v>{"valorA":"e","valorB":20.0}</v>
      </c>
      <c r="E374" s="8" t="str">
        <f t="shared" si="2"/>
        <v>e</v>
      </c>
      <c r="F374" s="8"/>
      <c r="G374" s="8" t="str">
        <f t="shared" si="3"/>
        <v>20.0</v>
      </c>
      <c r="H374" s="9">
        <f t="shared" si="4"/>
        <v>20</v>
      </c>
      <c r="I374" s="6" t="str">
        <f>IFERROR(__xludf.DUMMYFUNCTION("MAX(FILTER($H:$H,$E:$E=F374))"),"#N/A")</f>
        <v>#N/A</v>
      </c>
    </row>
    <row r="375">
      <c r="C375" s="4" t="s">
        <v>828</v>
      </c>
      <c r="D375" s="4" t="str">
        <f t="shared" si="1"/>
        <v>{"valorA":"produto","valorB":32.0}</v>
      </c>
      <c r="E375" s="8" t="str">
        <f t="shared" si="2"/>
        <v>produto</v>
      </c>
      <c r="F375" s="8"/>
      <c r="G375" s="8" t="str">
        <f t="shared" si="3"/>
        <v>32.0</v>
      </c>
      <c r="H375" s="9">
        <f t="shared" si="4"/>
        <v>32</v>
      </c>
      <c r="I375" s="6" t="str">
        <f>IFERROR(__xludf.DUMMYFUNCTION("MAX(FILTER($H:$H,$E:$E=F375))"),"#N/A")</f>
        <v>#N/A</v>
      </c>
    </row>
    <row r="376">
      <c r="C376" s="4" t="s">
        <v>806</v>
      </c>
      <c r="D376" s="4" t="str">
        <f t="shared" si="1"/>
        <v>{"valorA":"ótimo","valorB":40.0}</v>
      </c>
      <c r="E376" s="8" t="str">
        <f t="shared" si="2"/>
        <v>ótimo</v>
      </c>
      <c r="F376" s="8"/>
      <c r="G376" s="8" t="str">
        <f t="shared" si="3"/>
        <v>40.0</v>
      </c>
      <c r="H376" s="9">
        <f t="shared" si="4"/>
        <v>40</v>
      </c>
      <c r="I376" s="6" t="str">
        <f>IFERROR(__xludf.DUMMYFUNCTION("MAX(FILTER($H:$H,$E:$E=F376))"),"#N/A")</f>
        <v>#N/A</v>
      </c>
    </row>
    <row r="377">
      <c r="C377" s="4" t="s">
        <v>4938</v>
      </c>
      <c r="D377" s="4" t="str">
        <f t="shared" si="1"/>
        <v>{"valorA":"fácil","valorB":11.0}</v>
      </c>
      <c r="E377" s="8" t="str">
        <f t="shared" si="2"/>
        <v>fácil</v>
      </c>
      <c r="F377" s="8"/>
      <c r="G377" s="8" t="str">
        <f t="shared" si="3"/>
        <v>11.0</v>
      </c>
      <c r="H377" s="9">
        <f t="shared" si="4"/>
        <v>11</v>
      </c>
      <c r="I377" s="6" t="str">
        <f>IFERROR(__xludf.DUMMYFUNCTION("MAX(FILTER($H:$H,$E:$E=F377))"),"#N/A")</f>
        <v>#N/A</v>
      </c>
    </row>
    <row r="378">
      <c r="C378" s="4" t="s">
        <v>324</v>
      </c>
      <c r="D378" s="4" t="str">
        <f t="shared" si="1"/>
        <v>{"valorA":"funciona","valorB":6.0}</v>
      </c>
      <c r="E378" s="8" t="str">
        <f t="shared" si="2"/>
        <v>funciona</v>
      </c>
      <c r="F378" s="8"/>
      <c r="G378" s="8" t="str">
        <f t="shared" si="3"/>
        <v>6.0</v>
      </c>
      <c r="H378" s="9">
        <f t="shared" si="4"/>
        <v>6</v>
      </c>
      <c r="I378" s="6" t="str">
        <f>IFERROR(__xludf.DUMMYFUNCTION("MAX(FILTER($H:$H,$E:$E=F378))"),"#N/A")</f>
        <v>#N/A</v>
      </c>
    </row>
    <row r="379">
      <c r="C379" s="4" t="s">
        <v>4939</v>
      </c>
      <c r="D379" s="4" t="str">
        <f t="shared" si="1"/>
        <v>{"valorA":"justo","valorB":2.0}</v>
      </c>
      <c r="E379" s="8" t="str">
        <f t="shared" si="2"/>
        <v>justo</v>
      </c>
      <c r="F379" s="8"/>
      <c r="G379" s="8" t="str">
        <f t="shared" si="3"/>
        <v>2.0</v>
      </c>
      <c r="H379" s="9">
        <f t="shared" si="4"/>
        <v>2</v>
      </c>
      <c r="I379" s="6" t="str">
        <f>IFERROR(__xludf.DUMMYFUNCTION("MAX(FILTER($H:$H,$E:$E=F379))"),"#N/A")</f>
        <v>#N/A</v>
      </c>
    </row>
    <row r="380">
      <c r="C380" s="4" t="s">
        <v>709</v>
      </c>
      <c r="D380" s="4" t="str">
        <f t="shared" si="1"/>
        <v>{"valorA":"monitor","valorB":2.0}</v>
      </c>
      <c r="E380" s="8" t="str">
        <f t="shared" si="2"/>
        <v>monitor</v>
      </c>
      <c r="F380" s="8"/>
      <c r="G380" s="8" t="str">
        <f t="shared" si="3"/>
        <v>2.0</v>
      </c>
      <c r="H380" s="9">
        <f t="shared" si="4"/>
        <v>2</v>
      </c>
      <c r="I380" s="6" t="str">
        <f>IFERROR(__xludf.DUMMYFUNCTION("MAX(FILTER($H:$H,$E:$E=F380))"),"#N/A")</f>
        <v>#N/A</v>
      </c>
    </row>
    <row r="381">
      <c r="C381" s="4" t="s">
        <v>444</v>
      </c>
      <c r="D381" s="4" t="str">
        <f t="shared" si="1"/>
        <v>{"valorA":"ótimo","valorB":41.0}</v>
      </c>
      <c r="E381" s="8" t="str">
        <f t="shared" si="2"/>
        <v>ótimo</v>
      </c>
      <c r="F381" s="8"/>
      <c r="G381" s="8" t="str">
        <f t="shared" si="3"/>
        <v>41.0</v>
      </c>
      <c r="H381" s="9">
        <f t="shared" si="4"/>
        <v>41</v>
      </c>
      <c r="I381" s="6" t="str">
        <f>IFERROR(__xludf.DUMMYFUNCTION("MAX(FILTER($H:$H,$E:$E=F381))"),"#N/A")</f>
        <v>#N/A</v>
      </c>
    </row>
    <row r="382">
      <c r="C382" s="4" t="s">
        <v>4940</v>
      </c>
      <c r="D382" s="4" t="str">
        <f t="shared" si="1"/>
        <v>{"valorA":"precio","valorB":1.0}</v>
      </c>
      <c r="E382" s="8" t="str">
        <f t="shared" si="2"/>
        <v>precio</v>
      </c>
      <c r="F382" s="8"/>
      <c r="G382" s="8" t="str">
        <f t="shared" si="3"/>
        <v>1.0</v>
      </c>
      <c r="H382" s="9">
        <f t="shared" si="4"/>
        <v>1</v>
      </c>
      <c r="I382" s="6" t="str">
        <f>IFERROR(__xludf.DUMMYFUNCTION("MAX(FILTER($H:$H,$E:$E=F382))"),"#N/A")</f>
        <v>#N/A</v>
      </c>
    </row>
    <row r="383">
      <c r="C383" s="4" t="s">
        <v>287</v>
      </c>
      <c r="D383" s="4" t="str">
        <f t="shared" si="1"/>
        <v>{"valorA":"perfeitamente","valorB":4.0}</v>
      </c>
      <c r="E383" s="8" t="str">
        <f t="shared" si="2"/>
        <v>perfeitamente</v>
      </c>
      <c r="F383" s="8"/>
      <c r="G383" s="8" t="str">
        <f t="shared" si="3"/>
        <v>4.0</v>
      </c>
      <c r="H383" s="9">
        <f t="shared" si="4"/>
        <v>4</v>
      </c>
      <c r="I383" s="6" t="str">
        <f>IFERROR(__xludf.DUMMYFUNCTION("MAX(FILTER($H:$H,$E:$E=F383))"),"#N/A")</f>
        <v>#N/A</v>
      </c>
    </row>
    <row r="384">
      <c r="C384" s="4" t="s">
        <v>343</v>
      </c>
      <c r="D384" s="4" t="str">
        <f t="shared" si="1"/>
        <v>{"valorA":"funciona","valorB":7.0}</v>
      </c>
      <c r="E384" s="8" t="str">
        <f t="shared" si="2"/>
        <v>funciona</v>
      </c>
      <c r="F384" s="8"/>
      <c r="G384" s="8" t="str">
        <f t="shared" si="3"/>
        <v>7.0</v>
      </c>
      <c r="H384" s="9">
        <f t="shared" si="4"/>
        <v>7</v>
      </c>
      <c r="I384" s="6" t="str">
        <f>IFERROR(__xludf.DUMMYFUNCTION("MAX(FILTER($H:$H,$E:$E=F384))"),"#N/A")</f>
        <v>#N/A</v>
      </c>
    </row>
    <row r="385">
      <c r="C385" s="4" t="s">
        <v>4941</v>
      </c>
      <c r="D385" s="4" t="str">
        <f t="shared" si="1"/>
        <v>{"valorA":"para","valorB":19.0}</v>
      </c>
      <c r="E385" s="8" t="str">
        <f t="shared" si="2"/>
        <v>para</v>
      </c>
      <c r="F385" s="8"/>
      <c r="G385" s="8" t="str">
        <f t="shared" si="3"/>
        <v>19.0</v>
      </c>
      <c r="H385" s="9">
        <f t="shared" si="4"/>
        <v>19</v>
      </c>
      <c r="I385" s="6" t="str">
        <f>IFERROR(__xludf.DUMMYFUNCTION("MAX(FILTER($H:$H,$E:$E=F385))"),"#N/A")</f>
        <v>#N/A</v>
      </c>
    </row>
    <row r="386">
      <c r="C386" s="4" t="s">
        <v>422</v>
      </c>
      <c r="D386" s="4" t="str">
        <f t="shared" si="1"/>
        <v>{"valorA":"recomendo","valorB":6.0}</v>
      </c>
      <c r="E386" s="8" t="str">
        <f t="shared" si="2"/>
        <v>recomendo</v>
      </c>
      <c r="F386" s="8"/>
      <c r="G386" s="8" t="str">
        <f t="shared" si="3"/>
        <v>6.0</v>
      </c>
      <c r="H386" s="9">
        <f t="shared" si="4"/>
        <v>6</v>
      </c>
      <c r="I386" s="6" t="str">
        <f>IFERROR(__xludf.DUMMYFUNCTION("MAX(FILTER($H:$H,$E:$E=F386))"),"#N/A")</f>
        <v>#N/A</v>
      </c>
    </row>
    <row r="387">
      <c r="C387" s="4" t="s">
        <v>647</v>
      </c>
      <c r="D387" s="4" t="str">
        <f t="shared" si="1"/>
        <v>{"valorA":"tão","valorB":2.0}</v>
      </c>
      <c r="E387" s="8" t="str">
        <f t="shared" si="2"/>
        <v>tão</v>
      </c>
      <c r="F387" s="8"/>
      <c r="G387" s="8" t="str">
        <f t="shared" si="3"/>
        <v>2.0</v>
      </c>
      <c r="H387" s="9">
        <f t="shared" si="4"/>
        <v>2</v>
      </c>
      <c r="I387" s="6" t="str">
        <f>IFERROR(__xludf.DUMMYFUNCTION("MAX(FILTER($H:$H,$E:$E=F387))"),"#N/A")</f>
        <v>#N/A</v>
      </c>
    </row>
    <row r="388">
      <c r="C388" s="4" t="s">
        <v>203</v>
      </c>
      <c r="D388" s="4" t="str">
        <f t="shared" si="1"/>
        <v>{"valorA":"por","valorB":1.0}</v>
      </c>
      <c r="E388" s="8" t="str">
        <f t="shared" si="2"/>
        <v>por</v>
      </c>
      <c r="F388" s="8"/>
      <c r="G388" s="8" t="str">
        <f t="shared" si="3"/>
        <v>1.0</v>
      </c>
      <c r="H388" s="9">
        <f t="shared" si="4"/>
        <v>1</v>
      </c>
      <c r="I388" s="6" t="str">
        <f>IFERROR(__xludf.DUMMYFUNCTION("MAX(FILTER($H:$H,$E:$E=F388))"),"#N/A")</f>
        <v>#N/A</v>
      </c>
    </row>
    <row r="389">
      <c r="C389" s="4" t="s">
        <v>772</v>
      </c>
      <c r="D389" s="4" t="str">
        <f t="shared" si="1"/>
        <v>{"valorA":"bom","valorB":5.0}</v>
      </c>
      <c r="E389" s="8" t="str">
        <f t="shared" si="2"/>
        <v>bom</v>
      </c>
      <c r="F389" s="8"/>
      <c r="G389" s="8" t="str">
        <f t="shared" si="3"/>
        <v>5.0</v>
      </c>
      <c r="H389" s="9">
        <f t="shared" si="4"/>
        <v>5</v>
      </c>
      <c r="I389" s="6" t="str">
        <f>IFERROR(__xludf.DUMMYFUNCTION("MAX(FILTER($H:$H,$E:$E=F389))"),"#N/A")</f>
        <v>#N/A</v>
      </c>
    </row>
    <row r="390">
      <c r="C390" s="4" t="s">
        <v>482</v>
      </c>
      <c r="D390" s="4" t="str">
        <f t="shared" si="1"/>
        <v>{"valorA":"produto","valorB":33.0}</v>
      </c>
      <c r="E390" s="8" t="str">
        <f t="shared" si="2"/>
        <v>produto</v>
      </c>
      <c r="F390" s="8"/>
      <c r="G390" s="8" t="str">
        <f t="shared" si="3"/>
        <v>33.0</v>
      </c>
      <c r="H390" s="9">
        <f t="shared" si="4"/>
        <v>33</v>
      </c>
      <c r="I390" s="6" t="str">
        <f>IFERROR(__xludf.DUMMYFUNCTION("MAX(FILTER($H:$H,$E:$E=F390))"),"#N/A")</f>
        <v>#N/A</v>
      </c>
    </row>
    <row r="391">
      <c r="C391" s="4" t="s">
        <v>813</v>
      </c>
      <c r="D391" s="4" t="str">
        <f t="shared" si="1"/>
        <v>{"valorA":"ótimo","valorB":42.0}</v>
      </c>
      <c r="E391" s="8" t="str">
        <f t="shared" si="2"/>
        <v>ótimo</v>
      </c>
      <c r="F391" s="8"/>
      <c r="G391" s="8" t="str">
        <f t="shared" si="3"/>
        <v>42.0</v>
      </c>
      <c r="H391" s="9">
        <f t="shared" si="4"/>
        <v>42</v>
      </c>
      <c r="I391" s="6" t="str">
        <f>IFERROR(__xludf.DUMMYFUNCTION("MAX(FILTER($H:$H,$E:$E=F391))"),"#N/A")</f>
        <v>#N/A</v>
      </c>
    </row>
    <row r="392">
      <c r="C392" s="4" t="s">
        <v>629</v>
      </c>
      <c r="D392" s="4" t="str">
        <f t="shared" si="1"/>
        <v>{"valorA":"todos","valorB":2.0}</v>
      </c>
      <c r="E392" s="8" t="str">
        <f t="shared" si="2"/>
        <v>todos</v>
      </c>
      <c r="F392" s="8"/>
      <c r="G392" s="8" t="str">
        <f t="shared" si="3"/>
        <v>2.0</v>
      </c>
      <c r="H392" s="9">
        <f t="shared" si="4"/>
        <v>2</v>
      </c>
      <c r="I392" s="6" t="str">
        <f>IFERROR(__xludf.DUMMYFUNCTION("MAX(FILTER($H:$H,$E:$E=F392))"),"#N/A")</f>
        <v>#N/A</v>
      </c>
    </row>
    <row r="393">
      <c r="C393" s="4" t="s">
        <v>686</v>
      </c>
      <c r="D393" s="4" t="str">
        <f t="shared" si="1"/>
        <v>{"valorA":"um","valorB":4.0}</v>
      </c>
      <c r="E393" s="8" t="str">
        <f t="shared" si="2"/>
        <v>um</v>
      </c>
      <c r="F393" s="8"/>
      <c r="G393" s="8" t="str">
        <f t="shared" si="3"/>
        <v>4.0</v>
      </c>
      <c r="H393" s="9">
        <f t="shared" si="4"/>
        <v>4</v>
      </c>
      <c r="I393" s="6" t="str">
        <f>IFERROR(__xludf.DUMMYFUNCTION("MAX(FILTER($H:$H,$E:$E=F393))"),"#N/A")</f>
        <v>#N/A</v>
      </c>
    </row>
    <row r="394">
      <c r="C394" s="4" t="s">
        <v>734</v>
      </c>
      <c r="D394" s="4" t="str">
        <f t="shared" si="1"/>
        <v>{"valorA":"preço","valorB":12.0}</v>
      </c>
      <c r="E394" s="8" t="str">
        <f t="shared" si="2"/>
        <v>preço</v>
      </c>
      <c r="F394" s="8"/>
      <c r="G394" s="8" t="str">
        <f t="shared" si="3"/>
        <v>12.0</v>
      </c>
      <c r="H394" s="9">
        <f t="shared" si="4"/>
        <v>12</v>
      </c>
      <c r="I394" s="6" t="str">
        <f>IFERROR(__xludf.DUMMYFUNCTION("MAX(FILTER($H:$H,$E:$E=F394))"),"#N/A")</f>
        <v>#N/A</v>
      </c>
    </row>
    <row r="395">
      <c r="C395" s="4" t="s">
        <v>1475</v>
      </c>
      <c r="D395" s="4" t="str">
        <f t="shared" si="1"/>
        <v>{"valorA":"gosto","valorB":5.0}</v>
      </c>
      <c r="E395" s="8" t="str">
        <f t="shared" si="2"/>
        <v>gosto</v>
      </c>
      <c r="F395" s="8"/>
      <c r="G395" s="8" t="str">
        <f t="shared" si="3"/>
        <v>5.0</v>
      </c>
      <c r="H395" s="9">
        <f t="shared" si="4"/>
        <v>5</v>
      </c>
      <c r="I395" s="6" t="str">
        <f>IFERROR(__xludf.DUMMYFUNCTION("MAX(FILTER($H:$H,$E:$E=F395))"),"#N/A")</f>
        <v>#N/A</v>
      </c>
    </row>
    <row r="396">
      <c r="C396" s="4" t="s">
        <v>4942</v>
      </c>
      <c r="D396" s="4" t="str">
        <f t="shared" si="1"/>
        <v>{"valorA":"digital","valorB":1.0}</v>
      </c>
      <c r="E396" s="8" t="str">
        <f t="shared" si="2"/>
        <v>digital</v>
      </c>
      <c r="F396" s="8"/>
      <c r="G396" s="8" t="str">
        <f t="shared" si="3"/>
        <v>1.0</v>
      </c>
      <c r="H396" s="9">
        <f t="shared" si="4"/>
        <v>1</v>
      </c>
      <c r="I396" s="6" t="str">
        <f>IFERROR(__xludf.DUMMYFUNCTION("MAX(FILTER($H:$H,$E:$E=F396))"),"#N/A")</f>
        <v>#N/A</v>
      </c>
    </row>
    <row r="397">
      <c r="C397" s="4" t="s">
        <v>863</v>
      </c>
      <c r="D397" s="4" t="str">
        <f t="shared" si="1"/>
        <v>{"valorA":"produto","valorB":34.0}</v>
      </c>
      <c r="E397" s="8" t="str">
        <f t="shared" si="2"/>
        <v>produto</v>
      </c>
      <c r="F397" s="8"/>
      <c r="G397" s="8" t="str">
        <f t="shared" si="3"/>
        <v>34.0</v>
      </c>
      <c r="H397" s="9">
        <f t="shared" si="4"/>
        <v>34</v>
      </c>
      <c r="I397" s="6" t="str">
        <f>IFERROR(__xludf.DUMMYFUNCTION("MAX(FILTER($H:$H,$E:$E=F397))"),"#N/A")</f>
        <v>#N/A</v>
      </c>
    </row>
    <row r="398">
      <c r="C398" s="4" t="s">
        <v>283</v>
      </c>
      <c r="D398" s="4" t="str">
        <f t="shared" si="1"/>
        <v>{"valorA":"relógio","valorB":1.0}</v>
      </c>
      <c r="E398" s="8" t="str">
        <f t="shared" si="2"/>
        <v>relógio</v>
      </c>
      <c r="F398" s="8"/>
      <c r="G398" s="8" t="str">
        <f t="shared" si="3"/>
        <v>1.0</v>
      </c>
      <c r="H398" s="9">
        <f t="shared" si="4"/>
        <v>1</v>
      </c>
      <c r="I398" s="6" t="str">
        <f>IFERROR(__xludf.DUMMYFUNCTION("MAX(FILTER($H:$H,$E:$E=F398))"),"#N/A")</f>
        <v>#N/A</v>
      </c>
    </row>
    <row r="399">
      <c r="C399" s="4" t="s">
        <v>819</v>
      </c>
      <c r="D399" s="4" t="str">
        <f t="shared" si="1"/>
        <v>{"valorA":"ótimo","valorB":43.0}</v>
      </c>
      <c r="E399" s="8" t="str">
        <f t="shared" si="2"/>
        <v>ótimo</v>
      </c>
      <c r="F399" s="8"/>
      <c r="G399" s="8" t="str">
        <f t="shared" si="3"/>
        <v>43.0</v>
      </c>
      <c r="H399" s="9">
        <f t="shared" si="4"/>
        <v>43</v>
      </c>
      <c r="I399" s="6" t="str">
        <f>IFERROR(__xludf.DUMMYFUNCTION("MAX(FILTER($H:$H,$E:$E=F399))"),"#N/A")</f>
        <v>#N/A</v>
      </c>
    </row>
    <row r="400">
      <c r="C400" s="4" t="s">
        <v>397</v>
      </c>
      <c r="D400" s="4" t="str">
        <f t="shared" si="1"/>
        <v>{"valorA":"muito","valorB":14.0}</v>
      </c>
      <c r="E400" s="8" t="str">
        <f t="shared" si="2"/>
        <v>muito</v>
      </c>
      <c r="F400" s="8"/>
      <c r="G400" s="8" t="str">
        <f t="shared" si="3"/>
        <v>14.0</v>
      </c>
      <c r="H400" s="9">
        <f t="shared" si="4"/>
        <v>14</v>
      </c>
      <c r="I400" s="6" t="str">
        <f>IFERROR(__xludf.DUMMYFUNCTION("MAX(FILTER($H:$H,$E:$E=F400))"),"#N/A")</f>
        <v>#N/A</v>
      </c>
    </row>
    <row r="401">
      <c r="C401" s="4" t="s">
        <v>231</v>
      </c>
      <c r="D401" s="4" t="str">
        <f t="shared" si="1"/>
        <v>{"valorA":"desse","valorB":2.0}</v>
      </c>
      <c r="E401" s="8" t="str">
        <f t="shared" si="2"/>
        <v>desse</v>
      </c>
      <c r="F401" s="8"/>
      <c r="G401" s="8" t="str">
        <f t="shared" si="3"/>
        <v>2.0</v>
      </c>
      <c r="H401" s="9">
        <f t="shared" si="4"/>
        <v>2</v>
      </c>
      <c r="I401" s="6" t="str">
        <f>IFERROR(__xludf.DUMMYFUNCTION("MAX(FILTER($H:$H,$E:$E=F401))"),"#N/A")</f>
        <v>#N/A</v>
      </c>
    </row>
    <row r="402">
      <c r="C402" s="4" t="s">
        <v>4943</v>
      </c>
      <c r="D402" s="4" t="str">
        <f t="shared" si="1"/>
        <v>{"valorA":"para","valorB":20.0}</v>
      </c>
      <c r="E402" s="8" t="str">
        <f t="shared" si="2"/>
        <v>para</v>
      </c>
      <c r="F402" s="8"/>
      <c r="G402" s="8" t="str">
        <f t="shared" si="3"/>
        <v>20.0</v>
      </c>
      <c r="H402" s="9">
        <f t="shared" si="4"/>
        <v>20</v>
      </c>
      <c r="I402" s="6" t="str">
        <f>IFERROR(__xludf.DUMMYFUNCTION("MAX(FILTER($H:$H,$E:$E=F402))"),"#N/A")</f>
        <v>#N/A</v>
      </c>
    </row>
    <row r="403">
      <c r="C403" s="4" t="s">
        <v>622</v>
      </c>
      <c r="D403" s="4" t="str">
        <f t="shared" si="1"/>
        <v>{"valorA":"qualidade","valorB":5.0}</v>
      </c>
      <c r="E403" s="8" t="str">
        <f t="shared" si="2"/>
        <v>qualidade</v>
      </c>
      <c r="F403" s="8"/>
      <c r="G403" s="8" t="str">
        <f t="shared" si="3"/>
        <v>5.0</v>
      </c>
      <c r="H403" s="9">
        <f t="shared" si="4"/>
        <v>5</v>
      </c>
      <c r="I403" s="6" t="str">
        <f>IFERROR(__xludf.DUMMYFUNCTION("MAX(FILTER($H:$H,$E:$E=F403))"),"#N/A")</f>
        <v>#N/A</v>
      </c>
    </row>
    <row r="404">
      <c r="C404" s="4" t="s">
        <v>1022</v>
      </c>
      <c r="D404" s="4" t="str">
        <f t="shared" si="1"/>
        <v>{"valorA":"com","valorB":5.0}</v>
      </c>
      <c r="E404" s="8" t="str">
        <f t="shared" si="2"/>
        <v>com</v>
      </c>
      <c r="F404" s="8"/>
      <c r="G404" s="8" t="str">
        <f t="shared" si="3"/>
        <v>5.0</v>
      </c>
      <c r="H404" s="9">
        <f t="shared" si="4"/>
        <v>5</v>
      </c>
      <c r="I404" s="6" t="str">
        <f>IFERROR(__xludf.DUMMYFUNCTION("MAX(FILTER($H:$H,$E:$E=F404))"),"#N/A")</f>
        <v>#N/A</v>
      </c>
    </row>
    <row r="405">
      <c r="C405" s="4" t="s">
        <v>4944</v>
      </c>
      <c r="D405" s="4" t="str">
        <f t="shared" si="1"/>
        <v>{"valorA":"quem","valorB":8.0}</v>
      </c>
      <c r="E405" s="8" t="str">
        <f t="shared" si="2"/>
        <v>quem</v>
      </c>
      <c r="F405" s="8"/>
      <c r="G405" s="8" t="str">
        <f t="shared" si="3"/>
        <v>8.0</v>
      </c>
      <c r="H405" s="9">
        <f t="shared" si="4"/>
        <v>8</v>
      </c>
      <c r="I405" s="6" t="str">
        <f>IFERROR(__xludf.DUMMYFUNCTION("MAX(FILTER($H:$H,$E:$E=F405))"),"#N/A")</f>
        <v>#N/A</v>
      </c>
    </row>
    <row r="406">
      <c r="C406" s="4" t="s">
        <v>4945</v>
      </c>
      <c r="D406" s="4" t="str">
        <f t="shared" si="1"/>
        <v>{"valorA":"boa","valorB":3.0}</v>
      </c>
      <c r="E406" s="8" t="str">
        <f t="shared" si="2"/>
        <v>boa</v>
      </c>
      <c r="F406" s="8"/>
      <c r="G406" s="8" t="str">
        <f t="shared" si="3"/>
        <v>3.0</v>
      </c>
      <c r="H406" s="9">
        <f t="shared" si="4"/>
        <v>3</v>
      </c>
      <c r="I406" s="6" t="str">
        <f>IFERROR(__xludf.DUMMYFUNCTION("MAX(FILTER($H:$H,$E:$E=F406))"),"#N/A")</f>
        <v>#N/A</v>
      </c>
    </row>
    <row r="407">
      <c r="C407" s="4" t="s">
        <v>4946</v>
      </c>
      <c r="D407" s="4" t="str">
        <f t="shared" si="1"/>
        <v>{"valorA":"e","valorB":21.0}</v>
      </c>
      <c r="E407" s="8" t="str">
        <f t="shared" si="2"/>
        <v>e</v>
      </c>
      <c r="F407" s="8"/>
      <c r="G407" s="8" t="str">
        <f t="shared" si="3"/>
        <v>21.0</v>
      </c>
      <c r="H407" s="9">
        <f t="shared" si="4"/>
        <v>21</v>
      </c>
      <c r="I407" s="6" t="str">
        <f>IFERROR(__xludf.DUMMYFUNCTION("MAX(FILTER($H:$H,$E:$E=F407))"),"#N/A")</f>
        <v>#N/A</v>
      </c>
    </row>
    <row r="408">
      <c r="C408" s="4" t="s">
        <v>1250</v>
      </c>
      <c r="D408" s="4" t="str">
        <f t="shared" si="1"/>
        <v>{"valorA":"acessível","valorB":1.0}</v>
      </c>
      <c r="E408" s="8" t="str">
        <f t="shared" si="2"/>
        <v>acessível</v>
      </c>
      <c r="F408" s="8"/>
      <c r="G408" s="8" t="str">
        <f t="shared" si="3"/>
        <v>1.0</v>
      </c>
      <c r="H408" s="9">
        <f t="shared" si="4"/>
        <v>1</v>
      </c>
      <c r="I408" s="6" t="str">
        <f>IFERROR(__xludf.DUMMYFUNCTION("MAX(FILTER($H:$H,$E:$E=F408))"),"#N/A")</f>
        <v>#N/A</v>
      </c>
    </row>
    <row r="409">
      <c r="C409" s="4" t="s">
        <v>493</v>
      </c>
      <c r="D409" s="4" t="str">
        <f t="shared" si="1"/>
        <v>{"valorA":"produto","valorB":35.0}</v>
      </c>
      <c r="E409" s="8" t="str">
        <f t="shared" si="2"/>
        <v>produto</v>
      </c>
      <c r="F409" s="8"/>
      <c r="G409" s="8" t="str">
        <f t="shared" si="3"/>
        <v>35.0</v>
      </c>
      <c r="H409" s="9">
        <f t="shared" si="4"/>
        <v>35</v>
      </c>
      <c r="I409" s="6" t="str">
        <f>IFERROR(__xludf.DUMMYFUNCTION("MAX(FILTER($H:$H,$E:$E=F409))"),"#N/A")</f>
        <v>#N/A</v>
      </c>
    </row>
    <row r="410">
      <c r="C410" s="4" t="s">
        <v>354</v>
      </c>
      <c r="D410" s="4" t="str">
        <f t="shared" si="1"/>
        <v>{"valorA":"telefone","valorB":1.0}</v>
      </c>
      <c r="E410" s="8" t="str">
        <f t="shared" si="2"/>
        <v>telefone</v>
      </c>
      <c r="F410" s="8"/>
      <c r="G410" s="8" t="str">
        <f t="shared" si="3"/>
        <v>1.0</v>
      </c>
      <c r="H410" s="9">
        <f t="shared" si="4"/>
        <v>1</v>
      </c>
      <c r="I410" s="6" t="str">
        <f>IFERROR(__xludf.DUMMYFUNCTION("MAX(FILTER($H:$H,$E:$E=F410))"),"#N/A")</f>
        <v>#N/A</v>
      </c>
    </row>
    <row r="411">
      <c r="C411" s="4" t="s">
        <v>464</v>
      </c>
      <c r="D411" s="4" t="str">
        <f t="shared" si="1"/>
        <v>{"valorA":"ótimo","valorB":44.0}</v>
      </c>
      <c r="E411" s="8" t="str">
        <f t="shared" si="2"/>
        <v>ótimo</v>
      </c>
      <c r="F411" s="8"/>
      <c r="G411" s="8" t="str">
        <f t="shared" si="3"/>
        <v>44.0</v>
      </c>
      <c r="H411" s="9">
        <f t="shared" si="4"/>
        <v>44</v>
      </c>
      <c r="I411" s="6" t="str">
        <f>IFERROR(__xludf.DUMMYFUNCTION("MAX(FILTER($H:$H,$E:$E=F411))"),"#N/A")</f>
        <v>#N/A</v>
      </c>
    </row>
    <row r="412">
      <c r="C412" s="4" t="s">
        <v>4947</v>
      </c>
      <c r="D412" s="4" t="str">
        <f t="shared" si="1"/>
        <v>{"valorA":"busca","valorB":5.0}</v>
      </c>
      <c r="E412" s="8" t="str">
        <f t="shared" si="2"/>
        <v>busca</v>
      </c>
      <c r="F412" s="8"/>
      <c r="G412" s="8" t="str">
        <f t="shared" si="3"/>
        <v>5.0</v>
      </c>
      <c r="H412" s="9">
        <f t="shared" si="4"/>
        <v>5</v>
      </c>
      <c r="I412" s="6" t="str">
        <f>IFERROR(__xludf.DUMMYFUNCTION("MAX(FILTER($H:$H,$E:$E=F412))"),"#N/A")</f>
        <v>#N/A</v>
      </c>
    </row>
    <row r="413">
      <c r="C413" s="4" t="s">
        <v>718</v>
      </c>
      <c r="D413" s="4" t="str">
        <f t="shared" si="1"/>
        <v>{"valorA":"um","valorB":5.0}</v>
      </c>
      <c r="E413" s="8" t="str">
        <f t="shared" si="2"/>
        <v>um</v>
      </c>
      <c r="F413" s="8"/>
      <c r="G413" s="8" t="str">
        <f t="shared" si="3"/>
        <v>5.0</v>
      </c>
      <c r="H413" s="9">
        <f t="shared" si="4"/>
        <v>5</v>
      </c>
      <c r="I413" s="6" t="str">
        <f>IFERROR(__xludf.DUMMYFUNCTION("MAX(FILTER($H:$H,$E:$E=F413))"),"#N/A")</f>
        <v>#N/A</v>
      </c>
    </row>
    <row r="414">
      <c r="C414" s="4" t="s">
        <v>749</v>
      </c>
      <c r="D414" s="4" t="str">
        <f t="shared" si="1"/>
        <v>{"valorA":"preço","valorB":13.0}</v>
      </c>
      <c r="E414" s="8" t="str">
        <f t="shared" si="2"/>
        <v>preço</v>
      </c>
      <c r="F414" s="8"/>
      <c r="G414" s="8" t="str">
        <f t="shared" si="3"/>
        <v>13.0</v>
      </c>
      <c r="H414" s="9">
        <f t="shared" si="4"/>
        <v>13</v>
      </c>
      <c r="I414" s="6" t="str">
        <f>IFERROR(__xludf.DUMMYFUNCTION("MAX(FILTER($H:$H,$E:$E=F414))"),"#N/A")</f>
        <v>#N/A</v>
      </c>
    </row>
    <row r="415">
      <c r="C415" s="4" t="s">
        <v>1045</v>
      </c>
      <c r="D415" s="4" t="str">
        <f t="shared" si="1"/>
        <v>{"valorA":"com","valorB":6.0}</v>
      </c>
      <c r="E415" s="8" t="str">
        <f t="shared" si="2"/>
        <v>com</v>
      </c>
      <c r="F415" s="8"/>
      <c r="G415" s="8" t="str">
        <f t="shared" si="3"/>
        <v>6.0</v>
      </c>
      <c r="H415" s="9">
        <f t="shared" si="4"/>
        <v>6</v>
      </c>
      <c r="I415" s="6" t="str">
        <f>IFERROR(__xludf.DUMMYFUNCTION("MAX(FILTER($H:$H,$E:$E=F415))"),"#N/A")</f>
        <v>#N/A</v>
      </c>
    </row>
    <row r="416">
      <c r="C416" s="4" t="s">
        <v>983</v>
      </c>
      <c r="D416" s="4" t="str">
        <f t="shared" si="1"/>
        <v>{"valorA":"operacional","valorB":1.0}</v>
      </c>
      <c r="E416" s="8" t="str">
        <f t="shared" si="2"/>
        <v>operacional</v>
      </c>
      <c r="F416" s="8"/>
      <c r="G416" s="8" t="str">
        <f t="shared" si="3"/>
        <v>1.0</v>
      </c>
      <c r="H416" s="9">
        <f t="shared" si="4"/>
        <v>1</v>
      </c>
      <c r="I416" s="6" t="str">
        <f>IFERROR(__xludf.DUMMYFUNCTION("MAX(FILTER($H:$H,$E:$E=F416))"),"#N/A")</f>
        <v>#N/A</v>
      </c>
    </row>
    <row r="417">
      <c r="C417" s="4" t="s">
        <v>367</v>
      </c>
      <c r="D417" s="4" t="str">
        <f t="shared" si="1"/>
        <v>{"valorA":"meu","valorB":2.0}</v>
      </c>
      <c r="E417" s="8" t="str">
        <f t="shared" si="2"/>
        <v>meu</v>
      </c>
      <c r="F417" s="8"/>
      <c r="G417" s="8" t="str">
        <f t="shared" si="3"/>
        <v>2.0</v>
      </c>
      <c r="H417" s="9">
        <f t="shared" si="4"/>
        <v>2</v>
      </c>
      <c r="I417" s="6" t="str">
        <f>IFERROR(__xludf.DUMMYFUNCTION("MAX(FILTER($H:$H,$E:$E=F417))"),"#N/A")</f>
        <v>#N/A</v>
      </c>
    </row>
    <row r="418">
      <c r="C418" s="4" t="s">
        <v>4948</v>
      </c>
      <c r="D418" s="4" t="str">
        <f t="shared" si="1"/>
        <v>{"valorA":"usar","valorB":11.0}</v>
      </c>
      <c r="E418" s="8" t="str">
        <f t="shared" si="2"/>
        <v>usar</v>
      </c>
      <c r="F418" s="8"/>
      <c r="G418" s="8" t="str">
        <f t="shared" si="3"/>
        <v>11.0</v>
      </c>
      <c r="H418" s="9">
        <f t="shared" si="4"/>
        <v>11</v>
      </c>
      <c r="I418" s="6" t="str">
        <f>IFERROR(__xludf.DUMMYFUNCTION("MAX(FILTER($H:$H,$E:$E=F418))"),"#N/A")</f>
        <v>#N/A</v>
      </c>
    </row>
    <row r="419">
      <c r="C419" s="4" t="s">
        <v>348</v>
      </c>
      <c r="D419" s="4" t="str">
        <f t="shared" si="1"/>
        <v>{"valorA":"bem","valorB":8.0}</v>
      </c>
      <c r="E419" s="8" t="str">
        <f t="shared" si="2"/>
        <v>bem</v>
      </c>
      <c r="F419" s="8"/>
      <c r="G419" s="8" t="str">
        <f t="shared" si="3"/>
        <v>8.0</v>
      </c>
      <c r="H419" s="9">
        <f t="shared" si="4"/>
        <v>8</v>
      </c>
      <c r="I419" s="6" t="str">
        <f>IFERROR(__xludf.DUMMYFUNCTION("MAX(FILTER($H:$H,$E:$E=F419))"),"#N/A")</f>
        <v>#N/A</v>
      </c>
    </row>
    <row r="420">
      <c r="C420" s="4" t="s">
        <v>1154</v>
      </c>
      <c r="D420" s="4" t="str">
        <f t="shared" si="1"/>
        <v>{"valorA":"de","valorB":17.0}</v>
      </c>
      <c r="E420" s="8" t="str">
        <f t="shared" si="2"/>
        <v>de</v>
      </c>
      <c r="F420" s="8"/>
      <c r="G420" s="8" t="str">
        <f t="shared" si="3"/>
        <v>17.0</v>
      </c>
      <c r="H420" s="9">
        <f t="shared" si="4"/>
        <v>17</v>
      </c>
      <c r="I420" s="6" t="str">
        <f>IFERROR(__xludf.DUMMYFUNCTION("MAX(FILTER($H:$H,$E:$E=F420))"),"#N/A")</f>
        <v>#N/A</v>
      </c>
    </row>
    <row r="421">
      <c r="C421" s="4" t="s">
        <v>4949</v>
      </c>
      <c r="D421" s="4" t="str">
        <f t="shared" si="1"/>
        <v>{"valorA":"e","valorB":22.0}</v>
      </c>
      <c r="E421" s="8" t="str">
        <f t="shared" si="2"/>
        <v>e</v>
      </c>
      <c r="F421" s="8"/>
      <c r="G421" s="8" t="str">
        <f t="shared" si="3"/>
        <v>22.0</v>
      </c>
      <c r="H421" s="9">
        <f t="shared" si="4"/>
        <v>22</v>
      </c>
      <c r="I421" s="6" t="str">
        <f>IFERROR(__xludf.DUMMYFUNCTION("MAX(FILTER($H:$H,$E:$E=F421))"),"#N/A")</f>
        <v>#N/A</v>
      </c>
    </row>
    <row r="422">
      <c r="C422" s="4" t="s">
        <v>4950</v>
      </c>
      <c r="D422" s="4" t="str">
        <f t="shared" si="1"/>
        <v>{"valorA":"produto","valorB":37.0}</v>
      </c>
      <c r="E422" s="8" t="str">
        <f t="shared" si="2"/>
        <v>produto</v>
      </c>
      <c r="F422" s="8"/>
      <c r="G422" s="8" t="str">
        <f t="shared" si="3"/>
        <v>37.0</v>
      </c>
      <c r="H422" s="9">
        <f t="shared" si="4"/>
        <v>37</v>
      </c>
      <c r="I422" s="6" t="str">
        <f>IFERROR(__xludf.DUMMYFUNCTION("MAX(FILTER($H:$H,$E:$E=F422))"),"#N/A")</f>
        <v>#N/A</v>
      </c>
    </row>
    <row r="423">
      <c r="C423" s="4" t="s">
        <v>835</v>
      </c>
      <c r="D423" s="4" t="str">
        <f t="shared" si="1"/>
        <v>{"valorA":"ótimo","valorB":46.0}</v>
      </c>
      <c r="E423" s="8" t="str">
        <f t="shared" si="2"/>
        <v>ótimo</v>
      </c>
      <c r="F423" s="8"/>
      <c r="G423" s="8" t="str">
        <f t="shared" si="3"/>
        <v>46.0</v>
      </c>
      <c r="H423" s="9">
        <f t="shared" si="4"/>
        <v>46</v>
      </c>
      <c r="I423" s="6" t="str">
        <f>IFERROR(__xludf.DUMMYFUNCTION("MAX(FILTER($H:$H,$E:$E=F423))"),"#N/A")</f>
        <v>#N/A</v>
      </c>
    </row>
    <row r="424">
      <c r="C424" s="4" t="s">
        <v>4951</v>
      </c>
      <c r="D424" s="4" t="str">
        <f t="shared" si="1"/>
        <v>{"valorA":"fácil","valorB":12.0}</v>
      </c>
      <c r="E424" s="8" t="str">
        <f t="shared" si="2"/>
        <v>fácil</v>
      </c>
      <c r="F424" s="8"/>
      <c r="G424" s="8" t="str">
        <f t="shared" si="3"/>
        <v>12.0</v>
      </c>
      <c r="H424" s="9">
        <f t="shared" si="4"/>
        <v>12</v>
      </c>
      <c r="I424" s="6" t="str">
        <f>IFERROR(__xludf.DUMMYFUNCTION("MAX(FILTER($H:$H,$E:$E=F424))"),"#N/A")</f>
        <v>#N/A</v>
      </c>
    </row>
    <row r="425">
      <c r="C425" s="4" t="s">
        <v>812</v>
      </c>
      <c r="D425" s="4" t="str">
        <f t="shared" si="1"/>
        <v>{"valorA":"mas","valorB":7.0}</v>
      </c>
      <c r="E425" s="8" t="str">
        <f t="shared" si="2"/>
        <v>mas</v>
      </c>
      <c r="F425" s="8"/>
      <c r="G425" s="8" t="str">
        <f t="shared" si="3"/>
        <v>7.0</v>
      </c>
      <c r="H425" s="9">
        <f t="shared" si="4"/>
        <v>7</v>
      </c>
      <c r="I425" s="6" t="str">
        <f>IFERROR(__xludf.DUMMYFUNCTION("MAX(FILTER($H:$H,$E:$E=F425))"),"#N/A")</f>
        <v>#N/A</v>
      </c>
    </row>
    <row r="426">
      <c r="C426" s="4" t="s">
        <v>668</v>
      </c>
      <c r="D426" s="4" t="str">
        <f t="shared" si="1"/>
        <v>{"valorA":"sistema","valorB":1.0}</v>
      </c>
      <c r="E426" s="8" t="str">
        <f t="shared" si="2"/>
        <v>sistema</v>
      </c>
      <c r="F426" s="8"/>
      <c r="G426" s="8" t="str">
        <f t="shared" si="3"/>
        <v>1.0</v>
      </c>
      <c r="H426" s="9">
        <f t="shared" si="4"/>
        <v>1</v>
      </c>
      <c r="I426" s="6" t="str">
        <f>IFERROR(__xludf.DUMMYFUNCTION("MAX(FILTER($H:$H,$E:$E=F426))"),"#N/A")</f>
        <v>#N/A</v>
      </c>
    </row>
    <row r="427">
      <c r="C427" s="4" t="s">
        <v>703</v>
      </c>
      <c r="D427" s="4" t="str">
        <f t="shared" si="1"/>
        <v>{"valorA":"não","valorB":5.0}</v>
      </c>
      <c r="E427" s="8" t="str">
        <f t="shared" si="2"/>
        <v>não</v>
      </c>
      <c r="F427" s="8"/>
      <c r="G427" s="8" t="str">
        <f t="shared" si="3"/>
        <v>5.0</v>
      </c>
      <c r="H427" s="9">
        <f t="shared" si="4"/>
        <v>5</v>
      </c>
      <c r="I427" s="6" t="str">
        <f>IFERROR(__xludf.DUMMYFUNCTION("MAX(FILTER($H:$H,$E:$E=F427))"),"#N/A")</f>
        <v>#N/A</v>
      </c>
    </row>
    <row r="428">
      <c r="C428" s="4" t="s">
        <v>382</v>
      </c>
      <c r="D428" s="4" t="str">
        <f t="shared" si="1"/>
        <v>{"valorA":"funciona","valorB":9.0}</v>
      </c>
      <c r="E428" s="8" t="str">
        <f t="shared" si="2"/>
        <v>funciona</v>
      </c>
      <c r="F428" s="8"/>
      <c r="G428" s="8" t="str">
        <f t="shared" si="3"/>
        <v>9.0</v>
      </c>
      <c r="H428" s="9">
        <f t="shared" si="4"/>
        <v>9</v>
      </c>
      <c r="I428" s="6" t="str">
        <f>IFERROR(__xludf.DUMMYFUNCTION("MAX(FILTER($H:$H,$E:$E=F428))"),"#N/A")</f>
        <v>#N/A</v>
      </c>
    </row>
    <row r="429">
      <c r="C429" s="4" t="s">
        <v>491</v>
      </c>
      <c r="D429" s="4" t="str">
        <f t="shared" si="1"/>
        <v>{"valorA":"recomendo","valorB":7.0}</v>
      </c>
      <c r="E429" s="8" t="str">
        <f t="shared" si="2"/>
        <v>recomendo</v>
      </c>
      <c r="F429" s="8"/>
      <c r="G429" s="8" t="str">
        <f t="shared" si="3"/>
        <v>7.0</v>
      </c>
      <c r="H429" s="9">
        <f t="shared" si="4"/>
        <v>7</v>
      </c>
      <c r="I429" s="6" t="str">
        <f>IFERROR(__xludf.DUMMYFUNCTION("MAX(FILTER($H:$H,$E:$E=F429))"),"#N/A")</f>
        <v>#N/A</v>
      </c>
    </row>
    <row r="430">
      <c r="C430" s="4" t="s">
        <v>4952</v>
      </c>
      <c r="D430" s="4" t="str">
        <f t="shared" si="1"/>
        <v>{"valorA":"usar","valorB":12.0}</v>
      </c>
      <c r="E430" s="8" t="str">
        <f t="shared" si="2"/>
        <v>usar</v>
      </c>
      <c r="F430" s="8"/>
      <c r="G430" s="8" t="str">
        <f t="shared" si="3"/>
        <v>12.0</v>
      </c>
      <c r="H430" s="9">
        <f t="shared" si="4"/>
        <v>12</v>
      </c>
      <c r="I430" s="6" t="str">
        <f>IFERROR(__xludf.DUMMYFUNCTION("MAX(FILTER($H:$H,$E:$E=F430))"),"#N/A")</f>
        <v>#N/A</v>
      </c>
    </row>
    <row r="431">
      <c r="C431" s="4" t="s">
        <v>4953</v>
      </c>
      <c r="D431" s="4" t="str">
        <f t="shared" si="1"/>
        <v>{"valorA":"e","valorB":23.0}</v>
      </c>
      <c r="E431" s="8" t="str">
        <f t="shared" si="2"/>
        <v>e</v>
      </c>
      <c r="F431" s="8"/>
      <c r="G431" s="8" t="str">
        <f t="shared" si="3"/>
        <v>23.0</v>
      </c>
      <c r="H431" s="9">
        <f t="shared" si="4"/>
        <v>23</v>
      </c>
      <c r="I431" s="6" t="str">
        <f>IFERROR(__xludf.DUMMYFUNCTION("MAX(FILTER($H:$H,$E:$E=F431))"),"#N/A")</f>
        <v>#N/A</v>
      </c>
    </row>
    <row r="432">
      <c r="C432" s="4" t="s">
        <v>1169</v>
      </c>
      <c r="D432" s="4" t="str">
        <f t="shared" si="1"/>
        <v>{"valorA":"de","valorB":19.0}</v>
      </c>
      <c r="E432" s="8" t="str">
        <f t="shared" si="2"/>
        <v>de</v>
      </c>
      <c r="F432" s="8"/>
      <c r="G432" s="8" t="str">
        <f t="shared" si="3"/>
        <v>19.0</v>
      </c>
      <c r="H432" s="9">
        <f t="shared" si="4"/>
        <v>19</v>
      </c>
      <c r="I432" s="6" t="str">
        <f>IFERROR(__xludf.DUMMYFUNCTION("MAX(FILTER($H:$H,$E:$E=F432))"),"#N/A")</f>
        <v>#N/A</v>
      </c>
    </row>
    <row r="433">
      <c r="C433" s="4" t="s">
        <v>4954</v>
      </c>
      <c r="D433" s="4" t="str">
        <f t="shared" si="1"/>
        <v>{"valorA":"produto","valorB":38.0}</v>
      </c>
      <c r="E433" s="8" t="str">
        <f t="shared" si="2"/>
        <v>produto</v>
      </c>
      <c r="F433" s="8"/>
      <c r="G433" s="8" t="str">
        <f t="shared" si="3"/>
        <v>38.0</v>
      </c>
      <c r="H433" s="9">
        <f t="shared" si="4"/>
        <v>38</v>
      </c>
      <c r="I433" s="6" t="str">
        <f>IFERROR(__xludf.DUMMYFUNCTION("MAX(FILTER($H:$H,$E:$E=F433))"),"#N/A")</f>
        <v>#N/A</v>
      </c>
    </row>
    <row r="434">
      <c r="C434" s="4" t="s">
        <v>484</v>
      </c>
      <c r="D434" s="4" t="str">
        <f t="shared" si="1"/>
        <v>{"valorA":"ótimo","valorB":47.0}</v>
      </c>
      <c r="E434" s="8" t="str">
        <f t="shared" si="2"/>
        <v>ótimo</v>
      </c>
      <c r="F434" s="8"/>
      <c r="G434" s="8" t="str">
        <f t="shared" si="3"/>
        <v>47.0</v>
      </c>
      <c r="H434" s="9">
        <f t="shared" si="4"/>
        <v>47</v>
      </c>
      <c r="I434" s="6" t="str">
        <f>IFERROR(__xludf.DUMMYFUNCTION("MAX(FILTER($H:$H,$E:$E=F434))"),"#N/A")</f>
        <v>#N/A</v>
      </c>
    </row>
    <row r="435">
      <c r="C435" s="4" t="s">
        <v>4955</v>
      </c>
      <c r="D435" s="4" t="str">
        <f t="shared" si="1"/>
        <v>{"valorA":"fácil","valorB":13.0}</v>
      </c>
      <c r="E435" s="8" t="str">
        <f t="shared" si="2"/>
        <v>fácil</v>
      </c>
      <c r="F435" s="8"/>
      <c r="G435" s="8" t="str">
        <f t="shared" si="3"/>
        <v>13.0</v>
      </c>
      <c r="H435" s="9">
        <f t="shared" si="4"/>
        <v>13</v>
      </c>
      <c r="I435" s="6" t="str">
        <f>IFERROR(__xludf.DUMMYFUNCTION("MAX(FILTER($H:$H,$E:$E=F435))"),"#N/A")</f>
        <v>#N/A</v>
      </c>
    </row>
    <row r="436">
      <c r="C436" s="4" t="s">
        <v>432</v>
      </c>
      <c r="D436" s="4" t="str">
        <f t="shared" si="1"/>
        <v>{"valorA":"muito","valorB":15.0}</v>
      </c>
      <c r="E436" s="8" t="str">
        <f t="shared" si="2"/>
        <v>muito</v>
      </c>
      <c r="F436" s="8"/>
      <c r="G436" s="8" t="str">
        <f t="shared" si="3"/>
        <v>15.0</v>
      </c>
      <c r="H436" s="9">
        <f t="shared" si="4"/>
        <v>15</v>
      </c>
      <c r="I436" s="6" t="str">
        <f>IFERROR(__xludf.DUMMYFUNCTION("MAX(FILTER($H:$H,$E:$E=F436))"),"#N/A")</f>
        <v>#N/A</v>
      </c>
    </row>
    <row r="437">
      <c r="C437" s="4" t="s">
        <v>1259</v>
      </c>
      <c r="D437" s="4" t="str">
        <f t="shared" si="1"/>
        <v>{"valorA":"manter","valorB":1.0}</v>
      </c>
      <c r="E437" s="8" t="str">
        <f t="shared" si="2"/>
        <v>manter</v>
      </c>
      <c r="F437" s="8"/>
      <c r="G437" s="8" t="str">
        <f t="shared" si="3"/>
        <v>1.0</v>
      </c>
      <c r="H437" s="9">
        <f t="shared" si="4"/>
        <v>1</v>
      </c>
      <c r="I437" s="6" t="str">
        <f>IFERROR(__xludf.DUMMYFUNCTION("MAX(FILTER($H:$H,$E:$E=F437))"),"#N/A")</f>
        <v>#N/A</v>
      </c>
    </row>
    <row r="438">
      <c r="C438" s="4" t="s">
        <v>659</v>
      </c>
      <c r="D438" s="4" t="str">
        <f t="shared" si="1"/>
        <v>{"valorA":"valeu","valorB":3.0}</v>
      </c>
      <c r="E438" s="8" t="str">
        <f t="shared" si="2"/>
        <v>valeu</v>
      </c>
      <c r="F438" s="8"/>
      <c r="G438" s="8" t="str">
        <f t="shared" si="3"/>
        <v>3.0</v>
      </c>
      <c r="H438" s="9">
        <f t="shared" si="4"/>
        <v>3</v>
      </c>
      <c r="I438" s="6" t="str">
        <f>IFERROR(__xludf.DUMMYFUNCTION("MAX(FILTER($H:$H,$E:$E=F438))"),"#N/A")</f>
        <v>#N/A</v>
      </c>
    </row>
    <row r="439">
      <c r="C439" s="4" t="s">
        <v>626</v>
      </c>
      <c r="D439" s="4" t="str">
        <f t="shared" si="1"/>
        <v>{"valorA":"espera","valorB":2.0}</v>
      </c>
      <c r="E439" s="8" t="str">
        <f t="shared" si="2"/>
        <v>espera</v>
      </c>
      <c r="F439" s="8"/>
      <c r="G439" s="8" t="str">
        <f t="shared" si="3"/>
        <v>2.0</v>
      </c>
      <c r="H439" s="9">
        <f t="shared" si="4"/>
        <v>2</v>
      </c>
      <c r="I439" s="6" t="str">
        <f>IFERROR(__xludf.DUMMYFUNCTION("MAX(FILTER($H:$H,$E:$E=F439))"),"#N/A")</f>
        <v>#N/A</v>
      </c>
    </row>
    <row r="440">
      <c r="C440" s="4" t="s">
        <v>699</v>
      </c>
      <c r="D440" s="4" t="str">
        <f t="shared" si="1"/>
        <v>{"valorA":"televisor","valorB":3.0}</v>
      </c>
      <c r="E440" s="8" t="str">
        <f t="shared" si="2"/>
        <v>televisor</v>
      </c>
      <c r="F440" s="8"/>
      <c r="G440" s="8" t="str">
        <f t="shared" si="3"/>
        <v>3.0</v>
      </c>
      <c r="H440" s="9">
        <f t="shared" si="4"/>
        <v>3</v>
      </c>
      <c r="I440" s="6" t="str">
        <f>IFERROR(__xludf.DUMMYFUNCTION("MAX(FILTER($H:$H,$E:$E=F440))"),"#N/A")</f>
        <v>#N/A</v>
      </c>
    </row>
    <row r="441">
      <c r="C441" s="4" t="s">
        <v>858</v>
      </c>
      <c r="D441" s="4" t="str">
        <f t="shared" si="1"/>
        <v>{"valorA":"ótimo","valorB":48.0}</v>
      </c>
      <c r="E441" s="8" t="str">
        <f t="shared" si="2"/>
        <v>ótimo</v>
      </c>
      <c r="F441" s="8"/>
      <c r="G441" s="8" t="str">
        <f t="shared" si="3"/>
        <v>48.0</v>
      </c>
      <c r="H441" s="9">
        <f t="shared" si="4"/>
        <v>48</v>
      </c>
      <c r="I441" s="6" t="str">
        <f>IFERROR(__xludf.DUMMYFUNCTION("MAX(FILTER($H:$H,$E:$E=F441))"),"#N/A")</f>
        <v>#N/A</v>
      </c>
    </row>
    <row r="442">
      <c r="C442" s="4" t="s">
        <v>630</v>
      </c>
      <c r="D442" s="4" t="str">
        <f t="shared" si="1"/>
        <v>{"valorA":"a","valorB":7.0}</v>
      </c>
      <c r="E442" s="8" t="str">
        <f t="shared" si="2"/>
        <v>a</v>
      </c>
      <c r="F442" s="8"/>
      <c r="G442" s="8" t="str">
        <f t="shared" si="3"/>
        <v>7.0</v>
      </c>
      <c r="H442" s="9">
        <f t="shared" si="4"/>
        <v>7</v>
      </c>
      <c r="I442" s="6" t="str">
        <f>IFERROR(__xludf.DUMMYFUNCTION("MAX(FILTER($H:$H,$E:$E=F442))"),"#N/A")</f>
        <v>#N/A</v>
      </c>
    </row>
    <row r="443">
      <c r="C443" s="4" t="s">
        <v>679</v>
      </c>
      <c r="D443" s="4" t="str">
        <f t="shared" si="1"/>
        <v>{"valorA":"qualidade","valorB":6.0}</v>
      </c>
      <c r="E443" s="8" t="str">
        <f t="shared" si="2"/>
        <v>qualidade</v>
      </c>
      <c r="F443" s="8"/>
      <c r="G443" s="8" t="str">
        <f t="shared" si="3"/>
        <v>6.0</v>
      </c>
      <c r="H443" s="9">
        <f t="shared" si="4"/>
        <v>6</v>
      </c>
      <c r="I443" s="6" t="str">
        <f>IFERROR(__xludf.DUMMYFUNCTION("MAX(FILTER($H:$H,$E:$E=F443))"),"#N/A")</f>
        <v>#N/A</v>
      </c>
    </row>
    <row r="444">
      <c r="C444" s="4" t="s">
        <v>1400</v>
      </c>
      <c r="D444" s="4" t="str">
        <f t="shared" si="1"/>
        <v>{"valorA":"imagem","valorB":2.0}</v>
      </c>
      <c r="E444" s="8" t="str">
        <f t="shared" si="2"/>
        <v>imagem</v>
      </c>
      <c r="F444" s="8"/>
      <c r="G444" s="8" t="str">
        <f t="shared" si="3"/>
        <v>2.0</v>
      </c>
      <c r="H444" s="9">
        <f t="shared" si="4"/>
        <v>2</v>
      </c>
      <c r="I444" s="6" t="str">
        <f>IFERROR(__xludf.DUMMYFUNCTION("MAX(FILTER($H:$H,$E:$E=F444))"),"#N/A")</f>
        <v>#N/A</v>
      </c>
    </row>
    <row r="445">
      <c r="C445" s="4" t="s">
        <v>1628</v>
      </c>
      <c r="D445" s="4" t="str">
        <f t="shared" si="1"/>
        <v>{"valorA":"de","valorB":20.0}</v>
      </c>
      <c r="E445" s="8" t="str">
        <f t="shared" si="2"/>
        <v>de</v>
      </c>
      <c r="F445" s="8"/>
      <c r="G445" s="8" t="str">
        <f t="shared" si="3"/>
        <v>20.0</v>
      </c>
      <c r="H445" s="9">
        <f t="shared" si="4"/>
        <v>20</v>
      </c>
      <c r="I445" s="6" t="str">
        <f>IFERROR(__xludf.DUMMYFUNCTION("MAX(FILTER($H:$H,$E:$E=F445))"),"#N/A")</f>
        <v>#N/A</v>
      </c>
    </row>
    <row r="446">
      <c r="C446" s="4" t="s">
        <v>4956</v>
      </c>
      <c r="D446" s="4" t="str">
        <f t="shared" si="1"/>
        <v>{"valorA":"gosto","valorB":6.0}</v>
      </c>
      <c r="E446" s="8" t="str">
        <f t="shared" si="2"/>
        <v>gosto</v>
      </c>
      <c r="F446" s="8"/>
      <c r="G446" s="8" t="str">
        <f t="shared" si="3"/>
        <v>6.0</v>
      </c>
      <c r="H446" s="9">
        <f t="shared" si="4"/>
        <v>6</v>
      </c>
      <c r="I446" s="6" t="str">
        <f>IFERROR(__xludf.DUMMYFUNCTION("MAX(FILTER($H:$H,$E:$E=F446))"),"#N/A")</f>
        <v>#N/A</v>
      </c>
    </row>
    <row r="447">
      <c r="C447" s="4" t="s">
        <v>737</v>
      </c>
      <c r="D447" s="4" t="str">
        <f t="shared" si="1"/>
        <v>{"valorA":"televisor","valorB":4.0}</v>
      </c>
      <c r="E447" s="8" t="str">
        <f t="shared" si="2"/>
        <v>televisor</v>
      </c>
      <c r="F447" s="8"/>
      <c r="G447" s="8" t="str">
        <f t="shared" si="3"/>
        <v>4.0</v>
      </c>
      <c r="H447" s="9">
        <f t="shared" si="4"/>
        <v>4</v>
      </c>
      <c r="I447" s="6" t="str">
        <f>IFERROR(__xludf.DUMMYFUNCTION("MAX(FILTER($H:$H,$E:$E=F447))"),"#N/A")</f>
        <v>#N/A</v>
      </c>
    </row>
    <row r="448">
      <c r="C448" s="4" t="s">
        <v>494</v>
      </c>
      <c r="D448" s="4" t="str">
        <f t="shared" si="1"/>
        <v>{"valorA":"ótimo","valorB":49.0}</v>
      </c>
      <c r="E448" s="8" t="str">
        <f t="shared" si="2"/>
        <v>ótimo</v>
      </c>
      <c r="F448" s="8"/>
      <c r="G448" s="8" t="str">
        <f t="shared" si="3"/>
        <v>49.0</v>
      </c>
      <c r="H448" s="9">
        <f t="shared" si="4"/>
        <v>49</v>
      </c>
      <c r="I448" s="6" t="str">
        <f>IFERROR(__xludf.DUMMYFUNCTION("MAX(FILTER($H:$H,$E:$E=F448))"),"#N/A")</f>
        <v>#N/A</v>
      </c>
    </row>
    <row r="449">
      <c r="C449" s="4" t="s">
        <v>449</v>
      </c>
      <c r="D449" s="4" t="str">
        <f t="shared" si="1"/>
        <v>{"valorA":"muito","valorB":16.0}</v>
      </c>
      <c r="E449" s="8" t="str">
        <f t="shared" si="2"/>
        <v>muito</v>
      </c>
      <c r="F449" s="8"/>
      <c r="G449" s="8" t="str">
        <f t="shared" si="3"/>
        <v>16.0</v>
      </c>
      <c r="H449" s="9">
        <f t="shared" si="4"/>
        <v>16</v>
      </c>
      <c r="I449" s="6" t="str">
        <f>IFERROR(__xludf.DUMMYFUNCTION("MAX(FILTER($H:$H,$E:$E=F449))"),"#N/A")</f>
        <v>#N/A</v>
      </c>
    </row>
    <row r="450">
      <c r="C450" s="4" t="s">
        <v>402</v>
      </c>
      <c r="D450" s="4" t="str">
        <f t="shared" si="1"/>
        <v>{"valorA":"da","valorB":2.0}</v>
      </c>
      <c r="E450" s="8" t="str">
        <f t="shared" si="2"/>
        <v>da</v>
      </c>
      <c r="F450" s="8"/>
      <c r="G450" s="8" t="str">
        <f t="shared" si="3"/>
        <v>2.0</v>
      </c>
      <c r="H450" s="9">
        <f t="shared" si="4"/>
        <v>2</v>
      </c>
      <c r="I450" s="6" t="str">
        <f>IFERROR(__xludf.DUMMYFUNCTION("MAX(FILTER($H:$H,$E:$E=F450))"),"#N/A")</f>
        <v>#N/A</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4957</v>
      </c>
      <c r="D1" s="5">
        <v>0.0</v>
      </c>
      <c r="G1" s="19" t="s">
        <v>4013</v>
      </c>
      <c r="H1" s="19" t="s">
        <v>4247</v>
      </c>
    </row>
    <row r="2">
      <c r="A2" s="4" t="s">
        <v>4958</v>
      </c>
      <c r="B2" s="6" t="str">
        <f t="shared" ref="B2:B450" si="1">MID(A2,FIND(":",A2)+1,LEN(A2)-FIND("segundos",A2))</f>
        <v>184.759</v>
      </c>
      <c r="C2" s="6" t="str">
        <f t="shared" ref="C2:C450" si="2">SUBSTITUTE(B2,".",",")</f>
        <v>184,759</v>
      </c>
      <c r="D2" s="6">
        <f t="shared" ref="D2:D450" si="3">VALUE(C2)</f>
        <v>184.759</v>
      </c>
      <c r="E2" s="6">
        <f t="shared" ref="E2:E450" si="4">D2-D1</f>
        <v>184.759</v>
      </c>
      <c r="G2" s="20">
        <f>AVERAGE(E2:E450)</f>
        <v>4.753073497</v>
      </c>
      <c r="H2" s="20">
        <f>STDEV(E2:E450)</f>
        <v>9.728332379</v>
      </c>
    </row>
    <row r="3">
      <c r="A3" s="4" t="s">
        <v>4959</v>
      </c>
      <c r="B3" s="6" t="str">
        <f t="shared" si="1"/>
        <v>198.927</v>
      </c>
      <c r="C3" s="6" t="str">
        <f t="shared" si="2"/>
        <v>198,927</v>
      </c>
      <c r="D3" s="6">
        <f t="shared" si="3"/>
        <v>198.927</v>
      </c>
      <c r="E3" s="6">
        <f t="shared" si="4"/>
        <v>14.168</v>
      </c>
    </row>
    <row r="4">
      <c r="A4" s="4" t="s">
        <v>4960</v>
      </c>
      <c r="B4" s="6" t="str">
        <f t="shared" si="1"/>
        <v>199.257</v>
      </c>
      <c r="C4" s="6" t="str">
        <f t="shared" si="2"/>
        <v>199,257</v>
      </c>
      <c r="D4" s="6">
        <f t="shared" si="3"/>
        <v>199.257</v>
      </c>
      <c r="E4" s="6">
        <f t="shared" si="4"/>
        <v>0.33</v>
      </c>
    </row>
    <row r="5">
      <c r="A5" s="4" t="s">
        <v>4961</v>
      </c>
      <c r="B5" s="6" t="str">
        <f t="shared" si="1"/>
        <v>206.115</v>
      </c>
      <c r="C5" s="6" t="str">
        <f t="shared" si="2"/>
        <v>206,115</v>
      </c>
      <c r="D5" s="6">
        <f t="shared" si="3"/>
        <v>206.115</v>
      </c>
      <c r="E5" s="6">
        <f t="shared" si="4"/>
        <v>6.858</v>
      </c>
    </row>
    <row r="6">
      <c r="A6" s="4" t="s">
        <v>4962</v>
      </c>
      <c r="B6" s="6" t="str">
        <f t="shared" si="1"/>
        <v>209.940</v>
      </c>
      <c r="C6" s="6" t="str">
        <f t="shared" si="2"/>
        <v>209,940</v>
      </c>
      <c r="D6" s="6">
        <f t="shared" si="3"/>
        <v>209.94</v>
      </c>
      <c r="E6" s="6">
        <f t="shared" si="4"/>
        <v>3.825</v>
      </c>
    </row>
    <row r="7">
      <c r="A7" s="4" t="s">
        <v>4963</v>
      </c>
      <c r="B7" s="6" t="str">
        <f t="shared" si="1"/>
        <v>211.260</v>
      </c>
      <c r="C7" s="6" t="str">
        <f t="shared" si="2"/>
        <v>211,260</v>
      </c>
      <c r="D7" s="6">
        <f t="shared" si="3"/>
        <v>211.26</v>
      </c>
      <c r="E7" s="6">
        <f t="shared" si="4"/>
        <v>1.32</v>
      </c>
    </row>
    <row r="8">
      <c r="A8" s="4" t="s">
        <v>4964</v>
      </c>
      <c r="B8" s="6" t="str">
        <f t="shared" si="1"/>
        <v>211.521</v>
      </c>
      <c r="C8" s="6" t="str">
        <f t="shared" si="2"/>
        <v>211,521</v>
      </c>
      <c r="D8" s="6">
        <f t="shared" si="3"/>
        <v>211.521</v>
      </c>
      <c r="E8" s="6">
        <f t="shared" si="4"/>
        <v>0.261</v>
      </c>
    </row>
    <row r="9">
      <c r="A9" s="4" t="s">
        <v>4965</v>
      </c>
      <c r="B9" s="6" t="str">
        <f t="shared" si="1"/>
        <v>212.609</v>
      </c>
      <c r="C9" s="6" t="str">
        <f t="shared" si="2"/>
        <v>212,609</v>
      </c>
      <c r="D9" s="6">
        <f t="shared" si="3"/>
        <v>212.609</v>
      </c>
      <c r="E9" s="6">
        <f t="shared" si="4"/>
        <v>1.088</v>
      </c>
    </row>
    <row r="10">
      <c r="A10" s="4" t="s">
        <v>4966</v>
      </c>
      <c r="B10" s="6" t="str">
        <f t="shared" si="1"/>
        <v>213.045</v>
      </c>
      <c r="C10" s="6" t="str">
        <f t="shared" si="2"/>
        <v>213,045</v>
      </c>
      <c r="D10" s="6">
        <f t="shared" si="3"/>
        <v>213.045</v>
      </c>
      <c r="E10" s="6">
        <f t="shared" si="4"/>
        <v>0.436</v>
      </c>
    </row>
    <row r="11">
      <c r="A11" s="4" t="s">
        <v>4967</v>
      </c>
      <c r="B11" s="6" t="str">
        <f t="shared" si="1"/>
        <v>216.061</v>
      </c>
      <c r="C11" s="6" t="str">
        <f t="shared" si="2"/>
        <v>216,061</v>
      </c>
      <c r="D11" s="6">
        <f t="shared" si="3"/>
        <v>216.061</v>
      </c>
      <c r="E11" s="6">
        <f t="shared" si="4"/>
        <v>3.016</v>
      </c>
    </row>
    <row r="12">
      <c r="A12" s="4" t="s">
        <v>4968</v>
      </c>
      <c r="B12" s="6" t="str">
        <f t="shared" si="1"/>
        <v>216.794</v>
      </c>
      <c r="C12" s="6" t="str">
        <f t="shared" si="2"/>
        <v>216,794</v>
      </c>
      <c r="D12" s="6">
        <f t="shared" si="3"/>
        <v>216.794</v>
      </c>
      <c r="E12" s="6">
        <f t="shared" si="4"/>
        <v>0.733</v>
      </c>
    </row>
    <row r="13">
      <c r="A13" s="4" t="s">
        <v>4969</v>
      </c>
      <c r="B13" s="6" t="str">
        <f t="shared" si="1"/>
        <v>217.087</v>
      </c>
      <c r="C13" s="6" t="str">
        <f t="shared" si="2"/>
        <v>217,087</v>
      </c>
      <c r="D13" s="6">
        <f t="shared" si="3"/>
        <v>217.087</v>
      </c>
      <c r="E13" s="6">
        <f t="shared" si="4"/>
        <v>0.293</v>
      </c>
    </row>
    <row r="14">
      <c r="A14" s="4" t="s">
        <v>4970</v>
      </c>
      <c r="B14" s="6" t="str">
        <f t="shared" si="1"/>
        <v>226.873</v>
      </c>
      <c r="C14" s="6" t="str">
        <f t="shared" si="2"/>
        <v>226,873</v>
      </c>
      <c r="D14" s="6">
        <f t="shared" si="3"/>
        <v>226.873</v>
      </c>
      <c r="E14" s="6">
        <f t="shared" si="4"/>
        <v>9.786</v>
      </c>
    </row>
    <row r="15">
      <c r="A15" s="4" t="s">
        <v>4971</v>
      </c>
      <c r="B15" s="6" t="str">
        <f t="shared" si="1"/>
        <v>229.026</v>
      </c>
      <c r="C15" s="6" t="str">
        <f t="shared" si="2"/>
        <v>229,026</v>
      </c>
      <c r="D15" s="6">
        <f t="shared" si="3"/>
        <v>229.026</v>
      </c>
      <c r="E15" s="6">
        <f t="shared" si="4"/>
        <v>2.153</v>
      </c>
    </row>
    <row r="16">
      <c r="A16" s="4" t="s">
        <v>4972</v>
      </c>
      <c r="B16" s="6" t="str">
        <f t="shared" si="1"/>
        <v>231.614</v>
      </c>
      <c r="C16" s="6" t="str">
        <f t="shared" si="2"/>
        <v>231,614</v>
      </c>
      <c r="D16" s="6">
        <f t="shared" si="3"/>
        <v>231.614</v>
      </c>
      <c r="E16" s="6">
        <f t="shared" si="4"/>
        <v>2.588</v>
      </c>
    </row>
    <row r="17">
      <c r="A17" s="4" t="s">
        <v>4973</v>
      </c>
      <c r="B17" s="6" t="str">
        <f t="shared" si="1"/>
        <v>231.933</v>
      </c>
      <c r="C17" s="6" t="str">
        <f t="shared" si="2"/>
        <v>231,933</v>
      </c>
      <c r="D17" s="6">
        <f t="shared" si="3"/>
        <v>231.933</v>
      </c>
      <c r="E17" s="6">
        <f t="shared" si="4"/>
        <v>0.319</v>
      </c>
    </row>
    <row r="18">
      <c r="A18" s="4" t="s">
        <v>4974</v>
      </c>
      <c r="B18" s="6" t="str">
        <f t="shared" si="1"/>
        <v>237.764</v>
      </c>
      <c r="C18" s="6" t="str">
        <f t="shared" si="2"/>
        <v>237,764</v>
      </c>
      <c r="D18" s="6">
        <f t="shared" si="3"/>
        <v>237.764</v>
      </c>
      <c r="E18" s="6">
        <f t="shared" si="4"/>
        <v>5.831</v>
      </c>
    </row>
    <row r="19">
      <c r="A19" s="4" t="s">
        <v>4975</v>
      </c>
      <c r="B19" s="6" t="str">
        <f t="shared" si="1"/>
        <v>238.065</v>
      </c>
      <c r="C19" s="6" t="str">
        <f t="shared" si="2"/>
        <v>238,065</v>
      </c>
      <c r="D19" s="6">
        <f t="shared" si="3"/>
        <v>238.065</v>
      </c>
      <c r="E19" s="6">
        <f t="shared" si="4"/>
        <v>0.301</v>
      </c>
    </row>
    <row r="20">
      <c r="A20" s="4" t="s">
        <v>4976</v>
      </c>
      <c r="B20" s="6" t="str">
        <f t="shared" si="1"/>
        <v>260.716</v>
      </c>
      <c r="C20" s="6" t="str">
        <f t="shared" si="2"/>
        <v>260,716</v>
      </c>
      <c r="D20" s="6">
        <f t="shared" si="3"/>
        <v>260.716</v>
      </c>
      <c r="E20" s="6">
        <f t="shared" si="4"/>
        <v>22.651</v>
      </c>
    </row>
    <row r="21">
      <c r="A21" s="4" t="s">
        <v>4977</v>
      </c>
      <c r="B21" s="6" t="str">
        <f t="shared" si="1"/>
        <v>266.376</v>
      </c>
      <c r="C21" s="6" t="str">
        <f t="shared" si="2"/>
        <v>266,376</v>
      </c>
      <c r="D21" s="6">
        <f t="shared" si="3"/>
        <v>266.376</v>
      </c>
      <c r="E21" s="6">
        <f t="shared" si="4"/>
        <v>5.66</v>
      </c>
    </row>
    <row r="22">
      <c r="A22" s="4" t="s">
        <v>4978</v>
      </c>
      <c r="B22" s="6" t="str">
        <f t="shared" si="1"/>
        <v>267.794</v>
      </c>
      <c r="C22" s="6" t="str">
        <f t="shared" si="2"/>
        <v>267,794</v>
      </c>
      <c r="D22" s="6">
        <f t="shared" si="3"/>
        <v>267.794</v>
      </c>
      <c r="E22" s="6">
        <f t="shared" si="4"/>
        <v>1.418</v>
      </c>
    </row>
    <row r="23">
      <c r="A23" s="4" t="s">
        <v>4979</v>
      </c>
      <c r="B23" s="6" t="str">
        <f t="shared" si="1"/>
        <v>270.810</v>
      </c>
      <c r="C23" s="6" t="str">
        <f t="shared" si="2"/>
        <v>270,810</v>
      </c>
      <c r="D23" s="6">
        <f t="shared" si="3"/>
        <v>270.81</v>
      </c>
      <c r="E23" s="6">
        <f t="shared" si="4"/>
        <v>3.016</v>
      </c>
    </row>
    <row r="24">
      <c r="A24" s="4" t="s">
        <v>4980</v>
      </c>
      <c r="B24" s="6" t="str">
        <f t="shared" si="1"/>
        <v>272.933</v>
      </c>
      <c r="C24" s="6" t="str">
        <f t="shared" si="2"/>
        <v>272,933</v>
      </c>
      <c r="D24" s="6">
        <f t="shared" si="3"/>
        <v>272.933</v>
      </c>
      <c r="E24" s="6">
        <f t="shared" si="4"/>
        <v>2.123</v>
      </c>
    </row>
    <row r="25">
      <c r="A25" s="4" t="s">
        <v>4981</v>
      </c>
      <c r="B25" s="6" t="str">
        <f t="shared" si="1"/>
        <v>281.612</v>
      </c>
      <c r="C25" s="6" t="str">
        <f t="shared" si="2"/>
        <v>281,612</v>
      </c>
      <c r="D25" s="6">
        <f t="shared" si="3"/>
        <v>281.612</v>
      </c>
      <c r="E25" s="6">
        <f t="shared" si="4"/>
        <v>8.679</v>
      </c>
    </row>
    <row r="26">
      <c r="A26" s="4" t="s">
        <v>4982</v>
      </c>
      <c r="B26" s="6" t="str">
        <f t="shared" si="1"/>
        <v>284.290</v>
      </c>
      <c r="C26" s="6" t="str">
        <f t="shared" si="2"/>
        <v>284,290</v>
      </c>
      <c r="D26" s="6">
        <f t="shared" si="3"/>
        <v>284.29</v>
      </c>
      <c r="E26" s="6">
        <f t="shared" si="4"/>
        <v>2.678</v>
      </c>
    </row>
    <row r="27">
      <c r="A27" s="4" t="s">
        <v>4983</v>
      </c>
      <c r="B27" s="6" t="str">
        <f t="shared" si="1"/>
        <v>291.131</v>
      </c>
      <c r="C27" s="6" t="str">
        <f t="shared" si="2"/>
        <v>291,131</v>
      </c>
      <c r="D27" s="6">
        <f t="shared" si="3"/>
        <v>291.131</v>
      </c>
      <c r="E27" s="6">
        <f t="shared" si="4"/>
        <v>6.841</v>
      </c>
    </row>
    <row r="28">
      <c r="A28" s="4" t="s">
        <v>4984</v>
      </c>
      <c r="B28" s="6" t="str">
        <f t="shared" si="1"/>
        <v>292.569</v>
      </c>
      <c r="C28" s="6" t="str">
        <f t="shared" si="2"/>
        <v>292,569</v>
      </c>
      <c r="D28" s="6">
        <f t="shared" si="3"/>
        <v>292.569</v>
      </c>
      <c r="E28" s="6">
        <f t="shared" si="4"/>
        <v>1.438</v>
      </c>
    </row>
    <row r="29">
      <c r="A29" s="4" t="s">
        <v>4985</v>
      </c>
      <c r="B29" s="6" t="str">
        <f t="shared" si="1"/>
        <v>295.023</v>
      </c>
      <c r="C29" s="6" t="str">
        <f t="shared" si="2"/>
        <v>295,023</v>
      </c>
      <c r="D29" s="6">
        <f t="shared" si="3"/>
        <v>295.023</v>
      </c>
      <c r="E29" s="6">
        <f t="shared" si="4"/>
        <v>2.454</v>
      </c>
    </row>
    <row r="30">
      <c r="A30" s="4" t="s">
        <v>4986</v>
      </c>
      <c r="B30" s="6" t="str">
        <f t="shared" si="1"/>
        <v>295.824</v>
      </c>
      <c r="C30" s="6" t="str">
        <f t="shared" si="2"/>
        <v>295,824</v>
      </c>
      <c r="D30" s="6">
        <f t="shared" si="3"/>
        <v>295.824</v>
      </c>
      <c r="E30" s="6">
        <f t="shared" si="4"/>
        <v>0.801</v>
      </c>
    </row>
    <row r="31">
      <c r="A31" s="4" t="s">
        <v>4987</v>
      </c>
      <c r="B31" s="6" t="str">
        <f t="shared" si="1"/>
        <v>296.247</v>
      </c>
      <c r="C31" s="6" t="str">
        <f t="shared" si="2"/>
        <v>296,247</v>
      </c>
      <c r="D31" s="6">
        <f t="shared" si="3"/>
        <v>296.247</v>
      </c>
      <c r="E31" s="6">
        <f t="shared" si="4"/>
        <v>0.423</v>
      </c>
    </row>
    <row r="32">
      <c r="A32" s="4" t="s">
        <v>4988</v>
      </c>
      <c r="B32" s="6" t="str">
        <f t="shared" si="1"/>
        <v>300.044</v>
      </c>
      <c r="C32" s="6" t="str">
        <f t="shared" si="2"/>
        <v>300,044</v>
      </c>
      <c r="D32" s="6">
        <f t="shared" si="3"/>
        <v>300.044</v>
      </c>
      <c r="E32" s="6">
        <f t="shared" si="4"/>
        <v>3.797</v>
      </c>
    </row>
    <row r="33">
      <c r="A33" s="4" t="s">
        <v>4989</v>
      </c>
      <c r="B33" s="6" t="str">
        <f t="shared" si="1"/>
        <v>306.836</v>
      </c>
      <c r="C33" s="6" t="str">
        <f t="shared" si="2"/>
        <v>306,836</v>
      </c>
      <c r="D33" s="6">
        <f t="shared" si="3"/>
        <v>306.836</v>
      </c>
      <c r="E33" s="6">
        <f t="shared" si="4"/>
        <v>6.792</v>
      </c>
    </row>
    <row r="34">
      <c r="A34" s="4" t="s">
        <v>4990</v>
      </c>
      <c r="B34" s="6" t="str">
        <f t="shared" si="1"/>
        <v>308.794</v>
      </c>
      <c r="C34" s="6" t="str">
        <f t="shared" si="2"/>
        <v>308,794</v>
      </c>
      <c r="D34" s="6">
        <f t="shared" si="3"/>
        <v>308.794</v>
      </c>
      <c r="E34" s="6">
        <f t="shared" si="4"/>
        <v>1.958</v>
      </c>
    </row>
    <row r="35">
      <c r="A35" s="4" t="s">
        <v>4991</v>
      </c>
      <c r="B35" s="6" t="str">
        <f t="shared" si="1"/>
        <v>309.280</v>
      </c>
      <c r="C35" s="6" t="str">
        <f t="shared" si="2"/>
        <v>309,280</v>
      </c>
      <c r="D35" s="6">
        <f t="shared" si="3"/>
        <v>309.28</v>
      </c>
      <c r="E35" s="6">
        <f t="shared" si="4"/>
        <v>0.486</v>
      </c>
    </row>
    <row r="36">
      <c r="A36" s="4" t="s">
        <v>4992</v>
      </c>
      <c r="B36" s="6" t="str">
        <f t="shared" si="1"/>
        <v>309.689</v>
      </c>
      <c r="C36" s="6" t="str">
        <f t="shared" si="2"/>
        <v>309,689</v>
      </c>
      <c r="D36" s="6">
        <f t="shared" si="3"/>
        <v>309.689</v>
      </c>
      <c r="E36" s="6">
        <f t="shared" si="4"/>
        <v>0.409</v>
      </c>
    </row>
    <row r="37">
      <c r="A37" s="4" t="s">
        <v>4993</v>
      </c>
      <c r="B37" s="6" t="str">
        <f t="shared" si="1"/>
        <v>310.102</v>
      </c>
      <c r="C37" s="6" t="str">
        <f t="shared" si="2"/>
        <v>310,102</v>
      </c>
      <c r="D37" s="6">
        <f t="shared" si="3"/>
        <v>310.102</v>
      </c>
      <c r="E37" s="6">
        <f t="shared" si="4"/>
        <v>0.413</v>
      </c>
    </row>
    <row r="38">
      <c r="A38" s="4" t="s">
        <v>4994</v>
      </c>
      <c r="B38" s="6" t="str">
        <f t="shared" si="1"/>
        <v>311.566</v>
      </c>
      <c r="C38" s="6" t="str">
        <f t="shared" si="2"/>
        <v>311,566</v>
      </c>
      <c r="D38" s="6">
        <f t="shared" si="3"/>
        <v>311.566</v>
      </c>
      <c r="E38" s="6">
        <f t="shared" si="4"/>
        <v>1.464</v>
      </c>
    </row>
    <row r="39">
      <c r="A39" s="4" t="s">
        <v>4995</v>
      </c>
      <c r="B39" s="6" t="str">
        <f t="shared" si="1"/>
        <v>315.009</v>
      </c>
      <c r="C39" s="6" t="str">
        <f t="shared" si="2"/>
        <v>315,009</v>
      </c>
      <c r="D39" s="6">
        <f t="shared" si="3"/>
        <v>315.009</v>
      </c>
      <c r="E39" s="6">
        <f t="shared" si="4"/>
        <v>3.443</v>
      </c>
    </row>
    <row r="40">
      <c r="A40" s="4" t="s">
        <v>4996</v>
      </c>
      <c r="B40" s="6" t="str">
        <f t="shared" si="1"/>
        <v>317.552</v>
      </c>
      <c r="C40" s="6" t="str">
        <f t="shared" si="2"/>
        <v>317,552</v>
      </c>
      <c r="D40" s="6">
        <f t="shared" si="3"/>
        <v>317.552</v>
      </c>
      <c r="E40" s="6">
        <f t="shared" si="4"/>
        <v>2.543</v>
      </c>
    </row>
    <row r="41">
      <c r="A41" s="4" t="s">
        <v>4997</v>
      </c>
      <c r="B41" s="6" t="str">
        <f t="shared" si="1"/>
        <v>326.812</v>
      </c>
      <c r="C41" s="6" t="str">
        <f t="shared" si="2"/>
        <v>326,812</v>
      </c>
      <c r="D41" s="6">
        <f t="shared" si="3"/>
        <v>326.812</v>
      </c>
      <c r="E41" s="6">
        <f t="shared" si="4"/>
        <v>9.26</v>
      </c>
    </row>
    <row r="42">
      <c r="A42" s="4" t="s">
        <v>4998</v>
      </c>
      <c r="B42" s="6" t="str">
        <f t="shared" si="1"/>
        <v>334.393</v>
      </c>
      <c r="C42" s="6" t="str">
        <f t="shared" si="2"/>
        <v>334,393</v>
      </c>
      <c r="D42" s="6">
        <f t="shared" si="3"/>
        <v>334.393</v>
      </c>
      <c r="E42" s="6">
        <f t="shared" si="4"/>
        <v>7.581</v>
      </c>
    </row>
    <row r="43">
      <c r="A43" s="4" t="s">
        <v>4999</v>
      </c>
      <c r="B43" s="6" t="str">
        <f t="shared" si="1"/>
        <v>335.557</v>
      </c>
      <c r="C43" s="6" t="str">
        <f t="shared" si="2"/>
        <v>335,557</v>
      </c>
      <c r="D43" s="6">
        <f t="shared" si="3"/>
        <v>335.557</v>
      </c>
      <c r="E43" s="6">
        <f t="shared" si="4"/>
        <v>1.164</v>
      </c>
    </row>
    <row r="44">
      <c r="A44" s="4" t="s">
        <v>5000</v>
      </c>
      <c r="B44" s="6" t="str">
        <f t="shared" si="1"/>
        <v>338.859</v>
      </c>
      <c r="C44" s="6" t="str">
        <f t="shared" si="2"/>
        <v>338,859</v>
      </c>
      <c r="D44" s="6">
        <f t="shared" si="3"/>
        <v>338.859</v>
      </c>
      <c r="E44" s="6">
        <f t="shared" si="4"/>
        <v>3.302</v>
      </c>
    </row>
    <row r="45">
      <c r="A45" s="4" t="s">
        <v>5001</v>
      </c>
      <c r="B45" s="6" t="str">
        <f t="shared" si="1"/>
        <v>339.508</v>
      </c>
      <c r="C45" s="6" t="str">
        <f t="shared" si="2"/>
        <v>339,508</v>
      </c>
      <c r="D45" s="6">
        <f t="shared" si="3"/>
        <v>339.508</v>
      </c>
      <c r="E45" s="6">
        <f t="shared" si="4"/>
        <v>0.649</v>
      </c>
    </row>
    <row r="46">
      <c r="A46" s="4" t="s">
        <v>5002</v>
      </c>
      <c r="B46" s="6" t="str">
        <f t="shared" si="1"/>
        <v>340.251</v>
      </c>
      <c r="C46" s="6" t="str">
        <f t="shared" si="2"/>
        <v>340,251</v>
      </c>
      <c r="D46" s="6">
        <f t="shared" si="3"/>
        <v>340.251</v>
      </c>
      <c r="E46" s="6">
        <f t="shared" si="4"/>
        <v>0.743</v>
      </c>
    </row>
    <row r="47">
      <c r="A47" s="4" t="s">
        <v>5003</v>
      </c>
      <c r="B47" s="6" t="str">
        <f t="shared" si="1"/>
        <v>343.014</v>
      </c>
      <c r="C47" s="6" t="str">
        <f t="shared" si="2"/>
        <v>343,014</v>
      </c>
      <c r="D47" s="6">
        <f t="shared" si="3"/>
        <v>343.014</v>
      </c>
      <c r="E47" s="6">
        <f t="shared" si="4"/>
        <v>2.763</v>
      </c>
    </row>
    <row r="48">
      <c r="A48" s="4" t="s">
        <v>5004</v>
      </c>
      <c r="B48" s="6" t="str">
        <f t="shared" si="1"/>
        <v>346.077</v>
      </c>
      <c r="C48" s="6" t="str">
        <f t="shared" si="2"/>
        <v>346,077</v>
      </c>
      <c r="D48" s="6">
        <f t="shared" si="3"/>
        <v>346.077</v>
      </c>
      <c r="E48" s="6">
        <f t="shared" si="4"/>
        <v>3.063</v>
      </c>
    </row>
    <row r="49">
      <c r="A49" s="4" t="s">
        <v>5005</v>
      </c>
      <c r="B49" s="6" t="str">
        <f t="shared" si="1"/>
        <v>350.488</v>
      </c>
      <c r="C49" s="6" t="str">
        <f t="shared" si="2"/>
        <v>350,488</v>
      </c>
      <c r="D49" s="6">
        <f t="shared" si="3"/>
        <v>350.488</v>
      </c>
      <c r="E49" s="6">
        <f t="shared" si="4"/>
        <v>4.411</v>
      </c>
    </row>
    <row r="50">
      <c r="A50" s="4" t="s">
        <v>5006</v>
      </c>
      <c r="B50" s="6" t="str">
        <f t="shared" si="1"/>
        <v>351.217</v>
      </c>
      <c r="C50" s="6" t="str">
        <f t="shared" si="2"/>
        <v>351,217</v>
      </c>
      <c r="D50" s="6">
        <f t="shared" si="3"/>
        <v>351.217</v>
      </c>
      <c r="E50" s="6">
        <f t="shared" si="4"/>
        <v>0.729</v>
      </c>
    </row>
    <row r="51">
      <c r="A51" s="4" t="s">
        <v>5007</v>
      </c>
      <c r="B51" s="6" t="str">
        <f t="shared" si="1"/>
        <v>351.908</v>
      </c>
      <c r="C51" s="6" t="str">
        <f t="shared" si="2"/>
        <v>351,908</v>
      </c>
      <c r="D51" s="6">
        <f t="shared" si="3"/>
        <v>351.908</v>
      </c>
      <c r="E51" s="6">
        <f t="shared" si="4"/>
        <v>0.691</v>
      </c>
    </row>
    <row r="52">
      <c r="A52" s="4" t="s">
        <v>5008</v>
      </c>
      <c r="B52" s="6" t="str">
        <f t="shared" si="1"/>
        <v>352.530</v>
      </c>
      <c r="C52" s="6" t="str">
        <f t="shared" si="2"/>
        <v>352,530</v>
      </c>
      <c r="D52" s="6">
        <f t="shared" si="3"/>
        <v>352.53</v>
      </c>
      <c r="E52" s="6">
        <f t="shared" si="4"/>
        <v>0.622</v>
      </c>
    </row>
    <row r="53">
      <c r="A53" s="4" t="s">
        <v>5009</v>
      </c>
      <c r="B53" s="6" t="str">
        <f t="shared" si="1"/>
        <v>354.227</v>
      </c>
      <c r="C53" s="6" t="str">
        <f t="shared" si="2"/>
        <v>354,227</v>
      </c>
      <c r="D53" s="6">
        <f t="shared" si="3"/>
        <v>354.227</v>
      </c>
      <c r="E53" s="6">
        <f t="shared" si="4"/>
        <v>1.697</v>
      </c>
    </row>
    <row r="54">
      <c r="A54" s="4" t="s">
        <v>5010</v>
      </c>
      <c r="B54" s="6" t="str">
        <f t="shared" si="1"/>
        <v>365.847</v>
      </c>
      <c r="C54" s="6" t="str">
        <f t="shared" si="2"/>
        <v>365,847</v>
      </c>
      <c r="D54" s="6">
        <f t="shared" si="3"/>
        <v>365.847</v>
      </c>
      <c r="E54" s="6">
        <f t="shared" si="4"/>
        <v>11.62</v>
      </c>
    </row>
    <row r="55">
      <c r="A55" s="4" t="s">
        <v>5011</v>
      </c>
      <c r="B55" s="6" t="str">
        <f t="shared" si="1"/>
        <v>377.297</v>
      </c>
      <c r="C55" s="6" t="str">
        <f t="shared" si="2"/>
        <v>377,297</v>
      </c>
      <c r="D55" s="6">
        <f t="shared" si="3"/>
        <v>377.297</v>
      </c>
      <c r="E55" s="6">
        <f t="shared" si="4"/>
        <v>11.45</v>
      </c>
    </row>
    <row r="56">
      <c r="A56" s="4" t="s">
        <v>5012</v>
      </c>
      <c r="B56" s="6" t="str">
        <f t="shared" si="1"/>
        <v>378.856</v>
      </c>
      <c r="C56" s="6" t="str">
        <f t="shared" si="2"/>
        <v>378,856</v>
      </c>
      <c r="D56" s="6">
        <f t="shared" si="3"/>
        <v>378.856</v>
      </c>
      <c r="E56" s="6">
        <f t="shared" si="4"/>
        <v>1.559</v>
      </c>
    </row>
    <row r="57">
      <c r="A57" s="4" t="s">
        <v>5013</v>
      </c>
      <c r="B57" s="6" t="str">
        <f t="shared" si="1"/>
        <v>379.512</v>
      </c>
      <c r="C57" s="6" t="str">
        <f t="shared" si="2"/>
        <v>379,512</v>
      </c>
      <c r="D57" s="6">
        <f t="shared" si="3"/>
        <v>379.512</v>
      </c>
      <c r="E57" s="6">
        <f t="shared" si="4"/>
        <v>0.656</v>
      </c>
    </row>
    <row r="58">
      <c r="A58" s="4" t="s">
        <v>5014</v>
      </c>
      <c r="B58" s="6" t="str">
        <f t="shared" si="1"/>
        <v>381.214</v>
      </c>
      <c r="C58" s="6" t="str">
        <f t="shared" si="2"/>
        <v>381,214</v>
      </c>
      <c r="D58" s="6">
        <f t="shared" si="3"/>
        <v>381.214</v>
      </c>
      <c r="E58" s="6">
        <f t="shared" si="4"/>
        <v>1.702</v>
      </c>
    </row>
    <row r="59">
      <c r="A59" s="4" t="s">
        <v>5015</v>
      </c>
      <c r="B59" s="6" t="str">
        <f t="shared" si="1"/>
        <v>383.762</v>
      </c>
      <c r="C59" s="6" t="str">
        <f t="shared" si="2"/>
        <v>383,762</v>
      </c>
      <c r="D59" s="6">
        <f t="shared" si="3"/>
        <v>383.762</v>
      </c>
      <c r="E59" s="6">
        <f t="shared" si="4"/>
        <v>2.548</v>
      </c>
    </row>
    <row r="60">
      <c r="A60" s="4" t="s">
        <v>5016</v>
      </c>
      <c r="B60" s="6" t="str">
        <f t="shared" si="1"/>
        <v>390.150</v>
      </c>
      <c r="C60" s="6" t="str">
        <f t="shared" si="2"/>
        <v>390,150</v>
      </c>
      <c r="D60" s="6">
        <f t="shared" si="3"/>
        <v>390.15</v>
      </c>
      <c r="E60" s="6">
        <f t="shared" si="4"/>
        <v>6.388</v>
      </c>
    </row>
    <row r="61">
      <c r="A61" s="4" t="s">
        <v>5017</v>
      </c>
      <c r="B61" s="6" t="str">
        <f t="shared" si="1"/>
        <v>390.844</v>
      </c>
      <c r="C61" s="6" t="str">
        <f t="shared" si="2"/>
        <v>390,844</v>
      </c>
      <c r="D61" s="6">
        <f t="shared" si="3"/>
        <v>390.844</v>
      </c>
      <c r="E61" s="6">
        <f t="shared" si="4"/>
        <v>0.694</v>
      </c>
    </row>
    <row r="62">
      <c r="A62" s="4" t="s">
        <v>5018</v>
      </c>
      <c r="B62" s="6" t="str">
        <f t="shared" si="1"/>
        <v>391.367</v>
      </c>
      <c r="C62" s="6" t="str">
        <f t="shared" si="2"/>
        <v>391,367</v>
      </c>
      <c r="D62" s="6">
        <f t="shared" si="3"/>
        <v>391.367</v>
      </c>
      <c r="E62" s="6">
        <f t="shared" si="4"/>
        <v>0.523</v>
      </c>
    </row>
    <row r="63">
      <c r="A63" s="4" t="s">
        <v>5019</v>
      </c>
      <c r="B63" s="6" t="str">
        <f t="shared" si="1"/>
        <v>399.478</v>
      </c>
      <c r="C63" s="6" t="str">
        <f t="shared" si="2"/>
        <v>399,478</v>
      </c>
      <c r="D63" s="6">
        <f t="shared" si="3"/>
        <v>399.478</v>
      </c>
      <c r="E63" s="6">
        <f t="shared" si="4"/>
        <v>8.111</v>
      </c>
    </row>
    <row r="64">
      <c r="A64" s="4" t="s">
        <v>5020</v>
      </c>
      <c r="B64" s="6" t="str">
        <f t="shared" si="1"/>
        <v>405.040</v>
      </c>
      <c r="C64" s="6" t="str">
        <f t="shared" si="2"/>
        <v>405,040</v>
      </c>
      <c r="D64" s="6">
        <f t="shared" si="3"/>
        <v>405.04</v>
      </c>
      <c r="E64" s="6">
        <f t="shared" si="4"/>
        <v>5.562</v>
      </c>
    </row>
    <row r="65">
      <c r="A65" s="4" t="s">
        <v>5021</v>
      </c>
      <c r="B65" s="6" t="str">
        <f t="shared" si="1"/>
        <v>419.059</v>
      </c>
      <c r="C65" s="6" t="str">
        <f t="shared" si="2"/>
        <v>419,059</v>
      </c>
      <c r="D65" s="6">
        <f t="shared" si="3"/>
        <v>419.059</v>
      </c>
      <c r="E65" s="6">
        <f t="shared" si="4"/>
        <v>14.019</v>
      </c>
    </row>
    <row r="66">
      <c r="A66" s="4" t="s">
        <v>5022</v>
      </c>
      <c r="B66" s="6" t="str">
        <f t="shared" si="1"/>
        <v>427.622</v>
      </c>
      <c r="C66" s="6" t="str">
        <f t="shared" si="2"/>
        <v>427,622</v>
      </c>
      <c r="D66" s="6">
        <f t="shared" si="3"/>
        <v>427.622</v>
      </c>
      <c r="E66" s="6">
        <f t="shared" si="4"/>
        <v>8.563</v>
      </c>
    </row>
    <row r="67">
      <c r="A67" s="4" t="s">
        <v>5023</v>
      </c>
      <c r="B67" s="6" t="str">
        <f t="shared" si="1"/>
        <v>429.771</v>
      </c>
      <c r="C67" s="6" t="str">
        <f t="shared" si="2"/>
        <v>429,771</v>
      </c>
      <c r="D67" s="6">
        <f t="shared" si="3"/>
        <v>429.771</v>
      </c>
      <c r="E67" s="6">
        <f t="shared" si="4"/>
        <v>2.149</v>
      </c>
    </row>
    <row r="68">
      <c r="A68" s="4" t="s">
        <v>5024</v>
      </c>
      <c r="B68" s="6" t="str">
        <f t="shared" si="1"/>
        <v>430.502</v>
      </c>
      <c r="C68" s="6" t="str">
        <f t="shared" si="2"/>
        <v>430,502</v>
      </c>
      <c r="D68" s="6">
        <f t="shared" si="3"/>
        <v>430.502</v>
      </c>
      <c r="E68" s="6">
        <f t="shared" si="4"/>
        <v>0.731</v>
      </c>
    </row>
    <row r="69">
      <c r="A69" s="4" t="s">
        <v>5025</v>
      </c>
      <c r="B69" s="6" t="str">
        <f t="shared" si="1"/>
        <v>433.767</v>
      </c>
      <c r="C69" s="6" t="str">
        <f t="shared" si="2"/>
        <v>433,767</v>
      </c>
      <c r="D69" s="6">
        <f t="shared" si="3"/>
        <v>433.767</v>
      </c>
      <c r="E69" s="6">
        <f t="shared" si="4"/>
        <v>3.265</v>
      </c>
    </row>
    <row r="70">
      <c r="A70" s="4" t="s">
        <v>5026</v>
      </c>
      <c r="B70" s="6" t="str">
        <f t="shared" si="1"/>
        <v>440.676</v>
      </c>
      <c r="C70" s="6" t="str">
        <f t="shared" si="2"/>
        <v>440,676</v>
      </c>
      <c r="D70" s="6">
        <f t="shared" si="3"/>
        <v>440.676</v>
      </c>
      <c r="E70" s="6">
        <f t="shared" si="4"/>
        <v>6.909</v>
      </c>
    </row>
    <row r="71">
      <c r="A71" s="4" t="s">
        <v>5027</v>
      </c>
      <c r="B71" s="6" t="str">
        <f t="shared" si="1"/>
        <v>441.382</v>
      </c>
      <c r="C71" s="6" t="str">
        <f t="shared" si="2"/>
        <v>441,382</v>
      </c>
      <c r="D71" s="6">
        <f t="shared" si="3"/>
        <v>441.382</v>
      </c>
      <c r="E71" s="6">
        <f t="shared" si="4"/>
        <v>0.706</v>
      </c>
    </row>
    <row r="72">
      <c r="A72" s="4" t="s">
        <v>5028</v>
      </c>
      <c r="B72" s="6" t="str">
        <f t="shared" si="1"/>
        <v>442.499</v>
      </c>
      <c r="C72" s="6" t="str">
        <f t="shared" si="2"/>
        <v>442,499</v>
      </c>
      <c r="D72" s="6">
        <f t="shared" si="3"/>
        <v>442.499</v>
      </c>
      <c r="E72" s="6">
        <f t="shared" si="4"/>
        <v>1.117</v>
      </c>
    </row>
    <row r="73">
      <c r="A73" s="4" t="s">
        <v>5029</v>
      </c>
      <c r="B73" s="6" t="str">
        <f t="shared" si="1"/>
        <v>446.238</v>
      </c>
      <c r="C73" s="6" t="str">
        <f t="shared" si="2"/>
        <v>446,238</v>
      </c>
      <c r="D73" s="6">
        <f t="shared" si="3"/>
        <v>446.238</v>
      </c>
      <c r="E73" s="6">
        <f t="shared" si="4"/>
        <v>3.739</v>
      </c>
    </row>
    <row r="74">
      <c r="A74" s="4" t="s">
        <v>5030</v>
      </c>
      <c r="B74" s="6" t="str">
        <f t="shared" si="1"/>
        <v>470.105</v>
      </c>
      <c r="C74" s="6" t="str">
        <f t="shared" si="2"/>
        <v>470,105</v>
      </c>
      <c r="D74" s="6">
        <f t="shared" si="3"/>
        <v>470.105</v>
      </c>
      <c r="E74" s="6">
        <f t="shared" si="4"/>
        <v>23.867</v>
      </c>
    </row>
    <row r="75">
      <c r="A75" s="4" t="s">
        <v>5031</v>
      </c>
      <c r="B75" s="6" t="str">
        <f t="shared" si="1"/>
        <v>470.876</v>
      </c>
      <c r="C75" s="6" t="str">
        <f t="shared" si="2"/>
        <v>470,876</v>
      </c>
      <c r="D75" s="6">
        <f t="shared" si="3"/>
        <v>470.876</v>
      </c>
      <c r="E75" s="6">
        <f t="shared" si="4"/>
        <v>0.771</v>
      </c>
    </row>
    <row r="76">
      <c r="A76" s="4" t="s">
        <v>5032</v>
      </c>
      <c r="B76" s="6" t="str">
        <f t="shared" si="1"/>
        <v>476.412</v>
      </c>
      <c r="C76" s="6" t="str">
        <f t="shared" si="2"/>
        <v>476,412</v>
      </c>
      <c r="D76" s="6">
        <f t="shared" si="3"/>
        <v>476.412</v>
      </c>
      <c r="E76" s="6">
        <f t="shared" si="4"/>
        <v>5.536</v>
      </c>
    </row>
    <row r="77">
      <c r="A77" s="4" t="s">
        <v>5033</v>
      </c>
      <c r="B77" s="6" t="str">
        <f t="shared" si="1"/>
        <v>477.636</v>
      </c>
      <c r="C77" s="6" t="str">
        <f t="shared" si="2"/>
        <v>477,636</v>
      </c>
      <c r="D77" s="6">
        <f t="shared" si="3"/>
        <v>477.636</v>
      </c>
      <c r="E77" s="6">
        <f t="shared" si="4"/>
        <v>1.224</v>
      </c>
    </row>
    <row r="78">
      <c r="A78" s="4" t="s">
        <v>5034</v>
      </c>
      <c r="B78" s="6" t="str">
        <f t="shared" si="1"/>
        <v>487.176</v>
      </c>
      <c r="C78" s="6" t="str">
        <f t="shared" si="2"/>
        <v>487,176</v>
      </c>
      <c r="D78" s="6">
        <f t="shared" si="3"/>
        <v>487.176</v>
      </c>
      <c r="E78" s="6">
        <f t="shared" si="4"/>
        <v>9.54</v>
      </c>
    </row>
    <row r="79">
      <c r="A79" s="4" t="s">
        <v>5035</v>
      </c>
      <c r="B79" s="6" t="str">
        <f t="shared" si="1"/>
        <v>487.850</v>
      </c>
      <c r="C79" s="6" t="str">
        <f t="shared" si="2"/>
        <v>487,850</v>
      </c>
      <c r="D79" s="6">
        <f t="shared" si="3"/>
        <v>487.85</v>
      </c>
      <c r="E79" s="6">
        <f t="shared" si="4"/>
        <v>0.674</v>
      </c>
    </row>
    <row r="80">
      <c r="A80" s="4" t="s">
        <v>5036</v>
      </c>
      <c r="B80" s="6" t="str">
        <f t="shared" si="1"/>
        <v>488.526</v>
      </c>
      <c r="C80" s="6" t="str">
        <f t="shared" si="2"/>
        <v>488,526</v>
      </c>
      <c r="D80" s="6">
        <f t="shared" si="3"/>
        <v>488.526</v>
      </c>
      <c r="E80" s="6">
        <f t="shared" si="4"/>
        <v>0.676</v>
      </c>
    </row>
    <row r="81">
      <c r="A81" s="4" t="s">
        <v>5037</v>
      </c>
      <c r="B81" s="6" t="str">
        <f t="shared" si="1"/>
        <v>489.712</v>
      </c>
      <c r="C81" s="6" t="str">
        <f t="shared" si="2"/>
        <v>489,712</v>
      </c>
      <c r="D81" s="6">
        <f t="shared" si="3"/>
        <v>489.712</v>
      </c>
      <c r="E81" s="6">
        <f t="shared" si="4"/>
        <v>1.186</v>
      </c>
    </row>
    <row r="82">
      <c r="A82" s="4" t="s">
        <v>5038</v>
      </c>
      <c r="B82" s="6" t="str">
        <f t="shared" si="1"/>
        <v>498.558</v>
      </c>
      <c r="C82" s="6" t="str">
        <f t="shared" si="2"/>
        <v>498,558</v>
      </c>
      <c r="D82" s="6">
        <f t="shared" si="3"/>
        <v>498.558</v>
      </c>
      <c r="E82" s="6">
        <f t="shared" si="4"/>
        <v>8.846</v>
      </c>
    </row>
    <row r="83">
      <c r="A83" s="4" t="s">
        <v>5039</v>
      </c>
      <c r="B83" s="6" t="str">
        <f t="shared" si="1"/>
        <v>501.054</v>
      </c>
      <c r="C83" s="6" t="str">
        <f t="shared" si="2"/>
        <v>501,054</v>
      </c>
      <c r="D83" s="6">
        <f t="shared" si="3"/>
        <v>501.054</v>
      </c>
      <c r="E83" s="6">
        <f t="shared" si="4"/>
        <v>2.496</v>
      </c>
    </row>
    <row r="84">
      <c r="A84" s="4" t="s">
        <v>5040</v>
      </c>
      <c r="B84" s="6" t="str">
        <f t="shared" si="1"/>
        <v>501.756</v>
      </c>
      <c r="C84" s="6" t="str">
        <f t="shared" si="2"/>
        <v>501,756</v>
      </c>
      <c r="D84" s="6">
        <f t="shared" si="3"/>
        <v>501.756</v>
      </c>
      <c r="E84" s="6">
        <f t="shared" si="4"/>
        <v>0.702</v>
      </c>
    </row>
    <row r="85">
      <c r="A85" s="4" t="s">
        <v>5041</v>
      </c>
      <c r="B85" s="6" t="str">
        <f t="shared" si="1"/>
        <v>502.445</v>
      </c>
      <c r="C85" s="6" t="str">
        <f t="shared" si="2"/>
        <v>502,445</v>
      </c>
      <c r="D85" s="6">
        <f t="shared" si="3"/>
        <v>502.445</v>
      </c>
      <c r="E85" s="6">
        <f t="shared" si="4"/>
        <v>0.689</v>
      </c>
    </row>
    <row r="86">
      <c r="A86" s="4" t="s">
        <v>5042</v>
      </c>
      <c r="B86" s="6" t="str">
        <f t="shared" si="1"/>
        <v>503.031</v>
      </c>
      <c r="C86" s="6" t="str">
        <f t="shared" si="2"/>
        <v>503,031</v>
      </c>
      <c r="D86" s="6">
        <f t="shared" si="3"/>
        <v>503.031</v>
      </c>
      <c r="E86" s="6">
        <f t="shared" si="4"/>
        <v>0.586</v>
      </c>
    </row>
    <row r="87">
      <c r="A87" s="4" t="s">
        <v>5043</v>
      </c>
      <c r="B87" s="6" t="str">
        <f t="shared" si="1"/>
        <v>503.666</v>
      </c>
      <c r="C87" s="6" t="str">
        <f t="shared" si="2"/>
        <v>503,666</v>
      </c>
      <c r="D87" s="6">
        <f t="shared" si="3"/>
        <v>503.666</v>
      </c>
      <c r="E87" s="6">
        <f t="shared" si="4"/>
        <v>0.635</v>
      </c>
    </row>
    <row r="88">
      <c r="A88" s="4" t="s">
        <v>5044</v>
      </c>
      <c r="B88" s="6" t="str">
        <f t="shared" si="1"/>
        <v>508.048</v>
      </c>
      <c r="C88" s="6" t="str">
        <f t="shared" si="2"/>
        <v>508,048</v>
      </c>
      <c r="D88" s="6">
        <f t="shared" si="3"/>
        <v>508.048</v>
      </c>
      <c r="E88" s="6">
        <f t="shared" si="4"/>
        <v>4.382</v>
      </c>
    </row>
    <row r="89">
      <c r="A89" s="4" t="s">
        <v>5045</v>
      </c>
      <c r="B89" s="6" t="str">
        <f t="shared" si="1"/>
        <v>512.556</v>
      </c>
      <c r="C89" s="6" t="str">
        <f t="shared" si="2"/>
        <v>512,556</v>
      </c>
      <c r="D89" s="6">
        <f t="shared" si="3"/>
        <v>512.556</v>
      </c>
      <c r="E89" s="6">
        <f t="shared" si="4"/>
        <v>4.508</v>
      </c>
    </row>
    <row r="90">
      <c r="A90" s="4" t="s">
        <v>5046</v>
      </c>
      <c r="B90" s="6" t="str">
        <f t="shared" si="1"/>
        <v>513.390</v>
      </c>
      <c r="C90" s="6" t="str">
        <f t="shared" si="2"/>
        <v>513,390</v>
      </c>
      <c r="D90" s="6">
        <f t="shared" si="3"/>
        <v>513.39</v>
      </c>
      <c r="E90" s="6">
        <f t="shared" si="4"/>
        <v>0.834</v>
      </c>
    </row>
    <row r="91">
      <c r="A91" s="4" t="s">
        <v>5047</v>
      </c>
      <c r="B91" s="6" t="str">
        <f t="shared" si="1"/>
        <v>514.073</v>
      </c>
      <c r="C91" s="6" t="str">
        <f t="shared" si="2"/>
        <v>514,073</v>
      </c>
      <c r="D91" s="6">
        <f t="shared" si="3"/>
        <v>514.073</v>
      </c>
      <c r="E91" s="6">
        <f t="shared" si="4"/>
        <v>0.683</v>
      </c>
    </row>
    <row r="92">
      <c r="A92" s="4" t="s">
        <v>5048</v>
      </c>
      <c r="B92" s="6" t="str">
        <f t="shared" si="1"/>
        <v>515.036</v>
      </c>
      <c r="C92" s="6" t="str">
        <f t="shared" si="2"/>
        <v>515,036</v>
      </c>
      <c r="D92" s="6">
        <f t="shared" si="3"/>
        <v>515.036</v>
      </c>
      <c r="E92" s="6">
        <f t="shared" si="4"/>
        <v>0.963</v>
      </c>
    </row>
    <row r="93">
      <c r="A93" s="4" t="s">
        <v>5049</v>
      </c>
      <c r="B93" s="6" t="str">
        <f t="shared" si="1"/>
        <v>523.466</v>
      </c>
      <c r="C93" s="6" t="str">
        <f t="shared" si="2"/>
        <v>523,466</v>
      </c>
      <c r="D93" s="6">
        <f t="shared" si="3"/>
        <v>523.466</v>
      </c>
      <c r="E93" s="6">
        <f t="shared" si="4"/>
        <v>8.43</v>
      </c>
    </row>
    <row r="94">
      <c r="A94" s="4" t="s">
        <v>5050</v>
      </c>
      <c r="B94" s="6" t="str">
        <f t="shared" si="1"/>
        <v>524.343</v>
      </c>
      <c r="C94" s="6" t="str">
        <f t="shared" si="2"/>
        <v>524,343</v>
      </c>
      <c r="D94" s="6">
        <f t="shared" si="3"/>
        <v>524.343</v>
      </c>
      <c r="E94" s="6">
        <f t="shared" si="4"/>
        <v>0.877</v>
      </c>
    </row>
    <row r="95">
      <c r="A95" s="4" t="s">
        <v>5051</v>
      </c>
      <c r="B95" s="6" t="str">
        <f t="shared" si="1"/>
        <v>528.627</v>
      </c>
      <c r="C95" s="6" t="str">
        <f t="shared" si="2"/>
        <v>528,627</v>
      </c>
      <c r="D95" s="6">
        <f t="shared" si="3"/>
        <v>528.627</v>
      </c>
      <c r="E95" s="6">
        <f t="shared" si="4"/>
        <v>4.284</v>
      </c>
    </row>
    <row r="96">
      <c r="A96" s="4" t="s">
        <v>5052</v>
      </c>
      <c r="B96" s="6" t="str">
        <f t="shared" si="1"/>
        <v>543.049</v>
      </c>
      <c r="C96" s="6" t="str">
        <f t="shared" si="2"/>
        <v>543,049</v>
      </c>
      <c r="D96" s="6">
        <f t="shared" si="3"/>
        <v>543.049</v>
      </c>
      <c r="E96" s="6">
        <f t="shared" si="4"/>
        <v>14.422</v>
      </c>
    </row>
    <row r="97">
      <c r="A97" s="4" t="s">
        <v>5053</v>
      </c>
      <c r="B97" s="6" t="str">
        <f t="shared" si="1"/>
        <v>552.749</v>
      </c>
      <c r="C97" s="6" t="str">
        <f t="shared" si="2"/>
        <v>552,749</v>
      </c>
      <c r="D97" s="6">
        <f t="shared" si="3"/>
        <v>552.749</v>
      </c>
      <c r="E97" s="6">
        <f t="shared" si="4"/>
        <v>9.7</v>
      </c>
    </row>
    <row r="98">
      <c r="A98" s="4" t="s">
        <v>5054</v>
      </c>
      <c r="B98" s="6" t="str">
        <f t="shared" si="1"/>
        <v>554.713</v>
      </c>
      <c r="C98" s="6" t="str">
        <f t="shared" si="2"/>
        <v>554,713</v>
      </c>
      <c r="D98" s="6">
        <f t="shared" si="3"/>
        <v>554.713</v>
      </c>
      <c r="E98" s="6">
        <f t="shared" si="4"/>
        <v>1.964</v>
      </c>
    </row>
    <row r="99">
      <c r="A99" s="4" t="s">
        <v>5055</v>
      </c>
      <c r="B99" s="6" t="str">
        <f t="shared" si="1"/>
        <v>555.461</v>
      </c>
      <c r="C99" s="6" t="str">
        <f t="shared" si="2"/>
        <v>555,461</v>
      </c>
      <c r="D99" s="6">
        <f t="shared" si="3"/>
        <v>555.461</v>
      </c>
      <c r="E99" s="6">
        <f t="shared" si="4"/>
        <v>0.748</v>
      </c>
    </row>
    <row r="100">
      <c r="A100" s="4" t="s">
        <v>5056</v>
      </c>
      <c r="B100" s="6" t="str">
        <f t="shared" si="1"/>
        <v>556.011</v>
      </c>
      <c r="C100" s="6" t="str">
        <f t="shared" si="2"/>
        <v>556,011</v>
      </c>
      <c r="D100" s="6">
        <f t="shared" si="3"/>
        <v>556.011</v>
      </c>
      <c r="E100" s="6">
        <f t="shared" si="4"/>
        <v>0.55</v>
      </c>
    </row>
    <row r="101">
      <c r="A101" s="4" t="s">
        <v>5057</v>
      </c>
      <c r="B101" s="6" t="str">
        <f t="shared" si="1"/>
        <v>559.446</v>
      </c>
      <c r="C101" s="6" t="str">
        <f t="shared" si="2"/>
        <v>559,446</v>
      </c>
      <c r="D101" s="6">
        <f t="shared" si="3"/>
        <v>559.446</v>
      </c>
      <c r="E101" s="6">
        <f t="shared" si="4"/>
        <v>3.435</v>
      </c>
    </row>
    <row r="102">
      <c r="A102" s="4" t="s">
        <v>5058</v>
      </c>
      <c r="B102" s="6" t="str">
        <f t="shared" si="1"/>
        <v>566.053</v>
      </c>
      <c r="C102" s="6" t="str">
        <f t="shared" si="2"/>
        <v>566,053</v>
      </c>
      <c r="D102" s="6">
        <f t="shared" si="3"/>
        <v>566.053</v>
      </c>
      <c r="E102" s="6">
        <f t="shared" si="4"/>
        <v>6.607</v>
      </c>
    </row>
    <row r="103">
      <c r="A103" s="4" t="s">
        <v>5059</v>
      </c>
      <c r="B103" s="6" t="str">
        <f t="shared" si="1"/>
        <v>567.413</v>
      </c>
      <c r="C103" s="6" t="str">
        <f t="shared" si="2"/>
        <v>567,413</v>
      </c>
      <c r="D103" s="6">
        <f t="shared" si="3"/>
        <v>567.413</v>
      </c>
      <c r="E103" s="6">
        <f t="shared" si="4"/>
        <v>1.36</v>
      </c>
    </row>
    <row r="104">
      <c r="A104" s="4" t="s">
        <v>5060</v>
      </c>
      <c r="B104" s="6" t="str">
        <f t="shared" si="1"/>
        <v>572.408</v>
      </c>
      <c r="C104" s="6" t="str">
        <f t="shared" si="2"/>
        <v>572,408</v>
      </c>
      <c r="D104" s="6">
        <f t="shared" si="3"/>
        <v>572.408</v>
      </c>
      <c r="E104" s="6">
        <f t="shared" si="4"/>
        <v>4.995</v>
      </c>
    </row>
    <row r="105">
      <c r="A105" s="4" t="s">
        <v>5061</v>
      </c>
      <c r="B105" s="6" t="str">
        <f t="shared" si="1"/>
        <v>583.926</v>
      </c>
      <c r="C105" s="6" t="str">
        <f t="shared" si="2"/>
        <v>583,926</v>
      </c>
      <c r="D105" s="6">
        <f t="shared" si="3"/>
        <v>583.926</v>
      </c>
      <c r="E105" s="6">
        <f t="shared" si="4"/>
        <v>11.518</v>
      </c>
    </row>
    <row r="106">
      <c r="A106" s="4" t="s">
        <v>5062</v>
      </c>
      <c r="B106" s="6" t="str">
        <f t="shared" si="1"/>
        <v>587.366</v>
      </c>
      <c r="C106" s="6" t="str">
        <f t="shared" si="2"/>
        <v>587,366</v>
      </c>
      <c r="D106" s="6">
        <f t="shared" si="3"/>
        <v>587.366</v>
      </c>
      <c r="E106" s="6">
        <f t="shared" si="4"/>
        <v>3.44</v>
      </c>
    </row>
    <row r="107">
      <c r="A107" s="4" t="s">
        <v>5063</v>
      </c>
      <c r="B107" s="6" t="str">
        <f t="shared" si="1"/>
        <v>588.104</v>
      </c>
      <c r="C107" s="6" t="str">
        <f t="shared" si="2"/>
        <v>588,104</v>
      </c>
      <c r="D107" s="6">
        <f t="shared" si="3"/>
        <v>588.104</v>
      </c>
      <c r="E107" s="6">
        <f t="shared" si="4"/>
        <v>0.738</v>
      </c>
    </row>
    <row r="108">
      <c r="A108" s="4" t="s">
        <v>5064</v>
      </c>
      <c r="B108" s="6" t="str">
        <f t="shared" si="1"/>
        <v>599.153</v>
      </c>
      <c r="C108" s="6" t="str">
        <f t="shared" si="2"/>
        <v>599,153</v>
      </c>
      <c r="D108" s="6">
        <f t="shared" si="3"/>
        <v>599.153</v>
      </c>
      <c r="E108" s="6">
        <f t="shared" si="4"/>
        <v>11.049</v>
      </c>
    </row>
    <row r="109">
      <c r="A109" s="4" t="s">
        <v>5065</v>
      </c>
      <c r="B109" s="6" t="str">
        <f t="shared" si="1"/>
        <v>600.160</v>
      </c>
      <c r="C109" s="6" t="str">
        <f t="shared" si="2"/>
        <v>600,160</v>
      </c>
      <c r="D109" s="6">
        <f t="shared" si="3"/>
        <v>600.16</v>
      </c>
      <c r="E109" s="6">
        <f t="shared" si="4"/>
        <v>1.007</v>
      </c>
    </row>
    <row r="110">
      <c r="A110" s="4" t="s">
        <v>5066</v>
      </c>
      <c r="B110" s="6" t="str">
        <f t="shared" si="1"/>
        <v>603.098</v>
      </c>
      <c r="C110" s="6" t="str">
        <f t="shared" si="2"/>
        <v>603,098</v>
      </c>
      <c r="D110" s="6">
        <f t="shared" si="3"/>
        <v>603.098</v>
      </c>
      <c r="E110" s="6">
        <f t="shared" si="4"/>
        <v>2.938</v>
      </c>
    </row>
    <row r="111">
      <c r="A111" s="4" t="s">
        <v>5067</v>
      </c>
      <c r="B111" s="6" t="str">
        <f t="shared" si="1"/>
        <v>610.355</v>
      </c>
      <c r="C111" s="6" t="str">
        <f t="shared" si="2"/>
        <v>610,355</v>
      </c>
      <c r="D111" s="6">
        <f t="shared" si="3"/>
        <v>610.355</v>
      </c>
      <c r="E111" s="6">
        <f t="shared" si="4"/>
        <v>7.257</v>
      </c>
    </row>
    <row r="112">
      <c r="A112" s="4" t="s">
        <v>5068</v>
      </c>
      <c r="B112" s="6" t="str">
        <f t="shared" si="1"/>
        <v>617.710</v>
      </c>
      <c r="C112" s="6" t="str">
        <f t="shared" si="2"/>
        <v>617,710</v>
      </c>
      <c r="D112" s="6">
        <f t="shared" si="3"/>
        <v>617.71</v>
      </c>
      <c r="E112" s="6">
        <f t="shared" si="4"/>
        <v>7.355</v>
      </c>
    </row>
    <row r="113">
      <c r="A113" s="4" t="s">
        <v>5069</v>
      </c>
      <c r="B113" s="6" t="str">
        <f t="shared" si="1"/>
        <v>618.320</v>
      </c>
      <c r="C113" s="6" t="str">
        <f t="shared" si="2"/>
        <v>618,320</v>
      </c>
      <c r="D113" s="6">
        <f t="shared" si="3"/>
        <v>618.32</v>
      </c>
      <c r="E113" s="6">
        <f t="shared" si="4"/>
        <v>0.61</v>
      </c>
    </row>
    <row r="114">
      <c r="A114" s="4" t="s">
        <v>5070</v>
      </c>
      <c r="B114" s="6" t="str">
        <f t="shared" si="1"/>
        <v>620.670</v>
      </c>
      <c r="C114" s="6" t="str">
        <f t="shared" si="2"/>
        <v>620,670</v>
      </c>
      <c r="D114" s="6">
        <f t="shared" si="3"/>
        <v>620.67</v>
      </c>
      <c r="E114" s="6">
        <f t="shared" si="4"/>
        <v>2.35</v>
      </c>
    </row>
    <row r="115">
      <c r="A115" s="4" t="s">
        <v>5071</v>
      </c>
      <c r="B115" s="6" t="str">
        <f t="shared" si="1"/>
        <v>621.399</v>
      </c>
      <c r="C115" s="6" t="str">
        <f t="shared" si="2"/>
        <v>621,399</v>
      </c>
      <c r="D115" s="6">
        <f t="shared" si="3"/>
        <v>621.399</v>
      </c>
      <c r="E115" s="6">
        <f t="shared" si="4"/>
        <v>0.729</v>
      </c>
    </row>
    <row r="116">
      <c r="A116" s="4" t="s">
        <v>5072</v>
      </c>
      <c r="B116" s="6" t="str">
        <f t="shared" si="1"/>
        <v>622.120</v>
      </c>
      <c r="C116" s="6" t="str">
        <f t="shared" si="2"/>
        <v>622,120</v>
      </c>
      <c r="D116" s="6">
        <f t="shared" si="3"/>
        <v>622.12</v>
      </c>
      <c r="E116" s="6">
        <f t="shared" si="4"/>
        <v>0.721</v>
      </c>
    </row>
    <row r="117">
      <c r="A117" s="4" t="s">
        <v>5073</v>
      </c>
      <c r="B117" s="6" t="str">
        <f t="shared" si="1"/>
        <v>625.644</v>
      </c>
      <c r="C117" s="6" t="str">
        <f t="shared" si="2"/>
        <v>625,644</v>
      </c>
      <c r="D117" s="6">
        <f t="shared" si="3"/>
        <v>625.644</v>
      </c>
      <c r="E117" s="6">
        <f t="shared" si="4"/>
        <v>3.524</v>
      </c>
    </row>
    <row r="118">
      <c r="A118" s="4" t="s">
        <v>5074</v>
      </c>
      <c r="B118" s="6" t="str">
        <f t="shared" si="1"/>
        <v>627.241</v>
      </c>
      <c r="C118" s="6" t="str">
        <f t="shared" si="2"/>
        <v>627,241</v>
      </c>
      <c r="D118" s="6">
        <f t="shared" si="3"/>
        <v>627.241</v>
      </c>
      <c r="E118" s="6">
        <f t="shared" si="4"/>
        <v>1.597</v>
      </c>
    </row>
    <row r="119">
      <c r="A119" s="4" t="s">
        <v>5075</v>
      </c>
      <c r="B119" s="6" t="str">
        <f t="shared" si="1"/>
        <v>631.775</v>
      </c>
      <c r="C119" s="6" t="str">
        <f t="shared" si="2"/>
        <v>631,775</v>
      </c>
      <c r="D119" s="6">
        <f t="shared" si="3"/>
        <v>631.775</v>
      </c>
      <c r="E119" s="6">
        <f t="shared" si="4"/>
        <v>4.534</v>
      </c>
    </row>
    <row r="120">
      <c r="A120" s="4" t="s">
        <v>5076</v>
      </c>
      <c r="B120" s="6" t="str">
        <f t="shared" si="1"/>
        <v>633.572</v>
      </c>
      <c r="C120" s="6" t="str">
        <f t="shared" si="2"/>
        <v>633,572</v>
      </c>
      <c r="D120" s="6">
        <f t="shared" si="3"/>
        <v>633.572</v>
      </c>
      <c r="E120" s="6">
        <f t="shared" si="4"/>
        <v>1.797</v>
      </c>
    </row>
    <row r="121">
      <c r="A121" s="4" t="s">
        <v>5077</v>
      </c>
      <c r="B121" s="6" t="str">
        <f t="shared" si="1"/>
        <v>636.384</v>
      </c>
      <c r="C121" s="6" t="str">
        <f t="shared" si="2"/>
        <v>636,384</v>
      </c>
      <c r="D121" s="6">
        <f t="shared" si="3"/>
        <v>636.384</v>
      </c>
      <c r="E121" s="6">
        <f t="shared" si="4"/>
        <v>2.812</v>
      </c>
    </row>
    <row r="122">
      <c r="A122" s="4" t="s">
        <v>5078</v>
      </c>
      <c r="B122" s="6" t="str">
        <f t="shared" si="1"/>
        <v>646.146</v>
      </c>
      <c r="C122" s="6" t="str">
        <f t="shared" si="2"/>
        <v>646,146</v>
      </c>
      <c r="D122" s="6">
        <f t="shared" si="3"/>
        <v>646.146</v>
      </c>
      <c r="E122" s="6">
        <f t="shared" si="4"/>
        <v>9.762</v>
      </c>
    </row>
    <row r="123">
      <c r="A123" s="4" t="s">
        <v>5079</v>
      </c>
      <c r="B123" s="6" t="str">
        <f t="shared" si="1"/>
        <v>647.871</v>
      </c>
      <c r="C123" s="6" t="str">
        <f t="shared" si="2"/>
        <v>647,871</v>
      </c>
      <c r="D123" s="6">
        <f t="shared" si="3"/>
        <v>647.871</v>
      </c>
      <c r="E123" s="6">
        <f t="shared" si="4"/>
        <v>1.725</v>
      </c>
    </row>
    <row r="124">
      <c r="A124" s="4" t="s">
        <v>5080</v>
      </c>
      <c r="B124" s="6" t="str">
        <f t="shared" si="1"/>
        <v>656.593</v>
      </c>
      <c r="C124" s="6" t="str">
        <f t="shared" si="2"/>
        <v>656,593</v>
      </c>
      <c r="D124" s="6">
        <f t="shared" si="3"/>
        <v>656.593</v>
      </c>
      <c r="E124" s="6">
        <f t="shared" si="4"/>
        <v>8.722</v>
      </c>
    </row>
    <row r="125">
      <c r="A125" s="4" t="s">
        <v>5081</v>
      </c>
      <c r="B125" s="6" t="str">
        <f t="shared" si="1"/>
        <v>668.165</v>
      </c>
      <c r="C125" s="6" t="str">
        <f t="shared" si="2"/>
        <v>668,165</v>
      </c>
      <c r="D125" s="6">
        <f t="shared" si="3"/>
        <v>668.165</v>
      </c>
      <c r="E125" s="6">
        <f t="shared" si="4"/>
        <v>11.572</v>
      </c>
    </row>
    <row r="126">
      <c r="A126" s="4" t="s">
        <v>5082</v>
      </c>
      <c r="B126" s="6" t="str">
        <f t="shared" si="1"/>
        <v>668.726</v>
      </c>
      <c r="C126" s="6" t="str">
        <f t="shared" si="2"/>
        <v>668,726</v>
      </c>
      <c r="D126" s="6">
        <f t="shared" si="3"/>
        <v>668.726</v>
      </c>
      <c r="E126" s="6">
        <f t="shared" si="4"/>
        <v>0.561</v>
      </c>
    </row>
    <row r="127">
      <c r="A127" s="4" t="s">
        <v>5083</v>
      </c>
      <c r="B127" s="6" t="str">
        <f t="shared" si="1"/>
        <v>670.162</v>
      </c>
      <c r="C127" s="6" t="str">
        <f t="shared" si="2"/>
        <v>670,162</v>
      </c>
      <c r="D127" s="6">
        <f t="shared" si="3"/>
        <v>670.162</v>
      </c>
      <c r="E127" s="6">
        <f t="shared" si="4"/>
        <v>1.436</v>
      </c>
    </row>
    <row r="128">
      <c r="A128" s="4" t="s">
        <v>5084</v>
      </c>
      <c r="B128" s="6" t="str">
        <f t="shared" si="1"/>
        <v>689.385</v>
      </c>
      <c r="C128" s="6" t="str">
        <f t="shared" si="2"/>
        <v>689,385</v>
      </c>
      <c r="D128" s="6">
        <f t="shared" si="3"/>
        <v>689.385</v>
      </c>
      <c r="E128" s="6">
        <f t="shared" si="4"/>
        <v>19.223</v>
      </c>
    </row>
    <row r="129">
      <c r="A129" s="4" t="s">
        <v>5085</v>
      </c>
      <c r="B129" s="6" t="str">
        <f t="shared" si="1"/>
        <v>689.991</v>
      </c>
      <c r="C129" s="6" t="str">
        <f t="shared" si="2"/>
        <v>689,991</v>
      </c>
      <c r="D129" s="6">
        <f t="shared" si="3"/>
        <v>689.991</v>
      </c>
      <c r="E129" s="6">
        <f t="shared" si="4"/>
        <v>0.606</v>
      </c>
    </row>
    <row r="130">
      <c r="A130" s="4" t="s">
        <v>5086</v>
      </c>
      <c r="B130" s="6" t="str">
        <f t="shared" si="1"/>
        <v>690.599</v>
      </c>
      <c r="C130" s="6" t="str">
        <f t="shared" si="2"/>
        <v>690,599</v>
      </c>
      <c r="D130" s="6">
        <f t="shared" si="3"/>
        <v>690.599</v>
      </c>
      <c r="E130" s="6">
        <f t="shared" si="4"/>
        <v>0.608</v>
      </c>
    </row>
    <row r="131">
      <c r="A131" s="4" t="s">
        <v>5087</v>
      </c>
      <c r="B131" s="6" t="str">
        <f t="shared" si="1"/>
        <v>691.176</v>
      </c>
      <c r="C131" s="6" t="str">
        <f t="shared" si="2"/>
        <v>691,176</v>
      </c>
      <c r="D131" s="6">
        <f t="shared" si="3"/>
        <v>691.176</v>
      </c>
      <c r="E131" s="6">
        <f t="shared" si="4"/>
        <v>0.577</v>
      </c>
    </row>
    <row r="132">
      <c r="A132" s="4" t="s">
        <v>5088</v>
      </c>
      <c r="B132" s="6" t="str">
        <f t="shared" si="1"/>
        <v>697.653</v>
      </c>
      <c r="C132" s="6" t="str">
        <f t="shared" si="2"/>
        <v>697,653</v>
      </c>
      <c r="D132" s="6">
        <f t="shared" si="3"/>
        <v>697.653</v>
      </c>
      <c r="E132" s="6">
        <f t="shared" si="4"/>
        <v>6.477</v>
      </c>
    </row>
    <row r="133">
      <c r="A133" s="4" t="s">
        <v>5089</v>
      </c>
      <c r="B133" s="6" t="str">
        <f t="shared" si="1"/>
        <v>698.373</v>
      </c>
      <c r="C133" s="6" t="str">
        <f t="shared" si="2"/>
        <v>698,373</v>
      </c>
      <c r="D133" s="6">
        <f t="shared" si="3"/>
        <v>698.373</v>
      </c>
      <c r="E133" s="6">
        <f t="shared" si="4"/>
        <v>0.72</v>
      </c>
    </row>
    <row r="134">
      <c r="A134" s="4" t="s">
        <v>5090</v>
      </c>
      <c r="B134" s="6" t="str">
        <f t="shared" si="1"/>
        <v>699.125</v>
      </c>
      <c r="C134" s="6" t="str">
        <f t="shared" si="2"/>
        <v>699,125</v>
      </c>
      <c r="D134" s="6">
        <f t="shared" si="3"/>
        <v>699.125</v>
      </c>
      <c r="E134" s="6">
        <f t="shared" si="4"/>
        <v>0.752</v>
      </c>
    </row>
    <row r="135">
      <c r="A135" s="4" t="s">
        <v>5091</v>
      </c>
      <c r="B135" s="6" t="str">
        <f t="shared" si="1"/>
        <v>703.033</v>
      </c>
      <c r="C135" s="6" t="str">
        <f t="shared" si="2"/>
        <v>703,033</v>
      </c>
      <c r="D135" s="6">
        <f t="shared" si="3"/>
        <v>703.033</v>
      </c>
      <c r="E135" s="6">
        <f t="shared" si="4"/>
        <v>3.908</v>
      </c>
    </row>
    <row r="136">
      <c r="A136" s="4" t="s">
        <v>5092</v>
      </c>
      <c r="B136" s="6" t="str">
        <f t="shared" si="1"/>
        <v>710.827</v>
      </c>
      <c r="C136" s="6" t="str">
        <f t="shared" si="2"/>
        <v>710,827</v>
      </c>
      <c r="D136" s="6">
        <f t="shared" si="3"/>
        <v>710.827</v>
      </c>
      <c r="E136" s="6">
        <f t="shared" si="4"/>
        <v>7.794</v>
      </c>
    </row>
    <row r="137">
      <c r="A137" s="4" t="s">
        <v>5093</v>
      </c>
      <c r="B137" s="6" t="str">
        <f t="shared" si="1"/>
        <v>716.054</v>
      </c>
      <c r="C137" s="6" t="str">
        <f t="shared" si="2"/>
        <v>716,054</v>
      </c>
      <c r="D137" s="6">
        <f t="shared" si="3"/>
        <v>716.054</v>
      </c>
      <c r="E137" s="6">
        <f t="shared" si="4"/>
        <v>5.227</v>
      </c>
    </row>
    <row r="138">
      <c r="A138" s="4" t="s">
        <v>5094</v>
      </c>
      <c r="B138" s="6" t="str">
        <f t="shared" si="1"/>
        <v>716.915</v>
      </c>
      <c r="C138" s="6" t="str">
        <f t="shared" si="2"/>
        <v>716,915</v>
      </c>
      <c r="D138" s="6">
        <f t="shared" si="3"/>
        <v>716.915</v>
      </c>
      <c r="E138" s="6">
        <f t="shared" si="4"/>
        <v>0.861</v>
      </c>
    </row>
    <row r="139">
      <c r="A139" s="4" t="s">
        <v>5095</v>
      </c>
      <c r="B139" s="6" t="str">
        <f t="shared" si="1"/>
        <v>719.075</v>
      </c>
      <c r="C139" s="6" t="str">
        <f t="shared" si="2"/>
        <v>719,075</v>
      </c>
      <c r="D139" s="6">
        <f t="shared" si="3"/>
        <v>719.075</v>
      </c>
      <c r="E139" s="6">
        <f t="shared" si="4"/>
        <v>2.16</v>
      </c>
    </row>
    <row r="140">
      <c r="A140" s="4" t="s">
        <v>5096</v>
      </c>
      <c r="B140" s="6" t="str">
        <f t="shared" si="1"/>
        <v>721.660</v>
      </c>
      <c r="C140" s="6" t="str">
        <f t="shared" si="2"/>
        <v>721,660</v>
      </c>
      <c r="D140" s="6">
        <f t="shared" si="3"/>
        <v>721.66</v>
      </c>
      <c r="E140" s="6">
        <f t="shared" si="4"/>
        <v>2.585</v>
      </c>
    </row>
    <row r="141">
      <c r="A141" s="4" t="s">
        <v>5097</v>
      </c>
      <c r="B141" s="6" t="str">
        <f t="shared" si="1"/>
        <v>723.938</v>
      </c>
      <c r="C141" s="6" t="str">
        <f t="shared" si="2"/>
        <v>723,938</v>
      </c>
      <c r="D141" s="6">
        <f t="shared" si="3"/>
        <v>723.938</v>
      </c>
      <c r="E141" s="6">
        <f t="shared" si="4"/>
        <v>2.278</v>
      </c>
    </row>
    <row r="142">
      <c r="A142" s="4" t="s">
        <v>5098</v>
      </c>
      <c r="B142" s="6" t="str">
        <f t="shared" si="1"/>
        <v>734.151</v>
      </c>
      <c r="C142" s="6" t="str">
        <f t="shared" si="2"/>
        <v>734,151</v>
      </c>
      <c r="D142" s="6">
        <f t="shared" si="3"/>
        <v>734.151</v>
      </c>
      <c r="E142" s="6">
        <f t="shared" si="4"/>
        <v>10.213</v>
      </c>
    </row>
    <row r="143">
      <c r="A143" s="4" t="s">
        <v>5099</v>
      </c>
      <c r="B143" s="6" t="str">
        <f t="shared" si="1"/>
        <v>744.907</v>
      </c>
      <c r="C143" s="6" t="str">
        <f t="shared" si="2"/>
        <v>744,907</v>
      </c>
      <c r="D143" s="6">
        <f t="shared" si="3"/>
        <v>744.907</v>
      </c>
      <c r="E143" s="6">
        <f t="shared" si="4"/>
        <v>10.756</v>
      </c>
    </row>
    <row r="144">
      <c r="A144" s="4" t="s">
        <v>5100</v>
      </c>
      <c r="B144" s="6" t="str">
        <f t="shared" si="1"/>
        <v>745.511</v>
      </c>
      <c r="C144" s="6" t="str">
        <f t="shared" si="2"/>
        <v>745,511</v>
      </c>
      <c r="D144" s="6">
        <f t="shared" si="3"/>
        <v>745.511</v>
      </c>
      <c r="E144" s="6">
        <f t="shared" si="4"/>
        <v>0.604</v>
      </c>
    </row>
    <row r="145">
      <c r="A145" s="4" t="s">
        <v>5101</v>
      </c>
      <c r="B145" s="6" t="str">
        <f t="shared" si="1"/>
        <v>751.207</v>
      </c>
      <c r="C145" s="6" t="str">
        <f t="shared" si="2"/>
        <v>751,207</v>
      </c>
      <c r="D145" s="6">
        <f t="shared" si="3"/>
        <v>751.207</v>
      </c>
      <c r="E145" s="6">
        <f t="shared" si="4"/>
        <v>5.696</v>
      </c>
    </row>
    <row r="146">
      <c r="A146" s="4" t="s">
        <v>5102</v>
      </c>
      <c r="B146" s="6" t="str">
        <f t="shared" si="1"/>
        <v>752.860</v>
      </c>
      <c r="C146" s="6" t="str">
        <f t="shared" si="2"/>
        <v>752,860</v>
      </c>
      <c r="D146" s="6">
        <f t="shared" si="3"/>
        <v>752.86</v>
      </c>
      <c r="E146" s="6">
        <f t="shared" si="4"/>
        <v>1.653</v>
      </c>
    </row>
    <row r="147">
      <c r="A147" s="4" t="s">
        <v>5103</v>
      </c>
      <c r="B147" s="6" t="str">
        <f t="shared" si="1"/>
        <v>754.419</v>
      </c>
      <c r="C147" s="6" t="str">
        <f t="shared" si="2"/>
        <v>754,419</v>
      </c>
      <c r="D147" s="6">
        <f t="shared" si="3"/>
        <v>754.419</v>
      </c>
      <c r="E147" s="6">
        <f t="shared" si="4"/>
        <v>1.559</v>
      </c>
    </row>
    <row r="148">
      <c r="A148" s="4" t="s">
        <v>5104</v>
      </c>
      <c r="B148" s="6" t="str">
        <f t="shared" si="1"/>
        <v>758.068</v>
      </c>
      <c r="C148" s="6" t="str">
        <f t="shared" si="2"/>
        <v>758,068</v>
      </c>
      <c r="D148" s="6">
        <f t="shared" si="3"/>
        <v>758.068</v>
      </c>
      <c r="E148" s="6">
        <f t="shared" si="4"/>
        <v>3.649</v>
      </c>
    </row>
    <row r="149">
      <c r="A149" s="4" t="s">
        <v>5105</v>
      </c>
      <c r="B149" s="6" t="str">
        <f t="shared" si="1"/>
        <v>758.569</v>
      </c>
      <c r="C149" s="6" t="str">
        <f t="shared" si="2"/>
        <v>758,569</v>
      </c>
      <c r="D149" s="6">
        <f t="shared" si="3"/>
        <v>758.569</v>
      </c>
      <c r="E149" s="6">
        <f t="shared" si="4"/>
        <v>0.501</v>
      </c>
    </row>
    <row r="150">
      <c r="A150" s="4" t="s">
        <v>5106</v>
      </c>
      <c r="B150" s="6" t="str">
        <f t="shared" si="1"/>
        <v>763.093</v>
      </c>
      <c r="C150" s="6" t="str">
        <f t="shared" si="2"/>
        <v>763,093</v>
      </c>
      <c r="D150" s="6">
        <f t="shared" si="3"/>
        <v>763.093</v>
      </c>
      <c r="E150" s="6">
        <f t="shared" si="4"/>
        <v>4.524</v>
      </c>
    </row>
    <row r="151">
      <c r="A151" s="4" t="s">
        <v>5107</v>
      </c>
      <c r="B151" s="6" t="str">
        <f t="shared" si="1"/>
        <v>764.213</v>
      </c>
      <c r="C151" s="6" t="str">
        <f t="shared" si="2"/>
        <v>764,213</v>
      </c>
      <c r="D151" s="6">
        <f t="shared" si="3"/>
        <v>764.213</v>
      </c>
      <c r="E151" s="6">
        <f t="shared" si="4"/>
        <v>1.12</v>
      </c>
    </row>
    <row r="152">
      <c r="A152" s="4" t="s">
        <v>5108</v>
      </c>
      <c r="B152" s="6" t="str">
        <f t="shared" si="1"/>
        <v>767.219</v>
      </c>
      <c r="C152" s="6" t="str">
        <f t="shared" si="2"/>
        <v>767,219</v>
      </c>
      <c r="D152" s="6">
        <f t="shared" si="3"/>
        <v>767.219</v>
      </c>
      <c r="E152" s="6">
        <f t="shared" si="4"/>
        <v>3.006</v>
      </c>
    </row>
    <row r="153">
      <c r="A153" s="4" t="s">
        <v>5109</v>
      </c>
      <c r="B153" s="6" t="str">
        <f t="shared" si="1"/>
        <v>771.760</v>
      </c>
      <c r="C153" s="6" t="str">
        <f t="shared" si="2"/>
        <v>771,760</v>
      </c>
      <c r="D153" s="6">
        <f t="shared" si="3"/>
        <v>771.76</v>
      </c>
      <c r="E153" s="6">
        <f t="shared" si="4"/>
        <v>4.541</v>
      </c>
    </row>
    <row r="154">
      <c r="A154" s="4" t="s">
        <v>5110</v>
      </c>
      <c r="B154" s="6" t="str">
        <f t="shared" si="1"/>
        <v>773.892</v>
      </c>
      <c r="C154" s="6" t="str">
        <f t="shared" si="2"/>
        <v>773,892</v>
      </c>
      <c r="D154" s="6">
        <f t="shared" si="3"/>
        <v>773.892</v>
      </c>
      <c r="E154" s="6">
        <f t="shared" si="4"/>
        <v>2.132</v>
      </c>
    </row>
    <row r="155">
      <c r="A155" s="4" t="s">
        <v>5111</v>
      </c>
      <c r="B155" s="6" t="str">
        <f t="shared" si="1"/>
        <v>782.032</v>
      </c>
      <c r="C155" s="6" t="str">
        <f t="shared" si="2"/>
        <v>782,032</v>
      </c>
      <c r="D155" s="6">
        <f t="shared" si="3"/>
        <v>782.032</v>
      </c>
      <c r="E155" s="6">
        <f t="shared" si="4"/>
        <v>8.14</v>
      </c>
    </row>
    <row r="156">
      <c r="A156" s="4" t="s">
        <v>5112</v>
      </c>
      <c r="B156" s="6" t="str">
        <f t="shared" si="1"/>
        <v>785.188</v>
      </c>
      <c r="C156" s="6" t="str">
        <f t="shared" si="2"/>
        <v>785,188</v>
      </c>
      <c r="D156" s="6">
        <f t="shared" si="3"/>
        <v>785.188</v>
      </c>
      <c r="E156" s="6">
        <f t="shared" si="4"/>
        <v>3.156</v>
      </c>
    </row>
    <row r="157">
      <c r="A157" s="4" t="s">
        <v>5113</v>
      </c>
      <c r="B157" s="6" t="str">
        <f t="shared" si="1"/>
        <v>793.530</v>
      </c>
      <c r="C157" s="6" t="str">
        <f t="shared" si="2"/>
        <v>793,530</v>
      </c>
      <c r="D157" s="6">
        <f t="shared" si="3"/>
        <v>793.53</v>
      </c>
      <c r="E157" s="6">
        <f t="shared" si="4"/>
        <v>8.342</v>
      </c>
    </row>
    <row r="158">
      <c r="A158" s="4" t="s">
        <v>5114</v>
      </c>
      <c r="B158" s="6" t="str">
        <f t="shared" si="1"/>
        <v>795.337</v>
      </c>
      <c r="C158" s="6" t="str">
        <f t="shared" si="2"/>
        <v>795,337</v>
      </c>
      <c r="D158" s="6">
        <f t="shared" si="3"/>
        <v>795.337</v>
      </c>
      <c r="E158" s="6">
        <f t="shared" si="4"/>
        <v>1.807</v>
      </c>
    </row>
    <row r="159">
      <c r="A159" s="4" t="s">
        <v>5115</v>
      </c>
      <c r="B159" s="6" t="str">
        <f t="shared" si="1"/>
        <v>797.051</v>
      </c>
      <c r="C159" s="6" t="str">
        <f t="shared" si="2"/>
        <v>797,051</v>
      </c>
      <c r="D159" s="6">
        <f t="shared" si="3"/>
        <v>797.051</v>
      </c>
      <c r="E159" s="6">
        <f t="shared" si="4"/>
        <v>1.714</v>
      </c>
    </row>
    <row r="160">
      <c r="A160" s="4" t="s">
        <v>5116</v>
      </c>
      <c r="B160" s="6" t="str">
        <f t="shared" si="1"/>
        <v>800.797</v>
      </c>
      <c r="C160" s="6" t="str">
        <f t="shared" si="2"/>
        <v>800,797</v>
      </c>
      <c r="D160" s="6">
        <f t="shared" si="3"/>
        <v>800.797</v>
      </c>
      <c r="E160" s="6">
        <f t="shared" si="4"/>
        <v>3.746</v>
      </c>
    </row>
    <row r="161">
      <c r="A161" s="4" t="s">
        <v>5117</v>
      </c>
      <c r="B161" s="6" t="str">
        <f t="shared" si="1"/>
        <v>801.459</v>
      </c>
      <c r="C161" s="6" t="str">
        <f t="shared" si="2"/>
        <v>801,459</v>
      </c>
      <c r="D161" s="6">
        <f t="shared" si="3"/>
        <v>801.459</v>
      </c>
      <c r="E161" s="6">
        <f t="shared" si="4"/>
        <v>0.662</v>
      </c>
    </row>
    <row r="162">
      <c r="A162" s="4" t="s">
        <v>5118</v>
      </c>
      <c r="B162" s="6" t="str">
        <f t="shared" si="1"/>
        <v>802.110</v>
      </c>
      <c r="C162" s="6" t="str">
        <f t="shared" si="2"/>
        <v>802,110</v>
      </c>
      <c r="D162" s="6">
        <f t="shared" si="3"/>
        <v>802.11</v>
      </c>
      <c r="E162" s="6">
        <f t="shared" si="4"/>
        <v>0.651</v>
      </c>
    </row>
    <row r="163">
      <c r="A163" s="4" t="s">
        <v>5119</v>
      </c>
      <c r="B163" s="6" t="str">
        <f t="shared" si="1"/>
        <v>802.747</v>
      </c>
      <c r="C163" s="6" t="str">
        <f t="shared" si="2"/>
        <v>802,747</v>
      </c>
      <c r="D163" s="6">
        <f t="shared" si="3"/>
        <v>802.747</v>
      </c>
      <c r="E163" s="6">
        <f t="shared" si="4"/>
        <v>0.637</v>
      </c>
    </row>
    <row r="164">
      <c r="A164" s="4" t="s">
        <v>5120</v>
      </c>
      <c r="B164" s="6" t="str">
        <f t="shared" si="1"/>
        <v>804.370</v>
      </c>
      <c r="C164" s="6" t="str">
        <f t="shared" si="2"/>
        <v>804,370</v>
      </c>
      <c r="D164" s="6">
        <f t="shared" si="3"/>
        <v>804.37</v>
      </c>
      <c r="E164" s="6">
        <f t="shared" si="4"/>
        <v>1.623</v>
      </c>
    </row>
    <row r="165">
      <c r="A165" s="4" t="s">
        <v>5121</v>
      </c>
      <c r="B165" s="6" t="str">
        <f t="shared" si="1"/>
        <v>807.522</v>
      </c>
      <c r="C165" s="6" t="str">
        <f t="shared" si="2"/>
        <v>807,522</v>
      </c>
      <c r="D165" s="6">
        <f t="shared" si="3"/>
        <v>807.522</v>
      </c>
      <c r="E165" s="6">
        <f t="shared" si="4"/>
        <v>3.152</v>
      </c>
    </row>
    <row r="166">
      <c r="A166" s="4" t="s">
        <v>5122</v>
      </c>
      <c r="B166" s="6" t="str">
        <f t="shared" si="1"/>
        <v>809.392</v>
      </c>
      <c r="C166" s="6" t="str">
        <f t="shared" si="2"/>
        <v>809,392</v>
      </c>
      <c r="D166" s="6">
        <f t="shared" si="3"/>
        <v>809.392</v>
      </c>
      <c r="E166" s="6">
        <f t="shared" si="4"/>
        <v>1.87</v>
      </c>
    </row>
    <row r="167">
      <c r="A167" s="4" t="s">
        <v>5123</v>
      </c>
      <c r="B167" s="6" t="str">
        <f t="shared" si="1"/>
        <v>830.602</v>
      </c>
      <c r="C167" s="6" t="str">
        <f t="shared" si="2"/>
        <v>830,602</v>
      </c>
      <c r="D167" s="6">
        <f t="shared" si="3"/>
        <v>830.602</v>
      </c>
      <c r="E167" s="6">
        <f t="shared" si="4"/>
        <v>21.21</v>
      </c>
    </row>
    <row r="168">
      <c r="A168" s="4" t="s">
        <v>5124</v>
      </c>
      <c r="B168" s="6" t="str">
        <f t="shared" si="1"/>
        <v>831.272</v>
      </c>
      <c r="C168" s="6" t="str">
        <f t="shared" si="2"/>
        <v>831,272</v>
      </c>
      <c r="D168" s="6">
        <f t="shared" si="3"/>
        <v>831.272</v>
      </c>
      <c r="E168" s="6">
        <f t="shared" si="4"/>
        <v>0.67</v>
      </c>
    </row>
    <row r="169">
      <c r="A169" s="4" t="s">
        <v>5125</v>
      </c>
      <c r="B169" s="6" t="str">
        <f t="shared" si="1"/>
        <v>845.656</v>
      </c>
      <c r="C169" s="6" t="str">
        <f t="shared" si="2"/>
        <v>845,656</v>
      </c>
      <c r="D169" s="6">
        <f t="shared" si="3"/>
        <v>845.656</v>
      </c>
      <c r="E169" s="6">
        <f t="shared" si="4"/>
        <v>14.384</v>
      </c>
    </row>
    <row r="170">
      <c r="A170" s="4" t="s">
        <v>5126</v>
      </c>
      <c r="B170" s="6" t="str">
        <f t="shared" si="1"/>
        <v>847.136</v>
      </c>
      <c r="C170" s="6" t="str">
        <f t="shared" si="2"/>
        <v>847,136</v>
      </c>
      <c r="D170" s="6">
        <f t="shared" si="3"/>
        <v>847.136</v>
      </c>
      <c r="E170" s="6">
        <f t="shared" si="4"/>
        <v>1.48</v>
      </c>
    </row>
    <row r="171">
      <c r="A171" s="4" t="s">
        <v>5127</v>
      </c>
      <c r="B171" s="6" t="str">
        <f t="shared" si="1"/>
        <v>847.546</v>
      </c>
      <c r="C171" s="6" t="str">
        <f t="shared" si="2"/>
        <v>847,546</v>
      </c>
      <c r="D171" s="6">
        <f t="shared" si="3"/>
        <v>847.546</v>
      </c>
      <c r="E171" s="6">
        <f t="shared" si="4"/>
        <v>0.41</v>
      </c>
    </row>
    <row r="172">
      <c r="A172" s="4" t="s">
        <v>5128</v>
      </c>
      <c r="B172" s="6" t="str">
        <f t="shared" si="1"/>
        <v>849.928</v>
      </c>
      <c r="C172" s="6" t="str">
        <f t="shared" si="2"/>
        <v>849,928</v>
      </c>
      <c r="D172" s="6">
        <f t="shared" si="3"/>
        <v>849.928</v>
      </c>
      <c r="E172" s="6">
        <f t="shared" si="4"/>
        <v>2.382</v>
      </c>
    </row>
    <row r="173">
      <c r="A173" s="4" t="s">
        <v>5129</v>
      </c>
      <c r="B173" s="6" t="str">
        <f t="shared" si="1"/>
        <v>852.493</v>
      </c>
      <c r="C173" s="6" t="str">
        <f t="shared" si="2"/>
        <v>852,493</v>
      </c>
      <c r="D173" s="6">
        <f t="shared" si="3"/>
        <v>852.493</v>
      </c>
      <c r="E173" s="6">
        <f t="shared" si="4"/>
        <v>2.565</v>
      </c>
    </row>
    <row r="174">
      <c r="A174" s="4" t="s">
        <v>5130</v>
      </c>
      <c r="B174" s="6" t="str">
        <f t="shared" si="1"/>
        <v>870.661</v>
      </c>
      <c r="C174" s="6" t="str">
        <f t="shared" si="2"/>
        <v>870,661</v>
      </c>
      <c r="D174" s="6">
        <f t="shared" si="3"/>
        <v>870.661</v>
      </c>
      <c r="E174" s="6">
        <f t="shared" si="4"/>
        <v>18.168</v>
      </c>
    </row>
    <row r="175">
      <c r="A175" s="4" t="s">
        <v>5131</v>
      </c>
      <c r="B175" s="6" t="str">
        <f t="shared" si="1"/>
        <v>884.980</v>
      </c>
      <c r="C175" s="6" t="str">
        <f t="shared" si="2"/>
        <v>884,980</v>
      </c>
      <c r="D175" s="6">
        <f t="shared" si="3"/>
        <v>884.98</v>
      </c>
      <c r="E175" s="6">
        <f t="shared" si="4"/>
        <v>14.319</v>
      </c>
    </row>
    <row r="176">
      <c r="A176" s="4" t="s">
        <v>5132</v>
      </c>
      <c r="B176" s="6" t="str">
        <f t="shared" si="1"/>
        <v>889.467</v>
      </c>
      <c r="C176" s="6" t="str">
        <f t="shared" si="2"/>
        <v>889,467</v>
      </c>
      <c r="D176" s="6">
        <f t="shared" si="3"/>
        <v>889.467</v>
      </c>
      <c r="E176" s="6">
        <f t="shared" si="4"/>
        <v>4.487</v>
      </c>
    </row>
    <row r="177">
      <c r="A177" s="4" t="s">
        <v>5133</v>
      </c>
      <c r="B177" s="6" t="str">
        <f t="shared" si="1"/>
        <v>890.509</v>
      </c>
      <c r="C177" s="6" t="str">
        <f t="shared" si="2"/>
        <v>890,509</v>
      </c>
      <c r="D177" s="6">
        <f t="shared" si="3"/>
        <v>890.509</v>
      </c>
      <c r="E177" s="6">
        <f t="shared" si="4"/>
        <v>1.042</v>
      </c>
    </row>
    <row r="178">
      <c r="A178" s="4" t="s">
        <v>5134</v>
      </c>
      <c r="B178" s="6" t="str">
        <f t="shared" si="1"/>
        <v>892.858</v>
      </c>
      <c r="C178" s="6" t="str">
        <f t="shared" si="2"/>
        <v>892,858</v>
      </c>
      <c r="D178" s="6">
        <f t="shared" si="3"/>
        <v>892.858</v>
      </c>
      <c r="E178" s="6">
        <f t="shared" si="4"/>
        <v>2.349</v>
      </c>
    </row>
    <row r="179">
      <c r="A179" s="4" t="s">
        <v>5135</v>
      </c>
      <c r="B179" s="6" t="str">
        <f t="shared" si="1"/>
        <v>897.360</v>
      </c>
      <c r="C179" s="6" t="str">
        <f t="shared" si="2"/>
        <v>897,360</v>
      </c>
      <c r="D179" s="6">
        <f t="shared" si="3"/>
        <v>897.36</v>
      </c>
      <c r="E179" s="6">
        <f t="shared" si="4"/>
        <v>4.502</v>
      </c>
    </row>
    <row r="180">
      <c r="A180" s="4" t="s">
        <v>5136</v>
      </c>
      <c r="B180" s="6" t="str">
        <f t="shared" si="1"/>
        <v>900.467</v>
      </c>
      <c r="C180" s="6" t="str">
        <f t="shared" si="2"/>
        <v>900,467</v>
      </c>
      <c r="D180" s="6">
        <f t="shared" si="3"/>
        <v>900.467</v>
      </c>
      <c r="E180" s="6">
        <f t="shared" si="4"/>
        <v>3.107</v>
      </c>
    </row>
    <row r="181">
      <c r="A181" s="4" t="s">
        <v>5137</v>
      </c>
      <c r="B181" s="6" t="str">
        <f t="shared" si="1"/>
        <v>913.828</v>
      </c>
      <c r="C181" s="6" t="str">
        <f t="shared" si="2"/>
        <v>913,828</v>
      </c>
      <c r="D181" s="6">
        <f t="shared" si="3"/>
        <v>913.828</v>
      </c>
      <c r="E181" s="6">
        <f t="shared" si="4"/>
        <v>13.361</v>
      </c>
    </row>
    <row r="182">
      <c r="A182" s="4" t="s">
        <v>5138</v>
      </c>
      <c r="B182" s="6" t="str">
        <f t="shared" si="1"/>
        <v>931.122</v>
      </c>
      <c r="C182" s="6" t="str">
        <f t="shared" si="2"/>
        <v>931,122</v>
      </c>
      <c r="D182" s="6">
        <f t="shared" si="3"/>
        <v>931.122</v>
      </c>
      <c r="E182" s="6">
        <f t="shared" si="4"/>
        <v>17.294</v>
      </c>
    </row>
    <row r="183">
      <c r="A183" s="4" t="s">
        <v>5139</v>
      </c>
      <c r="B183" s="6" t="str">
        <f t="shared" si="1"/>
        <v>933.557</v>
      </c>
      <c r="C183" s="6" t="str">
        <f t="shared" si="2"/>
        <v>933,557</v>
      </c>
      <c r="D183" s="6">
        <f t="shared" si="3"/>
        <v>933.557</v>
      </c>
      <c r="E183" s="6">
        <f t="shared" si="4"/>
        <v>2.435</v>
      </c>
    </row>
    <row r="184">
      <c r="A184" s="4" t="s">
        <v>5140</v>
      </c>
      <c r="B184" s="6" t="str">
        <f t="shared" si="1"/>
        <v>934.822</v>
      </c>
      <c r="C184" s="6" t="str">
        <f t="shared" si="2"/>
        <v>934,822</v>
      </c>
      <c r="D184" s="6">
        <f t="shared" si="3"/>
        <v>934.822</v>
      </c>
      <c r="E184" s="6">
        <f t="shared" si="4"/>
        <v>1.265</v>
      </c>
    </row>
    <row r="185">
      <c r="A185" s="4" t="s">
        <v>5141</v>
      </c>
      <c r="B185" s="6" t="str">
        <f t="shared" si="1"/>
        <v>935.494</v>
      </c>
      <c r="C185" s="6" t="str">
        <f t="shared" si="2"/>
        <v>935,494</v>
      </c>
      <c r="D185" s="6">
        <f t="shared" si="3"/>
        <v>935.494</v>
      </c>
      <c r="E185" s="6">
        <f t="shared" si="4"/>
        <v>0.672</v>
      </c>
    </row>
    <row r="186">
      <c r="A186" s="4" t="s">
        <v>5142</v>
      </c>
      <c r="B186" s="6" t="str">
        <f t="shared" si="1"/>
        <v>938.154</v>
      </c>
      <c r="C186" s="6" t="str">
        <f t="shared" si="2"/>
        <v>938,154</v>
      </c>
      <c r="D186" s="6">
        <f t="shared" si="3"/>
        <v>938.154</v>
      </c>
      <c r="E186" s="6">
        <f t="shared" si="4"/>
        <v>2.66</v>
      </c>
    </row>
    <row r="187">
      <c r="A187" s="4" t="s">
        <v>5143</v>
      </c>
      <c r="B187" s="6" t="str">
        <f t="shared" si="1"/>
        <v>941.090</v>
      </c>
      <c r="C187" s="6" t="str">
        <f t="shared" si="2"/>
        <v>941,090</v>
      </c>
      <c r="D187" s="6">
        <f t="shared" si="3"/>
        <v>941.09</v>
      </c>
      <c r="E187" s="6">
        <f t="shared" si="4"/>
        <v>2.936</v>
      </c>
    </row>
    <row r="188">
      <c r="A188" s="4" t="s">
        <v>5144</v>
      </c>
      <c r="B188" s="6" t="str">
        <f t="shared" si="1"/>
        <v>942.181</v>
      </c>
      <c r="C188" s="6" t="str">
        <f t="shared" si="2"/>
        <v>942,181</v>
      </c>
      <c r="D188" s="6">
        <f t="shared" si="3"/>
        <v>942.181</v>
      </c>
      <c r="E188" s="6">
        <f t="shared" si="4"/>
        <v>1.091</v>
      </c>
    </row>
    <row r="189">
      <c r="A189" s="4" t="s">
        <v>5145</v>
      </c>
      <c r="B189" s="6" t="str">
        <f t="shared" si="1"/>
        <v>945.895</v>
      </c>
      <c r="C189" s="6" t="str">
        <f t="shared" si="2"/>
        <v>945,895</v>
      </c>
      <c r="D189" s="6">
        <f t="shared" si="3"/>
        <v>945.895</v>
      </c>
      <c r="E189" s="6">
        <f t="shared" si="4"/>
        <v>3.714</v>
      </c>
    </row>
    <row r="190">
      <c r="A190" s="4" t="s">
        <v>5146</v>
      </c>
      <c r="B190" s="6" t="str">
        <f t="shared" si="1"/>
        <v>951.609</v>
      </c>
      <c r="C190" s="6" t="str">
        <f t="shared" si="2"/>
        <v>951,609</v>
      </c>
      <c r="D190" s="6">
        <f t="shared" si="3"/>
        <v>951.609</v>
      </c>
      <c r="E190" s="6">
        <f t="shared" si="4"/>
        <v>5.714</v>
      </c>
    </row>
    <row r="191">
      <c r="A191" s="4" t="s">
        <v>5147</v>
      </c>
      <c r="B191" s="6" t="str">
        <f t="shared" si="1"/>
        <v>962.810</v>
      </c>
      <c r="C191" s="6" t="str">
        <f t="shared" si="2"/>
        <v>962,810</v>
      </c>
      <c r="D191" s="6">
        <f t="shared" si="3"/>
        <v>962.81</v>
      </c>
      <c r="E191" s="6">
        <f t="shared" si="4"/>
        <v>11.201</v>
      </c>
    </row>
    <row r="192">
      <c r="A192" s="4" t="s">
        <v>5148</v>
      </c>
      <c r="B192" s="6" t="str">
        <f t="shared" si="1"/>
        <v>966.559</v>
      </c>
      <c r="C192" s="6" t="str">
        <f t="shared" si="2"/>
        <v>966,559</v>
      </c>
      <c r="D192" s="6">
        <f t="shared" si="3"/>
        <v>966.559</v>
      </c>
      <c r="E192" s="6">
        <f t="shared" si="4"/>
        <v>3.749</v>
      </c>
    </row>
    <row r="193">
      <c r="A193" s="4" t="s">
        <v>5149</v>
      </c>
      <c r="B193" s="6" t="str">
        <f t="shared" si="1"/>
        <v>978.057</v>
      </c>
      <c r="C193" s="6" t="str">
        <f t="shared" si="2"/>
        <v>978,057</v>
      </c>
      <c r="D193" s="6">
        <f t="shared" si="3"/>
        <v>978.057</v>
      </c>
      <c r="E193" s="6">
        <f t="shared" si="4"/>
        <v>11.498</v>
      </c>
    </row>
    <row r="194">
      <c r="A194" s="4" t="s">
        <v>5150</v>
      </c>
      <c r="B194" s="6" t="str">
        <f t="shared" si="1"/>
        <v>978.852</v>
      </c>
      <c r="C194" s="6" t="str">
        <f t="shared" si="2"/>
        <v>978,852</v>
      </c>
      <c r="D194" s="6">
        <f t="shared" si="3"/>
        <v>978.852</v>
      </c>
      <c r="E194" s="6">
        <f t="shared" si="4"/>
        <v>0.795</v>
      </c>
    </row>
    <row r="195">
      <c r="A195" s="4" t="s">
        <v>5151</v>
      </c>
      <c r="B195" s="6" t="str">
        <f t="shared" si="1"/>
        <v>979.589</v>
      </c>
      <c r="C195" s="6" t="str">
        <f t="shared" si="2"/>
        <v>979,589</v>
      </c>
      <c r="D195" s="6">
        <f t="shared" si="3"/>
        <v>979.589</v>
      </c>
      <c r="E195" s="6">
        <f t="shared" si="4"/>
        <v>0.737</v>
      </c>
    </row>
    <row r="196">
      <c r="A196" s="4" t="s">
        <v>5152</v>
      </c>
      <c r="B196" s="6" t="str">
        <f t="shared" si="1"/>
        <v>982.966</v>
      </c>
      <c r="C196" s="6" t="str">
        <f t="shared" si="2"/>
        <v>982,966</v>
      </c>
      <c r="D196" s="6">
        <f t="shared" si="3"/>
        <v>982.966</v>
      </c>
      <c r="E196" s="6">
        <f t="shared" si="4"/>
        <v>3.377</v>
      </c>
    </row>
    <row r="197">
      <c r="A197" s="4" t="s">
        <v>5153</v>
      </c>
      <c r="B197" s="6" t="str">
        <f t="shared" si="1"/>
        <v>989.913</v>
      </c>
      <c r="C197" s="6" t="str">
        <f t="shared" si="2"/>
        <v>989,913</v>
      </c>
      <c r="D197" s="6">
        <f t="shared" si="3"/>
        <v>989.913</v>
      </c>
      <c r="E197" s="6">
        <f t="shared" si="4"/>
        <v>6.947</v>
      </c>
    </row>
    <row r="198">
      <c r="A198" s="4" t="s">
        <v>5154</v>
      </c>
      <c r="B198" s="6" t="str">
        <f t="shared" si="1"/>
        <v>991.079</v>
      </c>
      <c r="C198" s="6" t="str">
        <f t="shared" si="2"/>
        <v>991,079</v>
      </c>
      <c r="D198" s="6">
        <f t="shared" si="3"/>
        <v>991.079</v>
      </c>
      <c r="E198" s="6">
        <f t="shared" si="4"/>
        <v>1.166</v>
      </c>
    </row>
    <row r="199">
      <c r="A199" s="4" t="s">
        <v>5155</v>
      </c>
      <c r="B199" s="6" t="str">
        <f t="shared" si="1"/>
        <v>996.234</v>
      </c>
      <c r="C199" s="6" t="str">
        <f t="shared" si="2"/>
        <v>996,234</v>
      </c>
      <c r="D199" s="6">
        <f t="shared" si="3"/>
        <v>996.234</v>
      </c>
      <c r="E199" s="6">
        <f t="shared" si="4"/>
        <v>5.155</v>
      </c>
    </row>
    <row r="200">
      <c r="A200" s="4" t="s">
        <v>5156</v>
      </c>
      <c r="B200" s="6" t="str">
        <f t="shared" si="1"/>
        <v>999.544</v>
      </c>
      <c r="C200" s="6" t="str">
        <f t="shared" si="2"/>
        <v>999,544</v>
      </c>
      <c r="D200" s="6">
        <f t="shared" si="3"/>
        <v>999.544</v>
      </c>
      <c r="E200" s="6">
        <f t="shared" si="4"/>
        <v>3.31</v>
      </c>
    </row>
    <row r="201">
      <c r="A201" s="4" t="s">
        <v>5157</v>
      </c>
      <c r="B201" s="6" t="str">
        <f t="shared" si="1"/>
        <v>1006.97</v>
      </c>
      <c r="C201" s="6" t="str">
        <f t="shared" si="2"/>
        <v>1006,97</v>
      </c>
      <c r="D201" s="6">
        <f t="shared" si="3"/>
        <v>1006.97</v>
      </c>
      <c r="E201" s="6">
        <f t="shared" si="4"/>
        <v>7.426</v>
      </c>
    </row>
    <row r="202">
      <c r="A202" s="4" t="s">
        <v>5158</v>
      </c>
      <c r="B202" s="6" t="str">
        <f t="shared" si="1"/>
        <v>1008.41</v>
      </c>
      <c r="C202" s="6" t="str">
        <f t="shared" si="2"/>
        <v>1008,41</v>
      </c>
      <c r="D202" s="6">
        <f t="shared" si="3"/>
        <v>1008.41</v>
      </c>
      <c r="E202" s="6">
        <f t="shared" si="4"/>
        <v>1.44</v>
      </c>
    </row>
    <row r="203">
      <c r="A203" s="4" t="s">
        <v>5159</v>
      </c>
      <c r="B203" s="6" t="str">
        <f t="shared" si="1"/>
        <v>1011.21</v>
      </c>
      <c r="C203" s="6" t="str">
        <f t="shared" si="2"/>
        <v>1011,21</v>
      </c>
      <c r="D203" s="6">
        <f t="shared" si="3"/>
        <v>1011.21</v>
      </c>
      <c r="E203" s="6">
        <f t="shared" si="4"/>
        <v>2.8</v>
      </c>
    </row>
    <row r="204">
      <c r="A204" s="4" t="s">
        <v>5160</v>
      </c>
      <c r="B204" s="6" t="str">
        <f t="shared" si="1"/>
        <v>1011.69</v>
      </c>
      <c r="C204" s="6" t="str">
        <f t="shared" si="2"/>
        <v>1011,69</v>
      </c>
      <c r="D204" s="6">
        <f t="shared" si="3"/>
        <v>1011.69</v>
      </c>
      <c r="E204" s="6">
        <f t="shared" si="4"/>
        <v>0.48</v>
      </c>
    </row>
    <row r="205">
      <c r="A205" s="4" t="s">
        <v>5161</v>
      </c>
      <c r="B205" s="6" t="str">
        <f t="shared" si="1"/>
        <v>1012.59</v>
      </c>
      <c r="C205" s="6" t="str">
        <f t="shared" si="2"/>
        <v>1012,59</v>
      </c>
      <c r="D205" s="6">
        <f t="shared" si="3"/>
        <v>1012.59</v>
      </c>
      <c r="E205" s="6">
        <f t="shared" si="4"/>
        <v>0.9</v>
      </c>
    </row>
    <row r="206">
      <c r="A206" s="4" t="s">
        <v>5162</v>
      </c>
      <c r="B206" s="6" t="str">
        <f t="shared" si="1"/>
        <v>1021.90</v>
      </c>
      <c r="C206" s="6" t="str">
        <f t="shared" si="2"/>
        <v>1021,90</v>
      </c>
      <c r="D206" s="6">
        <f t="shared" si="3"/>
        <v>1021.9</v>
      </c>
      <c r="E206" s="6">
        <f t="shared" si="4"/>
        <v>9.31</v>
      </c>
    </row>
    <row r="207">
      <c r="A207" s="4" t="s">
        <v>5163</v>
      </c>
      <c r="B207" s="6" t="str">
        <f t="shared" si="1"/>
        <v>1022.36</v>
      </c>
      <c r="C207" s="6" t="str">
        <f t="shared" si="2"/>
        <v>1022,36</v>
      </c>
      <c r="D207" s="6">
        <f t="shared" si="3"/>
        <v>1022.36</v>
      </c>
      <c r="E207" s="6">
        <f t="shared" si="4"/>
        <v>0.46</v>
      </c>
    </row>
    <row r="208">
      <c r="A208" s="4" t="s">
        <v>5164</v>
      </c>
      <c r="B208" s="6" t="str">
        <f t="shared" si="1"/>
        <v>1023.87</v>
      </c>
      <c r="C208" s="6" t="str">
        <f t="shared" si="2"/>
        <v>1023,87</v>
      </c>
      <c r="D208" s="6">
        <f t="shared" si="3"/>
        <v>1023.87</v>
      </c>
      <c r="E208" s="6">
        <f t="shared" si="4"/>
        <v>1.51</v>
      </c>
    </row>
    <row r="209">
      <c r="A209" s="4" t="s">
        <v>5165</v>
      </c>
      <c r="B209" s="6" t="str">
        <f t="shared" si="1"/>
        <v>1024.87</v>
      </c>
      <c r="C209" s="6" t="str">
        <f t="shared" si="2"/>
        <v>1024,87</v>
      </c>
      <c r="D209" s="6">
        <f t="shared" si="3"/>
        <v>1024.87</v>
      </c>
      <c r="E209" s="6">
        <f t="shared" si="4"/>
        <v>1</v>
      </c>
    </row>
    <row r="210">
      <c r="A210" s="4" t="s">
        <v>5166</v>
      </c>
      <c r="B210" s="6" t="str">
        <f t="shared" si="1"/>
        <v>1026.40</v>
      </c>
      <c r="C210" s="6" t="str">
        <f t="shared" si="2"/>
        <v>1026,40</v>
      </c>
      <c r="D210" s="6">
        <f t="shared" si="3"/>
        <v>1026.4</v>
      </c>
      <c r="E210" s="6">
        <f t="shared" si="4"/>
        <v>1.53</v>
      </c>
    </row>
    <row r="211">
      <c r="A211" s="4" t="s">
        <v>5167</v>
      </c>
      <c r="B211" s="6" t="str">
        <f t="shared" si="1"/>
        <v>1029.86</v>
      </c>
      <c r="C211" s="6" t="str">
        <f t="shared" si="2"/>
        <v>1029,86</v>
      </c>
      <c r="D211" s="6">
        <f t="shared" si="3"/>
        <v>1029.86</v>
      </c>
      <c r="E211" s="6">
        <f t="shared" si="4"/>
        <v>3.46</v>
      </c>
    </row>
    <row r="212">
      <c r="A212" s="4" t="s">
        <v>5168</v>
      </c>
      <c r="B212" s="6" t="str">
        <f t="shared" si="1"/>
        <v>1032.56</v>
      </c>
      <c r="C212" s="6" t="str">
        <f t="shared" si="2"/>
        <v>1032,56</v>
      </c>
      <c r="D212" s="6">
        <f t="shared" si="3"/>
        <v>1032.56</v>
      </c>
      <c r="E212" s="6">
        <f t="shared" si="4"/>
        <v>2.7</v>
      </c>
    </row>
    <row r="213">
      <c r="A213" s="4" t="s">
        <v>5169</v>
      </c>
      <c r="B213" s="6" t="str">
        <f t="shared" si="1"/>
        <v>1033.91</v>
      </c>
      <c r="C213" s="6" t="str">
        <f t="shared" si="2"/>
        <v>1033,91</v>
      </c>
      <c r="D213" s="6">
        <f t="shared" si="3"/>
        <v>1033.91</v>
      </c>
      <c r="E213" s="6">
        <f t="shared" si="4"/>
        <v>1.35</v>
      </c>
    </row>
    <row r="214">
      <c r="A214" s="4" t="s">
        <v>5170</v>
      </c>
      <c r="B214" s="6" t="str">
        <f t="shared" si="1"/>
        <v>1037.98</v>
      </c>
      <c r="C214" s="6" t="str">
        <f t="shared" si="2"/>
        <v>1037,98</v>
      </c>
      <c r="D214" s="6">
        <f t="shared" si="3"/>
        <v>1037.98</v>
      </c>
      <c r="E214" s="6">
        <f t="shared" si="4"/>
        <v>4.07</v>
      </c>
    </row>
    <row r="215">
      <c r="A215" s="4" t="s">
        <v>5171</v>
      </c>
      <c r="B215" s="6" t="str">
        <f t="shared" si="1"/>
        <v>1042.79</v>
      </c>
      <c r="C215" s="6" t="str">
        <f t="shared" si="2"/>
        <v>1042,79</v>
      </c>
      <c r="D215" s="6">
        <f t="shared" si="3"/>
        <v>1042.79</v>
      </c>
      <c r="E215" s="6">
        <f t="shared" si="4"/>
        <v>4.81</v>
      </c>
    </row>
    <row r="216">
      <c r="A216" s="4" t="s">
        <v>5172</v>
      </c>
      <c r="B216" s="6" t="str">
        <f t="shared" si="1"/>
        <v>1043.50</v>
      </c>
      <c r="C216" s="6" t="str">
        <f t="shared" si="2"/>
        <v>1043,50</v>
      </c>
      <c r="D216" s="6">
        <f t="shared" si="3"/>
        <v>1043.5</v>
      </c>
      <c r="E216" s="6">
        <f t="shared" si="4"/>
        <v>0.71</v>
      </c>
    </row>
    <row r="217">
      <c r="A217" s="4" t="s">
        <v>5173</v>
      </c>
      <c r="B217" s="6" t="str">
        <f t="shared" si="1"/>
        <v>1051.42</v>
      </c>
      <c r="C217" s="6" t="str">
        <f t="shared" si="2"/>
        <v>1051,42</v>
      </c>
      <c r="D217" s="6">
        <f t="shared" si="3"/>
        <v>1051.42</v>
      </c>
      <c r="E217" s="6">
        <f t="shared" si="4"/>
        <v>7.92</v>
      </c>
    </row>
    <row r="218">
      <c r="A218" s="4" t="s">
        <v>5174</v>
      </c>
      <c r="B218" s="6" t="str">
        <f t="shared" si="1"/>
        <v>1055.62</v>
      </c>
      <c r="C218" s="6" t="str">
        <f t="shared" si="2"/>
        <v>1055,62</v>
      </c>
      <c r="D218" s="6">
        <f t="shared" si="3"/>
        <v>1055.62</v>
      </c>
      <c r="E218" s="6">
        <f t="shared" si="4"/>
        <v>4.2</v>
      </c>
    </row>
    <row r="219">
      <c r="A219" s="4" t="s">
        <v>5175</v>
      </c>
      <c r="B219" s="6" t="str">
        <f t="shared" si="1"/>
        <v>1056.93</v>
      </c>
      <c r="C219" s="6" t="str">
        <f t="shared" si="2"/>
        <v>1056,93</v>
      </c>
      <c r="D219" s="6">
        <f t="shared" si="3"/>
        <v>1056.93</v>
      </c>
      <c r="E219" s="6">
        <f t="shared" si="4"/>
        <v>1.31</v>
      </c>
    </row>
    <row r="220">
      <c r="A220" s="4" t="s">
        <v>5176</v>
      </c>
      <c r="B220" s="6" t="str">
        <f t="shared" si="1"/>
        <v>1059.63</v>
      </c>
      <c r="C220" s="6" t="str">
        <f t="shared" si="2"/>
        <v>1059,63</v>
      </c>
      <c r="D220" s="6">
        <f t="shared" si="3"/>
        <v>1059.63</v>
      </c>
      <c r="E220" s="6">
        <f t="shared" si="4"/>
        <v>2.7</v>
      </c>
    </row>
    <row r="221">
      <c r="A221" s="4" t="s">
        <v>5177</v>
      </c>
      <c r="B221" s="6" t="str">
        <f t="shared" si="1"/>
        <v>1069.24</v>
      </c>
      <c r="C221" s="6" t="str">
        <f t="shared" si="2"/>
        <v>1069,24</v>
      </c>
      <c r="D221" s="6">
        <f t="shared" si="3"/>
        <v>1069.24</v>
      </c>
      <c r="E221" s="6">
        <f t="shared" si="4"/>
        <v>9.61</v>
      </c>
    </row>
    <row r="222">
      <c r="A222" s="4" t="s">
        <v>5178</v>
      </c>
      <c r="B222" s="6" t="str">
        <f t="shared" si="1"/>
        <v>1071.47</v>
      </c>
      <c r="C222" s="6" t="str">
        <f t="shared" si="2"/>
        <v>1071,47</v>
      </c>
      <c r="D222" s="6">
        <f t="shared" si="3"/>
        <v>1071.47</v>
      </c>
      <c r="E222" s="6">
        <f t="shared" si="4"/>
        <v>2.23</v>
      </c>
    </row>
    <row r="223">
      <c r="A223" s="4" t="s">
        <v>5179</v>
      </c>
      <c r="B223" s="6" t="str">
        <f t="shared" si="1"/>
        <v>1072.61</v>
      </c>
      <c r="C223" s="6" t="str">
        <f t="shared" si="2"/>
        <v>1072,61</v>
      </c>
      <c r="D223" s="6">
        <f t="shared" si="3"/>
        <v>1072.61</v>
      </c>
      <c r="E223" s="6">
        <f t="shared" si="4"/>
        <v>1.14</v>
      </c>
    </row>
    <row r="224">
      <c r="A224" s="4" t="s">
        <v>5180</v>
      </c>
      <c r="B224" s="6" t="str">
        <f t="shared" si="1"/>
        <v>1084.70</v>
      </c>
      <c r="C224" s="6" t="str">
        <f t="shared" si="2"/>
        <v>1084,70</v>
      </c>
      <c r="D224" s="6">
        <f t="shared" si="3"/>
        <v>1084.7</v>
      </c>
      <c r="E224" s="6">
        <f t="shared" si="4"/>
        <v>12.09</v>
      </c>
    </row>
    <row r="225">
      <c r="A225" s="4" t="s">
        <v>5181</v>
      </c>
      <c r="B225" s="6" t="str">
        <f t="shared" si="1"/>
        <v>1092.25</v>
      </c>
      <c r="C225" s="6" t="str">
        <f t="shared" si="2"/>
        <v>1092,25</v>
      </c>
      <c r="D225" s="6">
        <f t="shared" si="3"/>
        <v>1092.25</v>
      </c>
      <c r="E225" s="6">
        <f t="shared" si="4"/>
        <v>7.55</v>
      </c>
    </row>
    <row r="226">
      <c r="A226" s="4" t="s">
        <v>5182</v>
      </c>
      <c r="B226" s="6" t="str">
        <f t="shared" si="1"/>
        <v>1092.88</v>
      </c>
      <c r="C226" s="6" t="str">
        <f t="shared" si="2"/>
        <v>1092,88</v>
      </c>
      <c r="D226" s="6">
        <f t="shared" si="3"/>
        <v>1092.88</v>
      </c>
      <c r="E226" s="6">
        <f t="shared" si="4"/>
        <v>0.63</v>
      </c>
    </row>
    <row r="227">
      <c r="A227" s="4" t="s">
        <v>5183</v>
      </c>
      <c r="B227" s="6" t="str">
        <f t="shared" si="1"/>
        <v>1094.38</v>
      </c>
      <c r="C227" s="6" t="str">
        <f t="shared" si="2"/>
        <v>1094,38</v>
      </c>
      <c r="D227" s="6">
        <f t="shared" si="3"/>
        <v>1094.38</v>
      </c>
      <c r="E227" s="6">
        <f t="shared" si="4"/>
        <v>1.5</v>
      </c>
    </row>
    <row r="228">
      <c r="A228" s="4" t="s">
        <v>5184</v>
      </c>
      <c r="B228" s="6" t="str">
        <f t="shared" si="1"/>
        <v>1115.14</v>
      </c>
      <c r="C228" s="6" t="str">
        <f t="shared" si="2"/>
        <v>1115,14</v>
      </c>
      <c r="D228" s="6">
        <f t="shared" si="3"/>
        <v>1115.14</v>
      </c>
      <c r="E228" s="6">
        <f t="shared" si="4"/>
        <v>20.76</v>
      </c>
    </row>
    <row r="229">
      <c r="A229" s="4" t="s">
        <v>5185</v>
      </c>
      <c r="B229" s="6" t="str">
        <f t="shared" si="1"/>
        <v>1116.42</v>
      </c>
      <c r="C229" s="6" t="str">
        <f t="shared" si="2"/>
        <v>1116,42</v>
      </c>
      <c r="D229" s="6">
        <f t="shared" si="3"/>
        <v>1116.42</v>
      </c>
      <c r="E229" s="6">
        <f t="shared" si="4"/>
        <v>1.28</v>
      </c>
    </row>
    <row r="230">
      <c r="A230" s="4" t="s">
        <v>5186</v>
      </c>
      <c r="B230" s="6" t="str">
        <f t="shared" si="1"/>
        <v>1118.33</v>
      </c>
      <c r="C230" s="6" t="str">
        <f t="shared" si="2"/>
        <v>1118,33</v>
      </c>
      <c r="D230" s="6">
        <f t="shared" si="3"/>
        <v>1118.33</v>
      </c>
      <c r="E230" s="6">
        <f t="shared" si="4"/>
        <v>1.91</v>
      </c>
    </row>
    <row r="231">
      <c r="A231" s="4" t="s">
        <v>5187</v>
      </c>
      <c r="B231" s="6" t="str">
        <f t="shared" si="1"/>
        <v>1119.73</v>
      </c>
      <c r="C231" s="6" t="str">
        <f t="shared" si="2"/>
        <v>1119,73</v>
      </c>
      <c r="D231" s="6">
        <f t="shared" si="3"/>
        <v>1119.73</v>
      </c>
      <c r="E231" s="6">
        <f t="shared" si="4"/>
        <v>1.4</v>
      </c>
    </row>
    <row r="232">
      <c r="A232" s="4" t="s">
        <v>5188</v>
      </c>
      <c r="B232" s="6" t="str">
        <f t="shared" si="1"/>
        <v>1122.08</v>
      </c>
      <c r="C232" s="6" t="str">
        <f t="shared" si="2"/>
        <v>1122,08</v>
      </c>
      <c r="D232" s="6">
        <f t="shared" si="3"/>
        <v>1122.08</v>
      </c>
      <c r="E232" s="6">
        <f t="shared" si="4"/>
        <v>2.35</v>
      </c>
    </row>
    <row r="233">
      <c r="A233" s="4" t="s">
        <v>5189</v>
      </c>
      <c r="B233" s="6" t="str">
        <f t="shared" si="1"/>
        <v>1124.16</v>
      </c>
      <c r="C233" s="6" t="str">
        <f t="shared" si="2"/>
        <v>1124,16</v>
      </c>
      <c r="D233" s="6">
        <f t="shared" si="3"/>
        <v>1124.16</v>
      </c>
      <c r="E233" s="6">
        <f t="shared" si="4"/>
        <v>2.08</v>
      </c>
    </row>
    <row r="234">
      <c r="A234" s="4" t="s">
        <v>5190</v>
      </c>
      <c r="B234" s="6" t="str">
        <f t="shared" si="1"/>
        <v>1126.03</v>
      </c>
      <c r="C234" s="6" t="str">
        <f t="shared" si="2"/>
        <v>1126,03</v>
      </c>
      <c r="D234" s="6">
        <f t="shared" si="3"/>
        <v>1126.03</v>
      </c>
      <c r="E234" s="6">
        <f t="shared" si="4"/>
        <v>1.87</v>
      </c>
    </row>
    <row r="235">
      <c r="A235" s="4" t="s">
        <v>5191</v>
      </c>
      <c r="B235" s="6" t="str">
        <f t="shared" si="1"/>
        <v>1130.28</v>
      </c>
      <c r="C235" s="6" t="str">
        <f t="shared" si="2"/>
        <v>1130,28</v>
      </c>
      <c r="D235" s="6">
        <f t="shared" si="3"/>
        <v>1130.28</v>
      </c>
      <c r="E235" s="6">
        <f t="shared" si="4"/>
        <v>4.25</v>
      </c>
    </row>
    <row r="236">
      <c r="A236" s="4" t="s">
        <v>5192</v>
      </c>
      <c r="B236" s="6" t="str">
        <f t="shared" si="1"/>
        <v>1137.75</v>
      </c>
      <c r="C236" s="6" t="str">
        <f t="shared" si="2"/>
        <v>1137,75</v>
      </c>
      <c r="D236" s="6">
        <f t="shared" si="3"/>
        <v>1137.75</v>
      </c>
      <c r="E236" s="6">
        <f t="shared" si="4"/>
        <v>7.47</v>
      </c>
    </row>
    <row r="237">
      <c r="A237" s="4" t="s">
        <v>5193</v>
      </c>
      <c r="B237" s="6" t="str">
        <f t="shared" si="1"/>
        <v>1138.44</v>
      </c>
      <c r="C237" s="6" t="str">
        <f t="shared" si="2"/>
        <v>1138,44</v>
      </c>
      <c r="D237" s="6">
        <f t="shared" si="3"/>
        <v>1138.44</v>
      </c>
      <c r="E237" s="6">
        <f t="shared" si="4"/>
        <v>0.69</v>
      </c>
    </row>
    <row r="238">
      <c r="A238" s="4" t="s">
        <v>5194</v>
      </c>
      <c r="B238" s="6" t="str">
        <f t="shared" si="1"/>
        <v>1166.04</v>
      </c>
      <c r="C238" s="6" t="str">
        <f t="shared" si="2"/>
        <v>1166,04</v>
      </c>
      <c r="D238" s="6">
        <f t="shared" si="3"/>
        <v>1166.04</v>
      </c>
      <c r="E238" s="6">
        <f t="shared" si="4"/>
        <v>27.6</v>
      </c>
    </row>
    <row r="239">
      <c r="A239" s="4" t="s">
        <v>5195</v>
      </c>
      <c r="B239" s="6" t="str">
        <f t="shared" si="1"/>
        <v>1166.71</v>
      </c>
      <c r="C239" s="6" t="str">
        <f t="shared" si="2"/>
        <v>1166,71</v>
      </c>
      <c r="D239" s="6">
        <f t="shared" si="3"/>
        <v>1166.71</v>
      </c>
      <c r="E239" s="6">
        <f t="shared" si="4"/>
        <v>0.67</v>
      </c>
    </row>
    <row r="240">
      <c r="A240" s="4" t="s">
        <v>5196</v>
      </c>
      <c r="B240" s="6" t="str">
        <f t="shared" si="1"/>
        <v>1171.03</v>
      </c>
      <c r="C240" s="6" t="str">
        <f t="shared" si="2"/>
        <v>1171,03</v>
      </c>
      <c r="D240" s="6">
        <f t="shared" si="3"/>
        <v>1171.03</v>
      </c>
      <c r="E240" s="6">
        <f t="shared" si="4"/>
        <v>4.32</v>
      </c>
    </row>
    <row r="241">
      <c r="A241" s="4" t="s">
        <v>5197</v>
      </c>
      <c r="B241" s="6" t="str">
        <f t="shared" si="1"/>
        <v>1171.80</v>
      </c>
      <c r="C241" s="6" t="str">
        <f t="shared" si="2"/>
        <v>1171,80</v>
      </c>
      <c r="D241" s="6">
        <f t="shared" si="3"/>
        <v>1171.8</v>
      </c>
      <c r="E241" s="6">
        <f t="shared" si="4"/>
        <v>0.77</v>
      </c>
    </row>
    <row r="242">
      <c r="A242" s="4" t="s">
        <v>5198</v>
      </c>
      <c r="B242" s="6" t="str">
        <f t="shared" si="1"/>
        <v>1173.92</v>
      </c>
      <c r="C242" s="6" t="str">
        <f t="shared" si="2"/>
        <v>1173,92</v>
      </c>
      <c r="D242" s="6">
        <f t="shared" si="3"/>
        <v>1173.92</v>
      </c>
      <c r="E242" s="6">
        <f t="shared" si="4"/>
        <v>2.12</v>
      </c>
    </row>
    <row r="243">
      <c r="A243" s="4" t="s">
        <v>5199</v>
      </c>
      <c r="B243" s="6" t="str">
        <f t="shared" si="1"/>
        <v>1174.74</v>
      </c>
      <c r="C243" s="6" t="str">
        <f t="shared" si="2"/>
        <v>1174,74</v>
      </c>
      <c r="D243" s="6">
        <f t="shared" si="3"/>
        <v>1174.74</v>
      </c>
      <c r="E243" s="6">
        <f t="shared" si="4"/>
        <v>0.82</v>
      </c>
    </row>
    <row r="244">
      <c r="A244" s="4" t="s">
        <v>5200</v>
      </c>
      <c r="B244" s="6" t="str">
        <f t="shared" si="1"/>
        <v>1183.75</v>
      </c>
      <c r="C244" s="6" t="str">
        <f t="shared" si="2"/>
        <v>1183,75</v>
      </c>
      <c r="D244" s="6">
        <f t="shared" si="3"/>
        <v>1183.75</v>
      </c>
      <c r="E244" s="6">
        <f t="shared" si="4"/>
        <v>9.01</v>
      </c>
    </row>
    <row r="245">
      <c r="A245" s="4" t="s">
        <v>5201</v>
      </c>
      <c r="B245" s="6" t="str">
        <f t="shared" si="1"/>
        <v>1186.54</v>
      </c>
      <c r="C245" s="6" t="str">
        <f t="shared" si="2"/>
        <v>1186,54</v>
      </c>
      <c r="D245" s="6">
        <f t="shared" si="3"/>
        <v>1186.54</v>
      </c>
      <c r="E245" s="6">
        <f t="shared" si="4"/>
        <v>2.79</v>
      </c>
    </row>
    <row r="246">
      <c r="A246" s="4" t="s">
        <v>5202</v>
      </c>
      <c r="B246" s="6" t="str">
        <f t="shared" si="1"/>
        <v>1199.04</v>
      </c>
      <c r="C246" s="6" t="str">
        <f t="shared" si="2"/>
        <v>1199,04</v>
      </c>
      <c r="D246" s="6">
        <f t="shared" si="3"/>
        <v>1199.04</v>
      </c>
      <c r="E246" s="6">
        <f t="shared" si="4"/>
        <v>12.5</v>
      </c>
    </row>
    <row r="247">
      <c r="A247" s="4" t="s">
        <v>5203</v>
      </c>
      <c r="B247" s="6" t="str">
        <f t="shared" si="1"/>
        <v>1199.76</v>
      </c>
      <c r="C247" s="6" t="str">
        <f t="shared" si="2"/>
        <v>1199,76</v>
      </c>
      <c r="D247" s="6">
        <f t="shared" si="3"/>
        <v>1199.76</v>
      </c>
      <c r="E247" s="6">
        <f t="shared" si="4"/>
        <v>0.72</v>
      </c>
    </row>
    <row r="248">
      <c r="A248" s="4" t="s">
        <v>5204</v>
      </c>
      <c r="B248" s="6" t="str">
        <f t="shared" si="1"/>
        <v>1209.14</v>
      </c>
      <c r="C248" s="6" t="str">
        <f t="shared" si="2"/>
        <v>1209,14</v>
      </c>
      <c r="D248" s="6">
        <f t="shared" si="3"/>
        <v>1209.14</v>
      </c>
      <c r="E248" s="6">
        <f t="shared" si="4"/>
        <v>9.38</v>
      </c>
    </row>
    <row r="249">
      <c r="A249" s="4" t="s">
        <v>5205</v>
      </c>
      <c r="B249" s="6" t="str">
        <f t="shared" si="1"/>
        <v>1209.78</v>
      </c>
      <c r="C249" s="6" t="str">
        <f t="shared" si="2"/>
        <v>1209,78</v>
      </c>
      <c r="D249" s="6">
        <f t="shared" si="3"/>
        <v>1209.78</v>
      </c>
      <c r="E249" s="6">
        <f t="shared" si="4"/>
        <v>0.64</v>
      </c>
    </row>
    <row r="250">
      <c r="A250" s="4" t="s">
        <v>5206</v>
      </c>
      <c r="B250" s="6" t="str">
        <f t="shared" si="1"/>
        <v>1210.38</v>
      </c>
      <c r="C250" s="6" t="str">
        <f t="shared" si="2"/>
        <v>1210,38</v>
      </c>
      <c r="D250" s="6">
        <f t="shared" si="3"/>
        <v>1210.38</v>
      </c>
      <c r="E250" s="6">
        <f t="shared" si="4"/>
        <v>0.6</v>
      </c>
    </row>
    <row r="251">
      <c r="A251" s="4" t="s">
        <v>5207</v>
      </c>
      <c r="B251" s="6" t="str">
        <f t="shared" si="1"/>
        <v>1211.11</v>
      </c>
      <c r="C251" s="6" t="str">
        <f t="shared" si="2"/>
        <v>1211,11</v>
      </c>
      <c r="D251" s="6">
        <f t="shared" si="3"/>
        <v>1211.11</v>
      </c>
      <c r="E251" s="6">
        <f t="shared" si="4"/>
        <v>0.73</v>
      </c>
    </row>
    <row r="252">
      <c r="A252" s="4" t="s">
        <v>5208</v>
      </c>
      <c r="B252" s="6" t="str">
        <f t="shared" si="1"/>
        <v>1211.75</v>
      </c>
      <c r="C252" s="6" t="str">
        <f t="shared" si="2"/>
        <v>1211,75</v>
      </c>
      <c r="D252" s="6">
        <f t="shared" si="3"/>
        <v>1211.75</v>
      </c>
      <c r="E252" s="6">
        <f t="shared" si="4"/>
        <v>0.64</v>
      </c>
    </row>
    <row r="253">
      <c r="A253" s="4" t="s">
        <v>5209</v>
      </c>
      <c r="B253" s="6" t="str">
        <f t="shared" si="1"/>
        <v>1212.41</v>
      </c>
      <c r="C253" s="6" t="str">
        <f t="shared" si="2"/>
        <v>1212,41</v>
      </c>
      <c r="D253" s="6">
        <f t="shared" si="3"/>
        <v>1212.41</v>
      </c>
      <c r="E253" s="6">
        <f t="shared" si="4"/>
        <v>0.66</v>
      </c>
    </row>
    <row r="254">
      <c r="A254" s="4" t="s">
        <v>5210</v>
      </c>
      <c r="B254" s="6" t="str">
        <f t="shared" si="1"/>
        <v>1213.04</v>
      </c>
      <c r="C254" s="6" t="str">
        <f t="shared" si="2"/>
        <v>1213,04</v>
      </c>
      <c r="D254" s="6">
        <f t="shared" si="3"/>
        <v>1213.04</v>
      </c>
      <c r="E254" s="6">
        <f t="shared" si="4"/>
        <v>0.63</v>
      </c>
    </row>
    <row r="255">
      <c r="A255" s="4" t="s">
        <v>5211</v>
      </c>
      <c r="B255" s="6" t="str">
        <f t="shared" si="1"/>
        <v>1213.66</v>
      </c>
      <c r="C255" s="6" t="str">
        <f t="shared" si="2"/>
        <v>1213,66</v>
      </c>
      <c r="D255" s="6">
        <f t="shared" si="3"/>
        <v>1213.66</v>
      </c>
      <c r="E255" s="6">
        <f t="shared" si="4"/>
        <v>0.62</v>
      </c>
    </row>
    <row r="256">
      <c r="A256" s="4" t="s">
        <v>5212</v>
      </c>
      <c r="B256" s="6" t="str">
        <f t="shared" si="1"/>
        <v>1214.45</v>
      </c>
      <c r="C256" s="6" t="str">
        <f t="shared" si="2"/>
        <v>1214,45</v>
      </c>
      <c r="D256" s="6">
        <f t="shared" si="3"/>
        <v>1214.45</v>
      </c>
      <c r="E256" s="6">
        <f t="shared" si="4"/>
        <v>0.79</v>
      </c>
    </row>
    <row r="257">
      <c r="A257" s="4" t="s">
        <v>5213</v>
      </c>
      <c r="B257" s="6" t="str">
        <f t="shared" si="1"/>
        <v>1218.75</v>
      </c>
      <c r="C257" s="6" t="str">
        <f t="shared" si="2"/>
        <v>1218,75</v>
      </c>
      <c r="D257" s="6">
        <f t="shared" si="3"/>
        <v>1218.75</v>
      </c>
      <c r="E257" s="6">
        <f t="shared" si="4"/>
        <v>4.3</v>
      </c>
    </row>
    <row r="258">
      <c r="A258" s="4" t="s">
        <v>5214</v>
      </c>
      <c r="B258" s="6" t="str">
        <f t="shared" si="1"/>
        <v>1224.73</v>
      </c>
      <c r="C258" s="6" t="str">
        <f t="shared" si="2"/>
        <v>1224,73</v>
      </c>
      <c r="D258" s="6">
        <f t="shared" si="3"/>
        <v>1224.73</v>
      </c>
      <c r="E258" s="6">
        <f t="shared" si="4"/>
        <v>5.98</v>
      </c>
    </row>
    <row r="259">
      <c r="A259" s="4" t="s">
        <v>5215</v>
      </c>
      <c r="B259" s="6" t="str">
        <f t="shared" si="1"/>
        <v>1225.23</v>
      </c>
      <c r="C259" s="6" t="str">
        <f t="shared" si="2"/>
        <v>1225,23</v>
      </c>
      <c r="D259" s="6">
        <f t="shared" si="3"/>
        <v>1225.23</v>
      </c>
      <c r="E259" s="6">
        <f t="shared" si="4"/>
        <v>0.5</v>
      </c>
    </row>
    <row r="260">
      <c r="A260" s="4" t="s">
        <v>5216</v>
      </c>
      <c r="B260" s="6" t="str">
        <f t="shared" si="1"/>
        <v>1239.68</v>
      </c>
      <c r="C260" s="6" t="str">
        <f t="shared" si="2"/>
        <v>1239,68</v>
      </c>
      <c r="D260" s="6">
        <f t="shared" si="3"/>
        <v>1239.68</v>
      </c>
      <c r="E260" s="6">
        <f t="shared" si="4"/>
        <v>14.45</v>
      </c>
    </row>
    <row r="261">
      <c r="A261" s="4" t="s">
        <v>5217</v>
      </c>
      <c r="B261" s="6" t="str">
        <f t="shared" si="1"/>
        <v>1245.44</v>
      </c>
      <c r="C261" s="6" t="str">
        <f t="shared" si="2"/>
        <v>1245,44</v>
      </c>
      <c r="D261" s="6">
        <f t="shared" si="3"/>
        <v>1245.44</v>
      </c>
      <c r="E261" s="6">
        <f t="shared" si="4"/>
        <v>5.76</v>
      </c>
    </row>
    <row r="262">
      <c r="A262" s="4" t="s">
        <v>5218</v>
      </c>
      <c r="B262" s="6" t="str">
        <f t="shared" si="1"/>
        <v>1258.70</v>
      </c>
      <c r="C262" s="6" t="str">
        <f t="shared" si="2"/>
        <v>1258,70</v>
      </c>
      <c r="D262" s="6">
        <f t="shared" si="3"/>
        <v>1258.7</v>
      </c>
      <c r="E262" s="6">
        <f t="shared" si="4"/>
        <v>13.26</v>
      </c>
    </row>
    <row r="263">
      <c r="A263" s="4" t="s">
        <v>5219</v>
      </c>
      <c r="B263" s="6" t="str">
        <f t="shared" si="1"/>
        <v>1270.30</v>
      </c>
      <c r="C263" s="6" t="str">
        <f t="shared" si="2"/>
        <v>1270,30</v>
      </c>
      <c r="D263" s="6">
        <f t="shared" si="3"/>
        <v>1270.3</v>
      </c>
      <c r="E263" s="6">
        <f t="shared" si="4"/>
        <v>11.6</v>
      </c>
    </row>
    <row r="264">
      <c r="A264" s="4" t="s">
        <v>5220</v>
      </c>
      <c r="B264" s="6" t="str">
        <f t="shared" si="1"/>
        <v>1275.49</v>
      </c>
      <c r="C264" s="6" t="str">
        <f t="shared" si="2"/>
        <v>1275,49</v>
      </c>
      <c r="D264" s="6">
        <f t="shared" si="3"/>
        <v>1275.49</v>
      </c>
      <c r="E264" s="6">
        <f t="shared" si="4"/>
        <v>5.19</v>
      </c>
    </row>
    <row r="265">
      <c r="A265" s="4" t="s">
        <v>5221</v>
      </c>
      <c r="B265" s="6" t="str">
        <f t="shared" si="1"/>
        <v>1278.09</v>
      </c>
      <c r="C265" s="6" t="str">
        <f t="shared" si="2"/>
        <v>1278,09</v>
      </c>
      <c r="D265" s="6">
        <f t="shared" si="3"/>
        <v>1278.09</v>
      </c>
      <c r="E265" s="6">
        <f t="shared" si="4"/>
        <v>2.6</v>
      </c>
    </row>
    <row r="266">
      <c r="A266" s="4" t="s">
        <v>5222</v>
      </c>
      <c r="B266" s="6" t="str">
        <f t="shared" si="1"/>
        <v>1283.83</v>
      </c>
      <c r="C266" s="6" t="str">
        <f t="shared" si="2"/>
        <v>1283,83</v>
      </c>
      <c r="D266" s="6">
        <f t="shared" si="3"/>
        <v>1283.83</v>
      </c>
      <c r="E266" s="6">
        <f t="shared" si="4"/>
        <v>5.74</v>
      </c>
    </row>
    <row r="267">
      <c r="A267" s="4" t="s">
        <v>5223</v>
      </c>
      <c r="B267" s="6" t="str">
        <f t="shared" si="1"/>
        <v>1288.78</v>
      </c>
      <c r="C267" s="6" t="str">
        <f t="shared" si="2"/>
        <v>1288,78</v>
      </c>
      <c r="D267" s="6">
        <f t="shared" si="3"/>
        <v>1288.78</v>
      </c>
      <c r="E267" s="6">
        <f t="shared" si="4"/>
        <v>4.95</v>
      </c>
    </row>
    <row r="268">
      <c r="A268" s="4" t="s">
        <v>5224</v>
      </c>
      <c r="B268" s="6" t="str">
        <f t="shared" si="1"/>
        <v>1289.46</v>
      </c>
      <c r="C268" s="6" t="str">
        <f t="shared" si="2"/>
        <v>1289,46</v>
      </c>
      <c r="D268" s="6">
        <f t="shared" si="3"/>
        <v>1289.46</v>
      </c>
      <c r="E268" s="6">
        <f t="shared" si="4"/>
        <v>0.68</v>
      </c>
    </row>
    <row r="269">
      <c r="A269" s="4" t="s">
        <v>5225</v>
      </c>
      <c r="B269" s="6" t="str">
        <f t="shared" si="1"/>
        <v>1291.62</v>
      </c>
      <c r="C269" s="6" t="str">
        <f t="shared" si="2"/>
        <v>1291,62</v>
      </c>
      <c r="D269" s="6">
        <f t="shared" si="3"/>
        <v>1291.62</v>
      </c>
      <c r="E269" s="6">
        <f t="shared" si="4"/>
        <v>2.16</v>
      </c>
    </row>
    <row r="270">
      <c r="A270" s="4" t="s">
        <v>5226</v>
      </c>
      <c r="B270" s="6" t="str">
        <f t="shared" si="1"/>
        <v>1292.24</v>
      </c>
      <c r="C270" s="6" t="str">
        <f t="shared" si="2"/>
        <v>1292,24</v>
      </c>
      <c r="D270" s="6">
        <f t="shared" si="3"/>
        <v>1292.24</v>
      </c>
      <c r="E270" s="6">
        <f t="shared" si="4"/>
        <v>0.62</v>
      </c>
    </row>
    <row r="271">
      <c r="A271" s="4" t="s">
        <v>5227</v>
      </c>
      <c r="B271" s="6" t="str">
        <f t="shared" si="1"/>
        <v>1292.88</v>
      </c>
      <c r="C271" s="6" t="str">
        <f t="shared" si="2"/>
        <v>1292,88</v>
      </c>
      <c r="D271" s="6">
        <f t="shared" si="3"/>
        <v>1292.88</v>
      </c>
      <c r="E271" s="6">
        <f t="shared" si="4"/>
        <v>0.64</v>
      </c>
    </row>
    <row r="272">
      <c r="A272" s="4" t="s">
        <v>5228</v>
      </c>
      <c r="B272" s="6" t="str">
        <f t="shared" si="1"/>
        <v>1293.61</v>
      </c>
      <c r="C272" s="6" t="str">
        <f t="shared" si="2"/>
        <v>1293,61</v>
      </c>
      <c r="D272" s="6">
        <f t="shared" si="3"/>
        <v>1293.61</v>
      </c>
      <c r="E272" s="6">
        <f t="shared" si="4"/>
        <v>0.73</v>
      </c>
    </row>
    <row r="273">
      <c r="A273" s="4" t="s">
        <v>5229</v>
      </c>
      <c r="B273" s="6" t="str">
        <f t="shared" si="1"/>
        <v>1297.44</v>
      </c>
      <c r="C273" s="6" t="str">
        <f t="shared" si="2"/>
        <v>1297,44</v>
      </c>
      <c r="D273" s="6">
        <f t="shared" si="3"/>
        <v>1297.44</v>
      </c>
      <c r="E273" s="6">
        <f t="shared" si="4"/>
        <v>3.83</v>
      </c>
    </row>
    <row r="274">
      <c r="A274" s="4" t="s">
        <v>5230</v>
      </c>
      <c r="B274" s="6" t="str">
        <f t="shared" si="1"/>
        <v>1304.88</v>
      </c>
      <c r="C274" s="6" t="str">
        <f t="shared" si="2"/>
        <v>1304,88</v>
      </c>
      <c r="D274" s="6">
        <f t="shared" si="3"/>
        <v>1304.88</v>
      </c>
      <c r="E274" s="6">
        <f t="shared" si="4"/>
        <v>7.44</v>
      </c>
    </row>
    <row r="275">
      <c r="A275" s="4" t="s">
        <v>5231</v>
      </c>
      <c r="B275" s="6" t="str">
        <f t="shared" si="1"/>
        <v>1305.67</v>
      </c>
      <c r="C275" s="6" t="str">
        <f t="shared" si="2"/>
        <v>1305,67</v>
      </c>
      <c r="D275" s="6">
        <f t="shared" si="3"/>
        <v>1305.67</v>
      </c>
      <c r="E275" s="6">
        <f t="shared" si="4"/>
        <v>0.79</v>
      </c>
    </row>
    <row r="276">
      <c r="A276" s="4" t="s">
        <v>5232</v>
      </c>
      <c r="B276" s="6" t="str">
        <f t="shared" si="1"/>
        <v>1306.36</v>
      </c>
      <c r="C276" s="6" t="str">
        <f t="shared" si="2"/>
        <v>1306,36</v>
      </c>
      <c r="D276" s="6">
        <f t="shared" si="3"/>
        <v>1306.36</v>
      </c>
      <c r="E276" s="6">
        <f t="shared" si="4"/>
        <v>0.69</v>
      </c>
    </row>
    <row r="277">
      <c r="A277" s="4" t="s">
        <v>5233</v>
      </c>
      <c r="B277" s="6" t="str">
        <f t="shared" si="1"/>
        <v>1307.73</v>
      </c>
      <c r="C277" s="6" t="str">
        <f t="shared" si="2"/>
        <v>1307,73</v>
      </c>
      <c r="D277" s="6">
        <f t="shared" si="3"/>
        <v>1307.73</v>
      </c>
      <c r="E277" s="6">
        <f t="shared" si="4"/>
        <v>1.37</v>
      </c>
    </row>
    <row r="278">
      <c r="A278" s="4" t="s">
        <v>5234</v>
      </c>
      <c r="B278" s="6" t="str">
        <f t="shared" si="1"/>
        <v>1311.11</v>
      </c>
      <c r="C278" s="6" t="str">
        <f t="shared" si="2"/>
        <v>1311,11</v>
      </c>
      <c r="D278" s="6">
        <f t="shared" si="3"/>
        <v>1311.11</v>
      </c>
      <c r="E278" s="6">
        <f t="shared" si="4"/>
        <v>3.38</v>
      </c>
    </row>
    <row r="279">
      <c r="A279" s="4" t="s">
        <v>5235</v>
      </c>
      <c r="B279" s="6" t="str">
        <f t="shared" si="1"/>
        <v>1319.46</v>
      </c>
      <c r="C279" s="6" t="str">
        <f t="shared" si="2"/>
        <v>1319,46</v>
      </c>
      <c r="D279" s="6">
        <f t="shared" si="3"/>
        <v>1319.46</v>
      </c>
      <c r="E279" s="6">
        <f t="shared" si="4"/>
        <v>8.35</v>
      </c>
    </row>
    <row r="280">
      <c r="A280" s="4" t="s">
        <v>5236</v>
      </c>
      <c r="B280" s="6" t="str">
        <f t="shared" si="1"/>
        <v>1327.34</v>
      </c>
      <c r="C280" s="6" t="str">
        <f t="shared" si="2"/>
        <v>1327,34</v>
      </c>
      <c r="D280" s="6">
        <f t="shared" si="3"/>
        <v>1327.34</v>
      </c>
      <c r="E280" s="6">
        <f t="shared" si="4"/>
        <v>7.88</v>
      </c>
    </row>
    <row r="281">
      <c r="A281" s="4" t="s">
        <v>5237</v>
      </c>
      <c r="B281" s="6" t="str">
        <f t="shared" si="1"/>
        <v>1339.40</v>
      </c>
      <c r="C281" s="6" t="str">
        <f t="shared" si="2"/>
        <v>1339,40</v>
      </c>
      <c r="D281" s="6">
        <f t="shared" si="3"/>
        <v>1339.4</v>
      </c>
      <c r="E281" s="6">
        <f t="shared" si="4"/>
        <v>12.06</v>
      </c>
    </row>
    <row r="282">
      <c r="A282" s="4" t="s">
        <v>5238</v>
      </c>
      <c r="B282" s="6" t="str">
        <f t="shared" si="1"/>
        <v>1344.57</v>
      </c>
      <c r="C282" s="6" t="str">
        <f t="shared" si="2"/>
        <v>1344,57</v>
      </c>
      <c r="D282" s="6">
        <f t="shared" si="3"/>
        <v>1344.57</v>
      </c>
      <c r="E282" s="6">
        <f t="shared" si="4"/>
        <v>5.17</v>
      </c>
    </row>
    <row r="283">
      <c r="A283" s="4" t="s">
        <v>5239</v>
      </c>
      <c r="B283" s="6" t="str">
        <f t="shared" si="1"/>
        <v>1345.17</v>
      </c>
      <c r="C283" s="6" t="str">
        <f t="shared" si="2"/>
        <v>1345,17</v>
      </c>
      <c r="D283" s="6">
        <f t="shared" si="3"/>
        <v>1345.17</v>
      </c>
      <c r="E283" s="6">
        <f t="shared" si="4"/>
        <v>0.6</v>
      </c>
    </row>
    <row r="284">
      <c r="A284" s="4" t="s">
        <v>5240</v>
      </c>
      <c r="B284" s="6" t="str">
        <f t="shared" si="1"/>
        <v>1354.83</v>
      </c>
      <c r="C284" s="6" t="str">
        <f t="shared" si="2"/>
        <v>1354,83</v>
      </c>
      <c r="D284" s="6">
        <f t="shared" si="3"/>
        <v>1354.83</v>
      </c>
      <c r="E284" s="6">
        <f t="shared" si="4"/>
        <v>9.66</v>
      </c>
    </row>
    <row r="285">
      <c r="A285" s="4" t="s">
        <v>5241</v>
      </c>
      <c r="B285" s="6" t="str">
        <f t="shared" si="1"/>
        <v>1357.27</v>
      </c>
      <c r="C285" s="6" t="str">
        <f t="shared" si="2"/>
        <v>1357,27</v>
      </c>
      <c r="D285" s="6">
        <f t="shared" si="3"/>
        <v>1357.27</v>
      </c>
      <c r="E285" s="6">
        <f t="shared" si="4"/>
        <v>2.44</v>
      </c>
    </row>
    <row r="286">
      <c r="A286" s="4" t="s">
        <v>5242</v>
      </c>
      <c r="B286" s="6" t="str">
        <f t="shared" si="1"/>
        <v>1358.18</v>
      </c>
      <c r="C286" s="6" t="str">
        <f t="shared" si="2"/>
        <v>1358,18</v>
      </c>
      <c r="D286" s="6">
        <f t="shared" si="3"/>
        <v>1358.18</v>
      </c>
      <c r="E286" s="6">
        <f t="shared" si="4"/>
        <v>0.91</v>
      </c>
    </row>
    <row r="287">
      <c r="A287" s="4" t="s">
        <v>5243</v>
      </c>
      <c r="B287" s="6" t="str">
        <f t="shared" si="1"/>
        <v>1358.84</v>
      </c>
      <c r="C287" s="6" t="str">
        <f t="shared" si="2"/>
        <v>1358,84</v>
      </c>
      <c r="D287" s="6">
        <f t="shared" si="3"/>
        <v>1358.84</v>
      </c>
      <c r="E287" s="6">
        <f t="shared" si="4"/>
        <v>0.66</v>
      </c>
    </row>
    <row r="288">
      <c r="A288" s="4" t="s">
        <v>5244</v>
      </c>
      <c r="B288" s="6" t="str">
        <f t="shared" si="1"/>
        <v>1362.61</v>
      </c>
      <c r="C288" s="6" t="str">
        <f t="shared" si="2"/>
        <v>1362,61</v>
      </c>
      <c r="D288" s="6">
        <f t="shared" si="3"/>
        <v>1362.61</v>
      </c>
      <c r="E288" s="6">
        <f t="shared" si="4"/>
        <v>3.77</v>
      </c>
    </row>
    <row r="289">
      <c r="A289" s="4" t="s">
        <v>5245</v>
      </c>
      <c r="B289" s="6" t="str">
        <f t="shared" si="1"/>
        <v>1363.22</v>
      </c>
      <c r="C289" s="6" t="str">
        <f t="shared" si="2"/>
        <v>1363,22</v>
      </c>
      <c r="D289" s="6">
        <f t="shared" si="3"/>
        <v>1363.22</v>
      </c>
      <c r="E289" s="6">
        <f t="shared" si="4"/>
        <v>0.61</v>
      </c>
    </row>
    <row r="290">
      <c r="A290" s="4" t="s">
        <v>5246</v>
      </c>
      <c r="B290" s="6" t="str">
        <f t="shared" si="1"/>
        <v>1369.60</v>
      </c>
      <c r="C290" s="6" t="str">
        <f t="shared" si="2"/>
        <v>1369,60</v>
      </c>
      <c r="D290" s="6">
        <f t="shared" si="3"/>
        <v>1369.6</v>
      </c>
      <c r="E290" s="6">
        <f t="shared" si="4"/>
        <v>6.38</v>
      </c>
    </row>
    <row r="291">
      <c r="A291" s="4" t="s">
        <v>5247</v>
      </c>
      <c r="B291" s="6" t="str">
        <f t="shared" si="1"/>
        <v>1371.14</v>
      </c>
      <c r="C291" s="6" t="str">
        <f t="shared" si="2"/>
        <v>1371,14</v>
      </c>
      <c r="D291" s="6">
        <f t="shared" si="3"/>
        <v>1371.14</v>
      </c>
      <c r="E291" s="6">
        <f t="shared" si="4"/>
        <v>1.54</v>
      </c>
    </row>
    <row r="292">
      <c r="A292" s="4" t="s">
        <v>5248</v>
      </c>
      <c r="B292" s="6" t="str">
        <f t="shared" si="1"/>
        <v>1382.73</v>
      </c>
      <c r="C292" s="6" t="str">
        <f t="shared" si="2"/>
        <v>1382,73</v>
      </c>
      <c r="D292" s="6">
        <f t="shared" si="3"/>
        <v>1382.73</v>
      </c>
      <c r="E292" s="6">
        <f t="shared" si="4"/>
        <v>11.59</v>
      </c>
    </row>
    <row r="293">
      <c r="A293" s="4" t="s">
        <v>5249</v>
      </c>
      <c r="B293" s="6" t="str">
        <f t="shared" si="1"/>
        <v>1390.53</v>
      </c>
      <c r="C293" s="6" t="str">
        <f t="shared" si="2"/>
        <v>1390,53</v>
      </c>
      <c r="D293" s="6">
        <f t="shared" si="3"/>
        <v>1390.53</v>
      </c>
      <c r="E293" s="6">
        <f t="shared" si="4"/>
        <v>7.8</v>
      </c>
    </row>
    <row r="294">
      <c r="A294" s="4" t="s">
        <v>5250</v>
      </c>
      <c r="B294" s="6" t="str">
        <f t="shared" si="1"/>
        <v>1393.70</v>
      </c>
      <c r="C294" s="6" t="str">
        <f t="shared" si="2"/>
        <v>1393,70</v>
      </c>
      <c r="D294" s="6">
        <f t="shared" si="3"/>
        <v>1393.7</v>
      </c>
      <c r="E294" s="6">
        <f t="shared" si="4"/>
        <v>3.17</v>
      </c>
    </row>
    <row r="295">
      <c r="A295" s="4" t="s">
        <v>5251</v>
      </c>
      <c r="B295" s="6" t="str">
        <f t="shared" si="1"/>
        <v>1396.94</v>
      </c>
      <c r="C295" s="6" t="str">
        <f t="shared" si="2"/>
        <v>1396,94</v>
      </c>
      <c r="D295" s="6">
        <f t="shared" si="3"/>
        <v>1396.94</v>
      </c>
      <c r="E295" s="6">
        <f t="shared" si="4"/>
        <v>3.24</v>
      </c>
    </row>
    <row r="296">
      <c r="A296" s="4" t="s">
        <v>5252</v>
      </c>
      <c r="B296" s="6" t="str">
        <f t="shared" si="1"/>
        <v>1404.41</v>
      </c>
      <c r="C296" s="6" t="str">
        <f t="shared" si="2"/>
        <v>1404,41</v>
      </c>
      <c r="D296" s="6">
        <f t="shared" si="3"/>
        <v>1404.41</v>
      </c>
      <c r="E296" s="6">
        <f t="shared" si="4"/>
        <v>7.47</v>
      </c>
    </row>
    <row r="297">
      <c r="A297" s="4" t="s">
        <v>5253</v>
      </c>
      <c r="B297" s="6" t="str">
        <f t="shared" si="1"/>
        <v>1405.07</v>
      </c>
      <c r="C297" s="6" t="str">
        <f t="shared" si="2"/>
        <v>1405,07</v>
      </c>
      <c r="D297" s="6">
        <f t="shared" si="3"/>
        <v>1405.07</v>
      </c>
      <c r="E297" s="6">
        <f t="shared" si="4"/>
        <v>0.66</v>
      </c>
    </row>
    <row r="298">
      <c r="A298" s="4" t="s">
        <v>5254</v>
      </c>
      <c r="B298" s="6" t="str">
        <f t="shared" si="1"/>
        <v>1407.00</v>
      </c>
      <c r="C298" s="6" t="str">
        <f t="shared" si="2"/>
        <v>1407,00</v>
      </c>
      <c r="D298" s="6">
        <f t="shared" si="3"/>
        <v>1407</v>
      </c>
      <c r="E298" s="6">
        <f t="shared" si="4"/>
        <v>1.93</v>
      </c>
    </row>
    <row r="299">
      <c r="A299" s="4" t="s">
        <v>5255</v>
      </c>
      <c r="B299" s="6" t="str">
        <f t="shared" si="1"/>
        <v>1408.15</v>
      </c>
      <c r="C299" s="6" t="str">
        <f t="shared" si="2"/>
        <v>1408,15</v>
      </c>
      <c r="D299" s="6">
        <f t="shared" si="3"/>
        <v>1408.15</v>
      </c>
      <c r="E299" s="6">
        <f t="shared" si="4"/>
        <v>1.15</v>
      </c>
    </row>
    <row r="300">
      <c r="A300" s="4" t="s">
        <v>5256</v>
      </c>
      <c r="B300" s="6" t="str">
        <f t="shared" si="1"/>
        <v>1412.92</v>
      </c>
      <c r="C300" s="6" t="str">
        <f t="shared" si="2"/>
        <v>1412,92</v>
      </c>
      <c r="D300" s="6">
        <f t="shared" si="3"/>
        <v>1412.92</v>
      </c>
      <c r="E300" s="6">
        <f t="shared" si="4"/>
        <v>4.77</v>
      </c>
    </row>
    <row r="301">
      <c r="A301" s="4" t="s">
        <v>5257</v>
      </c>
      <c r="B301" s="6" t="str">
        <f t="shared" si="1"/>
        <v>1417.68</v>
      </c>
      <c r="C301" s="6" t="str">
        <f t="shared" si="2"/>
        <v>1417,68</v>
      </c>
      <c r="D301" s="6">
        <f t="shared" si="3"/>
        <v>1417.68</v>
      </c>
      <c r="E301" s="6">
        <f t="shared" si="4"/>
        <v>4.76</v>
      </c>
    </row>
    <row r="302">
      <c r="A302" s="4" t="s">
        <v>5258</v>
      </c>
      <c r="B302" s="6" t="str">
        <f t="shared" si="1"/>
        <v>1420.06</v>
      </c>
      <c r="C302" s="6" t="str">
        <f t="shared" si="2"/>
        <v>1420,06</v>
      </c>
      <c r="D302" s="6">
        <f t="shared" si="3"/>
        <v>1420.06</v>
      </c>
      <c r="E302" s="6">
        <f t="shared" si="4"/>
        <v>2.38</v>
      </c>
    </row>
    <row r="303">
      <c r="A303" s="4" t="s">
        <v>5259</v>
      </c>
      <c r="B303" s="6" t="str">
        <f t="shared" si="1"/>
        <v>1420.82</v>
      </c>
      <c r="C303" s="6" t="str">
        <f t="shared" si="2"/>
        <v>1420,82</v>
      </c>
      <c r="D303" s="6">
        <f t="shared" si="3"/>
        <v>1420.82</v>
      </c>
      <c r="E303" s="6">
        <f t="shared" si="4"/>
        <v>0.76</v>
      </c>
    </row>
    <row r="304">
      <c r="A304" s="4" t="s">
        <v>5260</v>
      </c>
      <c r="B304" s="6" t="str">
        <f t="shared" si="1"/>
        <v>1421.85</v>
      </c>
      <c r="C304" s="6" t="str">
        <f t="shared" si="2"/>
        <v>1421,85</v>
      </c>
      <c r="D304" s="6">
        <f t="shared" si="3"/>
        <v>1421.85</v>
      </c>
      <c r="E304" s="6">
        <f t="shared" si="4"/>
        <v>1.03</v>
      </c>
    </row>
    <row r="305">
      <c r="A305" s="4" t="s">
        <v>5261</v>
      </c>
      <c r="B305" s="6" t="str">
        <f t="shared" si="1"/>
        <v>1426.18</v>
      </c>
      <c r="C305" s="6" t="str">
        <f t="shared" si="2"/>
        <v>1426,18</v>
      </c>
      <c r="D305" s="6">
        <f t="shared" si="3"/>
        <v>1426.18</v>
      </c>
      <c r="E305" s="6">
        <f t="shared" si="4"/>
        <v>4.33</v>
      </c>
    </row>
    <row r="306">
      <c r="A306" s="4" t="s">
        <v>5262</v>
      </c>
      <c r="B306" s="6" t="str">
        <f t="shared" si="1"/>
        <v>1426.95</v>
      </c>
      <c r="C306" s="6" t="str">
        <f t="shared" si="2"/>
        <v>1426,95</v>
      </c>
      <c r="D306" s="6">
        <f t="shared" si="3"/>
        <v>1426.95</v>
      </c>
      <c r="E306" s="6">
        <f t="shared" si="4"/>
        <v>0.77</v>
      </c>
    </row>
    <row r="307">
      <c r="A307" s="4" t="s">
        <v>5263</v>
      </c>
      <c r="B307" s="6" t="str">
        <f t="shared" si="1"/>
        <v>1439.32</v>
      </c>
      <c r="C307" s="6" t="str">
        <f t="shared" si="2"/>
        <v>1439,32</v>
      </c>
      <c r="D307" s="6">
        <f t="shared" si="3"/>
        <v>1439.32</v>
      </c>
      <c r="E307" s="6">
        <f t="shared" si="4"/>
        <v>12.37</v>
      </c>
    </row>
    <row r="308">
      <c r="A308" s="4" t="s">
        <v>5264</v>
      </c>
      <c r="B308" s="6" t="str">
        <f t="shared" si="1"/>
        <v>1441.49</v>
      </c>
      <c r="C308" s="6" t="str">
        <f t="shared" si="2"/>
        <v>1441,49</v>
      </c>
      <c r="D308" s="6">
        <f t="shared" si="3"/>
        <v>1441.49</v>
      </c>
      <c r="E308" s="6">
        <f t="shared" si="4"/>
        <v>2.17</v>
      </c>
    </row>
    <row r="309">
      <c r="A309" s="4" t="s">
        <v>5265</v>
      </c>
      <c r="B309" s="6" t="str">
        <f t="shared" si="1"/>
        <v>1442.50</v>
      </c>
      <c r="C309" s="6" t="str">
        <f t="shared" si="2"/>
        <v>1442,50</v>
      </c>
      <c r="D309" s="6">
        <f t="shared" si="3"/>
        <v>1442.5</v>
      </c>
      <c r="E309" s="6">
        <f t="shared" si="4"/>
        <v>1.01</v>
      </c>
    </row>
    <row r="310">
      <c r="A310" s="4" t="s">
        <v>5266</v>
      </c>
      <c r="B310" s="6" t="str">
        <f t="shared" si="1"/>
        <v>1443.21</v>
      </c>
      <c r="C310" s="6" t="str">
        <f t="shared" si="2"/>
        <v>1443,21</v>
      </c>
      <c r="D310" s="6">
        <f t="shared" si="3"/>
        <v>1443.21</v>
      </c>
      <c r="E310" s="6">
        <f t="shared" si="4"/>
        <v>0.71</v>
      </c>
    </row>
    <row r="311">
      <c r="A311" s="4" t="s">
        <v>5267</v>
      </c>
      <c r="B311" s="6" t="str">
        <f t="shared" si="1"/>
        <v>1444.08</v>
      </c>
      <c r="C311" s="6" t="str">
        <f t="shared" si="2"/>
        <v>1444,08</v>
      </c>
      <c r="D311" s="6">
        <f t="shared" si="3"/>
        <v>1444.08</v>
      </c>
      <c r="E311" s="6">
        <f t="shared" si="4"/>
        <v>0.87</v>
      </c>
    </row>
    <row r="312">
      <c r="A312" s="4" t="s">
        <v>5268</v>
      </c>
      <c r="B312" s="6" t="str">
        <f t="shared" si="1"/>
        <v>1455.13</v>
      </c>
      <c r="C312" s="6" t="str">
        <f t="shared" si="2"/>
        <v>1455,13</v>
      </c>
      <c r="D312" s="6">
        <f t="shared" si="3"/>
        <v>1455.13</v>
      </c>
      <c r="E312" s="6">
        <f t="shared" si="4"/>
        <v>11.05</v>
      </c>
    </row>
    <row r="313">
      <c r="A313" s="4" t="s">
        <v>5269</v>
      </c>
      <c r="B313" s="6" t="str">
        <f t="shared" si="1"/>
        <v>1455.76</v>
      </c>
      <c r="C313" s="6" t="str">
        <f t="shared" si="2"/>
        <v>1455,76</v>
      </c>
      <c r="D313" s="6">
        <f t="shared" si="3"/>
        <v>1455.76</v>
      </c>
      <c r="E313" s="6">
        <f t="shared" si="4"/>
        <v>0.63</v>
      </c>
    </row>
    <row r="314">
      <c r="A314" s="4" t="s">
        <v>5270</v>
      </c>
      <c r="B314" s="6" t="str">
        <f t="shared" si="1"/>
        <v>1456.74</v>
      </c>
      <c r="C314" s="6" t="str">
        <f t="shared" si="2"/>
        <v>1456,74</v>
      </c>
      <c r="D314" s="6">
        <f t="shared" si="3"/>
        <v>1456.74</v>
      </c>
      <c r="E314" s="6">
        <f t="shared" si="4"/>
        <v>0.98</v>
      </c>
    </row>
    <row r="315">
      <c r="A315" s="4" t="s">
        <v>5271</v>
      </c>
      <c r="B315" s="6" t="str">
        <f t="shared" si="1"/>
        <v>1457.38</v>
      </c>
      <c r="C315" s="6" t="str">
        <f t="shared" si="2"/>
        <v>1457,38</v>
      </c>
      <c r="D315" s="6">
        <f t="shared" si="3"/>
        <v>1457.38</v>
      </c>
      <c r="E315" s="6">
        <f t="shared" si="4"/>
        <v>0.64</v>
      </c>
    </row>
    <row r="316">
      <c r="A316" s="4" t="s">
        <v>5272</v>
      </c>
      <c r="B316" s="6" t="str">
        <f t="shared" si="1"/>
        <v>1458.02</v>
      </c>
      <c r="C316" s="6" t="str">
        <f t="shared" si="2"/>
        <v>1458,02</v>
      </c>
      <c r="D316" s="6">
        <f t="shared" si="3"/>
        <v>1458.02</v>
      </c>
      <c r="E316" s="6">
        <f t="shared" si="4"/>
        <v>0.64</v>
      </c>
    </row>
    <row r="317">
      <c r="A317" s="4" t="s">
        <v>5273</v>
      </c>
      <c r="B317" s="6" t="str">
        <f t="shared" si="1"/>
        <v>1467.53</v>
      </c>
      <c r="C317" s="6" t="str">
        <f t="shared" si="2"/>
        <v>1467,53</v>
      </c>
      <c r="D317" s="6">
        <f t="shared" si="3"/>
        <v>1467.53</v>
      </c>
      <c r="E317" s="6">
        <f t="shared" si="4"/>
        <v>9.51</v>
      </c>
    </row>
    <row r="318">
      <c r="A318" s="4" t="s">
        <v>5274</v>
      </c>
      <c r="B318" s="6" t="str">
        <f t="shared" si="1"/>
        <v>1468.40</v>
      </c>
      <c r="C318" s="6" t="str">
        <f t="shared" si="2"/>
        <v>1468,40</v>
      </c>
      <c r="D318" s="6">
        <f t="shared" si="3"/>
        <v>1468.4</v>
      </c>
      <c r="E318" s="6">
        <f t="shared" si="4"/>
        <v>0.87</v>
      </c>
    </row>
    <row r="319">
      <c r="A319" s="4" t="s">
        <v>5275</v>
      </c>
      <c r="B319" s="6" t="str">
        <f t="shared" si="1"/>
        <v>1473.72</v>
      </c>
      <c r="C319" s="6" t="str">
        <f t="shared" si="2"/>
        <v>1473,72</v>
      </c>
      <c r="D319" s="6">
        <f t="shared" si="3"/>
        <v>1473.72</v>
      </c>
      <c r="E319" s="6">
        <f t="shared" si="4"/>
        <v>5.32</v>
      </c>
    </row>
    <row r="320">
      <c r="A320" s="4" t="s">
        <v>5276</v>
      </c>
      <c r="B320" s="6" t="str">
        <f t="shared" si="1"/>
        <v>1486.76</v>
      </c>
      <c r="C320" s="6" t="str">
        <f t="shared" si="2"/>
        <v>1486,76</v>
      </c>
      <c r="D320" s="6">
        <f t="shared" si="3"/>
        <v>1486.76</v>
      </c>
      <c r="E320" s="6">
        <f t="shared" si="4"/>
        <v>13.04</v>
      </c>
    </row>
    <row r="321">
      <c r="A321" s="4" t="s">
        <v>5277</v>
      </c>
      <c r="B321" s="6" t="str">
        <f t="shared" si="1"/>
        <v>1489.88</v>
      </c>
      <c r="C321" s="6" t="str">
        <f t="shared" si="2"/>
        <v>1489,88</v>
      </c>
      <c r="D321" s="6">
        <f t="shared" si="3"/>
        <v>1489.88</v>
      </c>
      <c r="E321" s="6">
        <f t="shared" si="4"/>
        <v>3.12</v>
      </c>
    </row>
    <row r="322">
      <c r="A322" s="4" t="s">
        <v>5278</v>
      </c>
      <c r="B322" s="6" t="str">
        <f t="shared" si="1"/>
        <v>1491.29</v>
      </c>
      <c r="C322" s="6" t="str">
        <f t="shared" si="2"/>
        <v>1491,29</v>
      </c>
      <c r="D322" s="6">
        <f t="shared" si="3"/>
        <v>1491.29</v>
      </c>
      <c r="E322" s="6">
        <f t="shared" si="4"/>
        <v>1.41</v>
      </c>
    </row>
    <row r="323">
      <c r="A323" s="4" t="s">
        <v>5279</v>
      </c>
      <c r="B323" s="6" t="str">
        <f t="shared" si="1"/>
        <v>1494.75</v>
      </c>
      <c r="C323" s="6" t="str">
        <f t="shared" si="2"/>
        <v>1494,75</v>
      </c>
      <c r="D323" s="6">
        <f t="shared" si="3"/>
        <v>1494.75</v>
      </c>
      <c r="E323" s="6">
        <f t="shared" si="4"/>
        <v>3.46</v>
      </c>
    </row>
    <row r="324">
      <c r="A324" s="4" t="s">
        <v>5280</v>
      </c>
      <c r="B324" s="6" t="str">
        <f t="shared" si="1"/>
        <v>1503.11</v>
      </c>
      <c r="C324" s="6" t="str">
        <f t="shared" si="2"/>
        <v>1503,11</v>
      </c>
      <c r="D324" s="6">
        <f t="shared" si="3"/>
        <v>1503.11</v>
      </c>
      <c r="E324" s="6">
        <f t="shared" si="4"/>
        <v>8.36</v>
      </c>
    </row>
    <row r="325">
      <c r="A325" s="4" t="s">
        <v>5281</v>
      </c>
      <c r="B325" s="6" t="str">
        <f t="shared" si="1"/>
        <v>1504.42</v>
      </c>
      <c r="C325" s="6" t="str">
        <f t="shared" si="2"/>
        <v>1504,42</v>
      </c>
      <c r="D325" s="6">
        <f t="shared" si="3"/>
        <v>1504.42</v>
      </c>
      <c r="E325" s="6">
        <f t="shared" si="4"/>
        <v>1.31</v>
      </c>
    </row>
    <row r="326">
      <c r="A326" s="4" t="s">
        <v>5282</v>
      </c>
      <c r="B326" s="6" t="str">
        <f t="shared" si="1"/>
        <v>1505.47</v>
      </c>
      <c r="C326" s="6" t="str">
        <f t="shared" si="2"/>
        <v>1505,47</v>
      </c>
      <c r="D326" s="6">
        <f t="shared" si="3"/>
        <v>1505.47</v>
      </c>
      <c r="E326" s="6">
        <f t="shared" si="4"/>
        <v>1.05</v>
      </c>
    </row>
    <row r="327">
      <c r="A327" s="4" t="s">
        <v>5283</v>
      </c>
      <c r="B327" s="6" t="str">
        <f t="shared" si="1"/>
        <v>1508.11</v>
      </c>
      <c r="C327" s="6" t="str">
        <f t="shared" si="2"/>
        <v>1508,11</v>
      </c>
      <c r="D327" s="6">
        <f t="shared" si="3"/>
        <v>1508.11</v>
      </c>
      <c r="E327" s="6">
        <f t="shared" si="4"/>
        <v>2.64</v>
      </c>
    </row>
    <row r="328">
      <c r="A328" s="4" t="s">
        <v>5284</v>
      </c>
      <c r="B328" s="6" t="str">
        <f t="shared" si="1"/>
        <v>1521.16</v>
      </c>
      <c r="C328" s="6" t="str">
        <f t="shared" si="2"/>
        <v>1521,16</v>
      </c>
      <c r="D328" s="6">
        <f t="shared" si="3"/>
        <v>1521.16</v>
      </c>
      <c r="E328" s="6">
        <f t="shared" si="4"/>
        <v>13.05</v>
      </c>
    </row>
    <row r="329">
      <c r="A329" s="4" t="s">
        <v>5285</v>
      </c>
      <c r="B329" s="6" t="str">
        <f t="shared" si="1"/>
        <v>1529.38</v>
      </c>
      <c r="C329" s="6" t="str">
        <f t="shared" si="2"/>
        <v>1529,38</v>
      </c>
      <c r="D329" s="6">
        <f t="shared" si="3"/>
        <v>1529.38</v>
      </c>
      <c r="E329" s="6">
        <f t="shared" si="4"/>
        <v>8.22</v>
      </c>
    </row>
    <row r="330">
      <c r="A330" s="4" t="s">
        <v>5286</v>
      </c>
      <c r="B330" s="6" t="str">
        <f t="shared" si="1"/>
        <v>1532.72</v>
      </c>
      <c r="C330" s="6" t="str">
        <f t="shared" si="2"/>
        <v>1532,72</v>
      </c>
      <c r="D330" s="6">
        <f t="shared" si="3"/>
        <v>1532.72</v>
      </c>
      <c r="E330" s="6">
        <f t="shared" si="4"/>
        <v>3.34</v>
      </c>
    </row>
    <row r="331">
      <c r="A331" s="4" t="s">
        <v>5287</v>
      </c>
      <c r="B331" s="6" t="str">
        <f t="shared" si="1"/>
        <v>1537.85</v>
      </c>
      <c r="C331" s="6" t="str">
        <f t="shared" si="2"/>
        <v>1537,85</v>
      </c>
      <c r="D331" s="6">
        <f t="shared" si="3"/>
        <v>1537.85</v>
      </c>
      <c r="E331" s="6">
        <f t="shared" si="4"/>
        <v>5.13</v>
      </c>
    </row>
    <row r="332">
      <c r="A332" s="4" t="s">
        <v>5288</v>
      </c>
      <c r="B332" s="6" t="str">
        <f t="shared" si="1"/>
        <v>1550.13</v>
      </c>
      <c r="C332" s="6" t="str">
        <f t="shared" si="2"/>
        <v>1550,13</v>
      </c>
      <c r="D332" s="6">
        <f t="shared" si="3"/>
        <v>1550.13</v>
      </c>
      <c r="E332" s="6">
        <f t="shared" si="4"/>
        <v>12.28</v>
      </c>
    </row>
    <row r="333">
      <c r="A333" s="4" t="s">
        <v>5289</v>
      </c>
      <c r="B333" s="6" t="str">
        <f t="shared" si="1"/>
        <v>1551.31</v>
      </c>
      <c r="C333" s="6" t="str">
        <f t="shared" si="2"/>
        <v>1551,31</v>
      </c>
      <c r="D333" s="6">
        <f t="shared" si="3"/>
        <v>1551.31</v>
      </c>
      <c r="E333" s="6">
        <f t="shared" si="4"/>
        <v>1.18</v>
      </c>
    </row>
    <row r="334">
      <c r="A334" s="4" t="s">
        <v>5290</v>
      </c>
      <c r="B334" s="6" t="str">
        <f t="shared" si="1"/>
        <v>1556.75</v>
      </c>
      <c r="C334" s="6" t="str">
        <f t="shared" si="2"/>
        <v>1556,75</v>
      </c>
      <c r="D334" s="6">
        <f t="shared" si="3"/>
        <v>1556.75</v>
      </c>
      <c r="E334" s="6">
        <f t="shared" si="4"/>
        <v>5.44</v>
      </c>
    </row>
    <row r="335">
      <c r="A335" s="4" t="s">
        <v>5291</v>
      </c>
      <c r="B335" s="6" t="str">
        <f t="shared" si="1"/>
        <v>1558.58</v>
      </c>
      <c r="C335" s="6" t="str">
        <f t="shared" si="2"/>
        <v>1558,58</v>
      </c>
      <c r="D335" s="6">
        <f t="shared" si="3"/>
        <v>1558.58</v>
      </c>
      <c r="E335" s="6">
        <f t="shared" si="4"/>
        <v>1.83</v>
      </c>
    </row>
    <row r="336">
      <c r="A336" s="4" t="s">
        <v>5292</v>
      </c>
      <c r="B336" s="6" t="str">
        <f t="shared" si="1"/>
        <v>1563.64</v>
      </c>
      <c r="C336" s="6" t="str">
        <f t="shared" si="2"/>
        <v>1563,64</v>
      </c>
      <c r="D336" s="6">
        <f t="shared" si="3"/>
        <v>1563.64</v>
      </c>
      <c r="E336" s="6">
        <f t="shared" si="4"/>
        <v>5.06</v>
      </c>
    </row>
    <row r="337">
      <c r="A337" s="4" t="s">
        <v>5293</v>
      </c>
      <c r="B337" s="6" t="str">
        <f t="shared" si="1"/>
        <v>1564.18</v>
      </c>
      <c r="C337" s="6" t="str">
        <f t="shared" si="2"/>
        <v>1564,18</v>
      </c>
      <c r="D337" s="6">
        <f t="shared" si="3"/>
        <v>1564.18</v>
      </c>
      <c r="E337" s="6">
        <f t="shared" si="4"/>
        <v>0.54</v>
      </c>
    </row>
    <row r="338">
      <c r="A338" s="4" t="s">
        <v>5294</v>
      </c>
      <c r="B338" s="6" t="str">
        <f t="shared" si="1"/>
        <v>1568.94</v>
      </c>
      <c r="C338" s="6" t="str">
        <f t="shared" si="2"/>
        <v>1568,94</v>
      </c>
      <c r="D338" s="6">
        <f t="shared" si="3"/>
        <v>1568.94</v>
      </c>
      <c r="E338" s="6">
        <f t="shared" si="4"/>
        <v>4.76</v>
      </c>
    </row>
    <row r="339">
      <c r="A339" s="4" t="s">
        <v>5295</v>
      </c>
      <c r="B339" s="6" t="str">
        <f t="shared" si="1"/>
        <v>1582.14</v>
      </c>
      <c r="C339" s="6" t="str">
        <f t="shared" si="2"/>
        <v>1582,14</v>
      </c>
      <c r="D339" s="6">
        <f t="shared" si="3"/>
        <v>1582.14</v>
      </c>
      <c r="E339" s="6">
        <f t="shared" si="4"/>
        <v>13.2</v>
      </c>
    </row>
    <row r="340">
      <c r="A340" s="4" t="s">
        <v>5296</v>
      </c>
      <c r="B340" s="6" t="str">
        <f t="shared" si="1"/>
        <v>1586.14</v>
      </c>
      <c r="C340" s="6" t="str">
        <f t="shared" si="2"/>
        <v>1586,14</v>
      </c>
      <c r="D340" s="6">
        <f t="shared" si="3"/>
        <v>1586.14</v>
      </c>
      <c r="E340" s="6">
        <f t="shared" si="4"/>
        <v>4</v>
      </c>
    </row>
    <row r="341">
      <c r="A341" s="4" t="s">
        <v>5297</v>
      </c>
      <c r="B341" s="6" t="str">
        <f t="shared" si="1"/>
        <v>1586.94</v>
      </c>
      <c r="C341" s="6" t="str">
        <f t="shared" si="2"/>
        <v>1586,94</v>
      </c>
      <c r="D341" s="6">
        <f t="shared" si="3"/>
        <v>1586.94</v>
      </c>
      <c r="E341" s="6">
        <f t="shared" si="4"/>
        <v>0.8</v>
      </c>
    </row>
    <row r="342">
      <c r="A342" s="4" t="s">
        <v>5298</v>
      </c>
      <c r="B342" s="6" t="str">
        <f t="shared" si="1"/>
        <v>1590.71</v>
      </c>
      <c r="C342" s="6" t="str">
        <f t="shared" si="2"/>
        <v>1590,71</v>
      </c>
      <c r="D342" s="6">
        <f t="shared" si="3"/>
        <v>1590.71</v>
      </c>
      <c r="E342" s="6">
        <f t="shared" si="4"/>
        <v>3.77</v>
      </c>
    </row>
    <row r="343">
      <c r="A343" s="4" t="s">
        <v>5299</v>
      </c>
      <c r="B343" s="6" t="str">
        <f t="shared" si="1"/>
        <v>1598.90</v>
      </c>
      <c r="C343" s="6" t="str">
        <f t="shared" si="2"/>
        <v>1598,90</v>
      </c>
      <c r="D343" s="6">
        <f t="shared" si="3"/>
        <v>1598.9</v>
      </c>
      <c r="E343" s="6">
        <f t="shared" si="4"/>
        <v>8.19</v>
      </c>
    </row>
    <row r="344">
      <c r="A344" s="4" t="s">
        <v>5300</v>
      </c>
      <c r="B344" s="6" t="str">
        <f t="shared" si="1"/>
        <v>1599.72</v>
      </c>
      <c r="C344" s="6" t="str">
        <f t="shared" si="2"/>
        <v>1599,72</v>
      </c>
      <c r="D344" s="6">
        <f t="shared" si="3"/>
        <v>1599.72</v>
      </c>
      <c r="E344" s="6">
        <f t="shared" si="4"/>
        <v>0.82</v>
      </c>
    </row>
    <row r="345">
      <c r="A345" s="4" t="s">
        <v>5301</v>
      </c>
      <c r="B345" s="6" t="str">
        <f t="shared" si="1"/>
        <v>1600.30</v>
      </c>
      <c r="C345" s="6" t="str">
        <f t="shared" si="2"/>
        <v>1600,30</v>
      </c>
      <c r="D345" s="6">
        <f t="shared" si="3"/>
        <v>1600.3</v>
      </c>
      <c r="E345" s="6">
        <f t="shared" si="4"/>
        <v>0.58</v>
      </c>
    </row>
    <row r="346">
      <c r="A346" s="4" t="s">
        <v>5302</v>
      </c>
      <c r="B346" s="6" t="str">
        <f t="shared" si="1"/>
        <v>1602.31</v>
      </c>
      <c r="C346" s="6" t="str">
        <f t="shared" si="2"/>
        <v>1602,31</v>
      </c>
      <c r="D346" s="6">
        <f t="shared" si="3"/>
        <v>1602.31</v>
      </c>
      <c r="E346" s="6">
        <f t="shared" si="4"/>
        <v>2.01</v>
      </c>
    </row>
    <row r="347">
      <c r="A347" s="4" t="s">
        <v>5303</v>
      </c>
      <c r="B347" s="6" t="str">
        <f t="shared" si="1"/>
        <v>1617.36</v>
      </c>
      <c r="C347" s="6" t="str">
        <f t="shared" si="2"/>
        <v>1617,36</v>
      </c>
      <c r="D347" s="6">
        <f t="shared" si="3"/>
        <v>1617.36</v>
      </c>
      <c r="E347" s="6">
        <f t="shared" si="4"/>
        <v>15.05</v>
      </c>
    </row>
    <row r="348">
      <c r="A348" s="4" t="s">
        <v>5304</v>
      </c>
      <c r="B348" s="6" t="str">
        <f t="shared" si="1"/>
        <v>1618.19</v>
      </c>
      <c r="C348" s="6" t="str">
        <f t="shared" si="2"/>
        <v>1618,19</v>
      </c>
      <c r="D348" s="6">
        <f t="shared" si="3"/>
        <v>1618.19</v>
      </c>
      <c r="E348" s="6">
        <f t="shared" si="4"/>
        <v>0.83</v>
      </c>
    </row>
    <row r="349">
      <c r="A349" s="4" t="s">
        <v>5305</v>
      </c>
      <c r="B349" s="6" t="str">
        <f t="shared" si="1"/>
        <v>1630.90</v>
      </c>
      <c r="C349" s="6" t="str">
        <f t="shared" si="2"/>
        <v>1630,90</v>
      </c>
      <c r="D349" s="6">
        <f t="shared" si="3"/>
        <v>1630.9</v>
      </c>
      <c r="E349" s="6">
        <f t="shared" si="4"/>
        <v>12.71</v>
      </c>
    </row>
    <row r="350">
      <c r="A350" s="4" t="s">
        <v>5306</v>
      </c>
      <c r="B350" s="6" t="str">
        <f t="shared" si="1"/>
        <v>1631.57</v>
      </c>
      <c r="C350" s="6" t="str">
        <f t="shared" si="2"/>
        <v>1631,57</v>
      </c>
      <c r="D350" s="6">
        <f t="shared" si="3"/>
        <v>1631.57</v>
      </c>
      <c r="E350" s="6">
        <f t="shared" si="4"/>
        <v>0.67</v>
      </c>
    </row>
    <row r="351">
      <c r="A351" s="4" t="s">
        <v>5307</v>
      </c>
      <c r="B351" s="6" t="str">
        <f t="shared" si="1"/>
        <v>1634.57</v>
      </c>
      <c r="C351" s="6" t="str">
        <f t="shared" si="2"/>
        <v>1634,57</v>
      </c>
      <c r="D351" s="6">
        <f t="shared" si="3"/>
        <v>1634.57</v>
      </c>
      <c r="E351" s="6">
        <f t="shared" si="4"/>
        <v>3</v>
      </c>
    </row>
    <row r="352">
      <c r="A352" s="4" t="s">
        <v>5308</v>
      </c>
      <c r="B352" s="6" t="str">
        <f t="shared" si="1"/>
        <v>1635.12</v>
      </c>
      <c r="C352" s="6" t="str">
        <f t="shared" si="2"/>
        <v>1635,12</v>
      </c>
      <c r="D352" s="6">
        <f t="shared" si="3"/>
        <v>1635.12</v>
      </c>
      <c r="E352" s="6">
        <f t="shared" si="4"/>
        <v>0.55</v>
      </c>
    </row>
    <row r="353">
      <c r="A353" s="4" t="s">
        <v>5309</v>
      </c>
      <c r="B353" s="6" t="str">
        <f t="shared" si="1"/>
        <v>1637.54</v>
      </c>
      <c r="C353" s="6" t="str">
        <f t="shared" si="2"/>
        <v>1637,54</v>
      </c>
      <c r="D353" s="6">
        <f t="shared" si="3"/>
        <v>1637.54</v>
      </c>
      <c r="E353" s="6">
        <f t="shared" si="4"/>
        <v>2.42</v>
      </c>
    </row>
    <row r="354">
      <c r="A354" s="4" t="s">
        <v>5310</v>
      </c>
      <c r="B354" s="6" t="str">
        <f t="shared" si="1"/>
        <v>1641.76</v>
      </c>
      <c r="C354" s="6" t="str">
        <f t="shared" si="2"/>
        <v>1641,76</v>
      </c>
      <c r="D354" s="6">
        <f t="shared" si="3"/>
        <v>1641.76</v>
      </c>
      <c r="E354" s="6">
        <f t="shared" si="4"/>
        <v>4.22</v>
      </c>
    </row>
    <row r="355">
      <c r="A355" s="4" t="s">
        <v>5311</v>
      </c>
      <c r="B355" s="6" t="str">
        <f t="shared" si="1"/>
        <v>1642.66</v>
      </c>
      <c r="C355" s="6" t="str">
        <f t="shared" si="2"/>
        <v>1642,66</v>
      </c>
      <c r="D355" s="6">
        <f t="shared" si="3"/>
        <v>1642.66</v>
      </c>
      <c r="E355" s="6">
        <f t="shared" si="4"/>
        <v>0.9</v>
      </c>
    </row>
    <row r="356">
      <c r="A356" s="4" t="s">
        <v>5312</v>
      </c>
      <c r="B356" s="6" t="str">
        <f t="shared" si="1"/>
        <v>1647.46</v>
      </c>
      <c r="C356" s="6" t="str">
        <f t="shared" si="2"/>
        <v>1647,46</v>
      </c>
      <c r="D356" s="6">
        <f t="shared" si="3"/>
        <v>1647.46</v>
      </c>
      <c r="E356" s="6">
        <f t="shared" si="4"/>
        <v>4.8</v>
      </c>
    </row>
    <row r="357">
      <c r="A357" s="4" t="s">
        <v>5313</v>
      </c>
      <c r="B357" s="6" t="str">
        <f t="shared" si="1"/>
        <v>1648.86</v>
      </c>
      <c r="C357" s="6" t="str">
        <f t="shared" si="2"/>
        <v>1648,86</v>
      </c>
      <c r="D357" s="6">
        <f t="shared" si="3"/>
        <v>1648.86</v>
      </c>
      <c r="E357" s="6">
        <f t="shared" si="4"/>
        <v>1.4</v>
      </c>
    </row>
    <row r="358">
      <c r="A358" s="4" t="s">
        <v>5314</v>
      </c>
      <c r="B358" s="6" t="str">
        <f t="shared" si="1"/>
        <v>1649.82</v>
      </c>
      <c r="C358" s="6" t="str">
        <f t="shared" si="2"/>
        <v>1649,82</v>
      </c>
      <c r="D358" s="6">
        <f t="shared" si="3"/>
        <v>1649.82</v>
      </c>
      <c r="E358" s="6">
        <f t="shared" si="4"/>
        <v>0.96</v>
      </c>
    </row>
    <row r="359">
      <c r="A359" s="4" t="s">
        <v>5315</v>
      </c>
      <c r="B359" s="6" t="str">
        <f t="shared" si="1"/>
        <v>1666.44</v>
      </c>
      <c r="C359" s="6" t="str">
        <f t="shared" si="2"/>
        <v>1666,44</v>
      </c>
      <c r="D359" s="6">
        <f t="shared" si="3"/>
        <v>1666.44</v>
      </c>
      <c r="E359" s="6">
        <f t="shared" si="4"/>
        <v>16.62</v>
      </c>
    </row>
    <row r="360">
      <c r="A360" s="4" t="s">
        <v>5316</v>
      </c>
      <c r="B360" s="6" t="str">
        <f t="shared" si="1"/>
        <v>1667.10</v>
      </c>
      <c r="C360" s="6" t="str">
        <f t="shared" si="2"/>
        <v>1667,10</v>
      </c>
      <c r="D360" s="6">
        <f t="shared" si="3"/>
        <v>1667.1</v>
      </c>
      <c r="E360" s="6">
        <f t="shared" si="4"/>
        <v>0.66</v>
      </c>
    </row>
    <row r="361">
      <c r="A361" s="4" t="s">
        <v>5317</v>
      </c>
      <c r="B361" s="6" t="str">
        <f t="shared" si="1"/>
        <v>1668.50</v>
      </c>
      <c r="C361" s="6" t="str">
        <f t="shared" si="2"/>
        <v>1668,50</v>
      </c>
      <c r="D361" s="6">
        <f t="shared" si="3"/>
        <v>1668.5</v>
      </c>
      <c r="E361" s="6">
        <f t="shared" si="4"/>
        <v>1.4</v>
      </c>
    </row>
    <row r="362">
      <c r="A362" s="4" t="s">
        <v>5318</v>
      </c>
      <c r="B362" s="6" t="str">
        <f t="shared" si="1"/>
        <v>1682.29</v>
      </c>
      <c r="C362" s="6" t="str">
        <f t="shared" si="2"/>
        <v>1682,29</v>
      </c>
      <c r="D362" s="6">
        <f t="shared" si="3"/>
        <v>1682.29</v>
      </c>
      <c r="E362" s="6">
        <f t="shared" si="4"/>
        <v>13.79</v>
      </c>
    </row>
    <row r="363">
      <c r="A363" s="4" t="s">
        <v>5319</v>
      </c>
      <c r="B363" s="6" t="str">
        <f t="shared" si="1"/>
        <v>1683.62</v>
      </c>
      <c r="C363" s="6" t="str">
        <f t="shared" si="2"/>
        <v>1683,62</v>
      </c>
      <c r="D363" s="6">
        <f t="shared" si="3"/>
        <v>1683.62</v>
      </c>
      <c r="E363" s="6">
        <f t="shared" si="4"/>
        <v>1.33</v>
      </c>
    </row>
    <row r="364">
      <c r="A364" s="4" t="s">
        <v>5320</v>
      </c>
      <c r="B364" s="6" t="str">
        <f t="shared" si="1"/>
        <v>1684.87</v>
      </c>
      <c r="C364" s="6" t="str">
        <f t="shared" si="2"/>
        <v>1684,87</v>
      </c>
      <c r="D364" s="6">
        <f t="shared" si="3"/>
        <v>1684.87</v>
      </c>
      <c r="E364" s="6">
        <f t="shared" si="4"/>
        <v>1.25</v>
      </c>
    </row>
    <row r="365">
      <c r="A365" s="4" t="s">
        <v>5321</v>
      </c>
      <c r="B365" s="6" t="str">
        <f t="shared" si="1"/>
        <v>1688.44</v>
      </c>
      <c r="C365" s="6" t="str">
        <f t="shared" si="2"/>
        <v>1688,44</v>
      </c>
      <c r="D365" s="6">
        <f t="shared" si="3"/>
        <v>1688.44</v>
      </c>
      <c r="E365" s="6">
        <f t="shared" si="4"/>
        <v>3.57</v>
      </c>
    </row>
    <row r="366">
      <c r="A366" s="4" t="s">
        <v>5322</v>
      </c>
      <c r="B366" s="6" t="str">
        <f t="shared" si="1"/>
        <v>1697.19</v>
      </c>
      <c r="C366" s="6" t="str">
        <f t="shared" si="2"/>
        <v>1697,19</v>
      </c>
      <c r="D366" s="6">
        <f t="shared" si="3"/>
        <v>1697.19</v>
      </c>
      <c r="E366" s="6">
        <f t="shared" si="4"/>
        <v>8.75</v>
      </c>
    </row>
    <row r="367">
      <c r="A367" s="4" t="s">
        <v>5323</v>
      </c>
      <c r="B367" s="6" t="str">
        <f t="shared" si="1"/>
        <v>1698.88</v>
      </c>
      <c r="C367" s="6" t="str">
        <f t="shared" si="2"/>
        <v>1698,88</v>
      </c>
      <c r="D367" s="6">
        <f t="shared" si="3"/>
        <v>1698.88</v>
      </c>
      <c r="E367" s="6">
        <f t="shared" si="4"/>
        <v>1.69</v>
      </c>
    </row>
    <row r="368">
      <c r="A368" s="4" t="s">
        <v>5324</v>
      </c>
      <c r="B368" s="6" t="str">
        <f t="shared" si="1"/>
        <v>1711.53</v>
      </c>
      <c r="C368" s="6" t="str">
        <f t="shared" si="2"/>
        <v>1711,53</v>
      </c>
      <c r="D368" s="6">
        <f t="shared" si="3"/>
        <v>1711.53</v>
      </c>
      <c r="E368" s="6">
        <f t="shared" si="4"/>
        <v>12.65</v>
      </c>
    </row>
    <row r="369">
      <c r="A369" s="4" t="s">
        <v>5325</v>
      </c>
      <c r="B369" s="6" t="str">
        <f t="shared" si="1"/>
        <v>1717.51</v>
      </c>
      <c r="C369" s="6" t="str">
        <f t="shared" si="2"/>
        <v>1717,51</v>
      </c>
      <c r="D369" s="6">
        <f t="shared" si="3"/>
        <v>1717.51</v>
      </c>
      <c r="E369" s="6">
        <f t="shared" si="4"/>
        <v>5.98</v>
      </c>
    </row>
    <row r="370">
      <c r="A370" s="4" t="s">
        <v>5326</v>
      </c>
      <c r="B370" s="6" t="str">
        <f t="shared" si="1"/>
        <v>1718.23</v>
      </c>
      <c r="C370" s="6" t="str">
        <f t="shared" si="2"/>
        <v>1718,23</v>
      </c>
      <c r="D370" s="6">
        <f t="shared" si="3"/>
        <v>1718.23</v>
      </c>
      <c r="E370" s="6">
        <f t="shared" si="4"/>
        <v>0.72</v>
      </c>
    </row>
    <row r="371">
      <c r="A371" s="4" t="s">
        <v>5327</v>
      </c>
      <c r="B371" s="6" t="str">
        <f t="shared" si="1"/>
        <v>1730.12</v>
      </c>
      <c r="C371" s="6" t="str">
        <f t="shared" si="2"/>
        <v>1730,12</v>
      </c>
      <c r="D371" s="6">
        <f t="shared" si="3"/>
        <v>1730.12</v>
      </c>
      <c r="E371" s="6">
        <f t="shared" si="4"/>
        <v>11.89</v>
      </c>
    </row>
    <row r="372">
      <c r="A372" s="4" t="s">
        <v>5328</v>
      </c>
      <c r="B372" s="6" t="str">
        <f t="shared" si="1"/>
        <v>1730.82</v>
      </c>
      <c r="C372" s="6" t="str">
        <f t="shared" si="2"/>
        <v>1730,82</v>
      </c>
      <c r="D372" s="6">
        <f t="shared" si="3"/>
        <v>1730.82</v>
      </c>
      <c r="E372" s="6">
        <f t="shared" si="4"/>
        <v>0.7</v>
      </c>
    </row>
    <row r="373">
      <c r="A373" s="4" t="s">
        <v>5329</v>
      </c>
      <c r="B373" s="6" t="str">
        <f t="shared" si="1"/>
        <v>1734.52</v>
      </c>
      <c r="C373" s="6" t="str">
        <f t="shared" si="2"/>
        <v>1734,52</v>
      </c>
      <c r="D373" s="6">
        <f t="shared" si="3"/>
        <v>1734.52</v>
      </c>
      <c r="E373" s="6">
        <f t="shared" si="4"/>
        <v>3.7</v>
      </c>
    </row>
    <row r="374">
      <c r="A374" s="4" t="s">
        <v>5330</v>
      </c>
      <c r="B374" s="6" t="str">
        <f t="shared" si="1"/>
        <v>1735.32</v>
      </c>
      <c r="C374" s="6" t="str">
        <f t="shared" si="2"/>
        <v>1735,32</v>
      </c>
      <c r="D374" s="6">
        <f t="shared" si="3"/>
        <v>1735.32</v>
      </c>
      <c r="E374" s="6">
        <f t="shared" si="4"/>
        <v>0.8</v>
      </c>
    </row>
    <row r="375">
      <c r="A375" s="4" t="s">
        <v>5331</v>
      </c>
      <c r="B375" s="6" t="str">
        <f t="shared" si="1"/>
        <v>1748.05</v>
      </c>
      <c r="C375" s="6" t="str">
        <f t="shared" si="2"/>
        <v>1748,05</v>
      </c>
      <c r="D375" s="6">
        <f t="shared" si="3"/>
        <v>1748.05</v>
      </c>
      <c r="E375" s="6">
        <f t="shared" si="4"/>
        <v>12.73</v>
      </c>
    </row>
    <row r="376">
      <c r="A376" s="4" t="s">
        <v>5332</v>
      </c>
      <c r="B376" s="6" t="str">
        <f t="shared" si="1"/>
        <v>1749.91</v>
      </c>
      <c r="C376" s="6" t="str">
        <f t="shared" si="2"/>
        <v>1749,91</v>
      </c>
      <c r="D376" s="6">
        <f t="shared" si="3"/>
        <v>1749.91</v>
      </c>
      <c r="E376" s="6">
        <f t="shared" si="4"/>
        <v>1.86</v>
      </c>
    </row>
    <row r="377">
      <c r="A377" s="4" t="s">
        <v>5333</v>
      </c>
      <c r="B377" s="6" t="str">
        <f t="shared" si="1"/>
        <v>1751.14</v>
      </c>
      <c r="C377" s="6" t="str">
        <f t="shared" si="2"/>
        <v>1751,14</v>
      </c>
      <c r="D377" s="6">
        <f t="shared" si="3"/>
        <v>1751.14</v>
      </c>
      <c r="E377" s="6">
        <f t="shared" si="4"/>
        <v>1.23</v>
      </c>
    </row>
    <row r="378">
      <c r="A378" s="4" t="s">
        <v>5334</v>
      </c>
      <c r="B378" s="6" t="str">
        <f t="shared" si="1"/>
        <v>1761.64</v>
      </c>
      <c r="C378" s="6" t="str">
        <f t="shared" si="2"/>
        <v>1761,64</v>
      </c>
      <c r="D378" s="6">
        <f t="shared" si="3"/>
        <v>1761.64</v>
      </c>
      <c r="E378" s="6">
        <f t="shared" si="4"/>
        <v>10.5</v>
      </c>
    </row>
    <row r="379">
      <c r="A379" s="4" t="s">
        <v>5335</v>
      </c>
      <c r="B379" s="6" t="str">
        <f t="shared" si="1"/>
        <v>1784.92</v>
      </c>
      <c r="C379" s="6" t="str">
        <f t="shared" si="2"/>
        <v>1784,92</v>
      </c>
      <c r="D379" s="6">
        <f t="shared" si="3"/>
        <v>1784.92</v>
      </c>
      <c r="E379" s="6">
        <f t="shared" si="4"/>
        <v>23.28</v>
      </c>
    </row>
    <row r="380">
      <c r="A380" s="4" t="s">
        <v>5336</v>
      </c>
      <c r="B380" s="6" t="str">
        <f t="shared" si="1"/>
        <v>1789.31</v>
      </c>
      <c r="C380" s="6" t="str">
        <f t="shared" si="2"/>
        <v>1789,31</v>
      </c>
      <c r="D380" s="6">
        <f t="shared" si="3"/>
        <v>1789.31</v>
      </c>
      <c r="E380" s="6">
        <f t="shared" si="4"/>
        <v>4.39</v>
      </c>
    </row>
    <row r="381">
      <c r="A381" s="4" t="s">
        <v>5337</v>
      </c>
      <c r="B381" s="6" t="str">
        <f t="shared" si="1"/>
        <v>1801.12</v>
      </c>
      <c r="C381" s="6" t="str">
        <f t="shared" si="2"/>
        <v>1801,12</v>
      </c>
      <c r="D381" s="6">
        <f t="shared" si="3"/>
        <v>1801.12</v>
      </c>
      <c r="E381" s="6">
        <f t="shared" si="4"/>
        <v>11.81</v>
      </c>
    </row>
    <row r="382">
      <c r="A382" s="4" t="s">
        <v>5338</v>
      </c>
      <c r="B382" s="6" t="str">
        <f t="shared" si="1"/>
        <v>1802.01</v>
      </c>
      <c r="C382" s="6" t="str">
        <f t="shared" si="2"/>
        <v>1802,01</v>
      </c>
      <c r="D382" s="6">
        <f t="shared" si="3"/>
        <v>1802.01</v>
      </c>
      <c r="E382" s="6">
        <f t="shared" si="4"/>
        <v>0.89</v>
      </c>
    </row>
    <row r="383">
      <c r="A383" s="4" t="s">
        <v>5339</v>
      </c>
      <c r="B383" s="6" t="str">
        <f t="shared" si="1"/>
        <v>1803.69</v>
      </c>
      <c r="C383" s="6" t="str">
        <f t="shared" si="2"/>
        <v>1803,69</v>
      </c>
      <c r="D383" s="6">
        <f t="shared" si="3"/>
        <v>1803.69</v>
      </c>
      <c r="E383" s="6">
        <f t="shared" si="4"/>
        <v>1.68</v>
      </c>
    </row>
    <row r="384">
      <c r="A384" s="4" t="s">
        <v>5340</v>
      </c>
      <c r="B384" s="6" t="str">
        <f t="shared" si="1"/>
        <v>1811.82</v>
      </c>
      <c r="C384" s="6" t="str">
        <f t="shared" si="2"/>
        <v>1811,82</v>
      </c>
      <c r="D384" s="6">
        <f t="shared" si="3"/>
        <v>1811.82</v>
      </c>
      <c r="E384" s="6">
        <f t="shared" si="4"/>
        <v>8.13</v>
      </c>
    </row>
    <row r="385">
      <c r="A385" s="4" t="s">
        <v>5341</v>
      </c>
      <c r="B385" s="6" t="str">
        <f t="shared" si="1"/>
        <v>1818.67</v>
      </c>
      <c r="C385" s="6" t="str">
        <f t="shared" si="2"/>
        <v>1818,67</v>
      </c>
      <c r="D385" s="6">
        <f t="shared" si="3"/>
        <v>1818.67</v>
      </c>
      <c r="E385" s="6">
        <f t="shared" si="4"/>
        <v>6.85</v>
      </c>
    </row>
    <row r="386">
      <c r="A386" s="4" t="s">
        <v>5342</v>
      </c>
      <c r="B386" s="6" t="str">
        <f t="shared" si="1"/>
        <v>1819.41</v>
      </c>
      <c r="C386" s="6" t="str">
        <f t="shared" si="2"/>
        <v>1819,41</v>
      </c>
      <c r="D386" s="6">
        <f t="shared" si="3"/>
        <v>1819.41</v>
      </c>
      <c r="E386" s="6">
        <f t="shared" si="4"/>
        <v>0.74</v>
      </c>
    </row>
    <row r="387">
      <c r="A387" s="4" t="s">
        <v>5343</v>
      </c>
      <c r="B387" s="6" t="str">
        <f t="shared" si="1"/>
        <v>1827.15</v>
      </c>
      <c r="C387" s="6" t="str">
        <f t="shared" si="2"/>
        <v>1827,15</v>
      </c>
      <c r="D387" s="6">
        <f t="shared" si="3"/>
        <v>1827.15</v>
      </c>
      <c r="E387" s="6">
        <f t="shared" si="4"/>
        <v>7.74</v>
      </c>
    </row>
    <row r="388">
      <c r="A388" s="4" t="s">
        <v>5344</v>
      </c>
      <c r="B388" s="6" t="str">
        <f t="shared" si="1"/>
        <v>1832.84</v>
      </c>
      <c r="C388" s="6" t="str">
        <f t="shared" si="2"/>
        <v>1832,84</v>
      </c>
      <c r="D388" s="6">
        <f t="shared" si="3"/>
        <v>1832.84</v>
      </c>
      <c r="E388" s="6">
        <f t="shared" si="4"/>
        <v>5.69</v>
      </c>
    </row>
    <row r="389">
      <c r="A389" s="4" t="s">
        <v>5345</v>
      </c>
      <c r="B389" s="6" t="str">
        <f t="shared" si="1"/>
        <v>1835.99</v>
      </c>
      <c r="C389" s="6" t="str">
        <f t="shared" si="2"/>
        <v>1835,99</v>
      </c>
      <c r="D389" s="6">
        <f t="shared" si="3"/>
        <v>1835.99</v>
      </c>
      <c r="E389" s="6">
        <f t="shared" si="4"/>
        <v>3.15</v>
      </c>
    </row>
    <row r="390">
      <c r="A390" s="4" t="s">
        <v>5346</v>
      </c>
      <c r="B390" s="6" t="str">
        <f t="shared" si="1"/>
        <v>1849.38</v>
      </c>
      <c r="C390" s="6" t="str">
        <f t="shared" si="2"/>
        <v>1849,38</v>
      </c>
      <c r="D390" s="6">
        <f t="shared" si="3"/>
        <v>1849.38</v>
      </c>
      <c r="E390" s="6">
        <f t="shared" si="4"/>
        <v>13.39</v>
      </c>
    </row>
    <row r="391">
      <c r="A391" s="4" t="s">
        <v>5347</v>
      </c>
      <c r="B391" s="6" t="str">
        <f t="shared" si="1"/>
        <v>1850.82</v>
      </c>
      <c r="C391" s="6" t="str">
        <f t="shared" si="2"/>
        <v>1850,82</v>
      </c>
      <c r="D391" s="6">
        <f t="shared" si="3"/>
        <v>1850.82</v>
      </c>
      <c r="E391" s="6">
        <f t="shared" si="4"/>
        <v>1.44</v>
      </c>
    </row>
    <row r="392">
      <c r="A392" s="4" t="s">
        <v>5348</v>
      </c>
      <c r="B392" s="6" t="str">
        <f t="shared" si="1"/>
        <v>1856.29</v>
      </c>
      <c r="C392" s="6" t="str">
        <f t="shared" si="2"/>
        <v>1856,29</v>
      </c>
      <c r="D392" s="6">
        <f t="shared" si="3"/>
        <v>1856.29</v>
      </c>
      <c r="E392" s="6">
        <f t="shared" si="4"/>
        <v>5.47</v>
      </c>
    </row>
    <row r="393">
      <c r="A393" s="4" t="s">
        <v>5349</v>
      </c>
      <c r="B393" s="6" t="str">
        <f t="shared" si="1"/>
        <v>1863.28</v>
      </c>
      <c r="C393" s="6" t="str">
        <f t="shared" si="2"/>
        <v>1863,28</v>
      </c>
      <c r="D393" s="6">
        <f t="shared" si="3"/>
        <v>1863.28</v>
      </c>
      <c r="E393" s="6">
        <f t="shared" si="4"/>
        <v>6.99</v>
      </c>
    </row>
    <row r="394">
      <c r="A394" s="4" t="s">
        <v>5350</v>
      </c>
      <c r="B394" s="6" t="str">
        <f t="shared" si="1"/>
        <v>1863.92</v>
      </c>
      <c r="C394" s="6" t="str">
        <f t="shared" si="2"/>
        <v>1863,92</v>
      </c>
      <c r="D394" s="6">
        <f t="shared" si="3"/>
        <v>1863.92</v>
      </c>
      <c r="E394" s="6">
        <f t="shared" si="4"/>
        <v>0.64</v>
      </c>
    </row>
    <row r="395">
      <c r="A395" s="4" t="s">
        <v>5351</v>
      </c>
      <c r="B395" s="6" t="str">
        <f t="shared" si="1"/>
        <v>1891.61</v>
      </c>
      <c r="C395" s="6" t="str">
        <f t="shared" si="2"/>
        <v>1891,61</v>
      </c>
      <c r="D395" s="6">
        <f t="shared" si="3"/>
        <v>1891.61</v>
      </c>
      <c r="E395" s="6">
        <f t="shared" si="4"/>
        <v>27.69</v>
      </c>
    </row>
    <row r="396">
      <c r="A396" s="4" t="s">
        <v>5352</v>
      </c>
      <c r="B396" s="6" t="str">
        <f t="shared" si="1"/>
        <v>1894.27</v>
      </c>
      <c r="C396" s="6" t="str">
        <f t="shared" si="2"/>
        <v>1894,27</v>
      </c>
      <c r="D396" s="6">
        <f t="shared" si="3"/>
        <v>1894.27</v>
      </c>
      <c r="E396" s="6">
        <f t="shared" si="4"/>
        <v>2.66</v>
      </c>
    </row>
    <row r="397">
      <c r="A397" s="4" t="s">
        <v>5353</v>
      </c>
      <c r="B397" s="6" t="str">
        <f t="shared" si="1"/>
        <v>1899.78</v>
      </c>
      <c r="C397" s="6" t="str">
        <f t="shared" si="2"/>
        <v>1899,78</v>
      </c>
      <c r="D397" s="6">
        <f t="shared" si="3"/>
        <v>1899.78</v>
      </c>
      <c r="E397" s="6">
        <f t="shared" si="4"/>
        <v>5.51</v>
      </c>
    </row>
    <row r="398">
      <c r="A398" s="4" t="s">
        <v>5354</v>
      </c>
      <c r="B398" s="6" t="str">
        <f t="shared" si="1"/>
        <v>1900.43</v>
      </c>
      <c r="C398" s="6" t="str">
        <f t="shared" si="2"/>
        <v>1900,43</v>
      </c>
      <c r="D398" s="6">
        <f t="shared" si="3"/>
        <v>1900.43</v>
      </c>
      <c r="E398" s="6">
        <f t="shared" si="4"/>
        <v>0.65</v>
      </c>
    </row>
    <row r="399">
      <c r="A399" s="4" t="s">
        <v>5355</v>
      </c>
      <c r="B399" s="6" t="str">
        <f t="shared" si="1"/>
        <v>1901.22</v>
      </c>
      <c r="C399" s="6" t="str">
        <f t="shared" si="2"/>
        <v>1901,22</v>
      </c>
      <c r="D399" s="6">
        <f t="shared" si="3"/>
        <v>1901.22</v>
      </c>
      <c r="E399" s="6">
        <f t="shared" si="4"/>
        <v>0.79</v>
      </c>
    </row>
    <row r="400">
      <c r="A400" s="4" t="s">
        <v>5356</v>
      </c>
      <c r="B400" s="6" t="str">
        <f t="shared" si="1"/>
        <v>1905.71</v>
      </c>
      <c r="C400" s="6" t="str">
        <f t="shared" si="2"/>
        <v>1905,71</v>
      </c>
      <c r="D400" s="6">
        <f t="shared" si="3"/>
        <v>1905.71</v>
      </c>
      <c r="E400" s="6">
        <f t="shared" si="4"/>
        <v>4.49</v>
      </c>
    </row>
    <row r="401">
      <c r="A401" s="4" t="s">
        <v>5357</v>
      </c>
      <c r="B401" s="6" t="str">
        <f t="shared" si="1"/>
        <v>1914.04</v>
      </c>
      <c r="C401" s="6" t="str">
        <f t="shared" si="2"/>
        <v>1914,04</v>
      </c>
      <c r="D401" s="6">
        <f t="shared" si="3"/>
        <v>1914.04</v>
      </c>
      <c r="E401" s="6">
        <f t="shared" si="4"/>
        <v>8.33</v>
      </c>
    </row>
    <row r="402">
      <c r="A402" s="4" t="s">
        <v>5358</v>
      </c>
      <c r="B402" s="6" t="str">
        <f t="shared" si="1"/>
        <v>1920.14</v>
      </c>
      <c r="C402" s="6" t="str">
        <f t="shared" si="2"/>
        <v>1920,14</v>
      </c>
      <c r="D402" s="6">
        <f t="shared" si="3"/>
        <v>1920.14</v>
      </c>
      <c r="E402" s="6">
        <f t="shared" si="4"/>
        <v>6.1</v>
      </c>
    </row>
    <row r="403">
      <c r="A403" s="4" t="s">
        <v>5359</v>
      </c>
      <c r="B403" s="6" t="str">
        <f t="shared" si="1"/>
        <v>1922.63</v>
      </c>
      <c r="C403" s="6" t="str">
        <f t="shared" si="2"/>
        <v>1922,63</v>
      </c>
      <c r="D403" s="6">
        <f t="shared" si="3"/>
        <v>1922.63</v>
      </c>
      <c r="E403" s="6">
        <f t="shared" si="4"/>
        <v>2.49</v>
      </c>
    </row>
    <row r="404">
      <c r="A404" s="4" t="s">
        <v>5360</v>
      </c>
      <c r="B404" s="6" t="str">
        <f t="shared" si="1"/>
        <v>1923.32</v>
      </c>
      <c r="C404" s="6" t="str">
        <f t="shared" si="2"/>
        <v>1923,32</v>
      </c>
      <c r="D404" s="6">
        <f t="shared" si="3"/>
        <v>1923.32</v>
      </c>
      <c r="E404" s="6">
        <f t="shared" si="4"/>
        <v>0.69</v>
      </c>
    </row>
    <row r="405">
      <c r="A405" s="4" t="s">
        <v>5361</v>
      </c>
      <c r="B405" s="6" t="str">
        <f t="shared" si="1"/>
        <v>1936.04</v>
      </c>
      <c r="C405" s="6" t="str">
        <f t="shared" si="2"/>
        <v>1936,04</v>
      </c>
      <c r="D405" s="6">
        <f t="shared" si="3"/>
        <v>1936.04</v>
      </c>
      <c r="E405" s="6">
        <f t="shared" si="4"/>
        <v>12.72</v>
      </c>
    </row>
    <row r="406">
      <c r="A406" s="4" t="s">
        <v>5362</v>
      </c>
      <c r="B406" s="6" t="str">
        <f t="shared" si="1"/>
        <v>1937.57</v>
      </c>
      <c r="C406" s="6" t="str">
        <f t="shared" si="2"/>
        <v>1937,57</v>
      </c>
      <c r="D406" s="6">
        <f t="shared" si="3"/>
        <v>1937.57</v>
      </c>
      <c r="E406" s="6">
        <f t="shared" si="4"/>
        <v>1.53</v>
      </c>
    </row>
    <row r="407">
      <c r="A407" s="4" t="s">
        <v>5363</v>
      </c>
      <c r="B407" s="6" t="str">
        <f t="shared" si="1"/>
        <v>1938.24</v>
      </c>
      <c r="C407" s="6" t="str">
        <f t="shared" si="2"/>
        <v>1938,24</v>
      </c>
      <c r="D407" s="6">
        <f t="shared" si="3"/>
        <v>1938.24</v>
      </c>
      <c r="E407" s="6">
        <f t="shared" si="4"/>
        <v>0.67</v>
      </c>
    </row>
    <row r="408">
      <c r="A408" s="4" t="s">
        <v>5364</v>
      </c>
      <c r="B408" s="6" t="str">
        <f t="shared" si="1"/>
        <v>1938.92</v>
      </c>
      <c r="C408" s="6" t="str">
        <f t="shared" si="2"/>
        <v>1938,92</v>
      </c>
      <c r="D408" s="6">
        <f t="shared" si="3"/>
        <v>1938.92</v>
      </c>
      <c r="E408" s="6">
        <f t="shared" si="4"/>
        <v>0.68</v>
      </c>
    </row>
    <row r="409">
      <c r="A409" s="4" t="s">
        <v>5365</v>
      </c>
      <c r="B409" s="6" t="str">
        <f t="shared" si="1"/>
        <v>1951.33</v>
      </c>
      <c r="C409" s="6" t="str">
        <f t="shared" si="2"/>
        <v>1951,33</v>
      </c>
      <c r="D409" s="6">
        <f t="shared" si="3"/>
        <v>1951.33</v>
      </c>
      <c r="E409" s="6">
        <f t="shared" si="4"/>
        <v>12.41</v>
      </c>
    </row>
    <row r="410">
      <c r="A410" s="4" t="s">
        <v>5366</v>
      </c>
      <c r="B410" s="6" t="str">
        <f t="shared" si="1"/>
        <v>1952.13</v>
      </c>
      <c r="C410" s="6" t="str">
        <f t="shared" si="2"/>
        <v>1952,13</v>
      </c>
      <c r="D410" s="6">
        <f t="shared" si="3"/>
        <v>1952.13</v>
      </c>
      <c r="E410" s="6">
        <f t="shared" si="4"/>
        <v>0.8</v>
      </c>
    </row>
    <row r="411">
      <c r="A411" s="4" t="s">
        <v>5367</v>
      </c>
      <c r="B411" s="6" t="str">
        <f t="shared" si="1"/>
        <v>1953.31</v>
      </c>
      <c r="C411" s="6" t="str">
        <f t="shared" si="2"/>
        <v>1953,31</v>
      </c>
      <c r="D411" s="6">
        <f t="shared" si="3"/>
        <v>1953.31</v>
      </c>
      <c r="E411" s="6">
        <f t="shared" si="4"/>
        <v>1.18</v>
      </c>
    </row>
    <row r="412">
      <c r="A412" s="4" t="s">
        <v>5368</v>
      </c>
      <c r="B412" s="6" t="str">
        <f t="shared" si="1"/>
        <v>1964.22</v>
      </c>
      <c r="C412" s="6" t="str">
        <f t="shared" si="2"/>
        <v>1964,22</v>
      </c>
      <c r="D412" s="6">
        <f t="shared" si="3"/>
        <v>1964.22</v>
      </c>
      <c r="E412" s="6">
        <f t="shared" si="4"/>
        <v>10.91</v>
      </c>
    </row>
    <row r="413">
      <c r="A413" s="4" t="s">
        <v>5369</v>
      </c>
      <c r="B413" s="6" t="str">
        <f t="shared" si="1"/>
        <v>1964.88</v>
      </c>
      <c r="C413" s="6" t="str">
        <f t="shared" si="2"/>
        <v>1964,88</v>
      </c>
      <c r="D413" s="6">
        <f t="shared" si="3"/>
        <v>1964.88</v>
      </c>
      <c r="E413" s="6">
        <f t="shared" si="4"/>
        <v>0.66</v>
      </c>
    </row>
    <row r="414">
      <c r="A414" s="4" t="s">
        <v>5370</v>
      </c>
      <c r="B414" s="6" t="str">
        <f t="shared" si="1"/>
        <v>1965.52</v>
      </c>
      <c r="C414" s="6" t="str">
        <f t="shared" si="2"/>
        <v>1965,52</v>
      </c>
      <c r="D414" s="6">
        <f t="shared" si="3"/>
        <v>1965.52</v>
      </c>
      <c r="E414" s="6">
        <f t="shared" si="4"/>
        <v>0.64</v>
      </c>
    </row>
    <row r="415">
      <c r="A415" s="4" t="s">
        <v>5371</v>
      </c>
      <c r="B415" s="6" t="str">
        <f t="shared" si="1"/>
        <v>1973.46</v>
      </c>
      <c r="C415" s="6" t="str">
        <f t="shared" si="2"/>
        <v>1973,46</v>
      </c>
      <c r="D415" s="6">
        <f t="shared" si="3"/>
        <v>1973.46</v>
      </c>
      <c r="E415" s="6">
        <f t="shared" si="4"/>
        <v>7.94</v>
      </c>
    </row>
    <row r="416">
      <c r="A416" s="4" t="s">
        <v>5372</v>
      </c>
      <c r="B416" s="6" t="str">
        <f t="shared" si="1"/>
        <v>1975.43</v>
      </c>
      <c r="C416" s="6" t="str">
        <f t="shared" si="2"/>
        <v>1975,43</v>
      </c>
      <c r="D416" s="6">
        <f t="shared" si="3"/>
        <v>1975.43</v>
      </c>
      <c r="E416" s="6">
        <f t="shared" si="4"/>
        <v>1.97</v>
      </c>
    </row>
    <row r="417">
      <c r="A417" s="4" t="s">
        <v>5373</v>
      </c>
      <c r="B417" s="6" t="str">
        <f t="shared" si="1"/>
        <v>1978.59</v>
      </c>
      <c r="C417" s="6" t="str">
        <f t="shared" si="2"/>
        <v>1978,59</v>
      </c>
      <c r="D417" s="6">
        <f t="shared" si="3"/>
        <v>1978.59</v>
      </c>
      <c r="E417" s="6">
        <f t="shared" si="4"/>
        <v>3.16</v>
      </c>
    </row>
    <row r="418">
      <c r="A418" s="4" t="s">
        <v>5374</v>
      </c>
      <c r="B418" s="6" t="str">
        <f t="shared" si="1"/>
        <v>1983.28</v>
      </c>
      <c r="C418" s="6" t="str">
        <f t="shared" si="2"/>
        <v>1983,28</v>
      </c>
      <c r="D418" s="6">
        <f t="shared" si="3"/>
        <v>1983.28</v>
      </c>
      <c r="E418" s="6">
        <f t="shared" si="4"/>
        <v>4.69</v>
      </c>
    </row>
    <row r="419">
      <c r="A419" s="4" t="s">
        <v>5375</v>
      </c>
      <c r="B419" s="6" t="str">
        <f t="shared" si="1"/>
        <v>1984.05</v>
      </c>
      <c r="C419" s="6" t="str">
        <f t="shared" si="2"/>
        <v>1984,05</v>
      </c>
      <c r="D419" s="6">
        <f t="shared" si="3"/>
        <v>1984.05</v>
      </c>
      <c r="E419" s="6">
        <f t="shared" si="4"/>
        <v>0.77</v>
      </c>
    </row>
    <row r="420">
      <c r="A420" s="4" t="s">
        <v>5376</v>
      </c>
      <c r="B420" s="6" t="str">
        <f t="shared" si="1"/>
        <v>1987.10</v>
      </c>
      <c r="C420" s="6" t="str">
        <f t="shared" si="2"/>
        <v>1987,10</v>
      </c>
      <c r="D420" s="6">
        <f t="shared" si="3"/>
        <v>1987.1</v>
      </c>
      <c r="E420" s="6">
        <f t="shared" si="4"/>
        <v>3.05</v>
      </c>
    </row>
    <row r="421">
      <c r="A421" s="4" t="s">
        <v>5377</v>
      </c>
      <c r="B421" s="6" t="str">
        <f t="shared" si="1"/>
        <v>1987.73</v>
      </c>
      <c r="C421" s="6" t="str">
        <f t="shared" si="2"/>
        <v>1987,73</v>
      </c>
      <c r="D421" s="6">
        <f t="shared" si="3"/>
        <v>1987.73</v>
      </c>
      <c r="E421" s="6">
        <f t="shared" si="4"/>
        <v>0.63</v>
      </c>
    </row>
    <row r="422">
      <c r="A422" s="4" t="s">
        <v>5378</v>
      </c>
      <c r="B422" s="6" t="str">
        <f t="shared" si="1"/>
        <v>1999.60</v>
      </c>
      <c r="C422" s="6" t="str">
        <f t="shared" si="2"/>
        <v>1999,60</v>
      </c>
      <c r="D422" s="6">
        <f t="shared" si="3"/>
        <v>1999.6</v>
      </c>
      <c r="E422" s="6">
        <f t="shared" si="4"/>
        <v>11.87</v>
      </c>
    </row>
    <row r="423">
      <c r="A423" s="4" t="s">
        <v>5379</v>
      </c>
      <c r="B423" s="6" t="str">
        <f t="shared" si="1"/>
        <v>2000.84</v>
      </c>
      <c r="C423" s="6" t="str">
        <f t="shared" si="2"/>
        <v>2000,84</v>
      </c>
      <c r="D423" s="6">
        <f t="shared" si="3"/>
        <v>2000.84</v>
      </c>
      <c r="E423" s="6">
        <f t="shared" si="4"/>
        <v>1.24</v>
      </c>
    </row>
    <row r="424">
      <c r="A424" s="4" t="s">
        <v>5380</v>
      </c>
      <c r="B424" s="6" t="str">
        <f t="shared" si="1"/>
        <v>2001.86</v>
      </c>
      <c r="C424" s="6" t="str">
        <f t="shared" si="2"/>
        <v>2001,86</v>
      </c>
      <c r="D424" s="6">
        <f t="shared" si="3"/>
        <v>2001.86</v>
      </c>
      <c r="E424" s="6">
        <f t="shared" si="4"/>
        <v>1.02</v>
      </c>
    </row>
    <row r="425">
      <c r="A425" s="4" t="s">
        <v>5381</v>
      </c>
      <c r="B425" s="6" t="str">
        <f t="shared" si="1"/>
        <v>2004.80</v>
      </c>
      <c r="C425" s="6" t="str">
        <f t="shared" si="2"/>
        <v>2004,80</v>
      </c>
      <c r="D425" s="6">
        <f t="shared" si="3"/>
        <v>2004.8</v>
      </c>
      <c r="E425" s="6">
        <f t="shared" si="4"/>
        <v>2.94</v>
      </c>
    </row>
    <row r="426">
      <c r="A426" s="4" t="s">
        <v>5382</v>
      </c>
      <c r="B426" s="6" t="str">
        <f t="shared" si="1"/>
        <v>2007.99</v>
      </c>
      <c r="C426" s="6" t="str">
        <f t="shared" si="2"/>
        <v>2007,99</v>
      </c>
      <c r="D426" s="6">
        <f t="shared" si="3"/>
        <v>2007.99</v>
      </c>
      <c r="E426" s="6">
        <f t="shared" si="4"/>
        <v>3.19</v>
      </c>
    </row>
    <row r="427">
      <c r="A427" s="4" t="s">
        <v>5383</v>
      </c>
      <c r="B427" s="6" t="str">
        <f t="shared" si="1"/>
        <v>2009.98</v>
      </c>
      <c r="C427" s="6" t="str">
        <f t="shared" si="2"/>
        <v>2009,98</v>
      </c>
      <c r="D427" s="6">
        <f t="shared" si="3"/>
        <v>2009.98</v>
      </c>
      <c r="E427" s="6">
        <f t="shared" si="4"/>
        <v>1.99</v>
      </c>
    </row>
    <row r="428">
      <c r="A428" s="4" t="s">
        <v>5384</v>
      </c>
      <c r="B428" s="6" t="str">
        <f t="shared" si="1"/>
        <v>2015.40</v>
      </c>
      <c r="C428" s="6" t="str">
        <f t="shared" si="2"/>
        <v>2015,40</v>
      </c>
      <c r="D428" s="6">
        <f t="shared" si="3"/>
        <v>2015.4</v>
      </c>
      <c r="E428" s="6">
        <f t="shared" si="4"/>
        <v>5.42</v>
      </c>
    </row>
    <row r="429">
      <c r="A429" s="4" t="s">
        <v>5385</v>
      </c>
      <c r="B429" s="6" t="str">
        <f t="shared" si="1"/>
        <v>2024.92</v>
      </c>
      <c r="C429" s="6" t="str">
        <f t="shared" si="2"/>
        <v>2024,92</v>
      </c>
      <c r="D429" s="6">
        <f t="shared" si="3"/>
        <v>2024.92</v>
      </c>
      <c r="E429" s="6">
        <f t="shared" si="4"/>
        <v>9.52</v>
      </c>
    </row>
    <row r="430">
      <c r="A430" s="4" t="s">
        <v>5386</v>
      </c>
      <c r="B430" s="6" t="str">
        <f t="shared" si="1"/>
        <v>2038.66</v>
      </c>
      <c r="C430" s="6" t="str">
        <f t="shared" si="2"/>
        <v>2038,66</v>
      </c>
      <c r="D430" s="6">
        <f t="shared" si="3"/>
        <v>2038.66</v>
      </c>
      <c r="E430" s="6">
        <f t="shared" si="4"/>
        <v>13.74</v>
      </c>
    </row>
    <row r="431">
      <c r="A431" s="4" t="s">
        <v>5387</v>
      </c>
      <c r="B431" s="6" t="str">
        <f t="shared" si="1"/>
        <v>2043.23</v>
      </c>
      <c r="C431" s="6" t="str">
        <f t="shared" si="2"/>
        <v>2043,23</v>
      </c>
      <c r="D431" s="6">
        <f t="shared" si="3"/>
        <v>2043.23</v>
      </c>
      <c r="E431" s="6">
        <f t="shared" si="4"/>
        <v>4.57</v>
      </c>
    </row>
    <row r="432">
      <c r="A432" s="4" t="s">
        <v>5388</v>
      </c>
      <c r="B432" s="6" t="str">
        <f t="shared" si="1"/>
        <v>2044.11</v>
      </c>
      <c r="C432" s="6" t="str">
        <f t="shared" si="2"/>
        <v>2044,11</v>
      </c>
      <c r="D432" s="6">
        <f t="shared" si="3"/>
        <v>2044.11</v>
      </c>
      <c r="E432" s="6">
        <f t="shared" si="4"/>
        <v>0.88</v>
      </c>
    </row>
    <row r="433">
      <c r="A433" s="4" t="s">
        <v>5389</v>
      </c>
      <c r="B433" s="6" t="str">
        <f t="shared" si="1"/>
        <v>2057.59</v>
      </c>
      <c r="C433" s="6" t="str">
        <f t="shared" si="2"/>
        <v>2057,59</v>
      </c>
      <c r="D433" s="6">
        <f t="shared" si="3"/>
        <v>2057.59</v>
      </c>
      <c r="E433" s="6">
        <f t="shared" si="4"/>
        <v>13.48</v>
      </c>
    </row>
    <row r="434">
      <c r="A434" s="4" t="s">
        <v>5390</v>
      </c>
      <c r="B434" s="6" t="str">
        <f t="shared" si="1"/>
        <v>2058.32</v>
      </c>
      <c r="C434" s="6" t="str">
        <f t="shared" si="2"/>
        <v>2058,32</v>
      </c>
      <c r="D434" s="6">
        <f t="shared" si="3"/>
        <v>2058.32</v>
      </c>
      <c r="E434" s="6">
        <f t="shared" si="4"/>
        <v>0.73</v>
      </c>
    </row>
    <row r="435">
      <c r="A435" s="4" t="s">
        <v>5391</v>
      </c>
      <c r="B435" s="6" t="str">
        <f t="shared" si="1"/>
        <v>2059.80</v>
      </c>
      <c r="C435" s="6" t="str">
        <f t="shared" si="2"/>
        <v>2059,80</v>
      </c>
      <c r="D435" s="6">
        <f t="shared" si="3"/>
        <v>2059.8</v>
      </c>
      <c r="E435" s="6">
        <f t="shared" si="4"/>
        <v>1.48</v>
      </c>
    </row>
    <row r="436">
      <c r="A436" s="4" t="s">
        <v>5392</v>
      </c>
      <c r="B436" s="6" t="str">
        <f t="shared" si="1"/>
        <v>2062.98</v>
      </c>
      <c r="C436" s="6" t="str">
        <f t="shared" si="2"/>
        <v>2062,98</v>
      </c>
      <c r="D436" s="6">
        <f t="shared" si="3"/>
        <v>2062.98</v>
      </c>
      <c r="E436" s="6">
        <f t="shared" si="4"/>
        <v>3.18</v>
      </c>
    </row>
    <row r="437">
      <c r="A437" s="4" t="s">
        <v>5393</v>
      </c>
      <c r="B437" s="6" t="str">
        <f t="shared" si="1"/>
        <v>2070.60</v>
      </c>
      <c r="C437" s="6" t="str">
        <f t="shared" si="2"/>
        <v>2070,60</v>
      </c>
      <c r="D437" s="6">
        <f t="shared" si="3"/>
        <v>2070.6</v>
      </c>
      <c r="E437" s="6">
        <f t="shared" si="4"/>
        <v>7.62</v>
      </c>
    </row>
    <row r="438">
      <c r="A438" s="4" t="s">
        <v>5394</v>
      </c>
      <c r="B438" s="6" t="str">
        <f t="shared" si="1"/>
        <v>2086.52</v>
      </c>
      <c r="C438" s="6" t="str">
        <f t="shared" si="2"/>
        <v>2086,52</v>
      </c>
      <c r="D438" s="6">
        <f t="shared" si="3"/>
        <v>2086.52</v>
      </c>
      <c r="E438" s="6">
        <f t="shared" si="4"/>
        <v>15.92</v>
      </c>
    </row>
    <row r="439">
      <c r="A439" s="4" t="s">
        <v>5395</v>
      </c>
      <c r="B439" s="6" t="str">
        <f t="shared" si="1"/>
        <v>2099.27</v>
      </c>
      <c r="C439" s="6" t="str">
        <f t="shared" si="2"/>
        <v>2099,27</v>
      </c>
      <c r="D439" s="6">
        <f t="shared" si="3"/>
        <v>2099.27</v>
      </c>
      <c r="E439" s="6">
        <f t="shared" si="4"/>
        <v>12.75</v>
      </c>
    </row>
    <row r="440">
      <c r="A440" s="4" t="s">
        <v>5396</v>
      </c>
      <c r="B440" s="6" t="str">
        <f t="shared" si="1"/>
        <v>2101.67</v>
      </c>
      <c r="C440" s="6" t="str">
        <f t="shared" si="2"/>
        <v>2101,67</v>
      </c>
      <c r="D440" s="6">
        <f t="shared" si="3"/>
        <v>2101.67</v>
      </c>
      <c r="E440" s="6">
        <f t="shared" si="4"/>
        <v>2.4</v>
      </c>
    </row>
    <row r="441">
      <c r="A441" s="4" t="s">
        <v>5397</v>
      </c>
      <c r="B441" s="6" t="str">
        <f t="shared" si="1"/>
        <v>2102.35</v>
      </c>
      <c r="C441" s="6" t="str">
        <f t="shared" si="2"/>
        <v>2102,35</v>
      </c>
      <c r="D441" s="6">
        <f t="shared" si="3"/>
        <v>2102.35</v>
      </c>
      <c r="E441" s="6">
        <f t="shared" si="4"/>
        <v>0.68</v>
      </c>
    </row>
    <row r="442">
      <c r="A442" s="4" t="s">
        <v>5398</v>
      </c>
      <c r="B442" s="6" t="str">
        <f t="shared" si="1"/>
        <v>2106.10</v>
      </c>
      <c r="C442" s="6" t="str">
        <f t="shared" si="2"/>
        <v>2106,10</v>
      </c>
      <c r="D442" s="6">
        <f t="shared" si="3"/>
        <v>2106.1</v>
      </c>
      <c r="E442" s="6">
        <f t="shared" si="4"/>
        <v>3.75</v>
      </c>
    </row>
    <row r="443">
      <c r="A443" s="4" t="s">
        <v>5399</v>
      </c>
      <c r="B443" s="6" t="str">
        <f t="shared" si="1"/>
        <v>2113.54</v>
      </c>
      <c r="C443" s="6" t="str">
        <f t="shared" si="2"/>
        <v>2113,54</v>
      </c>
      <c r="D443" s="6">
        <f t="shared" si="3"/>
        <v>2113.54</v>
      </c>
      <c r="E443" s="6">
        <f t="shared" si="4"/>
        <v>7.44</v>
      </c>
    </row>
    <row r="444">
      <c r="A444" s="4" t="s">
        <v>5400</v>
      </c>
      <c r="B444" s="6" t="str">
        <f t="shared" si="1"/>
        <v>2119.60</v>
      </c>
      <c r="C444" s="6" t="str">
        <f t="shared" si="2"/>
        <v>2119,60</v>
      </c>
      <c r="D444" s="6">
        <f t="shared" si="3"/>
        <v>2119.6</v>
      </c>
      <c r="E444" s="6">
        <f t="shared" si="4"/>
        <v>6.06</v>
      </c>
    </row>
    <row r="445">
      <c r="A445" s="4" t="s">
        <v>5401</v>
      </c>
      <c r="B445" s="6" t="str">
        <f t="shared" si="1"/>
        <v>2120.71</v>
      </c>
      <c r="C445" s="6" t="str">
        <f t="shared" si="2"/>
        <v>2120,71</v>
      </c>
      <c r="D445" s="6">
        <f t="shared" si="3"/>
        <v>2120.71</v>
      </c>
      <c r="E445" s="6">
        <f t="shared" si="4"/>
        <v>1.11</v>
      </c>
    </row>
    <row r="446">
      <c r="A446" s="4" t="s">
        <v>5402</v>
      </c>
      <c r="B446" s="6" t="str">
        <f t="shared" si="1"/>
        <v>2123.11</v>
      </c>
      <c r="C446" s="6" t="str">
        <f t="shared" si="2"/>
        <v>2123,11</v>
      </c>
      <c r="D446" s="6">
        <f t="shared" si="3"/>
        <v>2123.11</v>
      </c>
      <c r="E446" s="6">
        <f t="shared" si="4"/>
        <v>2.4</v>
      </c>
    </row>
    <row r="447">
      <c r="A447" s="4" t="s">
        <v>5403</v>
      </c>
      <c r="B447" s="6" t="str">
        <f t="shared" si="1"/>
        <v>2127.32</v>
      </c>
      <c r="C447" s="6" t="str">
        <f t="shared" si="2"/>
        <v>2127,32</v>
      </c>
      <c r="D447" s="6">
        <f t="shared" si="3"/>
        <v>2127.32</v>
      </c>
      <c r="E447" s="6">
        <f t="shared" si="4"/>
        <v>4.21</v>
      </c>
    </row>
    <row r="448">
      <c r="A448" s="4" t="s">
        <v>5404</v>
      </c>
      <c r="B448" s="6" t="str">
        <f t="shared" si="1"/>
        <v>2128.04</v>
      </c>
      <c r="C448" s="6" t="str">
        <f t="shared" si="2"/>
        <v>2128,04</v>
      </c>
      <c r="D448" s="6">
        <f t="shared" si="3"/>
        <v>2128.04</v>
      </c>
      <c r="E448" s="6">
        <f t="shared" si="4"/>
        <v>0.72</v>
      </c>
    </row>
    <row r="449">
      <c r="A449" s="4" t="s">
        <v>5405</v>
      </c>
      <c r="B449" s="6" t="str">
        <f t="shared" si="1"/>
        <v>2130.14</v>
      </c>
      <c r="C449" s="6" t="str">
        <f t="shared" si="2"/>
        <v>2130,14</v>
      </c>
      <c r="D449" s="6">
        <f t="shared" si="3"/>
        <v>2130.14</v>
      </c>
      <c r="E449" s="6">
        <f t="shared" si="4"/>
        <v>2.1</v>
      </c>
    </row>
    <row r="450">
      <c r="A450" s="4" t="s">
        <v>5406</v>
      </c>
      <c r="B450" s="6" t="str">
        <f t="shared" si="1"/>
        <v>2134.13</v>
      </c>
      <c r="C450" s="6" t="str">
        <f t="shared" si="2"/>
        <v>2134,13</v>
      </c>
      <c r="D450" s="6">
        <f t="shared" si="3"/>
        <v>2134.13</v>
      </c>
      <c r="E450" s="6">
        <f t="shared" si="4"/>
        <v>3.99</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c r="H1" s="7"/>
    </row>
    <row r="2">
      <c r="A2" s="4" t="s">
        <v>5407</v>
      </c>
      <c r="C2" s="4"/>
      <c r="D2" s="4"/>
      <c r="E2" s="8"/>
      <c r="F2" s="8"/>
      <c r="G2" s="8"/>
      <c r="H2" s="9"/>
    </row>
    <row r="3">
      <c r="A3" s="4"/>
      <c r="C3" s="4"/>
      <c r="D3" s="4"/>
      <c r="E3" s="8"/>
      <c r="F3" s="8"/>
      <c r="G3" s="8"/>
      <c r="H3" s="9"/>
    </row>
    <row r="4">
      <c r="A4" s="4"/>
      <c r="C4" s="4"/>
      <c r="D4" s="4"/>
      <c r="E4" s="8"/>
      <c r="F4" s="8"/>
      <c r="G4" s="8"/>
      <c r="H4" s="9"/>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c r="H1" s="7"/>
    </row>
    <row r="2">
      <c r="A2" s="4" t="s">
        <v>33</v>
      </c>
      <c r="C2" s="4"/>
      <c r="D2" s="4"/>
      <c r="E2" s="8"/>
      <c r="F2" s="8"/>
      <c r="G2" s="8"/>
      <c r="H2" s="9"/>
    </row>
    <row r="3">
      <c r="A3" s="4" t="s">
        <v>5408</v>
      </c>
      <c r="C3" s="4"/>
      <c r="D3" s="4"/>
      <c r="E3" s="8"/>
      <c r="F3" s="8"/>
      <c r="G3" s="8"/>
      <c r="H3" s="9"/>
    </row>
    <row r="4">
      <c r="A4" s="4" t="s">
        <v>44</v>
      </c>
      <c r="C4" s="4"/>
      <c r="D4" s="4"/>
      <c r="E4" s="8"/>
      <c r="F4" s="8"/>
      <c r="G4" s="8"/>
      <c r="H4" s="9"/>
    </row>
    <row r="5">
      <c r="A5" s="4" t="s">
        <v>119</v>
      </c>
    </row>
    <row r="6">
      <c r="A6" s="4" t="s">
        <v>64</v>
      </c>
    </row>
    <row r="7">
      <c r="A7" s="4" t="s">
        <v>62</v>
      </c>
    </row>
    <row r="8">
      <c r="A8" s="4" t="s">
        <v>2608</v>
      </c>
    </row>
    <row r="9">
      <c r="A9" s="4" t="s">
        <v>5409</v>
      </c>
    </row>
    <row r="10">
      <c r="A10" s="4" t="s">
        <v>5410</v>
      </c>
    </row>
    <row r="11">
      <c r="A11" s="4" t="s">
        <v>33</v>
      </c>
    </row>
    <row r="12">
      <c r="A12" s="4" t="s">
        <v>34</v>
      </c>
    </row>
    <row r="13">
      <c r="A13" s="4" t="s">
        <v>80</v>
      </c>
    </row>
    <row r="14">
      <c r="A14" s="4" t="s">
        <v>896</v>
      </c>
    </row>
    <row r="15">
      <c r="A15" s="4" t="s">
        <v>41</v>
      </c>
    </row>
    <row r="16">
      <c r="A16" s="4" t="s">
        <v>1508</v>
      </c>
    </row>
    <row r="17">
      <c r="A17" s="4" t="s">
        <v>90</v>
      </c>
    </row>
    <row r="18">
      <c r="A18" s="4" t="s">
        <v>1510</v>
      </c>
    </row>
    <row r="19">
      <c r="A19" s="4" t="s">
        <v>553</v>
      </c>
    </row>
    <row r="20">
      <c r="A20" s="4" t="s">
        <v>5411</v>
      </c>
    </row>
    <row r="21">
      <c r="A21" s="4" t="s">
        <v>41</v>
      </c>
    </row>
    <row r="22">
      <c r="A22" s="4" t="s">
        <v>5412</v>
      </c>
    </row>
    <row r="23">
      <c r="A23" s="4" t="s">
        <v>90</v>
      </c>
    </row>
    <row r="24">
      <c r="A24" s="4" t="s">
        <v>1510</v>
      </c>
    </row>
    <row r="25">
      <c r="A25" s="4" t="s">
        <v>33</v>
      </c>
    </row>
    <row r="26">
      <c r="A26" s="4" t="s">
        <v>876</v>
      </c>
    </row>
    <row r="27">
      <c r="A27" s="4" t="s">
        <v>44</v>
      </c>
    </row>
    <row r="28">
      <c r="A28" s="4" t="s">
        <v>92</v>
      </c>
    </row>
    <row r="29">
      <c r="A29" s="4" t="s">
        <v>98</v>
      </c>
    </row>
    <row r="30">
      <c r="A30" s="4" t="s">
        <v>527</v>
      </c>
    </row>
    <row r="31">
      <c r="A31" s="4" t="s">
        <v>90</v>
      </c>
    </row>
    <row r="32">
      <c r="A32" s="4" t="s">
        <v>1510</v>
      </c>
    </row>
    <row r="33">
      <c r="A33" s="4" t="s">
        <v>33</v>
      </c>
    </row>
    <row r="34">
      <c r="A34" s="4" t="s">
        <v>5413</v>
      </c>
    </row>
    <row r="35">
      <c r="A35" s="4" t="s">
        <v>1217</v>
      </c>
    </row>
    <row r="36">
      <c r="A36" s="4" t="s">
        <v>40</v>
      </c>
    </row>
    <row r="37">
      <c r="A37" s="4" t="s">
        <v>5414</v>
      </c>
    </row>
    <row r="38">
      <c r="A38" s="4" t="s">
        <v>44</v>
      </c>
    </row>
    <row r="39">
      <c r="A39" s="4" t="s">
        <v>92</v>
      </c>
    </row>
    <row r="40">
      <c r="A40" s="4" t="s">
        <v>98</v>
      </c>
    </row>
    <row r="41">
      <c r="A41" s="4" t="s">
        <v>1547</v>
      </c>
    </row>
    <row r="42">
      <c r="A42" s="4" t="s">
        <v>528</v>
      </c>
    </row>
    <row r="43">
      <c r="A43" s="4" t="s">
        <v>33</v>
      </c>
    </row>
    <row r="44">
      <c r="A44" s="4" t="s">
        <v>876</v>
      </c>
    </row>
    <row r="45">
      <c r="A45" s="4" t="s">
        <v>44</v>
      </c>
    </row>
    <row r="46">
      <c r="A46" s="4" t="s">
        <v>1524</v>
      </c>
    </row>
    <row r="47">
      <c r="A47" s="4" t="s">
        <v>109</v>
      </c>
    </row>
    <row r="48">
      <c r="A48" s="4" t="s">
        <v>5415</v>
      </c>
    </row>
    <row r="49">
      <c r="A49" s="4" t="s">
        <v>5416</v>
      </c>
    </row>
    <row r="50">
      <c r="A50" s="4" t="s">
        <v>5417</v>
      </c>
    </row>
    <row r="51">
      <c r="A51" s="4" t="s">
        <v>33</v>
      </c>
    </row>
    <row r="52">
      <c r="A52" s="4" t="s">
        <v>43</v>
      </c>
    </row>
    <row r="53">
      <c r="A53" s="4" t="s">
        <v>41</v>
      </c>
    </row>
    <row r="54">
      <c r="A54" s="4" t="s">
        <v>45</v>
      </c>
    </row>
    <row r="55">
      <c r="A55" s="4" t="s">
        <v>107</v>
      </c>
    </row>
    <row r="56">
      <c r="A56" s="4" t="s">
        <v>41</v>
      </c>
    </row>
    <row r="57">
      <c r="A57" s="4" t="s">
        <v>5418</v>
      </c>
    </row>
    <row r="58">
      <c r="A58" s="4" t="s">
        <v>48</v>
      </c>
    </row>
    <row r="59">
      <c r="A59" s="4" t="s">
        <v>5419</v>
      </c>
    </row>
    <row r="60">
      <c r="A60" s="4" t="s">
        <v>160</v>
      </c>
    </row>
    <row r="61">
      <c r="A61" s="4" t="s">
        <v>5420</v>
      </c>
    </row>
    <row r="62">
      <c r="A62" s="4" t="s">
        <v>5421</v>
      </c>
    </row>
    <row r="63">
      <c r="A63" s="4" t="s">
        <v>33</v>
      </c>
    </row>
    <row r="64">
      <c r="A64" s="4" t="s">
        <v>891</v>
      </c>
    </row>
    <row r="65">
      <c r="A65" s="4" t="s">
        <v>41</v>
      </c>
    </row>
    <row r="66">
      <c r="A66" s="4" t="s">
        <v>896</v>
      </c>
    </row>
    <row r="67">
      <c r="A67" s="4" t="s">
        <v>88</v>
      </c>
    </row>
    <row r="68">
      <c r="A68" s="4" t="s">
        <v>75</v>
      </c>
    </row>
    <row r="69">
      <c r="A69" s="4" t="s">
        <v>48</v>
      </c>
    </row>
    <row r="70">
      <c r="A70" s="4" t="s">
        <v>947</v>
      </c>
    </row>
    <row r="71">
      <c r="A71" s="4" t="s">
        <v>101</v>
      </c>
    </row>
    <row r="72">
      <c r="A72" s="4" t="s">
        <v>1362</v>
      </c>
    </row>
    <row r="73">
      <c r="A73" s="4" t="s">
        <v>33</v>
      </c>
    </row>
    <row r="74">
      <c r="A74" s="4" t="s">
        <v>880</v>
      </c>
    </row>
    <row r="75">
      <c r="A75" s="4" t="s">
        <v>41</v>
      </c>
    </row>
    <row r="76">
      <c r="A76" s="4" t="s">
        <v>1503</v>
      </c>
    </row>
    <row r="77">
      <c r="A77" s="4" t="s">
        <v>564</v>
      </c>
    </row>
    <row r="78">
      <c r="A78" s="4" t="s">
        <v>966</v>
      </c>
    </row>
    <row r="79">
      <c r="A79" s="4" t="s">
        <v>5422</v>
      </c>
    </row>
    <row r="80">
      <c r="A80" s="4" t="s">
        <v>5423</v>
      </c>
    </row>
    <row r="81">
      <c r="A81" s="4" t="s">
        <v>1510</v>
      </c>
    </row>
    <row r="82">
      <c r="A82" s="4" t="s">
        <v>33</v>
      </c>
    </row>
    <row r="83">
      <c r="A83" s="4" t="s">
        <v>119</v>
      </c>
    </row>
    <row r="84">
      <c r="A84" s="4" t="s">
        <v>4468</v>
      </c>
    </row>
    <row r="85">
      <c r="A85" s="4" t="s">
        <v>126</v>
      </c>
    </row>
    <row r="86">
      <c r="A86" s="4" t="s">
        <v>98</v>
      </c>
    </row>
    <row r="87">
      <c r="A87" s="4" t="s">
        <v>5424</v>
      </c>
    </row>
    <row r="88">
      <c r="A88" s="4" t="s">
        <v>5425</v>
      </c>
    </row>
    <row r="89">
      <c r="A89" s="4" t="s">
        <v>895</v>
      </c>
    </row>
    <row r="90">
      <c r="A90" s="4" t="s">
        <v>5426</v>
      </c>
    </row>
    <row r="91">
      <c r="A91" s="4" t="s">
        <v>520</v>
      </c>
    </row>
    <row r="92">
      <c r="A92" s="4" t="s">
        <v>115</v>
      </c>
    </row>
    <row r="93">
      <c r="A93" s="4" t="s">
        <v>33</v>
      </c>
    </row>
    <row r="94">
      <c r="A94" s="4" t="s">
        <v>117</v>
      </c>
    </row>
    <row r="95">
      <c r="A95" s="4" t="s">
        <v>41</v>
      </c>
    </row>
    <row r="96">
      <c r="A96" s="4" t="s">
        <v>535</v>
      </c>
    </row>
    <row r="97">
      <c r="A97" s="4" t="s">
        <v>167</v>
      </c>
    </row>
    <row r="98">
      <c r="A98" s="4" t="s">
        <v>520</v>
      </c>
    </row>
    <row r="99">
      <c r="A99" s="4" t="s">
        <v>48</v>
      </c>
    </row>
    <row r="100">
      <c r="A100" s="4" t="s">
        <v>1230</v>
      </c>
    </row>
    <row r="101">
      <c r="A101" s="4" t="s">
        <v>33</v>
      </c>
    </row>
    <row r="102">
      <c r="A102" s="4" t="s">
        <v>3290</v>
      </c>
    </row>
    <row r="103">
      <c r="A103" s="4" t="s">
        <v>41</v>
      </c>
    </row>
    <row r="104">
      <c r="A104" s="4" t="s">
        <v>3834</v>
      </c>
    </row>
    <row r="105">
      <c r="A105" s="4" t="s">
        <v>44</v>
      </c>
    </row>
    <row r="106">
      <c r="A106" s="4" t="s">
        <v>1508</v>
      </c>
    </row>
    <row r="107">
      <c r="A107" s="4" t="s">
        <v>33</v>
      </c>
    </row>
    <row r="108">
      <c r="A108" s="4" t="s">
        <v>918</v>
      </c>
    </row>
    <row r="109">
      <c r="A109" s="4" t="s">
        <v>41</v>
      </c>
    </row>
    <row r="110">
      <c r="A110" s="4" t="s">
        <v>1547</v>
      </c>
    </row>
    <row r="111">
      <c r="A111" s="4" t="s">
        <v>115</v>
      </c>
    </row>
    <row r="112">
      <c r="A112" s="4" t="s">
        <v>5427</v>
      </c>
    </row>
    <row r="113">
      <c r="A113" s="4" t="s">
        <v>5428</v>
      </c>
    </row>
    <row r="114">
      <c r="A114" s="4" t="s">
        <v>5429</v>
      </c>
    </row>
    <row r="115">
      <c r="A115" s="4" t="s">
        <v>553</v>
      </c>
    </row>
    <row r="116">
      <c r="A116" s="4" t="s">
        <v>925</v>
      </c>
    </row>
    <row r="117">
      <c r="A117" s="4" t="s">
        <v>525</v>
      </c>
    </row>
    <row r="118">
      <c r="A118" s="4" t="s">
        <v>35</v>
      </c>
    </row>
    <row r="119">
      <c r="A119" s="4" t="s">
        <v>40</v>
      </c>
    </row>
    <row r="120">
      <c r="A120" s="4" t="s">
        <v>128</v>
      </c>
    </row>
    <row r="121">
      <c r="A121" s="4" t="s">
        <v>529</v>
      </c>
    </row>
    <row r="122">
      <c r="A122" s="4" t="s">
        <v>129</v>
      </c>
    </row>
    <row r="123">
      <c r="A123" s="4" t="s">
        <v>109</v>
      </c>
    </row>
    <row r="124">
      <c r="A124" s="4" t="s">
        <v>92</v>
      </c>
    </row>
    <row r="125">
      <c r="A125" s="4" t="s">
        <v>98</v>
      </c>
    </row>
    <row r="126">
      <c r="A126" s="4" t="s">
        <v>925</v>
      </c>
    </row>
    <row r="127">
      <c r="A127" s="4" t="s">
        <v>3787</v>
      </c>
    </row>
    <row r="128">
      <c r="A128" s="4" t="s">
        <v>33</v>
      </c>
    </row>
    <row r="129">
      <c r="A129" s="4" t="s">
        <v>534</v>
      </c>
    </row>
    <row r="130">
      <c r="A130" s="4" t="s">
        <v>41</v>
      </c>
    </row>
    <row r="131">
      <c r="A131" s="4" t="s">
        <v>908</v>
      </c>
    </row>
    <row r="132">
      <c r="A132" s="4" t="s">
        <v>909</v>
      </c>
    </row>
    <row r="133">
      <c r="A133" s="4" t="s">
        <v>44</v>
      </c>
    </row>
    <row r="134">
      <c r="A134" s="4" t="s">
        <v>888</v>
      </c>
    </row>
    <row r="135">
      <c r="A135" s="4" t="s">
        <v>902</v>
      </c>
    </row>
    <row r="136">
      <c r="A136" s="4" t="s">
        <v>5430</v>
      </c>
    </row>
    <row r="137">
      <c r="A137" s="4" t="s">
        <v>5431</v>
      </c>
    </row>
    <row r="138">
      <c r="A138" s="4" t="s">
        <v>48</v>
      </c>
    </row>
    <row r="139">
      <c r="A139" s="4" t="s">
        <v>88</v>
      </c>
    </row>
    <row r="140">
      <c r="A140" s="4" t="s">
        <v>89</v>
      </c>
    </row>
    <row r="141">
      <c r="A141" s="4" t="s">
        <v>33</v>
      </c>
    </row>
    <row r="142">
      <c r="A142" s="4" t="s">
        <v>3835</v>
      </c>
    </row>
    <row r="143">
      <c r="A143" s="4" t="s">
        <v>41</v>
      </c>
    </row>
    <row r="144">
      <c r="A144" s="4" t="s">
        <v>5432</v>
      </c>
    </row>
    <row r="145">
      <c r="A145" s="4" t="s">
        <v>5433</v>
      </c>
    </row>
    <row r="146">
      <c r="A146" s="4" t="s">
        <v>40</v>
      </c>
    </row>
    <row r="147">
      <c r="A147" s="4" t="s">
        <v>147</v>
      </c>
    </row>
    <row r="148">
      <c r="A148" s="4" t="s">
        <v>115</v>
      </c>
    </row>
    <row r="149">
      <c r="A149" s="4" t="s">
        <v>970</v>
      </c>
    </row>
    <row r="150">
      <c r="A150" s="4" t="s">
        <v>33</v>
      </c>
    </row>
    <row r="151">
      <c r="A151" s="4" t="s">
        <v>880</v>
      </c>
    </row>
    <row r="152">
      <c r="A152" s="4" t="s">
        <v>41</v>
      </c>
    </row>
    <row r="153">
      <c r="A153" s="4" t="s">
        <v>1503</v>
      </c>
    </row>
    <row r="154">
      <c r="A154" s="4" t="s">
        <v>109</v>
      </c>
    </row>
    <row r="155">
      <c r="A155" s="4" t="s">
        <v>5434</v>
      </c>
    </row>
    <row r="156">
      <c r="A156" s="4" t="s">
        <v>111</v>
      </c>
    </row>
    <row r="157">
      <c r="A157" s="4" t="s">
        <v>40</v>
      </c>
    </row>
    <row r="158">
      <c r="A158" s="4" t="s">
        <v>921</v>
      </c>
    </row>
    <row r="159">
      <c r="A159" s="4" t="s">
        <v>115</v>
      </c>
    </row>
    <row r="160">
      <c r="A160" s="4" t="s">
        <v>119</v>
      </c>
    </row>
    <row r="161">
      <c r="A161" s="4" t="s">
        <v>120</v>
      </c>
    </row>
    <row r="162">
      <c r="A162" s="4" t="s">
        <v>524</v>
      </c>
    </row>
    <row r="163">
      <c r="A163" s="4" t="s">
        <v>33</v>
      </c>
    </row>
    <row r="164">
      <c r="A164" s="4" t="s">
        <v>34</v>
      </c>
    </row>
    <row r="165">
      <c r="A165" s="4" t="s">
        <v>80</v>
      </c>
    </row>
    <row r="166">
      <c r="A166" s="4" t="s">
        <v>925</v>
      </c>
    </row>
    <row r="167">
      <c r="A167" s="4" t="s">
        <v>525</v>
      </c>
    </row>
    <row r="168">
      <c r="A168" s="4" t="s">
        <v>5435</v>
      </c>
    </row>
    <row r="169">
      <c r="A169" s="4" t="s">
        <v>877</v>
      </c>
    </row>
    <row r="170">
      <c r="A170" s="4" t="s">
        <v>111</v>
      </c>
    </row>
    <row r="171">
      <c r="A171" s="4" t="s">
        <v>94</v>
      </c>
    </row>
    <row r="172">
      <c r="A172" s="4" t="s">
        <v>901</v>
      </c>
    </row>
    <row r="173">
      <c r="A173" s="4" t="s">
        <v>33</v>
      </c>
    </row>
    <row r="174">
      <c r="A174" s="4" t="s">
        <v>876</v>
      </c>
    </row>
    <row r="175">
      <c r="A175" s="4" t="s">
        <v>964</v>
      </c>
    </row>
    <row r="176">
      <c r="A176" s="4" t="s">
        <v>3803</v>
      </c>
    </row>
    <row r="177">
      <c r="A177" s="4" t="s">
        <v>92</v>
      </c>
    </row>
    <row r="178">
      <c r="A178" s="4" t="s">
        <v>93</v>
      </c>
    </row>
    <row r="179">
      <c r="A179" s="4" t="s">
        <v>966</v>
      </c>
    </row>
    <row r="180">
      <c r="A180" s="4" t="s">
        <v>3831</v>
      </c>
    </row>
    <row r="181">
      <c r="A181" s="4" t="s">
        <v>5436</v>
      </c>
    </row>
    <row r="182">
      <c r="A182" s="4" t="s">
        <v>126</v>
      </c>
    </row>
    <row r="183">
      <c r="A183" s="4" t="s">
        <v>883</v>
      </c>
    </row>
    <row r="184">
      <c r="A184" s="4" t="s">
        <v>33</v>
      </c>
    </row>
    <row r="185">
      <c r="A185" s="4" t="s">
        <v>3290</v>
      </c>
    </row>
    <row r="186">
      <c r="A186" s="4" t="s">
        <v>41</v>
      </c>
    </row>
    <row r="187">
      <c r="A187" s="4" t="s">
        <v>3834</v>
      </c>
    </row>
    <row r="188">
      <c r="A188" s="4" t="s">
        <v>929</v>
      </c>
    </row>
    <row r="189">
      <c r="A189" s="4" t="s">
        <v>5437</v>
      </c>
    </row>
    <row r="190">
      <c r="A190" s="4" t="s">
        <v>160</v>
      </c>
    </row>
    <row r="191">
      <c r="A191" s="4" t="s">
        <v>5438</v>
      </c>
    </row>
    <row r="192">
      <c r="A192" s="4" t="s">
        <v>33</v>
      </c>
    </row>
    <row r="193">
      <c r="A193" s="4" t="s">
        <v>954</v>
      </c>
    </row>
    <row r="194">
      <c r="A194" s="4" t="s">
        <v>972</v>
      </c>
    </row>
    <row r="195">
      <c r="A195" s="4" t="s">
        <v>119</v>
      </c>
    </row>
    <row r="196">
      <c r="A196" s="4" t="s">
        <v>917</v>
      </c>
    </row>
    <row r="197">
      <c r="A197" s="4" t="s">
        <v>40</v>
      </c>
    </row>
    <row r="198">
      <c r="A198" s="4" t="s">
        <v>75</v>
      </c>
    </row>
    <row r="199">
      <c r="A199" s="4" t="s">
        <v>33</v>
      </c>
    </row>
    <row r="200">
      <c r="A200" s="4" t="s">
        <v>113</v>
      </c>
    </row>
    <row r="201">
      <c r="A201" s="4" t="s">
        <v>1539</v>
      </c>
    </row>
    <row r="202">
      <c r="A202" s="4" t="s">
        <v>44</v>
      </c>
    </row>
    <row r="203">
      <c r="A203" s="4" t="s">
        <v>5439</v>
      </c>
    </row>
    <row r="204">
      <c r="A204" s="4" t="s">
        <v>33</v>
      </c>
    </row>
    <row r="205">
      <c r="A205" s="4" t="s">
        <v>876</v>
      </c>
    </row>
    <row r="206">
      <c r="A206" s="4" t="s">
        <v>44</v>
      </c>
    </row>
    <row r="207">
      <c r="A207" s="4" t="s">
        <v>513</v>
      </c>
    </row>
    <row r="208">
      <c r="A208" s="4" t="s">
        <v>5440</v>
      </c>
    </row>
    <row r="209">
      <c r="A209" s="4" t="s">
        <v>537</v>
      </c>
    </row>
    <row r="210">
      <c r="A210" s="4" t="s">
        <v>518</v>
      </c>
    </row>
    <row r="211">
      <c r="A211" s="4" t="s">
        <v>516</v>
      </c>
    </row>
    <row r="212">
      <c r="A212" s="4" t="s">
        <v>92</v>
      </c>
    </row>
    <row r="213">
      <c r="A213" s="4" t="s">
        <v>500</v>
      </c>
    </row>
    <row r="214">
      <c r="A214" s="4" t="s">
        <v>101</v>
      </c>
    </row>
    <row r="215">
      <c r="A215" s="4" t="s">
        <v>33</v>
      </c>
    </row>
    <row r="216">
      <c r="A216" s="4" t="s">
        <v>5441</v>
      </c>
    </row>
    <row r="217">
      <c r="A217" s="4" t="s">
        <v>964</v>
      </c>
    </row>
    <row r="218">
      <c r="A218" s="4" t="s">
        <v>88</v>
      </c>
    </row>
    <row r="219">
      <c r="A219" s="4" t="s">
        <v>40</v>
      </c>
    </row>
    <row r="220">
      <c r="A220" s="4" t="s">
        <v>75</v>
      </c>
    </row>
    <row r="221">
      <c r="A221" s="4" t="s">
        <v>33</v>
      </c>
    </row>
    <row r="222">
      <c r="A222" s="4" t="s">
        <v>1241</v>
      </c>
    </row>
    <row r="223">
      <c r="A223" s="4" t="s">
        <v>88</v>
      </c>
    </row>
    <row r="224">
      <c r="A224" s="4" t="s">
        <v>89</v>
      </c>
    </row>
    <row r="225">
      <c r="A225" s="4" t="s">
        <v>877</v>
      </c>
    </row>
    <row r="226">
      <c r="A226" s="4" t="s">
        <v>119</v>
      </c>
    </row>
    <row r="227">
      <c r="A227" s="4" t="s">
        <v>878</v>
      </c>
    </row>
    <row r="228">
      <c r="A228" s="4" t="s">
        <v>879</v>
      </c>
    </row>
    <row r="229">
      <c r="A229" s="4" t="s">
        <v>553</v>
      </c>
    </row>
    <row r="230">
      <c r="A230" s="4" t="s">
        <v>3019</v>
      </c>
    </row>
    <row r="231">
      <c r="A231" s="4" t="s">
        <v>44</v>
      </c>
    </row>
    <row r="232">
      <c r="A232" s="4" t="s">
        <v>867</v>
      </c>
    </row>
    <row r="233">
      <c r="A233" s="4" t="s">
        <v>107</v>
      </c>
    </row>
    <row r="234">
      <c r="A234" s="4" t="s">
        <v>41</v>
      </c>
    </row>
    <row r="235">
      <c r="A235" s="4" t="s">
        <v>892</v>
      </c>
    </row>
    <row r="236">
      <c r="A236" s="4" t="s">
        <v>48</v>
      </c>
    </row>
    <row r="237">
      <c r="A237" s="4" t="s">
        <v>40</v>
      </c>
    </row>
    <row r="238">
      <c r="A238" s="4" t="s">
        <v>5442</v>
      </c>
    </row>
    <row r="239">
      <c r="A239" s="4" t="s">
        <v>553</v>
      </c>
    </row>
    <row r="240">
      <c r="A240" s="4" t="s">
        <v>866</v>
      </c>
    </row>
    <row r="241">
      <c r="A241" s="4" t="s">
        <v>44</v>
      </c>
    </row>
    <row r="242">
      <c r="A242" s="4" t="s">
        <v>3291</v>
      </c>
    </row>
    <row r="243">
      <c r="A243" s="4" t="s">
        <v>3794</v>
      </c>
    </row>
    <row r="244">
      <c r="A244" s="4" t="s">
        <v>40</v>
      </c>
    </row>
    <row r="245">
      <c r="A245" s="4" t="s">
        <v>520</v>
      </c>
    </row>
    <row r="246">
      <c r="A246" s="4" t="s">
        <v>509</v>
      </c>
    </row>
    <row r="247">
      <c r="A247" s="4" t="s">
        <v>92</v>
      </c>
    </row>
    <row r="248">
      <c r="A248" s="4" t="s">
        <v>122</v>
      </c>
    </row>
    <row r="249">
      <c r="A249" s="4" t="s">
        <v>119</v>
      </c>
    </row>
    <row r="250">
      <c r="A250" s="4" t="s">
        <v>166</v>
      </c>
    </row>
    <row r="251">
      <c r="A251" s="4" t="s">
        <v>5443</v>
      </c>
    </row>
    <row r="252">
      <c r="A252" s="4" t="s">
        <v>33</v>
      </c>
    </row>
    <row r="253">
      <c r="A253" s="4" t="s">
        <v>876</v>
      </c>
    </row>
    <row r="254">
      <c r="A254" s="4" t="s">
        <v>919</v>
      </c>
    </row>
    <row r="255">
      <c r="A255" s="4" t="s">
        <v>957</v>
      </c>
    </row>
    <row r="256">
      <c r="A256" s="4" t="s">
        <v>160</v>
      </c>
    </row>
    <row r="257">
      <c r="A257" s="4" t="s">
        <v>518</v>
      </c>
    </row>
    <row r="258">
      <c r="A258" s="4" t="s">
        <v>5444</v>
      </c>
    </row>
    <row r="259">
      <c r="A259" s="4" t="s">
        <v>3818</v>
      </c>
    </row>
    <row r="260">
      <c r="A260" s="4" t="s">
        <v>33</v>
      </c>
    </row>
    <row r="261">
      <c r="A261" s="4" t="s">
        <v>113</v>
      </c>
    </row>
    <row r="262">
      <c r="A262" s="4" t="s">
        <v>5445</v>
      </c>
    </row>
    <row r="263">
      <c r="A263" s="4" t="s">
        <v>159</v>
      </c>
    </row>
    <row r="264">
      <c r="A264" s="4" t="s">
        <v>520</v>
      </c>
    </row>
    <row r="265">
      <c r="A265" s="4" t="s">
        <v>119</v>
      </c>
    </row>
    <row r="266">
      <c r="A266" s="4" t="s">
        <v>120</v>
      </c>
    </row>
    <row r="267">
      <c r="A267" s="4" t="s">
        <v>33</v>
      </c>
    </row>
    <row r="268">
      <c r="A268" s="4" t="s">
        <v>119</v>
      </c>
    </row>
    <row r="269">
      <c r="A269" s="4" t="s">
        <v>108</v>
      </c>
    </row>
    <row r="270">
      <c r="A270" s="4" t="s">
        <v>109</v>
      </c>
    </row>
    <row r="271">
      <c r="A271" s="4" t="s">
        <v>110</v>
      </c>
    </row>
    <row r="272">
      <c r="A272" s="4" t="s">
        <v>1367</v>
      </c>
    </row>
    <row r="273">
      <c r="A273" s="4" t="s">
        <v>967</v>
      </c>
    </row>
    <row r="274">
      <c r="A274" s="4" t="s">
        <v>5446</v>
      </c>
    </row>
    <row r="275">
      <c r="A275" s="4" t="s">
        <v>39</v>
      </c>
    </row>
    <row r="276">
      <c r="A276" s="4" t="s">
        <v>159</v>
      </c>
    </row>
    <row r="277">
      <c r="A277" s="4" t="s">
        <v>51</v>
      </c>
    </row>
    <row r="278">
      <c r="A278" s="4" t="s">
        <v>946</v>
      </c>
    </row>
    <row r="279">
      <c r="A279" s="4" t="s">
        <v>57</v>
      </c>
    </row>
    <row r="280">
      <c r="A280" s="4" t="s">
        <v>553</v>
      </c>
    </row>
    <row r="281">
      <c r="A281" s="4" t="s">
        <v>866</v>
      </c>
    </row>
    <row r="282">
      <c r="A282" s="4" t="s">
        <v>41</v>
      </c>
    </row>
    <row r="283">
      <c r="A283" s="4" t="s">
        <v>867</v>
      </c>
    </row>
    <row r="284">
      <c r="A284" s="4" t="s">
        <v>549</v>
      </c>
    </row>
    <row r="285">
      <c r="A285" s="4" t="s">
        <v>5447</v>
      </c>
    </row>
    <row r="286">
      <c r="A286" s="4" t="s">
        <v>3291</v>
      </c>
    </row>
    <row r="287">
      <c r="A287" s="4" t="s">
        <v>160</v>
      </c>
    </row>
    <row r="288">
      <c r="A288" s="4" t="s">
        <v>1246</v>
      </c>
    </row>
    <row r="289">
      <c r="A289" s="4" t="s">
        <v>553</v>
      </c>
    </row>
    <row r="290">
      <c r="A290" s="4" t="s">
        <v>3019</v>
      </c>
    </row>
    <row r="291">
      <c r="A291" s="4" t="s">
        <v>41</v>
      </c>
    </row>
    <row r="292">
      <c r="A292" s="4" t="s">
        <v>1514</v>
      </c>
    </row>
    <row r="293">
      <c r="A293" s="4" t="s">
        <v>115</v>
      </c>
    </row>
    <row r="294">
      <c r="A294" s="4" t="s">
        <v>150</v>
      </c>
    </row>
    <row r="295">
      <c r="A295" s="4" t="s">
        <v>5448</v>
      </c>
    </row>
    <row r="296">
      <c r="A296" s="4" t="s">
        <v>90</v>
      </c>
    </row>
    <row r="297">
      <c r="A297" s="4" t="s">
        <v>1510</v>
      </c>
    </row>
    <row r="298">
      <c r="A298" s="4" t="s">
        <v>33</v>
      </c>
    </row>
    <row r="299">
      <c r="A299" s="4" t="s">
        <v>113</v>
      </c>
    </row>
    <row r="300">
      <c r="A300" s="4" t="s">
        <v>44</v>
      </c>
    </row>
    <row r="301">
      <c r="A301" s="4" t="s">
        <v>5449</v>
      </c>
    </row>
    <row r="302">
      <c r="A302" s="4" t="s">
        <v>119</v>
      </c>
    </row>
    <row r="303">
      <c r="A303" s="4" t="s">
        <v>64</v>
      </c>
    </row>
    <row r="304">
      <c r="A304" s="4" t="s">
        <v>62</v>
      </c>
    </row>
    <row r="305">
      <c r="A305" s="4" t="s">
        <v>5450</v>
      </c>
    </row>
    <row r="306">
      <c r="A306" s="4" t="s">
        <v>1377</v>
      </c>
    </row>
    <row r="307">
      <c r="A307" s="4" t="s">
        <v>5451</v>
      </c>
    </row>
    <row r="308">
      <c r="A308" s="4" t="s">
        <v>5452</v>
      </c>
    </row>
    <row r="309">
      <c r="A309" s="4" t="s">
        <v>519</v>
      </c>
    </row>
    <row r="310">
      <c r="A310" s="4" t="s">
        <v>526</v>
      </c>
    </row>
    <row r="311">
      <c r="A311" s="4" t="s">
        <v>33</v>
      </c>
    </row>
    <row r="312">
      <c r="A312" s="4" t="s">
        <v>119</v>
      </c>
    </row>
    <row r="313">
      <c r="A313" s="4" t="s">
        <v>5453</v>
      </c>
    </row>
    <row r="314">
      <c r="A314" s="4" t="s">
        <v>2614</v>
      </c>
    </row>
    <row r="315">
      <c r="A315" s="4" t="s">
        <v>871</v>
      </c>
    </row>
    <row r="316">
      <c r="A316" s="4" t="s">
        <v>75</v>
      </c>
    </row>
    <row r="317">
      <c r="A317" s="4" t="s">
        <v>90</v>
      </c>
    </row>
    <row r="318">
      <c r="A318" s="4" t="s">
        <v>44</v>
      </c>
    </row>
    <row r="319">
      <c r="A319" s="4" t="s">
        <v>522</v>
      </c>
    </row>
    <row r="320">
      <c r="A320" s="4" t="s">
        <v>513</v>
      </c>
    </row>
    <row r="321">
      <c r="A321" s="4" t="s">
        <v>1339</v>
      </c>
    </row>
    <row r="322">
      <c r="A322" s="4" t="s">
        <v>537</v>
      </c>
    </row>
    <row r="323">
      <c r="A323" s="4" t="s">
        <v>518</v>
      </c>
    </row>
    <row r="324">
      <c r="A324" s="4" t="s">
        <v>63</v>
      </c>
    </row>
    <row r="325">
      <c r="A325" s="4" t="s">
        <v>5453</v>
      </c>
    </row>
    <row r="326">
      <c r="A326" s="4" t="s">
        <v>33</v>
      </c>
    </row>
    <row r="327">
      <c r="A327" s="4" t="s">
        <v>534</v>
      </c>
    </row>
    <row r="328">
      <c r="A328" s="4" t="s">
        <v>44</v>
      </c>
    </row>
    <row r="329">
      <c r="A329" s="4" t="s">
        <v>92</v>
      </c>
    </row>
    <row r="330">
      <c r="A330" s="4" t="s">
        <v>98</v>
      </c>
    </row>
    <row r="331">
      <c r="A331" s="4" t="s">
        <v>883</v>
      </c>
    </row>
    <row r="332">
      <c r="A332" s="4" t="s">
        <v>88</v>
      </c>
    </row>
    <row r="333">
      <c r="A333" s="4" t="s">
        <v>89</v>
      </c>
    </row>
    <row r="334">
      <c r="A334" s="4" t="s">
        <v>33</v>
      </c>
    </row>
    <row r="335">
      <c r="A335" s="4" t="s">
        <v>876</v>
      </c>
    </row>
    <row r="336">
      <c r="A336" s="4" t="s">
        <v>44</v>
      </c>
    </row>
    <row r="337">
      <c r="A337" s="4" t="s">
        <v>513</v>
      </c>
    </row>
    <row r="338">
      <c r="A338" s="4" t="s">
        <v>1339</v>
      </c>
    </row>
    <row r="339">
      <c r="A339" s="4" t="s">
        <v>892</v>
      </c>
    </row>
    <row r="340">
      <c r="A340" s="4" t="s">
        <v>5454</v>
      </c>
    </row>
    <row r="341">
      <c r="A341" s="4" t="s">
        <v>941</v>
      </c>
    </row>
    <row r="342">
      <c r="A342" s="4" t="s">
        <v>115</v>
      </c>
    </row>
    <row r="343">
      <c r="A343" s="4" t="s">
        <v>1523</v>
      </c>
    </row>
    <row r="344">
      <c r="A344" s="4" t="s">
        <v>33</v>
      </c>
    </row>
    <row r="345">
      <c r="A345" s="4" t="s">
        <v>3290</v>
      </c>
    </row>
    <row r="346">
      <c r="A346" s="4" t="s">
        <v>41</v>
      </c>
    </row>
    <row r="347">
      <c r="A347" s="4" t="s">
        <v>5455</v>
      </c>
    </row>
    <row r="348">
      <c r="A348" s="4" t="s">
        <v>513</v>
      </c>
    </row>
    <row r="349">
      <c r="A349" s="4" t="s">
        <v>5456</v>
      </c>
    </row>
    <row r="350">
      <c r="A350" s="4" t="s">
        <v>90</v>
      </c>
    </row>
    <row r="351">
      <c r="A351" s="4" t="s">
        <v>33</v>
      </c>
    </row>
    <row r="352">
      <c r="A352" s="4" t="s">
        <v>5457</v>
      </c>
    </row>
    <row r="353">
      <c r="A353" s="4" t="s">
        <v>41</v>
      </c>
    </row>
    <row r="354">
      <c r="A354" s="4" t="s">
        <v>3815</v>
      </c>
    </row>
    <row r="355">
      <c r="A355" s="4" t="s">
        <v>109</v>
      </c>
    </row>
    <row r="356">
      <c r="A356" s="4" t="s">
        <v>110</v>
      </c>
    </row>
    <row r="357">
      <c r="A357" s="4" t="s">
        <v>111</v>
      </c>
    </row>
    <row r="358">
      <c r="A358" s="4" t="s">
        <v>98</v>
      </c>
    </row>
    <row r="359">
      <c r="A359" s="4" t="s">
        <v>5458</v>
      </c>
    </row>
    <row r="360">
      <c r="A360" s="4" t="s">
        <v>1356</v>
      </c>
    </row>
    <row r="361">
      <c r="A361" s="4" t="s">
        <v>970</v>
      </c>
    </row>
    <row r="362">
      <c r="A362" s="4" t="s">
        <v>115</v>
      </c>
    </row>
    <row r="363">
      <c r="A363" s="4" t="s">
        <v>33</v>
      </c>
    </row>
    <row r="364">
      <c r="A364" s="4" t="s">
        <v>897</v>
      </c>
    </row>
    <row r="365">
      <c r="A365" s="4" t="s">
        <v>41</v>
      </c>
    </row>
    <row r="366">
      <c r="A366" s="4" t="s">
        <v>913</v>
      </c>
    </row>
    <row r="367">
      <c r="A367" s="4" t="s">
        <v>39</v>
      </c>
    </row>
    <row r="368">
      <c r="A368" s="4" t="s">
        <v>40</v>
      </c>
    </row>
    <row r="369">
      <c r="A369" s="4" t="s">
        <v>5459</v>
      </c>
    </row>
    <row r="370">
      <c r="A370" s="4" t="s">
        <v>33</v>
      </c>
    </row>
    <row r="371">
      <c r="A371" s="4" t="s">
        <v>43</v>
      </c>
    </row>
    <row r="372">
      <c r="A372" s="4" t="s">
        <v>41</v>
      </c>
    </row>
    <row r="373">
      <c r="A373" s="4" t="s">
        <v>5460</v>
      </c>
    </row>
    <row r="374">
      <c r="A374" s="4" t="s">
        <v>107</v>
      </c>
    </row>
    <row r="375">
      <c r="A375" s="4" t="s">
        <v>41</v>
      </c>
    </row>
    <row r="376">
      <c r="A376" s="4" t="s">
        <v>5418</v>
      </c>
    </row>
    <row r="377">
      <c r="A377" s="4" t="s">
        <v>553</v>
      </c>
    </row>
    <row r="378">
      <c r="A378" s="4" t="s">
        <v>3019</v>
      </c>
    </row>
    <row r="379">
      <c r="A379" s="4" t="s">
        <v>44</v>
      </c>
    </row>
    <row r="380">
      <c r="A380" s="4" t="s">
        <v>119</v>
      </c>
    </row>
    <row r="381">
      <c r="A381" s="4" t="s">
        <v>3286</v>
      </c>
    </row>
    <row r="382">
      <c r="A382" s="4" t="s">
        <v>126</v>
      </c>
    </row>
    <row r="383">
      <c r="A383" s="4" t="s">
        <v>98</v>
      </c>
    </row>
    <row r="384">
      <c r="A384" s="4" t="s">
        <v>4871</v>
      </c>
    </row>
    <row r="385">
      <c r="A385" s="4" t="s">
        <v>50</v>
      </c>
    </row>
    <row r="386">
      <c r="A386" s="4" t="s">
        <v>40</v>
      </c>
    </row>
    <row r="387">
      <c r="A387" s="4" t="s">
        <v>1491</v>
      </c>
    </row>
    <row r="388">
      <c r="A388" s="4" t="s">
        <v>33</v>
      </c>
    </row>
    <row r="389">
      <c r="A389" s="4" t="s">
        <v>887</v>
      </c>
    </row>
    <row r="390">
      <c r="A390" s="4" t="s">
        <v>544</v>
      </c>
    </row>
    <row r="391">
      <c r="A391" s="4" t="s">
        <v>5461</v>
      </c>
    </row>
    <row r="392">
      <c r="A392" s="4" t="s">
        <v>5462</v>
      </c>
    </row>
    <row r="393">
      <c r="A393" s="4" t="s">
        <v>40</v>
      </c>
    </row>
    <row r="394">
      <c r="A394" s="4" t="s">
        <v>1366</v>
      </c>
    </row>
    <row r="395">
      <c r="A395" s="4" t="s">
        <v>33</v>
      </c>
    </row>
    <row r="396">
      <c r="A396" s="4" t="s">
        <v>876</v>
      </c>
    </row>
    <row r="397">
      <c r="A397" s="4" t="s">
        <v>44</v>
      </c>
    </row>
    <row r="398">
      <c r="A398" s="4" t="s">
        <v>1524</v>
      </c>
    </row>
    <row r="399">
      <c r="A399" s="4" t="s">
        <v>109</v>
      </c>
    </row>
    <row r="400">
      <c r="A400" s="4" t="s">
        <v>1530</v>
      </c>
    </row>
    <row r="401">
      <c r="A401" s="4" t="s">
        <v>518</v>
      </c>
    </row>
    <row r="402">
      <c r="A402" s="4" t="s">
        <v>34</v>
      </c>
    </row>
    <row r="403">
      <c r="A403" s="4" t="s">
        <v>5463</v>
      </c>
    </row>
    <row r="404">
      <c r="A404" s="4" t="s">
        <v>33</v>
      </c>
    </row>
    <row r="405">
      <c r="A405" s="4" t="s">
        <v>918</v>
      </c>
    </row>
    <row r="406">
      <c r="A406" s="4" t="s">
        <v>1496</v>
      </c>
    </row>
    <row r="407">
      <c r="A407" s="4" t="s">
        <v>919</v>
      </c>
    </row>
    <row r="408">
      <c r="A408" s="4" t="s">
        <v>3834</v>
      </c>
    </row>
    <row r="409">
      <c r="A409" s="4" t="s">
        <v>48</v>
      </c>
    </row>
    <row r="410">
      <c r="A410" s="4" t="s">
        <v>547</v>
      </c>
    </row>
    <row r="411">
      <c r="A411" s="4" t="s">
        <v>871</v>
      </c>
    </row>
    <row r="412">
      <c r="A412" s="4" t="s">
        <v>115</v>
      </c>
    </row>
    <row r="413">
      <c r="A413" s="4" t="s">
        <v>3268</v>
      </c>
    </row>
    <row r="414">
      <c r="A414" s="4" t="s">
        <v>33</v>
      </c>
    </row>
    <row r="415">
      <c r="A415" s="4" t="s">
        <v>1241</v>
      </c>
    </row>
    <row r="416">
      <c r="A416" s="4" t="s">
        <v>5464</v>
      </c>
    </row>
    <row r="417">
      <c r="A417" s="4" t="s">
        <v>90</v>
      </c>
    </row>
    <row r="418">
      <c r="A418" s="4" t="s">
        <v>44</v>
      </c>
    </row>
    <row r="419">
      <c r="A419" s="4" t="s">
        <v>513</v>
      </c>
    </row>
    <row r="420">
      <c r="A420" s="4" t="s">
        <v>514</v>
      </c>
    </row>
    <row r="421">
      <c r="A421" s="4" t="s">
        <v>518</v>
      </c>
    </row>
    <row r="422">
      <c r="A422" s="4" t="s">
        <v>34</v>
      </c>
    </row>
    <row r="423">
      <c r="A423" s="4" t="s">
        <v>51</v>
      </c>
    </row>
    <row r="424">
      <c r="A424" s="4" t="s">
        <v>5465</v>
      </c>
    </row>
    <row r="425">
      <c r="A425" s="4" t="s">
        <v>57</v>
      </c>
    </row>
    <row r="426">
      <c r="A426" s="4" t="s">
        <v>33</v>
      </c>
    </row>
    <row r="427">
      <c r="A427" s="4" t="s">
        <v>34</v>
      </c>
    </row>
    <row r="428">
      <c r="A428" s="4" t="s">
        <v>88</v>
      </c>
    </row>
    <row r="429">
      <c r="A429" s="4" t="s">
        <v>40</v>
      </c>
    </row>
    <row r="430">
      <c r="A430" s="4" t="s">
        <v>75</v>
      </c>
    </row>
    <row r="431">
      <c r="A431" s="4" t="s">
        <v>33</v>
      </c>
    </row>
    <row r="432">
      <c r="A432" s="4" t="s">
        <v>876</v>
      </c>
    </row>
    <row r="433">
      <c r="A433" s="4" t="s">
        <v>88</v>
      </c>
    </row>
    <row r="434">
      <c r="A434" s="4" t="s">
        <v>89</v>
      </c>
    </row>
    <row r="435">
      <c r="A435" s="4" t="s">
        <v>877</v>
      </c>
    </row>
    <row r="436">
      <c r="A436" s="4" t="s">
        <v>119</v>
      </c>
    </row>
    <row r="437">
      <c r="A437" s="4" t="s">
        <v>923</v>
      </c>
    </row>
    <row r="438">
      <c r="A438" s="4" t="s">
        <v>126</v>
      </c>
    </row>
    <row r="439">
      <c r="A439" s="4" t="s">
        <v>93</v>
      </c>
    </row>
    <row r="440">
      <c r="A440" s="4" t="s">
        <v>33</v>
      </c>
    </row>
    <row r="441">
      <c r="A441" s="4" t="s">
        <v>5466</v>
      </c>
    </row>
    <row r="442">
      <c r="A442" s="4" t="s">
        <v>96</v>
      </c>
    </row>
    <row r="443">
      <c r="A443" s="4" t="s">
        <v>88</v>
      </c>
    </row>
    <row r="444">
      <c r="A444" s="4" t="s">
        <v>33</v>
      </c>
    </row>
    <row r="445">
      <c r="A445" s="4" t="s">
        <v>897</v>
      </c>
    </row>
    <row r="446">
      <c r="A446" s="4" t="s">
        <v>41</v>
      </c>
    </row>
    <row r="447">
      <c r="A447" s="4" t="s">
        <v>913</v>
      </c>
    </row>
    <row r="448">
      <c r="A448" s="4" t="s">
        <v>90</v>
      </c>
    </row>
    <row r="449">
      <c r="A449" s="4" t="s">
        <v>115</v>
      </c>
    </row>
    <row r="450">
      <c r="A450" s="4" t="s">
        <v>919</v>
      </c>
    </row>
    <row r="451">
      <c r="A451" s="4" t="s">
        <v>5467</v>
      </c>
    </row>
    <row r="452">
      <c r="A452" s="4" t="s">
        <v>3682</v>
      </c>
    </row>
    <row r="453">
      <c r="A453" s="4" t="s">
        <v>62</v>
      </c>
    </row>
    <row r="454">
      <c r="A454" s="4" t="s">
        <v>2608</v>
      </c>
    </row>
    <row r="455">
      <c r="A455" s="4" t="s">
        <v>57</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175</v>
      </c>
      <c r="D2" s="4" t="str">
        <f t="shared" ref="D2:D420" si="1">C2</f>
        <v>{"valorA":"ótimo","valorB":1.0}</v>
      </c>
      <c r="E2" s="8" t="str">
        <f t="shared" ref="E2:E420" si="2">SUBSTITUTE(MID(C2,FIND(":",C2)+1,FIND(",",C2)-FIND(":",C2)-1),"""","")</f>
        <v>ótimo</v>
      </c>
      <c r="F2" s="8" t="str">
        <f>IFERROR(__xludf.DUMMYFUNCTION("UNIQUE(E2:E420)"),"ótimo")</f>
        <v>ótimo</v>
      </c>
      <c r="G2" s="8" t="str">
        <f t="shared" ref="G2:G420" si="3">MID(C2,FIND("valorB",C2)+8,FIND("}",C2)-FIND("valorB",C2)-8)</f>
        <v>1.0</v>
      </c>
      <c r="H2" s="9">
        <f t="shared" ref="H2:H420" si="4">VALUE(SUBSTITUTE(G2,".",","))</f>
        <v>1</v>
      </c>
      <c r="I2" s="10">
        <f>IFERROR(__xludf.DUMMYFUNCTION("MAX(FILTER($H:$H,$E:$E=F2))"),42.0)</f>
        <v>42</v>
      </c>
    </row>
    <row r="3">
      <c r="C3" s="4" t="s">
        <v>277</v>
      </c>
      <c r="D3" s="4" t="str">
        <f t="shared" si="1"/>
        <v>{"valorA":"recomendo","valorB":2.0}</v>
      </c>
      <c r="E3" s="8" t="str">
        <f t="shared" si="2"/>
        <v>recomendo</v>
      </c>
      <c r="F3" s="8" t="str">
        <f>IFERROR(__xludf.DUMMYFUNCTION("""COMPUTED_VALUE"""),"recomendo")</f>
        <v>recomendo</v>
      </c>
      <c r="G3" s="8" t="str">
        <f t="shared" si="3"/>
        <v>2.0</v>
      </c>
      <c r="H3" s="9">
        <f t="shared" si="4"/>
        <v>2</v>
      </c>
      <c r="I3" s="10">
        <f>IFERROR(__xludf.DUMMYFUNCTION("MAX(FILTER($H:$H,$E:$E=F3))"),8.0)</f>
        <v>8</v>
      </c>
    </row>
    <row r="4">
      <c r="C4" s="4" t="s">
        <v>4494</v>
      </c>
      <c r="D4" s="4" t="str">
        <f t="shared" si="1"/>
        <v>{"valorA":"antigo","valorB":1.0}</v>
      </c>
      <c r="E4" s="8" t="str">
        <f t="shared" si="2"/>
        <v>antigo</v>
      </c>
      <c r="F4" s="8" t="str">
        <f>IFERROR(__xludf.DUMMYFUNCTION("""COMPUTED_VALUE"""),"antigo")</f>
        <v>antigo</v>
      </c>
      <c r="G4" s="8" t="str">
        <f t="shared" si="3"/>
        <v>1.0</v>
      </c>
      <c r="H4" s="9">
        <f t="shared" si="4"/>
        <v>1</v>
      </c>
      <c r="I4" s="10">
        <f>IFERROR(__xludf.DUMMYFUNCTION("MAX(FILTER($H:$H,$E:$E=F4))"),2.0)</f>
        <v>2</v>
      </c>
    </row>
    <row r="5">
      <c r="C5" s="4" t="s">
        <v>178</v>
      </c>
      <c r="D5" s="4" t="str">
        <f t="shared" si="1"/>
        <v>{"valorA":"para","valorB":1.0}</v>
      </c>
      <c r="E5" s="8" t="str">
        <f t="shared" si="2"/>
        <v>para</v>
      </c>
      <c r="F5" s="8" t="str">
        <f>IFERROR(__xludf.DUMMYFUNCTION("""COMPUTED_VALUE"""),"para")</f>
        <v>para</v>
      </c>
      <c r="G5" s="8" t="str">
        <f t="shared" si="3"/>
        <v>1.0</v>
      </c>
      <c r="H5" s="9">
        <f t="shared" si="4"/>
        <v>1</v>
      </c>
      <c r="I5" s="10">
        <f>IFERROR(__xludf.DUMMYFUNCTION("MAX(FILTER($H:$H,$E:$E=F5))"),17.0)</f>
        <v>17</v>
      </c>
    </row>
    <row r="6">
      <c r="C6" s="4" t="s">
        <v>1011</v>
      </c>
      <c r="D6" s="4" t="str">
        <f t="shared" si="1"/>
        <v>{"valorA":"roupa","valorB":1.0}</v>
      </c>
      <c r="E6" s="8" t="str">
        <f t="shared" si="2"/>
        <v>roupa</v>
      </c>
      <c r="F6" s="8" t="str">
        <f>IFERROR(__xludf.DUMMYFUNCTION("""COMPUTED_VALUE"""),"roupa")</f>
        <v>roupa</v>
      </c>
      <c r="G6" s="8" t="str">
        <f t="shared" si="3"/>
        <v>1.0</v>
      </c>
      <c r="H6" s="9">
        <f t="shared" si="4"/>
        <v>1</v>
      </c>
      <c r="I6" s="10">
        <f>IFERROR(__xludf.DUMMYFUNCTION("MAX(FILTER($H:$H,$E:$E=F6))"),2.0)</f>
        <v>2</v>
      </c>
    </row>
    <row r="7">
      <c r="C7" s="4" t="s">
        <v>200</v>
      </c>
      <c r="D7" s="4" t="str">
        <f t="shared" si="1"/>
        <v>{"valorA":"meu","valorB":1.0}</v>
      </c>
      <c r="E7" s="8" t="str">
        <f t="shared" si="2"/>
        <v>meu</v>
      </c>
      <c r="F7" s="8" t="str">
        <f>IFERROR(__xludf.DUMMYFUNCTION("""COMPUTED_VALUE"""),"meu")</f>
        <v>meu</v>
      </c>
      <c r="G7" s="8" t="str">
        <f t="shared" si="3"/>
        <v>1.0</v>
      </c>
      <c r="H7" s="9">
        <f t="shared" si="4"/>
        <v>1</v>
      </c>
      <c r="I7" s="10">
        <f>IFERROR(__xludf.DUMMYFUNCTION("MAX(FILTER($H:$H,$E:$E=F7))"),3.0)</f>
        <v>3</v>
      </c>
    </row>
    <row r="8">
      <c r="C8" s="4" t="s">
        <v>5468</v>
      </c>
      <c r="D8" s="4" t="str">
        <f t="shared" si="1"/>
        <v>{"valorA":"péssimo","valorB":1.0}</v>
      </c>
      <c r="E8" s="8" t="str">
        <f t="shared" si="2"/>
        <v>péssimo</v>
      </c>
      <c r="F8" s="8" t="str">
        <f>IFERROR(__xludf.DUMMYFUNCTION("""COMPUTED_VALUE"""),"péssimo")</f>
        <v>péssimo</v>
      </c>
      <c r="G8" s="8" t="str">
        <f t="shared" si="3"/>
        <v>1.0</v>
      </c>
      <c r="H8" s="9">
        <f t="shared" si="4"/>
        <v>1</v>
      </c>
      <c r="I8" s="10">
        <f>IFERROR(__xludf.DUMMYFUNCTION("MAX(FILTER($H:$H,$E:$E=F8))"),1.0)</f>
        <v>1</v>
      </c>
    </row>
    <row r="9">
      <c r="C9" s="4" t="s">
        <v>750</v>
      </c>
      <c r="D9" s="4" t="str">
        <f t="shared" si="1"/>
        <v>{"valorA":"ótima","valorB":1.0}</v>
      </c>
      <c r="E9" s="8" t="str">
        <f t="shared" si="2"/>
        <v>ótima</v>
      </c>
      <c r="F9" s="8" t="str">
        <f>IFERROR(__xludf.DUMMYFUNCTION("""COMPUTED_VALUE"""),"ótima")</f>
        <v>ótima</v>
      </c>
      <c r="G9" s="8" t="str">
        <f t="shared" si="3"/>
        <v>1.0</v>
      </c>
      <c r="H9" s="9">
        <f t="shared" si="4"/>
        <v>1</v>
      </c>
      <c r="I9" s="10">
        <f>IFERROR(__xludf.DUMMYFUNCTION("MAX(FILTER($H:$H,$E:$E=F9))"),7.0)</f>
        <v>7</v>
      </c>
    </row>
    <row r="10">
      <c r="C10" s="4" t="s">
        <v>310</v>
      </c>
      <c r="D10" s="4" t="str">
        <f t="shared" si="1"/>
        <v>{"valorA":"o","valorB":1.0}</v>
      </c>
      <c r="E10" s="8" t="str">
        <f t="shared" si="2"/>
        <v>o</v>
      </c>
      <c r="F10" s="8" t="str">
        <f>IFERROR(__xludf.DUMMYFUNCTION("""COMPUTED_VALUE"""),"o")</f>
        <v>o</v>
      </c>
      <c r="G10" s="8" t="str">
        <f t="shared" si="3"/>
        <v>1.0</v>
      </c>
      <c r="H10" s="9">
        <f t="shared" si="4"/>
        <v>1</v>
      </c>
      <c r="I10" s="10">
        <f>IFERROR(__xludf.DUMMYFUNCTION("MAX(FILTER($H:$H,$E:$E=F10))"),12.0)</f>
        <v>12</v>
      </c>
    </row>
    <row r="11">
      <c r="C11" s="4" t="s">
        <v>186</v>
      </c>
      <c r="D11" s="4" t="str">
        <f t="shared" si="1"/>
        <v>{"valorA":"de","valorB":2.0}</v>
      </c>
      <c r="E11" s="8" t="str">
        <f t="shared" si="2"/>
        <v>de</v>
      </c>
      <c r="F11" s="8" t="str">
        <f>IFERROR(__xludf.DUMMYFUNCTION("""COMPUTED_VALUE"""),"de")</f>
        <v>de</v>
      </c>
      <c r="G11" s="8" t="str">
        <f t="shared" si="3"/>
        <v>2.0</v>
      </c>
      <c r="H11" s="9">
        <f t="shared" si="4"/>
        <v>2</v>
      </c>
      <c r="I11" s="10">
        <f>IFERROR(__xludf.DUMMYFUNCTION("MAX(FILTER($H:$H,$E:$E=F11))"),22.0)</f>
        <v>22</v>
      </c>
    </row>
    <row r="12">
      <c r="C12" s="4" t="s">
        <v>1572</v>
      </c>
      <c r="D12" s="4" t="str">
        <f t="shared" si="1"/>
        <v>{"valorA":"banho","valorB":1.0}</v>
      </c>
      <c r="E12" s="8" t="str">
        <f t="shared" si="2"/>
        <v>banho</v>
      </c>
      <c r="F12" s="8" t="str">
        <f>IFERROR(__xludf.DUMMYFUNCTION("""COMPUTED_VALUE"""),"banho")</f>
        <v>banho</v>
      </c>
      <c r="G12" s="8" t="str">
        <f t="shared" si="3"/>
        <v>1.0</v>
      </c>
      <c r="H12" s="9">
        <f t="shared" si="4"/>
        <v>1</v>
      </c>
      <c r="I12" s="10">
        <f>IFERROR(__xludf.DUMMYFUNCTION("MAX(FILTER($H:$H,$E:$E=F12))"),2.0)</f>
        <v>2</v>
      </c>
    </row>
    <row r="13">
      <c r="C13" s="4" t="s">
        <v>5469</v>
      </c>
      <c r="D13" s="4" t="str">
        <f t="shared" si="1"/>
        <v>{"valorA":"estava","valorB":1.0}</v>
      </c>
      <c r="E13" s="8" t="str">
        <f t="shared" si="2"/>
        <v>estava</v>
      </c>
      <c r="F13" s="8" t="str">
        <f>IFERROR(__xludf.DUMMYFUNCTION("""COMPUTED_VALUE"""),"estava")</f>
        <v>estava</v>
      </c>
      <c r="G13" s="8" t="str">
        <f t="shared" si="3"/>
        <v>1.0</v>
      </c>
      <c r="H13" s="9">
        <f t="shared" si="4"/>
        <v>1</v>
      </c>
      <c r="I13" s="10">
        <f>IFERROR(__xludf.DUMMYFUNCTION("MAX(FILTER($H:$H,$E:$E=F13))"),1.0)</f>
        <v>1</v>
      </c>
    </row>
    <row r="14">
      <c r="C14" s="4" t="s">
        <v>1598</v>
      </c>
      <c r="D14" s="4" t="str">
        <f t="shared" si="1"/>
        <v>{"valorA":"fortemente","valorB":2.0}</v>
      </c>
      <c r="E14" s="8" t="str">
        <f t="shared" si="2"/>
        <v>fortemente</v>
      </c>
      <c r="F14" s="8" t="str">
        <f>IFERROR(__xludf.DUMMYFUNCTION("""COMPUTED_VALUE"""),"fortemente")</f>
        <v>fortemente</v>
      </c>
      <c r="G14" s="8" t="str">
        <f t="shared" si="3"/>
        <v>2.0</v>
      </c>
      <c r="H14" s="9">
        <f t="shared" si="4"/>
        <v>2</v>
      </c>
      <c r="I14" s="10">
        <f>IFERROR(__xludf.DUMMYFUNCTION("MAX(FILTER($H:$H,$E:$E=F14))"),5.0)</f>
        <v>5</v>
      </c>
    </row>
    <row r="15">
      <c r="C15" s="4" t="s">
        <v>5470</v>
      </c>
      <c r="D15" s="4" t="str">
        <f t="shared" si="1"/>
        <v>{"valorA":"trilho","valorB":1.0}</v>
      </c>
      <c r="E15" s="8" t="str">
        <f t="shared" si="2"/>
        <v>trilho</v>
      </c>
      <c r="F15" s="8" t="str">
        <f>IFERROR(__xludf.DUMMYFUNCTION("""COMPUTED_VALUE"""),"trilho")</f>
        <v>trilho</v>
      </c>
      <c r="G15" s="8" t="str">
        <f t="shared" si="3"/>
        <v>1.0</v>
      </c>
      <c r="H15" s="9">
        <f t="shared" si="4"/>
        <v>1</v>
      </c>
      <c r="I15" s="10">
        <f>IFERROR(__xludf.DUMMYFUNCTION("MAX(FILTER($H:$H,$E:$E=F15))"),1.0)</f>
        <v>1</v>
      </c>
    </row>
    <row r="16">
      <c r="C16" s="4" t="s">
        <v>208</v>
      </c>
      <c r="D16" s="4" t="str">
        <f t="shared" si="1"/>
        <v>{"valorA":"carro","valorB":1.0}</v>
      </c>
      <c r="E16" s="8" t="str">
        <f t="shared" si="2"/>
        <v>carro</v>
      </c>
      <c r="F16" s="8" t="str">
        <f>IFERROR(__xludf.DUMMYFUNCTION("""COMPUTED_VALUE"""),"carro")</f>
        <v>carro</v>
      </c>
      <c r="G16" s="8" t="str">
        <f t="shared" si="3"/>
        <v>1.0</v>
      </c>
      <c r="H16" s="9">
        <f t="shared" si="4"/>
        <v>1</v>
      </c>
      <c r="I16" s="10">
        <f>IFERROR(__xludf.DUMMYFUNCTION("MAX(FILTER($H:$H,$E:$E=F16))"),2.0)</f>
        <v>2</v>
      </c>
    </row>
    <row r="17">
      <c r="C17" s="4" t="s">
        <v>1001</v>
      </c>
      <c r="D17" s="4" t="str">
        <f t="shared" si="1"/>
        <v>{"valorA":"produto","valorB":1.0}</v>
      </c>
      <c r="E17" s="8" t="str">
        <f t="shared" si="2"/>
        <v>produto</v>
      </c>
      <c r="F17" s="8" t="str">
        <f>IFERROR(__xludf.DUMMYFUNCTION("""COMPUTED_VALUE"""),"produto")</f>
        <v>produto</v>
      </c>
      <c r="G17" s="8" t="str">
        <f t="shared" si="3"/>
        <v>1.0</v>
      </c>
      <c r="H17" s="9">
        <f t="shared" si="4"/>
        <v>1</v>
      </c>
      <c r="I17" s="10">
        <f>IFERROR(__xludf.DUMMYFUNCTION("MAX(FILTER($H:$H,$E:$E=F17))"),5.0)</f>
        <v>5</v>
      </c>
    </row>
    <row r="18">
      <c r="C18" s="4" t="s">
        <v>576</v>
      </c>
      <c r="D18" s="4" t="str">
        <f t="shared" si="1"/>
        <v>{"valorA":"ótimo","valorB":2.0}</v>
      </c>
      <c r="E18" s="8" t="str">
        <f t="shared" si="2"/>
        <v>ótimo</v>
      </c>
      <c r="F18" s="8" t="str">
        <f>IFERROR(__xludf.DUMMYFUNCTION("""COMPUTED_VALUE"""),"essa")</f>
        <v>essa</v>
      </c>
      <c r="G18" s="8" t="str">
        <f t="shared" si="3"/>
        <v>2.0</v>
      </c>
      <c r="H18" s="9">
        <f t="shared" si="4"/>
        <v>2</v>
      </c>
      <c r="I18" s="10">
        <f>IFERROR(__xludf.DUMMYFUNCTION("MAX(FILTER($H:$H,$E:$E=F18))"),2.0)</f>
        <v>2</v>
      </c>
    </row>
    <row r="19">
      <c r="C19" s="4" t="s">
        <v>244</v>
      </c>
      <c r="D19" s="4" t="str">
        <f t="shared" si="1"/>
        <v>{"valorA":"essa","valorB":1.0}</v>
      </c>
      <c r="E19" s="8" t="str">
        <f t="shared" si="2"/>
        <v>essa</v>
      </c>
      <c r="F19" s="8" t="str">
        <f>IFERROR(__xludf.DUMMYFUNCTION("""COMPUTED_VALUE"""),"dente")</f>
        <v>dente</v>
      </c>
      <c r="G19" s="8" t="str">
        <f t="shared" si="3"/>
        <v>1.0</v>
      </c>
      <c r="H19" s="9">
        <f t="shared" si="4"/>
        <v>1</v>
      </c>
      <c r="I19" s="10">
        <f>IFERROR(__xludf.DUMMYFUNCTION("MAX(FILTER($H:$H,$E:$E=F19))"),1.0)</f>
        <v>1</v>
      </c>
    </row>
    <row r="20">
      <c r="C20" s="4" t="s">
        <v>5471</v>
      </c>
      <c r="D20" s="4" t="str">
        <f t="shared" si="1"/>
        <v>{"valorA":"dente","valorB":1.0}</v>
      </c>
      <c r="E20" s="8" t="str">
        <f t="shared" si="2"/>
        <v>dente</v>
      </c>
      <c r="F20" s="8" t="str">
        <f>IFERROR(__xludf.DUMMYFUNCTION("""COMPUTED_VALUE"""),"pasta")</f>
        <v>pasta</v>
      </c>
      <c r="G20" s="8" t="str">
        <f t="shared" si="3"/>
        <v>1.0</v>
      </c>
      <c r="H20" s="9">
        <f t="shared" si="4"/>
        <v>1</v>
      </c>
      <c r="I20" s="10">
        <f>IFERROR(__xludf.DUMMYFUNCTION("MAX(FILTER($H:$H,$E:$E=F20))"),1.0)</f>
        <v>1</v>
      </c>
    </row>
    <row r="21">
      <c r="C21" s="4" t="s">
        <v>5472</v>
      </c>
      <c r="D21" s="4" t="str">
        <f t="shared" si="1"/>
        <v>{"valorA":"pasta","valorB":1.0}</v>
      </c>
      <c r="E21" s="8" t="str">
        <f t="shared" si="2"/>
        <v>pasta</v>
      </c>
      <c r="F21" s="8" t="str">
        <f>IFERROR(__xludf.DUMMYFUNCTION("""COMPUTED_VALUE"""),"mínico")</f>
        <v>mínico</v>
      </c>
      <c r="G21" s="8" t="str">
        <f t="shared" si="3"/>
        <v>1.0</v>
      </c>
      <c r="H21" s="9">
        <f t="shared" si="4"/>
        <v>1</v>
      </c>
      <c r="I21" s="10">
        <f>IFERROR(__xludf.DUMMYFUNCTION("MAX(FILTER($H:$H,$E:$E=F21))"),1.0)</f>
        <v>1</v>
      </c>
    </row>
    <row r="22">
      <c r="C22" s="4" t="s">
        <v>325</v>
      </c>
      <c r="D22" s="4" t="str">
        <f t="shared" si="1"/>
        <v>{"valorA":"recomendo","valorB":3.0}</v>
      </c>
      <c r="E22" s="8" t="str">
        <f t="shared" si="2"/>
        <v>recomendo</v>
      </c>
      <c r="F22" s="8" t="str">
        <f>IFERROR(__xludf.DUMMYFUNCTION("""COMPUTED_VALUE"""),"aparelho")</f>
        <v>aparelho</v>
      </c>
      <c r="G22" s="8" t="str">
        <f t="shared" si="3"/>
        <v>3.0</v>
      </c>
      <c r="H22" s="9">
        <f t="shared" si="4"/>
        <v>3</v>
      </c>
      <c r="I22" s="10">
        <f>IFERROR(__xludf.DUMMYFUNCTION("MAX(FILTER($H:$H,$E:$E=F22))"),8.0)</f>
        <v>8</v>
      </c>
    </row>
    <row r="23">
      <c r="C23" s="4" t="s">
        <v>613</v>
      </c>
      <c r="D23" s="4" t="str">
        <f t="shared" si="1"/>
        <v>{"valorA":"para","valorB":2.0}</v>
      </c>
      <c r="E23" s="8" t="str">
        <f t="shared" si="2"/>
        <v>para</v>
      </c>
      <c r="F23" s="8" t="str">
        <f>IFERROR(__xludf.DUMMYFUNCTION("""COMPUTED_VALUE"""),"casa")</f>
        <v>casa</v>
      </c>
      <c r="G23" s="8" t="str">
        <f t="shared" si="3"/>
        <v>2.0</v>
      </c>
      <c r="H23" s="9">
        <f t="shared" si="4"/>
        <v>2</v>
      </c>
      <c r="I23" s="10">
        <f>IFERROR(__xludf.DUMMYFUNCTION("MAX(FILTER($H:$H,$E:$E=F23))"),1.0)</f>
        <v>1</v>
      </c>
    </row>
    <row r="24">
      <c r="C24" s="4" t="s">
        <v>5473</v>
      </c>
      <c r="D24" s="4" t="str">
        <f t="shared" si="1"/>
        <v>{"valorA":"mínico","valorB":1.0}</v>
      </c>
      <c r="E24" s="8" t="str">
        <f t="shared" si="2"/>
        <v>mínico</v>
      </c>
      <c r="F24" s="8" t="str">
        <f>IFERROR(__xludf.DUMMYFUNCTION("""COMPUTED_VALUE"""),"a")</f>
        <v>a</v>
      </c>
      <c r="G24" s="8" t="str">
        <f t="shared" si="3"/>
        <v>1.0</v>
      </c>
      <c r="H24" s="9">
        <f t="shared" si="4"/>
        <v>1</v>
      </c>
      <c r="I24" s="10">
        <f>IFERROR(__xludf.DUMMYFUNCTION("MAX(FILTER($H:$H,$E:$E=F24))"),7.0)</f>
        <v>7</v>
      </c>
    </row>
    <row r="25">
      <c r="C25" s="4" t="s">
        <v>998</v>
      </c>
      <c r="D25" s="4" t="str">
        <f t="shared" si="1"/>
        <v>{"valorA":"aparelho","valorB":1.0}</v>
      </c>
      <c r="E25" s="8" t="str">
        <f t="shared" si="2"/>
        <v>aparelho</v>
      </c>
      <c r="F25" s="8" t="str">
        <f>IFERROR(__xludf.DUMMYFUNCTION("""COMPUTED_VALUE"""),"minha")</f>
        <v>minha</v>
      </c>
      <c r="G25" s="8" t="str">
        <f t="shared" si="3"/>
        <v>1.0</v>
      </c>
      <c r="H25" s="9">
        <f t="shared" si="4"/>
        <v>1</v>
      </c>
      <c r="I25" s="10">
        <f>IFERROR(__xludf.DUMMYFUNCTION("MAX(FILTER($H:$H,$E:$E=F25))"),7.0)</f>
        <v>7</v>
      </c>
    </row>
    <row r="26">
      <c r="C26" s="4" t="s">
        <v>1620</v>
      </c>
      <c r="D26" s="4" t="str">
        <f t="shared" si="1"/>
        <v>{"valorA":"fortemente","valorB":3.0}</v>
      </c>
      <c r="E26" s="8" t="str">
        <f t="shared" si="2"/>
        <v>fortemente</v>
      </c>
      <c r="F26" s="8" t="str">
        <f>IFERROR(__xludf.DUMMYFUNCTION("""COMPUTED_VALUE"""),"jogos")</f>
        <v>jogos</v>
      </c>
      <c r="G26" s="8" t="str">
        <f t="shared" si="3"/>
        <v>3.0</v>
      </c>
      <c r="H26" s="9">
        <f t="shared" si="4"/>
        <v>3</v>
      </c>
      <c r="I26" s="10">
        <f>IFERROR(__xludf.DUMMYFUNCTION("MAX(FILTER($H:$H,$E:$E=F26))"),1.0)</f>
        <v>1</v>
      </c>
    </row>
    <row r="27">
      <c r="C27" s="4" t="s">
        <v>587</v>
      </c>
      <c r="D27" s="4" t="str">
        <f t="shared" si="1"/>
        <v>{"valorA":"ótimo","valorB":4.0}</v>
      </c>
      <c r="E27" s="8" t="str">
        <f t="shared" si="2"/>
        <v>ótimo</v>
      </c>
      <c r="F27" s="8" t="str">
        <f>IFERROR(__xludf.DUMMYFUNCTION("""COMPUTED_VALUE"""),"pequena")</f>
        <v>pequena</v>
      </c>
      <c r="G27" s="8" t="str">
        <f t="shared" si="3"/>
        <v>4.0</v>
      </c>
      <c r="H27" s="9">
        <f t="shared" si="4"/>
        <v>4</v>
      </c>
      <c r="I27" s="10">
        <f>IFERROR(__xludf.DUMMYFUNCTION("MAX(FILTER($H:$H,$E:$E=F27))"),1.0)</f>
        <v>1</v>
      </c>
    </row>
    <row r="28">
      <c r="C28" s="4" t="s">
        <v>644</v>
      </c>
      <c r="D28" s="4" t="str">
        <f t="shared" si="1"/>
        <v>{"valorA":"casa","valorB":1.0}</v>
      </c>
      <c r="E28" s="8" t="str">
        <f t="shared" si="2"/>
        <v>casa</v>
      </c>
      <c r="F28" s="8" t="str">
        <f>IFERROR(__xludf.DUMMYFUNCTION("""COMPUTED_VALUE"""),"eletrônicos")</f>
        <v>eletrônicos</v>
      </c>
      <c r="G28" s="8" t="str">
        <f t="shared" si="3"/>
        <v>1.0</v>
      </c>
      <c r="H28" s="9">
        <f t="shared" si="4"/>
        <v>1</v>
      </c>
      <c r="I28" s="10">
        <f>IFERROR(__xludf.DUMMYFUNCTION("MAX(FILTER($H:$H,$E:$E=F28))"),1.0)</f>
        <v>1</v>
      </c>
    </row>
    <row r="29">
      <c r="C29" s="4" t="s">
        <v>580</v>
      </c>
      <c r="D29" s="4" t="str">
        <f t="shared" si="1"/>
        <v>{"valorA":"a","valorB":1.0}</v>
      </c>
      <c r="E29" s="8" t="str">
        <f t="shared" si="2"/>
        <v>a</v>
      </c>
      <c r="F29" s="8" t="str">
        <f>IFERROR(__xludf.DUMMYFUNCTION("""COMPUTED_VALUE"""),"conveniente")</f>
        <v>conveniente</v>
      </c>
      <c r="G29" s="8" t="str">
        <f t="shared" si="3"/>
        <v>1.0</v>
      </c>
      <c r="H29" s="9">
        <f t="shared" si="4"/>
        <v>1</v>
      </c>
      <c r="I29" s="10">
        <f>IFERROR(__xludf.DUMMYFUNCTION("MAX(FILTER($H:$H,$E:$E=F29))"),1.0)</f>
        <v>1</v>
      </c>
    </row>
    <row r="30">
      <c r="C30" s="4" t="s">
        <v>265</v>
      </c>
      <c r="D30" s="4" t="str">
        <f t="shared" si="1"/>
        <v>{"valorA":"minha","valorB":1.0}</v>
      </c>
      <c r="E30" s="8" t="str">
        <f t="shared" si="2"/>
        <v>minha</v>
      </c>
      <c r="F30" s="8" t="str">
        <f>IFERROR(__xludf.DUMMYFUNCTION("""COMPUTED_VALUE"""),"amam")</f>
        <v>amam</v>
      </c>
      <c r="G30" s="8" t="str">
        <f t="shared" si="3"/>
        <v>1.0</v>
      </c>
      <c r="H30" s="9">
        <f t="shared" si="4"/>
        <v>1</v>
      </c>
      <c r="I30" s="10">
        <f>IFERROR(__xludf.DUMMYFUNCTION("MAX(FILTER($H:$H,$E:$E=F30))"),1.0)</f>
        <v>1</v>
      </c>
    </row>
    <row r="31">
      <c r="C31" s="4" t="s">
        <v>234</v>
      </c>
      <c r="D31" s="4" t="str">
        <f t="shared" si="1"/>
        <v>{"valorA":"para","valorB":4.0}</v>
      </c>
      <c r="E31" s="8" t="str">
        <f t="shared" si="2"/>
        <v>para</v>
      </c>
      <c r="F31" s="8" t="str">
        <f>IFERROR(__xludf.DUMMYFUNCTION("""COMPUTED_VALUE"""),"que")</f>
        <v>que</v>
      </c>
      <c r="G31" s="8" t="str">
        <f t="shared" si="3"/>
        <v>4.0</v>
      </c>
      <c r="H31" s="9">
        <f t="shared" si="4"/>
        <v>4</v>
      </c>
      <c r="I31" s="10">
        <f>IFERROR(__xludf.DUMMYFUNCTION("MAX(FILTER($H:$H,$E:$E=F31))"),6.0)</f>
        <v>6</v>
      </c>
    </row>
    <row r="32">
      <c r="C32" s="4" t="s">
        <v>5474</v>
      </c>
      <c r="D32" s="4" t="str">
        <f t="shared" si="1"/>
        <v>{"valorA":"jogos","valorB":1.0}</v>
      </c>
      <c r="E32" s="8" t="str">
        <f t="shared" si="2"/>
        <v>jogos</v>
      </c>
      <c r="F32" s="8" t="str">
        <f>IFERROR(__xludf.DUMMYFUNCTION("""COMPUTED_VALUE"""),"aqueles")</f>
        <v>aqueles</v>
      </c>
      <c r="G32" s="8" t="str">
        <f t="shared" si="3"/>
        <v>1.0</v>
      </c>
      <c r="H32" s="9">
        <f t="shared" si="4"/>
        <v>1</v>
      </c>
      <c r="I32" s="10">
        <f>IFERROR(__xludf.DUMMYFUNCTION("MAX(FILTER($H:$H,$E:$E=F32))"),2.0)</f>
        <v>2</v>
      </c>
    </row>
    <row r="33">
      <c r="C33" s="4" t="s">
        <v>641</v>
      </c>
      <c r="D33" s="4" t="str">
        <f t="shared" si="1"/>
        <v>{"valorA":"pequena","valorB":1.0}</v>
      </c>
      <c r="E33" s="8" t="str">
        <f t="shared" si="2"/>
        <v>pequena</v>
      </c>
      <c r="F33" s="8" t="str">
        <f>IFERROR(__xludf.DUMMYFUNCTION("""COMPUTED_VALUE"""),"cozinha")</f>
        <v>cozinha</v>
      </c>
      <c r="G33" s="8" t="str">
        <f t="shared" si="3"/>
        <v>1.0</v>
      </c>
      <c r="H33" s="9">
        <f t="shared" si="4"/>
        <v>1</v>
      </c>
      <c r="I33" s="10">
        <f>IFERROR(__xludf.DUMMYFUNCTION("MAX(FILTER($H:$H,$E:$E=F33))"),2.0)</f>
        <v>2</v>
      </c>
    </row>
    <row r="34">
      <c r="C34" s="4" t="s">
        <v>5475</v>
      </c>
      <c r="D34" s="4" t="str">
        <f t="shared" si="1"/>
        <v>{"valorA":"eletrônicos","valorB":1.0}</v>
      </c>
      <c r="E34" s="8" t="str">
        <f t="shared" si="2"/>
        <v>eletrônicos</v>
      </c>
      <c r="F34" s="8" t="str">
        <f>IFERROR(__xludf.DUMMYFUNCTION("""COMPUTED_VALUE"""),"muito")</f>
        <v>muito</v>
      </c>
      <c r="G34" s="8" t="str">
        <f t="shared" si="3"/>
        <v>1.0</v>
      </c>
      <c r="H34" s="9">
        <f t="shared" si="4"/>
        <v>1</v>
      </c>
      <c r="I34" s="10">
        <f>IFERROR(__xludf.DUMMYFUNCTION("MAX(FILTER($H:$H,$E:$E=F34))"),12.0)</f>
        <v>12</v>
      </c>
    </row>
    <row r="35">
      <c r="C35" s="4" t="s">
        <v>1025</v>
      </c>
      <c r="D35" s="4" t="str">
        <f t="shared" si="1"/>
        <v>{"valorA":"aparelho","valorB":2.0}</v>
      </c>
      <c r="E35" s="8" t="str">
        <f t="shared" si="2"/>
        <v>aparelho</v>
      </c>
      <c r="F35" s="8" t="str">
        <f>IFERROR(__xludf.DUMMYFUNCTION("""COMPUTED_VALUE"""),"frigorífico")</f>
        <v>frigorífico</v>
      </c>
      <c r="G35" s="8" t="str">
        <f t="shared" si="3"/>
        <v>2.0</v>
      </c>
      <c r="H35" s="9">
        <f t="shared" si="4"/>
        <v>2</v>
      </c>
      <c r="I35" s="10">
        <f>IFERROR(__xludf.DUMMYFUNCTION("MAX(FILTER($H:$H,$E:$E=F35))"),1.0)</f>
        <v>1</v>
      </c>
    </row>
    <row r="36">
      <c r="C36" s="4" t="s">
        <v>5476</v>
      </c>
      <c r="D36" s="4" t="str">
        <f t="shared" si="1"/>
        <v>{"valorA":"conveniente","valorB":1.0}</v>
      </c>
      <c r="E36" s="8" t="str">
        <f t="shared" si="2"/>
        <v>conveniente</v>
      </c>
      <c r="F36" s="8" t="str">
        <f>IFERROR(__xludf.DUMMYFUNCTION("""COMPUTED_VALUE"""),"compras")</f>
        <v>compras</v>
      </c>
      <c r="G36" s="8" t="str">
        <f t="shared" si="3"/>
        <v>1.0</v>
      </c>
      <c r="H36" s="9">
        <f t="shared" si="4"/>
        <v>1</v>
      </c>
      <c r="I36" s="10">
        <f>IFERROR(__xludf.DUMMYFUNCTION("MAX(FILTER($H:$H,$E:$E=F36))"),1.0)</f>
        <v>1</v>
      </c>
    </row>
    <row r="37">
      <c r="C37" s="4" t="s">
        <v>5477</v>
      </c>
      <c r="D37" s="4" t="str">
        <f t="shared" si="1"/>
        <v>{"valorA":"amam","valorB":1.0}</v>
      </c>
      <c r="E37" s="8" t="str">
        <f t="shared" si="2"/>
        <v>amam</v>
      </c>
      <c r="F37" s="8" t="str">
        <f>IFERROR(__xludf.DUMMYFUNCTION("""COMPUTED_VALUE"""),"barato")</f>
        <v>barato</v>
      </c>
      <c r="G37" s="8" t="str">
        <f t="shared" si="3"/>
        <v>1.0</v>
      </c>
      <c r="H37" s="9">
        <f t="shared" si="4"/>
        <v>1</v>
      </c>
      <c r="I37" s="10">
        <f>IFERROR(__xludf.DUMMYFUNCTION("MAX(FILTER($H:$H,$E:$E=F37))"),2.0)</f>
        <v>2</v>
      </c>
    </row>
    <row r="38">
      <c r="C38" s="4" t="s">
        <v>295</v>
      </c>
      <c r="D38" s="4" t="str">
        <f t="shared" si="1"/>
        <v>{"valorA":"que","valorB":1.0}</v>
      </c>
      <c r="E38" s="8" t="str">
        <f t="shared" si="2"/>
        <v>que</v>
      </c>
      <c r="F38" s="8" t="str">
        <f>IFERROR(__xludf.DUMMYFUNCTION("""COMPUTED_VALUE"""),"em")</f>
        <v>em</v>
      </c>
      <c r="G38" s="8" t="str">
        <f t="shared" si="3"/>
        <v>1.0</v>
      </c>
      <c r="H38" s="9">
        <f t="shared" si="4"/>
        <v>1</v>
      </c>
      <c r="I38" s="10">
        <f>IFERROR(__xludf.DUMMYFUNCTION("MAX(FILTER($H:$H,$E:$E=F38))"),4.0)</f>
        <v>4</v>
      </c>
    </row>
    <row r="39">
      <c r="C39" s="4" t="s">
        <v>1604</v>
      </c>
      <c r="D39" s="4" t="str">
        <f t="shared" si="1"/>
        <v>{"valorA":"aqueles","valorB":1.0}</v>
      </c>
      <c r="E39" s="8" t="str">
        <f t="shared" si="2"/>
        <v>aqueles</v>
      </c>
      <c r="F39" s="8" t="str">
        <f>IFERROR(__xludf.DUMMYFUNCTION("""COMPUTED_VALUE"""),"carrinho")</f>
        <v>carrinho</v>
      </c>
      <c r="G39" s="8" t="str">
        <f t="shared" si="3"/>
        <v>1.0</v>
      </c>
      <c r="H39" s="9">
        <f t="shared" si="4"/>
        <v>1</v>
      </c>
      <c r="I39" s="10">
        <f>IFERROR(__xludf.DUMMYFUNCTION("MAX(FILTER($H:$H,$E:$E=F39))"),2.0)</f>
        <v>2</v>
      </c>
    </row>
    <row r="40">
      <c r="C40" s="4" t="s">
        <v>1646</v>
      </c>
      <c r="D40" s="4" t="str">
        <f t="shared" si="1"/>
        <v>{"valorA":"cozinha","valorB":1.0}</v>
      </c>
      <c r="E40" s="8" t="str">
        <f t="shared" si="2"/>
        <v>cozinha</v>
      </c>
      <c r="F40" s="8" t="str">
        <f>IFERROR(__xludf.DUMMYFUNCTION("""COMPUTED_VALUE"""),"estrados")</f>
        <v>estrados</v>
      </c>
      <c r="G40" s="8" t="str">
        <f t="shared" si="3"/>
        <v>1.0</v>
      </c>
      <c r="H40" s="9">
        <f t="shared" si="4"/>
        <v>1</v>
      </c>
      <c r="I40" s="10">
        <f>IFERROR(__xludf.DUMMYFUNCTION("MAX(FILTER($H:$H,$E:$E=F40))"),1.0)</f>
        <v>1</v>
      </c>
    </row>
    <row r="41">
      <c r="C41" s="4" t="s">
        <v>210</v>
      </c>
      <c r="D41" s="4" t="str">
        <f t="shared" si="1"/>
        <v>{"valorA":"ótimo","valorB":5.0}</v>
      </c>
      <c r="E41" s="8" t="str">
        <f t="shared" si="2"/>
        <v>ótimo</v>
      </c>
      <c r="F41" s="8" t="str">
        <f>IFERROR(__xludf.DUMMYFUNCTION("""COMPUTED_VALUE"""),"inclinados")</f>
        <v>inclinados</v>
      </c>
      <c r="G41" s="8" t="str">
        <f t="shared" si="3"/>
        <v>5.0</v>
      </c>
      <c r="H41" s="9">
        <f t="shared" si="4"/>
        <v>5</v>
      </c>
      <c r="I41" s="10">
        <f>IFERROR(__xludf.DUMMYFUNCTION("MAX(FILTER($H:$H,$E:$E=F41))"),1.0)</f>
        <v>1</v>
      </c>
    </row>
    <row r="42">
      <c r="C42" s="4" t="s">
        <v>579</v>
      </c>
      <c r="D42" s="4" t="str">
        <f t="shared" si="1"/>
        <v>{"valorA":"muito","valorB":1.0}</v>
      </c>
      <c r="E42" s="8" t="str">
        <f t="shared" si="2"/>
        <v>muito</v>
      </c>
      <c r="F42" s="8" t="str">
        <f>IFERROR(__xludf.DUMMYFUNCTION("""COMPUTED_VALUE"""),"empurrar")</f>
        <v>empurrar</v>
      </c>
      <c r="G42" s="8" t="str">
        <f t="shared" si="3"/>
        <v>1.0</v>
      </c>
      <c r="H42" s="9">
        <f t="shared" si="4"/>
        <v>1</v>
      </c>
      <c r="I42" s="10">
        <f>IFERROR(__xludf.DUMMYFUNCTION("MAX(FILTER($H:$H,$E:$E=F42))"),2.0)</f>
        <v>2</v>
      </c>
    </row>
    <row r="43">
      <c r="C43" s="4" t="s">
        <v>264</v>
      </c>
      <c r="D43" s="4" t="str">
        <f t="shared" si="1"/>
        <v>{"valorA":"a","valorB":2.0}</v>
      </c>
      <c r="E43" s="8" t="str">
        <f t="shared" si="2"/>
        <v>a</v>
      </c>
      <c r="F43" s="8" t="str">
        <f>IFERROR(__xludf.DUMMYFUNCTION("""COMPUTED_VALUE"""),"bem")</f>
        <v>bem</v>
      </c>
      <c r="G43" s="8" t="str">
        <f t="shared" si="3"/>
        <v>2.0</v>
      </c>
      <c r="H43" s="9">
        <f t="shared" si="4"/>
        <v>2</v>
      </c>
      <c r="I43" s="10">
        <f>IFERROR(__xludf.DUMMYFUNCTION("MAX(FILTER($H:$H,$E:$E=F43))"),5.0)</f>
        <v>5</v>
      </c>
    </row>
    <row r="44">
      <c r="C44" s="4" t="s">
        <v>1249</v>
      </c>
      <c r="D44" s="4" t="str">
        <f t="shared" si="1"/>
        <v>{"valorA":"frigorífico","valorB":1.0}</v>
      </c>
      <c r="E44" s="8" t="str">
        <f t="shared" si="2"/>
        <v>frigorífico</v>
      </c>
      <c r="F44" s="8" t="str">
        <f>IFERROR(__xludf.DUMMYFUNCTION("""COMPUTED_VALUE"""),"foi")</f>
        <v>foi</v>
      </c>
      <c r="G44" s="8" t="str">
        <f t="shared" si="3"/>
        <v>1.0</v>
      </c>
      <c r="H44" s="9">
        <f t="shared" si="4"/>
        <v>1</v>
      </c>
      <c r="I44" s="10">
        <f>IFERROR(__xludf.DUMMYFUNCTION("MAX(FILTER($H:$H,$E:$E=F44))"),1.0)</f>
        <v>1</v>
      </c>
    </row>
    <row r="45">
      <c r="C45" s="4" t="s">
        <v>1272</v>
      </c>
      <c r="D45" s="4" t="str">
        <f t="shared" si="1"/>
        <v>{"valorA":"minha","valorB":2.0}</v>
      </c>
      <c r="E45" s="8" t="str">
        <f t="shared" si="2"/>
        <v>minha</v>
      </c>
      <c r="F45" s="8" t="str">
        <f>IFERROR(__xludf.DUMMYFUNCTION("""COMPUTED_VALUE"""),"e")</f>
        <v>e</v>
      </c>
      <c r="G45" s="8" t="str">
        <f t="shared" si="3"/>
        <v>2.0</v>
      </c>
      <c r="H45" s="9">
        <f t="shared" si="4"/>
        <v>2</v>
      </c>
      <c r="I45" s="10">
        <f>IFERROR(__xludf.DUMMYFUNCTION("MAX(FILTER($H:$H,$E:$E=F45))"),6.0)</f>
        <v>6</v>
      </c>
    </row>
    <row r="46">
      <c r="C46" s="4" t="s">
        <v>176</v>
      </c>
      <c r="D46" s="4" t="str">
        <f t="shared" si="1"/>
        <v>{"valorA":"compras","valorB":1.0}</v>
      </c>
      <c r="E46" s="8" t="str">
        <f t="shared" si="2"/>
        <v>compras</v>
      </c>
      <c r="F46" s="8" t="str">
        <f>IFERROR(__xludf.DUMMYFUNCTION("""COMPUTED_VALUE"""),"manobrar")</f>
        <v>manobrar</v>
      </c>
      <c r="G46" s="8" t="str">
        <f t="shared" si="3"/>
        <v>1.0</v>
      </c>
      <c r="H46" s="9">
        <f t="shared" si="4"/>
        <v>1</v>
      </c>
      <c r="I46" s="10">
        <f>IFERROR(__xludf.DUMMYFUNCTION("MAX(FILTER($H:$H,$E:$E=F46))"),1.0)</f>
        <v>1</v>
      </c>
    </row>
    <row r="47">
      <c r="C47" s="4" t="s">
        <v>266</v>
      </c>
      <c r="D47" s="4" t="str">
        <f t="shared" si="1"/>
        <v>{"valorA":"barato","valorB":1.0}</v>
      </c>
      <c r="E47" s="8" t="str">
        <f t="shared" si="2"/>
        <v>barato</v>
      </c>
      <c r="F47" s="8" t="str">
        <f>IFERROR(__xludf.DUMMYFUNCTION("""COMPUTED_VALUE"""),"lavadora")</f>
        <v>lavadora</v>
      </c>
      <c r="G47" s="8" t="str">
        <f t="shared" si="3"/>
        <v>1.0</v>
      </c>
      <c r="H47" s="9">
        <f t="shared" si="4"/>
        <v>1</v>
      </c>
      <c r="I47" s="10">
        <f>IFERROR(__xludf.DUMMYFUNCTION("MAX(FILTER($H:$H,$E:$E=F47))"),1.0)</f>
        <v>1</v>
      </c>
    </row>
    <row r="48">
      <c r="C48" s="4" t="s">
        <v>455</v>
      </c>
      <c r="D48" s="4" t="str">
        <f t="shared" si="1"/>
        <v>{"valorA":"em","valorB":1.0}</v>
      </c>
      <c r="E48" s="8" t="str">
        <f t="shared" si="2"/>
        <v>em</v>
      </c>
      <c r="F48" s="8" t="str">
        <f>IFERROR(__xludf.DUMMYFUNCTION("""COMPUTED_VALUE"""),"fácil")</f>
        <v>fácil</v>
      </c>
      <c r="G48" s="8" t="str">
        <f t="shared" si="3"/>
        <v>1.0</v>
      </c>
      <c r="H48" s="9">
        <f t="shared" si="4"/>
        <v>1</v>
      </c>
      <c r="I48" s="10">
        <f>IFERROR(__xludf.DUMMYFUNCTION("MAX(FILTER($H:$H,$E:$E=F48))"),3.0)</f>
        <v>3</v>
      </c>
    </row>
    <row r="49">
      <c r="C49" s="4" t="s">
        <v>180</v>
      </c>
      <c r="D49" s="4" t="str">
        <f t="shared" si="1"/>
        <v>{"valorA":"carrinho","valorB":1.0}</v>
      </c>
      <c r="E49" s="8" t="str">
        <f t="shared" si="2"/>
        <v>carrinho</v>
      </c>
      <c r="F49" s="8" t="str">
        <f>IFERROR(__xludf.DUMMYFUNCTION("""COMPUTED_VALUE"""),"também")</f>
        <v>também</v>
      </c>
      <c r="G49" s="8" t="str">
        <f t="shared" si="3"/>
        <v>1.0</v>
      </c>
      <c r="H49" s="9">
        <f t="shared" si="4"/>
        <v>1</v>
      </c>
      <c r="I49" s="10">
        <f>IFERROR(__xludf.DUMMYFUNCTION("MAX(FILTER($H:$H,$E:$E=F49))"),1.0)</f>
        <v>1</v>
      </c>
    </row>
    <row r="50">
      <c r="C50" s="4" t="s">
        <v>5478</v>
      </c>
      <c r="D50" s="4" t="str">
        <f t="shared" si="1"/>
        <v>{"valorA":"roupa","valorB":2.0}</v>
      </c>
      <c r="E50" s="8" t="str">
        <f t="shared" si="2"/>
        <v>roupa</v>
      </c>
      <c r="F50" s="8" t="str">
        <f>IFERROR(__xludf.DUMMYFUNCTION("""COMPUTED_VALUE"""),"funciona")</f>
        <v>funciona</v>
      </c>
      <c r="G50" s="8" t="str">
        <f t="shared" si="3"/>
        <v>2.0</v>
      </c>
      <c r="H50" s="9">
        <f t="shared" si="4"/>
        <v>2</v>
      </c>
      <c r="I50" s="10">
        <f>IFERROR(__xludf.DUMMYFUNCTION("MAX(FILTER($H:$H,$E:$E=F50))"),8.0)</f>
        <v>8</v>
      </c>
    </row>
    <row r="51">
      <c r="C51" s="4" t="s">
        <v>5479</v>
      </c>
      <c r="D51" s="4" t="str">
        <f t="shared" si="1"/>
        <v>{"valorA":"estrados","valorB":1.0}</v>
      </c>
      <c r="E51" s="8" t="str">
        <f t="shared" si="2"/>
        <v>estrados</v>
      </c>
      <c r="F51" s="8" t="str">
        <f>IFERROR(__xludf.DUMMYFUNCTION("""COMPUTED_VALUE"""),"serviço")</f>
        <v>serviço</v>
      </c>
      <c r="G51" s="8" t="str">
        <f t="shared" si="3"/>
        <v>1.0</v>
      </c>
      <c r="H51" s="9">
        <f t="shared" si="4"/>
        <v>1</v>
      </c>
      <c r="I51" s="10">
        <f>IFERROR(__xludf.DUMMYFUNCTION("MAX(FILTER($H:$H,$E:$E=F51))"),2.0)</f>
        <v>2</v>
      </c>
    </row>
    <row r="52">
      <c r="C52" s="4" t="s">
        <v>5480</v>
      </c>
      <c r="D52" s="4" t="str">
        <f t="shared" si="1"/>
        <v>{"valorA":"inclinados","valorB":1.0}</v>
      </c>
      <c r="E52" s="8" t="str">
        <f t="shared" si="2"/>
        <v>inclinados</v>
      </c>
      <c r="F52" s="8" t="str">
        <f>IFERROR(__xludf.DUMMYFUNCTION("""COMPUTED_VALUE"""),"limpeza")</f>
        <v>limpeza</v>
      </c>
      <c r="G52" s="8" t="str">
        <f t="shared" si="3"/>
        <v>1.0</v>
      </c>
      <c r="H52" s="9">
        <f t="shared" si="4"/>
        <v>1</v>
      </c>
      <c r="I52" s="10">
        <f>IFERROR(__xludf.DUMMYFUNCTION("MAX(FILTER($H:$H,$E:$E=F52))"),2.0)</f>
        <v>2</v>
      </c>
    </row>
    <row r="53">
      <c r="C53" s="4" t="s">
        <v>5481</v>
      </c>
      <c r="D53" s="4" t="str">
        <f t="shared" si="1"/>
        <v>{"valorA":"empurrar","valorB":1.0}</v>
      </c>
      <c r="E53" s="8" t="str">
        <f t="shared" si="2"/>
        <v>empurrar</v>
      </c>
      <c r="F53" s="8" t="str">
        <f>IFERROR(__xludf.DUMMYFUNCTION("""COMPUTED_VALUE"""),"com")</f>
        <v>com</v>
      </c>
      <c r="G53" s="8" t="str">
        <f t="shared" si="3"/>
        <v>1.0</v>
      </c>
      <c r="H53" s="9">
        <f t="shared" si="4"/>
        <v>1</v>
      </c>
      <c r="I53" s="10">
        <f>IFERROR(__xludf.DUMMYFUNCTION("MAX(FILTER($H:$H,$E:$E=F53))"),9.0)</f>
        <v>9</v>
      </c>
    </row>
    <row r="54">
      <c r="C54" s="4" t="s">
        <v>220</v>
      </c>
      <c r="D54" s="4" t="str">
        <f t="shared" si="1"/>
        <v>{"valorA":"bem","valorB":1.0}</v>
      </c>
      <c r="E54" s="8" t="str">
        <f t="shared" si="2"/>
        <v>bem</v>
      </c>
      <c r="F54" s="8" t="str">
        <f>IFERROR(__xludf.DUMMYFUNCTION("""COMPUTED_VALUE"""),"incrivelmente")</f>
        <v>incrivelmente</v>
      </c>
      <c r="G54" s="8" t="str">
        <f t="shared" si="3"/>
        <v>1.0</v>
      </c>
      <c r="H54" s="9">
        <f t="shared" si="4"/>
        <v>1</v>
      </c>
      <c r="I54" s="10">
        <f>IFERROR(__xludf.DUMMYFUNCTION("MAX(FILTER($H:$H,$E:$E=F54))"),1.0)</f>
        <v>1</v>
      </c>
    </row>
    <row r="55">
      <c r="C55" s="4" t="s">
        <v>1105</v>
      </c>
      <c r="D55" s="4" t="str">
        <f t="shared" si="1"/>
        <v>{"valorA":"foi","valorB":1.0}</v>
      </c>
      <c r="E55" s="8" t="str">
        <f t="shared" si="2"/>
        <v>foi</v>
      </c>
      <c r="F55" s="8" t="str">
        <f>IFERROR(__xludf.DUMMYFUNCTION("""COMPUTED_VALUE"""),"aconselho")</f>
        <v>aconselho</v>
      </c>
      <c r="G55" s="8" t="str">
        <f t="shared" si="3"/>
        <v>1.0</v>
      </c>
      <c r="H55" s="9">
        <f t="shared" si="4"/>
        <v>1</v>
      </c>
      <c r="I55" s="10">
        <f>IFERROR(__xludf.DUMMYFUNCTION("MAX(FILTER($H:$H,$E:$E=F55))"),1.0)</f>
        <v>1</v>
      </c>
    </row>
    <row r="56">
      <c r="C56" s="4" t="s">
        <v>223</v>
      </c>
      <c r="D56" s="4" t="str">
        <f t="shared" si="1"/>
        <v>{"valorA":"e","valorB":2.0}</v>
      </c>
      <c r="E56" s="8" t="str">
        <f t="shared" si="2"/>
        <v>e</v>
      </c>
      <c r="F56" s="8" t="str">
        <f>IFERROR(__xludf.DUMMYFUNCTION("""COMPUTED_VALUE"""),"bom")</f>
        <v>bom</v>
      </c>
      <c r="G56" s="8" t="str">
        <f t="shared" si="3"/>
        <v>2.0</v>
      </c>
      <c r="H56" s="9">
        <f t="shared" si="4"/>
        <v>2</v>
      </c>
      <c r="I56" s="10">
        <f>IFERROR(__xludf.DUMMYFUNCTION("MAX(FILTER($H:$H,$E:$E=F56))"),4.0)</f>
        <v>4</v>
      </c>
    </row>
    <row r="57">
      <c r="C57" s="4" t="s">
        <v>681</v>
      </c>
      <c r="D57" s="4" t="str">
        <f t="shared" si="1"/>
        <v>{"valorA":"de","valorB":5.0}</v>
      </c>
      <c r="E57" s="8" t="str">
        <f t="shared" si="2"/>
        <v>de</v>
      </c>
      <c r="F57" s="8" t="str">
        <f>IFERROR(__xludf.DUMMYFUNCTION("""COMPUTED_VALUE"""),"cafeteira")</f>
        <v>cafeteira</v>
      </c>
      <c r="G57" s="8" t="str">
        <f t="shared" si="3"/>
        <v>5.0</v>
      </c>
      <c r="H57" s="9">
        <f t="shared" si="4"/>
        <v>5</v>
      </c>
      <c r="I57" s="10">
        <f>IFERROR(__xludf.DUMMYFUNCTION("MAX(FILTER($H:$H,$E:$E=F57))"),1.0)</f>
        <v>1</v>
      </c>
    </row>
    <row r="58">
      <c r="C58" s="4" t="s">
        <v>5482</v>
      </c>
      <c r="D58" s="4" t="str">
        <f t="shared" si="1"/>
        <v>{"valorA":"manobrar","valorB":1.0}</v>
      </c>
      <c r="E58" s="8" t="str">
        <f t="shared" si="2"/>
        <v>manobrar</v>
      </c>
      <c r="F58" s="8" t="str">
        <f>IFERROR(__xludf.DUMMYFUNCTION("""COMPUTED_VALUE"""),"aqui")</f>
        <v>aqui</v>
      </c>
      <c r="G58" s="8" t="str">
        <f t="shared" si="3"/>
        <v>1.0</v>
      </c>
      <c r="H58" s="9">
        <f t="shared" si="4"/>
        <v>1</v>
      </c>
      <c r="I58" s="10">
        <f>IFERROR(__xludf.DUMMYFUNCTION("MAX(FILTER($H:$H,$E:$E=F58))"),1.0)</f>
        <v>1</v>
      </c>
    </row>
    <row r="59">
      <c r="C59" s="4" t="s">
        <v>1008</v>
      </c>
      <c r="D59" s="4" t="str">
        <f t="shared" si="1"/>
        <v>{"valorA":"lavadora","valorB":1.0}</v>
      </c>
      <c r="E59" s="8" t="str">
        <f t="shared" si="2"/>
        <v>lavadora</v>
      </c>
      <c r="F59" s="8" t="str">
        <f>IFERROR(__xludf.DUMMYFUNCTION("""COMPUTED_VALUE"""),"no")</f>
        <v>no</v>
      </c>
      <c r="G59" s="8" t="str">
        <f t="shared" si="3"/>
        <v>1.0</v>
      </c>
      <c r="H59" s="9">
        <f t="shared" si="4"/>
        <v>1</v>
      </c>
      <c r="I59" s="10">
        <f>IFERROR(__xludf.DUMMYFUNCTION("MAX(FILTER($H:$H,$E:$E=F59))"),2.0)</f>
        <v>2</v>
      </c>
    </row>
    <row r="60">
      <c r="C60" s="4" t="s">
        <v>227</v>
      </c>
      <c r="D60" s="4" t="str">
        <f t="shared" si="1"/>
        <v>{"valorA":"ótimo","valorB":7.0}</v>
      </c>
      <c r="E60" s="8" t="str">
        <f t="shared" si="2"/>
        <v>ótimo</v>
      </c>
      <c r="F60" s="8" t="str">
        <f>IFERROR(__xludf.DUMMYFUNCTION("""COMPUTED_VALUE"""),"recémcomprada")</f>
        <v>recémcomprada</v>
      </c>
      <c r="G60" s="8" t="str">
        <f t="shared" si="3"/>
        <v>7.0</v>
      </c>
      <c r="H60" s="9">
        <f t="shared" si="4"/>
        <v>7</v>
      </c>
      <c r="I60" s="10">
        <f>IFERROR(__xludf.DUMMYFUNCTION("MAX(FILTER($H:$H,$E:$E=F60))"),1.0)</f>
        <v>1</v>
      </c>
    </row>
    <row r="61">
      <c r="C61" s="4" t="s">
        <v>285</v>
      </c>
      <c r="D61" s="4" t="str">
        <f t="shared" si="1"/>
        <v>{"valorA":"fácil","valorB":1.0}</v>
      </c>
      <c r="E61" s="8" t="str">
        <f t="shared" si="2"/>
        <v>fácil</v>
      </c>
      <c r="F61" s="8" t="str">
        <f>IFERROR(__xludf.DUMMYFUNCTION("""COMPUTED_VALUE"""),"café")</f>
        <v>café</v>
      </c>
      <c r="G61" s="8" t="str">
        <f t="shared" si="3"/>
        <v>1.0</v>
      </c>
      <c r="H61" s="9">
        <f t="shared" si="4"/>
        <v>1</v>
      </c>
      <c r="I61" s="10">
        <f>IFERROR(__xludf.DUMMYFUNCTION("MAX(FILTER($H:$H,$E:$E=F61))"),1.0)</f>
        <v>1</v>
      </c>
    </row>
    <row r="62">
      <c r="C62" s="4" t="s">
        <v>1430</v>
      </c>
      <c r="D62" s="4" t="str">
        <f t="shared" si="1"/>
        <v>{"valorA":"também","valorB":1.0}</v>
      </c>
      <c r="E62" s="8" t="str">
        <f t="shared" si="2"/>
        <v>também</v>
      </c>
      <c r="F62" s="8" t="str">
        <f>IFERROR(__xludf.DUMMYFUNCTION("""COMPUTED_VALUE"""),"acho")</f>
        <v>acho</v>
      </c>
      <c r="G62" s="8" t="str">
        <f t="shared" si="3"/>
        <v>1.0</v>
      </c>
      <c r="H62" s="9">
        <f t="shared" si="4"/>
        <v>1</v>
      </c>
      <c r="I62" s="10">
        <f>IFERROR(__xludf.DUMMYFUNCTION("MAX(FILTER($H:$H,$E:$E=F62))"),1.0)</f>
        <v>1</v>
      </c>
    </row>
    <row r="63">
      <c r="C63" s="4" t="s">
        <v>248</v>
      </c>
      <c r="D63" s="4" t="str">
        <f t="shared" si="1"/>
        <v>{"valorA":"funciona","valorB":1.0}</v>
      </c>
      <c r="E63" s="8" t="str">
        <f t="shared" si="2"/>
        <v>funciona</v>
      </c>
      <c r="F63" s="8" t="str">
        <f>IFERROR(__xludf.DUMMYFUNCTION("""COMPUTED_VALUE"""),"salão")</f>
        <v>salão</v>
      </c>
      <c r="G63" s="8" t="str">
        <f t="shared" si="3"/>
        <v>1.0</v>
      </c>
      <c r="H63" s="9">
        <f t="shared" si="4"/>
        <v>1</v>
      </c>
      <c r="I63" s="10">
        <f>IFERROR(__xludf.DUMMYFUNCTION("MAX(FILTER($H:$H,$E:$E=F63))"),1.0)</f>
        <v>1</v>
      </c>
    </row>
    <row r="64">
      <c r="C64" s="4" t="s">
        <v>992</v>
      </c>
      <c r="D64" s="4" t="str">
        <f t="shared" si="1"/>
        <v>{"valorA":"serviço","valorB":1.0}</v>
      </c>
      <c r="E64" s="8" t="str">
        <f t="shared" si="2"/>
        <v>serviço</v>
      </c>
      <c r="F64" s="8" t="str">
        <f>IFERROR(__xludf.DUMMYFUNCTION("""COMPUTED_VALUE"""),"da")</f>
        <v>da</v>
      </c>
      <c r="G64" s="8" t="str">
        <f t="shared" si="3"/>
        <v>1.0</v>
      </c>
      <c r="H64" s="9">
        <f t="shared" si="4"/>
        <v>1</v>
      </c>
      <c r="I64" s="10">
        <f>IFERROR(__xludf.DUMMYFUNCTION("MAX(FILTER($H:$H,$E:$E=F64))"),4.0)</f>
        <v>4</v>
      </c>
    </row>
    <row r="65">
      <c r="C65" s="4" t="s">
        <v>1564</v>
      </c>
      <c r="D65" s="4" t="str">
        <f t="shared" si="1"/>
        <v>{"valorA":"limpeza","valorB":1.0}</v>
      </c>
      <c r="E65" s="8" t="str">
        <f t="shared" si="2"/>
        <v>limpeza</v>
      </c>
      <c r="F65" s="8" t="str">
        <f>IFERROR(__xludf.DUMMYFUNCTION("""COMPUTED_VALUE"""),"confiável")</f>
        <v>confiável</v>
      </c>
      <c r="G65" s="8" t="str">
        <f t="shared" si="3"/>
        <v>1.0</v>
      </c>
      <c r="H65" s="9">
        <f t="shared" si="4"/>
        <v>1</v>
      </c>
      <c r="I65" s="10">
        <f>IFERROR(__xludf.DUMMYFUNCTION("MAX(FILTER($H:$H,$E:$E=F65))"),1.0)</f>
        <v>1</v>
      </c>
    </row>
    <row r="66">
      <c r="C66" s="4" t="s">
        <v>290</v>
      </c>
      <c r="D66" s="4" t="str">
        <f t="shared" si="1"/>
        <v>{"valorA":"com","valorB":1.0}</v>
      </c>
      <c r="E66" s="8" t="str">
        <f t="shared" si="2"/>
        <v>com</v>
      </c>
      <c r="F66" s="8" t="str">
        <f>IFERROR(__xludf.DUMMYFUNCTION("""COMPUTED_VALUE"""),"água")</f>
        <v>água</v>
      </c>
      <c r="G66" s="8" t="str">
        <f t="shared" si="3"/>
        <v>1.0</v>
      </c>
      <c r="H66" s="9">
        <f t="shared" si="4"/>
        <v>1</v>
      </c>
      <c r="I66" s="10">
        <f>IFERROR(__xludf.DUMMYFUNCTION("MAX(FILTER($H:$H,$E:$E=F66))"),3.0)</f>
        <v>3</v>
      </c>
    </row>
    <row r="67">
      <c r="C67" s="4" t="s">
        <v>5483</v>
      </c>
      <c r="D67" s="4" t="str">
        <f t="shared" si="1"/>
        <v>{"valorA":"incrivelmente","valorB":1.0}</v>
      </c>
      <c r="E67" s="8" t="str">
        <f t="shared" si="2"/>
        <v>incrivelmente</v>
      </c>
      <c r="F67" s="8" t="str">
        <f>IFERROR(__xludf.DUMMYFUNCTION("""COMPUTED_VALUE"""),"super")</f>
        <v>super</v>
      </c>
      <c r="G67" s="8" t="str">
        <f t="shared" si="3"/>
        <v>1.0</v>
      </c>
      <c r="H67" s="9">
        <f t="shared" si="4"/>
        <v>1</v>
      </c>
      <c r="I67" s="10">
        <f>IFERROR(__xludf.DUMMYFUNCTION("MAX(FILTER($H:$H,$E:$E=F67))"),1.0)</f>
        <v>1</v>
      </c>
    </row>
    <row r="68">
      <c r="C68" s="4" t="s">
        <v>5484</v>
      </c>
      <c r="D68" s="4" t="str">
        <f t="shared" si="1"/>
        <v>{"valorA":"aconselho","valorB":1.0}</v>
      </c>
      <c r="E68" s="8" t="str">
        <f t="shared" si="2"/>
        <v>aconselho</v>
      </c>
      <c r="F68" s="8" t="str">
        <f>IFERROR(__xludf.DUMMYFUNCTION("""COMPUTED_VALUE"""),"aquecedor")</f>
        <v>aquecedor</v>
      </c>
      <c r="G68" s="8" t="str">
        <f t="shared" si="3"/>
        <v>1.0</v>
      </c>
      <c r="H68" s="9">
        <f t="shared" si="4"/>
        <v>1</v>
      </c>
      <c r="I68" s="10">
        <f>IFERROR(__xludf.DUMMYFUNCTION("MAX(FILTER($H:$H,$E:$E=F68))"),3.0)</f>
        <v>3</v>
      </c>
    </row>
    <row r="69">
      <c r="C69" s="4" t="s">
        <v>615</v>
      </c>
      <c r="D69" s="4" t="str">
        <f t="shared" si="1"/>
        <v>{"valorA":"bom","valorB":1.0}</v>
      </c>
      <c r="E69" s="8" t="str">
        <f t="shared" si="2"/>
        <v>bom</v>
      </c>
      <c r="F69" s="8" t="str">
        <f>IFERROR(__xludf.DUMMYFUNCTION("""COMPUTED_VALUE"""),"som")</f>
        <v>som</v>
      </c>
      <c r="G69" s="8" t="str">
        <f t="shared" si="3"/>
        <v>1.0</v>
      </c>
      <c r="H69" s="9">
        <f t="shared" si="4"/>
        <v>1</v>
      </c>
      <c r="I69" s="10">
        <f>IFERROR(__xludf.DUMMYFUNCTION("MAX(FILTER($H:$H,$E:$E=F69))"),1.0)</f>
        <v>1</v>
      </c>
    </row>
    <row r="70">
      <c r="C70" s="4" t="s">
        <v>332</v>
      </c>
      <c r="D70" s="4" t="str">
        <f t="shared" si="1"/>
        <v>{"valorA":"o","valorB":2.0}</v>
      </c>
      <c r="E70" s="8" t="str">
        <f t="shared" si="2"/>
        <v>o</v>
      </c>
      <c r="F70" s="8" t="str">
        <f>IFERROR(__xludf.DUMMYFUNCTION("""COMPUTED_VALUE"""),"caixa")</f>
        <v>caixa</v>
      </c>
      <c r="G70" s="8" t="str">
        <f t="shared" si="3"/>
        <v>2.0</v>
      </c>
      <c r="H70" s="9">
        <f t="shared" si="4"/>
        <v>2</v>
      </c>
      <c r="I70" s="10">
        <f>IFERROR(__xludf.DUMMYFUNCTION("MAX(FILTER($H:$H,$E:$E=F70))"),1.0)</f>
        <v>1</v>
      </c>
    </row>
    <row r="71">
      <c r="C71" s="4" t="s">
        <v>294</v>
      </c>
      <c r="D71" s="4" t="str">
        <f t="shared" si="1"/>
        <v>{"valorA":"de","valorB":6.0}</v>
      </c>
      <c r="E71" s="8" t="str">
        <f t="shared" si="2"/>
        <v>de</v>
      </c>
      <c r="F71" s="8" t="str">
        <f>IFERROR(__xludf.DUMMYFUNCTION("""COMPUTED_VALUE"""),"práticas")</f>
        <v>práticas</v>
      </c>
      <c r="G71" s="8" t="str">
        <f t="shared" si="3"/>
        <v>6.0</v>
      </c>
      <c r="H71" s="9">
        <f t="shared" si="4"/>
        <v>6</v>
      </c>
      <c r="I71" s="10">
        <f>IFERROR(__xludf.DUMMYFUNCTION("MAX(FILTER($H:$H,$E:$E=F71))"),1.0)</f>
        <v>1</v>
      </c>
    </row>
    <row r="72">
      <c r="C72" s="4" t="s">
        <v>5485</v>
      </c>
      <c r="D72" s="4" t="str">
        <f t="shared" si="1"/>
        <v>{"valorA":"cafeteira","valorB":1.0}</v>
      </c>
      <c r="E72" s="8" t="str">
        <f t="shared" si="2"/>
        <v>cafeteira</v>
      </c>
      <c r="F72" s="8" t="str">
        <f>IFERROR(__xludf.DUMMYFUNCTION("""COMPUTED_VALUE"""),"lavabo")</f>
        <v>lavabo</v>
      </c>
      <c r="G72" s="8" t="str">
        <f t="shared" si="3"/>
        <v>1.0</v>
      </c>
      <c r="H72" s="9">
        <f t="shared" si="4"/>
        <v>1</v>
      </c>
      <c r="I72" s="10">
        <f>IFERROR(__xludf.DUMMYFUNCTION("MAX(FILTER($H:$H,$E:$E=F72))"),2.0)</f>
        <v>2</v>
      </c>
    </row>
    <row r="73">
      <c r="C73" s="4" t="s">
        <v>5486</v>
      </c>
      <c r="D73" s="4" t="str">
        <f t="shared" si="1"/>
        <v>{"valorA":"fortemente","valorB":4.0}</v>
      </c>
      <c r="E73" s="8" t="str">
        <f t="shared" si="2"/>
        <v>fortemente</v>
      </c>
      <c r="F73" s="8" t="str">
        <f>IFERROR(__xludf.DUMMYFUNCTION("""COMPUTED_VALUE"""),"várias")</f>
        <v>várias</v>
      </c>
      <c r="G73" s="8" t="str">
        <f t="shared" si="3"/>
        <v>4.0</v>
      </c>
      <c r="H73" s="9">
        <f t="shared" si="4"/>
        <v>4</v>
      </c>
      <c r="I73" s="10">
        <f>IFERROR(__xludf.DUMMYFUNCTION("MAX(FILTER($H:$H,$E:$E=F73))"),1.0)</f>
        <v>1</v>
      </c>
    </row>
    <row r="74">
      <c r="C74" s="4" t="s">
        <v>795</v>
      </c>
      <c r="D74" s="4" t="str">
        <f t="shared" si="1"/>
        <v>{"valorA":"aqui","valorB":1.0}</v>
      </c>
      <c r="E74" s="8" t="str">
        <f t="shared" si="2"/>
        <v>aqui</v>
      </c>
      <c r="F74" s="8" t="str">
        <f>IFERROR(__xludf.DUMMYFUNCTION("""COMPUTED_VALUE"""),"características")</f>
        <v>características</v>
      </c>
      <c r="G74" s="8" t="str">
        <f t="shared" si="3"/>
        <v>1.0</v>
      </c>
      <c r="H74" s="9">
        <f t="shared" si="4"/>
        <v>1</v>
      </c>
      <c r="I74" s="10">
        <f>IFERROR(__xludf.DUMMYFUNCTION("MAX(FILTER($H:$H,$E:$E=F74))"),1.0)</f>
        <v>1</v>
      </c>
    </row>
    <row r="75">
      <c r="C75" s="4" t="s">
        <v>242</v>
      </c>
      <c r="D75" s="4" t="str">
        <f t="shared" si="1"/>
        <v>{"valorA":"ótimo","valorB":9.0}</v>
      </c>
      <c r="E75" s="8" t="str">
        <f t="shared" si="2"/>
        <v>ótimo</v>
      </c>
      <c r="F75" s="8" t="str">
        <f>IFERROR(__xludf.DUMMYFUNCTION("""COMPUTED_VALUE"""),"econômico")</f>
        <v>econômico</v>
      </c>
      <c r="G75" s="8" t="str">
        <f t="shared" si="3"/>
        <v>9.0</v>
      </c>
      <c r="H75" s="9">
        <f t="shared" si="4"/>
        <v>9</v>
      </c>
      <c r="I75" s="10">
        <f>IFERROR(__xludf.DUMMYFUNCTION("MAX(FILTER($H:$H,$E:$E=F75))"),1.0)</f>
        <v>1</v>
      </c>
    </row>
    <row r="76">
      <c r="C76" s="4" t="s">
        <v>1160</v>
      </c>
      <c r="D76" s="4" t="str">
        <f t="shared" si="1"/>
        <v>{"valorA":"no","valorB":1.0}</v>
      </c>
      <c r="E76" s="8" t="str">
        <f t="shared" si="2"/>
        <v>no</v>
      </c>
      <c r="F76" s="8" t="str">
        <f>IFERROR(__xludf.DUMMYFUNCTION("""COMPUTED_VALUE"""),"é")</f>
        <v>é</v>
      </c>
      <c r="G76" s="8" t="str">
        <f t="shared" si="3"/>
        <v>1.0</v>
      </c>
      <c r="H76" s="9">
        <f t="shared" si="4"/>
        <v>1</v>
      </c>
      <c r="I76" s="10">
        <f>IFERROR(__xludf.DUMMYFUNCTION("MAX(FILTER($H:$H,$E:$E=F76))"),1.0)</f>
        <v>1</v>
      </c>
    </row>
    <row r="77">
      <c r="C77" s="4" t="s">
        <v>5487</v>
      </c>
      <c r="D77" s="4" t="str">
        <f t="shared" si="1"/>
        <v>{"valorA":"recémcomprada","valorB":1.0}</v>
      </c>
      <c r="E77" s="8" t="str">
        <f t="shared" si="2"/>
        <v>recémcomprada</v>
      </c>
      <c r="F77" s="8" t="str">
        <f>IFERROR(__xludf.DUMMYFUNCTION("""COMPUTED_VALUE"""),"automáticos")</f>
        <v>automáticos</v>
      </c>
      <c r="G77" s="8" t="str">
        <f t="shared" si="3"/>
        <v>1.0</v>
      </c>
      <c r="H77" s="9">
        <f t="shared" si="4"/>
        <v>1</v>
      </c>
      <c r="I77" s="10">
        <f>IFERROR(__xludf.DUMMYFUNCTION("MAX(FILTER($H:$H,$E:$E=F77))"),1.0)</f>
        <v>1</v>
      </c>
    </row>
    <row r="78">
      <c r="C78" s="4" t="s">
        <v>4500</v>
      </c>
      <c r="D78" s="4" t="str">
        <f t="shared" si="1"/>
        <v>{"valorA":"café","valorB":1.0}</v>
      </c>
      <c r="E78" s="8" t="str">
        <f t="shared" si="2"/>
        <v>café</v>
      </c>
      <c r="F78" s="8" t="str">
        <f>IFERROR(__xludf.DUMMYFUNCTION("""COMPUTED_VALUE"""),"lâmpada")</f>
        <v>lâmpada</v>
      </c>
      <c r="G78" s="8" t="str">
        <f t="shared" si="3"/>
        <v>1.0</v>
      </c>
      <c r="H78" s="9">
        <f t="shared" si="4"/>
        <v>1</v>
      </c>
      <c r="I78" s="10">
        <f>IFERROR(__xludf.DUMMYFUNCTION("MAX(FILTER($H:$H,$E:$E=F78))"),3.0)</f>
        <v>3</v>
      </c>
    </row>
    <row r="79">
      <c r="C79" s="4" t="s">
        <v>1015</v>
      </c>
      <c r="D79" s="4" t="str">
        <f t="shared" si="1"/>
        <v>{"valorA":"acho","valorB":1.0}</v>
      </c>
      <c r="E79" s="8" t="str">
        <f t="shared" si="2"/>
        <v>acho</v>
      </c>
      <c r="F79" s="8" t="str">
        <f>IFERROR(__xludf.DUMMYFUNCTION("""COMPUTED_VALUE"""),"condicionado")</f>
        <v>condicionado</v>
      </c>
      <c r="G79" s="8" t="str">
        <f t="shared" si="3"/>
        <v>1.0</v>
      </c>
      <c r="H79" s="9">
        <f t="shared" si="4"/>
        <v>1</v>
      </c>
      <c r="I79" s="10">
        <f>IFERROR(__xludf.DUMMYFUNCTION("MAX(FILTER($H:$H,$E:$E=F79))"),1.0)</f>
        <v>1</v>
      </c>
    </row>
    <row r="80">
      <c r="C80" s="4" t="s">
        <v>5488</v>
      </c>
      <c r="D80" s="4" t="str">
        <f t="shared" si="1"/>
        <v>{"valorA":"salão","valorB":1.0}</v>
      </c>
      <c r="E80" s="8" t="str">
        <f t="shared" si="2"/>
        <v>salão</v>
      </c>
      <c r="F80" s="8" t="str">
        <f>IFERROR(__xludf.DUMMYFUNCTION("""COMPUTED_VALUE"""),"dormir")</f>
        <v>dormir</v>
      </c>
      <c r="G80" s="8" t="str">
        <f t="shared" si="3"/>
        <v>1.0</v>
      </c>
      <c r="H80" s="9">
        <f t="shared" si="4"/>
        <v>1</v>
      </c>
      <c r="I80" s="10">
        <f>IFERROR(__xludf.DUMMYFUNCTION("MAX(FILTER($H:$H,$E:$E=F80))"),1.0)</f>
        <v>1</v>
      </c>
    </row>
    <row r="81">
      <c r="C81" s="4" t="s">
        <v>323</v>
      </c>
      <c r="D81" s="4" t="str">
        <f t="shared" si="1"/>
        <v>{"valorA":"da","valorB":1.0}</v>
      </c>
      <c r="E81" s="8" t="str">
        <f t="shared" si="2"/>
        <v>da</v>
      </c>
      <c r="F81" s="8" t="str">
        <f>IFERROR(__xludf.DUMMYFUNCTION("""COMPUTED_VALUE"""),"ar")</f>
        <v>ar</v>
      </c>
      <c r="G81" s="8" t="str">
        <f t="shared" si="3"/>
        <v>1.0</v>
      </c>
      <c r="H81" s="9">
        <f t="shared" si="4"/>
        <v>1</v>
      </c>
      <c r="I81" s="10">
        <f>IFERROR(__xludf.DUMMYFUNCTION("MAX(FILTER($H:$H,$E:$E=F81))"),1.0)</f>
        <v>1</v>
      </c>
    </row>
    <row r="82">
      <c r="C82" s="4" t="s">
        <v>1319</v>
      </c>
      <c r="D82" s="4" t="str">
        <f t="shared" si="1"/>
        <v>{"valorA":"minha","valorB":3.0}</v>
      </c>
      <c r="E82" s="8" t="str">
        <f t="shared" si="2"/>
        <v>minha</v>
      </c>
      <c r="F82" s="8" t="str">
        <f>IFERROR(__xludf.DUMMYFUNCTION("""COMPUTED_VALUE"""),"sensores")</f>
        <v>sensores</v>
      </c>
      <c r="G82" s="8" t="str">
        <f t="shared" si="3"/>
        <v>3.0</v>
      </c>
      <c r="H82" s="9">
        <f t="shared" si="4"/>
        <v>3</v>
      </c>
      <c r="I82" s="10">
        <f>IFERROR(__xludf.DUMMYFUNCTION("MAX(FILTER($H:$H,$E:$E=F82))"),1.0)</f>
        <v>1</v>
      </c>
    </row>
    <row r="83">
      <c r="C83" s="4" t="s">
        <v>403</v>
      </c>
      <c r="D83" s="4" t="str">
        <f t="shared" si="1"/>
        <v>{"valorA":"para","valorB":5.0}</v>
      </c>
      <c r="E83" s="8" t="str">
        <f t="shared" si="2"/>
        <v>para</v>
      </c>
      <c r="F83" s="8" t="str">
        <f>IFERROR(__xludf.DUMMYFUNCTION("""COMPUTED_VALUE"""),"antiga")</f>
        <v>antiga</v>
      </c>
      <c r="G83" s="8" t="str">
        <f t="shared" si="3"/>
        <v>5.0</v>
      </c>
      <c r="H83" s="9">
        <f t="shared" si="4"/>
        <v>5</v>
      </c>
      <c r="I83" s="10">
        <f>IFERROR(__xludf.DUMMYFUNCTION("MAX(FILTER($H:$H,$E:$E=F83))"),1.0)</f>
        <v>1</v>
      </c>
    </row>
    <row r="84">
      <c r="C84" s="4" t="s">
        <v>1269</v>
      </c>
      <c r="D84" s="4" t="str">
        <f t="shared" si="1"/>
        <v>{"valorA":"confiável","valorB":1.0}</v>
      </c>
      <c r="E84" s="8" t="str">
        <f t="shared" si="2"/>
        <v>confiável</v>
      </c>
      <c r="F84" s="8" t="str">
        <f>IFERROR(__xludf.DUMMYFUNCTION("""COMPUTED_VALUE"""),"led")</f>
        <v>led</v>
      </c>
      <c r="G84" s="8" t="str">
        <f t="shared" si="3"/>
        <v>1.0</v>
      </c>
      <c r="H84" s="9">
        <f t="shared" si="4"/>
        <v>1</v>
      </c>
      <c r="I84" s="10">
        <f>IFERROR(__xludf.DUMMYFUNCTION("MAX(FILTER($H:$H,$E:$E=F84))"),2.0)</f>
        <v>2</v>
      </c>
    </row>
    <row r="85">
      <c r="C85" s="4" t="s">
        <v>5489</v>
      </c>
      <c r="D85" s="4" t="str">
        <f t="shared" si="1"/>
        <v>{"valorA":"água","valorB":1.0}</v>
      </c>
      <c r="E85" s="8" t="str">
        <f t="shared" si="2"/>
        <v>água</v>
      </c>
      <c r="F85" s="8" t="str">
        <f>IFERROR(__xludf.DUMMYFUNCTION("""COMPUTED_VALUE"""),"do")</f>
        <v>do</v>
      </c>
      <c r="G85" s="8" t="str">
        <f t="shared" si="3"/>
        <v>1.0</v>
      </c>
      <c r="H85" s="9">
        <f t="shared" si="4"/>
        <v>1</v>
      </c>
      <c r="I85" s="10">
        <f>IFERROR(__xludf.DUMMYFUNCTION("MAX(FILTER($H:$H,$E:$E=F85))"),1.0)</f>
        <v>1</v>
      </c>
    </row>
    <row r="86">
      <c r="C86" s="4" t="s">
        <v>492</v>
      </c>
      <c r="D86" s="4" t="str">
        <f t="shared" si="1"/>
        <v>{"valorA":"super","valorB":1.0}</v>
      </c>
      <c r="E86" s="8" t="str">
        <f t="shared" si="2"/>
        <v>super</v>
      </c>
      <c r="F86" s="8" t="str">
        <f>IFERROR(__xludf.DUMMYFUNCTION("""COMPUTED_VALUE"""),"mais")</f>
        <v>mais</v>
      </c>
      <c r="G86" s="8" t="str">
        <f t="shared" si="3"/>
        <v>1.0</v>
      </c>
      <c r="H86" s="9">
        <f t="shared" si="4"/>
        <v>1</v>
      </c>
      <c r="I86" s="10">
        <f>IFERROR(__xludf.DUMMYFUNCTION("MAX(FILTER($H:$H,$E:$E=F86))"),1.0)</f>
        <v>1</v>
      </c>
    </row>
    <row r="87">
      <c r="C87" s="4" t="s">
        <v>648</v>
      </c>
      <c r="D87" s="4" t="str">
        <f t="shared" si="1"/>
        <v>{"valorA":"bom","valorB":2.0}</v>
      </c>
      <c r="E87" s="8" t="str">
        <f t="shared" si="2"/>
        <v>bom</v>
      </c>
      <c r="F87" s="8" t="str">
        <f>IFERROR(__xludf.DUMMYFUNCTION("""COMPUTED_VALUE"""),"perfeitamente")</f>
        <v>perfeitamente</v>
      </c>
      <c r="G87" s="8" t="str">
        <f t="shared" si="3"/>
        <v>2.0</v>
      </c>
      <c r="H87" s="9">
        <f t="shared" si="4"/>
        <v>2</v>
      </c>
      <c r="I87" s="10">
        <f>IFERROR(__xludf.DUMMYFUNCTION("MAX(FILTER($H:$H,$E:$E=F87))"),4.0)</f>
        <v>4</v>
      </c>
    </row>
    <row r="88">
      <c r="C88" s="4" t="s">
        <v>270</v>
      </c>
      <c r="D88" s="4" t="str">
        <f t="shared" si="1"/>
        <v>{"valorA":"e","valorB":3.0}</v>
      </c>
      <c r="E88" s="8" t="str">
        <f t="shared" si="2"/>
        <v>e</v>
      </c>
      <c r="F88" s="8" t="str">
        <f>IFERROR(__xludf.DUMMYFUNCTION("""COMPUTED_VALUE"""),"tem")</f>
        <v>tem</v>
      </c>
      <c r="G88" s="8" t="str">
        <f t="shared" si="3"/>
        <v>3.0</v>
      </c>
      <c r="H88" s="9">
        <f t="shared" si="4"/>
        <v>3</v>
      </c>
      <c r="I88" s="10">
        <f>IFERROR(__xludf.DUMMYFUNCTION("MAX(FILTER($H:$H,$E:$E=F88))"),1.0)</f>
        <v>1</v>
      </c>
    </row>
    <row r="89">
      <c r="C89" s="4" t="s">
        <v>389</v>
      </c>
      <c r="D89" s="4" t="str">
        <f t="shared" si="1"/>
        <v>{"valorA":"de","valorB":8.0}</v>
      </c>
      <c r="E89" s="8" t="str">
        <f t="shared" si="2"/>
        <v>de</v>
      </c>
      <c r="F89" s="8" t="str">
        <f>IFERROR(__xludf.DUMMYFUNCTION("""COMPUTED_VALUE"""),"sistema")</f>
        <v>sistema</v>
      </c>
      <c r="G89" s="8" t="str">
        <f t="shared" si="3"/>
        <v>8.0</v>
      </c>
      <c r="H89" s="9">
        <f t="shared" si="4"/>
        <v>8</v>
      </c>
      <c r="I89" s="10">
        <f>IFERROR(__xludf.DUMMYFUNCTION("MAX(FILTER($H:$H,$E:$E=F89))"),2.0)</f>
        <v>2</v>
      </c>
    </row>
    <row r="90">
      <c r="C90" s="4" t="s">
        <v>5490</v>
      </c>
      <c r="D90" s="4" t="str">
        <f t="shared" si="1"/>
        <v>{"valorA":"banho","valorB":2.0}</v>
      </c>
      <c r="E90" s="8" t="str">
        <f t="shared" si="2"/>
        <v>banho</v>
      </c>
      <c r="F90" s="8" t="str">
        <f>IFERROR(__xludf.DUMMYFUNCTION("""COMPUTED_VALUE"""),"ontem")</f>
        <v>ontem</v>
      </c>
      <c r="G90" s="8" t="str">
        <f t="shared" si="3"/>
        <v>2.0</v>
      </c>
      <c r="H90" s="9">
        <f t="shared" si="4"/>
        <v>2</v>
      </c>
      <c r="I90" s="10">
        <f>IFERROR(__xludf.DUMMYFUNCTION("MAX(FILTER($H:$H,$E:$E=F90))"),3.0)</f>
        <v>3</v>
      </c>
    </row>
    <row r="91">
      <c r="C91" s="4" t="s">
        <v>5491</v>
      </c>
      <c r="D91" s="4" t="str">
        <f t="shared" si="1"/>
        <v>{"valorA":"aquecedor","valorB":1.0}</v>
      </c>
      <c r="E91" s="8" t="str">
        <f t="shared" si="2"/>
        <v>aquecedor</v>
      </c>
      <c r="F91" s="8" t="str">
        <f>IFERROR(__xludf.DUMMYFUNCTION("""COMPUTED_VALUE"""),"ele")</f>
        <v>ele</v>
      </c>
      <c r="G91" s="8" t="str">
        <f t="shared" si="3"/>
        <v>1.0</v>
      </c>
      <c r="H91" s="9">
        <f t="shared" si="4"/>
        <v>1</v>
      </c>
      <c r="I91" s="10">
        <f>IFERROR(__xludf.DUMMYFUNCTION("MAX(FILTER($H:$H,$E:$E=F91))"),2.0)</f>
        <v>2</v>
      </c>
    </row>
    <row r="92">
      <c r="C92" s="4" t="s">
        <v>621</v>
      </c>
      <c r="D92" s="4" t="str">
        <f t="shared" si="1"/>
        <v>{"valorA":"ótimo","valorB":11.0}</v>
      </c>
      <c r="E92" s="8" t="str">
        <f t="shared" si="2"/>
        <v>ótimo</v>
      </c>
      <c r="F92" s="8" t="str">
        <f>IFERROR(__xludf.DUMMYFUNCTION("""COMPUTED_VALUE"""),"satisfeita")</f>
        <v>satisfeita</v>
      </c>
      <c r="G92" s="8" t="str">
        <f t="shared" si="3"/>
        <v>11.0</v>
      </c>
      <c r="H92" s="9">
        <f t="shared" si="4"/>
        <v>11</v>
      </c>
      <c r="I92" s="10">
        <f>IFERROR(__xludf.DUMMYFUNCTION("MAX(FILTER($H:$H,$E:$E=F92))"),1.0)</f>
        <v>1</v>
      </c>
    </row>
    <row r="93">
      <c r="C93" s="4" t="s">
        <v>667</v>
      </c>
      <c r="D93" s="4" t="str">
        <f t="shared" si="1"/>
        <v>{"valorA":"som","valorB":1.0}</v>
      </c>
      <c r="E93" s="8" t="str">
        <f t="shared" si="2"/>
        <v>som</v>
      </c>
      <c r="F93" s="8" t="str">
        <f>IFERROR(__xludf.DUMMYFUNCTION("""COMPUTED_VALUE"""),"mudo")</f>
        <v>mudo</v>
      </c>
      <c r="G93" s="8" t="str">
        <f t="shared" si="3"/>
        <v>1.0</v>
      </c>
      <c r="H93" s="9">
        <f t="shared" si="4"/>
        <v>1</v>
      </c>
      <c r="I93" s="10">
        <f>IFERROR(__xludf.DUMMYFUNCTION("MAX(FILTER($H:$H,$E:$E=F93))"),1.0)</f>
        <v>1</v>
      </c>
    </row>
    <row r="94">
      <c r="C94" s="4" t="s">
        <v>304</v>
      </c>
      <c r="D94" s="4" t="str">
        <f t="shared" si="1"/>
        <v>{"valorA":"caixa","valorB":1.0}</v>
      </c>
      <c r="E94" s="8" t="str">
        <f t="shared" si="2"/>
        <v>caixa</v>
      </c>
      <c r="F94" s="8" t="str">
        <f>IFERROR(__xludf.DUMMYFUNCTION("""COMPUTED_VALUE"""),"contratei")</f>
        <v>contratei</v>
      </c>
      <c r="G94" s="8" t="str">
        <f t="shared" si="3"/>
        <v>1.0</v>
      </c>
      <c r="H94" s="9">
        <f t="shared" si="4"/>
        <v>1</v>
      </c>
      <c r="I94" s="10">
        <f>IFERROR(__xludf.DUMMYFUNCTION("MAX(FILTER($H:$H,$E:$E=F94))"),1.0)</f>
        <v>1</v>
      </c>
    </row>
    <row r="95">
      <c r="C95" s="4" t="s">
        <v>328</v>
      </c>
      <c r="D95" s="4" t="str">
        <f t="shared" si="1"/>
        <v>{"valorA":"com","valorB":2.0}</v>
      </c>
      <c r="E95" s="8" t="str">
        <f t="shared" si="2"/>
        <v>com</v>
      </c>
      <c r="F95" s="8" t="str">
        <f>IFERROR(__xludf.DUMMYFUNCTION("""COMPUTED_VALUE"""),"lençóis")</f>
        <v>lençóis</v>
      </c>
      <c r="G95" s="8" t="str">
        <f t="shared" si="3"/>
        <v>2.0</v>
      </c>
      <c r="H95" s="9">
        <f t="shared" si="4"/>
        <v>2</v>
      </c>
      <c r="I95" s="10">
        <f>IFERROR(__xludf.DUMMYFUNCTION("MAX(FILTER($H:$H,$E:$E=F95))"),1.0)</f>
        <v>1</v>
      </c>
    </row>
    <row r="96">
      <c r="C96" s="4" t="s">
        <v>5492</v>
      </c>
      <c r="D96" s="4" t="str">
        <f t="shared" si="1"/>
        <v>{"valorA":"práticas","valorB":1.0}</v>
      </c>
      <c r="E96" s="8" t="str">
        <f t="shared" si="2"/>
        <v>práticas</v>
      </c>
      <c r="F96" s="8" t="str">
        <f>IFERROR(__xludf.DUMMYFUNCTION("""COMPUTED_VALUE"""),"resultado")</f>
        <v>resultado</v>
      </c>
      <c r="G96" s="8" t="str">
        <f t="shared" si="3"/>
        <v>1.0</v>
      </c>
      <c r="H96" s="9">
        <f t="shared" si="4"/>
        <v>1</v>
      </c>
      <c r="I96" s="10">
        <f>IFERROR(__xludf.DUMMYFUNCTION("MAX(FILTER($H:$H,$E:$E=F96))"),2.0)</f>
        <v>2</v>
      </c>
    </row>
    <row r="97">
      <c r="C97" s="4" t="s">
        <v>1047</v>
      </c>
      <c r="D97" s="4" t="str">
        <f t="shared" si="1"/>
        <v>{"valorA":"lavabo","valorB":1.0}</v>
      </c>
      <c r="E97" s="8" t="str">
        <f t="shared" si="2"/>
        <v>lavabo</v>
      </c>
      <c r="F97" s="8" t="str">
        <f>IFERROR(__xludf.DUMMYFUNCTION("""COMPUTED_VALUE"""),"final")</f>
        <v>final</v>
      </c>
      <c r="G97" s="8" t="str">
        <f t="shared" si="3"/>
        <v>1.0</v>
      </c>
      <c r="H97" s="9">
        <f t="shared" si="4"/>
        <v>1</v>
      </c>
      <c r="I97" s="10">
        <f>IFERROR(__xludf.DUMMYFUNCTION("MAX(FILTER($H:$H,$E:$E=F97))"),1.0)</f>
        <v>1</v>
      </c>
    </row>
    <row r="98">
      <c r="C98" s="4" t="s">
        <v>410</v>
      </c>
      <c r="D98" s="4" t="str">
        <f t="shared" si="1"/>
        <v>{"valorA":"de","valorB":9.0}</v>
      </c>
      <c r="E98" s="8" t="str">
        <f t="shared" si="2"/>
        <v>de</v>
      </c>
      <c r="F98" s="8" t="str">
        <f>IFERROR(__xludf.DUMMYFUNCTION("""COMPUTED_VALUE"""),"confortável")</f>
        <v>confortável</v>
      </c>
      <c r="G98" s="8" t="str">
        <f t="shared" si="3"/>
        <v>9.0</v>
      </c>
      <c r="H98" s="9">
        <f t="shared" si="4"/>
        <v>9</v>
      </c>
      <c r="I98" s="10">
        <f>IFERROR(__xludf.DUMMYFUNCTION("MAX(FILTER($H:$H,$E:$E=F98))"),1.0)</f>
        <v>1</v>
      </c>
    </row>
    <row r="99">
      <c r="C99" s="4" t="s">
        <v>5493</v>
      </c>
      <c r="D99" s="4" t="str">
        <f t="shared" si="1"/>
        <v>{"valorA":"cozinha","valorB":2.0}</v>
      </c>
      <c r="E99" s="8" t="str">
        <f t="shared" si="2"/>
        <v>cozinha</v>
      </c>
      <c r="F99" s="8" t="str">
        <f>IFERROR(__xludf.DUMMYFUNCTION("""COMPUTED_VALUE"""),"sento")</f>
        <v>sento</v>
      </c>
      <c r="G99" s="8" t="str">
        <f t="shared" si="3"/>
        <v>2.0</v>
      </c>
      <c r="H99" s="9">
        <f t="shared" si="4"/>
        <v>2</v>
      </c>
      <c r="I99" s="10">
        <f>IFERROR(__xludf.DUMMYFUNCTION("MAX(FILTER($H:$H,$E:$E=F99))"),1.0)</f>
        <v>1</v>
      </c>
    </row>
    <row r="100">
      <c r="C100" s="4" t="s">
        <v>5494</v>
      </c>
      <c r="D100" s="4" t="str">
        <f t="shared" si="1"/>
        <v>{"valorA":"várias","valorB":1.0}</v>
      </c>
      <c r="E100" s="8" t="str">
        <f t="shared" si="2"/>
        <v>várias</v>
      </c>
      <c r="F100" s="8" t="str">
        <f>IFERROR(__xludf.DUMMYFUNCTION("""COMPUTED_VALUE"""),"desde")</f>
        <v>desde</v>
      </c>
      <c r="G100" s="8" t="str">
        <f t="shared" si="3"/>
        <v>1.0</v>
      </c>
      <c r="H100" s="9">
        <f t="shared" si="4"/>
        <v>1</v>
      </c>
      <c r="I100" s="10">
        <f>IFERROR(__xludf.DUMMYFUNCTION("MAX(FILTER($H:$H,$E:$E=F100))"),3.0)</f>
        <v>3</v>
      </c>
    </row>
    <row r="101">
      <c r="C101" s="4" t="s">
        <v>259</v>
      </c>
      <c r="D101" s="4" t="str">
        <f t="shared" si="1"/>
        <v>{"valorA":"ótimo","valorB":12.0}</v>
      </c>
      <c r="E101" s="8" t="str">
        <f t="shared" si="2"/>
        <v>ótimo</v>
      </c>
      <c r="F101" s="8" t="str">
        <f>IFERROR(__xludf.DUMMYFUNCTION("""COMPUTED_VALUE"""),"sem")</f>
        <v>sem</v>
      </c>
      <c r="G101" s="8" t="str">
        <f t="shared" si="3"/>
        <v>12.0</v>
      </c>
      <c r="H101" s="9">
        <f t="shared" si="4"/>
        <v>12</v>
      </c>
      <c r="I101" s="10">
        <f>IFERROR(__xludf.DUMMYFUNCTION("MAX(FILTER($H:$H,$E:$E=F101))"),1.0)</f>
        <v>1</v>
      </c>
    </row>
    <row r="102">
      <c r="C102" s="4" t="s">
        <v>5495</v>
      </c>
      <c r="D102" s="4" t="str">
        <f t="shared" si="1"/>
        <v>{"valorA":"características","valorB":1.0}</v>
      </c>
      <c r="E102" s="8" t="str">
        <f t="shared" si="2"/>
        <v>características</v>
      </c>
      <c r="F102" s="8" t="str">
        <f>IFERROR(__xludf.DUMMYFUNCTION("""COMPUTED_VALUE"""),"utilizo")</f>
        <v>utilizo</v>
      </c>
      <c r="G102" s="8" t="str">
        <f t="shared" si="3"/>
        <v>1.0</v>
      </c>
      <c r="H102" s="9">
        <f t="shared" si="4"/>
        <v>1</v>
      </c>
      <c r="I102" s="10">
        <f>IFERROR(__xludf.DUMMYFUNCTION("MAX(FILTER($H:$H,$E:$E=F102))"),1.0)</f>
        <v>1</v>
      </c>
    </row>
    <row r="103">
      <c r="C103" s="4" t="s">
        <v>639</v>
      </c>
      <c r="D103" s="4" t="str">
        <f t="shared" si="1"/>
        <v>{"valorA":"econômico","valorB":1.0}</v>
      </c>
      <c r="E103" s="8" t="str">
        <f t="shared" si="2"/>
        <v>econômico</v>
      </c>
      <c r="F103" s="8" t="str">
        <f>IFERROR(__xludf.DUMMYFUNCTION("""COMPUTED_VALUE"""),"problemas")</f>
        <v>problemas</v>
      </c>
      <c r="G103" s="8" t="str">
        <f t="shared" si="3"/>
        <v>1.0</v>
      </c>
      <c r="H103" s="9">
        <f t="shared" si="4"/>
        <v>1</v>
      </c>
      <c r="I103" s="10">
        <f>IFERROR(__xludf.DUMMYFUNCTION("MAX(FILTER($H:$H,$E:$E=F103))"),1.0)</f>
        <v>1</v>
      </c>
    </row>
    <row r="104">
      <c r="C104" s="4" t="s">
        <v>177</v>
      </c>
      <c r="D104" s="4" t="str">
        <f t="shared" si="1"/>
        <v>{"valorA":"é","valorB":1.0}</v>
      </c>
      <c r="E104" s="8" t="str">
        <f t="shared" si="2"/>
        <v>é</v>
      </c>
      <c r="F104" s="8" t="str">
        <f>IFERROR(__xludf.DUMMYFUNCTION("""COMPUTED_VALUE"""),"segundos")</f>
        <v>segundos</v>
      </c>
      <c r="G104" s="8" t="str">
        <f t="shared" si="3"/>
        <v>1.0</v>
      </c>
      <c r="H104" s="9">
        <f t="shared" si="4"/>
        <v>1</v>
      </c>
      <c r="I104" s="10">
        <f>IFERROR(__xludf.DUMMYFUNCTION("MAX(FILTER($H:$H,$E:$E=F104))"),1.0)</f>
        <v>1</v>
      </c>
    </row>
    <row r="105">
      <c r="C105" s="4" t="s">
        <v>419</v>
      </c>
      <c r="D105" s="4" t="str">
        <f t="shared" si="1"/>
        <v>{"valorA":"para","valorB":6.0}</v>
      </c>
      <c r="E105" s="8" t="str">
        <f t="shared" si="2"/>
        <v>para</v>
      </c>
      <c r="F105" s="8" t="str">
        <f>IFERROR(__xludf.DUMMYFUNCTION("""COMPUTED_VALUE"""),"oficial")</f>
        <v>oficial</v>
      </c>
      <c r="G105" s="8" t="str">
        <f t="shared" si="3"/>
        <v>6.0</v>
      </c>
      <c r="H105" s="9">
        <f t="shared" si="4"/>
        <v>6</v>
      </c>
      <c r="I105" s="10">
        <f>IFERROR(__xludf.DUMMYFUNCTION("MAX(FILTER($H:$H,$E:$E=F105))"),1.0)</f>
        <v>1</v>
      </c>
    </row>
    <row r="106">
      <c r="C106" s="4" t="s">
        <v>5496</v>
      </c>
      <c r="D106" s="4" t="str">
        <f t="shared" si="1"/>
        <v>{"valorA":"automáticos","valorB":1.0}</v>
      </c>
      <c r="E106" s="8" t="str">
        <f t="shared" si="2"/>
        <v>automáticos</v>
      </c>
      <c r="F106" s="8" t="str">
        <f>IFERROR(__xludf.DUMMYFUNCTION("""COMPUTED_VALUE"""),"site")</f>
        <v>site</v>
      </c>
      <c r="G106" s="8" t="str">
        <f t="shared" si="3"/>
        <v>1.0</v>
      </c>
      <c r="H106" s="9">
        <f t="shared" si="4"/>
        <v>1</v>
      </c>
      <c r="I106" s="10">
        <f>IFERROR(__xludf.DUMMYFUNCTION("MAX(FILTER($H:$H,$E:$E=F106))"),1.0)</f>
        <v>1</v>
      </c>
    </row>
    <row r="107">
      <c r="C107" s="4" t="s">
        <v>1600</v>
      </c>
      <c r="D107" s="4" t="str">
        <f t="shared" si="1"/>
        <v>{"valorA":"lâmpada","valorB":2.0}</v>
      </c>
      <c r="E107" s="8" t="str">
        <f t="shared" si="2"/>
        <v>lâmpada</v>
      </c>
      <c r="F107" s="8" t="str">
        <f>IFERROR(__xludf.DUMMYFUNCTION("""COMPUTED_VALUE"""),"fica")</f>
        <v>fica</v>
      </c>
      <c r="G107" s="8" t="str">
        <f t="shared" si="3"/>
        <v>2.0</v>
      </c>
      <c r="H107" s="9">
        <f t="shared" si="4"/>
        <v>2</v>
      </c>
      <c r="I107" s="10">
        <f>IFERROR(__xludf.DUMMYFUNCTION("MAX(FILTER($H:$H,$E:$E=F107))"),1.0)</f>
        <v>1</v>
      </c>
    </row>
    <row r="108">
      <c r="C108" s="4" t="s">
        <v>1030</v>
      </c>
      <c r="D108" s="4" t="str">
        <f t="shared" si="1"/>
        <v>{"valorA":"condicionado","valorB":1.0}</v>
      </c>
      <c r="E108" s="8" t="str">
        <f t="shared" si="2"/>
        <v>condicionado</v>
      </c>
      <c r="F108" s="8" t="str">
        <f>IFERROR(__xludf.DUMMYFUNCTION("""COMPUTED_VALUE"""),"empresa")</f>
        <v>empresa</v>
      </c>
      <c r="G108" s="8" t="str">
        <f t="shared" si="3"/>
        <v>1.0</v>
      </c>
      <c r="H108" s="9">
        <f t="shared" si="4"/>
        <v>1</v>
      </c>
      <c r="I108" s="10">
        <f>IFERROR(__xludf.DUMMYFUNCTION("MAX(FILTER($H:$H,$E:$E=F108))"),2.0)</f>
        <v>2</v>
      </c>
    </row>
    <row r="109">
      <c r="C109" s="4" t="s">
        <v>1004</v>
      </c>
      <c r="D109" s="4" t="str">
        <f t="shared" si="1"/>
        <v>{"valorA":"dormir","valorB":1.0}</v>
      </c>
      <c r="E109" s="8" t="str">
        <f t="shared" si="2"/>
        <v>dormir</v>
      </c>
      <c r="F109" s="8" t="str">
        <f>IFERROR(__xludf.DUMMYFUNCTION("""COMPUTED_VALUE"""),"fiz")</f>
        <v>fiz</v>
      </c>
      <c r="G109" s="8" t="str">
        <f t="shared" si="3"/>
        <v>1.0</v>
      </c>
      <c r="H109" s="9">
        <f t="shared" si="4"/>
        <v>1</v>
      </c>
      <c r="I109" s="10">
        <f>IFERROR(__xludf.DUMMYFUNCTION("MAX(FILTER($H:$H,$E:$E=F109))"),1.0)</f>
        <v>1</v>
      </c>
    </row>
    <row r="110">
      <c r="C110" s="4" t="s">
        <v>844</v>
      </c>
      <c r="D110" s="4" t="str">
        <f t="shared" si="1"/>
        <v>{"valorA":"ótima","valorB":2.0}</v>
      </c>
      <c r="E110" s="8" t="str">
        <f t="shared" si="2"/>
        <v>ótima</v>
      </c>
      <c r="F110" s="8" t="str">
        <f>IFERROR(__xludf.DUMMYFUNCTION("""COMPUTED_VALUE"""),"compra")</f>
        <v>compra</v>
      </c>
      <c r="G110" s="8" t="str">
        <f t="shared" si="3"/>
        <v>2.0</v>
      </c>
      <c r="H110" s="9">
        <f t="shared" si="4"/>
        <v>2</v>
      </c>
      <c r="I110" s="10">
        <f>IFERROR(__xludf.DUMMYFUNCTION("MAX(FILTER($H:$H,$E:$E=F110))"),2.0)</f>
        <v>2</v>
      </c>
    </row>
    <row r="111">
      <c r="C111" s="4" t="s">
        <v>280</v>
      </c>
      <c r="D111" s="4" t="str">
        <f t="shared" si="1"/>
        <v>{"valorA":"e","valorB":4.0}</v>
      </c>
      <c r="E111" s="8" t="str">
        <f t="shared" si="2"/>
        <v>e</v>
      </c>
      <c r="F111" s="8" t="str">
        <f>IFERROR(__xludf.DUMMYFUNCTION("""COMPUTED_VALUE"""),"eletrônico")</f>
        <v>eletrônico</v>
      </c>
      <c r="G111" s="8" t="str">
        <f t="shared" si="3"/>
        <v>4.0</v>
      </c>
      <c r="H111" s="9">
        <f t="shared" si="4"/>
        <v>4</v>
      </c>
      <c r="I111" s="10">
        <f>IFERROR(__xludf.DUMMYFUNCTION("MAX(FILTER($H:$H,$E:$E=F111))"),2.0)</f>
        <v>2</v>
      </c>
    </row>
    <row r="112">
      <c r="C112" s="4" t="s">
        <v>427</v>
      </c>
      <c r="D112" s="4" t="str">
        <f t="shared" si="1"/>
        <v>{"valorA":"de","valorB":10.0}</v>
      </c>
      <c r="E112" s="8" t="str">
        <f t="shared" si="2"/>
        <v>de</v>
      </c>
      <c r="F112" s="8" t="str">
        <f>IFERROR(__xludf.DUMMYFUNCTION("""COMPUTED_VALUE"""),"pronto")</f>
        <v>pronto</v>
      </c>
      <c r="G112" s="8" t="str">
        <f t="shared" si="3"/>
        <v>10.0</v>
      </c>
      <c r="H112" s="9">
        <f t="shared" si="4"/>
        <v>10</v>
      </c>
      <c r="I112" s="10">
        <f>IFERROR(__xludf.DUMMYFUNCTION("MAX(FILTER($H:$H,$E:$E=F112))"),1.0)</f>
        <v>1</v>
      </c>
    </row>
    <row r="113">
      <c r="C113" s="4" t="s">
        <v>1034</v>
      </c>
      <c r="D113" s="4" t="str">
        <f t="shared" si="1"/>
        <v>{"valorA":"ar","valorB":1.0}</v>
      </c>
      <c r="E113" s="8" t="str">
        <f t="shared" si="2"/>
        <v>ar</v>
      </c>
      <c r="F113" s="8" t="str">
        <f>IFERROR(__xludf.DUMMYFUNCTION("""COMPUTED_VALUE"""),"tricotado")</f>
        <v>tricotado</v>
      </c>
      <c r="G113" s="8" t="str">
        <f t="shared" si="3"/>
        <v>1.0</v>
      </c>
      <c r="H113" s="9">
        <f t="shared" si="4"/>
        <v>1</v>
      </c>
      <c r="I113" s="10">
        <f>IFERROR(__xludf.DUMMYFUNCTION("MAX(FILTER($H:$H,$E:$E=F113))"),1.0)</f>
        <v>1</v>
      </c>
    </row>
    <row r="114">
      <c r="C114" s="4" t="s">
        <v>5497</v>
      </c>
      <c r="D114" s="4" t="str">
        <f t="shared" si="1"/>
        <v>{"valorA":"sensores","valorB":1.0}</v>
      </c>
      <c r="E114" s="8" t="str">
        <f t="shared" si="2"/>
        <v>sensores</v>
      </c>
      <c r="F114" s="8" t="str">
        <f>IFERROR(__xludf.DUMMYFUNCTION("""COMPUTED_VALUE"""),"eletricista")</f>
        <v>eletricista</v>
      </c>
      <c r="G114" s="8" t="str">
        <f t="shared" si="3"/>
        <v>1.0</v>
      </c>
      <c r="H114" s="9">
        <f t="shared" si="4"/>
        <v>1</v>
      </c>
      <c r="I114" s="10">
        <f>IFERROR(__xludf.DUMMYFUNCTION("MAX(FILTER($H:$H,$E:$E=F114))"),1.0)</f>
        <v>1</v>
      </c>
    </row>
    <row r="115">
      <c r="C115" s="4" t="s">
        <v>5498</v>
      </c>
      <c r="D115" s="4" t="str">
        <f t="shared" si="1"/>
        <v>{"valorA":"antiga","valorB":1.0}</v>
      </c>
      <c r="E115" s="8" t="str">
        <f t="shared" si="2"/>
        <v>antiga</v>
      </c>
      <c r="F115" s="8" t="str">
        <f>IFERROR(__xludf.DUMMYFUNCTION("""COMPUTED_VALUE"""),"relaxamento")</f>
        <v>relaxamento</v>
      </c>
      <c r="G115" s="8" t="str">
        <f t="shared" si="3"/>
        <v>1.0</v>
      </c>
      <c r="H115" s="9">
        <f t="shared" si="4"/>
        <v>1</v>
      </c>
      <c r="I115" s="10">
        <f>IFERROR(__xludf.DUMMYFUNCTION("MAX(FILTER($H:$H,$E:$E=F115))"),1.0)</f>
        <v>1</v>
      </c>
    </row>
    <row r="116">
      <c r="C116" s="4" t="s">
        <v>333</v>
      </c>
      <c r="D116" s="4" t="str">
        <f t="shared" si="1"/>
        <v>{"valorA":"que","valorB":2.0}</v>
      </c>
      <c r="E116" s="8" t="str">
        <f t="shared" si="2"/>
        <v>que</v>
      </c>
      <c r="F116" s="8" t="str">
        <f>IFERROR(__xludf.DUMMYFUNCTION("""COMPUTED_VALUE"""),"cabelo")</f>
        <v>cabelo</v>
      </c>
      <c r="G116" s="8" t="str">
        <f t="shared" si="3"/>
        <v>2.0</v>
      </c>
      <c r="H116" s="9">
        <f t="shared" si="4"/>
        <v>2</v>
      </c>
      <c r="I116" s="10">
        <f>IFERROR(__xludf.DUMMYFUNCTION("MAX(FILTER($H:$H,$E:$E=F116))"),3.0)</f>
        <v>3</v>
      </c>
    </row>
    <row r="117">
      <c r="C117" s="4" t="s">
        <v>635</v>
      </c>
      <c r="D117" s="4" t="str">
        <f t="shared" si="1"/>
        <v>{"valorA":"led","valorB":1.0}</v>
      </c>
      <c r="E117" s="8" t="str">
        <f t="shared" si="2"/>
        <v>led</v>
      </c>
      <c r="F117" s="8" t="str">
        <f>IFERROR(__xludf.DUMMYFUNCTION("""COMPUTED_VALUE"""),"mantém")</f>
        <v>mantém</v>
      </c>
      <c r="G117" s="8" t="str">
        <f t="shared" si="3"/>
        <v>1.0</v>
      </c>
      <c r="H117" s="9">
        <f t="shared" si="4"/>
        <v>1</v>
      </c>
      <c r="I117" s="10">
        <f>IFERROR(__xludf.DUMMYFUNCTION("MAX(FILTER($H:$H,$E:$E=F117))"),1.0)</f>
        <v>1</v>
      </c>
    </row>
    <row r="118">
      <c r="C118" s="4" t="s">
        <v>335</v>
      </c>
      <c r="D118" s="4" t="str">
        <f t="shared" si="1"/>
        <v>{"valorA":"do","valorB":1.0}</v>
      </c>
      <c r="E118" s="8" t="str">
        <f t="shared" si="2"/>
        <v>do</v>
      </c>
      <c r="F118" s="8" t="str">
        <f>IFERROR(__xludf.DUMMYFUNCTION("""COMPUTED_VALUE"""),"aquecimento")</f>
        <v>aquecimento</v>
      </c>
      <c r="G118" s="8" t="str">
        <f t="shared" si="3"/>
        <v>1.0</v>
      </c>
      <c r="H118" s="9">
        <f t="shared" si="4"/>
        <v>1</v>
      </c>
      <c r="I118" s="10">
        <f>IFERROR(__xludf.DUMMYFUNCTION("MAX(FILTER($H:$H,$E:$E=F118))"),1.0)</f>
        <v>1</v>
      </c>
    </row>
    <row r="119">
      <c r="C119" s="4" t="s">
        <v>628</v>
      </c>
      <c r="D119" s="4" t="str">
        <f t="shared" si="1"/>
        <v>{"valorA":"ótimo","valorB":13.0}</v>
      </c>
      <c r="E119" s="8" t="str">
        <f t="shared" si="2"/>
        <v>ótimo</v>
      </c>
      <c r="F119" s="8" t="str">
        <f>IFERROR(__xludf.DUMMYFUNCTION("""COMPUTED_VALUE"""),"comprar")</f>
        <v>comprar</v>
      </c>
      <c r="G119" s="8" t="str">
        <f t="shared" si="3"/>
        <v>13.0</v>
      </c>
      <c r="H119" s="9">
        <f t="shared" si="4"/>
        <v>13</v>
      </c>
      <c r="I119" s="10">
        <f>IFERROR(__xludf.DUMMYFUNCTION("MAX(FILTER($H:$H,$E:$E=F119))"),2.0)</f>
        <v>2</v>
      </c>
    </row>
    <row r="120">
      <c r="C120" s="4" t="s">
        <v>337</v>
      </c>
      <c r="D120" s="4" t="str">
        <f t="shared" si="1"/>
        <v>{"valorA":"mais","valorB":1.0}</v>
      </c>
      <c r="E120" s="8" t="str">
        <f t="shared" si="2"/>
        <v>mais</v>
      </c>
      <c r="F120" s="8" t="str">
        <f>IFERROR(__xludf.DUMMYFUNCTION("""COMPUTED_VALUE"""),"tv")</f>
        <v>tv</v>
      </c>
      <c r="G120" s="8" t="str">
        <f t="shared" si="3"/>
        <v>1.0</v>
      </c>
      <c r="H120" s="9">
        <f t="shared" si="4"/>
        <v>1</v>
      </c>
      <c r="I120" s="10">
        <f>IFERROR(__xludf.DUMMYFUNCTION("MAX(FILTER($H:$H,$E:$E=F120))"),1.0)</f>
        <v>1</v>
      </c>
    </row>
    <row r="121">
      <c r="C121" s="4" t="s">
        <v>245</v>
      </c>
      <c r="D121" s="4" t="str">
        <f t="shared" si="1"/>
        <v>{"valorA":"perfeitamente","valorB":1.0}</v>
      </c>
      <c r="E121" s="8" t="str">
        <f t="shared" si="2"/>
        <v>perfeitamente</v>
      </c>
      <c r="F121" s="8" t="str">
        <f>IFERROR(__xludf.DUMMYFUNCTION("""COMPUTED_VALUE"""),"quem")</f>
        <v>quem</v>
      </c>
      <c r="G121" s="8" t="str">
        <f t="shared" si="3"/>
        <v>1.0</v>
      </c>
      <c r="H121" s="9">
        <f t="shared" si="4"/>
        <v>1</v>
      </c>
      <c r="I121" s="10">
        <f>IFERROR(__xludf.DUMMYFUNCTION("MAX(FILTER($H:$H,$E:$E=F121))"),5.0)</f>
        <v>5</v>
      </c>
    </row>
    <row r="122">
      <c r="C122" s="4" t="s">
        <v>1027</v>
      </c>
      <c r="D122" s="4" t="str">
        <f t="shared" si="1"/>
        <v>{"valorA":"tem","valorB":1.0}</v>
      </c>
      <c r="E122" s="8" t="str">
        <f t="shared" si="2"/>
        <v>tem</v>
      </c>
      <c r="F122" s="8" t="str">
        <f>IFERROR(__xludf.DUMMYFUNCTION("""COMPUTED_VALUE"""),"deseja")</f>
        <v>deseja</v>
      </c>
      <c r="G122" s="8" t="str">
        <f t="shared" si="3"/>
        <v>1.0</v>
      </c>
      <c r="H122" s="9">
        <f t="shared" si="4"/>
        <v>1</v>
      </c>
      <c r="I122" s="10">
        <f>IFERROR(__xludf.DUMMYFUNCTION("MAX(FILTER($H:$H,$E:$E=F122))"),1.0)</f>
        <v>1</v>
      </c>
    </row>
    <row r="123">
      <c r="C123" s="4" t="s">
        <v>193</v>
      </c>
      <c r="D123" s="4" t="str">
        <f t="shared" si="1"/>
        <v>{"valorA":"muito","valorB":2.0}</v>
      </c>
      <c r="E123" s="8" t="str">
        <f t="shared" si="2"/>
        <v>muito</v>
      </c>
      <c r="F123" s="8" t="str">
        <f>IFERROR(__xludf.DUMMYFUNCTION("""COMPUTED_VALUE"""),"tostador")</f>
        <v>tostador</v>
      </c>
      <c r="G123" s="8" t="str">
        <f t="shared" si="3"/>
        <v>2.0</v>
      </c>
      <c r="H123" s="9">
        <f t="shared" si="4"/>
        <v>2</v>
      </c>
      <c r="I123" s="10">
        <f>IFERROR(__xludf.DUMMYFUNCTION("MAX(FILTER($H:$H,$E:$E=F123))"),1.0)</f>
        <v>1</v>
      </c>
    </row>
    <row r="124">
      <c r="C124" s="4" t="s">
        <v>668</v>
      </c>
      <c r="D124" s="4" t="str">
        <f t="shared" si="1"/>
        <v>{"valorA":"sistema","valorB":1.0}</v>
      </c>
      <c r="E124" s="8" t="str">
        <f t="shared" si="2"/>
        <v>sistema</v>
      </c>
      <c r="F124" s="8" t="str">
        <f>IFERROR(__xludf.DUMMYFUNCTION("""COMPUTED_VALUE"""),"um")</f>
        <v>um</v>
      </c>
      <c r="G124" s="8" t="str">
        <f t="shared" si="3"/>
        <v>1.0</v>
      </c>
      <c r="H124" s="9">
        <f t="shared" si="4"/>
        <v>1</v>
      </c>
      <c r="I124" s="10">
        <f>IFERROR(__xludf.DUMMYFUNCTION("MAX(FILTER($H:$H,$E:$E=F124))"),5.0)</f>
        <v>5</v>
      </c>
    </row>
    <row r="125">
      <c r="C125" s="4" t="s">
        <v>320</v>
      </c>
      <c r="D125" s="4" t="str">
        <f t="shared" si="1"/>
        <v>{"valorA":"a","valorB":3.0}</v>
      </c>
      <c r="E125" s="8" t="str">
        <f t="shared" si="2"/>
        <v>a</v>
      </c>
      <c r="F125" s="8" t="str">
        <f>IFERROR(__xludf.DUMMYFUNCTION("""COMPUTED_VALUE"""),"preço")</f>
        <v>preço</v>
      </c>
      <c r="G125" s="8" t="str">
        <f t="shared" si="3"/>
        <v>3.0</v>
      </c>
      <c r="H125" s="9">
        <f t="shared" si="4"/>
        <v>3</v>
      </c>
      <c r="I125" s="10">
        <f>IFERROR(__xludf.DUMMYFUNCTION("MAX(FILTER($H:$H,$E:$E=F125))"),1.0)</f>
        <v>1</v>
      </c>
    </row>
    <row r="126">
      <c r="C126" s="4" t="s">
        <v>631</v>
      </c>
      <c r="D126" s="4" t="str">
        <f t="shared" si="1"/>
        <v>{"valorA":"funciona","valorB":2.0}</v>
      </c>
      <c r="E126" s="8" t="str">
        <f t="shared" si="2"/>
        <v>funciona</v>
      </c>
      <c r="F126" s="8" t="str">
        <f>IFERROR(__xludf.DUMMYFUNCTION("""COMPUTED_VALUE"""),"bluetooth")</f>
        <v>bluetooth</v>
      </c>
      <c r="G126" s="8" t="str">
        <f t="shared" si="3"/>
        <v>2.0</v>
      </c>
      <c r="H126" s="9">
        <f t="shared" si="4"/>
        <v>2</v>
      </c>
      <c r="I126" s="10">
        <f>IFERROR(__xludf.DUMMYFUNCTION("MAX(FILTER($H:$H,$E:$E=F126))"),2.0)</f>
        <v>2</v>
      </c>
    </row>
    <row r="127">
      <c r="C127" s="4" t="s">
        <v>5499</v>
      </c>
      <c r="D127" s="4" t="str">
        <f t="shared" si="1"/>
        <v>{"valorA":"minha","valorB":4.0}</v>
      </c>
      <c r="E127" s="8" t="str">
        <f t="shared" si="2"/>
        <v>minha</v>
      </c>
      <c r="F127" s="8" t="str">
        <f>IFERROR(__xludf.DUMMYFUNCTION("""COMPUTED_VALUE"""),"primeiro")</f>
        <v>primeiro</v>
      </c>
      <c r="G127" s="8" t="str">
        <f t="shared" si="3"/>
        <v>4.0</v>
      </c>
      <c r="H127" s="9">
        <f t="shared" si="4"/>
        <v>4</v>
      </c>
      <c r="I127" s="10">
        <f>IFERROR(__xludf.DUMMYFUNCTION("MAX(FILTER($H:$H,$E:$E=F127))"),1.0)</f>
        <v>1</v>
      </c>
    </row>
    <row r="128">
      <c r="C128" s="4" t="s">
        <v>289</v>
      </c>
      <c r="D128" s="4" t="str">
        <f t="shared" si="1"/>
        <v>{"valorA":"ontem","valorB":1.0}</v>
      </c>
      <c r="E128" s="8" t="str">
        <f t="shared" si="2"/>
        <v>ontem</v>
      </c>
      <c r="F128" s="8" t="str">
        <f>IFERROR(__xludf.DUMMYFUNCTION("""COMPUTED_VALUE"""),"escritório")</f>
        <v>escritório</v>
      </c>
      <c r="G128" s="8" t="str">
        <f t="shared" si="3"/>
        <v>1.0</v>
      </c>
      <c r="H128" s="9">
        <f t="shared" si="4"/>
        <v>1</v>
      </c>
      <c r="I128" s="10">
        <f>IFERROR(__xludf.DUMMYFUNCTION("MAX(FILTER($H:$H,$E:$E=F128))"),2.0)</f>
        <v>2</v>
      </c>
    </row>
    <row r="129">
      <c r="C129" s="4" t="s">
        <v>1149</v>
      </c>
      <c r="D129" s="4" t="str">
        <f t="shared" si="1"/>
        <v>{"valorA":"ele","valorB":1.0}</v>
      </c>
      <c r="E129" s="8" t="str">
        <f t="shared" si="2"/>
        <v>ele</v>
      </c>
      <c r="F129" s="8" t="str">
        <f>IFERROR(__xludf.DUMMYFUNCTION("""COMPUTED_VALUE"""),"limpar")</f>
        <v>limpar</v>
      </c>
      <c r="G129" s="8" t="str">
        <f t="shared" si="3"/>
        <v>1.0</v>
      </c>
      <c r="H129" s="9">
        <f t="shared" si="4"/>
        <v>1</v>
      </c>
      <c r="I129" s="10">
        <f>IFERROR(__xludf.DUMMYFUNCTION("MAX(FILTER($H:$H,$E:$E=F129))"),2.0)</f>
        <v>2</v>
      </c>
    </row>
    <row r="130">
      <c r="C130" s="4" t="s">
        <v>1053</v>
      </c>
      <c r="D130" s="4" t="str">
        <f t="shared" si="1"/>
        <v>{"valorA":"satisfeita","valorB":1.0}</v>
      </c>
      <c r="E130" s="8" t="str">
        <f t="shared" si="2"/>
        <v>satisfeita</v>
      </c>
      <c r="F130" s="8" t="str">
        <f>IFERROR(__xludf.DUMMYFUNCTION("""COMPUTED_VALUE"""),"momento")</f>
        <v>momento</v>
      </c>
      <c r="G130" s="8" t="str">
        <f t="shared" si="3"/>
        <v>1.0</v>
      </c>
      <c r="H130" s="9">
        <f t="shared" si="4"/>
        <v>1</v>
      </c>
      <c r="I130" s="10">
        <f>IFERROR(__xludf.DUMMYFUNCTION("MAX(FILTER($H:$H,$E:$E=F130))"),1.0)</f>
        <v>1</v>
      </c>
    </row>
    <row r="131">
      <c r="C131" s="4" t="s">
        <v>1599</v>
      </c>
      <c r="D131" s="4" t="str">
        <f t="shared" si="1"/>
        <v>{"valorA":"limpeza","valorB":2.0}</v>
      </c>
      <c r="E131" s="8" t="str">
        <f t="shared" si="2"/>
        <v>limpeza</v>
      </c>
      <c r="F131" s="8" t="str">
        <f>IFERROR(__xludf.DUMMYFUNCTION("""COMPUTED_VALUE"""),"mesa")</f>
        <v>mesa</v>
      </c>
      <c r="G131" s="8" t="str">
        <f t="shared" si="3"/>
        <v>2.0</v>
      </c>
      <c r="H131" s="9">
        <f t="shared" si="4"/>
        <v>2</v>
      </c>
      <c r="I131" s="10">
        <f>IFERROR(__xludf.DUMMYFUNCTION("MAX(FILTER($H:$H,$E:$E=F131))"),3.0)</f>
        <v>3</v>
      </c>
    </row>
    <row r="132">
      <c r="C132" s="4" t="s">
        <v>436</v>
      </c>
      <c r="D132" s="4" t="str">
        <f t="shared" si="1"/>
        <v>{"valorA":"com","valorB":4.0}</v>
      </c>
      <c r="E132" s="8" t="str">
        <f t="shared" si="2"/>
        <v>com</v>
      </c>
      <c r="F132" s="8" t="str">
        <f>IFERROR(__xludf.DUMMYFUNCTION("""COMPUTED_VALUE"""),"confortavel")</f>
        <v>confortavel</v>
      </c>
      <c r="G132" s="8" t="str">
        <f t="shared" si="3"/>
        <v>4.0</v>
      </c>
      <c r="H132" s="9">
        <f t="shared" si="4"/>
        <v>4</v>
      </c>
      <c r="I132" s="10">
        <f>IFERROR(__xludf.DUMMYFUNCTION("MAX(FILTER($H:$H,$E:$E=F132))"),1.0)</f>
        <v>1</v>
      </c>
    </row>
    <row r="133">
      <c r="C133" s="4" t="s">
        <v>1099</v>
      </c>
      <c r="D133" s="4" t="str">
        <f t="shared" si="1"/>
        <v>{"valorA":"serviço","valorB":2.0}</v>
      </c>
      <c r="E133" s="8" t="str">
        <f t="shared" si="2"/>
        <v>serviço</v>
      </c>
      <c r="F133" s="8" t="str">
        <f>IFERROR(__xludf.DUMMYFUNCTION("""COMPUTED_VALUE"""),"valeu")</f>
        <v>valeu</v>
      </c>
      <c r="G133" s="8" t="str">
        <f t="shared" si="3"/>
        <v>2.0</v>
      </c>
      <c r="H133" s="9">
        <f t="shared" si="4"/>
        <v>2</v>
      </c>
      <c r="I133" s="10">
        <f>IFERROR(__xludf.DUMMYFUNCTION("MAX(FILTER($H:$H,$E:$E=F133))"),1.0)</f>
        <v>1</v>
      </c>
    </row>
    <row r="134">
      <c r="C134" s="4" t="s">
        <v>5500</v>
      </c>
      <c r="D134" s="4" t="str">
        <f t="shared" si="1"/>
        <v>{"valorA":"mudo","valorB":1.0}</v>
      </c>
      <c r="E134" s="8" t="str">
        <f t="shared" si="2"/>
        <v>mudo</v>
      </c>
      <c r="F134" s="8" t="str">
        <f>IFERROR(__xludf.DUMMYFUNCTION("""COMPUTED_VALUE"""),"pena")</f>
        <v>pena</v>
      </c>
      <c r="G134" s="8" t="str">
        <f t="shared" si="3"/>
        <v>1.0</v>
      </c>
      <c r="H134" s="9">
        <f t="shared" si="4"/>
        <v>1</v>
      </c>
      <c r="I134" s="10">
        <f>IFERROR(__xludf.DUMMYFUNCTION("MAX(FILTER($H:$H,$E:$E=F134))"),1.0)</f>
        <v>1</v>
      </c>
    </row>
    <row r="135">
      <c r="C135" s="4" t="s">
        <v>5501</v>
      </c>
      <c r="D135" s="4" t="str">
        <f t="shared" si="1"/>
        <v>{"valorA":"contratei","valorB":1.0}</v>
      </c>
      <c r="E135" s="8" t="str">
        <f t="shared" si="2"/>
        <v>contratei</v>
      </c>
      <c r="F135" s="8" t="str">
        <f>IFERROR(__xludf.DUMMYFUNCTION("""COMPUTED_VALUE"""),"óptico")</f>
        <v>óptico</v>
      </c>
      <c r="G135" s="8" t="str">
        <f t="shared" si="3"/>
        <v>1.0</v>
      </c>
      <c r="H135" s="9">
        <f t="shared" si="4"/>
        <v>1</v>
      </c>
      <c r="I135" s="10">
        <f>IFERROR(__xludf.DUMMYFUNCTION("MAX(FILTER($H:$H,$E:$E=F135))"),1.0)</f>
        <v>1</v>
      </c>
    </row>
    <row r="136">
      <c r="C136" s="4" t="s">
        <v>5502</v>
      </c>
      <c r="D136" s="4" t="str">
        <f t="shared" si="1"/>
        <v>{"valorA":"lençóis","valorB":1.0}</v>
      </c>
      <c r="E136" s="8" t="str">
        <f t="shared" si="2"/>
        <v>lençóis</v>
      </c>
      <c r="F136" s="8" t="str">
        <f>IFERROR(__xludf.DUMMYFUNCTION("""COMPUTED_VALUE"""),"dinheiro")</f>
        <v>dinheiro</v>
      </c>
      <c r="G136" s="8" t="str">
        <f t="shared" si="3"/>
        <v>1.0</v>
      </c>
      <c r="H136" s="9">
        <f t="shared" si="4"/>
        <v>1</v>
      </c>
      <c r="I136" s="10">
        <f>IFERROR(__xludf.DUMMYFUNCTION("MAX(FILTER($H:$H,$E:$E=F136))"),1.0)</f>
        <v>1</v>
      </c>
    </row>
    <row r="137">
      <c r="C137" s="4" t="s">
        <v>788</v>
      </c>
      <c r="D137" s="4" t="str">
        <f t="shared" si="1"/>
        <v>{"valorA":"de","valorB":12.0}</v>
      </c>
      <c r="E137" s="8" t="str">
        <f t="shared" si="2"/>
        <v>de</v>
      </c>
      <c r="F137" s="8" t="str">
        <f>IFERROR(__xludf.DUMMYFUNCTION("""COMPUTED_VALUE"""),"gasto")</f>
        <v>gasto</v>
      </c>
      <c r="G137" s="8" t="str">
        <f t="shared" si="3"/>
        <v>12.0</v>
      </c>
      <c r="H137" s="9">
        <f t="shared" si="4"/>
        <v>12</v>
      </c>
      <c r="I137" s="10">
        <f>IFERROR(__xludf.DUMMYFUNCTION("MAX(FILTER($H:$H,$E:$E=F137))"),1.0)</f>
        <v>1</v>
      </c>
    </row>
    <row r="138">
      <c r="C138" s="4" t="s">
        <v>351</v>
      </c>
      <c r="D138" s="4" t="str">
        <f t="shared" si="1"/>
        <v>{"valorA":"o","valorB":3.0}</v>
      </c>
      <c r="E138" s="8" t="str">
        <f t="shared" si="2"/>
        <v>o</v>
      </c>
      <c r="F138" s="8" t="str">
        <f>IFERROR(__xludf.DUMMYFUNCTION("""COMPUTED_VALUE"""),"trabalhar")</f>
        <v>trabalhar</v>
      </c>
      <c r="G138" s="8" t="str">
        <f t="shared" si="3"/>
        <v>3.0</v>
      </c>
      <c r="H138" s="9">
        <f t="shared" si="4"/>
        <v>3</v>
      </c>
      <c r="I138" s="10">
        <f>IFERROR(__xludf.DUMMYFUNCTION("MAX(FILTER($H:$H,$E:$E=F138))"),2.0)</f>
        <v>2</v>
      </c>
    </row>
    <row r="139">
      <c r="C139" s="4" t="s">
        <v>593</v>
      </c>
      <c r="D139" s="4" t="str">
        <f t="shared" si="1"/>
        <v>{"valorA":"que","valorB":3.0}</v>
      </c>
      <c r="E139" s="8" t="str">
        <f t="shared" si="2"/>
        <v>que</v>
      </c>
      <c r="F139" s="8" t="str">
        <f>IFERROR(__xludf.DUMMYFUNCTION("""COMPUTED_VALUE"""),"cadeira")</f>
        <v>cadeira</v>
      </c>
      <c r="G139" s="8" t="str">
        <f t="shared" si="3"/>
        <v>3.0</v>
      </c>
      <c r="H139" s="9">
        <f t="shared" si="4"/>
        <v>3</v>
      </c>
      <c r="I139" s="10">
        <f>IFERROR(__xludf.DUMMYFUNCTION("MAX(FILTER($H:$H,$E:$E=F139))"),2.0)</f>
        <v>2</v>
      </c>
    </row>
    <row r="140">
      <c r="C140" s="4" t="s">
        <v>314</v>
      </c>
      <c r="D140" s="4" t="str">
        <f t="shared" si="1"/>
        <v>{"valorA":"resultado","valorB":1.0}</v>
      </c>
      <c r="E140" s="8" t="str">
        <f t="shared" si="2"/>
        <v>resultado</v>
      </c>
      <c r="F140" s="8" t="str">
        <f>IFERROR(__xludf.DUMMYFUNCTION("""COMPUTED_VALUE"""),"muita")</f>
        <v>muita</v>
      </c>
      <c r="G140" s="8" t="str">
        <f t="shared" si="3"/>
        <v>1.0</v>
      </c>
      <c r="H140" s="9">
        <f t="shared" si="4"/>
        <v>1</v>
      </c>
      <c r="I140" s="10">
        <f>IFERROR(__xludf.DUMMYFUNCTION("MAX(FILTER($H:$H,$E:$E=F140))"),3.0)</f>
        <v>3</v>
      </c>
    </row>
    <row r="141">
      <c r="C141" s="4" t="s">
        <v>638</v>
      </c>
      <c r="D141" s="4" t="str">
        <f t="shared" si="1"/>
        <v>{"valorA":"ótimo","valorB":15.0}</v>
      </c>
      <c r="E141" s="8" t="str">
        <f t="shared" si="2"/>
        <v>ótimo</v>
      </c>
      <c r="F141" s="8" t="str">
        <f>IFERROR(__xludf.DUMMYFUNCTION("""COMPUTED_VALUE"""),"bastante")</f>
        <v>bastante</v>
      </c>
      <c r="G141" s="8" t="str">
        <f t="shared" si="3"/>
        <v>15.0</v>
      </c>
      <c r="H141" s="9">
        <f t="shared" si="4"/>
        <v>15</v>
      </c>
      <c r="I141" s="10">
        <f>IFERROR(__xludf.DUMMYFUNCTION("MAX(FILTER($H:$H,$E:$E=F141))"),2.0)</f>
        <v>2</v>
      </c>
    </row>
    <row r="142">
      <c r="C142" s="4" t="s">
        <v>627</v>
      </c>
      <c r="D142" s="4" t="str">
        <f t="shared" si="1"/>
        <v>{"valorA":"final","valorB":1.0}</v>
      </c>
      <c r="E142" s="8" t="str">
        <f t="shared" si="2"/>
        <v>final</v>
      </c>
      <c r="F142" s="8" t="str">
        <f>IFERROR(__xludf.DUMMYFUNCTION("""COMPUTED_VALUE"""),"só")</f>
        <v>só</v>
      </c>
      <c r="G142" s="8" t="str">
        <f t="shared" si="3"/>
        <v>1.0</v>
      </c>
      <c r="H142" s="9">
        <f t="shared" si="4"/>
        <v>1</v>
      </c>
      <c r="I142" s="10">
        <f>IFERROR(__xludf.DUMMYFUNCTION("MAX(FILTER($H:$H,$E:$E=F142))"),1.0)</f>
        <v>1</v>
      </c>
    </row>
    <row r="143">
      <c r="C143" s="4" t="s">
        <v>246</v>
      </c>
      <c r="D143" s="4" t="str">
        <f t="shared" si="1"/>
        <v>{"valorA":"muito","valorB":4.0}</v>
      </c>
      <c r="E143" s="8" t="str">
        <f t="shared" si="2"/>
        <v>muito</v>
      </c>
      <c r="F143" s="8" t="str">
        <f>IFERROR(__xludf.DUMMYFUNCTION("""COMPUTED_VALUE"""),"cerado")</f>
        <v>cerado</v>
      </c>
      <c r="G143" s="8" t="str">
        <f t="shared" si="3"/>
        <v>4.0</v>
      </c>
      <c r="H143" s="9">
        <f t="shared" si="4"/>
        <v>4</v>
      </c>
      <c r="I143" s="10">
        <f>IFERROR(__xludf.DUMMYFUNCTION("MAX(FILTER($H:$H,$E:$E=F143))"),1.0)</f>
        <v>1</v>
      </c>
    </row>
    <row r="144">
      <c r="C144" s="4" t="s">
        <v>398</v>
      </c>
      <c r="D144" s="4" t="str">
        <f t="shared" si="1"/>
        <v>{"valorA":"confortável","valorB":1.0}</v>
      </c>
      <c r="E144" s="8" t="str">
        <f t="shared" si="2"/>
        <v>confortável</v>
      </c>
      <c r="F144" s="8" t="str">
        <f>IFERROR(__xludf.DUMMYFUNCTION("""COMPUTED_VALUE"""),"dispositivo")</f>
        <v>dispositivo</v>
      </c>
      <c r="G144" s="8" t="str">
        <f t="shared" si="3"/>
        <v>1.0</v>
      </c>
      <c r="H144" s="9">
        <f t="shared" si="4"/>
        <v>1</v>
      </c>
      <c r="I144" s="10">
        <f>IFERROR(__xludf.DUMMYFUNCTION("MAX(FILTER($H:$H,$E:$E=F144))"),1.0)</f>
        <v>1</v>
      </c>
    </row>
    <row r="145">
      <c r="C145" s="4" t="s">
        <v>5503</v>
      </c>
      <c r="D145" s="4" t="str">
        <f t="shared" si="1"/>
        <v>{"valorA":"sento","valorB":1.0}</v>
      </c>
      <c r="E145" s="8" t="str">
        <f t="shared" si="2"/>
        <v>sento</v>
      </c>
      <c r="F145" s="8" t="str">
        <f>IFERROR(__xludf.DUMMYFUNCTION("""COMPUTED_VALUE"""),"funcionalidade")</f>
        <v>funcionalidade</v>
      </c>
      <c r="G145" s="8" t="str">
        <f t="shared" si="3"/>
        <v>1.0</v>
      </c>
      <c r="H145" s="9">
        <f t="shared" si="4"/>
        <v>1</v>
      </c>
      <c r="I145" s="10">
        <f>IFERROR(__xludf.DUMMYFUNCTION("MAX(FILTER($H:$H,$E:$E=F145))"),1.0)</f>
        <v>1</v>
      </c>
    </row>
    <row r="146">
      <c r="C146" s="4" t="s">
        <v>1578</v>
      </c>
      <c r="D146" s="4" t="str">
        <f t="shared" si="1"/>
        <v>{"valorA":"ontem","valorB":2.0}</v>
      </c>
      <c r="E146" s="8" t="str">
        <f t="shared" si="2"/>
        <v>ontem</v>
      </c>
      <c r="F146" s="8" t="str">
        <f>IFERROR(__xludf.DUMMYFUNCTION("""COMPUTED_VALUE"""),"comentário")</f>
        <v>comentário</v>
      </c>
      <c r="G146" s="8" t="str">
        <f t="shared" si="3"/>
        <v>2.0</v>
      </c>
      <c r="H146" s="9">
        <f t="shared" si="4"/>
        <v>2</v>
      </c>
      <c r="I146" s="10">
        <f>IFERROR(__xludf.DUMMYFUNCTION("MAX(FILTER($H:$H,$E:$E=F146))"),3.0)</f>
        <v>3</v>
      </c>
    </row>
    <row r="147">
      <c r="C147" s="4" t="s">
        <v>5504</v>
      </c>
      <c r="D147" s="4" t="str">
        <f t="shared" si="1"/>
        <v>{"valorA":"lâmpada","valorB":3.0}</v>
      </c>
      <c r="E147" s="8" t="str">
        <f t="shared" si="2"/>
        <v>lâmpada</v>
      </c>
      <c r="F147" s="8" t="str">
        <f>IFERROR(__xludf.DUMMYFUNCTION("""COMPUTED_VALUE"""),"adoro")</f>
        <v>adoro</v>
      </c>
      <c r="G147" s="8" t="str">
        <f t="shared" si="3"/>
        <v>3.0</v>
      </c>
      <c r="H147" s="9">
        <f t="shared" si="4"/>
        <v>3</v>
      </c>
      <c r="I147" s="10">
        <f>IFERROR(__xludf.DUMMYFUNCTION("MAX(FILTER($H:$H,$E:$E=F147))"),1.0)</f>
        <v>1</v>
      </c>
    </row>
    <row r="148">
      <c r="C148" s="4" t="s">
        <v>997</v>
      </c>
      <c r="D148" s="4" t="str">
        <f t="shared" si="1"/>
        <v>{"valorA":"desde","valorB":1.0}</v>
      </c>
      <c r="E148" s="8" t="str">
        <f t="shared" si="2"/>
        <v>desde</v>
      </c>
      <c r="F148" s="8" t="str">
        <f>IFERROR(__xludf.DUMMYFUNCTION("""COMPUTED_VALUE"""),"comprei")</f>
        <v>comprei</v>
      </c>
      <c r="G148" s="8" t="str">
        <f t="shared" si="3"/>
        <v>1.0</v>
      </c>
      <c r="H148" s="9">
        <f t="shared" si="4"/>
        <v>1</v>
      </c>
      <c r="I148" s="10">
        <f>IFERROR(__xludf.DUMMYFUNCTION("MAX(FILTER($H:$H,$E:$E=F148))"),2.0)</f>
        <v>2</v>
      </c>
    </row>
    <row r="149">
      <c r="C149" s="4" t="s">
        <v>1420</v>
      </c>
      <c r="D149" s="4" t="str">
        <f t="shared" si="1"/>
        <v>{"valorA":"led","valorB":2.0}</v>
      </c>
      <c r="E149" s="8" t="str">
        <f t="shared" si="2"/>
        <v>led</v>
      </c>
      <c r="F149" s="8" t="str">
        <f>IFERROR(__xludf.DUMMYFUNCTION("""COMPUTED_VALUE"""),"modelo")</f>
        <v>modelo</v>
      </c>
      <c r="G149" s="8" t="str">
        <f t="shared" si="3"/>
        <v>2.0</v>
      </c>
      <c r="H149" s="9">
        <f t="shared" si="4"/>
        <v>2</v>
      </c>
      <c r="I149" s="10">
        <f>IFERROR(__xludf.DUMMYFUNCTION("MAX(FILTER($H:$H,$E:$E=F149))"),1.0)</f>
        <v>1</v>
      </c>
    </row>
    <row r="150">
      <c r="C150" s="4" t="s">
        <v>257</v>
      </c>
      <c r="D150" s="4" t="str">
        <f t="shared" si="1"/>
        <v>{"valorA":"sem","valorB":1.0}</v>
      </c>
      <c r="E150" s="8" t="str">
        <f t="shared" si="2"/>
        <v>sem</v>
      </c>
      <c r="F150" s="8" t="str">
        <f>IFERROR(__xludf.DUMMYFUNCTION("""COMPUTED_VALUE"""),"refrigerador")</f>
        <v>refrigerador</v>
      </c>
      <c r="G150" s="8" t="str">
        <f t="shared" si="3"/>
        <v>1.0</v>
      </c>
      <c r="H150" s="9">
        <f t="shared" si="4"/>
        <v>1</v>
      </c>
      <c r="I150" s="10">
        <f>IFERROR(__xludf.DUMMYFUNCTION("MAX(FILTER($H:$H,$E:$E=F150))"),1.0)</f>
        <v>1</v>
      </c>
    </row>
    <row r="151">
      <c r="C151" s="4" t="s">
        <v>189</v>
      </c>
      <c r="D151" s="4" t="str">
        <f t="shared" si="1"/>
        <v>{"valorA":"produto","valorB":2.0}</v>
      </c>
      <c r="E151" s="8" t="str">
        <f t="shared" si="2"/>
        <v>produto</v>
      </c>
      <c r="F151" s="8" t="str">
        <f>IFERROR(__xludf.DUMMYFUNCTION("""COMPUTED_VALUE"""),"passada")</f>
        <v>passada</v>
      </c>
      <c r="G151" s="8" t="str">
        <f t="shared" si="3"/>
        <v>2.0</v>
      </c>
      <c r="H151" s="9">
        <f t="shared" si="4"/>
        <v>2</v>
      </c>
      <c r="I151" s="10">
        <f>IFERROR(__xludf.DUMMYFUNCTION("MAX(FILTER($H:$H,$E:$E=F151))"),1.0)</f>
        <v>1</v>
      </c>
    </row>
    <row r="152">
      <c r="C152" s="4" t="s">
        <v>645</v>
      </c>
      <c r="D152" s="4" t="str">
        <f t="shared" si="1"/>
        <v>{"valorA":"ótimo","valorB":16.0}</v>
      </c>
      <c r="E152" s="8" t="str">
        <f t="shared" si="2"/>
        <v>ótimo</v>
      </c>
      <c r="F152" s="8" t="str">
        <f>IFERROR(__xludf.DUMMYFUNCTION("""COMPUTED_VALUE"""),"eu")</f>
        <v>eu</v>
      </c>
      <c r="G152" s="8" t="str">
        <f t="shared" si="3"/>
        <v>16.0</v>
      </c>
      <c r="H152" s="9">
        <f t="shared" si="4"/>
        <v>16</v>
      </c>
      <c r="I152" s="10">
        <f>IFERROR(__xludf.DUMMYFUNCTION("MAX(FILTER($H:$H,$E:$E=F152))"),1.0)</f>
        <v>1</v>
      </c>
    </row>
    <row r="153">
      <c r="C153" s="4" t="s">
        <v>447</v>
      </c>
      <c r="D153" s="4" t="str">
        <f t="shared" si="1"/>
        <v>{"valorA":"essa","valorB":2.0}</v>
      </c>
      <c r="E153" s="8" t="str">
        <f t="shared" si="2"/>
        <v>essa</v>
      </c>
      <c r="F153" s="8" t="str">
        <f>IFERROR(__xludf.DUMMYFUNCTION("""COMPUTED_VALUE"""),"gosto")</f>
        <v>gosto</v>
      </c>
      <c r="G153" s="8" t="str">
        <f t="shared" si="3"/>
        <v>2.0</v>
      </c>
      <c r="H153" s="9">
        <f t="shared" si="4"/>
        <v>2</v>
      </c>
      <c r="I153" s="10">
        <f>IFERROR(__xludf.DUMMYFUNCTION("MAX(FILTER($H:$H,$E:$E=F153))"),2.0)</f>
        <v>2</v>
      </c>
    </row>
    <row r="154">
      <c r="C154" s="4" t="s">
        <v>5505</v>
      </c>
      <c r="D154" s="4" t="str">
        <f t="shared" si="1"/>
        <v>{"valorA":"utilizo","valorB":1.0}</v>
      </c>
      <c r="E154" s="8" t="str">
        <f t="shared" si="2"/>
        <v>utilizo</v>
      </c>
      <c r="F154" s="8" t="str">
        <f>IFERROR(__xludf.DUMMYFUNCTION("""COMPUTED_VALUE"""),"ela")</f>
        <v>ela</v>
      </c>
      <c r="G154" s="8" t="str">
        <f t="shared" si="3"/>
        <v>1.0</v>
      </c>
      <c r="H154" s="9">
        <f t="shared" si="4"/>
        <v>1</v>
      </c>
      <c r="I154" s="10">
        <f>IFERROR(__xludf.DUMMYFUNCTION("MAX(FILTER($H:$H,$E:$E=F154))"),1.0)</f>
        <v>1</v>
      </c>
    </row>
    <row r="155">
      <c r="C155" s="4" t="s">
        <v>1020</v>
      </c>
      <c r="D155" s="4" t="str">
        <f t="shared" si="1"/>
        <v>{"valorA":"problemas","valorB":1.0}</v>
      </c>
      <c r="E155" s="8" t="str">
        <f t="shared" si="2"/>
        <v>problemas</v>
      </c>
      <c r="F155" s="8" t="str">
        <f>IFERROR(__xludf.DUMMYFUNCTION("""COMPUTED_VALUE"""),"semana")</f>
        <v>semana</v>
      </c>
      <c r="G155" s="8" t="str">
        <f t="shared" si="3"/>
        <v>1.0</v>
      </c>
      <c r="H155" s="9">
        <f t="shared" si="4"/>
        <v>1</v>
      </c>
      <c r="I155" s="10">
        <f>IFERROR(__xludf.DUMMYFUNCTION("MAX(FILTER($H:$H,$E:$E=F155))"),1.0)</f>
        <v>1</v>
      </c>
    </row>
    <row r="156">
      <c r="C156" s="4" t="s">
        <v>5506</v>
      </c>
      <c r="D156" s="4" t="str">
        <f t="shared" si="1"/>
        <v>{"valorA":"em","valorB":2.0}</v>
      </c>
      <c r="E156" s="8" t="str">
        <f t="shared" si="2"/>
        <v>em</v>
      </c>
      <c r="F156" s="8" t="str">
        <f>IFERROR(__xludf.DUMMYFUNCTION("""COMPUTED_VALUE"""),"desse")</f>
        <v>desse</v>
      </c>
      <c r="G156" s="8" t="str">
        <f t="shared" si="3"/>
        <v>2.0</v>
      </c>
      <c r="H156" s="9">
        <f t="shared" si="4"/>
        <v>2</v>
      </c>
      <c r="I156" s="10">
        <f>IFERROR(__xludf.DUMMYFUNCTION("MAX(FILTER($H:$H,$E:$E=F156))"),2.0)</f>
        <v>2</v>
      </c>
    </row>
    <row r="157">
      <c r="C157" s="4" t="s">
        <v>5507</v>
      </c>
      <c r="D157" s="4" t="str">
        <f t="shared" si="1"/>
        <v>{"valorA":"água","valorB":2.0}</v>
      </c>
      <c r="E157" s="8" t="str">
        <f t="shared" si="2"/>
        <v>água</v>
      </c>
      <c r="F157" s="8" t="str">
        <f>IFERROR(__xludf.DUMMYFUNCTION("""COMPUTED_VALUE"""),"na")</f>
        <v>na</v>
      </c>
      <c r="G157" s="8" t="str">
        <f t="shared" si="3"/>
        <v>2.0</v>
      </c>
      <c r="H157" s="9">
        <f t="shared" si="4"/>
        <v>2</v>
      </c>
      <c r="I157" s="10">
        <f>IFERROR(__xludf.DUMMYFUNCTION("MAX(FILTER($H:$H,$E:$E=F157))"),1.0)</f>
        <v>1</v>
      </c>
    </row>
    <row r="158">
      <c r="C158" s="4" t="s">
        <v>5508</v>
      </c>
      <c r="D158" s="4" t="str">
        <f t="shared" si="1"/>
        <v>{"valorA":"segundos","valorB":1.0}</v>
      </c>
      <c r="E158" s="8" t="str">
        <f t="shared" si="2"/>
        <v>segundos</v>
      </c>
      <c r="F158" s="8" t="str">
        <f>IFERROR(__xludf.DUMMYFUNCTION("""COMPUTED_VALUE"""),"elegante")</f>
        <v>elegante</v>
      </c>
      <c r="G158" s="8" t="str">
        <f t="shared" si="3"/>
        <v>1.0</v>
      </c>
      <c r="H158" s="9">
        <f t="shared" si="4"/>
        <v>1</v>
      </c>
      <c r="I158" s="10">
        <f>IFERROR(__xludf.DUMMYFUNCTION("MAX(FILTER($H:$H,$E:$E=F158))"),1.0)</f>
        <v>1</v>
      </c>
    </row>
    <row r="159">
      <c r="C159" s="4" t="s">
        <v>5509</v>
      </c>
      <c r="D159" s="4" t="str">
        <f t="shared" si="1"/>
        <v>{"valorA":"oficial","valorB":1.0}</v>
      </c>
      <c r="E159" s="8" t="str">
        <f t="shared" si="2"/>
        <v>oficial</v>
      </c>
      <c r="F159" s="8" t="str">
        <f>IFERROR(__xludf.DUMMYFUNCTION("""COMPUTED_VALUE"""),"jantar")</f>
        <v>jantar</v>
      </c>
      <c r="G159" s="8" t="str">
        <f t="shared" si="3"/>
        <v>1.0</v>
      </c>
      <c r="H159" s="9">
        <f t="shared" si="4"/>
        <v>1</v>
      </c>
      <c r="I159" s="10">
        <f>IFERROR(__xludf.DUMMYFUNCTION("MAX(FILTER($H:$H,$E:$E=F159))"),1.0)</f>
        <v>1</v>
      </c>
    </row>
    <row r="160">
      <c r="C160" s="4" t="s">
        <v>832</v>
      </c>
      <c r="D160" s="4" t="str">
        <f t="shared" si="1"/>
        <v>{"valorA":"de","valorB":13.0}</v>
      </c>
      <c r="E160" s="8" t="str">
        <f t="shared" si="2"/>
        <v>de</v>
      </c>
      <c r="F160" s="8" t="str">
        <f>IFERROR(__xludf.DUMMYFUNCTION("""COMPUTED_VALUE"""),"estilo")</f>
        <v>estilo</v>
      </c>
      <c r="G160" s="8" t="str">
        <f t="shared" si="3"/>
        <v>13.0</v>
      </c>
      <c r="H160" s="9">
        <f t="shared" si="4"/>
        <v>13</v>
      </c>
      <c r="I160" s="10">
        <f>IFERROR(__xludf.DUMMYFUNCTION("MAX(FILTER($H:$H,$E:$E=F160))"),1.0)</f>
        <v>1</v>
      </c>
    </row>
    <row r="161">
      <c r="C161" s="4" t="s">
        <v>5510</v>
      </c>
      <c r="D161" s="4" t="str">
        <f t="shared" si="1"/>
        <v>{"valorA":"aquecedor","valorB":2.0}</v>
      </c>
      <c r="E161" s="8" t="str">
        <f t="shared" si="2"/>
        <v>aquecedor</v>
      </c>
      <c r="F161" s="8" t="str">
        <f>IFERROR(__xludf.DUMMYFUNCTION("""COMPUTED_VALUE"""),"nunca")</f>
        <v>nunca</v>
      </c>
      <c r="G161" s="8" t="str">
        <f t="shared" si="3"/>
        <v>2.0</v>
      </c>
      <c r="H161" s="9">
        <f t="shared" si="4"/>
        <v>2</v>
      </c>
      <c r="I161" s="10">
        <f>IFERROR(__xludf.DUMMYFUNCTION("MAX(FILTER($H:$H,$E:$E=F161))"),1.0)</f>
        <v>1</v>
      </c>
    </row>
    <row r="162">
      <c r="C162" s="4" t="s">
        <v>5511</v>
      </c>
      <c r="D162" s="4" t="str">
        <f t="shared" si="1"/>
        <v>{"valorA":"site","valorB":1.0}</v>
      </c>
      <c r="E162" s="8" t="str">
        <f t="shared" si="2"/>
        <v>site</v>
      </c>
      <c r="F162" s="8" t="str">
        <f>IFERROR(__xludf.DUMMYFUNCTION("""COMPUTED_VALUE"""),"bonito")</f>
        <v>bonito</v>
      </c>
      <c r="G162" s="8" t="str">
        <f t="shared" si="3"/>
        <v>1.0</v>
      </c>
      <c r="H162" s="9">
        <f t="shared" si="4"/>
        <v>1</v>
      </c>
      <c r="I162" s="10">
        <f>IFERROR(__xludf.DUMMYFUNCTION("MAX(FILTER($H:$H,$E:$E=F162))"),1.0)</f>
        <v>1</v>
      </c>
    </row>
    <row r="163">
      <c r="C163" s="4" t="s">
        <v>1075</v>
      </c>
      <c r="D163" s="4" t="str">
        <f t="shared" si="1"/>
        <v>{"valorA":"fica","valorB":1.0}</v>
      </c>
      <c r="E163" s="8" t="str">
        <f t="shared" si="2"/>
        <v>fica</v>
      </c>
      <c r="F163" s="8" t="str">
        <f>IFERROR(__xludf.DUMMYFUNCTION("""COMPUTED_VALUE"""),"tão")</f>
        <v>tão</v>
      </c>
      <c r="G163" s="8" t="str">
        <f t="shared" si="3"/>
        <v>1.0</v>
      </c>
      <c r="H163" s="9">
        <f t="shared" si="4"/>
        <v>1</v>
      </c>
      <c r="I163" s="10">
        <f>IFERROR(__xludf.DUMMYFUNCTION("MAX(FILTER($H:$H,$E:$E=F163))"),1.0)</f>
        <v>1</v>
      </c>
    </row>
    <row r="164">
      <c r="C164" s="4" t="s">
        <v>1084</v>
      </c>
      <c r="D164" s="4" t="str">
        <f t="shared" si="1"/>
        <v>{"valorA":"aparelho","valorB":3.0}</v>
      </c>
      <c r="E164" s="8" t="str">
        <f t="shared" si="2"/>
        <v>aparelho</v>
      </c>
      <c r="F164" s="8" t="str">
        <f>IFERROR(__xludf.DUMMYFUNCTION("""COMPUTED_VALUE"""),"quer")</f>
        <v>quer</v>
      </c>
      <c r="G164" s="8" t="str">
        <f t="shared" si="3"/>
        <v>3.0</v>
      </c>
      <c r="H164" s="9">
        <f t="shared" si="4"/>
        <v>3</v>
      </c>
      <c r="I164" s="10">
        <f>IFERROR(__xludf.DUMMYFUNCTION("MAX(FILTER($H:$H,$E:$E=F164))"),2.0)</f>
        <v>2</v>
      </c>
    </row>
    <row r="165">
      <c r="C165" s="4" t="s">
        <v>1000</v>
      </c>
      <c r="D165" s="4" t="str">
        <f t="shared" si="1"/>
        <v>{"valorA":"empresa","valorB":1.0}</v>
      </c>
      <c r="E165" s="8" t="str">
        <f t="shared" si="2"/>
        <v>empresa</v>
      </c>
      <c r="F165" s="8" t="str">
        <f>IFERROR(__xludf.DUMMYFUNCTION("""COMPUTED_VALUE"""),"vem")</f>
        <v>vem</v>
      </c>
      <c r="G165" s="8" t="str">
        <f t="shared" si="3"/>
        <v>1.0</v>
      </c>
      <c r="H165" s="9">
        <f t="shared" si="4"/>
        <v>1</v>
      </c>
      <c r="I165" s="10">
        <f>IFERROR(__xludf.DUMMYFUNCTION("MAX(FILTER($H:$H,$E:$E=F165))"),1.0)</f>
        <v>1</v>
      </c>
    </row>
    <row r="166">
      <c r="C166" s="4" t="s">
        <v>658</v>
      </c>
      <c r="D166" s="4" t="str">
        <f t="shared" si="1"/>
        <v>{"valorA":"ótimo","valorB":18.0}</v>
      </c>
      <c r="E166" s="8" t="str">
        <f t="shared" si="2"/>
        <v>ótimo</v>
      </c>
      <c r="F166" s="8" t="str">
        <f>IFERROR(__xludf.DUMMYFUNCTION("""COMPUTED_VALUE"""),"está")</f>
        <v>está</v>
      </c>
      <c r="G166" s="8" t="str">
        <f t="shared" si="3"/>
        <v>18.0</v>
      </c>
      <c r="H166" s="9">
        <f t="shared" si="4"/>
        <v>18</v>
      </c>
      <c r="I166" s="10">
        <f>IFERROR(__xludf.DUMMYFUNCTION("MAX(FILTER($H:$H,$E:$E=F166))"),1.0)</f>
        <v>1</v>
      </c>
    </row>
    <row r="167">
      <c r="C167" s="4" t="s">
        <v>5512</v>
      </c>
      <c r="D167" s="4" t="str">
        <f t="shared" si="1"/>
        <v>{"valorA":"no","valorB":2.0}</v>
      </c>
      <c r="E167" s="8" t="str">
        <f t="shared" si="2"/>
        <v>no</v>
      </c>
      <c r="F167" s="8" t="str">
        <f>IFERROR(__xludf.DUMMYFUNCTION("""COMPUTED_VALUE"""),"cálice")</f>
        <v>cálice</v>
      </c>
      <c r="G167" s="8" t="str">
        <f t="shared" si="3"/>
        <v>2.0</v>
      </c>
      <c r="H167" s="9">
        <f t="shared" si="4"/>
        <v>2</v>
      </c>
      <c r="I167" s="10">
        <f>IFERROR(__xludf.DUMMYFUNCTION("MAX(FILTER($H:$H,$E:$E=F167))"),2.0)</f>
        <v>2</v>
      </c>
    </row>
    <row r="168">
      <c r="C168" s="4" t="s">
        <v>5513</v>
      </c>
      <c r="D168" s="4" t="str">
        <f t="shared" si="1"/>
        <v>{"valorA":"fiz","valorB":1.0}</v>
      </c>
      <c r="E168" s="8" t="str">
        <f t="shared" si="2"/>
        <v>fiz</v>
      </c>
      <c r="F168" s="8" t="str">
        <f>IFERROR(__xludf.DUMMYFUNCTION("""COMPUTED_VALUE"""),"todos")</f>
        <v>todos</v>
      </c>
      <c r="G168" s="8" t="str">
        <f t="shared" si="3"/>
        <v>1.0</v>
      </c>
      <c r="H168" s="9">
        <f t="shared" si="4"/>
        <v>1</v>
      </c>
      <c r="I168" s="10">
        <f>IFERROR(__xludf.DUMMYFUNCTION("MAX(FILTER($H:$H,$E:$E=F168))"),1.0)</f>
        <v>1</v>
      </c>
    </row>
    <row r="169">
      <c r="C169" s="4" t="s">
        <v>263</v>
      </c>
      <c r="D169" s="4" t="str">
        <f t="shared" si="1"/>
        <v>{"valorA":"compra","valorB":1.0}</v>
      </c>
      <c r="E169" s="8" t="str">
        <f t="shared" si="2"/>
        <v>compra</v>
      </c>
      <c r="F169" s="8" t="str">
        <f>IFERROR(__xludf.DUMMYFUNCTION("""COMPUTED_VALUE"""),"automóvel")</f>
        <v>automóvel</v>
      </c>
      <c r="G169" s="8" t="str">
        <f t="shared" si="3"/>
        <v>1.0</v>
      </c>
      <c r="H169" s="9">
        <f t="shared" si="4"/>
        <v>1</v>
      </c>
      <c r="I169" s="10">
        <f>IFERROR(__xludf.DUMMYFUNCTION("MAX(FILTER($H:$H,$E:$E=F169))"),1.0)</f>
        <v>1</v>
      </c>
    </row>
    <row r="170">
      <c r="C170" s="4" t="s">
        <v>342</v>
      </c>
      <c r="D170" s="4" t="str">
        <f t="shared" si="1"/>
        <v>{"valorA":"a","valorB":4.0}</v>
      </c>
      <c r="E170" s="8" t="str">
        <f t="shared" si="2"/>
        <v>a</v>
      </c>
      <c r="F170" s="8" t="str">
        <f>IFERROR(__xludf.DUMMYFUNCTION("""COMPUTED_VALUE"""),"se")</f>
        <v>se</v>
      </c>
      <c r="G170" s="8" t="str">
        <f t="shared" si="3"/>
        <v>4.0</v>
      </c>
      <c r="H170" s="9">
        <f t="shared" si="4"/>
        <v>4</v>
      </c>
      <c r="I170" s="10">
        <f>IFERROR(__xludf.DUMMYFUNCTION("MAX(FILTER($H:$H,$E:$E=F170))"),1.0)</f>
        <v>1</v>
      </c>
    </row>
    <row r="171">
      <c r="C171" s="4" t="s">
        <v>1142</v>
      </c>
      <c r="D171" s="4" t="str">
        <f t="shared" si="1"/>
        <v>{"valorA":"eletrônico","valorB":1.0}</v>
      </c>
      <c r="E171" s="8" t="str">
        <f t="shared" si="2"/>
        <v>eletrônico</v>
      </c>
      <c r="F171" s="8" t="str">
        <f>IFERROR(__xludf.DUMMYFUNCTION("""COMPUTED_VALUE"""),"novo")</f>
        <v>novo</v>
      </c>
      <c r="G171" s="8" t="str">
        <f t="shared" si="3"/>
        <v>1.0</v>
      </c>
      <c r="H171" s="9">
        <f t="shared" si="4"/>
        <v>1</v>
      </c>
      <c r="I171" s="10">
        <f>IFERROR(__xludf.DUMMYFUNCTION("MAX(FILTER($H:$H,$E:$E=F171))"),1.0)</f>
        <v>1</v>
      </c>
    </row>
    <row r="172">
      <c r="C172" s="4" t="s">
        <v>5514</v>
      </c>
      <c r="D172" s="4" t="str">
        <f t="shared" si="1"/>
        <v>{"valorA":"pronto","valorB":1.0}</v>
      </c>
      <c r="E172" s="8" t="str">
        <f t="shared" si="2"/>
        <v>pronto</v>
      </c>
      <c r="F172" s="8" t="str">
        <f>IFERROR(__xludf.DUMMYFUNCTION("""COMPUTED_VALUE"""),"tudo")</f>
        <v>tudo</v>
      </c>
      <c r="G172" s="8" t="str">
        <f t="shared" si="3"/>
        <v>1.0</v>
      </c>
      <c r="H172" s="9">
        <f t="shared" si="4"/>
        <v>1</v>
      </c>
      <c r="I172" s="10">
        <f>IFERROR(__xludf.DUMMYFUNCTION("MAX(FILTER($H:$H,$E:$E=F172))"),2.0)</f>
        <v>2</v>
      </c>
    </row>
    <row r="173">
      <c r="C173" s="4" t="s">
        <v>402</v>
      </c>
      <c r="D173" s="4" t="str">
        <f t="shared" si="1"/>
        <v>{"valorA":"da","valorB":2.0}</v>
      </c>
      <c r="E173" s="8" t="str">
        <f t="shared" si="2"/>
        <v>da</v>
      </c>
      <c r="F173" s="8" t="str">
        <f>IFERROR(__xludf.DUMMYFUNCTION("""COMPUTED_VALUE"""),"lustrar")</f>
        <v>lustrar</v>
      </c>
      <c r="G173" s="8" t="str">
        <f t="shared" si="3"/>
        <v>2.0</v>
      </c>
      <c r="H173" s="9">
        <f t="shared" si="4"/>
        <v>2</v>
      </c>
      <c r="I173" s="10">
        <f>IFERROR(__xludf.DUMMYFUNCTION("MAX(FILTER($H:$H,$E:$E=F173))"),1.0)</f>
        <v>1</v>
      </c>
    </row>
    <row r="174">
      <c r="C174" s="4" t="s">
        <v>469</v>
      </c>
      <c r="D174" s="4" t="str">
        <f t="shared" si="1"/>
        <v>{"valorA":"para","valorB":7.0}</v>
      </c>
      <c r="E174" s="8" t="str">
        <f t="shared" si="2"/>
        <v>para</v>
      </c>
      <c r="F174" s="8" t="str">
        <f>IFERROR(__xludf.DUMMYFUNCTION("""COMPUTED_VALUE"""),"suas")</f>
        <v>suas</v>
      </c>
      <c r="G174" s="8" t="str">
        <f t="shared" si="3"/>
        <v>7.0</v>
      </c>
      <c r="H174" s="9">
        <f t="shared" si="4"/>
        <v>7</v>
      </c>
      <c r="I174" s="10">
        <f>IFERROR(__xludf.DUMMYFUNCTION("MAX(FILTER($H:$H,$E:$E=F174))"),1.0)</f>
        <v>1</v>
      </c>
    </row>
    <row r="175">
      <c r="C175" s="4" t="s">
        <v>1114</v>
      </c>
      <c r="D175" s="4" t="str">
        <f t="shared" si="1"/>
        <v>{"valorA":"tricotado","valorB":1.0}</v>
      </c>
      <c r="E175" s="8" t="str">
        <f t="shared" si="2"/>
        <v>tricotado</v>
      </c>
      <c r="F175" s="8" t="str">
        <f>IFERROR(__xludf.DUMMYFUNCTION("""COMPUTED_VALUE"""),"coisas")</f>
        <v>coisas</v>
      </c>
      <c r="G175" s="8" t="str">
        <f t="shared" si="3"/>
        <v>1.0</v>
      </c>
      <c r="H175" s="9">
        <f t="shared" si="4"/>
        <v>1</v>
      </c>
      <c r="I175" s="10">
        <f>IFERROR(__xludf.DUMMYFUNCTION("MAX(FILTER($H:$H,$E:$E=F175))"),1.0)</f>
        <v>1</v>
      </c>
    </row>
    <row r="176">
      <c r="C176" s="4" t="s">
        <v>1626</v>
      </c>
      <c r="D176" s="4" t="str">
        <f t="shared" si="1"/>
        <v>{"valorA":"eletricista","valorB":1.0}</v>
      </c>
      <c r="E176" s="8" t="str">
        <f t="shared" si="2"/>
        <v>eletricista</v>
      </c>
      <c r="F176" s="8" t="str">
        <f>IFERROR(__xludf.DUMMYFUNCTION("""COMPUTED_VALUE"""),"rapidez")</f>
        <v>rapidez</v>
      </c>
      <c r="G176" s="8" t="str">
        <f t="shared" si="3"/>
        <v>1.0</v>
      </c>
      <c r="H176" s="9">
        <f t="shared" si="4"/>
        <v>1</v>
      </c>
      <c r="I176" s="10">
        <f>IFERROR(__xludf.DUMMYFUNCTION("MAX(FILTER($H:$H,$E:$E=F176))"),1.0)</f>
        <v>1</v>
      </c>
    </row>
    <row r="177">
      <c r="C177" s="4" t="s">
        <v>634</v>
      </c>
      <c r="D177" s="4" t="str">
        <f t="shared" si="1"/>
        <v>{"valorA":"bem","valorB":2.0}</v>
      </c>
      <c r="E177" s="8" t="str">
        <f t="shared" si="2"/>
        <v>bem</v>
      </c>
      <c r="F177" s="8" t="str">
        <f>IFERROR(__xludf.DUMMYFUNCTION("""COMPUTED_VALUE"""),"precisar")</f>
        <v>precisar</v>
      </c>
      <c r="G177" s="8" t="str">
        <f t="shared" si="3"/>
        <v>2.0</v>
      </c>
      <c r="H177" s="9">
        <f t="shared" si="4"/>
        <v>2</v>
      </c>
      <c r="I177" s="10">
        <f>IFERROR(__xludf.DUMMYFUNCTION("MAX(FILTER($H:$H,$E:$E=F177))"),1.0)</f>
        <v>1</v>
      </c>
    </row>
    <row r="178">
      <c r="C178" s="4" t="s">
        <v>372</v>
      </c>
      <c r="D178" s="4" t="str">
        <f t="shared" si="1"/>
        <v>{"valorA":"o","valorB":4.0}</v>
      </c>
      <c r="E178" s="8" t="str">
        <f t="shared" si="2"/>
        <v>o</v>
      </c>
      <c r="F178" s="8" t="str">
        <f>IFERROR(__xludf.DUMMYFUNCTION("""COMPUTED_VALUE"""),"colchões")</f>
        <v>colchões</v>
      </c>
      <c r="G178" s="8" t="str">
        <f t="shared" si="3"/>
        <v>4.0</v>
      </c>
      <c r="H178" s="9">
        <f t="shared" si="4"/>
        <v>4</v>
      </c>
      <c r="I178" s="10">
        <f>IFERROR(__xludf.DUMMYFUNCTION("MAX(FILTER($H:$H,$E:$E=F178))"),1.0)</f>
        <v>1</v>
      </c>
    </row>
    <row r="179">
      <c r="C179" s="4" t="s">
        <v>5515</v>
      </c>
      <c r="D179" s="4" t="str">
        <f t="shared" si="1"/>
        <v>{"valorA":"relaxamento","valorB":1.0}</v>
      </c>
      <c r="E179" s="8" t="str">
        <f t="shared" si="2"/>
        <v>relaxamento</v>
      </c>
      <c r="F179" s="8" t="str">
        <f>IFERROR(__xludf.DUMMYFUNCTION("""COMPUTED_VALUE"""),"filhinha")</f>
        <v>filhinha</v>
      </c>
      <c r="G179" s="8" t="str">
        <f t="shared" si="3"/>
        <v>1.0</v>
      </c>
      <c r="H179" s="9">
        <f t="shared" si="4"/>
        <v>1</v>
      </c>
      <c r="I179" s="10">
        <f>IFERROR(__xludf.DUMMYFUNCTION("MAX(FILTER($H:$H,$E:$E=F179))"),1.0)</f>
        <v>1</v>
      </c>
    </row>
    <row r="180">
      <c r="C180" s="4" t="s">
        <v>671</v>
      </c>
      <c r="D180" s="4" t="str">
        <f t="shared" si="1"/>
        <v>{"valorA":"ótimo","valorB":20.0}</v>
      </c>
      <c r="E180" s="8" t="str">
        <f t="shared" si="2"/>
        <v>ótimo</v>
      </c>
      <c r="F180" s="8" t="str">
        <f>IFERROR(__xludf.DUMMYFUNCTION("""COMPUTED_VALUE"""),"pratos")</f>
        <v>pratos</v>
      </c>
      <c r="G180" s="8" t="str">
        <f t="shared" si="3"/>
        <v>20.0</v>
      </c>
      <c r="H180" s="9">
        <f t="shared" si="4"/>
        <v>20</v>
      </c>
      <c r="I180" s="10">
        <f>IFERROR(__xludf.DUMMYFUNCTION("MAX(FILTER($H:$H,$E:$E=F180))"),2.0)</f>
        <v>2</v>
      </c>
    </row>
    <row r="181">
      <c r="C181" s="4" t="s">
        <v>299</v>
      </c>
      <c r="D181" s="4" t="str">
        <f t="shared" si="1"/>
        <v>{"valorA":"cabelo","valorB":1.0}</v>
      </c>
      <c r="E181" s="8" t="str">
        <f t="shared" si="2"/>
        <v>cabelo</v>
      </c>
      <c r="F181" s="8" t="str">
        <f>IFERROR(__xludf.DUMMYFUNCTION("""COMPUTED_VALUE"""),"lavador")</f>
        <v>lavador</v>
      </c>
      <c r="G181" s="8" t="str">
        <f t="shared" si="3"/>
        <v>1.0</v>
      </c>
      <c r="H181" s="9">
        <f t="shared" si="4"/>
        <v>1</v>
      </c>
      <c r="I181" s="10">
        <f>IFERROR(__xludf.DUMMYFUNCTION("MAX(FILTER($H:$H,$E:$E=F181))"),2.0)</f>
        <v>2</v>
      </c>
    </row>
    <row r="182">
      <c r="C182" s="4" t="s">
        <v>262</v>
      </c>
      <c r="D182" s="4" t="str">
        <f t="shared" si="1"/>
        <v>{"valorA":"muito","valorB":5.0}</v>
      </c>
      <c r="E182" s="8" t="str">
        <f t="shared" si="2"/>
        <v>muito</v>
      </c>
      <c r="F182" s="8" t="str">
        <f>IFERROR(__xludf.DUMMYFUNCTION("""COMPUTED_VALUE"""),"pelúcia")</f>
        <v>pelúcia</v>
      </c>
      <c r="G182" s="8" t="str">
        <f t="shared" si="3"/>
        <v>5.0</v>
      </c>
      <c r="H182" s="9">
        <f t="shared" si="4"/>
        <v>5</v>
      </c>
      <c r="I182" s="10">
        <f>IFERROR(__xludf.DUMMYFUNCTION("MAX(FILTER($H:$H,$E:$E=F182))"),1.0)</f>
        <v>1</v>
      </c>
    </row>
    <row r="183">
      <c r="C183" s="4" t="s">
        <v>1178</v>
      </c>
      <c r="D183" s="4" t="str">
        <f t="shared" si="1"/>
        <v>{"valorA":"mantém","valorB":1.0}</v>
      </c>
      <c r="E183" s="8" t="str">
        <f t="shared" si="2"/>
        <v>mantém</v>
      </c>
      <c r="F183" s="8" t="str">
        <f>IFERROR(__xludf.DUMMYFUNCTION("""COMPUTED_VALUE"""),"dele")</f>
        <v>dele</v>
      </c>
      <c r="G183" s="8" t="str">
        <f t="shared" si="3"/>
        <v>1.0</v>
      </c>
      <c r="H183" s="9">
        <f t="shared" si="4"/>
        <v>1</v>
      </c>
      <c r="I183" s="10">
        <f>IFERROR(__xludf.DUMMYFUNCTION("MAX(FILTER($H:$H,$E:$E=F183))"),1.0)</f>
        <v>1</v>
      </c>
    </row>
    <row r="184">
      <c r="C184" s="4" t="s">
        <v>1050</v>
      </c>
      <c r="D184" s="4" t="str">
        <f t="shared" si="1"/>
        <v>{"valorA":"aquecimento","valorB":1.0}</v>
      </c>
      <c r="E184" s="8" t="str">
        <f t="shared" si="2"/>
        <v>aquecimento</v>
      </c>
      <c r="F184" s="8" t="str">
        <f>IFERROR(__xludf.DUMMYFUNCTION("""COMPUTED_VALUE"""),"adora")</f>
        <v>adora</v>
      </c>
      <c r="G184" s="8" t="str">
        <f t="shared" si="3"/>
        <v>1.0</v>
      </c>
      <c r="H184" s="9">
        <f t="shared" si="4"/>
        <v>1</v>
      </c>
      <c r="I184" s="10">
        <f>IFERROR(__xludf.DUMMYFUNCTION("MAX(FILTER($H:$H,$E:$E=F184))"),1.0)</f>
        <v>1</v>
      </c>
    </row>
    <row r="185">
      <c r="C185" s="4" t="s">
        <v>672</v>
      </c>
      <c r="D185" s="4" t="str">
        <f t="shared" si="1"/>
        <v>{"valorA":"comprar","valorB":1.0}</v>
      </c>
      <c r="E185" s="8" t="str">
        <f t="shared" si="2"/>
        <v>comprar</v>
      </c>
      <c r="F185" s="8" t="str">
        <f>IFERROR(__xludf.DUMMYFUNCTION("""COMPUTED_VALUE"""),"mascaró")</f>
        <v>mascaró</v>
      </c>
      <c r="G185" s="8" t="str">
        <f t="shared" si="3"/>
        <v>1.0</v>
      </c>
      <c r="H185" s="9">
        <f t="shared" si="4"/>
        <v>1</v>
      </c>
      <c r="I185" s="10">
        <f>IFERROR(__xludf.DUMMYFUNCTION("MAX(FILTER($H:$H,$E:$E=F185))"),1.0)</f>
        <v>1</v>
      </c>
    </row>
    <row r="186">
      <c r="C186" s="4" t="s">
        <v>678</v>
      </c>
      <c r="D186" s="4" t="str">
        <f t="shared" si="1"/>
        <v>{"valorA":"para","valorB":8.0}</v>
      </c>
      <c r="E186" s="8" t="str">
        <f t="shared" si="2"/>
        <v>para</v>
      </c>
      <c r="F186" s="8" t="str">
        <f>IFERROR(__xludf.DUMMYFUNCTION("""COMPUTED_VALUE"""),"quarto")</f>
        <v>quarto</v>
      </c>
      <c r="G186" s="8" t="str">
        <f t="shared" si="3"/>
        <v>8.0</v>
      </c>
      <c r="H186" s="9">
        <f t="shared" si="4"/>
        <v>8</v>
      </c>
      <c r="I186" s="10">
        <f>IFERROR(__xludf.DUMMYFUNCTION("MAX(FILTER($H:$H,$E:$E=F186))"),1.0)</f>
        <v>1</v>
      </c>
    </row>
    <row r="187">
      <c r="C187" s="4" t="s">
        <v>327</v>
      </c>
      <c r="D187" s="4" t="str">
        <f t="shared" si="1"/>
        <v>{"valorA":"barato","valorB":2.0}</v>
      </c>
      <c r="E187" s="8" t="str">
        <f t="shared" si="2"/>
        <v>barato</v>
      </c>
      <c r="F187" s="8" t="str">
        <f>IFERROR(__xludf.DUMMYFUNCTION("""COMPUTED_VALUE"""),"dela")</f>
        <v>dela</v>
      </c>
      <c r="G187" s="8" t="str">
        <f t="shared" si="3"/>
        <v>2.0</v>
      </c>
      <c r="H187" s="9">
        <f t="shared" si="4"/>
        <v>2</v>
      </c>
      <c r="I187" s="10">
        <f>IFERROR(__xludf.DUMMYFUNCTION("MAX(FILTER($H:$H,$E:$E=F187))"),1.0)</f>
        <v>1</v>
      </c>
    </row>
    <row r="188">
      <c r="C188" s="4" t="s">
        <v>607</v>
      </c>
      <c r="D188" s="4" t="str">
        <f t="shared" si="1"/>
        <v>{"valorA":"tv","valorB":1.0}</v>
      </c>
      <c r="E188" s="8" t="str">
        <f t="shared" si="2"/>
        <v>tv</v>
      </c>
      <c r="F188" s="8" t="str">
        <f>IFERROR(__xludf.DUMMYFUNCTION("""COMPUTED_VALUE"""),"supermercado")</f>
        <v>supermercado</v>
      </c>
      <c r="G188" s="8" t="str">
        <f t="shared" si="3"/>
        <v>1.0</v>
      </c>
      <c r="H188" s="9">
        <f t="shared" si="4"/>
        <v>1</v>
      </c>
      <c r="I188" s="10">
        <f>IFERROR(__xludf.DUMMYFUNCTION("MAX(FILTER($H:$H,$E:$E=F188))"),1.0)</f>
        <v>1</v>
      </c>
    </row>
    <row r="189">
      <c r="C189" s="4" t="s">
        <v>268</v>
      </c>
      <c r="D189" s="4" t="str">
        <f t="shared" si="1"/>
        <v>{"valorA":"bem","valorB":3.0}</v>
      </c>
      <c r="E189" s="8" t="str">
        <f t="shared" si="2"/>
        <v>bem</v>
      </c>
      <c r="F189" s="8" t="str">
        <f>IFERROR(__xludf.DUMMYFUNCTION("""COMPUTED_VALUE"""),"filha")</f>
        <v>filha</v>
      </c>
      <c r="G189" s="8" t="str">
        <f t="shared" si="3"/>
        <v>3.0</v>
      </c>
      <c r="H189" s="9">
        <f t="shared" si="4"/>
        <v>3</v>
      </c>
      <c r="I189" s="10">
        <f>IFERROR(__xludf.DUMMYFUNCTION("MAX(FILTER($H:$H,$E:$E=F189))"),1.0)</f>
        <v>1</v>
      </c>
    </row>
    <row r="190">
      <c r="C190" s="4" t="s">
        <v>610</v>
      </c>
      <c r="D190" s="4" t="str">
        <f t="shared" si="1"/>
        <v>{"valorA":"quem","valorB":1.0}</v>
      </c>
      <c r="E190" s="8" t="str">
        <f t="shared" si="2"/>
        <v>quem</v>
      </c>
      <c r="F190" s="8" t="str">
        <f>IFERROR(__xludf.DUMMYFUNCTION("""COMPUTED_VALUE"""),"gostei")</f>
        <v>gostei</v>
      </c>
      <c r="G190" s="8" t="str">
        <f t="shared" si="3"/>
        <v>1.0</v>
      </c>
      <c r="H190" s="9">
        <f t="shared" si="4"/>
        <v>1</v>
      </c>
      <c r="I190" s="10">
        <f>IFERROR(__xludf.DUMMYFUNCTION("MAX(FILTER($H:$H,$E:$E=F190))"),1.0)</f>
        <v>1</v>
      </c>
    </row>
    <row r="191">
      <c r="C191" s="4" t="s">
        <v>5516</v>
      </c>
      <c r="D191" s="4" t="str">
        <f t="shared" si="1"/>
        <v>{"valorA":"deseja","valorB":1.0}</v>
      </c>
      <c r="E191" s="8" t="str">
        <f t="shared" si="2"/>
        <v>deseja</v>
      </c>
      <c r="F191" s="8" t="str">
        <f>IFERROR(__xludf.DUMMYFUNCTION("""COMPUTED_VALUE"""),"duram")</f>
        <v>duram</v>
      </c>
      <c r="G191" s="8" t="str">
        <f t="shared" si="3"/>
        <v>1.0</v>
      </c>
      <c r="H191" s="9">
        <f t="shared" si="4"/>
        <v>1</v>
      </c>
      <c r="I191" s="10">
        <f>IFERROR(__xludf.DUMMYFUNCTION("MAX(FILTER($H:$H,$E:$E=F191))"),1.0)</f>
        <v>1</v>
      </c>
    </row>
    <row r="192">
      <c r="C192" s="4" t="s">
        <v>1141</v>
      </c>
      <c r="D192" s="4" t="str">
        <f t="shared" si="1"/>
        <v>{"valorA":"aparelho","valorB":4.0}</v>
      </c>
      <c r="E192" s="8" t="str">
        <f t="shared" si="2"/>
        <v>aparelho</v>
      </c>
      <c r="F192" s="8" t="str">
        <f>IFERROR(__xludf.DUMMYFUNCTION("""COMPUTED_VALUE"""),"portátil")</f>
        <v>portátil</v>
      </c>
      <c r="G192" s="8" t="str">
        <f t="shared" si="3"/>
        <v>4.0</v>
      </c>
      <c r="H192" s="9">
        <f t="shared" si="4"/>
        <v>4</v>
      </c>
      <c r="I192" s="10">
        <f>IFERROR(__xludf.DUMMYFUNCTION("MAX(FILTER($H:$H,$E:$E=F192))"),1.0)</f>
        <v>1</v>
      </c>
    </row>
    <row r="193">
      <c r="C193" s="4" t="s">
        <v>315</v>
      </c>
      <c r="D193" s="4" t="str">
        <f t="shared" si="1"/>
        <v>{"valorA":"ótimo","valorB":22.0}</v>
      </c>
      <c r="E193" s="8" t="str">
        <f t="shared" si="2"/>
        <v>ótimo</v>
      </c>
      <c r="F193" s="8" t="str">
        <f>IFERROR(__xludf.DUMMYFUNCTION("""COMPUTED_VALUE"""),"bemfeito")</f>
        <v>bemfeito</v>
      </c>
      <c r="G193" s="8" t="str">
        <f t="shared" si="3"/>
        <v>22.0</v>
      </c>
      <c r="H193" s="9">
        <f t="shared" si="4"/>
        <v>22</v>
      </c>
      <c r="I193" s="10">
        <f>IFERROR(__xludf.DUMMYFUNCTION("MAX(FILTER($H:$H,$E:$E=F193))"),1.0)</f>
        <v>1</v>
      </c>
    </row>
    <row r="194">
      <c r="C194" s="4" t="s">
        <v>662</v>
      </c>
      <c r="D194" s="4" t="str">
        <f t="shared" si="1"/>
        <v>{"valorA":"muito","valorB":6.0}</v>
      </c>
      <c r="E194" s="8" t="str">
        <f t="shared" si="2"/>
        <v>muito</v>
      </c>
      <c r="F194" s="8" t="str">
        <f>IFERROR(__xludf.DUMMYFUNCTION("""COMPUTED_VALUE"""),"tempo")</f>
        <v>tempo</v>
      </c>
      <c r="G194" s="8" t="str">
        <f t="shared" si="3"/>
        <v>6.0</v>
      </c>
      <c r="H194" s="9">
        <f t="shared" si="4"/>
        <v>6</v>
      </c>
      <c r="I194" s="10">
        <f>IFERROR(__xludf.DUMMYFUNCTION("MAX(FILTER($H:$H,$E:$E=F194))"),1.0)</f>
        <v>1</v>
      </c>
    </row>
    <row r="195">
      <c r="C195" s="4" t="s">
        <v>452</v>
      </c>
      <c r="D195" s="4" t="str">
        <f t="shared" si="1"/>
        <v>{"valorA":"a","valorB":5.0}</v>
      </c>
      <c r="E195" s="8" t="str">
        <f t="shared" si="2"/>
        <v>a</v>
      </c>
      <c r="F195" s="8" t="str">
        <f>IFERROR(__xludf.DUMMYFUNCTION("""COMPUTED_VALUE"""),"rádio")</f>
        <v>rádio</v>
      </c>
      <c r="G195" s="8" t="str">
        <f t="shared" si="3"/>
        <v>5.0</v>
      </c>
      <c r="H195" s="9">
        <f t="shared" si="4"/>
        <v>5</v>
      </c>
      <c r="I195" s="10">
        <f>IFERROR(__xludf.DUMMYFUNCTION("MAX(FILTER($H:$H,$E:$E=F195))"),1.0)</f>
        <v>1</v>
      </c>
    </row>
    <row r="196">
      <c r="C196" s="4" t="s">
        <v>5517</v>
      </c>
      <c r="D196" s="4" t="str">
        <f t="shared" si="1"/>
        <v>{"valorA":"tostador","valorB":1.0}</v>
      </c>
      <c r="E196" s="8" t="str">
        <f t="shared" si="2"/>
        <v>tostador</v>
      </c>
      <c r="F196" s="8" t="str">
        <f>IFERROR(__xludf.DUMMYFUNCTION("""COMPUTED_VALUE"""),"quiserem")</f>
        <v>quiserem</v>
      </c>
      <c r="G196" s="8" t="str">
        <f t="shared" si="3"/>
        <v>1.0</v>
      </c>
      <c r="H196" s="9">
        <f t="shared" si="4"/>
        <v>1</v>
      </c>
      <c r="I196" s="10">
        <f>IFERROR(__xludf.DUMMYFUNCTION("MAX(FILTER($H:$H,$E:$E=F196))"),1.0)</f>
        <v>1</v>
      </c>
    </row>
    <row r="197">
      <c r="C197" s="4" t="s">
        <v>5518</v>
      </c>
      <c r="D197" s="4" t="str">
        <f t="shared" si="1"/>
        <v>{"valorA":"eletrônico","valorB":2.0}</v>
      </c>
      <c r="E197" s="8" t="str">
        <f t="shared" si="2"/>
        <v>eletrônico</v>
      </c>
      <c r="F197" s="8" t="str">
        <f>IFERROR(__xludf.DUMMYFUNCTION("""COMPUTED_VALUE"""),"baterias")</f>
        <v>baterias</v>
      </c>
      <c r="G197" s="8" t="str">
        <f t="shared" si="3"/>
        <v>2.0</v>
      </c>
      <c r="H197" s="9">
        <f t="shared" si="4"/>
        <v>2</v>
      </c>
      <c r="I197" s="10">
        <f>IFERROR(__xludf.DUMMYFUNCTION("MAX(FILTER($H:$H,$E:$E=F197))"),1.0)</f>
        <v>1</v>
      </c>
    </row>
    <row r="198">
      <c r="C198" s="4" t="s">
        <v>636</v>
      </c>
      <c r="D198" s="4" t="str">
        <f t="shared" si="1"/>
        <v>{"valorA":"funciona","valorB":3.0}</v>
      </c>
      <c r="E198" s="8" t="str">
        <f t="shared" si="2"/>
        <v>funciona</v>
      </c>
      <c r="F198" s="8" t="str">
        <f>IFERROR(__xludf.DUMMYFUNCTION("""COMPUTED_VALUE"""),"trago")</f>
        <v>trago</v>
      </c>
      <c r="G198" s="8" t="str">
        <f t="shared" si="3"/>
        <v>3.0</v>
      </c>
      <c r="H198" s="9">
        <f t="shared" si="4"/>
        <v>3</v>
      </c>
      <c r="I198" s="10">
        <f>IFERROR(__xludf.DUMMYFUNCTION("MAX(FILTER($H:$H,$E:$E=F198))"),1.0)</f>
        <v>1</v>
      </c>
    </row>
    <row r="199">
      <c r="C199" s="4" t="s">
        <v>619</v>
      </c>
      <c r="D199" s="4" t="str">
        <f t="shared" si="1"/>
        <v>{"valorA":"um","valorB":1.0}</v>
      </c>
      <c r="E199" s="8" t="str">
        <f t="shared" si="2"/>
        <v>um</v>
      </c>
      <c r="F199" s="8" t="str">
        <f>IFERROR(__xludf.DUMMYFUNCTION("""COMPUTED_VALUE"""),"facilidade")</f>
        <v>facilidade</v>
      </c>
      <c r="G199" s="8" t="str">
        <f t="shared" si="3"/>
        <v>1.0</v>
      </c>
      <c r="H199" s="9">
        <f t="shared" si="4"/>
        <v>1</v>
      </c>
      <c r="I199" s="10">
        <f>IFERROR(__xludf.DUMMYFUNCTION("MAX(FILTER($H:$H,$E:$E=F199))"),1.0)</f>
        <v>1</v>
      </c>
    </row>
    <row r="200">
      <c r="C200" s="4" t="s">
        <v>583</v>
      </c>
      <c r="D200" s="4" t="str">
        <f t="shared" si="1"/>
        <v>{"valorA":"preço","valorB":1.0}</v>
      </c>
      <c r="E200" s="8" t="str">
        <f t="shared" si="2"/>
        <v>preço</v>
      </c>
      <c r="F200" s="8" t="str">
        <f>IFERROR(__xludf.DUMMYFUNCTION("""COMPUTED_VALUE"""),"limpa")</f>
        <v>limpa</v>
      </c>
      <c r="G200" s="8" t="str">
        <f t="shared" si="3"/>
        <v>1.0</v>
      </c>
      <c r="H200" s="9">
        <f t="shared" si="4"/>
        <v>1</v>
      </c>
      <c r="I200" s="10">
        <f>IFERROR(__xludf.DUMMYFUNCTION("MAX(FILTER($H:$H,$E:$E=F200))"),1.0)</f>
        <v>1</v>
      </c>
    </row>
    <row r="201">
      <c r="C201" s="4" t="s">
        <v>691</v>
      </c>
      <c r="D201" s="4" t="str">
        <f t="shared" si="1"/>
        <v>{"valorA":"para","valorB":9.0}</v>
      </c>
      <c r="E201" s="8" t="str">
        <f t="shared" si="2"/>
        <v>para</v>
      </c>
      <c r="F201" s="8" t="str">
        <f>IFERROR(__xludf.DUMMYFUNCTION("""COMPUTED_VALUE"""),"dia")</f>
        <v>dia</v>
      </c>
      <c r="G201" s="8" t="str">
        <f t="shared" si="3"/>
        <v>9.0</v>
      </c>
      <c r="H201" s="9">
        <f t="shared" si="4"/>
        <v>9</v>
      </c>
      <c r="I201" s="10">
        <f>IFERROR(__xludf.DUMMYFUNCTION("MAX(FILTER($H:$H,$E:$E=F201))"),1.0)</f>
        <v>1</v>
      </c>
    </row>
    <row r="202">
      <c r="C202" s="4" t="s">
        <v>1296</v>
      </c>
      <c r="D202" s="4" t="str">
        <f t="shared" si="1"/>
        <v>{"valorA":"bluetooth","valorB":1.0}</v>
      </c>
      <c r="E202" s="8" t="str">
        <f t="shared" si="2"/>
        <v>bluetooth</v>
      </c>
      <c r="F202" s="8" t="str">
        <f>IFERROR(__xludf.DUMMYFUNCTION("""COMPUTED_VALUE"""),"headset")</f>
        <v>headset</v>
      </c>
      <c r="G202" s="8" t="str">
        <f t="shared" si="3"/>
        <v>1.0</v>
      </c>
      <c r="H202" s="9">
        <f t="shared" si="4"/>
        <v>1</v>
      </c>
      <c r="I202" s="10">
        <f>IFERROR(__xludf.DUMMYFUNCTION("MAX(FILTER($H:$H,$E:$E=F202))"),1.0)</f>
        <v>1</v>
      </c>
    </row>
    <row r="203">
      <c r="C203" s="4" t="s">
        <v>1031</v>
      </c>
      <c r="D203" s="4" t="str">
        <f t="shared" si="1"/>
        <v>{"valorA":"ótima","valorB":3.0}</v>
      </c>
      <c r="E203" s="8" t="str">
        <f t="shared" si="2"/>
        <v>ótima</v>
      </c>
      <c r="F203" s="8" t="str">
        <f>IFERROR(__xludf.DUMMYFUNCTION("""COMPUTED_VALUE"""),"tipo")</f>
        <v>tipo</v>
      </c>
      <c r="G203" s="8" t="str">
        <f t="shared" si="3"/>
        <v>3.0</v>
      </c>
      <c r="H203" s="9">
        <f t="shared" si="4"/>
        <v>3</v>
      </c>
      <c r="I203" s="10">
        <f>IFERROR(__xludf.DUMMYFUNCTION("MAX(FILTER($H:$H,$E:$E=F203))"),1.0)</f>
        <v>1</v>
      </c>
    </row>
    <row r="204">
      <c r="C204" s="4" t="s">
        <v>996</v>
      </c>
      <c r="D204" s="4" t="str">
        <f t="shared" si="1"/>
        <v>{"valorA":"primeiro","valorB":1.0}</v>
      </c>
      <c r="E204" s="8" t="str">
        <f t="shared" si="2"/>
        <v>primeiro</v>
      </c>
      <c r="F204" s="8" t="str">
        <f>IFERROR(__xludf.DUMMYFUNCTION("""COMPUTED_VALUE"""),"procura")</f>
        <v>procura</v>
      </c>
      <c r="G204" s="8" t="str">
        <f t="shared" si="3"/>
        <v>1.0</v>
      </c>
      <c r="H204" s="9">
        <f t="shared" si="4"/>
        <v>1</v>
      </c>
      <c r="I204" s="10">
        <f>IFERROR(__xludf.DUMMYFUNCTION("MAX(FILTER($H:$H,$E:$E=F204))"),1.0)</f>
        <v>1</v>
      </c>
    </row>
    <row r="205">
      <c r="C205" s="4" t="s">
        <v>986</v>
      </c>
      <c r="D205" s="4" t="str">
        <f t="shared" si="1"/>
        <v>{"valorA":"escritório","valorB":1.0}</v>
      </c>
      <c r="E205" s="8" t="str">
        <f t="shared" si="2"/>
        <v>escritório</v>
      </c>
      <c r="F205" s="8" t="str">
        <f>IFERROR(__xludf.DUMMYFUNCTION("""COMPUTED_VALUE"""),"realmente")</f>
        <v>realmente</v>
      </c>
      <c r="G205" s="8" t="str">
        <f t="shared" si="3"/>
        <v>1.0</v>
      </c>
      <c r="H205" s="9">
        <f t="shared" si="4"/>
        <v>1</v>
      </c>
      <c r="I205" s="10">
        <f>IFERROR(__xludf.DUMMYFUNCTION("MAX(FILTER($H:$H,$E:$E=F205))"),1.0)</f>
        <v>1</v>
      </c>
    </row>
    <row r="206">
      <c r="C206" s="4" t="s">
        <v>331</v>
      </c>
      <c r="D206" s="4" t="str">
        <f t="shared" si="1"/>
        <v>{"valorA":"e","valorB":5.0}</v>
      </c>
      <c r="E206" s="8" t="str">
        <f t="shared" si="2"/>
        <v>e</v>
      </c>
      <c r="F206" s="8" t="str">
        <f>IFERROR(__xludf.DUMMYFUNCTION("""COMPUTED_VALUE"""),"mascarótopo")</f>
        <v>mascarótopo</v>
      </c>
      <c r="G206" s="8" t="str">
        <f t="shared" si="3"/>
        <v>5.0</v>
      </c>
      <c r="H206" s="9">
        <f t="shared" si="4"/>
        <v>5</v>
      </c>
      <c r="I206" s="10">
        <f>IFERROR(__xludf.DUMMYFUNCTION("MAX(FILTER($H:$H,$E:$E=F206))"),1.0)</f>
        <v>1</v>
      </c>
    </row>
    <row r="207">
      <c r="C207" s="4" t="s">
        <v>841</v>
      </c>
      <c r="D207" s="4" t="str">
        <f t="shared" si="1"/>
        <v>{"valorA":"de","valorB":14.0}</v>
      </c>
      <c r="E207" s="8" t="str">
        <f t="shared" si="2"/>
        <v>de</v>
      </c>
      <c r="F207" s="8" t="str">
        <f>IFERROR(__xludf.DUMMYFUNCTION("""COMPUTED_VALUE"""),"vantagem")</f>
        <v>vantagem</v>
      </c>
      <c r="G207" s="8" t="str">
        <f t="shared" si="3"/>
        <v>14.0</v>
      </c>
      <c r="H207" s="9">
        <f t="shared" si="4"/>
        <v>14</v>
      </c>
      <c r="I207" s="10">
        <f>IFERROR(__xludf.DUMMYFUNCTION("MAX(FILTER($H:$H,$E:$E=F207))"),1.0)</f>
        <v>1</v>
      </c>
    </row>
    <row r="208">
      <c r="C208" s="4" t="s">
        <v>655</v>
      </c>
      <c r="D208" s="4" t="str">
        <f t="shared" si="1"/>
        <v>{"valorA":"o","valorB":5.0}</v>
      </c>
      <c r="E208" s="8" t="str">
        <f t="shared" si="2"/>
        <v>o</v>
      </c>
      <c r="F208" s="8" t="str">
        <f>IFERROR(__xludf.DUMMYFUNCTION("""COMPUTED_VALUE"""),"sobre")</f>
        <v>sobre</v>
      </c>
      <c r="G208" s="8" t="str">
        <f t="shared" si="3"/>
        <v>5.0</v>
      </c>
      <c r="H208" s="9">
        <f t="shared" si="4"/>
        <v>5</v>
      </c>
      <c r="I208" s="10">
        <f>IFERROR(__xludf.DUMMYFUNCTION("MAX(FILTER($H:$H,$E:$E=F208))"),1.0)</f>
        <v>1</v>
      </c>
    </row>
    <row r="209">
      <c r="C209" s="4" t="s">
        <v>1007</v>
      </c>
      <c r="D209" s="4" t="str">
        <f t="shared" si="1"/>
        <v>{"valorA":"limpar","valorB":1.0}</v>
      </c>
      <c r="E209" s="8" t="str">
        <f t="shared" si="2"/>
        <v>limpar</v>
      </c>
      <c r="F209" s="8"/>
      <c r="G209" s="8" t="str">
        <f t="shared" si="3"/>
        <v>1.0</v>
      </c>
      <c r="H209" s="9">
        <f t="shared" si="4"/>
        <v>1</v>
      </c>
      <c r="I209" s="6" t="str">
        <f>IFERROR(__xludf.DUMMYFUNCTION("MAX(FILTER($H:$H,$E:$E=F209))"),"#N/A")</f>
        <v>#N/A</v>
      </c>
    </row>
    <row r="210">
      <c r="C210" s="4" t="s">
        <v>1041</v>
      </c>
      <c r="D210" s="4" t="str">
        <f t="shared" si="1"/>
        <v>{"valorA":"desde","valorB":2.0}</v>
      </c>
      <c r="E210" s="8" t="str">
        <f t="shared" si="2"/>
        <v>desde</v>
      </c>
      <c r="F210" s="8"/>
      <c r="G210" s="8" t="str">
        <f t="shared" si="3"/>
        <v>2.0</v>
      </c>
      <c r="H210" s="9">
        <f t="shared" si="4"/>
        <v>2</v>
      </c>
      <c r="I210" s="6" t="str">
        <f>IFERROR(__xludf.DUMMYFUNCTION("MAX(FILTER($H:$H,$E:$E=F210))"),"#N/A")</f>
        <v>#N/A</v>
      </c>
    </row>
    <row r="211">
      <c r="C211" s="4" t="s">
        <v>999</v>
      </c>
      <c r="D211" s="4" t="str">
        <f t="shared" si="1"/>
        <v>{"valorA":"momento","valorB":1.0}</v>
      </c>
      <c r="E211" s="8" t="str">
        <f t="shared" si="2"/>
        <v>momento</v>
      </c>
      <c r="F211" s="8"/>
      <c r="G211" s="8" t="str">
        <f t="shared" si="3"/>
        <v>1.0</v>
      </c>
      <c r="H211" s="9">
        <f t="shared" si="4"/>
        <v>1</v>
      </c>
      <c r="I211" s="6" t="str">
        <f>IFERROR(__xludf.DUMMYFUNCTION("MAX(FILTER($H:$H,$E:$E=F211))"),"#N/A")</f>
        <v>#N/A</v>
      </c>
    </row>
    <row r="212">
      <c r="C212" s="4" t="s">
        <v>690</v>
      </c>
      <c r="D212" s="4" t="str">
        <f t="shared" si="1"/>
        <v>{"valorA":"ótimo","valorB":23.0}</v>
      </c>
      <c r="E212" s="8" t="str">
        <f t="shared" si="2"/>
        <v>ótimo</v>
      </c>
      <c r="F212" s="8"/>
      <c r="G212" s="8" t="str">
        <f t="shared" si="3"/>
        <v>23.0</v>
      </c>
      <c r="H212" s="9">
        <f t="shared" si="4"/>
        <v>23</v>
      </c>
      <c r="I212" s="6" t="str">
        <f>IFERROR(__xludf.DUMMYFUNCTION("MAX(FILTER($H:$H,$E:$E=F212))"),"#N/A")</f>
        <v>#N/A</v>
      </c>
    </row>
    <row r="213">
      <c r="C213" s="4" t="s">
        <v>396</v>
      </c>
      <c r="D213" s="4" t="str">
        <f t="shared" si="1"/>
        <v>{"valorA":"fácil","valorB":2.0}</v>
      </c>
      <c r="E213" s="8" t="str">
        <f t="shared" si="2"/>
        <v>fácil</v>
      </c>
      <c r="F213" s="8"/>
      <c r="G213" s="8" t="str">
        <f t="shared" si="3"/>
        <v>2.0</v>
      </c>
      <c r="H213" s="9">
        <f t="shared" si="4"/>
        <v>2</v>
      </c>
      <c r="I213" s="6" t="str">
        <f>IFERROR(__xludf.DUMMYFUNCTION("MAX(FILTER($H:$H,$E:$E=F213))"),"#N/A")</f>
        <v>#N/A</v>
      </c>
    </row>
    <row r="214">
      <c r="C214" s="4" t="s">
        <v>5519</v>
      </c>
      <c r="D214" s="4" t="str">
        <f t="shared" si="1"/>
        <v>{"valorA":"mesa","valorB":1.0}</v>
      </c>
      <c r="E214" s="8" t="str">
        <f t="shared" si="2"/>
        <v>mesa</v>
      </c>
      <c r="F214" s="8"/>
      <c r="G214" s="8" t="str">
        <f t="shared" si="3"/>
        <v>1.0</v>
      </c>
      <c r="H214" s="9">
        <f t="shared" si="4"/>
        <v>1</v>
      </c>
      <c r="I214" s="6" t="str">
        <f>IFERROR(__xludf.DUMMYFUNCTION("MAX(FILTER($H:$H,$E:$E=F214))"),"#N/A")</f>
        <v>#N/A</v>
      </c>
    </row>
    <row r="215">
      <c r="C215" s="4" t="s">
        <v>5520</v>
      </c>
      <c r="D215" s="4" t="str">
        <f t="shared" si="1"/>
        <v>{"valorA":"confortavel","valorB":1.0}</v>
      </c>
      <c r="E215" s="8" t="str">
        <f t="shared" si="2"/>
        <v>confortavel</v>
      </c>
      <c r="F215" s="8"/>
      <c r="G215" s="8" t="str">
        <f t="shared" si="3"/>
        <v>1.0</v>
      </c>
      <c r="H215" s="9">
        <f t="shared" si="4"/>
        <v>1</v>
      </c>
      <c r="I215" s="6" t="str">
        <f>IFERROR(__xludf.DUMMYFUNCTION("MAX(FILTER($H:$H,$E:$E=F215))"),"#N/A")</f>
        <v>#N/A</v>
      </c>
    </row>
    <row r="216">
      <c r="C216" s="4" t="s">
        <v>689</v>
      </c>
      <c r="D216" s="4" t="str">
        <f t="shared" si="1"/>
        <v>{"valorA":"perfeitamente","valorB":2.0}</v>
      </c>
      <c r="E216" s="8" t="str">
        <f t="shared" si="2"/>
        <v>perfeitamente</v>
      </c>
      <c r="F216" s="8"/>
      <c r="G216" s="8" t="str">
        <f t="shared" si="3"/>
        <v>2.0</v>
      </c>
      <c r="H216" s="9">
        <f t="shared" si="4"/>
        <v>2</v>
      </c>
      <c r="I216" s="6" t="str">
        <f>IFERROR(__xludf.DUMMYFUNCTION("MAX(FILTER($H:$H,$E:$E=F216))"),"#N/A")</f>
        <v>#N/A</v>
      </c>
    </row>
    <row r="217">
      <c r="C217" s="4" t="s">
        <v>274</v>
      </c>
      <c r="D217" s="4" t="str">
        <f t="shared" si="1"/>
        <v>{"valorA":"muito","valorB":7.0}</v>
      </c>
      <c r="E217" s="8" t="str">
        <f t="shared" si="2"/>
        <v>muito</v>
      </c>
      <c r="F217" s="8"/>
      <c r="G217" s="8" t="str">
        <f t="shared" si="3"/>
        <v>7.0</v>
      </c>
      <c r="H217" s="9">
        <f t="shared" si="4"/>
        <v>7</v>
      </c>
      <c r="I217" s="6" t="str">
        <f>IFERROR(__xludf.DUMMYFUNCTION("MAX(FILTER($H:$H,$E:$E=F217))"),"#N/A")</f>
        <v>#N/A</v>
      </c>
    </row>
    <row r="218">
      <c r="C218" s="4" t="s">
        <v>288</v>
      </c>
      <c r="D218" s="4" t="str">
        <f t="shared" si="1"/>
        <v>{"valorA":"funciona","valorB":4.0}</v>
      </c>
      <c r="E218" s="8" t="str">
        <f t="shared" si="2"/>
        <v>funciona</v>
      </c>
      <c r="F218" s="8"/>
      <c r="G218" s="8" t="str">
        <f t="shared" si="3"/>
        <v>4.0</v>
      </c>
      <c r="H218" s="9">
        <f t="shared" si="4"/>
        <v>4</v>
      </c>
      <c r="I218" s="6" t="str">
        <f>IFERROR(__xludf.DUMMYFUNCTION("MAX(FILTER($H:$H,$E:$E=F218))"),"#N/A")</f>
        <v>#N/A</v>
      </c>
    </row>
    <row r="219">
      <c r="C219" s="4" t="s">
        <v>720</v>
      </c>
      <c r="D219" s="4" t="str">
        <f t="shared" si="1"/>
        <v>{"valorA":"para","valorB":10.0}</v>
      </c>
      <c r="E219" s="8" t="str">
        <f t="shared" si="2"/>
        <v>para</v>
      </c>
      <c r="F219" s="8"/>
      <c r="G219" s="8" t="str">
        <f t="shared" si="3"/>
        <v>10.0</v>
      </c>
      <c r="H219" s="9">
        <f t="shared" si="4"/>
        <v>10</v>
      </c>
      <c r="I219" s="6" t="str">
        <f>IFERROR(__xludf.DUMMYFUNCTION("MAX(FILTER($H:$H,$E:$E=F219))"),"#N/A")</f>
        <v>#N/A</v>
      </c>
    </row>
    <row r="220">
      <c r="C220" s="4" t="s">
        <v>600</v>
      </c>
      <c r="D220" s="4" t="str">
        <f t="shared" si="1"/>
        <v>{"valorA":"valeu","valorB":1.0}</v>
      </c>
      <c r="E220" s="8" t="str">
        <f t="shared" si="2"/>
        <v>valeu</v>
      </c>
      <c r="F220" s="8"/>
      <c r="G220" s="8" t="str">
        <f t="shared" si="3"/>
        <v>1.0</v>
      </c>
      <c r="H220" s="9">
        <f t="shared" si="4"/>
        <v>1</v>
      </c>
      <c r="I220" s="6" t="str">
        <f>IFERROR(__xludf.DUMMYFUNCTION("MAX(FILTER($H:$H,$E:$E=F220))"),"#N/A")</f>
        <v>#N/A</v>
      </c>
    </row>
    <row r="221">
      <c r="C221" s="4" t="s">
        <v>307</v>
      </c>
      <c r="D221" s="4" t="str">
        <f t="shared" si="1"/>
        <v>{"valorA":"pena","valorB":1.0}</v>
      </c>
      <c r="E221" s="8" t="str">
        <f t="shared" si="2"/>
        <v>pena</v>
      </c>
      <c r="F221" s="8"/>
      <c r="G221" s="8" t="str">
        <f t="shared" si="3"/>
        <v>1.0</v>
      </c>
      <c r="H221" s="9">
        <f t="shared" si="4"/>
        <v>1</v>
      </c>
      <c r="I221" s="6" t="str">
        <f>IFERROR(__xludf.DUMMYFUNCTION("MAX(FILTER($H:$H,$E:$E=F221))"),"#N/A")</f>
        <v>#N/A</v>
      </c>
    </row>
    <row r="222">
      <c r="C222" s="4" t="s">
        <v>1037</v>
      </c>
      <c r="D222" s="4" t="str">
        <f t="shared" si="1"/>
        <v>{"valorA":"ótima","valorB":4.0}</v>
      </c>
      <c r="E222" s="8" t="str">
        <f t="shared" si="2"/>
        <v>ótima</v>
      </c>
      <c r="F222" s="8"/>
      <c r="G222" s="8" t="str">
        <f t="shared" si="3"/>
        <v>4.0</v>
      </c>
      <c r="H222" s="9">
        <f t="shared" si="4"/>
        <v>4</v>
      </c>
      <c r="I222" s="6" t="str">
        <f>IFERROR(__xludf.DUMMYFUNCTION("MAX(FILTER($H:$H,$E:$E=F222))"),"#N/A")</f>
        <v>#N/A</v>
      </c>
    </row>
    <row r="223">
      <c r="C223" s="4" t="s">
        <v>664</v>
      </c>
      <c r="D223" s="4" t="str">
        <f t="shared" si="1"/>
        <v>{"valorA":"bom","valorB":3.0}</v>
      </c>
      <c r="E223" s="8" t="str">
        <f t="shared" si="2"/>
        <v>bom</v>
      </c>
      <c r="F223" s="8"/>
      <c r="G223" s="8" t="str">
        <f t="shared" si="3"/>
        <v>3.0</v>
      </c>
      <c r="H223" s="9">
        <f t="shared" si="4"/>
        <v>3</v>
      </c>
      <c r="I223" s="6" t="str">
        <f>IFERROR(__xludf.DUMMYFUNCTION("MAX(FILTER($H:$H,$E:$E=F223))"),"#N/A")</f>
        <v>#N/A</v>
      </c>
    </row>
    <row r="224">
      <c r="C224" s="4" t="s">
        <v>5521</v>
      </c>
      <c r="D224" s="4" t="str">
        <f t="shared" si="1"/>
        <v>{"valorA":"óptico","valorB":1.0}</v>
      </c>
      <c r="E224" s="8" t="str">
        <f t="shared" si="2"/>
        <v>óptico</v>
      </c>
      <c r="F224" s="8"/>
      <c r="G224" s="8" t="str">
        <f t="shared" si="3"/>
        <v>1.0</v>
      </c>
      <c r="H224" s="9">
        <f t="shared" si="4"/>
        <v>1</v>
      </c>
      <c r="I224" s="6" t="str">
        <f>IFERROR(__xludf.DUMMYFUNCTION("MAX(FILTER($H:$H,$E:$E=F224))"),"#N/A")</f>
        <v>#N/A</v>
      </c>
    </row>
    <row r="225">
      <c r="C225" s="4" t="s">
        <v>409</v>
      </c>
      <c r="D225" s="4" t="str">
        <f t="shared" si="1"/>
        <v>{"valorA":"o","valorB":6.0}</v>
      </c>
      <c r="E225" s="8" t="str">
        <f t="shared" si="2"/>
        <v>o</v>
      </c>
      <c r="F225" s="8"/>
      <c r="G225" s="8" t="str">
        <f t="shared" si="3"/>
        <v>6.0</v>
      </c>
      <c r="H225" s="9">
        <f t="shared" si="4"/>
        <v>6</v>
      </c>
      <c r="I225" s="6" t="str">
        <f>IFERROR(__xludf.DUMMYFUNCTION("MAX(FILTER($H:$H,$E:$E=F225))"),"#N/A")</f>
        <v>#N/A</v>
      </c>
    </row>
    <row r="226">
      <c r="C226" s="4" t="s">
        <v>478</v>
      </c>
      <c r="D226" s="4" t="str">
        <f t="shared" si="1"/>
        <v>{"valorA":"dinheiro","valorB":1.0}</v>
      </c>
      <c r="E226" s="8" t="str">
        <f t="shared" si="2"/>
        <v>dinheiro</v>
      </c>
      <c r="F226" s="8"/>
      <c r="G226" s="8" t="str">
        <f t="shared" si="3"/>
        <v>1.0</v>
      </c>
      <c r="H226" s="9">
        <f t="shared" si="4"/>
        <v>1</v>
      </c>
      <c r="I226" s="6" t="str">
        <f>IFERROR(__xludf.DUMMYFUNCTION("MAX(FILTER($H:$H,$E:$E=F226))"),"#N/A")</f>
        <v>#N/A</v>
      </c>
    </row>
    <row r="227">
      <c r="C227" s="4" t="s">
        <v>5522</v>
      </c>
      <c r="D227" s="4" t="str">
        <f t="shared" si="1"/>
        <v>{"valorA":"gasto","valorB":1.0}</v>
      </c>
      <c r="E227" s="8" t="str">
        <f t="shared" si="2"/>
        <v>gasto</v>
      </c>
      <c r="F227" s="8"/>
      <c r="G227" s="8" t="str">
        <f t="shared" si="3"/>
        <v>1.0</v>
      </c>
      <c r="H227" s="9">
        <f t="shared" si="4"/>
        <v>1</v>
      </c>
      <c r="I227" s="6" t="str">
        <f>IFERROR(__xludf.DUMMYFUNCTION("MAX(FILTER($H:$H,$E:$E=F227))"),"#N/A")</f>
        <v>#N/A</v>
      </c>
    </row>
    <row r="228">
      <c r="C228" s="4" t="s">
        <v>300</v>
      </c>
      <c r="D228" s="4" t="str">
        <f t="shared" si="1"/>
        <v>{"valorA":"muito","valorB":8.0}</v>
      </c>
      <c r="E228" s="8" t="str">
        <f t="shared" si="2"/>
        <v>muito</v>
      </c>
      <c r="F228" s="8"/>
      <c r="G228" s="8" t="str">
        <f t="shared" si="3"/>
        <v>8.0</v>
      </c>
      <c r="H228" s="9">
        <f t="shared" si="4"/>
        <v>8</v>
      </c>
      <c r="I228" s="6" t="str">
        <f>IFERROR(__xludf.DUMMYFUNCTION("MAX(FILTER($H:$H,$E:$E=F228))"),"#N/A")</f>
        <v>#N/A</v>
      </c>
    </row>
    <row r="229">
      <c r="C229" s="4" t="s">
        <v>5523</v>
      </c>
      <c r="D229" s="4" t="str">
        <f t="shared" si="1"/>
        <v>{"valorA":"trabalhar","valorB":1.0}</v>
      </c>
      <c r="E229" s="8" t="str">
        <f t="shared" si="2"/>
        <v>trabalhar</v>
      </c>
      <c r="F229" s="8"/>
      <c r="G229" s="8" t="str">
        <f t="shared" si="3"/>
        <v>1.0</v>
      </c>
      <c r="H229" s="9">
        <f t="shared" si="4"/>
        <v>1</v>
      </c>
      <c r="I229" s="6" t="str">
        <f>IFERROR(__xludf.DUMMYFUNCTION("MAX(FILTER($H:$H,$E:$E=F229))"),"#N/A")</f>
        <v>#N/A</v>
      </c>
    </row>
    <row r="230">
      <c r="C230" s="4" t="s">
        <v>489</v>
      </c>
      <c r="D230" s="4" t="str">
        <f t="shared" si="1"/>
        <v>{"valorA":"a","valorB":6.0}</v>
      </c>
      <c r="E230" s="8" t="str">
        <f t="shared" si="2"/>
        <v>a</v>
      </c>
      <c r="F230" s="8"/>
      <c r="G230" s="8" t="str">
        <f t="shared" si="3"/>
        <v>6.0</v>
      </c>
      <c r="H230" s="9">
        <f t="shared" si="4"/>
        <v>6</v>
      </c>
      <c r="I230" s="6" t="str">
        <f>IFERROR(__xludf.DUMMYFUNCTION("MAX(FILTER($H:$H,$E:$E=F230))"),"#N/A")</f>
        <v>#N/A</v>
      </c>
    </row>
    <row r="231">
      <c r="C231" s="4" t="s">
        <v>990</v>
      </c>
      <c r="D231" s="4" t="str">
        <f t="shared" si="1"/>
        <v>{"valorA":"cadeira","valorB":1.0}</v>
      </c>
      <c r="E231" s="8" t="str">
        <f t="shared" si="2"/>
        <v>cadeira</v>
      </c>
      <c r="F231" s="8"/>
      <c r="G231" s="8" t="str">
        <f t="shared" si="3"/>
        <v>1.0</v>
      </c>
      <c r="H231" s="9">
        <f t="shared" si="4"/>
        <v>1</v>
      </c>
      <c r="I231" s="6" t="str">
        <f>IFERROR(__xludf.DUMMYFUNCTION("MAX(FILTER($H:$H,$E:$E=F231))"),"#N/A")</f>
        <v>#N/A</v>
      </c>
    </row>
    <row r="232">
      <c r="C232" s="4" t="s">
        <v>1044</v>
      </c>
      <c r="D232" s="4" t="str">
        <f t="shared" si="1"/>
        <v>{"valorA":"muita","valorB":1.0}</v>
      </c>
      <c r="E232" s="8" t="str">
        <f t="shared" si="2"/>
        <v>muita</v>
      </c>
      <c r="F232" s="8"/>
      <c r="G232" s="8" t="str">
        <f t="shared" si="3"/>
        <v>1.0</v>
      </c>
      <c r="H232" s="9">
        <f t="shared" si="4"/>
        <v>1</v>
      </c>
      <c r="I232" s="6" t="str">
        <f>IFERROR(__xludf.DUMMYFUNCTION("MAX(FILTER($H:$H,$E:$E=F232))"),"#N/A")</f>
        <v>#N/A</v>
      </c>
    </row>
    <row r="233">
      <c r="C233" s="4" t="s">
        <v>5524</v>
      </c>
      <c r="D233" s="4" t="str">
        <f t="shared" si="1"/>
        <v>{"valorA":"em","valorB":3.0}</v>
      </c>
      <c r="E233" s="8" t="str">
        <f t="shared" si="2"/>
        <v>em</v>
      </c>
      <c r="F233" s="8"/>
      <c r="G233" s="8" t="str">
        <f t="shared" si="3"/>
        <v>3.0</v>
      </c>
      <c r="H233" s="9">
        <f t="shared" si="4"/>
        <v>3</v>
      </c>
      <c r="I233" s="6" t="str">
        <f>IFERROR(__xludf.DUMMYFUNCTION("MAX(FILTER($H:$H,$E:$E=F233))"),"#N/A")</f>
        <v>#N/A</v>
      </c>
    </row>
    <row r="234">
      <c r="C234" s="4" t="s">
        <v>456</v>
      </c>
      <c r="D234" s="4" t="str">
        <f t="shared" si="1"/>
        <v>{"valorA":"bastante","valorB":1.0}</v>
      </c>
      <c r="E234" s="8" t="str">
        <f t="shared" si="2"/>
        <v>bastante</v>
      </c>
      <c r="F234" s="8"/>
      <c r="G234" s="8" t="str">
        <f t="shared" si="3"/>
        <v>1.0</v>
      </c>
      <c r="H234" s="9">
        <f t="shared" si="4"/>
        <v>1</v>
      </c>
      <c r="I234" s="6" t="str">
        <f>IFERROR(__xludf.DUMMYFUNCTION("MAX(FILTER($H:$H,$E:$E=F234))"),"#N/A")</f>
        <v>#N/A</v>
      </c>
    </row>
    <row r="235">
      <c r="C235" s="4" t="s">
        <v>5525</v>
      </c>
      <c r="D235" s="4" t="str">
        <f t="shared" si="1"/>
        <v>{"valorA":"só","valorB":1.0}</v>
      </c>
      <c r="E235" s="8" t="str">
        <f t="shared" si="2"/>
        <v>só</v>
      </c>
      <c r="F235" s="8"/>
      <c r="G235" s="8" t="str">
        <f t="shared" si="3"/>
        <v>1.0</v>
      </c>
      <c r="H235" s="9">
        <f t="shared" si="4"/>
        <v>1</v>
      </c>
      <c r="I235" s="6" t="str">
        <f>IFERROR(__xludf.DUMMYFUNCTION("MAX(FILTER($H:$H,$E:$E=F235))"),"#N/A")</f>
        <v>#N/A</v>
      </c>
    </row>
    <row r="236">
      <c r="C236" s="4" t="s">
        <v>731</v>
      </c>
      <c r="D236" s="4" t="str">
        <f t="shared" si="1"/>
        <v>{"valorA":"bom","valorB":4.0}</v>
      </c>
      <c r="E236" s="8" t="str">
        <f t="shared" si="2"/>
        <v>bom</v>
      </c>
      <c r="F236" s="8"/>
      <c r="G236" s="8" t="str">
        <f t="shared" si="3"/>
        <v>4.0</v>
      </c>
      <c r="H236" s="9">
        <f t="shared" si="4"/>
        <v>4</v>
      </c>
      <c r="I236" s="6" t="str">
        <f>IFERROR(__xludf.DUMMYFUNCTION("MAX(FILTER($H:$H,$E:$E=F236))"),"#N/A")</f>
        <v>#N/A</v>
      </c>
    </row>
    <row r="237">
      <c r="C237" s="4" t="s">
        <v>745</v>
      </c>
      <c r="D237" s="4" t="str">
        <f t="shared" si="1"/>
        <v>{"valorA":"o","valorB":7.0}</v>
      </c>
      <c r="E237" s="8" t="str">
        <f t="shared" si="2"/>
        <v>o</v>
      </c>
      <c r="F237" s="8"/>
      <c r="G237" s="8" t="str">
        <f t="shared" si="3"/>
        <v>7.0</v>
      </c>
      <c r="H237" s="9">
        <f t="shared" si="4"/>
        <v>7</v>
      </c>
      <c r="I237" s="6" t="str">
        <f>IFERROR(__xludf.DUMMYFUNCTION("MAX(FILTER($H:$H,$E:$E=F237))"),"#N/A")</f>
        <v>#N/A</v>
      </c>
    </row>
    <row r="238">
      <c r="C238" s="4" t="s">
        <v>5526</v>
      </c>
      <c r="D238" s="4" t="str">
        <f t="shared" si="1"/>
        <v>{"valorA":"cerado","valorB":1.0}</v>
      </c>
      <c r="E238" s="8" t="str">
        <f t="shared" si="2"/>
        <v>cerado</v>
      </c>
      <c r="F238" s="8"/>
      <c r="G238" s="8" t="str">
        <f t="shared" si="3"/>
        <v>1.0</v>
      </c>
      <c r="H238" s="9">
        <f t="shared" si="4"/>
        <v>1</v>
      </c>
      <c r="I238" s="6" t="str">
        <f>IFERROR(__xludf.DUMMYFUNCTION("MAX(FILTER($H:$H,$E:$E=F238))"),"#N/A")</f>
        <v>#N/A</v>
      </c>
    </row>
    <row r="239">
      <c r="C239" s="4" t="s">
        <v>5527</v>
      </c>
      <c r="D239" s="4" t="str">
        <f t="shared" si="1"/>
        <v>{"valorA":"dispositivo","valorB":1.0}</v>
      </c>
      <c r="E239" s="8" t="str">
        <f t="shared" si="2"/>
        <v>dispositivo</v>
      </c>
      <c r="F239" s="8"/>
      <c r="G239" s="8" t="str">
        <f t="shared" si="3"/>
        <v>1.0</v>
      </c>
      <c r="H239" s="9">
        <f t="shared" si="4"/>
        <v>1</v>
      </c>
      <c r="I239" s="6" t="str">
        <f>IFERROR(__xludf.DUMMYFUNCTION("MAX(FILTER($H:$H,$E:$E=F239))"),"#N/A")</f>
        <v>#N/A</v>
      </c>
    </row>
    <row r="240">
      <c r="C240" s="4" t="s">
        <v>5528</v>
      </c>
      <c r="D240" s="4" t="str">
        <f t="shared" si="1"/>
        <v>{"valorA":"aparelho","valorB":5.0}</v>
      </c>
      <c r="E240" s="8" t="str">
        <f t="shared" si="2"/>
        <v>aparelho</v>
      </c>
      <c r="F240" s="8"/>
      <c r="G240" s="8" t="str">
        <f t="shared" si="3"/>
        <v>5.0</v>
      </c>
      <c r="H240" s="9">
        <f t="shared" si="4"/>
        <v>5</v>
      </c>
      <c r="I240" s="6" t="str">
        <f>IFERROR(__xludf.DUMMYFUNCTION("MAX(FILTER($H:$H,$E:$E=F240))"),"#N/A")</f>
        <v>#N/A</v>
      </c>
    </row>
    <row r="241">
      <c r="C241" s="4" t="s">
        <v>5529</v>
      </c>
      <c r="D241" s="4" t="str">
        <f t="shared" si="1"/>
        <v>{"valorA":"resultado","valorB":2.0}</v>
      </c>
      <c r="E241" s="8" t="str">
        <f t="shared" si="2"/>
        <v>resultado</v>
      </c>
      <c r="F241" s="8"/>
      <c r="G241" s="8" t="str">
        <f t="shared" si="3"/>
        <v>2.0</v>
      </c>
      <c r="H241" s="9">
        <f t="shared" si="4"/>
        <v>2</v>
      </c>
      <c r="I241" s="6" t="str">
        <f>IFERROR(__xludf.DUMMYFUNCTION("MAX(FILTER($H:$H,$E:$E=F241))"),"#N/A")</f>
        <v>#N/A</v>
      </c>
    </row>
    <row r="242">
      <c r="C242" s="4" t="s">
        <v>336</v>
      </c>
      <c r="D242" s="4" t="str">
        <f t="shared" si="1"/>
        <v>{"valorA":"ótimo","valorB":25.0}</v>
      </c>
      <c r="E242" s="8" t="str">
        <f t="shared" si="2"/>
        <v>ótimo</v>
      </c>
      <c r="F242" s="8"/>
      <c r="G242" s="8" t="str">
        <f t="shared" si="3"/>
        <v>25.0</v>
      </c>
      <c r="H242" s="9">
        <f t="shared" si="4"/>
        <v>25</v>
      </c>
      <c r="I242" s="6" t="str">
        <f>IFERROR(__xludf.DUMMYFUNCTION("MAX(FILTER($H:$H,$E:$E=F242))"),"#N/A")</f>
        <v>#N/A</v>
      </c>
    </row>
    <row r="243">
      <c r="C243" s="4" t="s">
        <v>1617</v>
      </c>
      <c r="D243" s="4" t="str">
        <f t="shared" si="1"/>
        <v>{"valorA":"cabelo","valorB":2.0}</v>
      </c>
      <c r="E243" s="8" t="str">
        <f t="shared" si="2"/>
        <v>cabelo</v>
      </c>
      <c r="F243" s="8"/>
      <c r="G243" s="8" t="str">
        <f t="shared" si="3"/>
        <v>2.0</v>
      </c>
      <c r="H243" s="9">
        <f t="shared" si="4"/>
        <v>2</v>
      </c>
      <c r="I243" s="6" t="str">
        <f>IFERROR(__xludf.DUMMYFUNCTION("MAX(FILTER($H:$H,$E:$E=F243))"),"#N/A")</f>
        <v>#N/A</v>
      </c>
    </row>
    <row r="244">
      <c r="C244" s="4" t="s">
        <v>1125</v>
      </c>
      <c r="D244" s="4" t="str">
        <f t="shared" si="1"/>
        <v>{"valorA":"funcionalidade","valorB":1.0}</v>
      </c>
      <c r="E244" s="8" t="str">
        <f t="shared" si="2"/>
        <v>funcionalidade</v>
      </c>
      <c r="F244" s="8"/>
      <c r="G244" s="8" t="str">
        <f t="shared" si="3"/>
        <v>1.0</v>
      </c>
      <c r="H244" s="9">
        <f t="shared" si="4"/>
        <v>1</v>
      </c>
      <c r="I244" s="6" t="str">
        <f>IFERROR(__xludf.DUMMYFUNCTION("MAX(FILTER($H:$H,$E:$E=F244))"),"#N/A")</f>
        <v>#N/A</v>
      </c>
    </row>
    <row r="245">
      <c r="C245" s="4" t="s">
        <v>653</v>
      </c>
      <c r="D245" s="4" t="str">
        <f t="shared" si="1"/>
        <v>{"valorA":"um","valorB":2.0}</v>
      </c>
      <c r="E245" s="8" t="str">
        <f t="shared" si="2"/>
        <v>um</v>
      </c>
      <c r="F245" s="8"/>
      <c r="G245" s="8" t="str">
        <f t="shared" si="3"/>
        <v>2.0</v>
      </c>
      <c r="H245" s="9">
        <f t="shared" si="4"/>
        <v>2</v>
      </c>
      <c r="I245" s="6" t="str">
        <f>IFERROR(__xludf.DUMMYFUNCTION("MAX(FILTER($H:$H,$E:$E=F245))"),"#N/A")</f>
        <v>#N/A</v>
      </c>
    </row>
    <row r="246">
      <c r="C246" s="4" t="s">
        <v>198</v>
      </c>
      <c r="D246" s="4" t="str">
        <f t="shared" si="1"/>
        <v>{"valorA":"comentário","valorB":1.0}</v>
      </c>
      <c r="E246" s="8" t="str">
        <f t="shared" si="2"/>
        <v>comentário</v>
      </c>
      <c r="F246" s="8"/>
      <c r="G246" s="8" t="str">
        <f t="shared" si="3"/>
        <v>1.0</v>
      </c>
      <c r="H246" s="9">
        <f t="shared" si="4"/>
        <v>1</v>
      </c>
      <c r="I246" s="6" t="str">
        <f>IFERROR(__xludf.DUMMYFUNCTION("MAX(FILTER($H:$H,$E:$E=F246))"),"#N/A")</f>
        <v>#N/A</v>
      </c>
    </row>
    <row r="247">
      <c r="C247" s="4" t="s">
        <v>5530</v>
      </c>
      <c r="D247" s="4" t="str">
        <f t="shared" si="1"/>
        <v>{"valorA":"adoro","valorB":1.0}</v>
      </c>
      <c r="E247" s="8" t="str">
        <f t="shared" si="2"/>
        <v>adoro</v>
      </c>
      <c r="F247" s="8"/>
      <c r="G247" s="8" t="str">
        <f t="shared" si="3"/>
        <v>1.0</v>
      </c>
      <c r="H247" s="9">
        <f t="shared" si="4"/>
        <v>1</v>
      </c>
      <c r="I247" s="6" t="str">
        <f>IFERROR(__xludf.DUMMYFUNCTION("MAX(FILTER($H:$H,$E:$E=F247))"),"#N/A")</f>
        <v>#N/A</v>
      </c>
    </row>
    <row r="248">
      <c r="C248" s="4" t="s">
        <v>5531</v>
      </c>
      <c r="D248" s="4" t="str">
        <f t="shared" si="1"/>
        <v>{"valorA":"em","valorB":4.0}</v>
      </c>
      <c r="E248" s="8" t="str">
        <f t="shared" si="2"/>
        <v>em</v>
      </c>
      <c r="F248" s="8"/>
      <c r="G248" s="8" t="str">
        <f t="shared" si="3"/>
        <v>4.0</v>
      </c>
      <c r="H248" s="9">
        <f t="shared" si="4"/>
        <v>4</v>
      </c>
      <c r="I248" s="6" t="str">
        <f>IFERROR(__xludf.DUMMYFUNCTION("MAX(FILTER($H:$H,$E:$E=F248))"),"#N/A")</f>
        <v>#N/A</v>
      </c>
    </row>
    <row r="249">
      <c r="C249" s="4" t="s">
        <v>291</v>
      </c>
      <c r="D249" s="4" t="str">
        <f t="shared" si="1"/>
        <v>{"valorA":"comprei","valorB":1.0}</v>
      </c>
      <c r="E249" s="8" t="str">
        <f t="shared" si="2"/>
        <v>comprei</v>
      </c>
      <c r="F249" s="8"/>
      <c r="G249" s="8" t="str">
        <f t="shared" si="3"/>
        <v>1.0</v>
      </c>
      <c r="H249" s="9">
        <f t="shared" si="4"/>
        <v>1</v>
      </c>
      <c r="I249" s="6" t="str">
        <f>IFERROR(__xludf.DUMMYFUNCTION("MAX(FILTER($H:$H,$E:$E=F249))"),"#N/A")</f>
        <v>#N/A</v>
      </c>
    </row>
    <row r="250">
      <c r="C250" s="4" t="s">
        <v>1091</v>
      </c>
      <c r="D250" s="4" t="str">
        <f t="shared" si="1"/>
        <v>{"valorA":"modelo","valorB":1.0}</v>
      </c>
      <c r="E250" s="8" t="str">
        <f t="shared" si="2"/>
        <v>modelo</v>
      </c>
      <c r="F250" s="8"/>
      <c r="G250" s="8" t="str">
        <f t="shared" si="3"/>
        <v>1.0</v>
      </c>
      <c r="H250" s="9">
        <f t="shared" si="4"/>
        <v>1</v>
      </c>
      <c r="I250" s="6" t="str">
        <f>IFERROR(__xludf.DUMMYFUNCTION("MAX(FILTER($H:$H,$E:$E=F250))"),"#N/A")</f>
        <v>#N/A</v>
      </c>
    </row>
    <row r="251">
      <c r="C251" s="4" t="s">
        <v>1633</v>
      </c>
      <c r="D251" s="4" t="str">
        <f t="shared" si="1"/>
        <v>{"valorA":"bastante","valorB":2.0}</v>
      </c>
      <c r="E251" s="8" t="str">
        <f t="shared" si="2"/>
        <v>bastante</v>
      </c>
      <c r="F251" s="8"/>
      <c r="G251" s="8" t="str">
        <f t="shared" si="3"/>
        <v>2.0</v>
      </c>
      <c r="H251" s="9">
        <f t="shared" si="4"/>
        <v>2</v>
      </c>
      <c r="I251" s="6" t="str">
        <f>IFERROR(__xludf.DUMMYFUNCTION("MAX(FILTER($H:$H,$E:$E=F251))"),"#N/A")</f>
        <v>#N/A</v>
      </c>
    </row>
    <row r="252">
      <c r="C252" s="4" t="s">
        <v>292</v>
      </c>
      <c r="D252" s="4" t="str">
        <f t="shared" si="1"/>
        <v>{"valorA":"refrigerador","valorB":1.0}</v>
      </c>
      <c r="E252" s="8" t="str">
        <f t="shared" si="2"/>
        <v>refrigerador</v>
      </c>
      <c r="F252" s="8"/>
      <c r="G252" s="8" t="str">
        <f t="shared" si="3"/>
        <v>1.0</v>
      </c>
      <c r="H252" s="9">
        <f t="shared" si="4"/>
        <v>1</v>
      </c>
      <c r="I252" s="6" t="str">
        <f>IFERROR(__xludf.DUMMYFUNCTION("MAX(FILTER($H:$H,$E:$E=F252))"),"#N/A")</f>
        <v>#N/A</v>
      </c>
    </row>
    <row r="253">
      <c r="C253" s="4" t="s">
        <v>1056</v>
      </c>
      <c r="D253" s="4" t="str">
        <f t="shared" si="1"/>
        <v>{"valorA":"ótima","valorB":5.0}</v>
      </c>
      <c r="E253" s="8" t="str">
        <f t="shared" si="2"/>
        <v>ótima</v>
      </c>
      <c r="F253" s="8"/>
      <c r="G253" s="8" t="str">
        <f t="shared" si="3"/>
        <v>5.0</v>
      </c>
      <c r="H253" s="9">
        <f t="shared" si="4"/>
        <v>5</v>
      </c>
      <c r="I253" s="6" t="str">
        <f>IFERROR(__xludf.DUMMYFUNCTION("MAX(FILTER($H:$H,$E:$E=F253))"),"#N/A")</f>
        <v>#N/A</v>
      </c>
    </row>
    <row r="254">
      <c r="C254" s="4" t="s">
        <v>1129</v>
      </c>
      <c r="D254" s="4" t="str">
        <f t="shared" si="1"/>
        <v>{"valorA":"escritório","valorB":2.0}</v>
      </c>
      <c r="E254" s="8" t="str">
        <f t="shared" si="2"/>
        <v>escritório</v>
      </c>
      <c r="F254" s="8"/>
      <c r="G254" s="8" t="str">
        <f t="shared" si="3"/>
        <v>2.0</v>
      </c>
      <c r="H254" s="9">
        <f t="shared" si="4"/>
        <v>2</v>
      </c>
      <c r="I254" s="6" t="str">
        <f>IFERROR(__xludf.DUMMYFUNCTION("MAX(FILTER($H:$H,$E:$E=F254))"),"#N/A")</f>
        <v>#N/A</v>
      </c>
    </row>
    <row r="255">
      <c r="C255" s="4" t="s">
        <v>476</v>
      </c>
      <c r="D255" s="4" t="str">
        <f t="shared" si="1"/>
        <v>{"valorA":"o","valorB":8.0}</v>
      </c>
      <c r="E255" s="8" t="str">
        <f t="shared" si="2"/>
        <v>o</v>
      </c>
      <c r="F255" s="8"/>
      <c r="G255" s="8" t="str">
        <f t="shared" si="3"/>
        <v>8.0</v>
      </c>
      <c r="H255" s="9">
        <f t="shared" si="4"/>
        <v>8</v>
      </c>
      <c r="I255" s="6" t="str">
        <f>IFERROR(__xludf.DUMMYFUNCTION("MAX(FILTER($H:$H,$E:$E=F255))"),"#N/A")</f>
        <v>#N/A</v>
      </c>
    </row>
    <row r="256">
      <c r="C256" s="4" t="s">
        <v>5532</v>
      </c>
      <c r="D256" s="4" t="str">
        <f t="shared" si="1"/>
        <v>{"valorA":"passada","valorB":1.0}</v>
      </c>
      <c r="E256" s="8" t="str">
        <f t="shared" si="2"/>
        <v>passada</v>
      </c>
      <c r="F256" s="8"/>
      <c r="G256" s="8" t="str">
        <f t="shared" si="3"/>
        <v>1.0</v>
      </c>
      <c r="H256" s="9">
        <f t="shared" si="4"/>
        <v>1</v>
      </c>
      <c r="I256" s="6" t="str">
        <f>IFERROR(__xludf.DUMMYFUNCTION("MAX(FILTER($H:$H,$E:$E=F256))"),"#N/A")</f>
        <v>#N/A</v>
      </c>
    </row>
    <row r="257">
      <c r="C257" s="4" t="s">
        <v>847</v>
      </c>
      <c r="D257" s="4" t="str">
        <f t="shared" si="1"/>
        <v>{"valorA":"de","valorB":15.0}</v>
      </c>
      <c r="E257" s="8" t="str">
        <f t="shared" si="2"/>
        <v>de</v>
      </c>
      <c r="F257" s="8"/>
      <c r="G257" s="8" t="str">
        <f t="shared" si="3"/>
        <v>15.0</v>
      </c>
      <c r="H257" s="9">
        <f t="shared" si="4"/>
        <v>15</v>
      </c>
      <c r="I257" s="6" t="str">
        <f>IFERROR(__xludf.DUMMYFUNCTION("MAX(FILTER($H:$H,$E:$E=F257))"),"#N/A")</f>
        <v>#N/A</v>
      </c>
    </row>
    <row r="258">
      <c r="C258" s="4" t="s">
        <v>732</v>
      </c>
      <c r="D258" s="4" t="str">
        <f t="shared" si="1"/>
        <v>{"valorA":"eu","valorB":1.0}</v>
      </c>
      <c r="E258" s="8" t="str">
        <f t="shared" si="2"/>
        <v>eu</v>
      </c>
      <c r="F258" s="8"/>
      <c r="G258" s="8" t="str">
        <f t="shared" si="3"/>
        <v>1.0</v>
      </c>
      <c r="H258" s="9">
        <f t="shared" si="4"/>
        <v>1</v>
      </c>
      <c r="I258" s="6" t="str">
        <f>IFERROR(__xludf.DUMMYFUNCTION("MAX(FILTER($H:$H,$E:$E=F258))"),"#N/A")</f>
        <v>#N/A</v>
      </c>
    </row>
    <row r="259">
      <c r="C259" s="4" t="s">
        <v>187</v>
      </c>
      <c r="D259" s="4" t="str">
        <f t="shared" si="1"/>
        <v>{"valorA":"gosto","valorB":1.0}</v>
      </c>
      <c r="E259" s="8" t="str">
        <f t="shared" si="2"/>
        <v>gosto</v>
      </c>
      <c r="F259" s="8"/>
      <c r="G259" s="8" t="str">
        <f t="shared" si="3"/>
        <v>1.0</v>
      </c>
      <c r="H259" s="9">
        <f t="shared" si="4"/>
        <v>1</v>
      </c>
      <c r="I259" s="6" t="str">
        <f>IFERROR(__xludf.DUMMYFUNCTION("MAX(FILTER($H:$H,$E:$E=F259))"),"#N/A")</f>
        <v>#N/A</v>
      </c>
    </row>
    <row r="260">
      <c r="C260" s="4" t="s">
        <v>481</v>
      </c>
      <c r="D260" s="4" t="str">
        <f t="shared" si="1"/>
        <v>{"valorA":"que","valorB":4.0}</v>
      </c>
      <c r="E260" s="8" t="str">
        <f t="shared" si="2"/>
        <v>que</v>
      </c>
      <c r="F260" s="8"/>
      <c r="G260" s="8" t="str">
        <f t="shared" si="3"/>
        <v>4.0</v>
      </c>
      <c r="H260" s="9">
        <f t="shared" si="4"/>
        <v>4</v>
      </c>
      <c r="I260" s="6" t="str">
        <f>IFERROR(__xludf.DUMMYFUNCTION("MAX(FILTER($H:$H,$E:$E=F260))"),"#N/A")</f>
        <v>#N/A</v>
      </c>
    </row>
    <row r="261">
      <c r="C261" s="4" t="s">
        <v>1331</v>
      </c>
      <c r="D261" s="4" t="str">
        <f t="shared" si="1"/>
        <v>{"valorA":"ela","valorB":1.0}</v>
      </c>
      <c r="E261" s="8" t="str">
        <f t="shared" si="2"/>
        <v>ela</v>
      </c>
      <c r="F261" s="8"/>
      <c r="G261" s="8" t="str">
        <f t="shared" si="3"/>
        <v>1.0</v>
      </c>
      <c r="H261" s="9">
        <f t="shared" si="4"/>
        <v>1</v>
      </c>
      <c r="I261" s="6" t="str">
        <f>IFERROR(__xludf.DUMMYFUNCTION("MAX(FILTER($H:$H,$E:$E=F261))"),"#N/A")</f>
        <v>#N/A</v>
      </c>
    </row>
    <row r="262">
      <c r="C262" s="4" t="s">
        <v>712</v>
      </c>
      <c r="D262" s="4" t="str">
        <f t="shared" si="1"/>
        <v>{"valorA":"ótimo","valorB":26.0}</v>
      </c>
      <c r="E262" s="8" t="str">
        <f t="shared" si="2"/>
        <v>ótimo</v>
      </c>
      <c r="F262" s="8"/>
      <c r="G262" s="8" t="str">
        <f t="shared" si="3"/>
        <v>26.0</v>
      </c>
      <c r="H262" s="9">
        <f t="shared" si="4"/>
        <v>26</v>
      </c>
      <c r="I262" s="6" t="str">
        <f>IFERROR(__xludf.DUMMYFUNCTION("MAX(FILTER($H:$H,$E:$E=F262))"),"#N/A")</f>
        <v>#N/A</v>
      </c>
    </row>
    <row r="263">
      <c r="C263" s="4" t="s">
        <v>1163</v>
      </c>
      <c r="D263" s="4" t="str">
        <f t="shared" si="1"/>
        <v>{"valorA":"semana","valorB":1.0}</v>
      </c>
      <c r="E263" s="8" t="str">
        <f t="shared" si="2"/>
        <v>semana</v>
      </c>
      <c r="F263" s="8"/>
      <c r="G263" s="8" t="str">
        <f t="shared" si="3"/>
        <v>1.0</v>
      </c>
      <c r="H263" s="9">
        <f t="shared" si="4"/>
        <v>1</v>
      </c>
      <c r="I263" s="6" t="str">
        <f>IFERROR(__xludf.DUMMYFUNCTION("MAX(FILTER($H:$H,$E:$E=F263))"),"#N/A")</f>
        <v>#N/A</v>
      </c>
    </row>
    <row r="264">
      <c r="C264" s="4" t="s">
        <v>5533</v>
      </c>
      <c r="D264" s="4" t="str">
        <f t="shared" si="1"/>
        <v>{"valorA":"trabalhar","valorB":2.0}</v>
      </c>
      <c r="E264" s="8" t="str">
        <f t="shared" si="2"/>
        <v>trabalhar</v>
      </c>
      <c r="F264" s="8"/>
      <c r="G264" s="8" t="str">
        <f t="shared" si="3"/>
        <v>2.0</v>
      </c>
      <c r="H264" s="9">
        <f t="shared" si="4"/>
        <v>2</v>
      </c>
      <c r="I264" s="6" t="str">
        <f>IFERROR(__xludf.DUMMYFUNCTION("MAX(FILTER($H:$H,$E:$E=F264))"),"#N/A")</f>
        <v>#N/A</v>
      </c>
    </row>
    <row r="265">
      <c r="C265" s="4" t="s">
        <v>195</v>
      </c>
      <c r="D265" s="4" t="str">
        <f t="shared" si="1"/>
        <v>{"valorA":"desse","valorB":1.0}</v>
      </c>
      <c r="E265" s="8" t="str">
        <f t="shared" si="2"/>
        <v>desse</v>
      </c>
      <c r="F265" s="8"/>
      <c r="G265" s="8" t="str">
        <f t="shared" si="3"/>
        <v>1.0</v>
      </c>
      <c r="H265" s="9">
        <f t="shared" si="4"/>
        <v>1</v>
      </c>
      <c r="I265" s="6" t="str">
        <f>IFERROR(__xludf.DUMMYFUNCTION("MAX(FILTER($H:$H,$E:$E=F265))"),"#N/A")</f>
        <v>#N/A</v>
      </c>
    </row>
    <row r="266">
      <c r="C266" s="4" t="s">
        <v>1138</v>
      </c>
      <c r="D266" s="4" t="str">
        <f t="shared" si="1"/>
        <v>{"valorA":"cadeira","valorB":2.0}</v>
      </c>
      <c r="E266" s="8" t="str">
        <f t="shared" si="2"/>
        <v>cadeira</v>
      </c>
      <c r="F266" s="8"/>
      <c r="G266" s="8" t="str">
        <f t="shared" si="3"/>
        <v>2.0</v>
      </c>
      <c r="H266" s="9">
        <f t="shared" si="4"/>
        <v>2</v>
      </c>
      <c r="I266" s="6" t="str">
        <f>IFERROR(__xludf.DUMMYFUNCTION("MAX(FILTER($H:$H,$E:$E=F266))"),"#N/A")</f>
        <v>#N/A</v>
      </c>
    </row>
    <row r="267">
      <c r="C267" s="4" t="s">
        <v>1440</v>
      </c>
      <c r="D267" s="4" t="str">
        <f t="shared" si="1"/>
        <v>{"valorA":"na","valorB":1.0}</v>
      </c>
      <c r="E267" s="8" t="str">
        <f t="shared" si="2"/>
        <v>na</v>
      </c>
      <c r="F267" s="8"/>
      <c r="G267" s="8" t="str">
        <f t="shared" si="3"/>
        <v>1.0</v>
      </c>
      <c r="H267" s="9">
        <f t="shared" si="4"/>
        <v>1</v>
      </c>
      <c r="I267" s="6" t="str">
        <f>IFERROR(__xludf.DUMMYFUNCTION("MAX(FILTER($H:$H,$E:$E=F267))"),"#N/A")</f>
        <v>#N/A</v>
      </c>
    </row>
    <row r="268">
      <c r="C268" s="4" t="s">
        <v>345</v>
      </c>
      <c r="D268" s="4" t="str">
        <f t="shared" si="1"/>
        <v>{"valorA":"recomendo","valorB":4.0}</v>
      </c>
      <c r="E268" s="8" t="str">
        <f t="shared" si="2"/>
        <v>recomendo</v>
      </c>
      <c r="F268" s="8"/>
      <c r="G268" s="8" t="str">
        <f t="shared" si="3"/>
        <v>4.0</v>
      </c>
      <c r="H268" s="9">
        <f t="shared" si="4"/>
        <v>4</v>
      </c>
      <c r="I268" s="6" t="str">
        <f>IFERROR(__xludf.DUMMYFUNCTION("MAX(FILTER($H:$H,$E:$E=F268))"),"#N/A")</f>
        <v>#N/A</v>
      </c>
    </row>
    <row r="269">
      <c r="C269" s="4" t="s">
        <v>1022</v>
      </c>
      <c r="D269" s="4" t="str">
        <f t="shared" si="1"/>
        <v>{"valorA":"com","valorB":5.0}</v>
      </c>
      <c r="E269" s="8" t="str">
        <f t="shared" si="2"/>
        <v>com</v>
      </c>
      <c r="F269" s="8"/>
      <c r="G269" s="8" t="str">
        <f t="shared" si="3"/>
        <v>5.0</v>
      </c>
      <c r="H269" s="9">
        <f t="shared" si="4"/>
        <v>5</v>
      </c>
      <c r="I269" s="6" t="str">
        <f>IFERROR(__xludf.DUMMYFUNCTION("MAX(FILTER($H:$H,$E:$E=F269))"),"#N/A")</f>
        <v>#N/A</v>
      </c>
    </row>
    <row r="270">
      <c r="C270" s="4" t="s">
        <v>1067</v>
      </c>
      <c r="D270" s="4" t="str">
        <f t="shared" si="1"/>
        <v>{"valorA":"ótima","valorB":6.0}</v>
      </c>
      <c r="E270" s="8" t="str">
        <f t="shared" si="2"/>
        <v>ótima</v>
      </c>
      <c r="F270" s="8"/>
      <c r="G270" s="8" t="str">
        <f t="shared" si="3"/>
        <v>6.0</v>
      </c>
      <c r="H270" s="9">
        <f t="shared" si="4"/>
        <v>6</v>
      </c>
      <c r="I270" s="6" t="str">
        <f>IFERROR(__xludf.DUMMYFUNCTION("MAX(FILTER($H:$H,$E:$E=F270))"),"#N/A")</f>
        <v>#N/A</v>
      </c>
    </row>
    <row r="271">
      <c r="C271" s="4" t="s">
        <v>862</v>
      </c>
      <c r="D271" s="4" t="str">
        <f t="shared" si="1"/>
        <v>{"valorA":"de","valorB":16.0}</v>
      </c>
      <c r="E271" s="8" t="str">
        <f t="shared" si="2"/>
        <v>de</v>
      </c>
      <c r="F271" s="8"/>
      <c r="G271" s="8" t="str">
        <f t="shared" si="3"/>
        <v>16.0</v>
      </c>
      <c r="H271" s="9">
        <f t="shared" si="4"/>
        <v>16</v>
      </c>
      <c r="I271" s="6" t="str">
        <f>IFERROR(__xludf.DUMMYFUNCTION("MAX(FILTER($H:$H,$E:$E=F271))"),"#N/A")</f>
        <v>#N/A</v>
      </c>
    </row>
    <row r="272">
      <c r="C272" s="4" t="s">
        <v>5534</v>
      </c>
      <c r="D272" s="4" t="str">
        <f t="shared" si="1"/>
        <v>{"valorA":"elegante","valorB":1.0}</v>
      </c>
      <c r="E272" s="8" t="str">
        <f t="shared" si="2"/>
        <v>elegante</v>
      </c>
      <c r="F272" s="8"/>
      <c r="G272" s="8" t="str">
        <f t="shared" si="3"/>
        <v>1.0</v>
      </c>
      <c r="H272" s="9">
        <f t="shared" si="4"/>
        <v>1</v>
      </c>
      <c r="I272" s="6" t="str">
        <f>IFERROR(__xludf.DUMMYFUNCTION("MAX(FILTER($H:$H,$E:$E=F272))"),"#N/A")</f>
        <v>#N/A</v>
      </c>
    </row>
    <row r="273">
      <c r="C273" s="4" t="s">
        <v>1586</v>
      </c>
      <c r="D273" s="4" t="str">
        <f t="shared" si="1"/>
        <v>{"valorA":"jantar","valorB":1.0}</v>
      </c>
      <c r="E273" s="8" t="str">
        <f t="shared" si="2"/>
        <v>jantar</v>
      </c>
      <c r="F273" s="8"/>
      <c r="G273" s="8" t="str">
        <f t="shared" si="3"/>
        <v>1.0</v>
      </c>
      <c r="H273" s="9">
        <f t="shared" si="4"/>
        <v>1</v>
      </c>
      <c r="I273" s="6" t="str">
        <f>IFERROR(__xludf.DUMMYFUNCTION("MAX(FILTER($H:$H,$E:$E=F273))"),"#N/A")</f>
        <v>#N/A</v>
      </c>
    </row>
    <row r="274">
      <c r="C274" s="4" t="s">
        <v>5535</v>
      </c>
      <c r="D274" s="4" t="str">
        <f t="shared" si="1"/>
        <v>{"valorA":"fortemente","valorB":5.0}</v>
      </c>
      <c r="E274" s="8" t="str">
        <f t="shared" si="2"/>
        <v>fortemente</v>
      </c>
      <c r="F274" s="8"/>
      <c r="G274" s="8" t="str">
        <f t="shared" si="3"/>
        <v>5.0</v>
      </c>
      <c r="H274" s="9">
        <f t="shared" si="4"/>
        <v>5</v>
      </c>
      <c r="I274" s="6" t="str">
        <f>IFERROR(__xludf.DUMMYFUNCTION("MAX(FILTER($H:$H,$E:$E=F274))"),"#N/A")</f>
        <v>#N/A</v>
      </c>
    </row>
    <row r="275">
      <c r="C275" s="4" t="s">
        <v>5536</v>
      </c>
      <c r="D275" s="4" t="str">
        <f t="shared" si="1"/>
        <v>{"valorA":"mesa","valorB":2.0}</v>
      </c>
      <c r="E275" s="8" t="str">
        <f t="shared" si="2"/>
        <v>mesa</v>
      </c>
      <c r="F275" s="8"/>
      <c r="G275" s="8" t="str">
        <f t="shared" si="3"/>
        <v>2.0</v>
      </c>
      <c r="H275" s="9">
        <f t="shared" si="4"/>
        <v>2</v>
      </c>
      <c r="I275" s="6" t="str">
        <f>IFERROR(__xludf.DUMMYFUNCTION("MAX(FILTER($H:$H,$E:$E=F275))"),"#N/A")</f>
        <v>#N/A</v>
      </c>
    </row>
    <row r="276">
      <c r="C276" s="4" t="s">
        <v>415</v>
      </c>
      <c r="D276" s="4" t="str">
        <f t="shared" si="1"/>
        <v>{"valorA":"estilo","valorB":1.0}</v>
      </c>
      <c r="E276" s="8" t="str">
        <f t="shared" si="2"/>
        <v>estilo</v>
      </c>
      <c r="F276" s="8"/>
      <c r="G276" s="8" t="str">
        <f t="shared" si="3"/>
        <v>1.0</v>
      </c>
      <c r="H276" s="9">
        <f t="shared" si="4"/>
        <v>1</v>
      </c>
      <c r="I276" s="6" t="str">
        <f>IFERROR(__xludf.DUMMYFUNCTION("MAX(FILTER($H:$H,$E:$E=F276))"),"#N/A")</f>
        <v>#N/A</v>
      </c>
    </row>
    <row r="277">
      <c r="C277" s="4" t="s">
        <v>383</v>
      </c>
      <c r="D277" s="4" t="str">
        <f t="shared" si="1"/>
        <v>{"valorA":"recomendo","valorB":5.0}</v>
      </c>
      <c r="E277" s="8" t="str">
        <f t="shared" si="2"/>
        <v>recomendo</v>
      </c>
      <c r="F277" s="8"/>
      <c r="G277" s="8" t="str">
        <f t="shared" si="3"/>
        <v>5.0</v>
      </c>
      <c r="H277" s="9">
        <f t="shared" si="4"/>
        <v>5</v>
      </c>
      <c r="I277" s="6" t="str">
        <f>IFERROR(__xludf.DUMMYFUNCTION("MAX(FILTER($H:$H,$E:$E=F277))"),"#N/A")</f>
        <v>#N/A</v>
      </c>
    </row>
    <row r="278">
      <c r="C278" s="4" t="s">
        <v>716</v>
      </c>
      <c r="D278" s="4" t="str">
        <f t="shared" si="1"/>
        <v>{"valorA":"comprar","valorB":2.0}</v>
      </c>
      <c r="E278" s="8" t="str">
        <f t="shared" si="2"/>
        <v>comprar</v>
      </c>
      <c r="F278" s="8"/>
      <c r="G278" s="8" t="str">
        <f t="shared" si="3"/>
        <v>2.0</v>
      </c>
      <c r="H278" s="9">
        <f t="shared" si="4"/>
        <v>2</v>
      </c>
      <c r="I278" s="6" t="str">
        <f>IFERROR(__xludf.DUMMYFUNCTION("MAX(FILTER($H:$H,$E:$E=F278))"),"#N/A")</f>
        <v>#N/A</v>
      </c>
    </row>
    <row r="279">
      <c r="C279" s="4" t="s">
        <v>743</v>
      </c>
      <c r="D279" s="4" t="str">
        <f t="shared" si="1"/>
        <v>{"valorA":"para","valorB":12.0}</v>
      </c>
      <c r="E279" s="8" t="str">
        <f t="shared" si="2"/>
        <v>para</v>
      </c>
      <c r="F279" s="8"/>
      <c r="G279" s="8" t="str">
        <f t="shared" si="3"/>
        <v>12.0</v>
      </c>
      <c r="H279" s="9">
        <f t="shared" si="4"/>
        <v>12</v>
      </c>
      <c r="I279" s="6" t="str">
        <f>IFERROR(__xludf.DUMMYFUNCTION("MAX(FILTER($H:$H,$E:$E=F279))"),"#N/A")</f>
        <v>#N/A</v>
      </c>
    </row>
    <row r="280">
      <c r="C280" s="4" t="s">
        <v>1441</v>
      </c>
      <c r="D280" s="4" t="str">
        <f t="shared" si="1"/>
        <v>{"valorA":"nunca","valorB":1.0}</v>
      </c>
      <c r="E280" s="8" t="str">
        <f t="shared" si="2"/>
        <v>nunca</v>
      </c>
      <c r="F280" s="8"/>
      <c r="G280" s="8" t="str">
        <f t="shared" si="3"/>
        <v>1.0</v>
      </c>
      <c r="H280" s="9">
        <f t="shared" si="4"/>
        <v>1</v>
      </c>
      <c r="I280" s="6" t="str">
        <f>IFERROR(__xludf.DUMMYFUNCTION("MAX(FILTER($H:$H,$E:$E=F280))"),"#N/A")</f>
        <v>#N/A</v>
      </c>
    </row>
    <row r="281">
      <c r="C281" s="4" t="s">
        <v>632</v>
      </c>
      <c r="D281" s="4" t="str">
        <f t="shared" si="1"/>
        <v>{"valorA":"bonito","valorB":1.0}</v>
      </c>
      <c r="E281" s="8" t="str">
        <f t="shared" si="2"/>
        <v>bonito</v>
      </c>
      <c r="F281" s="8"/>
      <c r="G281" s="8" t="str">
        <f t="shared" si="3"/>
        <v>1.0</v>
      </c>
      <c r="H281" s="9">
        <f t="shared" si="4"/>
        <v>1</v>
      </c>
      <c r="I281" s="6" t="str">
        <f>IFERROR(__xludf.DUMMYFUNCTION("MAX(FILTER($H:$H,$E:$E=F281))"),"#N/A")</f>
        <v>#N/A</v>
      </c>
    </row>
    <row r="282">
      <c r="C282" s="4" t="s">
        <v>367</v>
      </c>
      <c r="D282" s="4" t="str">
        <f t="shared" si="1"/>
        <v>{"valorA":"meu","valorB":2.0}</v>
      </c>
      <c r="E282" s="8" t="str">
        <f t="shared" si="2"/>
        <v>meu</v>
      </c>
      <c r="F282" s="8"/>
      <c r="G282" s="8" t="str">
        <f t="shared" si="3"/>
        <v>2.0</v>
      </c>
      <c r="H282" s="9">
        <f t="shared" si="4"/>
        <v>2</v>
      </c>
      <c r="I282" s="6" t="str">
        <f>IFERROR(__xludf.DUMMYFUNCTION("MAX(FILTER($H:$H,$E:$E=F282))"),"#N/A")</f>
        <v>#N/A</v>
      </c>
    </row>
    <row r="283">
      <c r="C283" s="4" t="s">
        <v>614</v>
      </c>
      <c r="D283" s="4" t="str">
        <f t="shared" si="1"/>
        <v>{"valorA":"tão","valorB":1.0}</v>
      </c>
      <c r="E283" s="8" t="str">
        <f t="shared" si="2"/>
        <v>tão</v>
      </c>
      <c r="F283" s="8"/>
      <c r="G283" s="8" t="str">
        <f t="shared" si="3"/>
        <v>1.0</v>
      </c>
      <c r="H283" s="9">
        <f t="shared" si="4"/>
        <v>1</v>
      </c>
      <c r="I283" s="6" t="str">
        <f>IFERROR(__xludf.DUMMYFUNCTION("MAX(FILTER($H:$H,$E:$E=F283))"),"#N/A")</f>
        <v>#N/A</v>
      </c>
    </row>
    <row r="284">
      <c r="C284" s="4" t="s">
        <v>293</v>
      </c>
      <c r="D284" s="4" t="str">
        <f t="shared" si="1"/>
        <v>{"valorA":"bem","valorB":4.0}</v>
      </c>
      <c r="E284" s="8" t="str">
        <f t="shared" si="2"/>
        <v>bem</v>
      </c>
      <c r="F284" s="8"/>
      <c r="G284" s="8" t="str">
        <f t="shared" si="3"/>
        <v>4.0</v>
      </c>
      <c r="H284" s="9">
        <f t="shared" si="4"/>
        <v>4</v>
      </c>
      <c r="I284" s="6" t="str">
        <f>IFERROR(__xludf.DUMMYFUNCTION("MAX(FILTER($H:$H,$E:$E=F284))"),"#N/A")</f>
        <v>#N/A</v>
      </c>
    </row>
    <row r="285">
      <c r="C285" s="4" t="s">
        <v>1398</v>
      </c>
      <c r="D285" s="4" t="str">
        <f t="shared" si="1"/>
        <v>{"valorA":"quer","valorB":1.0}</v>
      </c>
      <c r="E285" s="8" t="str">
        <f t="shared" si="2"/>
        <v>quer</v>
      </c>
      <c r="F285" s="8"/>
      <c r="G285" s="8" t="str">
        <f t="shared" si="3"/>
        <v>1.0</v>
      </c>
      <c r="H285" s="9">
        <f t="shared" si="4"/>
        <v>1</v>
      </c>
      <c r="I285" s="6" t="str">
        <f>IFERROR(__xludf.DUMMYFUNCTION("MAX(FILTER($H:$H,$E:$E=F285))"),"#N/A")</f>
        <v>#N/A</v>
      </c>
    </row>
    <row r="286">
      <c r="C286" s="4" t="s">
        <v>665</v>
      </c>
      <c r="D286" s="4" t="str">
        <f t="shared" si="1"/>
        <v>{"valorA":"quem","valorB":2.0}</v>
      </c>
      <c r="E286" s="8" t="str">
        <f t="shared" si="2"/>
        <v>quem</v>
      </c>
      <c r="F286" s="8"/>
      <c r="G286" s="8" t="str">
        <f t="shared" si="3"/>
        <v>2.0</v>
      </c>
      <c r="H286" s="9">
        <f t="shared" si="4"/>
        <v>2</v>
      </c>
      <c r="I286" s="6" t="str">
        <f>IFERROR(__xludf.DUMMYFUNCTION("MAX(FILTER($H:$H,$E:$E=F286))"),"#N/A")</f>
        <v>#N/A</v>
      </c>
    </row>
    <row r="287">
      <c r="C287" s="4" t="s">
        <v>815</v>
      </c>
      <c r="D287" s="4" t="str">
        <f t="shared" si="1"/>
        <v>{"valorA":"o","valorB":10.0}</v>
      </c>
      <c r="E287" s="8" t="str">
        <f t="shared" si="2"/>
        <v>o</v>
      </c>
      <c r="F287" s="8"/>
      <c r="G287" s="8" t="str">
        <f t="shared" si="3"/>
        <v>10.0</v>
      </c>
      <c r="H287" s="9">
        <f t="shared" si="4"/>
        <v>10</v>
      </c>
      <c r="I287" s="6" t="str">
        <f>IFERROR(__xludf.DUMMYFUNCTION("MAX(FILTER($H:$H,$E:$E=F287))"),"#N/A")</f>
        <v>#N/A</v>
      </c>
    </row>
    <row r="288">
      <c r="C288" s="4" t="s">
        <v>5537</v>
      </c>
      <c r="D288" s="4" t="str">
        <f t="shared" si="1"/>
        <v>{"valorA":"vem","valorB":1.0}</v>
      </c>
      <c r="E288" s="8" t="str">
        <f t="shared" si="2"/>
        <v>vem</v>
      </c>
      <c r="F288" s="8"/>
      <c r="G288" s="8" t="str">
        <f t="shared" si="3"/>
        <v>1.0</v>
      </c>
      <c r="H288" s="9">
        <f t="shared" si="4"/>
        <v>1</v>
      </c>
      <c r="I288" s="6" t="str">
        <f>IFERROR(__xludf.DUMMYFUNCTION("MAX(FILTER($H:$H,$E:$E=F288))"),"#N/A")</f>
        <v>#N/A</v>
      </c>
    </row>
    <row r="289">
      <c r="C289" s="4" t="s">
        <v>5538</v>
      </c>
      <c r="D289" s="4" t="str">
        <f t="shared" si="1"/>
        <v>{"valorA":"está","valorB":1.0}</v>
      </c>
      <c r="E289" s="8" t="str">
        <f t="shared" si="2"/>
        <v>está</v>
      </c>
      <c r="F289" s="8"/>
      <c r="G289" s="8" t="str">
        <f t="shared" si="3"/>
        <v>1.0</v>
      </c>
      <c r="H289" s="9">
        <f t="shared" si="4"/>
        <v>1</v>
      </c>
      <c r="I289" s="6" t="str">
        <f>IFERROR(__xludf.DUMMYFUNCTION("MAX(FILTER($H:$H,$E:$E=F289))"),"#N/A")</f>
        <v>#N/A</v>
      </c>
    </row>
    <row r="290">
      <c r="C290" s="4" t="s">
        <v>374</v>
      </c>
      <c r="D290" s="4" t="str">
        <f t="shared" si="1"/>
        <v>{"valorA":"carro","valorB":2.0}</v>
      </c>
      <c r="E290" s="8" t="str">
        <f t="shared" si="2"/>
        <v>carro</v>
      </c>
      <c r="F290" s="8"/>
      <c r="G290" s="8" t="str">
        <f t="shared" si="3"/>
        <v>2.0</v>
      </c>
      <c r="H290" s="9">
        <f t="shared" si="4"/>
        <v>2</v>
      </c>
      <c r="I290" s="6" t="str">
        <f>IFERROR(__xludf.DUMMYFUNCTION("MAX(FILTER($H:$H,$E:$E=F290))"),"#N/A")</f>
        <v>#N/A</v>
      </c>
    </row>
    <row r="291">
      <c r="C291" s="4" t="s">
        <v>719</v>
      </c>
      <c r="D291" s="4" t="str">
        <f t="shared" si="1"/>
        <v>{"valorA":"ótimo","valorB":28.0}</v>
      </c>
      <c r="E291" s="8" t="str">
        <f t="shared" si="2"/>
        <v>ótimo</v>
      </c>
      <c r="F291" s="8"/>
      <c r="G291" s="8" t="str">
        <f t="shared" si="3"/>
        <v>28.0</v>
      </c>
      <c r="H291" s="9">
        <f t="shared" si="4"/>
        <v>28</v>
      </c>
      <c r="I291" s="6" t="str">
        <f>IFERROR(__xludf.DUMMYFUNCTION("MAX(FILTER($H:$H,$E:$E=F291))"),"#N/A")</f>
        <v>#N/A</v>
      </c>
    </row>
    <row r="292">
      <c r="C292" s="4" t="s">
        <v>5539</v>
      </c>
      <c r="D292" s="4" t="str">
        <f t="shared" si="1"/>
        <v>{"valorA":"cálice","valorB":2.0}</v>
      </c>
      <c r="E292" s="8" t="str">
        <f t="shared" si="2"/>
        <v>cálice</v>
      </c>
      <c r="F292" s="8"/>
      <c r="G292" s="8" t="str">
        <f t="shared" si="3"/>
        <v>2.0</v>
      </c>
      <c r="H292" s="9">
        <f t="shared" si="4"/>
        <v>2</v>
      </c>
      <c r="I292" s="6" t="str">
        <f>IFERROR(__xludf.DUMMYFUNCTION("MAX(FILTER($H:$H,$E:$E=F292))"),"#N/A")</f>
        <v>#N/A</v>
      </c>
    </row>
    <row r="293">
      <c r="C293" s="4" t="s">
        <v>5540</v>
      </c>
      <c r="D293" s="4" t="str">
        <f t="shared" si="1"/>
        <v>{"valorA":"cabelo","valorB":3.0}</v>
      </c>
      <c r="E293" s="8" t="str">
        <f t="shared" si="2"/>
        <v>cabelo</v>
      </c>
      <c r="F293" s="8"/>
      <c r="G293" s="8" t="str">
        <f t="shared" si="3"/>
        <v>3.0</v>
      </c>
      <c r="H293" s="9">
        <f t="shared" si="4"/>
        <v>3</v>
      </c>
      <c r="I293" s="6" t="str">
        <f>IFERROR(__xludf.DUMMYFUNCTION("MAX(FILTER($H:$H,$E:$E=F293))"),"#N/A")</f>
        <v>#N/A</v>
      </c>
    </row>
    <row r="294">
      <c r="C294" s="4" t="s">
        <v>617</v>
      </c>
      <c r="D294" s="4" t="str">
        <f t="shared" si="1"/>
        <v>{"valorA":"todos","valorB":1.0}</v>
      </c>
      <c r="E294" s="8" t="str">
        <f t="shared" si="2"/>
        <v>todos</v>
      </c>
      <c r="F294" s="8"/>
      <c r="G294" s="8" t="str">
        <f t="shared" si="3"/>
        <v>1.0</v>
      </c>
      <c r="H294" s="9">
        <f t="shared" si="4"/>
        <v>1</v>
      </c>
      <c r="I294" s="6" t="str">
        <f>IFERROR(__xludf.DUMMYFUNCTION("MAX(FILTER($H:$H,$E:$E=F294))"),"#N/A")</f>
        <v>#N/A</v>
      </c>
    </row>
    <row r="295">
      <c r="C295" s="4" t="s">
        <v>5541</v>
      </c>
      <c r="D295" s="4" t="str">
        <f t="shared" si="1"/>
        <v>{"valorA":"automóvel","valorB":1.0}</v>
      </c>
      <c r="E295" s="8" t="str">
        <f t="shared" si="2"/>
        <v>automóvel</v>
      </c>
      <c r="F295" s="8"/>
      <c r="G295" s="8" t="str">
        <f t="shared" si="3"/>
        <v>1.0</v>
      </c>
      <c r="H295" s="9">
        <f t="shared" si="4"/>
        <v>1</v>
      </c>
      <c r="I295" s="6" t="str">
        <f>IFERROR(__xludf.DUMMYFUNCTION("MAX(FILTER($H:$H,$E:$E=F295))"),"#N/A")</f>
        <v>#N/A</v>
      </c>
    </row>
    <row r="296">
      <c r="C296" s="4" t="s">
        <v>5542</v>
      </c>
      <c r="D296" s="4" t="str">
        <f t="shared" si="1"/>
        <v>{"valorA":"se","valorB":1.0}</v>
      </c>
      <c r="E296" s="8" t="str">
        <f t="shared" si="2"/>
        <v>se</v>
      </c>
      <c r="F296" s="8"/>
      <c r="G296" s="8" t="str">
        <f t="shared" si="3"/>
        <v>1.0</v>
      </c>
      <c r="H296" s="9">
        <f t="shared" si="4"/>
        <v>1</v>
      </c>
      <c r="I296" s="6" t="str">
        <f>IFERROR(__xludf.DUMMYFUNCTION("MAX(FILTER($H:$H,$E:$E=F296))"),"#N/A")</f>
        <v>#N/A</v>
      </c>
    </row>
    <row r="297">
      <c r="C297" s="4" t="s">
        <v>216</v>
      </c>
      <c r="D297" s="4" t="str">
        <f t="shared" si="1"/>
        <v>{"valorA":"novo","valorB":1.0}</v>
      </c>
      <c r="E297" s="8" t="str">
        <f t="shared" si="2"/>
        <v>novo</v>
      </c>
      <c r="F297" s="8"/>
      <c r="G297" s="8" t="str">
        <f t="shared" si="3"/>
        <v>1.0</v>
      </c>
      <c r="H297" s="9">
        <f t="shared" si="4"/>
        <v>1</v>
      </c>
      <c r="I297" s="6" t="str">
        <f>IFERROR(__xludf.DUMMYFUNCTION("MAX(FILTER($H:$H,$E:$E=F297))"),"#N/A")</f>
        <v>#N/A</v>
      </c>
    </row>
    <row r="298">
      <c r="C298" s="4" t="s">
        <v>989</v>
      </c>
      <c r="D298" s="4" t="str">
        <f t="shared" si="1"/>
        <v>{"valorA":"tudo","valorB":1.0}</v>
      </c>
      <c r="E298" s="8" t="str">
        <f t="shared" si="2"/>
        <v>tudo</v>
      </c>
      <c r="F298" s="8"/>
      <c r="G298" s="8" t="str">
        <f t="shared" si="3"/>
        <v>1.0</v>
      </c>
      <c r="H298" s="9">
        <f t="shared" si="4"/>
        <v>1</v>
      </c>
      <c r="I298" s="6" t="str">
        <f>IFERROR(__xludf.DUMMYFUNCTION("MAX(FILTER($H:$H,$E:$E=F298))"),"#N/A")</f>
        <v>#N/A</v>
      </c>
    </row>
    <row r="299">
      <c r="C299" s="4" t="s">
        <v>5543</v>
      </c>
      <c r="D299" s="4" t="str">
        <f t="shared" si="1"/>
        <v>{"valorA":"lustrar","valorB":1.0}</v>
      </c>
      <c r="E299" s="8" t="str">
        <f t="shared" si="2"/>
        <v>lustrar</v>
      </c>
      <c r="F299" s="8"/>
      <c r="G299" s="8" t="str">
        <f t="shared" si="3"/>
        <v>1.0</v>
      </c>
      <c r="H299" s="9">
        <f t="shared" si="4"/>
        <v>1</v>
      </c>
      <c r="I299" s="6" t="str">
        <f>IFERROR(__xludf.DUMMYFUNCTION("MAX(FILTER($H:$H,$E:$E=F299))"),"#N/A")</f>
        <v>#N/A</v>
      </c>
    </row>
    <row r="300">
      <c r="C300" s="4" t="s">
        <v>670</v>
      </c>
      <c r="D300" s="4" t="str">
        <f t="shared" si="1"/>
        <v>{"valorA":"um","valorB":3.0}</v>
      </c>
      <c r="E300" s="8" t="str">
        <f t="shared" si="2"/>
        <v>um</v>
      </c>
      <c r="F300" s="8"/>
      <c r="G300" s="8" t="str">
        <f t="shared" si="3"/>
        <v>3.0</v>
      </c>
      <c r="H300" s="9">
        <f t="shared" si="4"/>
        <v>3</v>
      </c>
      <c r="I300" s="6" t="str">
        <f>IFERROR(__xludf.DUMMYFUNCTION("MAX(FILTER($H:$H,$E:$E=F300))"),"#N/A")</f>
        <v>#N/A</v>
      </c>
    </row>
    <row r="301">
      <c r="C301" s="4" t="s">
        <v>5544</v>
      </c>
      <c r="D301" s="4" t="str">
        <f t="shared" si="1"/>
        <v>{"valorA":"suas","valorB":1.0}</v>
      </c>
      <c r="E301" s="8" t="str">
        <f t="shared" si="2"/>
        <v>suas</v>
      </c>
      <c r="F301" s="8"/>
      <c r="G301" s="8" t="str">
        <f t="shared" si="3"/>
        <v>1.0</v>
      </c>
      <c r="H301" s="9">
        <f t="shared" si="4"/>
        <v>1</v>
      </c>
      <c r="I301" s="6" t="str">
        <f>IFERROR(__xludf.DUMMYFUNCTION("MAX(FILTER($H:$H,$E:$E=F301))"),"#N/A")</f>
        <v>#N/A</v>
      </c>
    </row>
    <row r="302">
      <c r="C302" s="4" t="s">
        <v>769</v>
      </c>
      <c r="D302" s="4" t="str">
        <f t="shared" si="1"/>
        <v>{"valorA":"para","valorB":14.0}</v>
      </c>
      <c r="E302" s="8" t="str">
        <f t="shared" si="2"/>
        <v>para</v>
      </c>
      <c r="F302" s="8"/>
      <c r="G302" s="8" t="str">
        <f t="shared" si="3"/>
        <v>14.0</v>
      </c>
      <c r="H302" s="9">
        <f t="shared" si="4"/>
        <v>14</v>
      </c>
      <c r="I302" s="6" t="str">
        <f>IFERROR(__xludf.DUMMYFUNCTION("MAX(FILTER($H:$H,$E:$E=F302))"),"#N/A")</f>
        <v>#N/A</v>
      </c>
    </row>
    <row r="303">
      <c r="C303" s="4" t="s">
        <v>1045</v>
      </c>
      <c r="D303" s="4" t="str">
        <f t="shared" si="1"/>
        <v>{"valorA":"com","valorB":6.0}</v>
      </c>
      <c r="E303" s="8" t="str">
        <f t="shared" si="2"/>
        <v>com</v>
      </c>
      <c r="F303" s="8"/>
      <c r="G303" s="8" t="str">
        <f t="shared" si="3"/>
        <v>6.0</v>
      </c>
      <c r="H303" s="9">
        <f t="shared" si="4"/>
        <v>6</v>
      </c>
      <c r="I303" s="6" t="str">
        <f>IFERROR(__xludf.DUMMYFUNCTION("MAX(FILTER($H:$H,$E:$E=F303))"),"#N/A")</f>
        <v>#N/A</v>
      </c>
    </row>
    <row r="304">
      <c r="C304" s="4" t="s">
        <v>1082</v>
      </c>
      <c r="D304" s="4" t="str">
        <f t="shared" si="1"/>
        <v>{"valorA":"coisas","valorB":1.0}</v>
      </c>
      <c r="E304" s="8" t="str">
        <f t="shared" si="2"/>
        <v>coisas</v>
      </c>
      <c r="F304" s="8"/>
      <c r="G304" s="8" t="str">
        <f t="shared" si="3"/>
        <v>1.0</v>
      </c>
      <c r="H304" s="9">
        <f t="shared" si="4"/>
        <v>1</v>
      </c>
      <c r="I304" s="6" t="str">
        <f>IFERROR(__xludf.DUMMYFUNCTION("MAX(FILTER($H:$H,$E:$E=F304))"),"#N/A")</f>
        <v>#N/A</v>
      </c>
    </row>
    <row r="305">
      <c r="C305" s="4" t="s">
        <v>1593</v>
      </c>
      <c r="D305" s="4" t="str">
        <f t="shared" si="1"/>
        <v>{"valorA":"rapidez","valorB":1.0}</v>
      </c>
      <c r="E305" s="8" t="str">
        <f t="shared" si="2"/>
        <v>rapidez</v>
      </c>
      <c r="F305" s="8"/>
      <c r="G305" s="8" t="str">
        <f t="shared" si="3"/>
        <v>1.0</v>
      </c>
      <c r="H305" s="9">
        <f t="shared" si="4"/>
        <v>1</v>
      </c>
      <c r="I305" s="6" t="str">
        <f>IFERROR(__xludf.DUMMYFUNCTION("MAX(FILTER($H:$H,$E:$E=F305))"),"#N/A")</f>
        <v>#N/A</v>
      </c>
    </row>
    <row r="306">
      <c r="C306" s="4" t="s">
        <v>5545</v>
      </c>
      <c r="D306" s="4" t="str">
        <f t="shared" si="1"/>
        <v>{"valorA":"quer","valorB":2.0}</v>
      </c>
      <c r="E306" s="8" t="str">
        <f t="shared" si="2"/>
        <v>quer</v>
      </c>
      <c r="F306" s="8"/>
      <c r="G306" s="8" t="str">
        <f t="shared" si="3"/>
        <v>2.0</v>
      </c>
      <c r="H306" s="9">
        <f t="shared" si="4"/>
        <v>2</v>
      </c>
      <c r="I306" s="6" t="str">
        <f>IFERROR(__xludf.DUMMYFUNCTION("MAX(FILTER($H:$H,$E:$E=F306))"),"#N/A")</f>
        <v>#N/A</v>
      </c>
    </row>
    <row r="307">
      <c r="C307" s="4" t="s">
        <v>680</v>
      </c>
      <c r="D307" s="4" t="str">
        <f t="shared" si="1"/>
        <v>{"valorA":"quem","valorB":3.0}</v>
      </c>
      <c r="E307" s="8" t="str">
        <f t="shared" si="2"/>
        <v>quem</v>
      </c>
      <c r="F307" s="8"/>
      <c r="G307" s="8" t="str">
        <f t="shared" si="3"/>
        <v>3.0</v>
      </c>
      <c r="H307" s="9">
        <f t="shared" si="4"/>
        <v>3</v>
      </c>
      <c r="I307" s="6" t="str">
        <f>IFERROR(__xludf.DUMMYFUNCTION("MAX(FILTER($H:$H,$E:$E=F307))"),"#N/A")</f>
        <v>#N/A</v>
      </c>
    </row>
    <row r="308">
      <c r="C308" s="4" t="s">
        <v>1012</v>
      </c>
      <c r="D308" s="4" t="str">
        <f t="shared" si="1"/>
        <v>{"valorA":"limpar","valorB":2.0}</v>
      </c>
      <c r="E308" s="8" t="str">
        <f t="shared" si="2"/>
        <v>limpar</v>
      </c>
      <c r="F308" s="8"/>
      <c r="G308" s="8" t="str">
        <f t="shared" si="3"/>
        <v>2.0</v>
      </c>
      <c r="H308" s="9">
        <f t="shared" si="4"/>
        <v>2</v>
      </c>
      <c r="I308" s="6" t="str">
        <f>IFERROR(__xludf.DUMMYFUNCTION("MAX(FILTER($H:$H,$E:$E=F308))"),"#N/A")</f>
        <v>#N/A</v>
      </c>
    </row>
    <row r="309">
      <c r="C309" s="4" t="s">
        <v>5546</v>
      </c>
      <c r="D309" s="4" t="str">
        <f t="shared" si="1"/>
        <v>{"valorA":"aparelho","valorB":6.0}</v>
      </c>
      <c r="E309" s="8" t="str">
        <f t="shared" si="2"/>
        <v>aparelho</v>
      </c>
      <c r="F309" s="8"/>
      <c r="G309" s="8" t="str">
        <f t="shared" si="3"/>
        <v>6.0</v>
      </c>
      <c r="H309" s="9">
        <f t="shared" si="4"/>
        <v>6</v>
      </c>
      <c r="I309" s="6" t="str">
        <f>IFERROR(__xludf.DUMMYFUNCTION("MAX(FILTER($H:$H,$E:$E=F309))"),"#N/A")</f>
        <v>#N/A</v>
      </c>
    </row>
    <row r="310">
      <c r="C310" s="4" t="s">
        <v>1109</v>
      </c>
      <c r="D310" s="4" t="str">
        <f t="shared" si="1"/>
        <v>{"valorA":"empresa","valorB":2.0}</v>
      </c>
      <c r="E310" s="8" t="str">
        <f t="shared" si="2"/>
        <v>empresa</v>
      </c>
      <c r="F310" s="8"/>
      <c r="G310" s="8" t="str">
        <f t="shared" si="3"/>
        <v>2.0</v>
      </c>
      <c r="H310" s="9">
        <f t="shared" si="4"/>
        <v>2</v>
      </c>
      <c r="I310" s="6" t="str">
        <f>IFERROR(__xludf.DUMMYFUNCTION("MAX(FILTER($H:$H,$E:$E=F310))"),"#N/A")</f>
        <v>#N/A</v>
      </c>
    </row>
    <row r="311">
      <c r="C311" s="4" t="s">
        <v>376</v>
      </c>
      <c r="D311" s="4" t="str">
        <f t="shared" si="1"/>
        <v>{"valorA":"ótimo","valorB":30.0}</v>
      </c>
      <c r="E311" s="8" t="str">
        <f t="shared" si="2"/>
        <v>ótimo</v>
      </c>
      <c r="F311" s="8"/>
      <c r="G311" s="8" t="str">
        <f t="shared" si="3"/>
        <v>30.0</v>
      </c>
      <c r="H311" s="9">
        <f t="shared" si="4"/>
        <v>30</v>
      </c>
      <c r="I311" s="6" t="str">
        <f>IFERROR(__xludf.DUMMYFUNCTION("MAX(FILTER($H:$H,$E:$E=F311))"),"#N/A")</f>
        <v>#N/A</v>
      </c>
    </row>
    <row r="312">
      <c r="C312" s="4" t="s">
        <v>803</v>
      </c>
      <c r="D312" s="4" t="str">
        <f t="shared" si="1"/>
        <v>{"valorA":"perfeitamente","valorB":3.0}</v>
      </c>
      <c r="E312" s="8" t="str">
        <f t="shared" si="2"/>
        <v>perfeitamente</v>
      </c>
      <c r="F312" s="8"/>
      <c r="G312" s="8" t="str">
        <f t="shared" si="3"/>
        <v>3.0</v>
      </c>
      <c r="H312" s="9">
        <f t="shared" si="4"/>
        <v>3</v>
      </c>
      <c r="I312" s="6" t="str">
        <f>IFERROR(__xludf.DUMMYFUNCTION("MAX(FILTER($H:$H,$E:$E=F312))"),"#N/A")</f>
        <v>#N/A</v>
      </c>
    </row>
    <row r="313">
      <c r="C313" s="4" t="s">
        <v>1071</v>
      </c>
      <c r="D313" s="4" t="str">
        <f t="shared" si="1"/>
        <v>{"valorA":"sistema","valorB":2.0}</v>
      </c>
      <c r="E313" s="8" t="str">
        <f t="shared" si="2"/>
        <v>sistema</v>
      </c>
      <c r="F313" s="8"/>
      <c r="G313" s="8" t="str">
        <f t="shared" si="3"/>
        <v>2.0</v>
      </c>
      <c r="H313" s="9">
        <f t="shared" si="4"/>
        <v>2</v>
      </c>
      <c r="I313" s="6" t="str">
        <f>IFERROR(__xludf.DUMMYFUNCTION("MAX(FILTER($H:$H,$E:$E=F313))"),"#N/A")</f>
        <v>#N/A</v>
      </c>
    </row>
    <row r="314">
      <c r="C314" s="4" t="s">
        <v>630</v>
      </c>
      <c r="D314" s="4" t="str">
        <f t="shared" si="1"/>
        <v>{"valorA":"a","valorB":7.0}</v>
      </c>
      <c r="E314" s="8" t="str">
        <f t="shared" si="2"/>
        <v>a</v>
      </c>
      <c r="F314" s="8"/>
      <c r="G314" s="8" t="str">
        <f t="shared" si="3"/>
        <v>7.0</v>
      </c>
      <c r="H314" s="9">
        <f t="shared" si="4"/>
        <v>7</v>
      </c>
      <c r="I314" s="6" t="str">
        <f>IFERROR(__xludf.DUMMYFUNCTION("MAX(FILTER($H:$H,$E:$E=F314))"),"#N/A")</f>
        <v>#N/A</v>
      </c>
    </row>
    <row r="315">
      <c r="C315" s="4" t="s">
        <v>303</v>
      </c>
      <c r="D315" s="4" t="str">
        <f t="shared" si="1"/>
        <v>{"valorA":"funciona","valorB":5.0}</v>
      </c>
      <c r="E315" s="8" t="str">
        <f t="shared" si="2"/>
        <v>funciona</v>
      </c>
      <c r="F315" s="8"/>
      <c r="G315" s="8" t="str">
        <f t="shared" si="3"/>
        <v>5.0</v>
      </c>
      <c r="H315" s="9">
        <f t="shared" si="4"/>
        <v>5</v>
      </c>
      <c r="I315" s="6" t="str">
        <f>IFERROR(__xludf.DUMMYFUNCTION("MAX(FILTER($H:$H,$E:$E=F315))"),"#N/A")</f>
        <v>#N/A</v>
      </c>
    </row>
    <row r="316">
      <c r="C316" s="4" t="s">
        <v>5547</v>
      </c>
      <c r="D316" s="4" t="str">
        <f t="shared" si="1"/>
        <v>{"valorA":"minha","valorB":5.0}</v>
      </c>
      <c r="E316" s="8" t="str">
        <f t="shared" si="2"/>
        <v>minha</v>
      </c>
      <c r="F316" s="8"/>
      <c r="G316" s="8" t="str">
        <f t="shared" si="3"/>
        <v>5.0</v>
      </c>
      <c r="H316" s="9">
        <f t="shared" si="4"/>
        <v>5</v>
      </c>
      <c r="I316" s="6" t="str">
        <f>IFERROR(__xludf.DUMMYFUNCTION("MAX(FILTER($H:$H,$E:$E=F316))"),"#N/A")</f>
        <v>#N/A</v>
      </c>
    </row>
    <row r="317">
      <c r="C317" s="4" t="s">
        <v>422</v>
      </c>
      <c r="D317" s="4" t="str">
        <f t="shared" si="1"/>
        <v>{"valorA":"recomendo","valorB":6.0}</v>
      </c>
      <c r="E317" s="8" t="str">
        <f t="shared" si="2"/>
        <v>recomendo</v>
      </c>
      <c r="F317" s="8"/>
      <c r="G317" s="8" t="str">
        <f t="shared" si="3"/>
        <v>6.0</v>
      </c>
      <c r="H317" s="9">
        <f t="shared" si="4"/>
        <v>6</v>
      </c>
      <c r="I317" s="6" t="str">
        <f>IFERROR(__xludf.DUMMYFUNCTION("MAX(FILTER($H:$H,$E:$E=F317))"),"#N/A")</f>
        <v>#N/A</v>
      </c>
    </row>
    <row r="318">
      <c r="C318" s="4" t="s">
        <v>5548</v>
      </c>
      <c r="D318" s="4" t="str">
        <f t="shared" si="1"/>
        <v>{"valorA":"precisar","valorB":1.0}</v>
      </c>
      <c r="E318" s="8" t="str">
        <f t="shared" si="2"/>
        <v>precisar</v>
      </c>
      <c r="F318" s="8"/>
      <c r="G318" s="8" t="str">
        <f t="shared" si="3"/>
        <v>1.0</v>
      </c>
      <c r="H318" s="9">
        <f t="shared" si="4"/>
        <v>1</v>
      </c>
      <c r="I318" s="6" t="str">
        <f>IFERROR(__xludf.DUMMYFUNCTION("MAX(FILTER($H:$H,$E:$E=F318))"),"#N/A")</f>
        <v>#N/A</v>
      </c>
    </row>
    <row r="319">
      <c r="C319" s="4" t="s">
        <v>694</v>
      </c>
      <c r="D319" s="4" t="str">
        <f t="shared" si="1"/>
        <v>{"valorA":"quem","valorB":4.0}</v>
      </c>
      <c r="E319" s="8" t="str">
        <f t="shared" si="2"/>
        <v>quem</v>
      </c>
      <c r="F319" s="8"/>
      <c r="G319" s="8" t="str">
        <f t="shared" si="3"/>
        <v>4.0</v>
      </c>
      <c r="H319" s="9">
        <f t="shared" si="4"/>
        <v>4</v>
      </c>
      <c r="I319" s="6" t="str">
        <f>IFERROR(__xludf.DUMMYFUNCTION("MAX(FILTER($H:$H,$E:$E=F319))"),"#N/A")</f>
        <v>#N/A</v>
      </c>
    </row>
    <row r="320">
      <c r="C320" s="4" t="s">
        <v>1154</v>
      </c>
      <c r="D320" s="4" t="str">
        <f t="shared" si="1"/>
        <v>{"valorA":"de","valorB":17.0}</v>
      </c>
      <c r="E320" s="8" t="str">
        <f t="shared" si="2"/>
        <v>de</v>
      </c>
      <c r="F320" s="8"/>
      <c r="G320" s="8" t="str">
        <f t="shared" si="3"/>
        <v>17.0</v>
      </c>
      <c r="H320" s="9">
        <f t="shared" si="4"/>
        <v>17</v>
      </c>
      <c r="I320" s="6" t="str">
        <f>IFERROR(__xludf.DUMMYFUNCTION("MAX(FILTER($H:$H,$E:$E=F320))"),"#N/A")</f>
        <v>#N/A</v>
      </c>
    </row>
    <row r="321">
      <c r="C321" s="4" t="s">
        <v>5549</v>
      </c>
      <c r="D321" s="4" t="str">
        <f t="shared" si="1"/>
        <v>{"valorA":"aquecedor","valorB":3.0}</v>
      </c>
      <c r="E321" s="8" t="str">
        <f t="shared" si="2"/>
        <v>aquecedor</v>
      </c>
      <c r="F321" s="8"/>
      <c r="G321" s="8" t="str">
        <f t="shared" si="3"/>
        <v>3.0</v>
      </c>
      <c r="H321" s="9">
        <f t="shared" si="4"/>
        <v>3</v>
      </c>
      <c r="I321" s="6" t="str">
        <f>IFERROR(__xludf.DUMMYFUNCTION("MAX(FILTER($H:$H,$E:$E=F321))"),"#N/A")</f>
        <v>#N/A</v>
      </c>
    </row>
    <row r="322">
      <c r="C322" s="4" t="s">
        <v>5550</v>
      </c>
      <c r="D322" s="4" t="str">
        <f t="shared" si="1"/>
        <v>{"valorA":"colchões","valorB":1.0}</v>
      </c>
      <c r="E322" s="8" t="str">
        <f t="shared" si="2"/>
        <v>colchões</v>
      </c>
      <c r="F322" s="8"/>
      <c r="G322" s="8" t="str">
        <f t="shared" si="3"/>
        <v>1.0</v>
      </c>
      <c r="H322" s="9">
        <f t="shared" si="4"/>
        <v>1</v>
      </c>
      <c r="I322" s="6" t="str">
        <f>IFERROR(__xludf.DUMMYFUNCTION("MAX(FILTER($H:$H,$E:$E=F322))"),"#N/A")</f>
        <v>#N/A</v>
      </c>
    </row>
    <row r="323">
      <c r="C323" s="4" t="s">
        <v>739</v>
      </c>
      <c r="D323" s="4" t="str">
        <f t="shared" si="1"/>
        <v>{"valorA":"ótimo","valorB":31.0}</v>
      </c>
      <c r="E323" s="8" t="str">
        <f t="shared" si="2"/>
        <v>ótimo</v>
      </c>
      <c r="F323" s="8"/>
      <c r="G323" s="8" t="str">
        <f t="shared" si="3"/>
        <v>31.0</v>
      </c>
      <c r="H323" s="9">
        <f t="shared" si="4"/>
        <v>31</v>
      </c>
      <c r="I323" s="6" t="str">
        <f>IFERROR(__xludf.DUMMYFUNCTION("MAX(FILTER($H:$H,$E:$E=F323))"),"#N/A")</f>
        <v>#N/A</v>
      </c>
    </row>
    <row r="324">
      <c r="C324" s="4" t="s">
        <v>5551</v>
      </c>
      <c r="D324" s="4" t="str">
        <f t="shared" si="1"/>
        <v>{"valorA":"filhinha","valorB":1.0}</v>
      </c>
      <c r="E324" s="8" t="str">
        <f t="shared" si="2"/>
        <v>filhinha</v>
      </c>
      <c r="F324" s="8"/>
      <c r="G324" s="8" t="str">
        <f t="shared" si="3"/>
        <v>1.0</v>
      </c>
      <c r="H324" s="9">
        <f t="shared" si="4"/>
        <v>1</v>
      </c>
      <c r="I324" s="6" t="str">
        <f>IFERROR(__xludf.DUMMYFUNCTION("MAX(FILTER($H:$H,$E:$E=F324))"),"#N/A")</f>
        <v>#N/A</v>
      </c>
    </row>
    <row r="325">
      <c r="C325" s="4" t="s">
        <v>1631</v>
      </c>
      <c r="D325" s="4" t="str">
        <f t="shared" si="1"/>
        <v>{"valorA":"ontem","valorB":3.0}</v>
      </c>
      <c r="E325" s="8" t="str">
        <f t="shared" si="2"/>
        <v>ontem</v>
      </c>
      <c r="F325" s="8"/>
      <c r="G325" s="8" t="str">
        <f t="shared" si="3"/>
        <v>3.0</v>
      </c>
      <c r="H325" s="9">
        <f t="shared" si="4"/>
        <v>3</v>
      </c>
      <c r="I325" s="6" t="str">
        <f>IFERROR(__xludf.DUMMYFUNCTION("MAX(FILTER($H:$H,$E:$E=F325))"),"#N/A")</f>
        <v>#N/A</v>
      </c>
    </row>
    <row r="326">
      <c r="C326" s="4" t="s">
        <v>1425</v>
      </c>
      <c r="D326" s="4" t="str">
        <f t="shared" si="1"/>
        <v>{"valorA":"ele","valorB":2.0}</v>
      </c>
      <c r="E326" s="8" t="str">
        <f t="shared" si="2"/>
        <v>ele</v>
      </c>
      <c r="F326" s="8"/>
      <c r="G326" s="8" t="str">
        <f t="shared" si="3"/>
        <v>2.0</v>
      </c>
      <c r="H326" s="9">
        <f t="shared" si="4"/>
        <v>2</v>
      </c>
      <c r="I326" s="6" t="str">
        <f>IFERROR(__xludf.DUMMYFUNCTION("MAX(FILTER($H:$H,$E:$E=F326))"),"#N/A")</f>
        <v>#N/A</v>
      </c>
    </row>
    <row r="327">
      <c r="C327" s="4" t="s">
        <v>470</v>
      </c>
      <c r="D327" s="4" t="str">
        <f t="shared" si="1"/>
        <v>{"valorA":"comprei","valorB":2.0}</v>
      </c>
      <c r="E327" s="8" t="str">
        <f t="shared" si="2"/>
        <v>comprei</v>
      </c>
      <c r="F327" s="8"/>
      <c r="G327" s="8" t="str">
        <f t="shared" si="3"/>
        <v>2.0</v>
      </c>
      <c r="H327" s="9">
        <f t="shared" si="4"/>
        <v>2</v>
      </c>
      <c r="I327" s="6" t="str">
        <f>IFERROR(__xludf.DUMMYFUNCTION("MAX(FILTER($H:$H,$E:$E=F327))"),"#N/A")</f>
        <v>#N/A</v>
      </c>
    </row>
    <row r="328">
      <c r="C328" s="4" t="s">
        <v>1054</v>
      </c>
      <c r="D328" s="4" t="str">
        <f t="shared" si="1"/>
        <v>{"valorA":"com","valorB":7.0}</v>
      </c>
      <c r="E328" s="8" t="str">
        <f t="shared" si="2"/>
        <v>com</v>
      </c>
      <c r="F328" s="8"/>
      <c r="G328" s="8" t="str">
        <f t="shared" si="3"/>
        <v>7.0</v>
      </c>
      <c r="H328" s="9">
        <f t="shared" si="4"/>
        <v>7</v>
      </c>
      <c r="I328" s="6" t="str">
        <f>IFERROR(__xludf.DUMMYFUNCTION("MAX(FILTER($H:$H,$E:$E=F328))"),"#N/A")</f>
        <v>#N/A</v>
      </c>
    </row>
    <row r="329">
      <c r="C329" s="4" t="s">
        <v>1169</v>
      </c>
      <c r="D329" s="4" t="str">
        <f t="shared" si="1"/>
        <v>{"valorA":"de","valorB":19.0}</v>
      </c>
      <c r="E329" s="8" t="str">
        <f t="shared" si="2"/>
        <v>de</v>
      </c>
      <c r="F329" s="8"/>
      <c r="G329" s="8" t="str">
        <f t="shared" si="3"/>
        <v>19.0</v>
      </c>
      <c r="H329" s="9">
        <f t="shared" si="4"/>
        <v>19</v>
      </c>
      <c r="I329" s="6" t="str">
        <f>IFERROR(__xludf.DUMMYFUNCTION("MAX(FILTER($H:$H,$E:$E=F329))"),"#N/A")</f>
        <v>#N/A</v>
      </c>
    </row>
    <row r="330">
      <c r="C330" s="4" t="s">
        <v>1039</v>
      </c>
      <c r="D330" s="4" t="str">
        <f t="shared" si="1"/>
        <v>{"valorA":"pratos","valorB":1.0}</v>
      </c>
      <c r="E330" s="8" t="str">
        <f t="shared" si="2"/>
        <v>pratos</v>
      </c>
      <c r="F330" s="8"/>
      <c r="G330" s="8" t="str">
        <f t="shared" si="3"/>
        <v>1.0</v>
      </c>
      <c r="H330" s="9">
        <f t="shared" si="4"/>
        <v>1</v>
      </c>
      <c r="I330" s="6" t="str">
        <f>IFERROR(__xludf.DUMMYFUNCTION("MAX(FILTER($H:$H,$E:$E=F330))"),"#N/A")</f>
        <v>#N/A</v>
      </c>
    </row>
    <row r="331">
      <c r="C331" s="4" t="s">
        <v>1018</v>
      </c>
      <c r="D331" s="4" t="str">
        <f t="shared" si="1"/>
        <v>{"valorA":"lavador","valorB":1.0}</v>
      </c>
      <c r="E331" s="8" t="str">
        <f t="shared" si="2"/>
        <v>lavador</v>
      </c>
      <c r="F331" s="8"/>
      <c r="G331" s="8" t="str">
        <f t="shared" si="3"/>
        <v>1.0</v>
      </c>
      <c r="H331" s="9">
        <f t="shared" si="4"/>
        <v>1</v>
      </c>
      <c r="I331" s="6" t="str">
        <f>IFERROR(__xludf.DUMMYFUNCTION("MAX(FILTER($H:$H,$E:$E=F331))"),"#N/A")</f>
        <v>#N/A</v>
      </c>
    </row>
    <row r="332">
      <c r="C332" s="4" t="s">
        <v>373</v>
      </c>
      <c r="D332" s="4" t="str">
        <f t="shared" si="1"/>
        <v>{"valorA":"gosto","valorB":2.0}</v>
      </c>
      <c r="E332" s="8" t="str">
        <f t="shared" si="2"/>
        <v>gosto</v>
      </c>
      <c r="F332" s="8"/>
      <c r="G332" s="8" t="str">
        <f t="shared" si="3"/>
        <v>2.0</v>
      </c>
      <c r="H332" s="9">
        <f t="shared" si="4"/>
        <v>2</v>
      </c>
      <c r="I332" s="6" t="str">
        <f>IFERROR(__xludf.DUMMYFUNCTION("MAX(FILTER($H:$H,$E:$E=F332))"),"#N/A")</f>
        <v>#N/A</v>
      </c>
    </row>
    <row r="333">
      <c r="C333" s="4" t="s">
        <v>5552</v>
      </c>
      <c r="D333" s="4" t="str">
        <f t="shared" si="1"/>
        <v>{"valorA":"pelúcia","valorB":1.0}</v>
      </c>
      <c r="E333" s="8" t="str">
        <f t="shared" si="2"/>
        <v>pelúcia</v>
      </c>
      <c r="F333" s="8"/>
      <c r="G333" s="8" t="str">
        <f t="shared" si="3"/>
        <v>1.0</v>
      </c>
      <c r="H333" s="9">
        <f t="shared" si="4"/>
        <v>1</v>
      </c>
      <c r="I333" s="6" t="str">
        <f>IFERROR(__xludf.DUMMYFUNCTION("MAX(FILTER($H:$H,$E:$E=F333))"),"#N/A")</f>
        <v>#N/A</v>
      </c>
    </row>
    <row r="334">
      <c r="C334" s="4" t="s">
        <v>5553</v>
      </c>
      <c r="D334" s="4" t="str">
        <f t="shared" si="1"/>
        <v>{"valorA":"dele","valorB":1.0}</v>
      </c>
      <c r="E334" s="8" t="str">
        <f t="shared" si="2"/>
        <v>dele</v>
      </c>
      <c r="F334" s="8"/>
      <c r="G334" s="8" t="str">
        <f t="shared" si="3"/>
        <v>1.0</v>
      </c>
      <c r="H334" s="9">
        <f t="shared" si="4"/>
        <v>1</v>
      </c>
      <c r="I334" s="6" t="str">
        <f>IFERROR(__xludf.DUMMYFUNCTION("MAX(FILTER($H:$H,$E:$E=F334))"),"#N/A")</f>
        <v>#N/A</v>
      </c>
    </row>
    <row r="335">
      <c r="C335" s="4" t="s">
        <v>698</v>
      </c>
      <c r="D335" s="4" t="str">
        <f t="shared" si="1"/>
        <v>{"valorA":"que","valorB":5.0}</v>
      </c>
      <c r="E335" s="8" t="str">
        <f t="shared" si="2"/>
        <v>que</v>
      </c>
      <c r="F335" s="8"/>
      <c r="G335" s="8" t="str">
        <f t="shared" si="3"/>
        <v>5.0</v>
      </c>
      <c r="H335" s="9">
        <f t="shared" si="4"/>
        <v>5</v>
      </c>
      <c r="I335" s="6" t="str">
        <f>IFERROR(__xludf.DUMMYFUNCTION("MAX(FILTER($H:$H,$E:$E=F335))"),"#N/A")</f>
        <v>#N/A</v>
      </c>
    </row>
    <row r="336">
      <c r="C336" s="4" t="s">
        <v>762</v>
      </c>
      <c r="D336" s="4" t="str">
        <f t="shared" si="1"/>
        <v>{"valorA":"ótimo","valorB":33.0}</v>
      </c>
      <c r="E336" s="8" t="str">
        <f t="shared" si="2"/>
        <v>ótimo</v>
      </c>
      <c r="F336" s="8"/>
      <c r="G336" s="8" t="str">
        <f t="shared" si="3"/>
        <v>33.0</v>
      </c>
      <c r="H336" s="9">
        <f t="shared" si="4"/>
        <v>33</v>
      </c>
      <c r="I336" s="6" t="str">
        <f>IFERROR(__xludf.DUMMYFUNCTION("MAX(FILTER($H:$H,$E:$E=F336))"),"#N/A")</f>
        <v>#N/A</v>
      </c>
    </row>
    <row r="337">
      <c r="C337" s="4" t="s">
        <v>319</v>
      </c>
      <c r="D337" s="4" t="str">
        <f t="shared" si="1"/>
        <v>{"valorA":"muito","valorB":9.0}</v>
      </c>
      <c r="E337" s="8" t="str">
        <f t="shared" si="2"/>
        <v>muito</v>
      </c>
      <c r="F337" s="8"/>
      <c r="G337" s="8" t="str">
        <f t="shared" si="3"/>
        <v>9.0</v>
      </c>
      <c r="H337" s="9">
        <f t="shared" si="4"/>
        <v>9</v>
      </c>
      <c r="I337" s="6" t="str">
        <f>IFERROR(__xludf.DUMMYFUNCTION("MAX(FILTER($H:$H,$E:$E=F337))"),"#N/A")</f>
        <v>#N/A</v>
      </c>
    </row>
    <row r="338">
      <c r="C338" s="4" t="s">
        <v>1422</v>
      </c>
      <c r="D338" s="4" t="str">
        <f t="shared" si="1"/>
        <v>{"valorA":"adora","valorB":1.0}</v>
      </c>
      <c r="E338" s="8" t="str">
        <f t="shared" si="2"/>
        <v>adora</v>
      </c>
      <c r="F338" s="8"/>
      <c r="G338" s="8" t="str">
        <f t="shared" si="3"/>
        <v>1.0</v>
      </c>
      <c r="H338" s="9">
        <f t="shared" si="4"/>
        <v>1</v>
      </c>
      <c r="I338" s="6" t="str">
        <f>IFERROR(__xludf.DUMMYFUNCTION("MAX(FILTER($H:$H,$E:$E=F338))"),"#N/A")</f>
        <v>#N/A</v>
      </c>
    </row>
    <row r="339">
      <c r="C339" s="4" t="s">
        <v>5554</v>
      </c>
      <c r="D339" s="4" t="str">
        <f t="shared" si="1"/>
        <v>{"valorA":"mascaró","valorB":1.0}</v>
      </c>
      <c r="E339" s="8" t="str">
        <f t="shared" si="2"/>
        <v>mascaró</v>
      </c>
      <c r="F339" s="8"/>
      <c r="G339" s="8" t="str">
        <f t="shared" si="3"/>
        <v>1.0</v>
      </c>
      <c r="H339" s="9">
        <f t="shared" si="4"/>
        <v>1</v>
      </c>
      <c r="I339" s="6" t="str">
        <f>IFERROR(__xludf.DUMMYFUNCTION("MAX(FILTER($H:$H,$E:$E=F339))"),"#N/A")</f>
        <v>#N/A</v>
      </c>
    </row>
    <row r="340">
      <c r="C340" s="4" t="s">
        <v>5555</v>
      </c>
      <c r="D340" s="4" t="str">
        <f t="shared" si="1"/>
        <v>{"valorA":"minha","valorB":6.0}</v>
      </c>
      <c r="E340" s="8" t="str">
        <f t="shared" si="2"/>
        <v>minha</v>
      </c>
      <c r="F340" s="8"/>
      <c r="G340" s="8" t="str">
        <f t="shared" si="3"/>
        <v>6.0</v>
      </c>
      <c r="H340" s="9">
        <f t="shared" si="4"/>
        <v>6</v>
      </c>
      <c r="I340" s="6" t="str">
        <f>IFERROR(__xludf.DUMMYFUNCTION("MAX(FILTER($H:$H,$E:$E=F340))"),"#N/A")</f>
        <v>#N/A</v>
      </c>
    </row>
    <row r="341">
      <c r="C341" s="4" t="s">
        <v>790</v>
      </c>
      <c r="D341" s="4" t="str">
        <f t="shared" si="1"/>
        <v>{"valorA":"para","valorB":15.0}</v>
      </c>
      <c r="E341" s="8" t="str">
        <f t="shared" si="2"/>
        <v>para</v>
      </c>
      <c r="F341" s="8"/>
      <c r="G341" s="8" t="str">
        <f t="shared" si="3"/>
        <v>15.0</v>
      </c>
      <c r="H341" s="9">
        <f t="shared" si="4"/>
        <v>15</v>
      </c>
      <c r="I341" s="6" t="str">
        <f>IFERROR(__xludf.DUMMYFUNCTION("MAX(FILTER($H:$H,$E:$E=F341))"),"#N/A")</f>
        <v>#N/A</v>
      </c>
    </row>
    <row r="342">
      <c r="C342" s="4" t="s">
        <v>252</v>
      </c>
      <c r="D342" s="4" t="str">
        <f t="shared" si="1"/>
        <v>{"valorA":"carrinho","valorB":2.0}</v>
      </c>
      <c r="E342" s="8" t="str">
        <f t="shared" si="2"/>
        <v>carrinho</v>
      </c>
      <c r="F342" s="8"/>
      <c r="G342" s="8" t="str">
        <f t="shared" si="3"/>
        <v>2.0</v>
      </c>
      <c r="H342" s="9">
        <f t="shared" si="4"/>
        <v>2</v>
      </c>
      <c r="I342" s="6" t="str">
        <f>IFERROR(__xludf.DUMMYFUNCTION("MAX(FILTER($H:$H,$E:$E=F342))"),"#N/A")</f>
        <v>#N/A</v>
      </c>
    </row>
    <row r="343">
      <c r="C343" s="4" t="s">
        <v>5556</v>
      </c>
      <c r="D343" s="4" t="str">
        <f t="shared" si="1"/>
        <v>{"valorA":"empurrar","valorB":2.0}</v>
      </c>
      <c r="E343" s="8" t="str">
        <f t="shared" si="2"/>
        <v>empurrar</v>
      </c>
      <c r="F343" s="8"/>
      <c r="G343" s="8" t="str">
        <f t="shared" si="3"/>
        <v>2.0</v>
      </c>
      <c r="H343" s="9">
        <f t="shared" si="4"/>
        <v>2</v>
      </c>
      <c r="I343" s="6" t="str">
        <f>IFERROR(__xludf.DUMMYFUNCTION("MAX(FILTER($H:$H,$E:$E=F343))"),"#N/A")</f>
        <v>#N/A</v>
      </c>
    </row>
    <row r="344">
      <c r="C344" s="4" t="s">
        <v>1128</v>
      </c>
      <c r="D344" s="4" t="str">
        <f t="shared" si="1"/>
        <v>{"valorA":"ótima","valorB":7.0}</v>
      </c>
      <c r="E344" s="8" t="str">
        <f t="shared" si="2"/>
        <v>ótima</v>
      </c>
      <c r="F344" s="8"/>
      <c r="G344" s="8" t="str">
        <f t="shared" si="3"/>
        <v>7.0</v>
      </c>
      <c r="H344" s="9">
        <f t="shared" si="4"/>
        <v>7</v>
      </c>
      <c r="I344" s="6" t="str">
        <f>IFERROR(__xludf.DUMMYFUNCTION("MAX(FILTER($H:$H,$E:$E=F344))"),"#N/A")</f>
        <v>#N/A</v>
      </c>
    </row>
    <row r="345">
      <c r="C345" s="4" t="s">
        <v>5557</v>
      </c>
      <c r="D345" s="4" t="str">
        <f t="shared" si="1"/>
        <v>{"valorA":"quarto","valorB":1.0}</v>
      </c>
      <c r="E345" s="8" t="str">
        <f t="shared" si="2"/>
        <v>quarto</v>
      </c>
      <c r="F345" s="8"/>
      <c r="G345" s="8" t="str">
        <f t="shared" si="3"/>
        <v>1.0</v>
      </c>
      <c r="H345" s="9">
        <f t="shared" si="4"/>
        <v>1</v>
      </c>
      <c r="I345" s="6" t="str">
        <f>IFERROR(__xludf.DUMMYFUNCTION("MAX(FILTER($H:$H,$E:$E=F345))"),"#N/A")</f>
        <v>#N/A</v>
      </c>
    </row>
    <row r="346">
      <c r="C346" s="4" t="s">
        <v>1554</v>
      </c>
      <c r="D346" s="4" t="str">
        <f t="shared" si="1"/>
        <v>{"valorA":"dela","valorB":1.0}</v>
      </c>
      <c r="E346" s="8" t="str">
        <f t="shared" si="2"/>
        <v>dela</v>
      </c>
      <c r="F346" s="8"/>
      <c r="G346" s="8" t="str">
        <f t="shared" si="3"/>
        <v>1.0</v>
      </c>
      <c r="H346" s="9">
        <f t="shared" si="4"/>
        <v>1</v>
      </c>
      <c r="I346" s="6" t="str">
        <f>IFERROR(__xludf.DUMMYFUNCTION("MAX(FILTER($H:$H,$E:$E=F346))"),"#N/A")</f>
        <v>#N/A</v>
      </c>
    </row>
    <row r="347">
      <c r="C347" s="4" t="s">
        <v>826</v>
      </c>
      <c r="D347" s="4" t="str">
        <f t="shared" si="1"/>
        <v>{"valorA":"o","valorB":11.0}</v>
      </c>
      <c r="E347" s="8" t="str">
        <f t="shared" si="2"/>
        <v>o</v>
      </c>
      <c r="F347" s="8"/>
      <c r="G347" s="8" t="str">
        <f t="shared" si="3"/>
        <v>11.0</v>
      </c>
      <c r="H347" s="9">
        <f t="shared" si="4"/>
        <v>11</v>
      </c>
      <c r="I347" s="6" t="str">
        <f>IFERROR(__xludf.DUMMYFUNCTION("MAX(FILTER($H:$H,$E:$E=F347))"),"#N/A")</f>
        <v>#N/A</v>
      </c>
    </row>
    <row r="348">
      <c r="C348" s="4" t="s">
        <v>1636</v>
      </c>
      <c r="D348" s="4" t="str">
        <f t="shared" si="1"/>
        <v>{"valorA":"de","valorB":21.0}</v>
      </c>
      <c r="E348" s="8" t="str">
        <f t="shared" si="2"/>
        <v>de</v>
      </c>
      <c r="F348" s="8"/>
      <c r="G348" s="8" t="str">
        <f t="shared" si="3"/>
        <v>21.0</v>
      </c>
      <c r="H348" s="9">
        <f t="shared" si="4"/>
        <v>21</v>
      </c>
      <c r="I348" s="6" t="str">
        <f>IFERROR(__xludf.DUMMYFUNCTION("MAX(FILTER($H:$H,$E:$E=F348))"),"#N/A")</f>
        <v>#N/A</v>
      </c>
    </row>
    <row r="349">
      <c r="C349" s="4" t="s">
        <v>5558</v>
      </c>
      <c r="D349" s="4" t="str">
        <f t="shared" si="1"/>
        <v>{"valorA":"supermercado","valorB":1.0}</v>
      </c>
      <c r="E349" s="8" t="str">
        <f t="shared" si="2"/>
        <v>supermercado</v>
      </c>
      <c r="F349" s="8"/>
      <c r="G349" s="8" t="str">
        <f t="shared" si="3"/>
        <v>1.0</v>
      </c>
      <c r="H349" s="9">
        <f t="shared" si="4"/>
        <v>1</v>
      </c>
      <c r="I349" s="6" t="str">
        <f>IFERROR(__xludf.DUMMYFUNCTION("MAX(FILTER($H:$H,$E:$E=F349))"),"#N/A")</f>
        <v>#N/A</v>
      </c>
    </row>
    <row r="350">
      <c r="C350" s="4" t="s">
        <v>4903</v>
      </c>
      <c r="D350" s="4" t="str">
        <f t="shared" si="1"/>
        <v>{"valorA":"filha","valorB":1.0}</v>
      </c>
      <c r="E350" s="8" t="str">
        <f t="shared" si="2"/>
        <v>filha</v>
      </c>
      <c r="F350" s="8"/>
      <c r="G350" s="8" t="str">
        <f t="shared" si="3"/>
        <v>1.0</v>
      </c>
      <c r="H350" s="9">
        <f t="shared" si="4"/>
        <v>1</v>
      </c>
      <c r="I350" s="6" t="str">
        <f>IFERROR(__xludf.DUMMYFUNCTION("MAX(FILTER($H:$H,$E:$E=F350))"),"#N/A")</f>
        <v>#N/A</v>
      </c>
    </row>
    <row r="351">
      <c r="C351" s="4" t="s">
        <v>190</v>
      </c>
      <c r="D351" s="4" t="str">
        <f t="shared" si="1"/>
        <v>{"valorA":"gostei","valorB":1.0}</v>
      </c>
      <c r="E351" s="8" t="str">
        <f t="shared" si="2"/>
        <v>gostei</v>
      </c>
      <c r="F351" s="8"/>
      <c r="G351" s="8" t="str">
        <f t="shared" si="3"/>
        <v>1.0</v>
      </c>
      <c r="H351" s="9">
        <f t="shared" si="4"/>
        <v>1</v>
      </c>
      <c r="I351" s="6" t="str">
        <f>IFERROR(__xludf.DUMMYFUNCTION("MAX(FILTER($H:$H,$E:$E=F351))"),"#N/A")</f>
        <v>#N/A</v>
      </c>
    </row>
    <row r="352">
      <c r="C352" s="4" t="s">
        <v>394</v>
      </c>
      <c r="D352" s="4" t="str">
        <f t="shared" si="1"/>
        <v>{"valorA":"ótimo","valorB":34.0}</v>
      </c>
      <c r="E352" s="8" t="str">
        <f t="shared" si="2"/>
        <v>ótimo</v>
      </c>
      <c r="F352" s="8"/>
      <c r="G352" s="8" t="str">
        <f t="shared" si="3"/>
        <v>34.0</v>
      </c>
      <c r="H352" s="9">
        <f t="shared" si="4"/>
        <v>34</v>
      </c>
      <c r="I352" s="6" t="str">
        <f>IFERROR(__xludf.DUMMYFUNCTION("MAX(FILTER($H:$H,$E:$E=F352))"),"#N/A")</f>
        <v>#N/A</v>
      </c>
    </row>
    <row r="353">
      <c r="C353" s="4" t="s">
        <v>431</v>
      </c>
      <c r="D353" s="4" t="str">
        <f t="shared" si="1"/>
        <v>{"valorA":"fácil","valorB":3.0}</v>
      </c>
      <c r="E353" s="8" t="str">
        <f t="shared" si="2"/>
        <v>fácil</v>
      </c>
      <c r="F353" s="8"/>
      <c r="G353" s="8" t="str">
        <f t="shared" si="3"/>
        <v>3.0</v>
      </c>
      <c r="H353" s="9">
        <f t="shared" si="4"/>
        <v>3</v>
      </c>
      <c r="I353" s="6" t="str">
        <f>IFERROR(__xludf.DUMMYFUNCTION("MAX(FILTER($H:$H,$E:$E=F353))"),"#N/A")</f>
        <v>#N/A</v>
      </c>
    </row>
    <row r="354">
      <c r="C354" s="4" t="s">
        <v>5559</v>
      </c>
      <c r="D354" s="4" t="str">
        <f t="shared" si="1"/>
        <v>{"valorA":"mesa","valorB":3.0}</v>
      </c>
      <c r="E354" s="8" t="str">
        <f t="shared" si="2"/>
        <v>mesa</v>
      </c>
      <c r="F354" s="8"/>
      <c r="G354" s="8" t="str">
        <f t="shared" si="3"/>
        <v>3.0</v>
      </c>
      <c r="H354" s="9">
        <f t="shared" si="4"/>
        <v>3</v>
      </c>
      <c r="I354" s="6" t="str">
        <f>IFERROR(__xludf.DUMMYFUNCTION("MAX(FILTER($H:$H,$E:$E=F354))"),"#N/A")</f>
        <v>#N/A</v>
      </c>
    </row>
    <row r="355">
      <c r="C355" s="4" t="s">
        <v>339</v>
      </c>
      <c r="D355" s="4" t="str">
        <f t="shared" si="1"/>
        <v>{"valorA":"muito","valorB":10.0}</v>
      </c>
      <c r="E355" s="8" t="str">
        <f t="shared" si="2"/>
        <v>muito</v>
      </c>
      <c r="F355" s="8"/>
      <c r="G355" s="8" t="str">
        <f t="shared" si="3"/>
        <v>10.0</v>
      </c>
      <c r="H355" s="9">
        <f t="shared" si="4"/>
        <v>10</v>
      </c>
      <c r="I355" s="6" t="str">
        <f>IFERROR(__xludf.DUMMYFUNCTION("MAX(FILTER($H:$H,$E:$E=F355))"),"#N/A")</f>
        <v>#N/A</v>
      </c>
    </row>
    <row r="356">
      <c r="C356" s="4" t="s">
        <v>710</v>
      </c>
      <c r="D356" s="4" t="str">
        <f t="shared" si="1"/>
        <v>{"valorA":"da","valorB":3.0}</v>
      </c>
      <c r="E356" s="8" t="str">
        <f t="shared" si="2"/>
        <v>da</v>
      </c>
      <c r="F356" s="8"/>
      <c r="G356" s="8" t="str">
        <f t="shared" si="3"/>
        <v>3.0</v>
      </c>
      <c r="H356" s="9">
        <f t="shared" si="4"/>
        <v>3</v>
      </c>
      <c r="I356" s="6" t="str">
        <f>IFERROR(__xludf.DUMMYFUNCTION("MAX(FILTER($H:$H,$E:$E=F356))"),"#N/A")</f>
        <v>#N/A</v>
      </c>
    </row>
    <row r="357">
      <c r="C357" s="4" t="s">
        <v>5560</v>
      </c>
      <c r="D357" s="4" t="str">
        <f t="shared" si="1"/>
        <v>{"valorA":"minha","valorB":7.0}</v>
      </c>
      <c r="E357" s="8" t="str">
        <f t="shared" si="2"/>
        <v>minha</v>
      </c>
      <c r="F357" s="8"/>
      <c r="G357" s="8" t="str">
        <f t="shared" si="3"/>
        <v>7.0</v>
      </c>
      <c r="H357" s="9">
        <f t="shared" si="4"/>
        <v>7</v>
      </c>
      <c r="I357" s="6" t="str">
        <f>IFERROR(__xludf.DUMMYFUNCTION("MAX(FILTER($H:$H,$E:$E=F357))"),"#N/A")</f>
        <v>#N/A</v>
      </c>
    </row>
    <row r="358">
      <c r="C358" s="4" t="s">
        <v>1647</v>
      </c>
      <c r="D358" s="4" t="str">
        <f t="shared" si="1"/>
        <v>{"valorA":"para","valorB":16.0}</v>
      </c>
      <c r="E358" s="8" t="str">
        <f t="shared" si="2"/>
        <v>para</v>
      </c>
      <c r="F358" s="8"/>
      <c r="G358" s="8" t="str">
        <f t="shared" si="3"/>
        <v>16.0</v>
      </c>
      <c r="H358" s="9">
        <f t="shared" si="4"/>
        <v>16</v>
      </c>
      <c r="I358" s="6" t="str">
        <f>IFERROR(__xludf.DUMMYFUNCTION("MAX(FILTER($H:$H,$E:$E=F358))"),"#N/A")</f>
        <v>#N/A</v>
      </c>
    </row>
    <row r="359">
      <c r="C359" s="4" t="s">
        <v>5561</v>
      </c>
      <c r="D359" s="4" t="str">
        <f t="shared" si="1"/>
        <v>{"valorA":"duram","valorB":1.0}</v>
      </c>
      <c r="E359" s="8" t="str">
        <f t="shared" si="2"/>
        <v>duram</v>
      </c>
      <c r="F359" s="8"/>
      <c r="G359" s="8" t="str">
        <f t="shared" si="3"/>
        <v>1.0</v>
      </c>
      <c r="H359" s="9">
        <f t="shared" si="4"/>
        <v>1</v>
      </c>
      <c r="I359" s="6" t="str">
        <f>IFERROR(__xludf.DUMMYFUNCTION("MAX(FILTER($H:$H,$E:$E=F359))"),"#N/A")</f>
        <v>#N/A</v>
      </c>
    </row>
    <row r="360">
      <c r="C360" s="4" t="s">
        <v>693</v>
      </c>
      <c r="D360" s="4" t="str">
        <f t="shared" si="1"/>
        <v>{"valorA":"portátil","valorB":1.0}</v>
      </c>
      <c r="E360" s="8" t="str">
        <f t="shared" si="2"/>
        <v>portátil</v>
      </c>
      <c r="F360" s="8"/>
      <c r="G360" s="8" t="str">
        <f t="shared" si="3"/>
        <v>1.0</v>
      </c>
      <c r="H360" s="9">
        <f t="shared" si="4"/>
        <v>1</v>
      </c>
      <c r="I360" s="6" t="str">
        <f>IFERROR(__xludf.DUMMYFUNCTION("MAX(FILTER($H:$H,$E:$E=F360))"),"#N/A")</f>
        <v>#N/A</v>
      </c>
    </row>
    <row r="361">
      <c r="C361" s="4" t="s">
        <v>5562</v>
      </c>
      <c r="D361" s="4" t="str">
        <f t="shared" si="1"/>
        <v>{"valorA":"bemfeito","valorB":1.0}</v>
      </c>
      <c r="E361" s="8" t="str">
        <f t="shared" si="2"/>
        <v>bemfeito</v>
      </c>
      <c r="F361" s="8"/>
      <c r="G361" s="8" t="str">
        <f t="shared" si="3"/>
        <v>1.0</v>
      </c>
      <c r="H361" s="9">
        <f t="shared" si="4"/>
        <v>1</v>
      </c>
      <c r="I361" s="6" t="str">
        <f>IFERROR(__xludf.DUMMYFUNCTION("MAX(FILTER($H:$H,$E:$E=F361))"),"#N/A")</f>
        <v>#N/A</v>
      </c>
    </row>
    <row r="362">
      <c r="C362" s="4" t="s">
        <v>1435</v>
      </c>
      <c r="D362" s="4" t="str">
        <f t="shared" si="1"/>
        <v>{"valorA":"tempo","valorB":1.0}</v>
      </c>
      <c r="E362" s="8" t="str">
        <f t="shared" si="2"/>
        <v>tempo</v>
      </c>
      <c r="F362" s="8"/>
      <c r="G362" s="8" t="str">
        <f t="shared" si="3"/>
        <v>1.0</v>
      </c>
      <c r="H362" s="9">
        <f t="shared" si="4"/>
        <v>1</v>
      </c>
      <c r="I362" s="6" t="str">
        <f>IFERROR(__xludf.DUMMYFUNCTION("MAX(FILTER($H:$H,$E:$E=F362))"),"#N/A")</f>
        <v>#N/A</v>
      </c>
    </row>
    <row r="363">
      <c r="C363" s="4" t="s">
        <v>1005</v>
      </c>
      <c r="D363" s="4" t="str">
        <f t="shared" si="1"/>
        <v>{"valorA":"rádio","valorB":1.0}</v>
      </c>
      <c r="E363" s="8" t="str">
        <f t="shared" si="2"/>
        <v>rádio</v>
      </c>
      <c r="F363" s="8"/>
      <c r="G363" s="8" t="str">
        <f t="shared" si="3"/>
        <v>1.0</v>
      </c>
      <c r="H363" s="9">
        <f t="shared" si="4"/>
        <v>1</v>
      </c>
      <c r="I363" s="6" t="str">
        <f>IFERROR(__xludf.DUMMYFUNCTION("MAX(FILTER($H:$H,$E:$E=F363))"),"#N/A")</f>
        <v>#N/A</v>
      </c>
    </row>
    <row r="364">
      <c r="C364" s="4" t="s">
        <v>1610</v>
      </c>
      <c r="D364" s="4" t="str">
        <f t="shared" si="1"/>
        <v>{"valorA":"quiserem","valorB":1.0}</v>
      </c>
      <c r="E364" s="8" t="str">
        <f t="shared" si="2"/>
        <v>quiserem</v>
      </c>
      <c r="F364" s="8"/>
      <c r="G364" s="8" t="str">
        <f t="shared" si="3"/>
        <v>1.0</v>
      </c>
      <c r="H364" s="9">
        <f t="shared" si="4"/>
        <v>1</v>
      </c>
      <c r="I364" s="6" t="str">
        <f>IFERROR(__xludf.DUMMYFUNCTION("MAX(FILTER($H:$H,$E:$E=F364))"),"#N/A")</f>
        <v>#N/A</v>
      </c>
    </row>
    <row r="365">
      <c r="C365" s="4" t="s">
        <v>5563</v>
      </c>
      <c r="D365" s="4" t="str">
        <f t="shared" si="1"/>
        <v>{"valorA":"baterias","valorB":1.0}</v>
      </c>
      <c r="E365" s="8" t="str">
        <f t="shared" si="2"/>
        <v>baterias</v>
      </c>
      <c r="F365" s="8"/>
      <c r="G365" s="8" t="str">
        <f t="shared" si="3"/>
        <v>1.0</v>
      </c>
      <c r="H365" s="9">
        <f t="shared" si="4"/>
        <v>1</v>
      </c>
      <c r="I365" s="6" t="str">
        <f>IFERROR(__xludf.DUMMYFUNCTION("MAX(FILTER($H:$H,$E:$E=F365))"),"#N/A")</f>
        <v>#N/A</v>
      </c>
    </row>
    <row r="366">
      <c r="C366" s="4" t="s">
        <v>5564</v>
      </c>
      <c r="D366" s="4" t="str">
        <f t="shared" si="1"/>
        <v>{"valorA":"aparelho","valorB":7.0}</v>
      </c>
      <c r="E366" s="8" t="str">
        <f t="shared" si="2"/>
        <v>aparelho</v>
      </c>
      <c r="F366" s="8"/>
      <c r="G366" s="8" t="str">
        <f t="shared" si="3"/>
        <v>7.0</v>
      </c>
      <c r="H366" s="9">
        <f t="shared" si="4"/>
        <v>7</v>
      </c>
      <c r="I366" s="6" t="str">
        <f>IFERROR(__xludf.DUMMYFUNCTION("MAX(FILTER($H:$H,$E:$E=F366))"),"#N/A")</f>
        <v>#N/A</v>
      </c>
    </row>
    <row r="367">
      <c r="C367" s="4" t="s">
        <v>746</v>
      </c>
      <c r="D367" s="4" t="str">
        <f t="shared" si="1"/>
        <v>{"valorA":"que","valorB":6.0}</v>
      </c>
      <c r="E367" s="8" t="str">
        <f t="shared" si="2"/>
        <v>que</v>
      </c>
      <c r="F367" s="8"/>
      <c r="G367" s="8" t="str">
        <f t="shared" si="3"/>
        <v>6.0</v>
      </c>
      <c r="H367" s="9">
        <f t="shared" si="4"/>
        <v>6</v>
      </c>
      <c r="I367" s="6" t="str">
        <f>IFERROR(__xludf.DUMMYFUNCTION("MAX(FILTER($H:$H,$E:$E=F367))"),"#N/A")</f>
        <v>#N/A</v>
      </c>
    </row>
    <row r="368">
      <c r="C368" s="4" t="s">
        <v>1611</v>
      </c>
      <c r="D368" s="4" t="str">
        <f t="shared" si="1"/>
        <v>{"valorA":"aqueles","valorB":2.0}</v>
      </c>
      <c r="E368" s="8" t="str">
        <f t="shared" si="2"/>
        <v>aqueles</v>
      </c>
      <c r="F368" s="8"/>
      <c r="G368" s="8" t="str">
        <f t="shared" si="3"/>
        <v>2.0</v>
      </c>
      <c r="H368" s="9">
        <f t="shared" si="4"/>
        <v>2</v>
      </c>
      <c r="I368" s="6" t="str">
        <f>IFERROR(__xludf.DUMMYFUNCTION("MAX(FILTER($H:$H,$E:$E=F368))"),"#N/A")</f>
        <v>#N/A</v>
      </c>
    </row>
    <row r="369">
      <c r="C369" s="4" t="s">
        <v>585</v>
      </c>
      <c r="D369" s="4" t="str">
        <f t="shared" si="1"/>
        <v>{"valorA":"produto","valorB":3.0}</v>
      </c>
      <c r="E369" s="8" t="str">
        <f t="shared" si="2"/>
        <v>produto</v>
      </c>
      <c r="F369" s="8"/>
      <c r="G369" s="8" t="str">
        <f t="shared" si="3"/>
        <v>3.0</v>
      </c>
      <c r="H369" s="9">
        <f t="shared" si="4"/>
        <v>3</v>
      </c>
      <c r="I369" s="6" t="str">
        <f>IFERROR(__xludf.DUMMYFUNCTION("MAX(FILTER($H:$H,$E:$E=F369))"),"#N/A")</f>
        <v>#N/A</v>
      </c>
    </row>
    <row r="370">
      <c r="C370" s="4" t="s">
        <v>414</v>
      </c>
      <c r="D370" s="4" t="str">
        <f t="shared" si="1"/>
        <v>{"valorA":"ótimo","valorB":36.0}</v>
      </c>
      <c r="E370" s="8" t="str">
        <f t="shared" si="2"/>
        <v>ótimo</v>
      </c>
      <c r="F370" s="8"/>
      <c r="G370" s="8" t="str">
        <f t="shared" si="3"/>
        <v>36.0</v>
      </c>
      <c r="H370" s="9">
        <f t="shared" si="4"/>
        <v>36</v>
      </c>
      <c r="I370" s="6" t="str">
        <f>IFERROR(__xludf.DUMMYFUNCTION("MAX(FILTER($H:$H,$E:$E=F370))"),"#N/A")</f>
        <v>#N/A</v>
      </c>
    </row>
    <row r="371">
      <c r="C371" s="4" t="s">
        <v>358</v>
      </c>
      <c r="D371" s="4" t="str">
        <f t="shared" si="1"/>
        <v>{"valorA":"muito","valorB":11.0}</v>
      </c>
      <c r="E371" s="8" t="str">
        <f t="shared" si="2"/>
        <v>muito</v>
      </c>
      <c r="F371" s="8"/>
      <c r="G371" s="8" t="str">
        <f t="shared" si="3"/>
        <v>11.0</v>
      </c>
      <c r="H371" s="9">
        <f t="shared" si="4"/>
        <v>11</v>
      </c>
      <c r="I371" s="6" t="str">
        <f>IFERROR(__xludf.DUMMYFUNCTION("MAX(FILTER($H:$H,$E:$E=F371))"),"#N/A")</f>
        <v>#N/A</v>
      </c>
    </row>
    <row r="372">
      <c r="C372" s="4" t="s">
        <v>686</v>
      </c>
      <c r="D372" s="4" t="str">
        <f t="shared" si="1"/>
        <v>{"valorA":"um","valorB":4.0}</v>
      </c>
      <c r="E372" s="8" t="str">
        <f t="shared" si="2"/>
        <v>um</v>
      </c>
      <c r="F372" s="8"/>
      <c r="G372" s="8" t="str">
        <f t="shared" si="3"/>
        <v>4.0</v>
      </c>
      <c r="H372" s="9">
        <f t="shared" si="4"/>
        <v>4</v>
      </c>
      <c r="I372" s="6" t="str">
        <f>IFERROR(__xludf.DUMMYFUNCTION("MAX(FILTER($H:$H,$E:$E=F372))"),"#N/A")</f>
        <v>#N/A</v>
      </c>
    </row>
    <row r="373">
      <c r="C373" s="4" t="s">
        <v>1182</v>
      </c>
      <c r="D373" s="4" t="str">
        <f t="shared" si="1"/>
        <v>{"valorA":"muita","valorB":2.0}</v>
      </c>
      <c r="E373" s="8" t="str">
        <f t="shared" si="2"/>
        <v>muita</v>
      </c>
      <c r="F373" s="8"/>
      <c r="G373" s="8" t="str">
        <f t="shared" si="3"/>
        <v>2.0</v>
      </c>
      <c r="H373" s="9">
        <f t="shared" si="4"/>
        <v>2</v>
      </c>
      <c r="I373" s="6" t="str">
        <f>IFERROR(__xludf.DUMMYFUNCTION("MAX(FILTER($H:$H,$E:$E=F373))"),"#N/A")</f>
        <v>#N/A</v>
      </c>
    </row>
    <row r="374">
      <c r="C374" s="4" t="s">
        <v>5565</v>
      </c>
      <c r="D374" s="4" t="str">
        <f t="shared" si="1"/>
        <v>{"valorA":"água","valorB":3.0}</v>
      </c>
      <c r="E374" s="8" t="str">
        <f t="shared" si="2"/>
        <v>água</v>
      </c>
      <c r="F374" s="8"/>
      <c r="G374" s="8" t="str">
        <f t="shared" si="3"/>
        <v>3.0</v>
      </c>
      <c r="H374" s="9">
        <f t="shared" si="4"/>
        <v>3</v>
      </c>
      <c r="I374" s="6" t="str">
        <f>IFERROR(__xludf.DUMMYFUNCTION("MAX(FILTER($H:$H,$E:$E=F374))"),"#N/A")</f>
        <v>#N/A</v>
      </c>
    </row>
    <row r="375">
      <c r="C375" s="4" t="s">
        <v>1062</v>
      </c>
      <c r="D375" s="4" t="str">
        <f t="shared" si="1"/>
        <v>{"valorA":"com","valorB":8.0}</v>
      </c>
      <c r="E375" s="8" t="str">
        <f t="shared" si="2"/>
        <v>com</v>
      </c>
      <c r="F375" s="8"/>
      <c r="G375" s="8" t="str">
        <f t="shared" si="3"/>
        <v>8.0</v>
      </c>
      <c r="H375" s="9">
        <f t="shared" si="4"/>
        <v>8</v>
      </c>
      <c r="I375" s="6" t="str">
        <f>IFERROR(__xludf.DUMMYFUNCTION("MAX(FILTER($H:$H,$E:$E=F375))"),"#N/A")</f>
        <v>#N/A</v>
      </c>
    </row>
    <row r="376">
      <c r="C376" s="4" t="s">
        <v>1558</v>
      </c>
      <c r="D376" s="4" t="str">
        <f t="shared" si="1"/>
        <v>{"valorA":"trago","valorB":1.0}</v>
      </c>
      <c r="E376" s="8" t="str">
        <f t="shared" si="2"/>
        <v>trago</v>
      </c>
      <c r="F376" s="8"/>
      <c r="G376" s="8" t="str">
        <f t="shared" si="3"/>
        <v>1.0</v>
      </c>
      <c r="H376" s="9">
        <f t="shared" si="4"/>
        <v>1</v>
      </c>
      <c r="I376" s="6" t="str">
        <f>IFERROR(__xludf.DUMMYFUNCTION("MAX(FILTER($H:$H,$E:$E=F376))"),"#N/A")</f>
        <v>#N/A</v>
      </c>
    </row>
    <row r="377">
      <c r="C377" s="4" t="s">
        <v>5566</v>
      </c>
      <c r="D377" s="4" t="str">
        <f t="shared" si="1"/>
        <v>{"valorA":"lavabo","valorB":2.0}</v>
      </c>
      <c r="E377" s="8" t="str">
        <f t="shared" si="2"/>
        <v>lavabo</v>
      </c>
      <c r="F377" s="8"/>
      <c r="G377" s="8" t="str">
        <f t="shared" si="3"/>
        <v>2.0</v>
      </c>
      <c r="H377" s="9">
        <f t="shared" si="4"/>
        <v>2</v>
      </c>
      <c r="I377" s="6" t="str">
        <f>IFERROR(__xludf.DUMMYFUNCTION("MAX(FILTER($H:$H,$E:$E=F377))"),"#N/A")</f>
        <v>#N/A</v>
      </c>
    </row>
    <row r="378">
      <c r="C378" s="4" t="s">
        <v>371</v>
      </c>
      <c r="D378" s="4" t="str">
        <f t="shared" si="1"/>
        <v>{"valorA":"e","valorB":6.0}</v>
      </c>
      <c r="E378" s="8" t="str">
        <f t="shared" si="2"/>
        <v>e</v>
      </c>
      <c r="F378" s="8"/>
      <c r="G378" s="8" t="str">
        <f t="shared" si="3"/>
        <v>6.0</v>
      </c>
      <c r="H378" s="9">
        <f t="shared" si="4"/>
        <v>6</v>
      </c>
      <c r="I378" s="6" t="str">
        <f>IFERROR(__xludf.DUMMYFUNCTION("MAX(FILTER($H:$H,$E:$E=F378))"),"#N/A")</f>
        <v>#N/A</v>
      </c>
    </row>
    <row r="379">
      <c r="C379" s="4" t="s">
        <v>5567</v>
      </c>
      <c r="D379" s="4" t="str">
        <f t="shared" si="1"/>
        <v>{"valorA":"facilidade","valorB":1.0}</v>
      </c>
      <c r="E379" s="8" t="str">
        <f t="shared" si="2"/>
        <v>facilidade</v>
      </c>
      <c r="F379" s="8"/>
      <c r="G379" s="8" t="str">
        <f t="shared" si="3"/>
        <v>1.0</v>
      </c>
      <c r="H379" s="9">
        <f t="shared" si="4"/>
        <v>1</v>
      </c>
      <c r="I379" s="6" t="str">
        <f>IFERROR(__xludf.DUMMYFUNCTION("MAX(FILTER($H:$H,$E:$E=F379))"),"#N/A")</f>
        <v>#N/A</v>
      </c>
    </row>
    <row r="380">
      <c r="C380" s="4" t="s">
        <v>722</v>
      </c>
      <c r="D380" s="4" t="str">
        <f t="shared" si="1"/>
        <v>{"valorA":"limpa","valorB":1.0}</v>
      </c>
      <c r="E380" s="8" t="str">
        <f t="shared" si="2"/>
        <v>limpa</v>
      </c>
      <c r="F380" s="8"/>
      <c r="G380" s="8" t="str">
        <f t="shared" si="3"/>
        <v>1.0</v>
      </c>
      <c r="H380" s="9">
        <f t="shared" si="4"/>
        <v>1</v>
      </c>
      <c r="I380" s="6" t="str">
        <f>IFERROR(__xludf.DUMMYFUNCTION("MAX(FILTER($H:$H,$E:$E=F380))"),"#N/A")</f>
        <v>#N/A</v>
      </c>
    </row>
    <row r="381">
      <c r="C381" s="4" t="s">
        <v>784</v>
      </c>
      <c r="D381" s="4" t="str">
        <f t="shared" si="1"/>
        <v>{"valorA":"ótimo","valorB":37.0}</v>
      </c>
      <c r="E381" s="8" t="str">
        <f t="shared" si="2"/>
        <v>ótimo</v>
      </c>
      <c r="F381" s="8"/>
      <c r="G381" s="8" t="str">
        <f t="shared" si="3"/>
        <v>37.0</v>
      </c>
      <c r="H381" s="9">
        <f t="shared" si="4"/>
        <v>37</v>
      </c>
      <c r="I381" s="6" t="str">
        <f>IFERROR(__xludf.DUMMYFUNCTION("MAX(FILTER($H:$H,$E:$E=F381))"),"#N/A")</f>
        <v>#N/A</v>
      </c>
    </row>
    <row r="382">
      <c r="C382" s="4" t="s">
        <v>5568</v>
      </c>
      <c r="D382" s="4" t="str">
        <f t="shared" si="1"/>
        <v>{"valorA":"tudo","valorB":2.0}</v>
      </c>
      <c r="E382" s="8" t="str">
        <f t="shared" si="2"/>
        <v>tudo</v>
      </c>
      <c r="F382" s="8"/>
      <c r="G382" s="8" t="str">
        <f t="shared" si="3"/>
        <v>2.0</v>
      </c>
      <c r="H382" s="9">
        <f t="shared" si="4"/>
        <v>2</v>
      </c>
      <c r="I382" s="6" t="str">
        <f>IFERROR(__xludf.DUMMYFUNCTION("MAX(FILTER($H:$H,$E:$E=F382))"),"#N/A")</f>
        <v>#N/A</v>
      </c>
    </row>
    <row r="383">
      <c r="C383" s="4" t="s">
        <v>4925</v>
      </c>
      <c r="D383" s="4" t="str">
        <f t="shared" si="1"/>
        <v>{"valorA":"para","valorB":17.0}</v>
      </c>
      <c r="E383" s="8" t="str">
        <f t="shared" si="2"/>
        <v>para</v>
      </c>
      <c r="F383" s="8"/>
      <c r="G383" s="8" t="str">
        <f t="shared" si="3"/>
        <v>17.0</v>
      </c>
      <c r="H383" s="9">
        <f t="shared" si="4"/>
        <v>17</v>
      </c>
      <c r="I383" s="6" t="str">
        <f>IFERROR(__xludf.DUMMYFUNCTION("MAX(FILTER($H:$H,$E:$E=F383))"),"#N/A")</f>
        <v>#N/A</v>
      </c>
    </row>
    <row r="384">
      <c r="C384" s="4" t="s">
        <v>850</v>
      </c>
      <c r="D384" s="4" t="str">
        <f t="shared" si="1"/>
        <v>{"valorA":"comentário","valorB":2.0}</v>
      </c>
      <c r="E384" s="8" t="str">
        <f t="shared" si="2"/>
        <v>comentário</v>
      </c>
      <c r="F384" s="8"/>
      <c r="G384" s="8" t="str">
        <f t="shared" si="3"/>
        <v>2.0</v>
      </c>
      <c r="H384" s="9">
        <f t="shared" si="4"/>
        <v>2</v>
      </c>
      <c r="I384" s="6" t="str">
        <f>IFERROR(__xludf.DUMMYFUNCTION("MAX(FILTER($H:$H,$E:$E=F384))"),"#N/A")</f>
        <v>#N/A</v>
      </c>
    </row>
    <row r="385">
      <c r="C385" s="4" t="s">
        <v>491</v>
      </c>
      <c r="D385" s="4" t="str">
        <f t="shared" si="1"/>
        <v>{"valorA":"recomendo","valorB":7.0}</v>
      </c>
      <c r="E385" s="8" t="str">
        <f t="shared" si="2"/>
        <v>recomendo</v>
      </c>
      <c r="F385" s="8"/>
      <c r="G385" s="8" t="str">
        <f t="shared" si="3"/>
        <v>7.0</v>
      </c>
      <c r="H385" s="9">
        <f t="shared" si="4"/>
        <v>7</v>
      </c>
      <c r="I385" s="6" t="str">
        <f>IFERROR(__xludf.DUMMYFUNCTION("MAX(FILTER($H:$H,$E:$E=F385))"),"#N/A")</f>
        <v>#N/A</v>
      </c>
    </row>
    <row r="386">
      <c r="C386" s="4" t="s">
        <v>1055</v>
      </c>
      <c r="D386" s="4" t="str">
        <f t="shared" si="1"/>
        <v>{"valorA":"dia","valorB":1.0}</v>
      </c>
      <c r="E386" s="8" t="str">
        <f t="shared" si="2"/>
        <v>dia</v>
      </c>
      <c r="F386" s="8"/>
      <c r="G386" s="8" t="str">
        <f t="shared" si="3"/>
        <v>1.0</v>
      </c>
      <c r="H386" s="9">
        <f t="shared" si="4"/>
        <v>1</v>
      </c>
      <c r="I386" s="6" t="str">
        <f>IFERROR(__xludf.DUMMYFUNCTION("MAX(FILTER($H:$H,$E:$E=F386))"),"#N/A")</f>
        <v>#N/A</v>
      </c>
    </row>
    <row r="387">
      <c r="C387" s="4" t="s">
        <v>5569</v>
      </c>
      <c r="D387" s="4" t="str">
        <f t="shared" si="1"/>
        <v>{"valorA":"headset","valorB":1.0}</v>
      </c>
      <c r="E387" s="8" t="str">
        <f t="shared" si="2"/>
        <v>headset</v>
      </c>
      <c r="F387" s="8"/>
      <c r="G387" s="8" t="str">
        <f t="shared" si="3"/>
        <v>1.0</v>
      </c>
      <c r="H387" s="9">
        <f t="shared" si="4"/>
        <v>1</v>
      </c>
      <c r="I387" s="6" t="str">
        <f>IFERROR(__xludf.DUMMYFUNCTION("MAX(FILTER($H:$H,$E:$E=F387))"),"#N/A")</f>
        <v>#N/A</v>
      </c>
    </row>
    <row r="388">
      <c r="C388" s="4" t="s">
        <v>5570</v>
      </c>
      <c r="D388" s="4" t="str">
        <f t="shared" si="1"/>
        <v>{"valorA":"tipo","valorB":1.0}</v>
      </c>
      <c r="E388" s="8" t="str">
        <f t="shared" si="2"/>
        <v>tipo</v>
      </c>
      <c r="F388" s="8"/>
      <c r="G388" s="8" t="str">
        <f t="shared" si="3"/>
        <v>1.0</v>
      </c>
      <c r="H388" s="9">
        <f t="shared" si="4"/>
        <v>1</v>
      </c>
      <c r="I388" s="6" t="str">
        <f>IFERROR(__xludf.DUMMYFUNCTION("MAX(FILTER($H:$H,$E:$E=F388))"),"#N/A")</f>
        <v>#N/A</v>
      </c>
    </row>
    <row r="389">
      <c r="C389" s="4" t="s">
        <v>5571</v>
      </c>
      <c r="D389" s="4" t="str">
        <f t="shared" si="1"/>
        <v>{"valorA":"bluetooth","valorB":2.0}</v>
      </c>
      <c r="E389" s="8" t="str">
        <f t="shared" si="2"/>
        <v>bluetooth</v>
      </c>
      <c r="F389" s="8"/>
      <c r="G389" s="8" t="str">
        <f t="shared" si="3"/>
        <v>2.0</v>
      </c>
      <c r="H389" s="9">
        <f t="shared" si="4"/>
        <v>2</v>
      </c>
      <c r="I389" s="6" t="str">
        <f>IFERROR(__xludf.DUMMYFUNCTION("MAX(FILTER($H:$H,$E:$E=F389))"),"#N/A")</f>
        <v>#N/A</v>
      </c>
    </row>
    <row r="390">
      <c r="C390" s="4" t="s">
        <v>308</v>
      </c>
      <c r="D390" s="4" t="str">
        <f t="shared" si="1"/>
        <v>{"valorA":"bem","valorB":5.0}</v>
      </c>
      <c r="E390" s="8" t="str">
        <f t="shared" si="2"/>
        <v>bem</v>
      </c>
      <c r="F390" s="8"/>
      <c r="G390" s="8" t="str">
        <f t="shared" si="3"/>
        <v>5.0</v>
      </c>
      <c r="H390" s="9">
        <f t="shared" si="4"/>
        <v>5</v>
      </c>
      <c r="I390" s="6" t="str">
        <f>IFERROR(__xludf.DUMMYFUNCTION("MAX(FILTER($H:$H,$E:$E=F390))"),"#N/A")</f>
        <v>#N/A</v>
      </c>
    </row>
    <row r="391">
      <c r="C391" s="4" t="s">
        <v>1450</v>
      </c>
      <c r="D391" s="4" t="str">
        <f t="shared" si="1"/>
        <v>{"valorA":"quem","valorB":5.0}</v>
      </c>
      <c r="E391" s="8" t="str">
        <f t="shared" si="2"/>
        <v>quem</v>
      </c>
      <c r="F391" s="8"/>
      <c r="G391" s="8" t="str">
        <f t="shared" si="3"/>
        <v>5.0</v>
      </c>
      <c r="H391" s="9">
        <f t="shared" si="4"/>
        <v>5</v>
      </c>
      <c r="I391" s="6" t="str">
        <f>IFERROR(__xludf.DUMMYFUNCTION("MAX(FILTER($H:$H,$E:$E=F391))"),"#N/A")</f>
        <v>#N/A</v>
      </c>
    </row>
    <row r="392">
      <c r="C392" s="4" t="s">
        <v>855</v>
      </c>
      <c r="D392" s="4" t="str">
        <f t="shared" si="1"/>
        <v>{"valorA":"o","valorB":12.0}</v>
      </c>
      <c r="E392" s="8" t="str">
        <f t="shared" si="2"/>
        <v>o</v>
      </c>
      <c r="F392" s="8"/>
      <c r="G392" s="8" t="str">
        <f t="shared" si="3"/>
        <v>12.0</v>
      </c>
      <c r="H392" s="9">
        <f t="shared" si="4"/>
        <v>12</v>
      </c>
      <c r="I392" s="6" t="str">
        <f>IFERROR(__xludf.DUMMYFUNCTION("MAX(FILTER($H:$H,$E:$E=F392))"),"#N/A")</f>
        <v>#N/A</v>
      </c>
    </row>
    <row r="393">
      <c r="C393" s="4" t="s">
        <v>611</v>
      </c>
      <c r="D393" s="4" t="str">
        <f t="shared" si="1"/>
        <v>{"valorA":"procura","valorB":1.0}</v>
      </c>
      <c r="E393" s="8" t="str">
        <f t="shared" si="2"/>
        <v>procura</v>
      </c>
      <c r="F393" s="8"/>
      <c r="G393" s="8" t="str">
        <f t="shared" si="3"/>
        <v>1.0</v>
      </c>
      <c r="H393" s="9">
        <f t="shared" si="4"/>
        <v>1</v>
      </c>
      <c r="I393" s="6" t="str">
        <f>IFERROR(__xludf.DUMMYFUNCTION("MAX(FILTER($H:$H,$E:$E=F393))"),"#N/A")</f>
        <v>#N/A</v>
      </c>
    </row>
    <row r="394">
      <c r="C394" s="4" t="s">
        <v>1059</v>
      </c>
      <c r="D394" s="4" t="str">
        <f t="shared" si="1"/>
        <v>{"valorA":"desde","valorB":3.0}</v>
      </c>
      <c r="E394" s="8" t="str">
        <f t="shared" si="2"/>
        <v>desde</v>
      </c>
      <c r="F394" s="8"/>
      <c r="G394" s="8" t="str">
        <f t="shared" si="3"/>
        <v>3.0</v>
      </c>
      <c r="H394" s="9">
        <f t="shared" si="4"/>
        <v>3</v>
      </c>
      <c r="I394" s="6" t="str">
        <f>IFERROR(__xludf.DUMMYFUNCTION("MAX(FILTER($H:$H,$E:$E=F394))"),"#N/A")</f>
        <v>#N/A</v>
      </c>
    </row>
    <row r="395">
      <c r="C395" s="4" t="s">
        <v>5572</v>
      </c>
      <c r="D395" s="4" t="str">
        <f t="shared" si="1"/>
        <v>{"valorA":"aparelho","valorB":8.0}</v>
      </c>
      <c r="E395" s="8" t="str">
        <f t="shared" si="2"/>
        <v>aparelho</v>
      </c>
      <c r="F395" s="8"/>
      <c r="G395" s="8" t="str">
        <f t="shared" si="3"/>
        <v>8.0</v>
      </c>
      <c r="H395" s="9">
        <f t="shared" si="4"/>
        <v>8</v>
      </c>
      <c r="I395" s="6" t="str">
        <f>IFERROR(__xludf.DUMMYFUNCTION("MAX(FILTER($H:$H,$E:$E=F395))"),"#N/A")</f>
        <v>#N/A</v>
      </c>
    </row>
    <row r="396">
      <c r="C396" s="4" t="s">
        <v>604</v>
      </c>
      <c r="D396" s="4" t="str">
        <f t="shared" si="1"/>
        <v>{"valorA":"produto","valorB":5.0}</v>
      </c>
      <c r="E396" s="8" t="str">
        <f t="shared" si="2"/>
        <v>produto</v>
      </c>
      <c r="F396" s="8"/>
      <c r="G396" s="8" t="str">
        <f t="shared" si="3"/>
        <v>5.0</v>
      </c>
      <c r="H396" s="9">
        <f t="shared" si="4"/>
        <v>5</v>
      </c>
      <c r="I396" s="6" t="str">
        <f>IFERROR(__xludf.DUMMYFUNCTION("MAX(FILTER($H:$H,$E:$E=F396))"),"#N/A")</f>
        <v>#N/A</v>
      </c>
    </row>
    <row r="397">
      <c r="C397" s="4" t="s">
        <v>806</v>
      </c>
      <c r="D397" s="4" t="str">
        <f t="shared" si="1"/>
        <v>{"valorA":"ótimo","valorB":40.0}</v>
      </c>
      <c r="E397" s="8" t="str">
        <f t="shared" si="2"/>
        <v>ótimo</v>
      </c>
      <c r="F397" s="8"/>
      <c r="G397" s="8" t="str">
        <f t="shared" si="3"/>
        <v>40.0</v>
      </c>
      <c r="H397" s="9">
        <f t="shared" si="4"/>
        <v>40</v>
      </c>
      <c r="I397" s="6" t="str">
        <f>IFERROR(__xludf.DUMMYFUNCTION("MAX(FILTER($H:$H,$E:$E=F397))"),"#N/A")</f>
        <v>#N/A</v>
      </c>
    </row>
    <row r="398">
      <c r="C398" s="4" t="s">
        <v>287</v>
      </c>
      <c r="D398" s="4" t="str">
        <f t="shared" si="1"/>
        <v>{"valorA":"perfeitamente","valorB":4.0}</v>
      </c>
      <c r="E398" s="8" t="str">
        <f t="shared" si="2"/>
        <v>perfeitamente</v>
      </c>
      <c r="F398" s="8"/>
      <c r="G398" s="8" t="str">
        <f t="shared" si="3"/>
        <v>4.0</v>
      </c>
      <c r="H398" s="9">
        <f t="shared" si="4"/>
        <v>4</v>
      </c>
      <c r="I398" s="6" t="str">
        <f>IFERROR(__xludf.DUMMYFUNCTION("MAX(FILTER($H:$H,$E:$E=F398))"),"#N/A")</f>
        <v>#N/A</v>
      </c>
    </row>
    <row r="399">
      <c r="C399" s="4" t="s">
        <v>377</v>
      </c>
      <c r="D399" s="4" t="str">
        <f t="shared" si="1"/>
        <v>{"valorA":"muito","valorB":12.0}</v>
      </c>
      <c r="E399" s="8" t="str">
        <f t="shared" si="2"/>
        <v>muito</v>
      </c>
      <c r="F399" s="8"/>
      <c r="G399" s="8" t="str">
        <f t="shared" si="3"/>
        <v>12.0</v>
      </c>
      <c r="H399" s="9">
        <f t="shared" si="4"/>
        <v>12</v>
      </c>
      <c r="I399" s="6" t="str">
        <f>IFERROR(__xludf.DUMMYFUNCTION("MAX(FILTER($H:$H,$E:$E=F399))"),"#N/A")</f>
        <v>#N/A</v>
      </c>
    </row>
    <row r="400">
      <c r="C400" s="4" t="s">
        <v>341</v>
      </c>
      <c r="D400" s="4" t="str">
        <f t="shared" si="1"/>
        <v>{"valorA":"compra","valorB":2.0}</v>
      </c>
      <c r="E400" s="8" t="str">
        <f t="shared" si="2"/>
        <v>compra</v>
      </c>
      <c r="F400" s="8"/>
      <c r="G400" s="8" t="str">
        <f t="shared" si="3"/>
        <v>2.0</v>
      </c>
      <c r="H400" s="9">
        <f t="shared" si="4"/>
        <v>2</v>
      </c>
      <c r="I400" s="6" t="str">
        <f>IFERROR(__xludf.DUMMYFUNCTION("MAX(FILTER($H:$H,$E:$E=F400))"),"#N/A")</f>
        <v>#N/A</v>
      </c>
    </row>
    <row r="401">
      <c r="C401" s="4" t="s">
        <v>231</v>
      </c>
      <c r="D401" s="4" t="str">
        <f t="shared" si="1"/>
        <v>{"valorA":"desse","valorB":2.0}</v>
      </c>
      <c r="E401" s="8" t="str">
        <f t="shared" si="2"/>
        <v>desse</v>
      </c>
      <c r="F401" s="8"/>
      <c r="G401" s="8" t="str">
        <f t="shared" si="3"/>
        <v>2.0</v>
      </c>
      <c r="H401" s="9">
        <f t="shared" si="4"/>
        <v>2</v>
      </c>
      <c r="I401" s="6" t="str">
        <f>IFERROR(__xludf.DUMMYFUNCTION("MAX(FILTER($H:$H,$E:$E=F401))"),"#N/A")</f>
        <v>#N/A</v>
      </c>
    </row>
    <row r="402">
      <c r="C402" s="4" t="s">
        <v>343</v>
      </c>
      <c r="D402" s="4" t="str">
        <f t="shared" si="1"/>
        <v>{"valorA":"funciona","valorB":7.0}</v>
      </c>
      <c r="E402" s="8" t="str">
        <f t="shared" si="2"/>
        <v>funciona</v>
      </c>
      <c r="F402" s="8"/>
      <c r="G402" s="8" t="str">
        <f t="shared" si="3"/>
        <v>7.0</v>
      </c>
      <c r="H402" s="9">
        <f t="shared" si="4"/>
        <v>7</v>
      </c>
      <c r="I402" s="6" t="str">
        <f>IFERROR(__xludf.DUMMYFUNCTION("MAX(FILTER($H:$H,$E:$E=F402))"),"#N/A")</f>
        <v>#N/A</v>
      </c>
    </row>
    <row r="403">
      <c r="C403" s="4" t="s">
        <v>718</v>
      </c>
      <c r="D403" s="4" t="str">
        <f t="shared" si="1"/>
        <v>{"valorA":"um","valorB":5.0}</v>
      </c>
      <c r="E403" s="8" t="str">
        <f t="shared" si="2"/>
        <v>um</v>
      </c>
      <c r="F403" s="8"/>
      <c r="G403" s="8" t="str">
        <f t="shared" si="3"/>
        <v>5.0</v>
      </c>
      <c r="H403" s="9">
        <f t="shared" si="4"/>
        <v>5</v>
      </c>
      <c r="I403" s="6" t="str">
        <f>IFERROR(__xludf.DUMMYFUNCTION("MAX(FILTER($H:$H,$E:$E=F403))"),"#N/A")</f>
        <v>#N/A</v>
      </c>
    </row>
    <row r="404">
      <c r="C404" s="4" t="s">
        <v>5573</v>
      </c>
      <c r="D404" s="4" t="str">
        <f t="shared" si="1"/>
        <v>{"valorA":"da","valorB":4.0}</v>
      </c>
      <c r="E404" s="8" t="str">
        <f t="shared" si="2"/>
        <v>da</v>
      </c>
      <c r="F404" s="8"/>
      <c r="G404" s="8" t="str">
        <f t="shared" si="3"/>
        <v>4.0</v>
      </c>
      <c r="H404" s="9">
        <f t="shared" si="4"/>
        <v>4</v>
      </c>
      <c r="I404" s="6" t="str">
        <f>IFERROR(__xludf.DUMMYFUNCTION("MAX(FILTER($H:$H,$E:$E=F404))"),"#N/A")</f>
        <v>#N/A</v>
      </c>
    </row>
    <row r="405">
      <c r="C405" s="4" t="s">
        <v>444</v>
      </c>
      <c r="D405" s="4" t="str">
        <f t="shared" si="1"/>
        <v>{"valorA":"ótimo","valorB":41.0}</v>
      </c>
      <c r="E405" s="8" t="str">
        <f t="shared" si="2"/>
        <v>ótimo</v>
      </c>
      <c r="F405" s="8"/>
      <c r="G405" s="8" t="str">
        <f t="shared" si="3"/>
        <v>41.0</v>
      </c>
      <c r="H405" s="9">
        <f t="shared" si="4"/>
        <v>41</v>
      </c>
      <c r="I405" s="6" t="str">
        <f>IFERROR(__xludf.DUMMYFUNCTION("MAX(FILTER($H:$H,$E:$E=F405))"),"#N/A")</f>
        <v>#N/A</v>
      </c>
    </row>
    <row r="406">
      <c r="C406" s="4" t="s">
        <v>261</v>
      </c>
      <c r="D406" s="4" t="str">
        <f t="shared" si="1"/>
        <v>{"valorA":"realmente","valorB":1.0}</v>
      </c>
      <c r="E406" s="8" t="str">
        <f t="shared" si="2"/>
        <v>realmente</v>
      </c>
      <c r="F406" s="8"/>
      <c r="G406" s="8" t="str">
        <f t="shared" si="3"/>
        <v>1.0</v>
      </c>
      <c r="H406" s="9">
        <f t="shared" si="4"/>
        <v>1</v>
      </c>
      <c r="I406" s="6" t="str">
        <f>IFERROR(__xludf.DUMMYFUNCTION("MAX(FILTER($H:$H,$E:$E=F406))"),"#N/A")</f>
        <v>#N/A</v>
      </c>
    </row>
    <row r="407">
      <c r="C407" s="4" t="s">
        <v>363</v>
      </c>
      <c r="D407" s="4" t="str">
        <f t="shared" si="1"/>
        <v>{"valorA":"funciona","valorB":8.0}</v>
      </c>
      <c r="E407" s="8" t="str">
        <f t="shared" si="2"/>
        <v>funciona</v>
      </c>
      <c r="F407" s="8"/>
      <c r="G407" s="8" t="str">
        <f t="shared" si="3"/>
        <v>8.0</v>
      </c>
      <c r="H407" s="9">
        <f t="shared" si="4"/>
        <v>8</v>
      </c>
      <c r="I407" s="6" t="str">
        <f>IFERROR(__xludf.DUMMYFUNCTION("MAX(FILTER($H:$H,$E:$E=F407))"),"#N/A")</f>
        <v>#N/A</v>
      </c>
    </row>
    <row r="408">
      <c r="C408" s="4" t="s">
        <v>5574</v>
      </c>
      <c r="D408" s="4" t="str">
        <f t="shared" si="1"/>
        <v>{"valorA":"mascarótopo","valorB":1.0}</v>
      </c>
      <c r="E408" s="8" t="str">
        <f t="shared" si="2"/>
        <v>mascarótopo</v>
      </c>
      <c r="F408" s="8"/>
      <c r="G408" s="8" t="str">
        <f t="shared" si="3"/>
        <v>1.0</v>
      </c>
      <c r="H408" s="9">
        <f t="shared" si="4"/>
        <v>1</v>
      </c>
      <c r="I408" s="6" t="str">
        <f>IFERROR(__xludf.DUMMYFUNCTION("MAX(FILTER($H:$H,$E:$E=F408))"),"#N/A")</f>
        <v>#N/A</v>
      </c>
    </row>
    <row r="409">
      <c r="C409" s="4" t="s">
        <v>1097</v>
      </c>
      <c r="D409" s="4" t="str">
        <f t="shared" si="1"/>
        <v>{"valorA":"recomendo","valorB":8.0}</v>
      </c>
      <c r="E409" s="8" t="str">
        <f t="shared" si="2"/>
        <v>recomendo</v>
      </c>
      <c r="F409" s="8"/>
      <c r="G409" s="8" t="str">
        <f t="shared" si="3"/>
        <v>8.0</v>
      </c>
      <c r="H409" s="9">
        <f t="shared" si="4"/>
        <v>8</v>
      </c>
      <c r="I409" s="6" t="str">
        <f>IFERROR(__xludf.DUMMYFUNCTION("MAX(FILTER($H:$H,$E:$E=F409))"),"#N/A")</f>
        <v>#N/A</v>
      </c>
    </row>
    <row r="410">
      <c r="C410" s="4" t="s">
        <v>1164</v>
      </c>
      <c r="D410" s="4" t="str">
        <f t="shared" si="1"/>
        <v>{"valorA":"comentário","valorB":3.0}</v>
      </c>
      <c r="E410" s="8" t="str">
        <f t="shared" si="2"/>
        <v>comentário</v>
      </c>
      <c r="F410" s="8"/>
      <c r="G410" s="8" t="str">
        <f t="shared" si="3"/>
        <v>3.0</v>
      </c>
      <c r="H410" s="9">
        <f t="shared" si="4"/>
        <v>3</v>
      </c>
      <c r="I410" s="6" t="str">
        <f>IFERROR(__xludf.DUMMYFUNCTION("MAX(FILTER($H:$H,$E:$E=F410))"),"#N/A")</f>
        <v>#N/A</v>
      </c>
    </row>
    <row r="411">
      <c r="C411" s="4" t="s">
        <v>4504</v>
      </c>
      <c r="D411" s="4" t="str">
        <f t="shared" si="1"/>
        <v>{"valorA":"antigo","valorB":2.0}</v>
      </c>
      <c r="E411" s="8" t="str">
        <f t="shared" si="2"/>
        <v>antigo</v>
      </c>
      <c r="F411" s="8"/>
      <c r="G411" s="8" t="str">
        <f t="shared" si="3"/>
        <v>2.0</v>
      </c>
      <c r="H411" s="9">
        <f t="shared" si="4"/>
        <v>2</v>
      </c>
      <c r="I411" s="6" t="str">
        <f>IFERROR(__xludf.DUMMYFUNCTION("MAX(FILTER($H:$H,$E:$E=F411))"),"#N/A")</f>
        <v>#N/A</v>
      </c>
    </row>
    <row r="412">
      <c r="C412" s="4" t="s">
        <v>5575</v>
      </c>
      <c r="D412" s="4" t="str">
        <f t="shared" si="1"/>
        <v>{"valorA":"muita","valorB":3.0}</v>
      </c>
      <c r="E412" s="8" t="str">
        <f t="shared" si="2"/>
        <v>muita</v>
      </c>
      <c r="F412" s="8"/>
      <c r="G412" s="8" t="str">
        <f t="shared" si="3"/>
        <v>3.0</v>
      </c>
      <c r="H412" s="9">
        <f t="shared" si="4"/>
        <v>3</v>
      </c>
      <c r="I412" s="6" t="str">
        <f>IFERROR(__xludf.DUMMYFUNCTION("MAX(FILTER($H:$H,$E:$E=F412))"),"#N/A")</f>
        <v>#N/A</v>
      </c>
    </row>
    <row r="413">
      <c r="C413" s="4" t="s">
        <v>1100</v>
      </c>
      <c r="D413" s="4" t="str">
        <f t="shared" si="1"/>
        <v>{"valorA":"com","valorB":9.0}</v>
      </c>
      <c r="E413" s="8" t="str">
        <f t="shared" si="2"/>
        <v>com</v>
      </c>
      <c r="F413" s="8"/>
      <c r="G413" s="8" t="str">
        <f t="shared" si="3"/>
        <v>9.0</v>
      </c>
      <c r="H413" s="9">
        <f t="shared" si="4"/>
        <v>9</v>
      </c>
      <c r="I413" s="6" t="str">
        <f>IFERROR(__xludf.DUMMYFUNCTION("MAX(FILTER($H:$H,$E:$E=F413))"),"#N/A")</f>
        <v>#N/A</v>
      </c>
    </row>
    <row r="414">
      <c r="C414" s="4" t="s">
        <v>707</v>
      </c>
      <c r="D414" s="4" t="str">
        <f t="shared" si="1"/>
        <v>{"valorA":"meu","valorB":3.0}</v>
      </c>
      <c r="E414" s="8" t="str">
        <f t="shared" si="2"/>
        <v>meu</v>
      </c>
      <c r="F414" s="8"/>
      <c r="G414" s="8" t="str">
        <f t="shared" si="3"/>
        <v>3.0</v>
      </c>
      <c r="H414" s="9">
        <f t="shared" si="4"/>
        <v>3</v>
      </c>
      <c r="I414" s="6" t="str">
        <f>IFERROR(__xludf.DUMMYFUNCTION("MAX(FILTER($H:$H,$E:$E=F414))"),"#N/A")</f>
        <v>#N/A</v>
      </c>
    </row>
    <row r="415">
      <c r="C415" s="4" t="s">
        <v>5576</v>
      </c>
      <c r="D415" s="4" t="str">
        <f t="shared" si="1"/>
        <v>{"valorA":"vantagem","valorB":1.0}</v>
      </c>
      <c r="E415" s="8" t="str">
        <f t="shared" si="2"/>
        <v>vantagem</v>
      </c>
      <c r="F415" s="8"/>
      <c r="G415" s="8" t="str">
        <f t="shared" si="3"/>
        <v>1.0</v>
      </c>
      <c r="H415" s="9">
        <f t="shared" si="4"/>
        <v>1</v>
      </c>
      <c r="I415" s="6" t="str">
        <f>IFERROR(__xludf.DUMMYFUNCTION("MAX(FILTER($H:$H,$E:$E=F415))"),"#N/A")</f>
        <v>#N/A</v>
      </c>
    </row>
    <row r="416">
      <c r="C416" s="4" t="s">
        <v>5577</v>
      </c>
      <c r="D416" s="4" t="str">
        <f t="shared" si="1"/>
        <v>{"valorA":"de","valorB":22.0}</v>
      </c>
      <c r="E416" s="8" t="str">
        <f t="shared" si="2"/>
        <v>de</v>
      </c>
      <c r="F416" s="8"/>
      <c r="G416" s="8" t="str">
        <f t="shared" si="3"/>
        <v>22.0</v>
      </c>
      <c r="H416" s="9">
        <f t="shared" si="4"/>
        <v>22</v>
      </c>
      <c r="I416" s="6" t="str">
        <f>IFERROR(__xludf.DUMMYFUNCTION("MAX(FILTER($H:$H,$E:$E=F416))"),"#N/A")</f>
        <v>#N/A</v>
      </c>
    </row>
    <row r="417">
      <c r="C417" s="4" t="s">
        <v>1122</v>
      </c>
      <c r="D417" s="4" t="str">
        <f t="shared" si="1"/>
        <v>{"valorA":"pratos","valorB":2.0}</v>
      </c>
      <c r="E417" s="8" t="str">
        <f t="shared" si="2"/>
        <v>pratos</v>
      </c>
      <c r="F417" s="8"/>
      <c r="G417" s="8" t="str">
        <f t="shared" si="3"/>
        <v>2.0</v>
      </c>
      <c r="H417" s="9">
        <f t="shared" si="4"/>
        <v>2</v>
      </c>
      <c r="I417" s="6" t="str">
        <f>IFERROR(__xludf.DUMMYFUNCTION("MAX(FILTER($H:$H,$E:$E=F417))"),"#N/A")</f>
        <v>#N/A</v>
      </c>
    </row>
    <row r="418">
      <c r="C418" s="4" t="s">
        <v>1033</v>
      </c>
      <c r="D418" s="4" t="str">
        <f t="shared" si="1"/>
        <v>{"valorA":"lavador","valorB":2.0}</v>
      </c>
      <c r="E418" s="8" t="str">
        <f t="shared" si="2"/>
        <v>lavador</v>
      </c>
      <c r="F418" s="8"/>
      <c r="G418" s="8" t="str">
        <f t="shared" si="3"/>
        <v>2.0</v>
      </c>
      <c r="H418" s="9">
        <f t="shared" si="4"/>
        <v>2</v>
      </c>
      <c r="I418" s="6" t="str">
        <f>IFERROR(__xludf.DUMMYFUNCTION("MAX(FILTER($H:$H,$E:$E=F418))"),"#N/A")</f>
        <v>#N/A</v>
      </c>
    </row>
    <row r="419">
      <c r="C419" s="4" t="s">
        <v>813</v>
      </c>
      <c r="D419" s="4" t="str">
        <f t="shared" si="1"/>
        <v>{"valorA":"ótimo","valorB":42.0}</v>
      </c>
      <c r="E419" s="8" t="str">
        <f t="shared" si="2"/>
        <v>ótimo</v>
      </c>
      <c r="F419" s="8"/>
      <c r="G419" s="8" t="str">
        <f t="shared" si="3"/>
        <v>42.0</v>
      </c>
      <c r="H419" s="9">
        <f t="shared" si="4"/>
        <v>42</v>
      </c>
      <c r="I419" s="6" t="str">
        <f>IFERROR(__xludf.DUMMYFUNCTION("MAX(FILTER($H:$H,$E:$E=F419))"),"#N/A")</f>
        <v>#N/A</v>
      </c>
    </row>
    <row r="420">
      <c r="C420" s="4" t="s">
        <v>4911</v>
      </c>
      <c r="D420" s="4" t="str">
        <f t="shared" si="1"/>
        <v>{"valorA":"sobre","valorB":1.0}</v>
      </c>
      <c r="E420" s="8" t="str">
        <f t="shared" si="2"/>
        <v>sobre</v>
      </c>
      <c r="F420" s="8"/>
      <c r="G420" s="8" t="str">
        <f t="shared" si="3"/>
        <v>1.0</v>
      </c>
      <c r="H420" s="9">
        <f t="shared" si="4"/>
        <v>1</v>
      </c>
      <c r="I420" s="6" t="str">
        <f>IFERROR(__xludf.DUMMYFUNCTION("MAX(FILTER($H:$H,$E:$E=F420))"),"#N/A")</f>
        <v>#N/A</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4957</v>
      </c>
      <c r="D1" s="5">
        <v>0.0</v>
      </c>
      <c r="F1" s="5"/>
      <c r="G1" s="19" t="s">
        <v>4013</v>
      </c>
      <c r="H1" s="19" t="s">
        <v>4247</v>
      </c>
    </row>
    <row r="2">
      <c r="A2" s="4" t="s">
        <v>5578</v>
      </c>
      <c r="B2" s="6" t="str">
        <f t="shared" ref="B2:B420" si="1">MID(A2,FIND(":",A2)+1,LEN(A2)-FIND("segundos",A2))</f>
        <v>144.544</v>
      </c>
      <c r="C2" s="6" t="str">
        <f t="shared" ref="C2:C420" si="2">SUBSTITUTE(B2,".",",")</f>
        <v>144,544</v>
      </c>
      <c r="D2" s="6">
        <f t="shared" ref="D2:D420" si="3">VALUE(C2)</f>
        <v>144.544</v>
      </c>
      <c r="E2" s="6">
        <f t="shared" ref="E2:E420" si="4">D2-D1</f>
        <v>144.544</v>
      </c>
      <c r="G2" s="20">
        <f>AVERAGE(E2:E420)</f>
        <v>3.384057279</v>
      </c>
      <c r="H2" s="20">
        <f>STDEV(E2:E420)</f>
        <v>7.566219412</v>
      </c>
    </row>
    <row r="3">
      <c r="A3" s="4" t="s">
        <v>5579</v>
      </c>
      <c r="B3" s="6" t="str">
        <f t="shared" si="1"/>
        <v>160.320</v>
      </c>
      <c r="C3" s="6" t="str">
        <f t="shared" si="2"/>
        <v>160,320</v>
      </c>
      <c r="D3" s="6">
        <f t="shared" si="3"/>
        <v>160.32</v>
      </c>
      <c r="E3" s="6">
        <f t="shared" si="4"/>
        <v>15.776</v>
      </c>
    </row>
    <row r="4">
      <c r="A4" s="4" t="s">
        <v>5580</v>
      </c>
      <c r="B4" s="6" t="str">
        <f t="shared" si="1"/>
        <v>160.579</v>
      </c>
      <c r="C4" s="6" t="str">
        <f t="shared" si="2"/>
        <v>160,579</v>
      </c>
      <c r="D4" s="6">
        <f t="shared" si="3"/>
        <v>160.579</v>
      </c>
      <c r="E4" s="6">
        <f t="shared" si="4"/>
        <v>0.259</v>
      </c>
    </row>
    <row r="5">
      <c r="A5" s="4" t="s">
        <v>5581</v>
      </c>
      <c r="B5" s="6" t="str">
        <f t="shared" si="1"/>
        <v>160.784</v>
      </c>
      <c r="C5" s="6" t="str">
        <f t="shared" si="2"/>
        <v>160,784</v>
      </c>
      <c r="D5" s="6">
        <f t="shared" si="3"/>
        <v>160.784</v>
      </c>
      <c r="E5" s="6">
        <f t="shared" si="4"/>
        <v>0.205</v>
      </c>
    </row>
    <row r="6">
      <c r="A6" s="4" t="s">
        <v>5582</v>
      </c>
      <c r="B6" s="6" t="str">
        <f t="shared" si="1"/>
        <v>165.981</v>
      </c>
      <c r="C6" s="6" t="str">
        <f t="shared" si="2"/>
        <v>165,981</v>
      </c>
      <c r="D6" s="6">
        <f t="shared" si="3"/>
        <v>165.981</v>
      </c>
      <c r="E6" s="6">
        <f t="shared" si="4"/>
        <v>5.197</v>
      </c>
    </row>
    <row r="7">
      <c r="A7" s="4" t="s">
        <v>5583</v>
      </c>
      <c r="B7" s="6" t="str">
        <f t="shared" si="1"/>
        <v>168.268</v>
      </c>
      <c r="C7" s="6" t="str">
        <f t="shared" si="2"/>
        <v>168,268</v>
      </c>
      <c r="D7" s="6">
        <f t="shared" si="3"/>
        <v>168.268</v>
      </c>
      <c r="E7" s="6">
        <f t="shared" si="4"/>
        <v>2.287</v>
      </c>
    </row>
    <row r="8">
      <c r="A8" s="4" t="s">
        <v>5584</v>
      </c>
      <c r="B8" s="6" t="str">
        <f t="shared" si="1"/>
        <v>168.654</v>
      </c>
      <c r="C8" s="6" t="str">
        <f t="shared" si="2"/>
        <v>168,654</v>
      </c>
      <c r="D8" s="6">
        <f t="shared" si="3"/>
        <v>168.654</v>
      </c>
      <c r="E8" s="6">
        <f t="shared" si="4"/>
        <v>0.386</v>
      </c>
    </row>
    <row r="9">
      <c r="A9" s="4" t="s">
        <v>5585</v>
      </c>
      <c r="B9" s="6" t="str">
        <f t="shared" si="1"/>
        <v>170.948</v>
      </c>
      <c r="C9" s="6" t="str">
        <f t="shared" si="2"/>
        <v>170,948</v>
      </c>
      <c r="D9" s="6">
        <f t="shared" si="3"/>
        <v>170.948</v>
      </c>
      <c r="E9" s="6">
        <f t="shared" si="4"/>
        <v>2.294</v>
      </c>
    </row>
    <row r="10">
      <c r="A10" s="4" t="s">
        <v>5586</v>
      </c>
      <c r="B10" s="6" t="str">
        <f t="shared" si="1"/>
        <v>176.035</v>
      </c>
      <c r="C10" s="6" t="str">
        <f t="shared" si="2"/>
        <v>176,035</v>
      </c>
      <c r="D10" s="6">
        <f t="shared" si="3"/>
        <v>176.035</v>
      </c>
      <c r="E10" s="6">
        <f t="shared" si="4"/>
        <v>5.087</v>
      </c>
    </row>
    <row r="11">
      <c r="A11" s="4" t="s">
        <v>5587</v>
      </c>
      <c r="B11" s="6" t="str">
        <f t="shared" si="1"/>
        <v>176.611</v>
      </c>
      <c r="C11" s="6" t="str">
        <f t="shared" si="2"/>
        <v>176,611</v>
      </c>
      <c r="D11" s="6">
        <f t="shared" si="3"/>
        <v>176.611</v>
      </c>
      <c r="E11" s="6">
        <f t="shared" si="4"/>
        <v>0.576</v>
      </c>
    </row>
    <row r="12">
      <c r="A12" s="4" t="s">
        <v>5588</v>
      </c>
      <c r="B12" s="6" t="str">
        <f t="shared" si="1"/>
        <v>176.877</v>
      </c>
      <c r="C12" s="6" t="str">
        <f t="shared" si="2"/>
        <v>176,877</v>
      </c>
      <c r="D12" s="6">
        <f t="shared" si="3"/>
        <v>176.877</v>
      </c>
      <c r="E12" s="6">
        <f t="shared" si="4"/>
        <v>0.266</v>
      </c>
    </row>
    <row r="13">
      <c r="A13" s="4" t="s">
        <v>5589</v>
      </c>
      <c r="B13" s="6" t="str">
        <f t="shared" si="1"/>
        <v>179.237</v>
      </c>
      <c r="C13" s="6" t="str">
        <f t="shared" si="2"/>
        <v>179,237</v>
      </c>
      <c r="D13" s="6">
        <f t="shared" si="3"/>
        <v>179.237</v>
      </c>
      <c r="E13" s="6">
        <f t="shared" si="4"/>
        <v>2.36</v>
      </c>
    </row>
    <row r="14">
      <c r="A14" s="4" t="s">
        <v>5590</v>
      </c>
      <c r="B14" s="6" t="str">
        <f t="shared" si="1"/>
        <v>185.753</v>
      </c>
      <c r="C14" s="6" t="str">
        <f t="shared" si="2"/>
        <v>185,753</v>
      </c>
      <c r="D14" s="6">
        <f t="shared" si="3"/>
        <v>185.753</v>
      </c>
      <c r="E14" s="6">
        <f t="shared" si="4"/>
        <v>6.516</v>
      </c>
    </row>
    <row r="15">
      <c r="A15" s="4" t="s">
        <v>5591</v>
      </c>
      <c r="B15" s="6" t="str">
        <f t="shared" si="1"/>
        <v>187.561</v>
      </c>
      <c r="C15" s="6" t="str">
        <f t="shared" si="2"/>
        <v>187,561</v>
      </c>
      <c r="D15" s="6">
        <f t="shared" si="3"/>
        <v>187.561</v>
      </c>
      <c r="E15" s="6">
        <f t="shared" si="4"/>
        <v>1.808</v>
      </c>
    </row>
    <row r="16">
      <c r="A16" s="4" t="s">
        <v>5592</v>
      </c>
      <c r="B16" s="6" t="str">
        <f t="shared" si="1"/>
        <v>187.851</v>
      </c>
      <c r="C16" s="6" t="str">
        <f t="shared" si="2"/>
        <v>187,851</v>
      </c>
      <c r="D16" s="6">
        <f t="shared" si="3"/>
        <v>187.851</v>
      </c>
      <c r="E16" s="6">
        <f t="shared" si="4"/>
        <v>0.29</v>
      </c>
    </row>
    <row r="17">
      <c r="A17" s="4" t="s">
        <v>5593</v>
      </c>
      <c r="B17" s="6" t="str">
        <f t="shared" si="1"/>
        <v>189.434</v>
      </c>
      <c r="C17" s="6" t="str">
        <f t="shared" si="2"/>
        <v>189,434</v>
      </c>
      <c r="D17" s="6">
        <f t="shared" si="3"/>
        <v>189.434</v>
      </c>
      <c r="E17" s="6">
        <f t="shared" si="4"/>
        <v>1.583</v>
      </c>
    </row>
    <row r="18">
      <c r="A18" s="4" t="s">
        <v>5594</v>
      </c>
      <c r="B18" s="6" t="str">
        <f t="shared" si="1"/>
        <v>191.004</v>
      </c>
      <c r="C18" s="6" t="str">
        <f t="shared" si="2"/>
        <v>191,004</v>
      </c>
      <c r="D18" s="6">
        <f t="shared" si="3"/>
        <v>191.004</v>
      </c>
      <c r="E18" s="6">
        <f t="shared" si="4"/>
        <v>1.57</v>
      </c>
    </row>
    <row r="19">
      <c r="A19" s="4" t="s">
        <v>5595</v>
      </c>
      <c r="B19" s="6" t="str">
        <f t="shared" si="1"/>
        <v>193.445</v>
      </c>
      <c r="C19" s="6" t="str">
        <f t="shared" si="2"/>
        <v>193,445</v>
      </c>
      <c r="D19" s="6">
        <f t="shared" si="3"/>
        <v>193.445</v>
      </c>
      <c r="E19" s="6">
        <f t="shared" si="4"/>
        <v>2.441</v>
      </c>
    </row>
    <row r="20">
      <c r="A20" s="4" t="s">
        <v>5596</v>
      </c>
      <c r="B20" s="6" t="str">
        <f t="shared" si="1"/>
        <v>194.627</v>
      </c>
      <c r="C20" s="6" t="str">
        <f t="shared" si="2"/>
        <v>194,627</v>
      </c>
      <c r="D20" s="6">
        <f t="shared" si="3"/>
        <v>194.627</v>
      </c>
      <c r="E20" s="6">
        <f t="shared" si="4"/>
        <v>1.182</v>
      </c>
    </row>
    <row r="21">
      <c r="A21" s="4" t="s">
        <v>5597</v>
      </c>
      <c r="B21" s="6" t="str">
        <f t="shared" si="1"/>
        <v>201.606</v>
      </c>
      <c r="C21" s="6" t="str">
        <f t="shared" si="2"/>
        <v>201,606</v>
      </c>
      <c r="D21" s="6">
        <f t="shared" si="3"/>
        <v>201.606</v>
      </c>
      <c r="E21" s="6">
        <f t="shared" si="4"/>
        <v>6.979</v>
      </c>
    </row>
    <row r="22">
      <c r="A22" s="4" t="s">
        <v>5598</v>
      </c>
      <c r="B22" s="6" t="str">
        <f t="shared" si="1"/>
        <v>206.551</v>
      </c>
      <c r="C22" s="6" t="str">
        <f t="shared" si="2"/>
        <v>206,551</v>
      </c>
      <c r="D22" s="6">
        <f t="shared" si="3"/>
        <v>206.551</v>
      </c>
      <c r="E22" s="6">
        <f t="shared" si="4"/>
        <v>4.945</v>
      </c>
    </row>
    <row r="23">
      <c r="A23" s="4" t="s">
        <v>5599</v>
      </c>
      <c r="B23" s="6" t="str">
        <f t="shared" si="1"/>
        <v>207.057</v>
      </c>
      <c r="C23" s="6" t="str">
        <f t="shared" si="2"/>
        <v>207,057</v>
      </c>
      <c r="D23" s="6">
        <f t="shared" si="3"/>
        <v>207.057</v>
      </c>
      <c r="E23" s="6">
        <f t="shared" si="4"/>
        <v>0.506</v>
      </c>
    </row>
    <row r="24">
      <c r="A24" s="4" t="s">
        <v>5600</v>
      </c>
      <c r="B24" s="6" t="str">
        <f t="shared" si="1"/>
        <v>209.837</v>
      </c>
      <c r="C24" s="6" t="str">
        <f t="shared" si="2"/>
        <v>209,837</v>
      </c>
      <c r="D24" s="6">
        <f t="shared" si="3"/>
        <v>209.837</v>
      </c>
      <c r="E24" s="6">
        <f t="shared" si="4"/>
        <v>2.78</v>
      </c>
    </row>
    <row r="25">
      <c r="A25" s="4" t="s">
        <v>5601</v>
      </c>
      <c r="B25" s="6" t="str">
        <f t="shared" si="1"/>
        <v>228.784</v>
      </c>
      <c r="C25" s="6" t="str">
        <f t="shared" si="2"/>
        <v>228,784</v>
      </c>
      <c r="D25" s="6">
        <f t="shared" si="3"/>
        <v>228.784</v>
      </c>
      <c r="E25" s="6">
        <f t="shared" si="4"/>
        <v>18.947</v>
      </c>
    </row>
    <row r="26">
      <c r="A26" s="4" t="s">
        <v>5602</v>
      </c>
      <c r="B26" s="6" t="str">
        <f t="shared" si="1"/>
        <v>230.567</v>
      </c>
      <c r="C26" s="6" t="str">
        <f t="shared" si="2"/>
        <v>230,567</v>
      </c>
      <c r="D26" s="6">
        <f t="shared" si="3"/>
        <v>230.567</v>
      </c>
      <c r="E26" s="6">
        <f t="shared" si="4"/>
        <v>1.783</v>
      </c>
    </row>
    <row r="27">
      <c r="A27" s="4" t="s">
        <v>5603</v>
      </c>
      <c r="B27" s="6" t="str">
        <f t="shared" si="1"/>
        <v>234.463</v>
      </c>
      <c r="C27" s="6" t="str">
        <f t="shared" si="2"/>
        <v>234,463</v>
      </c>
      <c r="D27" s="6">
        <f t="shared" si="3"/>
        <v>234.463</v>
      </c>
      <c r="E27" s="6">
        <f t="shared" si="4"/>
        <v>3.896</v>
      </c>
    </row>
    <row r="28">
      <c r="A28" s="4" t="s">
        <v>5604</v>
      </c>
      <c r="B28" s="6" t="str">
        <f t="shared" si="1"/>
        <v>239.035</v>
      </c>
      <c r="C28" s="6" t="str">
        <f t="shared" si="2"/>
        <v>239,035</v>
      </c>
      <c r="D28" s="6">
        <f t="shared" si="3"/>
        <v>239.035</v>
      </c>
      <c r="E28" s="6">
        <f t="shared" si="4"/>
        <v>4.572</v>
      </c>
    </row>
    <row r="29">
      <c r="A29" s="4" t="s">
        <v>5605</v>
      </c>
      <c r="B29" s="6" t="str">
        <f t="shared" si="1"/>
        <v>241.457</v>
      </c>
      <c r="C29" s="6" t="str">
        <f t="shared" si="2"/>
        <v>241,457</v>
      </c>
      <c r="D29" s="6">
        <f t="shared" si="3"/>
        <v>241.457</v>
      </c>
      <c r="E29" s="6">
        <f t="shared" si="4"/>
        <v>2.422</v>
      </c>
    </row>
    <row r="30">
      <c r="A30" s="4" t="s">
        <v>5606</v>
      </c>
      <c r="B30" s="6" t="str">
        <f t="shared" si="1"/>
        <v>246.182</v>
      </c>
      <c r="C30" s="6" t="str">
        <f t="shared" si="2"/>
        <v>246,182</v>
      </c>
      <c r="D30" s="6">
        <f t="shared" si="3"/>
        <v>246.182</v>
      </c>
      <c r="E30" s="6">
        <f t="shared" si="4"/>
        <v>4.725</v>
      </c>
    </row>
    <row r="31">
      <c r="A31" s="4" t="s">
        <v>5607</v>
      </c>
      <c r="B31" s="6" t="str">
        <f t="shared" si="1"/>
        <v>250.507</v>
      </c>
      <c r="C31" s="6" t="str">
        <f t="shared" si="2"/>
        <v>250,507</v>
      </c>
      <c r="D31" s="6">
        <f t="shared" si="3"/>
        <v>250.507</v>
      </c>
      <c r="E31" s="6">
        <f t="shared" si="4"/>
        <v>4.325</v>
      </c>
    </row>
    <row r="32">
      <c r="A32" s="4" t="s">
        <v>5608</v>
      </c>
      <c r="B32" s="6" t="str">
        <f t="shared" si="1"/>
        <v>250.871</v>
      </c>
      <c r="C32" s="6" t="str">
        <f t="shared" si="2"/>
        <v>250,871</v>
      </c>
      <c r="D32" s="6">
        <f t="shared" si="3"/>
        <v>250.871</v>
      </c>
      <c r="E32" s="6">
        <f t="shared" si="4"/>
        <v>0.364</v>
      </c>
    </row>
    <row r="33">
      <c r="A33" s="4" t="s">
        <v>5609</v>
      </c>
      <c r="B33" s="6" t="str">
        <f t="shared" si="1"/>
        <v>266.778</v>
      </c>
      <c r="C33" s="6" t="str">
        <f t="shared" si="2"/>
        <v>266,778</v>
      </c>
      <c r="D33" s="6">
        <f t="shared" si="3"/>
        <v>266.778</v>
      </c>
      <c r="E33" s="6">
        <f t="shared" si="4"/>
        <v>15.907</v>
      </c>
    </row>
    <row r="34">
      <c r="A34" s="4" t="s">
        <v>5610</v>
      </c>
      <c r="B34" s="6" t="str">
        <f t="shared" si="1"/>
        <v>269.311</v>
      </c>
      <c r="C34" s="6" t="str">
        <f t="shared" si="2"/>
        <v>269,311</v>
      </c>
      <c r="D34" s="6">
        <f t="shared" si="3"/>
        <v>269.311</v>
      </c>
      <c r="E34" s="6">
        <f t="shared" si="4"/>
        <v>2.533</v>
      </c>
    </row>
    <row r="35">
      <c r="A35" s="4" t="s">
        <v>5611</v>
      </c>
      <c r="B35" s="6" t="str">
        <f t="shared" si="1"/>
        <v>274.718</v>
      </c>
      <c r="C35" s="6" t="str">
        <f t="shared" si="2"/>
        <v>274,718</v>
      </c>
      <c r="D35" s="6">
        <f t="shared" si="3"/>
        <v>274.718</v>
      </c>
      <c r="E35" s="6">
        <f t="shared" si="4"/>
        <v>5.407</v>
      </c>
    </row>
    <row r="36">
      <c r="A36" s="4" t="s">
        <v>5612</v>
      </c>
      <c r="B36" s="6" t="str">
        <f t="shared" si="1"/>
        <v>275.544</v>
      </c>
      <c r="C36" s="6" t="str">
        <f t="shared" si="2"/>
        <v>275,544</v>
      </c>
      <c r="D36" s="6">
        <f t="shared" si="3"/>
        <v>275.544</v>
      </c>
      <c r="E36" s="6">
        <f t="shared" si="4"/>
        <v>0.826</v>
      </c>
    </row>
    <row r="37">
      <c r="A37" s="4" t="s">
        <v>5613</v>
      </c>
      <c r="B37" s="6" t="str">
        <f t="shared" si="1"/>
        <v>277.302</v>
      </c>
      <c r="C37" s="6" t="str">
        <f t="shared" si="2"/>
        <v>277,302</v>
      </c>
      <c r="D37" s="6">
        <f t="shared" si="3"/>
        <v>277.302</v>
      </c>
      <c r="E37" s="6">
        <f t="shared" si="4"/>
        <v>1.758</v>
      </c>
    </row>
    <row r="38">
      <c r="A38" s="4" t="s">
        <v>5614</v>
      </c>
      <c r="B38" s="6" t="str">
        <f t="shared" si="1"/>
        <v>278.226</v>
      </c>
      <c r="C38" s="6" t="str">
        <f t="shared" si="2"/>
        <v>278,226</v>
      </c>
      <c r="D38" s="6">
        <f t="shared" si="3"/>
        <v>278.226</v>
      </c>
      <c r="E38" s="6">
        <f t="shared" si="4"/>
        <v>0.924</v>
      </c>
    </row>
    <row r="39">
      <c r="A39" s="4" t="s">
        <v>5615</v>
      </c>
      <c r="B39" s="6" t="str">
        <f t="shared" si="1"/>
        <v>278.900</v>
      </c>
      <c r="C39" s="6" t="str">
        <f t="shared" si="2"/>
        <v>278,900</v>
      </c>
      <c r="D39" s="6">
        <f t="shared" si="3"/>
        <v>278.9</v>
      </c>
      <c r="E39" s="6">
        <f t="shared" si="4"/>
        <v>0.674</v>
      </c>
    </row>
    <row r="40">
      <c r="A40" s="4" t="s">
        <v>5616</v>
      </c>
      <c r="B40" s="6" t="str">
        <f t="shared" si="1"/>
        <v>279.650</v>
      </c>
      <c r="C40" s="6" t="str">
        <f t="shared" si="2"/>
        <v>279,650</v>
      </c>
      <c r="D40" s="6">
        <f t="shared" si="3"/>
        <v>279.65</v>
      </c>
      <c r="E40" s="6">
        <f t="shared" si="4"/>
        <v>0.75</v>
      </c>
    </row>
    <row r="41">
      <c r="A41" s="4" t="s">
        <v>5617</v>
      </c>
      <c r="B41" s="6" t="str">
        <f t="shared" si="1"/>
        <v>281.767</v>
      </c>
      <c r="C41" s="6" t="str">
        <f t="shared" si="2"/>
        <v>281,767</v>
      </c>
      <c r="D41" s="6">
        <f t="shared" si="3"/>
        <v>281.767</v>
      </c>
      <c r="E41" s="6">
        <f t="shared" si="4"/>
        <v>2.117</v>
      </c>
    </row>
    <row r="42">
      <c r="A42" s="4" t="s">
        <v>5618</v>
      </c>
      <c r="B42" s="6" t="str">
        <f t="shared" si="1"/>
        <v>285.862</v>
      </c>
      <c r="C42" s="6" t="str">
        <f t="shared" si="2"/>
        <v>285,862</v>
      </c>
      <c r="D42" s="6">
        <f t="shared" si="3"/>
        <v>285.862</v>
      </c>
      <c r="E42" s="6">
        <f t="shared" si="4"/>
        <v>4.095</v>
      </c>
    </row>
    <row r="43">
      <c r="A43" s="4" t="s">
        <v>5619</v>
      </c>
      <c r="B43" s="6" t="str">
        <f t="shared" si="1"/>
        <v>289.004</v>
      </c>
      <c r="C43" s="6" t="str">
        <f t="shared" si="2"/>
        <v>289,004</v>
      </c>
      <c r="D43" s="6">
        <f t="shared" si="3"/>
        <v>289.004</v>
      </c>
      <c r="E43" s="6">
        <f t="shared" si="4"/>
        <v>3.142</v>
      </c>
    </row>
    <row r="44">
      <c r="A44" s="4" t="s">
        <v>5620</v>
      </c>
      <c r="B44" s="6" t="str">
        <f t="shared" si="1"/>
        <v>293.748</v>
      </c>
      <c r="C44" s="6" t="str">
        <f t="shared" si="2"/>
        <v>293,748</v>
      </c>
      <c r="D44" s="6">
        <f t="shared" si="3"/>
        <v>293.748</v>
      </c>
      <c r="E44" s="6">
        <f t="shared" si="4"/>
        <v>4.744</v>
      </c>
    </row>
    <row r="45">
      <c r="A45" s="4" t="s">
        <v>5621</v>
      </c>
      <c r="B45" s="6" t="str">
        <f t="shared" si="1"/>
        <v>294.218</v>
      </c>
      <c r="C45" s="6" t="str">
        <f t="shared" si="2"/>
        <v>294,218</v>
      </c>
      <c r="D45" s="6">
        <f t="shared" si="3"/>
        <v>294.218</v>
      </c>
      <c r="E45" s="6">
        <f t="shared" si="4"/>
        <v>0.47</v>
      </c>
    </row>
    <row r="46">
      <c r="A46" s="4" t="s">
        <v>5622</v>
      </c>
      <c r="B46" s="6" t="str">
        <f t="shared" si="1"/>
        <v>298.938</v>
      </c>
      <c r="C46" s="6" t="str">
        <f t="shared" si="2"/>
        <v>298,938</v>
      </c>
      <c r="D46" s="6">
        <f t="shared" si="3"/>
        <v>298.938</v>
      </c>
      <c r="E46" s="6">
        <f t="shared" si="4"/>
        <v>4.72</v>
      </c>
    </row>
    <row r="47">
      <c r="A47" s="4" t="s">
        <v>5623</v>
      </c>
      <c r="B47" s="6" t="str">
        <f t="shared" si="1"/>
        <v>301.880</v>
      </c>
      <c r="C47" s="6" t="str">
        <f t="shared" si="2"/>
        <v>301,880</v>
      </c>
      <c r="D47" s="6">
        <f t="shared" si="3"/>
        <v>301.88</v>
      </c>
      <c r="E47" s="6">
        <f t="shared" si="4"/>
        <v>2.942</v>
      </c>
    </row>
    <row r="48">
      <c r="A48" s="4" t="s">
        <v>5624</v>
      </c>
      <c r="B48" s="6" t="str">
        <f t="shared" si="1"/>
        <v>303.027</v>
      </c>
      <c r="C48" s="6" t="str">
        <f t="shared" si="2"/>
        <v>303,027</v>
      </c>
      <c r="D48" s="6">
        <f t="shared" si="3"/>
        <v>303.027</v>
      </c>
      <c r="E48" s="6">
        <f t="shared" si="4"/>
        <v>1.147</v>
      </c>
    </row>
    <row r="49">
      <c r="A49" s="4" t="s">
        <v>5625</v>
      </c>
      <c r="B49" s="6" t="str">
        <f t="shared" si="1"/>
        <v>305.015</v>
      </c>
      <c r="C49" s="6" t="str">
        <f t="shared" si="2"/>
        <v>305,015</v>
      </c>
      <c r="D49" s="6">
        <f t="shared" si="3"/>
        <v>305.015</v>
      </c>
      <c r="E49" s="6">
        <f t="shared" si="4"/>
        <v>1.988</v>
      </c>
    </row>
    <row r="50">
      <c r="A50" s="4" t="s">
        <v>5626</v>
      </c>
      <c r="B50" s="6" t="str">
        <f t="shared" si="1"/>
        <v>306.527</v>
      </c>
      <c r="C50" s="6" t="str">
        <f t="shared" si="2"/>
        <v>306,527</v>
      </c>
      <c r="D50" s="6">
        <f t="shared" si="3"/>
        <v>306.527</v>
      </c>
      <c r="E50" s="6">
        <f t="shared" si="4"/>
        <v>1.512</v>
      </c>
    </row>
    <row r="51">
      <c r="A51" s="4" t="s">
        <v>5627</v>
      </c>
      <c r="B51" s="6" t="str">
        <f t="shared" si="1"/>
        <v>307.394</v>
      </c>
      <c r="C51" s="6" t="str">
        <f t="shared" si="2"/>
        <v>307,394</v>
      </c>
      <c r="D51" s="6">
        <f t="shared" si="3"/>
        <v>307.394</v>
      </c>
      <c r="E51" s="6">
        <f t="shared" si="4"/>
        <v>0.867</v>
      </c>
    </row>
    <row r="52">
      <c r="A52" s="4" t="s">
        <v>5628</v>
      </c>
      <c r="B52" s="6" t="str">
        <f t="shared" si="1"/>
        <v>309.475</v>
      </c>
      <c r="C52" s="6" t="str">
        <f t="shared" si="2"/>
        <v>309,475</v>
      </c>
      <c r="D52" s="6">
        <f t="shared" si="3"/>
        <v>309.475</v>
      </c>
      <c r="E52" s="6">
        <f t="shared" si="4"/>
        <v>2.081</v>
      </c>
    </row>
    <row r="53">
      <c r="A53" s="4" t="s">
        <v>5629</v>
      </c>
      <c r="B53" s="6" t="str">
        <f t="shared" si="1"/>
        <v>310.130</v>
      </c>
      <c r="C53" s="6" t="str">
        <f t="shared" si="2"/>
        <v>310,130</v>
      </c>
      <c r="D53" s="6">
        <f t="shared" si="3"/>
        <v>310.13</v>
      </c>
      <c r="E53" s="6">
        <f t="shared" si="4"/>
        <v>0.655</v>
      </c>
    </row>
    <row r="54">
      <c r="A54" s="4" t="s">
        <v>5630</v>
      </c>
      <c r="B54" s="6" t="str">
        <f t="shared" si="1"/>
        <v>316.276</v>
      </c>
      <c r="C54" s="6" t="str">
        <f t="shared" si="2"/>
        <v>316,276</v>
      </c>
      <c r="D54" s="6">
        <f t="shared" si="3"/>
        <v>316.276</v>
      </c>
      <c r="E54" s="6">
        <f t="shared" si="4"/>
        <v>6.146</v>
      </c>
    </row>
    <row r="55">
      <c r="A55" s="4" t="s">
        <v>5631</v>
      </c>
      <c r="B55" s="6" t="str">
        <f t="shared" si="1"/>
        <v>318.894</v>
      </c>
      <c r="C55" s="6" t="str">
        <f t="shared" si="2"/>
        <v>318,894</v>
      </c>
      <c r="D55" s="6">
        <f t="shared" si="3"/>
        <v>318.894</v>
      </c>
      <c r="E55" s="6">
        <f t="shared" si="4"/>
        <v>2.618</v>
      </c>
    </row>
    <row r="56">
      <c r="A56" s="4" t="s">
        <v>5632</v>
      </c>
      <c r="B56" s="6" t="str">
        <f t="shared" si="1"/>
        <v>321.060</v>
      </c>
      <c r="C56" s="6" t="str">
        <f t="shared" si="2"/>
        <v>321,060</v>
      </c>
      <c r="D56" s="6">
        <f t="shared" si="3"/>
        <v>321.06</v>
      </c>
      <c r="E56" s="6">
        <f t="shared" si="4"/>
        <v>2.166</v>
      </c>
    </row>
    <row r="57">
      <c r="A57" s="4" t="s">
        <v>5633</v>
      </c>
      <c r="B57" s="6" t="str">
        <f t="shared" si="1"/>
        <v>321.750</v>
      </c>
      <c r="C57" s="6" t="str">
        <f t="shared" si="2"/>
        <v>321,750</v>
      </c>
      <c r="D57" s="6">
        <f t="shared" si="3"/>
        <v>321.75</v>
      </c>
      <c r="E57" s="6">
        <f t="shared" si="4"/>
        <v>0.69</v>
      </c>
    </row>
    <row r="58">
      <c r="A58" s="4" t="s">
        <v>5634</v>
      </c>
      <c r="B58" s="6" t="str">
        <f t="shared" si="1"/>
        <v>322.306</v>
      </c>
      <c r="C58" s="6" t="str">
        <f t="shared" si="2"/>
        <v>322,306</v>
      </c>
      <c r="D58" s="6">
        <f t="shared" si="3"/>
        <v>322.306</v>
      </c>
      <c r="E58" s="6">
        <f t="shared" si="4"/>
        <v>0.556</v>
      </c>
    </row>
    <row r="59">
      <c r="A59" s="4" t="s">
        <v>5635</v>
      </c>
      <c r="B59" s="6" t="str">
        <f t="shared" si="1"/>
        <v>330.563</v>
      </c>
      <c r="C59" s="6" t="str">
        <f t="shared" si="2"/>
        <v>330,563</v>
      </c>
      <c r="D59" s="6">
        <f t="shared" si="3"/>
        <v>330.563</v>
      </c>
      <c r="E59" s="6">
        <f t="shared" si="4"/>
        <v>8.257</v>
      </c>
    </row>
    <row r="60">
      <c r="A60" s="4" t="s">
        <v>5636</v>
      </c>
      <c r="B60" s="6" t="str">
        <f t="shared" si="1"/>
        <v>336.537</v>
      </c>
      <c r="C60" s="6" t="str">
        <f t="shared" si="2"/>
        <v>336,537</v>
      </c>
      <c r="D60" s="6">
        <f t="shared" si="3"/>
        <v>336.537</v>
      </c>
      <c r="E60" s="6">
        <f t="shared" si="4"/>
        <v>5.974</v>
      </c>
    </row>
    <row r="61">
      <c r="A61" s="4" t="s">
        <v>5637</v>
      </c>
      <c r="B61" s="6" t="str">
        <f t="shared" si="1"/>
        <v>337.252</v>
      </c>
      <c r="C61" s="6" t="str">
        <f t="shared" si="2"/>
        <v>337,252</v>
      </c>
      <c r="D61" s="6">
        <f t="shared" si="3"/>
        <v>337.252</v>
      </c>
      <c r="E61" s="6">
        <f t="shared" si="4"/>
        <v>0.715</v>
      </c>
    </row>
    <row r="62">
      <c r="A62" s="4" t="s">
        <v>5638</v>
      </c>
      <c r="B62" s="6" t="str">
        <f t="shared" si="1"/>
        <v>339.046</v>
      </c>
      <c r="C62" s="6" t="str">
        <f t="shared" si="2"/>
        <v>339,046</v>
      </c>
      <c r="D62" s="6">
        <f t="shared" si="3"/>
        <v>339.046</v>
      </c>
      <c r="E62" s="6">
        <f t="shared" si="4"/>
        <v>1.794</v>
      </c>
    </row>
    <row r="63">
      <c r="A63" s="4" t="s">
        <v>5639</v>
      </c>
      <c r="B63" s="6" t="str">
        <f t="shared" si="1"/>
        <v>347.776</v>
      </c>
      <c r="C63" s="6" t="str">
        <f t="shared" si="2"/>
        <v>347,776</v>
      </c>
      <c r="D63" s="6">
        <f t="shared" si="3"/>
        <v>347.776</v>
      </c>
      <c r="E63" s="6">
        <f t="shared" si="4"/>
        <v>8.73</v>
      </c>
    </row>
    <row r="64">
      <c r="A64" s="4" t="s">
        <v>5640</v>
      </c>
      <c r="B64" s="6" t="str">
        <f t="shared" si="1"/>
        <v>355.419</v>
      </c>
      <c r="C64" s="6" t="str">
        <f t="shared" si="2"/>
        <v>355,419</v>
      </c>
      <c r="D64" s="6">
        <f t="shared" si="3"/>
        <v>355.419</v>
      </c>
      <c r="E64" s="6">
        <f t="shared" si="4"/>
        <v>7.643</v>
      </c>
    </row>
    <row r="65">
      <c r="A65" s="4" t="s">
        <v>5641</v>
      </c>
      <c r="B65" s="6" t="str">
        <f t="shared" si="1"/>
        <v>356.104</v>
      </c>
      <c r="C65" s="6" t="str">
        <f t="shared" si="2"/>
        <v>356,104</v>
      </c>
      <c r="D65" s="6">
        <f t="shared" si="3"/>
        <v>356.104</v>
      </c>
      <c r="E65" s="6">
        <f t="shared" si="4"/>
        <v>0.685</v>
      </c>
    </row>
    <row r="66">
      <c r="A66" s="4" t="s">
        <v>5642</v>
      </c>
      <c r="B66" s="6" t="str">
        <f t="shared" si="1"/>
        <v>356.718</v>
      </c>
      <c r="C66" s="6" t="str">
        <f t="shared" si="2"/>
        <v>356,718</v>
      </c>
      <c r="D66" s="6">
        <f t="shared" si="3"/>
        <v>356.718</v>
      </c>
      <c r="E66" s="6">
        <f t="shared" si="4"/>
        <v>0.614</v>
      </c>
    </row>
    <row r="67">
      <c r="A67" s="4" t="s">
        <v>5643</v>
      </c>
      <c r="B67" s="6" t="str">
        <f t="shared" si="1"/>
        <v>357.877</v>
      </c>
      <c r="C67" s="6" t="str">
        <f t="shared" si="2"/>
        <v>357,877</v>
      </c>
      <c r="D67" s="6">
        <f t="shared" si="3"/>
        <v>357.877</v>
      </c>
      <c r="E67" s="6">
        <f t="shared" si="4"/>
        <v>1.159</v>
      </c>
    </row>
    <row r="68">
      <c r="A68" s="4" t="s">
        <v>5644</v>
      </c>
      <c r="B68" s="6" t="str">
        <f t="shared" si="1"/>
        <v>360.866</v>
      </c>
      <c r="C68" s="6" t="str">
        <f t="shared" si="2"/>
        <v>360,866</v>
      </c>
      <c r="D68" s="6">
        <f t="shared" si="3"/>
        <v>360.866</v>
      </c>
      <c r="E68" s="6">
        <f t="shared" si="4"/>
        <v>2.989</v>
      </c>
    </row>
    <row r="69">
      <c r="A69" s="4" t="s">
        <v>5645</v>
      </c>
      <c r="B69" s="6" t="str">
        <f t="shared" si="1"/>
        <v>367.837</v>
      </c>
      <c r="C69" s="6" t="str">
        <f t="shared" si="2"/>
        <v>367,837</v>
      </c>
      <c r="D69" s="6">
        <f t="shared" si="3"/>
        <v>367.837</v>
      </c>
      <c r="E69" s="6">
        <f t="shared" si="4"/>
        <v>6.971</v>
      </c>
    </row>
    <row r="70">
      <c r="A70" s="4" t="s">
        <v>5646</v>
      </c>
      <c r="B70" s="6" t="str">
        <f t="shared" si="1"/>
        <v>368.512</v>
      </c>
      <c r="C70" s="6" t="str">
        <f t="shared" si="2"/>
        <v>368,512</v>
      </c>
      <c r="D70" s="6">
        <f t="shared" si="3"/>
        <v>368.512</v>
      </c>
      <c r="E70" s="6">
        <f t="shared" si="4"/>
        <v>0.675</v>
      </c>
    </row>
    <row r="71">
      <c r="A71" s="4" t="s">
        <v>5647</v>
      </c>
      <c r="B71" s="6" t="str">
        <f t="shared" si="1"/>
        <v>369.229</v>
      </c>
      <c r="C71" s="6" t="str">
        <f t="shared" si="2"/>
        <v>369,229</v>
      </c>
      <c r="D71" s="6">
        <f t="shared" si="3"/>
        <v>369.229</v>
      </c>
      <c r="E71" s="6">
        <f t="shared" si="4"/>
        <v>0.717</v>
      </c>
    </row>
    <row r="72">
      <c r="A72" s="4" t="s">
        <v>5648</v>
      </c>
      <c r="B72" s="6" t="str">
        <f t="shared" si="1"/>
        <v>370.029</v>
      </c>
      <c r="C72" s="6" t="str">
        <f t="shared" si="2"/>
        <v>370,029</v>
      </c>
      <c r="D72" s="6">
        <f t="shared" si="3"/>
        <v>370.029</v>
      </c>
      <c r="E72" s="6">
        <f t="shared" si="4"/>
        <v>0.8</v>
      </c>
    </row>
    <row r="73">
      <c r="A73" s="4" t="s">
        <v>5649</v>
      </c>
      <c r="B73" s="6" t="str">
        <f t="shared" si="1"/>
        <v>375.578</v>
      </c>
      <c r="C73" s="6" t="str">
        <f t="shared" si="2"/>
        <v>375,578</v>
      </c>
      <c r="D73" s="6">
        <f t="shared" si="3"/>
        <v>375.578</v>
      </c>
      <c r="E73" s="6">
        <f t="shared" si="4"/>
        <v>5.549</v>
      </c>
    </row>
    <row r="74">
      <c r="A74" s="4" t="s">
        <v>5650</v>
      </c>
      <c r="B74" s="6" t="str">
        <f t="shared" si="1"/>
        <v>378.477</v>
      </c>
      <c r="C74" s="6" t="str">
        <f t="shared" si="2"/>
        <v>378,477</v>
      </c>
      <c r="D74" s="6">
        <f t="shared" si="3"/>
        <v>378.477</v>
      </c>
      <c r="E74" s="6">
        <f t="shared" si="4"/>
        <v>2.899</v>
      </c>
    </row>
    <row r="75">
      <c r="A75" s="4" t="s">
        <v>5651</v>
      </c>
      <c r="B75" s="6" t="str">
        <f t="shared" si="1"/>
        <v>380.340</v>
      </c>
      <c r="C75" s="6" t="str">
        <f t="shared" si="2"/>
        <v>380,340</v>
      </c>
      <c r="D75" s="6">
        <f t="shared" si="3"/>
        <v>380.34</v>
      </c>
      <c r="E75" s="6">
        <f t="shared" si="4"/>
        <v>1.863</v>
      </c>
    </row>
    <row r="76">
      <c r="A76" s="4" t="s">
        <v>5652</v>
      </c>
      <c r="B76" s="6" t="str">
        <f t="shared" si="1"/>
        <v>382.733</v>
      </c>
      <c r="C76" s="6" t="str">
        <f t="shared" si="2"/>
        <v>382,733</v>
      </c>
      <c r="D76" s="6">
        <f t="shared" si="3"/>
        <v>382.733</v>
      </c>
      <c r="E76" s="6">
        <f t="shared" si="4"/>
        <v>2.393</v>
      </c>
    </row>
    <row r="77">
      <c r="A77" s="4" t="s">
        <v>5653</v>
      </c>
      <c r="B77" s="6" t="str">
        <f t="shared" si="1"/>
        <v>388.288</v>
      </c>
      <c r="C77" s="6" t="str">
        <f t="shared" si="2"/>
        <v>388,288</v>
      </c>
      <c r="D77" s="6">
        <f t="shared" si="3"/>
        <v>388.288</v>
      </c>
      <c r="E77" s="6">
        <f t="shared" si="4"/>
        <v>5.555</v>
      </c>
    </row>
    <row r="78">
      <c r="A78" s="4" t="s">
        <v>5654</v>
      </c>
      <c r="B78" s="6" t="str">
        <f t="shared" si="1"/>
        <v>388.939</v>
      </c>
      <c r="C78" s="6" t="str">
        <f t="shared" si="2"/>
        <v>388,939</v>
      </c>
      <c r="D78" s="6">
        <f t="shared" si="3"/>
        <v>388.939</v>
      </c>
      <c r="E78" s="6">
        <f t="shared" si="4"/>
        <v>0.651</v>
      </c>
    </row>
    <row r="79">
      <c r="A79" s="4" t="s">
        <v>5655</v>
      </c>
      <c r="B79" s="6" t="str">
        <f t="shared" si="1"/>
        <v>391.514</v>
      </c>
      <c r="C79" s="6" t="str">
        <f t="shared" si="2"/>
        <v>391,514</v>
      </c>
      <c r="D79" s="6">
        <f t="shared" si="3"/>
        <v>391.514</v>
      </c>
      <c r="E79" s="6">
        <f t="shared" si="4"/>
        <v>2.575</v>
      </c>
    </row>
    <row r="80">
      <c r="A80" s="4" t="s">
        <v>5656</v>
      </c>
      <c r="B80" s="6" t="str">
        <f t="shared" si="1"/>
        <v>391.957</v>
      </c>
      <c r="C80" s="6" t="str">
        <f t="shared" si="2"/>
        <v>391,957</v>
      </c>
      <c r="D80" s="6">
        <f t="shared" si="3"/>
        <v>391.957</v>
      </c>
      <c r="E80" s="6">
        <f t="shared" si="4"/>
        <v>0.443</v>
      </c>
    </row>
    <row r="81">
      <c r="A81" s="4" t="s">
        <v>5657</v>
      </c>
      <c r="B81" s="6" t="str">
        <f t="shared" si="1"/>
        <v>393.401</v>
      </c>
      <c r="C81" s="6" t="str">
        <f t="shared" si="2"/>
        <v>393,401</v>
      </c>
      <c r="D81" s="6">
        <f t="shared" si="3"/>
        <v>393.401</v>
      </c>
      <c r="E81" s="6">
        <f t="shared" si="4"/>
        <v>1.444</v>
      </c>
    </row>
    <row r="82">
      <c r="A82" s="4" t="s">
        <v>5658</v>
      </c>
      <c r="B82" s="6" t="str">
        <f t="shared" si="1"/>
        <v>393.797</v>
      </c>
      <c r="C82" s="6" t="str">
        <f t="shared" si="2"/>
        <v>393,797</v>
      </c>
      <c r="D82" s="6">
        <f t="shared" si="3"/>
        <v>393.797</v>
      </c>
      <c r="E82" s="6">
        <f t="shared" si="4"/>
        <v>0.396</v>
      </c>
    </row>
    <row r="83">
      <c r="A83" s="4" t="s">
        <v>5659</v>
      </c>
      <c r="B83" s="6" t="str">
        <f t="shared" si="1"/>
        <v>398.198</v>
      </c>
      <c r="C83" s="6" t="str">
        <f t="shared" si="2"/>
        <v>398,198</v>
      </c>
      <c r="D83" s="6">
        <f t="shared" si="3"/>
        <v>398.198</v>
      </c>
      <c r="E83" s="6">
        <f t="shared" si="4"/>
        <v>4.401</v>
      </c>
    </row>
    <row r="84">
      <c r="A84" s="4" t="s">
        <v>5660</v>
      </c>
      <c r="B84" s="6" t="str">
        <f t="shared" si="1"/>
        <v>400.430</v>
      </c>
      <c r="C84" s="6" t="str">
        <f t="shared" si="2"/>
        <v>400,430</v>
      </c>
      <c r="D84" s="6">
        <f t="shared" si="3"/>
        <v>400.43</v>
      </c>
      <c r="E84" s="6">
        <f t="shared" si="4"/>
        <v>2.232</v>
      </c>
    </row>
    <row r="85">
      <c r="A85" s="4" t="s">
        <v>5661</v>
      </c>
      <c r="B85" s="6" t="str">
        <f t="shared" si="1"/>
        <v>400.884</v>
      </c>
      <c r="C85" s="6" t="str">
        <f t="shared" si="2"/>
        <v>400,884</v>
      </c>
      <c r="D85" s="6">
        <f t="shared" si="3"/>
        <v>400.884</v>
      </c>
      <c r="E85" s="6">
        <f t="shared" si="4"/>
        <v>0.454</v>
      </c>
    </row>
    <row r="86">
      <c r="A86" s="4" t="s">
        <v>5662</v>
      </c>
      <c r="B86" s="6" t="str">
        <f t="shared" si="1"/>
        <v>409.696</v>
      </c>
      <c r="C86" s="6" t="str">
        <f t="shared" si="2"/>
        <v>409,696</v>
      </c>
      <c r="D86" s="6">
        <f t="shared" si="3"/>
        <v>409.696</v>
      </c>
      <c r="E86" s="6">
        <f t="shared" si="4"/>
        <v>8.812</v>
      </c>
    </row>
    <row r="87">
      <c r="A87" s="4" t="s">
        <v>5663</v>
      </c>
      <c r="B87" s="6" t="str">
        <f t="shared" si="1"/>
        <v>413.580</v>
      </c>
      <c r="C87" s="6" t="str">
        <f t="shared" si="2"/>
        <v>413,580</v>
      </c>
      <c r="D87" s="6">
        <f t="shared" si="3"/>
        <v>413.58</v>
      </c>
      <c r="E87" s="6">
        <f t="shared" si="4"/>
        <v>3.884</v>
      </c>
    </row>
    <row r="88">
      <c r="A88" s="4" t="s">
        <v>5664</v>
      </c>
      <c r="B88" s="6" t="str">
        <f t="shared" si="1"/>
        <v>413.971</v>
      </c>
      <c r="C88" s="6" t="str">
        <f t="shared" si="2"/>
        <v>413,971</v>
      </c>
      <c r="D88" s="6">
        <f t="shared" si="3"/>
        <v>413.971</v>
      </c>
      <c r="E88" s="6">
        <f t="shared" si="4"/>
        <v>0.391</v>
      </c>
    </row>
    <row r="89">
      <c r="A89" s="4" t="s">
        <v>5665</v>
      </c>
      <c r="B89" s="6" t="str">
        <f t="shared" si="1"/>
        <v>414.377</v>
      </c>
      <c r="C89" s="6" t="str">
        <f t="shared" si="2"/>
        <v>414,377</v>
      </c>
      <c r="D89" s="6">
        <f t="shared" si="3"/>
        <v>414.377</v>
      </c>
      <c r="E89" s="6">
        <f t="shared" si="4"/>
        <v>0.406</v>
      </c>
    </row>
    <row r="90">
      <c r="A90" s="4" t="s">
        <v>5666</v>
      </c>
      <c r="B90" s="6" t="str">
        <f t="shared" si="1"/>
        <v>414.798</v>
      </c>
      <c r="C90" s="6" t="str">
        <f t="shared" si="2"/>
        <v>414,798</v>
      </c>
      <c r="D90" s="6">
        <f t="shared" si="3"/>
        <v>414.798</v>
      </c>
      <c r="E90" s="6">
        <f t="shared" si="4"/>
        <v>0.421</v>
      </c>
    </row>
    <row r="91">
      <c r="A91" s="4" t="s">
        <v>5667</v>
      </c>
      <c r="B91" s="6" t="str">
        <f t="shared" si="1"/>
        <v>416.633</v>
      </c>
      <c r="C91" s="6" t="str">
        <f t="shared" si="2"/>
        <v>416,633</v>
      </c>
      <c r="D91" s="6">
        <f t="shared" si="3"/>
        <v>416.633</v>
      </c>
      <c r="E91" s="6">
        <f t="shared" si="4"/>
        <v>1.835</v>
      </c>
    </row>
    <row r="92">
      <c r="A92" s="4" t="s">
        <v>5668</v>
      </c>
      <c r="B92" s="6" t="str">
        <f t="shared" si="1"/>
        <v>427.231</v>
      </c>
      <c r="C92" s="6" t="str">
        <f t="shared" si="2"/>
        <v>427,231</v>
      </c>
      <c r="D92" s="6">
        <f t="shared" si="3"/>
        <v>427.231</v>
      </c>
      <c r="E92" s="6">
        <f t="shared" si="4"/>
        <v>10.598</v>
      </c>
    </row>
    <row r="93">
      <c r="A93" s="4" t="s">
        <v>5669</v>
      </c>
      <c r="B93" s="6" t="str">
        <f t="shared" si="1"/>
        <v>427.732</v>
      </c>
      <c r="C93" s="6" t="str">
        <f t="shared" si="2"/>
        <v>427,732</v>
      </c>
      <c r="D93" s="6">
        <f t="shared" si="3"/>
        <v>427.732</v>
      </c>
      <c r="E93" s="6">
        <f t="shared" si="4"/>
        <v>0.501</v>
      </c>
    </row>
    <row r="94">
      <c r="A94" s="4" t="s">
        <v>5670</v>
      </c>
      <c r="B94" s="6" t="str">
        <f t="shared" si="1"/>
        <v>437.178</v>
      </c>
      <c r="C94" s="6" t="str">
        <f t="shared" si="2"/>
        <v>437,178</v>
      </c>
      <c r="D94" s="6">
        <f t="shared" si="3"/>
        <v>437.178</v>
      </c>
      <c r="E94" s="6">
        <f t="shared" si="4"/>
        <v>9.446</v>
      </c>
    </row>
    <row r="95">
      <c r="A95" s="4" t="s">
        <v>5671</v>
      </c>
      <c r="B95" s="6" t="str">
        <f t="shared" si="1"/>
        <v>444.616</v>
      </c>
      <c r="C95" s="6" t="str">
        <f t="shared" si="2"/>
        <v>444,616</v>
      </c>
      <c r="D95" s="6">
        <f t="shared" si="3"/>
        <v>444.616</v>
      </c>
      <c r="E95" s="6">
        <f t="shared" si="4"/>
        <v>7.438</v>
      </c>
    </row>
    <row r="96">
      <c r="A96" s="4" t="s">
        <v>5672</v>
      </c>
      <c r="B96" s="6" t="str">
        <f t="shared" si="1"/>
        <v>449.311</v>
      </c>
      <c r="C96" s="6" t="str">
        <f t="shared" si="2"/>
        <v>449,311</v>
      </c>
      <c r="D96" s="6">
        <f t="shared" si="3"/>
        <v>449.311</v>
      </c>
      <c r="E96" s="6">
        <f t="shared" si="4"/>
        <v>4.695</v>
      </c>
    </row>
    <row r="97">
      <c r="A97" s="4" t="s">
        <v>5673</v>
      </c>
      <c r="B97" s="6" t="str">
        <f t="shared" si="1"/>
        <v>451.289</v>
      </c>
      <c r="C97" s="6" t="str">
        <f t="shared" si="2"/>
        <v>451,289</v>
      </c>
      <c r="D97" s="6">
        <f t="shared" si="3"/>
        <v>451.289</v>
      </c>
      <c r="E97" s="6">
        <f t="shared" si="4"/>
        <v>1.978</v>
      </c>
    </row>
    <row r="98">
      <c r="A98" s="4" t="s">
        <v>5674</v>
      </c>
      <c r="B98" s="6" t="str">
        <f t="shared" si="1"/>
        <v>457.744</v>
      </c>
      <c r="C98" s="6" t="str">
        <f t="shared" si="2"/>
        <v>457,744</v>
      </c>
      <c r="D98" s="6">
        <f t="shared" si="3"/>
        <v>457.744</v>
      </c>
      <c r="E98" s="6">
        <f t="shared" si="4"/>
        <v>6.455</v>
      </c>
    </row>
    <row r="99">
      <c r="A99" s="4" t="s">
        <v>5675</v>
      </c>
      <c r="B99" s="6" t="str">
        <f t="shared" si="1"/>
        <v>467.435</v>
      </c>
      <c r="C99" s="6" t="str">
        <f t="shared" si="2"/>
        <v>467,435</v>
      </c>
      <c r="D99" s="6">
        <f t="shared" si="3"/>
        <v>467.435</v>
      </c>
      <c r="E99" s="6">
        <f t="shared" si="4"/>
        <v>9.691</v>
      </c>
    </row>
    <row r="100">
      <c r="A100" s="4" t="s">
        <v>5676</v>
      </c>
      <c r="B100" s="6" t="str">
        <f t="shared" si="1"/>
        <v>469.875</v>
      </c>
      <c r="C100" s="6" t="str">
        <f t="shared" si="2"/>
        <v>469,875</v>
      </c>
      <c r="D100" s="6">
        <f t="shared" si="3"/>
        <v>469.875</v>
      </c>
      <c r="E100" s="6">
        <f t="shared" si="4"/>
        <v>2.44</v>
      </c>
    </row>
    <row r="101">
      <c r="A101" s="4" t="s">
        <v>5677</v>
      </c>
      <c r="B101" s="6" t="str">
        <f t="shared" si="1"/>
        <v>470.401</v>
      </c>
      <c r="C101" s="6" t="str">
        <f t="shared" si="2"/>
        <v>470,401</v>
      </c>
      <c r="D101" s="6">
        <f t="shared" si="3"/>
        <v>470.401</v>
      </c>
      <c r="E101" s="6">
        <f t="shared" si="4"/>
        <v>0.526</v>
      </c>
    </row>
    <row r="102">
      <c r="A102" s="4" t="s">
        <v>5678</v>
      </c>
      <c r="B102" s="6" t="str">
        <f t="shared" si="1"/>
        <v>474.185</v>
      </c>
      <c r="C102" s="6" t="str">
        <f t="shared" si="2"/>
        <v>474,185</v>
      </c>
      <c r="D102" s="6">
        <f t="shared" si="3"/>
        <v>474.185</v>
      </c>
      <c r="E102" s="6">
        <f t="shared" si="4"/>
        <v>3.784</v>
      </c>
    </row>
    <row r="103">
      <c r="A103" s="4" t="s">
        <v>5679</v>
      </c>
      <c r="B103" s="6" t="str">
        <f t="shared" si="1"/>
        <v>486.843</v>
      </c>
      <c r="C103" s="6" t="str">
        <f t="shared" si="2"/>
        <v>486,843</v>
      </c>
      <c r="D103" s="6">
        <f t="shared" si="3"/>
        <v>486.843</v>
      </c>
      <c r="E103" s="6">
        <f t="shared" si="4"/>
        <v>12.658</v>
      </c>
    </row>
    <row r="104">
      <c r="A104" s="4" t="s">
        <v>5680</v>
      </c>
      <c r="B104" s="6" t="str">
        <f t="shared" si="1"/>
        <v>487.321</v>
      </c>
      <c r="C104" s="6" t="str">
        <f t="shared" si="2"/>
        <v>487,321</v>
      </c>
      <c r="D104" s="6">
        <f t="shared" si="3"/>
        <v>487.321</v>
      </c>
      <c r="E104" s="6">
        <f t="shared" si="4"/>
        <v>0.478</v>
      </c>
    </row>
    <row r="105">
      <c r="A105" s="4" t="s">
        <v>5681</v>
      </c>
      <c r="B105" s="6" t="str">
        <f t="shared" si="1"/>
        <v>487.741</v>
      </c>
      <c r="C105" s="6" t="str">
        <f t="shared" si="2"/>
        <v>487,741</v>
      </c>
      <c r="D105" s="6">
        <f t="shared" si="3"/>
        <v>487.741</v>
      </c>
      <c r="E105" s="6">
        <f t="shared" si="4"/>
        <v>0.42</v>
      </c>
    </row>
    <row r="106">
      <c r="A106" s="4" t="s">
        <v>5682</v>
      </c>
      <c r="B106" s="6" t="str">
        <f t="shared" si="1"/>
        <v>491.959</v>
      </c>
      <c r="C106" s="6" t="str">
        <f t="shared" si="2"/>
        <v>491,959</v>
      </c>
      <c r="D106" s="6">
        <f t="shared" si="3"/>
        <v>491.959</v>
      </c>
      <c r="E106" s="6">
        <f t="shared" si="4"/>
        <v>4.218</v>
      </c>
    </row>
    <row r="107">
      <c r="A107" s="4" t="s">
        <v>5683</v>
      </c>
      <c r="B107" s="6" t="str">
        <f t="shared" si="1"/>
        <v>492.405</v>
      </c>
      <c r="C107" s="6" t="str">
        <f t="shared" si="2"/>
        <v>492,405</v>
      </c>
      <c r="D107" s="6">
        <f t="shared" si="3"/>
        <v>492.405</v>
      </c>
      <c r="E107" s="6">
        <f t="shared" si="4"/>
        <v>0.446</v>
      </c>
    </row>
    <row r="108">
      <c r="A108" s="4" t="s">
        <v>5684</v>
      </c>
      <c r="B108" s="6" t="str">
        <f t="shared" si="1"/>
        <v>494.406</v>
      </c>
      <c r="C108" s="6" t="str">
        <f t="shared" si="2"/>
        <v>494,406</v>
      </c>
      <c r="D108" s="6">
        <f t="shared" si="3"/>
        <v>494.406</v>
      </c>
      <c r="E108" s="6">
        <f t="shared" si="4"/>
        <v>2.001</v>
      </c>
    </row>
    <row r="109">
      <c r="A109" s="4" t="s">
        <v>5685</v>
      </c>
      <c r="B109" s="6" t="str">
        <f t="shared" si="1"/>
        <v>496.858</v>
      </c>
      <c r="C109" s="6" t="str">
        <f t="shared" si="2"/>
        <v>496,858</v>
      </c>
      <c r="D109" s="6">
        <f t="shared" si="3"/>
        <v>496.858</v>
      </c>
      <c r="E109" s="6">
        <f t="shared" si="4"/>
        <v>2.452</v>
      </c>
    </row>
    <row r="110">
      <c r="A110" s="4" t="s">
        <v>5686</v>
      </c>
      <c r="B110" s="6" t="str">
        <f t="shared" si="1"/>
        <v>497.313</v>
      </c>
      <c r="C110" s="6" t="str">
        <f t="shared" si="2"/>
        <v>497,313</v>
      </c>
      <c r="D110" s="6">
        <f t="shared" si="3"/>
        <v>497.313</v>
      </c>
      <c r="E110" s="6">
        <f t="shared" si="4"/>
        <v>0.455</v>
      </c>
    </row>
    <row r="111">
      <c r="A111" s="4" t="s">
        <v>5687</v>
      </c>
      <c r="B111" s="6" t="str">
        <f t="shared" si="1"/>
        <v>501.896</v>
      </c>
      <c r="C111" s="6" t="str">
        <f t="shared" si="2"/>
        <v>501,896</v>
      </c>
      <c r="D111" s="6">
        <f t="shared" si="3"/>
        <v>501.896</v>
      </c>
      <c r="E111" s="6">
        <f t="shared" si="4"/>
        <v>4.583</v>
      </c>
    </row>
    <row r="112">
      <c r="A112" s="4" t="s">
        <v>5688</v>
      </c>
      <c r="B112" s="6" t="str">
        <f t="shared" si="1"/>
        <v>502.325</v>
      </c>
      <c r="C112" s="6" t="str">
        <f t="shared" si="2"/>
        <v>502,325</v>
      </c>
      <c r="D112" s="6">
        <f t="shared" si="3"/>
        <v>502.325</v>
      </c>
      <c r="E112" s="6">
        <f t="shared" si="4"/>
        <v>0.429</v>
      </c>
    </row>
    <row r="113">
      <c r="A113" s="4" t="s">
        <v>5689</v>
      </c>
      <c r="B113" s="6" t="str">
        <f t="shared" si="1"/>
        <v>505.945</v>
      </c>
      <c r="C113" s="6" t="str">
        <f t="shared" si="2"/>
        <v>505,945</v>
      </c>
      <c r="D113" s="6">
        <f t="shared" si="3"/>
        <v>505.945</v>
      </c>
      <c r="E113" s="6">
        <f t="shared" si="4"/>
        <v>3.62</v>
      </c>
    </row>
    <row r="114">
      <c r="A114" s="4" t="s">
        <v>5690</v>
      </c>
      <c r="B114" s="6" t="str">
        <f t="shared" si="1"/>
        <v>508.679</v>
      </c>
      <c r="C114" s="6" t="str">
        <f t="shared" si="2"/>
        <v>508,679</v>
      </c>
      <c r="D114" s="6">
        <f t="shared" si="3"/>
        <v>508.679</v>
      </c>
      <c r="E114" s="6">
        <f t="shared" si="4"/>
        <v>2.734</v>
      </c>
    </row>
    <row r="115">
      <c r="A115" s="4" t="s">
        <v>5691</v>
      </c>
      <c r="B115" s="6" t="str">
        <f t="shared" si="1"/>
        <v>509.936</v>
      </c>
      <c r="C115" s="6" t="str">
        <f t="shared" si="2"/>
        <v>509,936</v>
      </c>
      <c r="D115" s="6">
        <f t="shared" si="3"/>
        <v>509.936</v>
      </c>
      <c r="E115" s="6">
        <f t="shared" si="4"/>
        <v>1.257</v>
      </c>
    </row>
    <row r="116">
      <c r="A116" s="4" t="s">
        <v>5692</v>
      </c>
      <c r="B116" s="6" t="str">
        <f t="shared" si="1"/>
        <v>511.401</v>
      </c>
      <c r="C116" s="6" t="str">
        <f t="shared" si="2"/>
        <v>511,401</v>
      </c>
      <c r="D116" s="6">
        <f t="shared" si="3"/>
        <v>511.401</v>
      </c>
      <c r="E116" s="6">
        <f t="shared" si="4"/>
        <v>1.465</v>
      </c>
    </row>
    <row r="117">
      <c r="A117" s="4" t="s">
        <v>5693</v>
      </c>
      <c r="B117" s="6" t="str">
        <f t="shared" si="1"/>
        <v>511.840</v>
      </c>
      <c r="C117" s="6" t="str">
        <f t="shared" si="2"/>
        <v>511,840</v>
      </c>
      <c r="D117" s="6">
        <f t="shared" si="3"/>
        <v>511.84</v>
      </c>
      <c r="E117" s="6">
        <f t="shared" si="4"/>
        <v>0.439</v>
      </c>
    </row>
    <row r="118">
      <c r="A118" s="4" t="s">
        <v>5694</v>
      </c>
      <c r="B118" s="6" t="str">
        <f t="shared" si="1"/>
        <v>514.137</v>
      </c>
      <c r="C118" s="6" t="str">
        <f t="shared" si="2"/>
        <v>514,137</v>
      </c>
      <c r="D118" s="6">
        <f t="shared" si="3"/>
        <v>514.137</v>
      </c>
      <c r="E118" s="6">
        <f t="shared" si="4"/>
        <v>2.297</v>
      </c>
    </row>
    <row r="119">
      <c r="A119" s="4" t="s">
        <v>5695</v>
      </c>
      <c r="B119" s="6" t="str">
        <f t="shared" si="1"/>
        <v>514.814</v>
      </c>
      <c r="C119" s="6" t="str">
        <f t="shared" si="2"/>
        <v>514,814</v>
      </c>
      <c r="D119" s="6">
        <f t="shared" si="3"/>
        <v>514.814</v>
      </c>
      <c r="E119" s="6">
        <f t="shared" si="4"/>
        <v>0.677</v>
      </c>
    </row>
    <row r="120">
      <c r="A120" s="4" t="s">
        <v>5696</v>
      </c>
      <c r="B120" s="6" t="str">
        <f t="shared" si="1"/>
        <v>516.504</v>
      </c>
      <c r="C120" s="6" t="str">
        <f t="shared" si="2"/>
        <v>516,504</v>
      </c>
      <c r="D120" s="6">
        <f t="shared" si="3"/>
        <v>516.504</v>
      </c>
      <c r="E120" s="6">
        <f t="shared" si="4"/>
        <v>1.69</v>
      </c>
    </row>
    <row r="121">
      <c r="A121" s="4" t="s">
        <v>5697</v>
      </c>
      <c r="B121" s="6" t="str">
        <f t="shared" si="1"/>
        <v>517.078</v>
      </c>
      <c r="C121" s="6" t="str">
        <f t="shared" si="2"/>
        <v>517,078</v>
      </c>
      <c r="D121" s="6">
        <f t="shared" si="3"/>
        <v>517.078</v>
      </c>
      <c r="E121" s="6">
        <f t="shared" si="4"/>
        <v>0.574</v>
      </c>
    </row>
    <row r="122">
      <c r="A122" s="4" t="s">
        <v>5698</v>
      </c>
      <c r="B122" s="6" t="str">
        <f t="shared" si="1"/>
        <v>518.285</v>
      </c>
      <c r="C122" s="6" t="str">
        <f t="shared" si="2"/>
        <v>518,285</v>
      </c>
      <c r="D122" s="6">
        <f t="shared" si="3"/>
        <v>518.285</v>
      </c>
      <c r="E122" s="6">
        <f t="shared" si="4"/>
        <v>1.207</v>
      </c>
    </row>
    <row r="123">
      <c r="A123" s="4" t="s">
        <v>5699</v>
      </c>
      <c r="B123" s="6" t="str">
        <f t="shared" si="1"/>
        <v>519.222</v>
      </c>
      <c r="C123" s="6" t="str">
        <f t="shared" si="2"/>
        <v>519,222</v>
      </c>
      <c r="D123" s="6">
        <f t="shared" si="3"/>
        <v>519.222</v>
      </c>
      <c r="E123" s="6">
        <f t="shared" si="4"/>
        <v>0.937</v>
      </c>
    </row>
    <row r="124">
      <c r="A124" s="4" t="s">
        <v>5700</v>
      </c>
      <c r="B124" s="6" t="str">
        <f t="shared" si="1"/>
        <v>521.095</v>
      </c>
      <c r="C124" s="6" t="str">
        <f t="shared" si="2"/>
        <v>521,095</v>
      </c>
      <c r="D124" s="6">
        <f t="shared" si="3"/>
        <v>521.095</v>
      </c>
      <c r="E124" s="6">
        <f t="shared" si="4"/>
        <v>1.873</v>
      </c>
    </row>
    <row r="125">
      <c r="A125" s="4" t="s">
        <v>5701</v>
      </c>
      <c r="B125" s="6" t="str">
        <f t="shared" si="1"/>
        <v>522.190</v>
      </c>
      <c r="C125" s="6" t="str">
        <f t="shared" si="2"/>
        <v>522,190</v>
      </c>
      <c r="D125" s="6">
        <f t="shared" si="3"/>
        <v>522.19</v>
      </c>
      <c r="E125" s="6">
        <f t="shared" si="4"/>
        <v>1.095</v>
      </c>
    </row>
    <row r="126">
      <c r="A126" s="4" t="s">
        <v>5702</v>
      </c>
      <c r="B126" s="6" t="str">
        <f t="shared" si="1"/>
        <v>525.397</v>
      </c>
      <c r="C126" s="6" t="str">
        <f t="shared" si="2"/>
        <v>525,397</v>
      </c>
      <c r="D126" s="6">
        <f t="shared" si="3"/>
        <v>525.397</v>
      </c>
      <c r="E126" s="6">
        <f t="shared" si="4"/>
        <v>3.207</v>
      </c>
    </row>
    <row r="127">
      <c r="A127" s="4" t="s">
        <v>5703</v>
      </c>
      <c r="B127" s="6" t="str">
        <f t="shared" si="1"/>
        <v>526.825</v>
      </c>
      <c r="C127" s="6" t="str">
        <f t="shared" si="2"/>
        <v>526,825</v>
      </c>
      <c r="D127" s="6">
        <f t="shared" si="3"/>
        <v>526.825</v>
      </c>
      <c r="E127" s="6">
        <f t="shared" si="4"/>
        <v>1.428</v>
      </c>
    </row>
    <row r="128">
      <c r="A128" s="4" t="s">
        <v>5704</v>
      </c>
      <c r="B128" s="6" t="str">
        <f t="shared" si="1"/>
        <v>531.523</v>
      </c>
      <c r="C128" s="6" t="str">
        <f t="shared" si="2"/>
        <v>531,523</v>
      </c>
      <c r="D128" s="6">
        <f t="shared" si="3"/>
        <v>531.523</v>
      </c>
      <c r="E128" s="6">
        <f t="shared" si="4"/>
        <v>4.698</v>
      </c>
    </row>
    <row r="129">
      <c r="A129" s="4" t="s">
        <v>5705</v>
      </c>
      <c r="B129" s="6" t="str">
        <f t="shared" si="1"/>
        <v>531.935</v>
      </c>
      <c r="C129" s="6" t="str">
        <f t="shared" si="2"/>
        <v>531,935</v>
      </c>
      <c r="D129" s="6">
        <f t="shared" si="3"/>
        <v>531.935</v>
      </c>
      <c r="E129" s="6">
        <f t="shared" si="4"/>
        <v>0.412</v>
      </c>
    </row>
    <row r="130">
      <c r="A130" s="4" t="s">
        <v>5706</v>
      </c>
      <c r="B130" s="6" t="str">
        <f t="shared" si="1"/>
        <v>532.344</v>
      </c>
      <c r="C130" s="6" t="str">
        <f t="shared" si="2"/>
        <v>532,344</v>
      </c>
      <c r="D130" s="6">
        <f t="shared" si="3"/>
        <v>532.344</v>
      </c>
      <c r="E130" s="6">
        <f t="shared" si="4"/>
        <v>0.409</v>
      </c>
    </row>
    <row r="131">
      <c r="A131" s="4" t="s">
        <v>5707</v>
      </c>
      <c r="B131" s="6" t="str">
        <f t="shared" si="1"/>
        <v>534.057</v>
      </c>
      <c r="C131" s="6" t="str">
        <f t="shared" si="2"/>
        <v>534,057</v>
      </c>
      <c r="D131" s="6">
        <f t="shared" si="3"/>
        <v>534.057</v>
      </c>
      <c r="E131" s="6">
        <f t="shared" si="4"/>
        <v>1.713</v>
      </c>
    </row>
    <row r="132">
      <c r="A132" s="4" t="s">
        <v>5708</v>
      </c>
      <c r="B132" s="6" t="str">
        <f t="shared" si="1"/>
        <v>534.876</v>
      </c>
      <c r="C132" s="6" t="str">
        <f t="shared" si="2"/>
        <v>534,876</v>
      </c>
      <c r="D132" s="6">
        <f t="shared" si="3"/>
        <v>534.876</v>
      </c>
      <c r="E132" s="6">
        <f t="shared" si="4"/>
        <v>0.819</v>
      </c>
    </row>
    <row r="133">
      <c r="A133" s="4" t="s">
        <v>5709</v>
      </c>
      <c r="B133" s="6" t="str">
        <f t="shared" si="1"/>
        <v>535.287</v>
      </c>
      <c r="C133" s="6" t="str">
        <f t="shared" si="2"/>
        <v>535,287</v>
      </c>
      <c r="D133" s="6">
        <f t="shared" si="3"/>
        <v>535.287</v>
      </c>
      <c r="E133" s="6">
        <f t="shared" si="4"/>
        <v>0.411</v>
      </c>
    </row>
    <row r="134">
      <c r="A134" s="4" t="s">
        <v>5710</v>
      </c>
      <c r="B134" s="6" t="str">
        <f t="shared" si="1"/>
        <v>542.212</v>
      </c>
      <c r="C134" s="6" t="str">
        <f t="shared" si="2"/>
        <v>542,212</v>
      </c>
      <c r="D134" s="6">
        <f t="shared" si="3"/>
        <v>542.212</v>
      </c>
      <c r="E134" s="6">
        <f t="shared" si="4"/>
        <v>6.925</v>
      </c>
    </row>
    <row r="135">
      <c r="A135" s="4" t="s">
        <v>5711</v>
      </c>
      <c r="B135" s="6" t="str">
        <f t="shared" si="1"/>
        <v>542.859</v>
      </c>
      <c r="C135" s="6" t="str">
        <f t="shared" si="2"/>
        <v>542,859</v>
      </c>
      <c r="D135" s="6">
        <f t="shared" si="3"/>
        <v>542.859</v>
      </c>
      <c r="E135" s="6">
        <f t="shared" si="4"/>
        <v>0.647</v>
      </c>
    </row>
    <row r="136">
      <c r="A136" s="4" t="s">
        <v>5712</v>
      </c>
      <c r="B136" s="6" t="str">
        <f t="shared" si="1"/>
        <v>545.192</v>
      </c>
      <c r="C136" s="6" t="str">
        <f t="shared" si="2"/>
        <v>545,192</v>
      </c>
      <c r="D136" s="6">
        <f t="shared" si="3"/>
        <v>545.192</v>
      </c>
      <c r="E136" s="6">
        <f t="shared" si="4"/>
        <v>2.333</v>
      </c>
    </row>
    <row r="137">
      <c r="A137" s="4" t="s">
        <v>5713</v>
      </c>
      <c r="B137" s="6" t="str">
        <f t="shared" si="1"/>
        <v>547.486</v>
      </c>
      <c r="C137" s="6" t="str">
        <f t="shared" si="2"/>
        <v>547,486</v>
      </c>
      <c r="D137" s="6">
        <f t="shared" si="3"/>
        <v>547.486</v>
      </c>
      <c r="E137" s="6">
        <f t="shared" si="4"/>
        <v>2.294</v>
      </c>
    </row>
    <row r="138">
      <c r="A138" s="4" t="s">
        <v>5714</v>
      </c>
      <c r="B138" s="6" t="str">
        <f t="shared" si="1"/>
        <v>548.189</v>
      </c>
      <c r="C138" s="6" t="str">
        <f t="shared" si="2"/>
        <v>548,189</v>
      </c>
      <c r="D138" s="6">
        <f t="shared" si="3"/>
        <v>548.189</v>
      </c>
      <c r="E138" s="6">
        <f t="shared" si="4"/>
        <v>0.703</v>
      </c>
    </row>
    <row r="139">
      <c r="A139" s="4" t="s">
        <v>5715</v>
      </c>
      <c r="B139" s="6" t="str">
        <f t="shared" si="1"/>
        <v>559.234</v>
      </c>
      <c r="C139" s="6" t="str">
        <f t="shared" si="2"/>
        <v>559,234</v>
      </c>
      <c r="D139" s="6">
        <f t="shared" si="3"/>
        <v>559.234</v>
      </c>
      <c r="E139" s="6">
        <f t="shared" si="4"/>
        <v>11.045</v>
      </c>
    </row>
    <row r="140">
      <c r="A140" s="4" t="s">
        <v>5716</v>
      </c>
      <c r="B140" s="6" t="str">
        <f t="shared" si="1"/>
        <v>561.968</v>
      </c>
      <c r="C140" s="6" t="str">
        <f t="shared" si="2"/>
        <v>561,968</v>
      </c>
      <c r="D140" s="6">
        <f t="shared" si="3"/>
        <v>561.968</v>
      </c>
      <c r="E140" s="6">
        <f t="shared" si="4"/>
        <v>2.734</v>
      </c>
    </row>
    <row r="141">
      <c r="A141" s="4" t="s">
        <v>5717</v>
      </c>
      <c r="B141" s="6" t="str">
        <f t="shared" si="1"/>
        <v>563.374</v>
      </c>
      <c r="C141" s="6" t="str">
        <f t="shared" si="2"/>
        <v>563,374</v>
      </c>
      <c r="D141" s="6">
        <f t="shared" si="3"/>
        <v>563.374</v>
      </c>
      <c r="E141" s="6">
        <f t="shared" si="4"/>
        <v>1.406</v>
      </c>
    </row>
    <row r="142">
      <c r="A142" s="4" t="s">
        <v>5718</v>
      </c>
      <c r="B142" s="6" t="str">
        <f t="shared" si="1"/>
        <v>563.880</v>
      </c>
      <c r="C142" s="6" t="str">
        <f t="shared" si="2"/>
        <v>563,880</v>
      </c>
      <c r="D142" s="6">
        <f t="shared" si="3"/>
        <v>563.88</v>
      </c>
      <c r="E142" s="6">
        <f t="shared" si="4"/>
        <v>0.506</v>
      </c>
    </row>
    <row r="143">
      <c r="A143" s="4" t="s">
        <v>5719</v>
      </c>
      <c r="B143" s="6" t="str">
        <f t="shared" si="1"/>
        <v>567.714</v>
      </c>
      <c r="C143" s="6" t="str">
        <f t="shared" si="2"/>
        <v>567,714</v>
      </c>
      <c r="D143" s="6">
        <f t="shared" si="3"/>
        <v>567.714</v>
      </c>
      <c r="E143" s="6">
        <f t="shared" si="4"/>
        <v>3.834</v>
      </c>
    </row>
    <row r="144">
      <c r="A144" s="4" t="s">
        <v>5720</v>
      </c>
      <c r="B144" s="6" t="str">
        <f t="shared" si="1"/>
        <v>570.685</v>
      </c>
      <c r="C144" s="6" t="str">
        <f t="shared" si="2"/>
        <v>570,685</v>
      </c>
      <c r="D144" s="6">
        <f t="shared" si="3"/>
        <v>570.685</v>
      </c>
      <c r="E144" s="6">
        <f t="shared" si="4"/>
        <v>2.971</v>
      </c>
    </row>
    <row r="145">
      <c r="A145" s="4" t="s">
        <v>5721</v>
      </c>
      <c r="B145" s="6" t="str">
        <f t="shared" si="1"/>
        <v>575.884</v>
      </c>
      <c r="C145" s="6" t="str">
        <f t="shared" si="2"/>
        <v>575,884</v>
      </c>
      <c r="D145" s="6">
        <f t="shared" si="3"/>
        <v>575.884</v>
      </c>
      <c r="E145" s="6">
        <f t="shared" si="4"/>
        <v>5.199</v>
      </c>
    </row>
    <row r="146">
      <c r="A146" s="4" t="s">
        <v>5722</v>
      </c>
      <c r="B146" s="6" t="str">
        <f t="shared" si="1"/>
        <v>580.780</v>
      </c>
      <c r="C146" s="6" t="str">
        <f t="shared" si="2"/>
        <v>580,780</v>
      </c>
      <c r="D146" s="6">
        <f t="shared" si="3"/>
        <v>580.78</v>
      </c>
      <c r="E146" s="6">
        <f t="shared" si="4"/>
        <v>4.896</v>
      </c>
    </row>
    <row r="147">
      <c r="A147" s="4" t="s">
        <v>5723</v>
      </c>
      <c r="B147" s="6" t="str">
        <f t="shared" si="1"/>
        <v>586.342</v>
      </c>
      <c r="C147" s="6" t="str">
        <f t="shared" si="2"/>
        <v>586,342</v>
      </c>
      <c r="D147" s="6">
        <f t="shared" si="3"/>
        <v>586.342</v>
      </c>
      <c r="E147" s="6">
        <f t="shared" si="4"/>
        <v>5.562</v>
      </c>
    </row>
    <row r="148">
      <c r="A148" s="4" t="s">
        <v>5724</v>
      </c>
      <c r="B148" s="6" t="str">
        <f t="shared" si="1"/>
        <v>607.339</v>
      </c>
      <c r="C148" s="6" t="str">
        <f t="shared" si="2"/>
        <v>607,339</v>
      </c>
      <c r="D148" s="6">
        <f t="shared" si="3"/>
        <v>607.339</v>
      </c>
      <c r="E148" s="6">
        <f t="shared" si="4"/>
        <v>20.997</v>
      </c>
    </row>
    <row r="149">
      <c r="A149" s="4" t="s">
        <v>5725</v>
      </c>
      <c r="B149" s="6" t="str">
        <f t="shared" si="1"/>
        <v>611.203</v>
      </c>
      <c r="C149" s="6" t="str">
        <f t="shared" si="2"/>
        <v>611,203</v>
      </c>
      <c r="D149" s="6">
        <f t="shared" si="3"/>
        <v>611.203</v>
      </c>
      <c r="E149" s="6">
        <f t="shared" si="4"/>
        <v>3.864</v>
      </c>
    </row>
    <row r="150">
      <c r="A150" s="4" t="s">
        <v>5726</v>
      </c>
      <c r="B150" s="6" t="str">
        <f t="shared" si="1"/>
        <v>611.643</v>
      </c>
      <c r="C150" s="6" t="str">
        <f t="shared" si="2"/>
        <v>611,643</v>
      </c>
      <c r="D150" s="6">
        <f t="shared" si="3"/>
        <v>611.643</v>
      </c>
      <c r="E150" s="6">
        <f t="shared" si="4"/>
        <v>0.44</v>
      </c>
    </row>
    <row r="151">
      <c r="A151" s="4" t="s">
        <v>5727</v>
      </c>
      <c r="B151" s="6" t="str">
        <f t="shared" si="1"/>
        <v>612.864</v>
      </c>
      <c r="C151" s="6" t="str">
        <f t="shared" si="2"/>
        <v>612,864</v>
      </c>
      <c r="D151" s="6">
        <f t="shared" si="3"/>
        <v>612.864</v>
      </c>
      <c r="E151" s="6">
        <f t="shared" si="4"/>
        <v>1.221</v>
      </c>
    </row>
    <row r="152">
      <c r="A152" s="4" t="s">
        <v>5728</v>
      </c>
      <c r="B152" s="6" t="str">
        <f t="shared" si="1"/>
        <v>614.170</v>
      </c>
      <c r="C152" s="6" t="str">
        <f t="shared" si="2"/>
        <v>614,170</v>
      </c>
      <c r="D152" s="6">
        <f t="shared" si="3"/>
        <v>614.17</v>
      </c>
      <c r="E152" s="6">
        <f t="shared" si="4"/>
        <v>1.306</v>
      </c>
    </row>
    <row r="153">
      <c r="A153" s="4" t="s">
        <v>5729</v>
      </c>
      <c r="B153" s="6" t="str">
        <f t="shared" si="1"/>
        <v>617.545</v>
      </c>
      <c r="C153" s="6" t="str">
        <f t="shared" si="2"/>
        <v>617,545</v>
      </c>
      <c r="D153" s="6">
        <f t="shared" si="3"/>
        <v>617.545</v>
      </c>
      <c r="E153" s="6">
        <f t="shared" si="4"/>
        <v>3.375</v>
      </c>
    </row>
    <row r="154">
      <c r="A154" s="4" t="s">
        <v>5730</v>
      </c>
      <c r="B154" s="6" t="str">
        <f t="shared" si="1"/>
        <v>621.855</v>
      </c>
      <c r="C154" s="6" t="str">
        <f t="shared" si="2"/>
        <v>621,855</v>
      </c>
      <c r="D154" s="6">
        <f t="shared" si="3"/>
        <v>621.855</v>
      </c>
      <c r="E154" s="6">
        <f t="shared" si="4"/>
        <v>4.31</v>
      </c>
    </row>
    <row r="155">
      <c r="A155" s="4" t="s">
        <v>5731</v>
      </c>
      <c r="B155" s="6" t="str">
        <f t="shared" si="1"/>
        <v>626.130</v>
      </c>
      <c r="C155" s="6" t="str">
        <f t="shared" si="2"/>
        <v>626,130</v>
      </c>
      <c r="D155" s="6">
        <f t="shared" si="3"/>
        <v>626.13</v>
      </c>
      <c r="E155" s="6">
        <f t="shared" si="4"/>
        <v>4.275</v>
      </c>
    </row>
    <row r="156">
      <c r="A156" s="4" t="s">
        <v>5732</v>
      </c>
      <c r="B156" s="6" t="str">
        <f t="shared" si="1"/>
        <v>632.882</v>
      </c>
      <c r="C156" s="6" t="str">
        <f t="shared" si="2"/>
        <v>632,882</v>
      </c>
      <c r="D156" s="6">
        <f t="shared" si="3"/>
        <v>632.882</v>
      </c>
      <c r="E156" s="6">
        <f t="shared" si="4"/>
        <v>6.752</v>
      </c>
    </row>
    <row r="157">
      <c r="A157" s="4" t="s">
        <v>5733</v>
      </c>
      <c r="B157" s="6" t="str">
        <f t="shared" si="1"/>
        <v>633.544</v>
      </c>
      <c r="C157" s="6" t="str">
        <f t="shared" si="2"/>
        <v>633,544</v>
      </c>
      <c r="D157" s="6">
        <f t="shared" si="3"/>
        <v>633.544</v>
      </c>
      <c r="E157" s="6">
        <f t="shared" si="4"/>
        <v>0.662</v>
      </c>
    </row>
    <row r="158">
      <c r="A158" s="4" t="s">
        <v>5734</v>
      </c>
      <c r="B158" s="6" t="str">
        <f t="shared" si="1"/>
        <v>636.185</v>
      </c>
      <c r="C158" s="6" t="str">
        <f t="shared" si="2"/>
        <v>636,185</v>
      </c>
      <c r="D158" s="6">
        <f t="shared" si="3"/>
        <v>636.185</v>
      </c>
      <c r="E158" s="6">
        <f t="shared" si="4"/>
        <v>2.641</v>
      </c>
    </row>
    <row r="159">
      <c r="A159" s="4" t="s">
        <v>5735</v>
      </c>
      <c r="B159" s="6" t="str">
        <f t="shared" si="1"/>
        <v>639.897</v>
      </c>
      <c r="C159" s="6" t="str">
        <f t="shared" si="2"/>
        <v>639,897</v>
      </c>
      <c r="D159" s="6">
        <f t="shared" si="3"/>
        <v>639.897</v>
      </c>
      <c r="E159" s="6">
        <f t="shared" si="4"/>
        <v>3.712</v>
      </c>
    </row>
    <row r="160">
      <c r="A160" s="4" t="s">
        <v>5736</v>
      </c>
      <c r="B160" s="6" t="str">
        <f t="shared" si="1"/>
        <v>647.633</v>
      </c>
      <c r="C160" s="6" t="str">
        <f t="shared" si="2"/>
        <v>647,633</v>
      </c>
      <c r="D160" s="6">
        <f t="shared" si="3"/>
        <v>647.633</v>
      </c>
      <c r="E160" s="6">
        <f t="shared" si="4"/>
        <v>7.736</v>
      </c>
    </row>
    <row r="161">
      <c r="A161" s="4" t="s">
        <v>5737</v>
      </c>
      <c r="B161" s="6" t="str">
        <f t="shared" si="1"/>
        <v>648.627</v>
      </c>
      <c r="C161" s="6" t="str">
        <f t="shared" si="2"/>
        <v>648,627</v>
      </c>
      <c r="D161" s="6">
        <f t="shared" si="3"/>
        <v>648.627</v>
      </c>
      <c r="E161" s="6">
        <f t="shared" si="4"/>
        <v>0.994</v>
      </c>
    </row>
    <row r="162">
      <c r="A162" s="4" t="s">
        <v>5738</v>
      </c>
      <c r="B162" s="6" t="str">
        <f t="shared" si="1"/>
        <v>649.638</v>
      </c>
      <c r="C162" s="6" t="str">
        <f t="shared" si="2"/>
        <v>649,638</v>
      </c>
      <c r="D162" s="6">
        <f t="shared" si="3"/>
        <v>649.638</v>
      </c>
      <c r="E162" s="6">
        <f t="shared" si="4"/>
        <v>1.011</v>
      </c>
    </row>
    <row r="163">
      <c r="A163" s="4" t="s">
        <v>5739</v>
      </c>
      <c r="B163" s="6" t="str">
        <f t="shared" si="1"/>
        <v>651.481</v>
      </c>
      <c r="C163" s="6" t="str">
        <f t="shared" si="2"/>
        <v>651,481</v>
      </c>
      <c r="D163" s="6">
        <f t="shared" si="3"/>
        <v>651.481</v>
      </c>
      <c r="E163" s="6">
        <f t="shared" si="4"/>
        <v>1.843</v>
      </c>
    </row>
    <row r="164">
      <c r="A164" s="4" t="s">
        <v>5740</v>
      </c>
      <c r="B164" s="6" t="str">
        <f t="shared" si="1"/>
        <v>654.656</v>
      </c>
      <c r="C164" s="6" t="str">
        <f t="shared" si="2"/>
        <v>654,656</v>
      </c>
      <c r="D164" s="6">
        <f t="shared" si="3"/>
        <v>654.656</v>
      </c>
      <c r="E164" s="6">
        <f t="shared" si="4"/>
        <v>3.175</v>
      </c>
    </row>
    <row r="165">
      <c r="A165" s="4" t="s">
        <v>5741</v>
      </c>
      <c r="B165" s="6" t="str">
        <f t="shared" si="1"/>
        <v>658.142</v>
      </c>
      <c r="C165" s="6" t="str">
        <f t="shared" si="2"/>
        <v>658,142</v>
      </c>
      <c r="D165" s="6">
        <f t="shared" si="3"/>
        <v>658.142</v>
      </c>
      <c r="E165" s="6">
        <f t="shared" si="4"/>
        <v>3.486</v>
      </c>
    </row>
    <row r="166">
      <c r="A166" s="4" t="s">
        <v>5742</v>
      </c>
      <c r="B166" s="6" t="str">
        <f t="shared" si="1"/>
        <v>660.418</v>
      </c>
      <c r="C166" s="6" t="str">
        <f t="shared" si="2"/>
        <v>660,418</v>
      </c>
      <c r="D166" s="6">
        <f t="shared" si="3"/>
        <v>660.418</v>
      </c>
      <c r="E166" s="6">
        <f t="shared" si="4"/>
        <v>2.276</v>
      </c>
    </row>
    <row r="167">
      <c r="A167" s="4" t="s">
        <v>5743</v>
      </c>
      <c r="B167" s="6" t="str">
        <f t="shared" si="1"/>
        <v>661.564</v>
      </c>
      <c r="C167" s="6" t="str">
        <f t="shared" si="2"/>
        <v>661,564</v>
      </c>
      <c r="D167" s="6">
        <f t="shared" si="3"/>
        <v>661.564</v>
      </c>
      <c r="E167" s="6">
        <f t="shared" si="4"/>
        <v>1.146</v>
      </c>
    </row>
    <row r="168">
      <c r="A168" s="4" t="s">
        <v>5744</v>
      </c>
      <c r="B168" s="6" t="str">
        <f t="shared" si="1"/>
        <v>665.482</v>
      </c>
      <c r="C168" s="6" t="str">
        <f t="shared" si="2"/>
        <v>665,482</v>
      </c>
      <c r="D168" s="6">
        <f t="shared" si="3"/>
        <v>665.482</v>
      </c>
      <c r="E168" s="6">
        <f t="shared" si="4"/>
        <v>3.918</v>
      </c>
    </row>
    <row r="169">
      <c r="A169" s="4" t="s">
        <v>5745</v>
      </c>
      <c r="B169" s="6" t="str">
        <f t="shared" si="1"/>
        <v>666.680</v>
      </c>
      <c r="C169" s="6" t="str">
        <f t="shared" si="2"/>
        <v>666,680</v>
      </c>
      <c r="D169" s="6">
        <f t="shared" si="3"/>
        <v>666.68</v>
      </c>
      <c r="E169" s="6">
        <f t="shared" si="4"/>
        <v>1.198</v>
      </c>
    </row>
    <row r="170">
      <c r="A170" s="4" t="s">
        <v>5746</v>
      </c>
      <c r="B170" s="6" t="str">
        <f t="shared" si="1"/>
        <v>667.470</v>
      </c>
      <c r="C170" s="6" t="str">
        <f t="shared" si="2"/>
        <v>667,470</v>
      </c>
      <c r="D170" s="6">
        <f t="shared" si="3"/>
        <v>667.47</v>
      </c>
      <c r="E170" s="6">
        <f t="shared" si="4"/>
        <v>0.79</v>
      </c>
    </row>
    <row r="171">
      <c r="A171" s="4" t="s">
        <v>5747</v>
      </c>
      <c r="B171" s="6" t="str">
        <f t="shared" si="1"/>
        <v>669.117</v>
      </c>
      <c r="C171" s="6" t="str">
        <f t="shared" si="2"/>
        <v>669,117</v>
      </c>
      <c r="D171" s="6">
        <f t="shared" si="3"/>
        <v>669.117</v>
      </c>
      <c r="E171" s="6">
        <f t="shared" si="4"/>
        <v>1.647</v>
      </c>
    </row>
    <row r="172">
      <c r="A172" s="4" t="s">
        <v>5748</v>
      </c>
      <c r="B172" s="6" t="str">
        <f t="shared" si="1"/>
        <v>669.847</v>
      </c>
      <c r="C172" s="6" t="str">
        <f t="shared" si="2"/>
        <v>669,847</v>
      </c>
      <c r="D172" s="6">
        <f t="shared" si="3"/>
        <v>669.847</v>
      </c>
      <c r="E172" s="6">
        <f t="shared" si="4"/>
        <v>0.73</v>
      </c>
    </row>
    <row r="173">
      <c r="A173" s="4" t="s">
        <v>5749</v>
      </c>
      <c r="B173" s="6" t="str">
        <f t="shared" si="1"/>
        <v>672.424</v>
      </c>
      <c r="C173" s="6" t="str">
        <f t="shared" si="2"/>
        <v>672,424</v>
      </c>
      <c r="D173" s="6">
        <f t="shared" si="3"/>
        <v>672.424</v>
      </c>
      <c r="E173" s="6">
        <f t="shared" si="4"/>
        <v>2.577</v>
      </c>
    </row>
    <row r="174">
      <c r="A174" s="4" t="s">
        <v>5750</v>
      </c>
      <c r="B174" s="6" t="str">
        <f t="shared" si="1"/>
        <v>680.182</v>
      </c>
      <c r="C174" s="6" t="str">
        <f t="shared" si="2"/>
        <v>680,182</v>
      </c>
      <c r="D174" s="6">
        <f t="shared" si="3"/>
        <v>680.182</v>
      </c>
      <c r="E174" s="6">
        <f t="shared" si="4"/>
        <v>7.758</v>
      </c>
    </row>
    <row r="175">
      <c r="A175" s="4" t="s">
        <v>5751</v>
      </c>
      <c r="B175" s="6" t="str">
        <f t="shared" si="1"/>
        <v>680.787</v>
      </c>
      <c r="C175" s="6" t="str">
        <f t="shared" si="2"/>
        <v>680,787</v>
      </c>
      <c r="D175" s="6">
        <f t="shared" si="3"/>
        <v>680.787</v>
      </c>
      <c r="E175" s="6">
        <f t="shared" si="4"/>
        <v>0.605</v>
      </c>
    </row>
    <row r="176">
      <c r="A176" s="4" t="s">
        <v>5752</v>
      </c>
      <c r="B176" s="6" t="str">
        <f t="shared" si="1"/>
        <v>690.971</v>
      </c>
      <c r="C176" s="6" t="str">
        <f t="shared" si="2"/>
        <v>690,971</v>
      </c>
      <c r="D176" s="6">
        <f t="shared" si="3"/>
        <v>690.971</v>
      </c>
      <c r="E176" s="6">
        <f t="shared" si="4"/>
        <v>10.184</v>
      </c>
    </row>
    <row r="177">
      <c r="A177" s="4" t="s">
        <v>5753</v>
      </c>
      <c r="B177" s="6" t="str">
        <f t="shared" si="1"/>
        <v>691.467</v>
      </c>
      <c r="C177" s="6" t="str">
        <f t="shared" si="2"/>
        <v>691,467</v>
      </c>
      <c r="D177" s="6">
        <f t="shared" si="3"/>
        <v>691.467</v>
      </c>
      <c r="E177" s="6">
        <f t="shared" si="4"/>
        <v>0.496</v>
      </c>
    </row>
    <row r="178">
      <c r="A178" s="4" t="s">
        <v>5754</v>
      </c>
      <c r="B178" s="6" t="str">
        <f t="shared" si="1"/>
        <v>694.849</v>
      </c>
      <c r="C178" s="6" t="str">
        <f t="shared" si="2"/>
        <v>694,849</v>
      </c>
      <c r="D178" s="6">
        <f t="shared" si="3"/>
        <v>694.849</v>
      </c>
      <c r="E178" s="6">
        <f t="shared" si="4"/>
        <v>3.382</v>
      </c>
    </row>
    <row r="179">
      <c r="A179" s="4" t="s">
        <v>5755</v>
      </c>
      <c r="B179" s="6" t="str">
        <f t="shared" si="1"/>
        <v>701.195</v>
      </c>
      <c r="C179" s="6" t="str">
        <f t="shared" si="2"/>
        <v>701,195</v>
      </c>
      <c r="D179" s="6">
        <f t="shared" si="3"/>
        <v>701.195</v>
      </c>
      <c r="E179" s="6">
        <f t="shared" si="4"/>
        <v>6.346</v>
      </c>
    </row>
    <row r="180">
      <c r="A180" s="4" t="s">
        <v>5756</v>
      </c>
      <c r="B180" s="6" t="str">
        <f t="shared" si="1"/>
        <v>708.693</v>
      </c>
      <c r="C180" s="6" t="str">
        <f t="shared" si="2"/>
        <v>708,693</v>
      </c>
      <c r="D180" s="6">
        <f t="shared" si="3"/>
        <v>708.693</v>
      </c>
      <c r="E180" s="6">
        <f t="shared" si="4"/>
        <v>7.498</v>
      </c>
    </row>
    <row r="181">
      <c r="A181" s="4" t="s">
        <v>5757</v>
      </c>
      <c r="B181" s="6" t="str">
        <f t="shared" si="1"/>
        <v>709.564</v>
      </c>
      <c r="C181" s="6" t="str">
        <f t="shared" si="2"/>
        <v>709,564</v>
      </c>
      <c r="D181" s="6">
        <f t="shared" si="3"/>
        <v>709.564</v>
      </c>
      <c r="E181" s="6">
        <f t="shared" si="4"/>
        <v>0.871</v>
      </c>
    </row>
    <row r="182">
      <c r="A182" s="4" t="s">
        <v>5758</v>
      </c>
      <c r="B182" s="6" t="str">
        <f t="shared" si="1"/>
        <v>712.544</v>
      </c>
      <c r="C182" s="6" t="str">
        <f t="shared" si="2"/>
        <v>712,544</v>
      </c>
      <c r="D182" s="6">
        <f t="shared" si="3"/>
        <v>712.544</v>
      </c>
      <c r="E182" s="6">
        <f t="shared" si="4"/>
        <v>2.98</v>
      </c>
    </row>
    <row r="183">
      <c r="A183" s="4" t="s">
        <v>5759</v>
      </c>
      <c r="B183" s="6" t="str">
        <f t="shared" si="1"/>
        <v>715.846</v>
      </c>
      <c r="C183" s="6" t="str">
        <f t="shared" si="2"/>
        <v>715,846</v>
      </c>
      <c r="D183" s="6">
        <f t="shared" si="3"/>
        <v>715.846</v>
      </c>
      <c r="E183" s="6">
        <f t="shared" si="4"/>
        <v>3.302</v>
      </c>
    </row>
    <row r="184">
      <c r="A184" s="4" t="s">
        <v>5760</v>
      </c>
      <c r="B184" s="6" t="str">
        <f t="shared" si="1"/>
        <v>717.546</v>
      </c>
      <c r="C184" s="6" t="str">
        <f t="shared" si="2"/>
        <v>717,546</v>
      </c>
      <c r="D184" s="6">
        <f t="shared" si="3"/>
        <v>717.546</v>
      </c>
      <c r="E184" s="6">
        <f t="shared" si="4"/>
        <v>1.7</v>
      </c>
    </row>
    <row r="185">
      <c r="A185" s="4" t="s">
        <v>5761</v>
      </c>
      <c r="B185" s="6" t="str">
        <f t="shared" si="1"/>
        <v>725.149</v>
      </c>
      <c r="C185" s="6" t="str">
        <f t="shared" si="2"/>
        <v>725,149</v>
      </c>
      <c r="D185" s="6">
        <f t="shared" si="3"/>
        <v>725.149</v>
      </c>
      <c r="E185" s="6">
        <f t="shared" si="4"/>
        <v>7.603</v>
      </c>
    </row>
    <row r="186">
      <c r="A186" s="4" t="s">
        <v>5762</v>
      </c>
      <c r="B186" s="6" t="str">
        <f t="shared" si="1"/>
        <v>725.693</v>
      </c>
      <c r="C186" s="6" t="str">
        <f t="shared" si="2"/>
        <v>725,693</v>
      </c>
      <c r="D186" s="6">
        <f t="shared" si="3"/>
        <v>725.693</v>
      </c>
      <c r="E186" s="6">
        <f t="shared" si="4"/>
        <v>0.544</v>
      </c>
    </row>
    <row r="187">
      <c r="A187" s="4" t="s">
        <v>5763</v>
      </c>
      <c r="B187" s="6" t="str">
        <f t="shared" si="1"/>
        <v>728.006</v>
      </c>
      <c r="C187" s="6" t="str">
        <f t="shared" si="2"/>
        <v>728,006</v>
      </c>
      <c r="D187" s="6">
        <f t="shared" si="3"/>
        <v>728.006</v>
      </c>
      <c r="E187" s="6">
        <f t="shared" si="4"/>
        <v>2.313</v>
      </c>
    </row>
    <row r="188">
      <c r="A188" s="4" t="s">
        <v>5764</v>
      </c>
      <c r="B188" s="6" t="str">
        <f t="shared" si="1"/>
        <v>735.611</v>
      </c>
      <c r="C188" s="6" t="str">
        <f t="shared" si="2"/>
        <v>735,611</v>
      </c>
      <c r="D188" s="6">
        <f t="shared" si="3"/>
        <v>735.611</v>
      </c>
      <c r="E188" s="6">
        <f t="shared" si="4"/>
        <v>7.605</v>
      </c>
    </row>
    <row r="189">
      <c r="A189" s="4" t="s">
        <v>5765</v>
      </c>
      <c r="B189" s="6" t="str">
        <f t="shared" si="1"/>
        <v>737.212</v>
      </c>
      <c r="C189" s="6" t="str">
        <f t="shared" si="2"/>
        <v>737,212</v>
      </c>
      <c r="D189" s="6">
        <f t="shared" si="3"/>
        <v>737.212</v>
      </c>
      <c r="E189" s="6">
        <f t="shared" si="4"/>
        <v>1.601</v>
      </c>
    </row>
    <row r="190">
      <c r="A190" s="4" t="s">
        <v>5766</v>
      </c>
      <c r="B190" s="6" t="str">
        <f t="shared" si="1"/>
        <v>739.946</v>
      </c>
      <c r="C190" s="6" t="str">
        <f t="shared" si="2"/>
        <v>739,946</v>
      </c>
      <c r="D190" s="6">
        <f t="shared" si="3"/>
        <v>739.946</v>
      </c>
      <c r="E190" s="6">
        <f t="shared" si="4"/>
        <v>2.734</v>
      </c>
    </row>
    <row r="191">
      <c r="A191" s="4" t="s">
        <v>5767</v>
      </c>
      <c r="B191" s="6" t="str">
        <f t="shared" si="1"/>
        <v>746.426</v>
      </c>
      <c r="C191" s="6" t="str">
        <f t="shared" si="2"/>
        <v>746,426</v>
      </c>
      <c r="D191" s="6">
        <f t="shared" si="3"/>
        <v>746.426</v>
      </c>
      <c r="E191" s="6">
        <f t="shared" si="4"/>
        <v>6.48</v>
      </c>
    </row>
    <row r="192">
      <c r="A192" s="4" t="s">
        <v>5768</v>
      </c>
      <c r="B192" s="6" t="str">
        <f t="shared" si="1"/>
        <v>748.578</v>
      </c>
      <c r="C192" s="6" t="str">
        <f t="shared" si="2"/>
        <v>748,578</v>
      </c>
      <c r="D192" s="6">
        <f t="shared" si="3"/>
        <v>748.578</v>
      </c>
      <c r="E192" s="6">
        <f t="shared" si="4"/>
        <v>2.152</v>
      </c>
    </row>
    <row r="193">
      <c r="A193" s="4" t="s">
        <v>5769</v>
      </c>
      <c r="B193" s="6" t="str">
        <f t="shared" si="1"/>
        <v>754.011</v>
      </c>
      <c r="C193" s="6" t="str">
        <f t="shared" si="2"/>
        <v>754,011</v>
      </c>
      <c r="D193" s="6">
        <f t="shared" si="3"/>
        <v>754.011</v>
      </c>
      <c r="E193" s="6">
        <f t="shared" si="4"/>
        <v>5.433</v>
      </c>
    </row>
    <row r="194">
      <c r="A194" s="4" t="s">
        <v>5770</v>
      </c>
      <c r="B194" s="6" t="str">
        <f t="shared" si="1"/>
        <v>757.707</v>
      </c>
      <c r="C194" s="6" t="str">
        <f t="shared" si="2"/>
        <v>757,707</v>
      </c>
      <c r="D194" s="6">
        <f t="shared" si="3"/>
        <v>757.707</v>
      </c>
      <c r="E194" s="6">
        <f t="shared" si="4"/>
        <v>3.696</v>
      </c>
    </row>
    <row r="195">
      <c r="A195" s="4" t="s">
        <v>5771</v>
      </c>
      <c r="B195" s="6" t="str">
        <f t="shared" si="1"/>
        <v>761.202</v>
      </c>
      <c r="C195" s="6" t="str">
        <f t="shared" si="2"/>
        <v>761,202</v>
      </c>
      <c r="D195" s="6">
        <f t="shared" si="3"/>
        <v>761.202</v>
      </c>
      <c r="E195" s="6">
        <f t="shared" si="4"/>
        <v>3.495</v>
      </c>
    </row>
    <row r="196">
      <c r="A196" s="4" t="s">
        <v>5772</v>
      </c>
      <c r="B196" s="6" t="str">
        <f t="shared" si="1"/>
        <v>761.703</v>
      </c>
      <c r="C196" s="6" t="str">
        <f t="shared" si="2"/>
        <v>761,703</v>
      </c>
      <c r="D196" s="6">
        <f t="shared" si="3"/>
        <v>761.703</v>
      </c>
      <c r="E196" s="6">
        <f t="shared" si="4"/>
        <v>0.501</v>
      </c>
    </row>
    <row r="197">
      <c r="A197" s="4" t="s">
        <v>5773</v>
      </c>
      <c r="B197" s="6" t="str">
        <f t="shared" si="1"/>
        <v>762.776</v>
      </c>
      <c r="C197" s="6" t="str">
        <f t="shared" si="2"/>
        <v>762,776</v>
      </c>
      <c r="D197" s="6">
        <f t="shared" si="3"/>
        <v>762.776</v>
      </c>
      <c r="E197" s="6">
        <f t="shared" si="4"/>
        <v>1.073</v>
      </c>
    </row>
    <row r="198">
      <c r="A198" s="4" t="s">
        <v>5774</v>
      </c>
      <c r="B198" s="6" t="str">
        <f t="shared" si="1"/>
        <v>764.436</v>
      </c>
      <c r="C198" s="6" t="str">
        <f t="shared" si="2"/>
        <v>764,436</v>
      </c>
      <c r="D198" s="6">
        <f t="shared" si="3"/>
        <v>764.436</v>
      </c>
      <c r="E198" s="6">
        <f t="shared" si="4"/>
        <v>1.66</v>
      </c>
    </row>
    <row r="199">
      <c r="A199" s="4" t="s">
        <v>5775</v>
      </c>
      <c r="B199" s="6" t="str">
        <f t="shared" si="1"/>
        <v>765.604</v>
      </c>
      <c r="C199" s="6" t="str">
        <f t="shared" si="2"/>
        <v>765,604</v>
      </c>
      <c r="D199" s="6">
        <f t="shared" si="3"/>
        <v>765.604</v>
      </c>
      <c r="E199" s="6">
        <f t="shared" si="4"/>
        <v>1.168</v>
      </c>
    </row>
    <row r="200">
      <c r="A200" s="4" t="s">
        <v>5776</v>
      </c>
      <c r="B200" s="6" t="str">
        <f t="shared" si="1"/>
        <v>766.401</v>
      </c>
      <c r="C200" s="6" t="str">
        <f t="shared" si="2"/>
        <v>766,401</v>
      </c>
      <c r="D200" s="6">
        <f t="shared" si="3"/>
        <v>766.401</v>
      </c>
      <c r="E200" s="6">
        <f t="shared" si="4"/>
        <v>0.797</v>
      </c>
    </row>
    <row r="201">
      <c r="A201" s="4" t="s">
        <v>5777</v>
      </c>
      <c r="B201" s="6" t="str">
        <f t="shared" si="1"/>
        <v>771.636</v>
      </c>
      <c r="C201" s="6" t="str">
        <f t="shared" si="2"/>
        <v>771,636</v>
      </c>
      <c r="D201" s="6">
        <f t="shared" si="3"/>
        <v>771.636</v>
      </c>
      <c r="E201" s="6">
        <f t="shared" si="4"/>
        <v>5.235</v>
      </c>
    </row>
    <row r="202">
      <c r="A202" s="4" t="s">
        <v>5778</v>
      </c>
      <c r="B202" s="6" t="str">
        <f t="shared" si="1"/>
        <v>781.404</v>
      </c>
      <c r="C202" s="6" t="str">
        <f t="shared" si="2"/>
        <v>781,404</v>
      </c>
      <c r="D202" s="6">
        <f t="shared" si="3"/>
        <v>781.404</v>
      </c>
      <c r="E202" s="6">
        <f t="shared" si="4"/>
        <v>9.768</v>
      </c>
    </row>
    <row r="203">
      <c r="A203" s="4" t="s">
        <v>5779</v>
      </c>
      <c r="B203" s="6" t="str">
        <f t="shared" si="1"/>
        <v>781.813</v>
      </c>
      <c r="C203" s="6" t="str">
        <f t="shared" si="2"/>
        <v>781,813</v>
      </c>
      <c r="D203" s="6">
        <f t="shared" si="3"/>
        <v>781.813</v>
      </c>
      <c r="E203" s="6">
        <f t="shared" si="4"/>
        <v>0.409</v>
      </c>
    </row>
    <row r="204">
      <c r="A204" s="4" t="s">
        <v>5780</v>
      </c>
      <c r="B204" s="6" t="str">
        <f t="shared" si="1"/>
        <v>786.008</v>
      </c>
      <c r="C204" s="6" t="str">
        <f t="shared" si="2"/>
        <v>786,008</v>
      </c>
      <c r="D204" s="6">
        <f t="shared" si="3"/>
        <v>786.008</v>
      </c>
      <c r="E204" s="6">
        <f t="shared" si="4"/>
        <v>4.195</v>
      </c>
    </row>
    <row r="205">
      <c r="A205" s="4" t="s">
        <v>5781</v>
      </c>
      <c r="B205" s="6" t="str">
        <f t="shared" si="1"/>
        <v>786.424</v>
      </c>
      <c r="C205" s="6" t="str">
        <f t="shared" si="2"/>
        <v>786,424</v>
      </c>
      <c r="D205" s="6">
        <f t="shared" si="3"/>
        <v>786.424</v>
      </c>
      <c r="E205" s="6">
        <f t="shared" si="4"/>
        <v>0.416</v>
      </c>
    </row>
    <row r="206">
      <c r="A206" s="4" t="s">
        <v>5782</v>
      </c>
      <c r="B206" s="6" t="str">
        <f t="shared" si="1"/>
        <v>787.156</v>
      </c>
      <c r="C206" s="6" t="str">
        <f t="shared" si="2"/>
        <v>787,156</v>
      </c>
      <c r="D206" s="6">
        <f t="shared" si="3"/>
        <v>787.156</v>
      </c>
      <c r="E206" s="6">
        <f t="shared" si="4"/>
        <v>0.732</v>
      </c>
    </row>
    <row r="207">
      <c r="A207" s="4" t="s">
        <v>5783</v>
      </c>
      <c r="B207" s="6" t="str">
        <f t="shared" si="1"/>
        <v>787.707</v>
      </c>
      <c r="C207" s="6" t="str">
        <f t="shared" si="2"/>
        <v>787,707</v>
      </c>
      <c r="D207" s="6">
        <f t="shared" si="3"/>
        <v>787.707</v>
      </c>
      <c r="E207" s="6">
        <f t="shared" si="4"/>
        <v>0.551</v>
      </c>
    </row>
    <row r="208">
      <c r="A208" s="4" t="s">
        <v>5784</v>
      </c>
      <c r="B208" s="6" t="str">
        <f t="shared" si="1"/>
        <v>788.128</v>
      </c>
      <c r="C208" s="6" t="str">
        <f t="shared" si="2"/>
        <v>788,128</v>
      </c>
      <c r="D208" s="6">
        <f t="shared" si="3"/>
        <v>788.128</v>
      </c>
      <c r="E208" s="6">
        <f t="shared" si="4"/>
        <v>0.421</v>
      </c>
    </row>
    <row r="209">
      <c r="A209" s="4" t="s">
        <v>5785</v>
      </c>
      <c r="B209" s="6" t="str">
        <f t="shared" si="1"/>
        <v>790.596</v>
      </c>
      <c r="C209" s="6" t="str">
        <f t="shared" si="2"/>
        <v>790,596</v>
      </c>
      <c r="D209" s="6">
        <f t="shared" si="3"/>
        <v>790.596</v>
      </c>
      <c r="E209" s="6">
        <f t="shared" si="4"/>
        <v>2.468</v>
      </c>
    </row>
    <row r="210">
      <c r="A210" s="4" t="s">
        <v>5786</v>
      </c>
      <c r="B210" s="6" t="str">
        <f t="shared" si="1"/>
        <v>794.751</v>
      </c>
      <c r="C210" s="6" t="str">
        <f t="shared" si="2"/>
        <v>794,751</v>
      </c>
      <c r="D210" s="6">
        <f t="shared" si="3"/>
        <v>794.751</v>
      </c>
      <c r="E210" s="6">
        <f t="shared" si="4"/>
        <v>4.155</v>
      </c>
    </row>
    <row r="211">
      <c r="A211" s="4" t="s">
        <v>5787</v>
      </c>
      <c r="B211" s="6" t="str">
        <f t="shared" si="1"/>
        <v>797.417</v>
      </c>
      <c r="C211" s="6" t="str">
        <f t="shared" si="2"/>
        <v>797,417</v>
      </c>
      <c r="D211" s="6">
        <f t="shared" si="3"/>
        <v>797.417</v>
      </c>
      <c r="E211" s="6">
        <f t="shared" si="4"/>
        <v>2.666</v>
      </c>
    </row>
    <row r="212">
      <c r="A212" s="4" t="s">
        <v>5788</v>
      </c>
      <c r="B212" s="6" t="str">
        <f t="shared" si="1"/>
        <v>801.695</v>
      </c>
      <c r="C212" s="6" t="str">
        <f t="shared" si="2"/>
        <v>801,695</v>
      </c>
      <c r="D212" s="6">
        <f t="shared" si="3"/>
        <v>801.695</v>
      </c>
      <c r="E212" s="6">
        <f t="shared" si="4"/>
        <v>4.278</v>
      </c>
    </row>
    <row r="213">
      <c r="A213" s="4" t="s">
        <v>5789</v>
      </c>
      <c r="B213" s="6" t="str">
        <f t="shared" si="1"/>
        <v>802.164</v>
      </c>
      <c r="C213" s="6" t="str">
        <f t="shared" si="2"/>
        <v>802,164</v>
      </c>
      <c r="D213" s="6">
        <f t="shared" si="3"/>
        <v>802.164</v>
      </c>
      <c r="E213" s="6">
        <f t="shared" si="4"/>
        <v>0.469</v>
      </c>
    </row>
    <row r="214">
      <c r="A214" s="4" t="s">
        <v>5790</v>
      </c>
      <c r="B214" s="6" t="str">
        <f t="shared" si="1"/>
        <v>802.577</v>
      </c>
      <c r="C214" s="6" t="str">
        <f t="shared" si="2"/>
        <v>802,577</v>
      </c>
      <c r="D214" s="6">
        <f t="shared" si="3"/>
        <v>802.577</v>
      </c>
      <c r="E214" s="6">
        <f t="shared" si="4"/>
        <v>0.413</v>
      </c>
    </row>
    <row r="215">
      <c r="A215" s="4" t="s">
        <v>5791</v>
      </c>
      <c r="B215" s="6" t="str">
        <f t="shared" si="1"/>
        <v>803.631</v>
      </c>
      <c r="C215" s="6" t="str">
        <f t="shared" si="2"/>
        <v>803,631</v>
      </c>
      <c r="D215" s="6">
        <f t="shared" si="3"/>
        <v>803.631</v>
      </c>
      <c r="E215" s="6">
        <f t="shared" si="4"/>
        <v>1.054</v>
      </c>
    </row>
    <row r="216">
      <c r="A216" s="4" t="s">
        <v>5792</v>
      </c>
      <c r="B216" s="6" t="str">
        <f t="shared" si="1"/>
        <v>804.274</v>
      </c>
      <c r="C216" s="6" t="str">
        <f t="shared" si="2"/>
        <v>804,274</v>
      </c>
      <c r="D216" s="6">
        <f t="shared" si="3"/>
        <v>804.274</v>
      </c>
      <c r="E216" s="6">
        <f t="shared" si="4"/>
        <v>0.643</v>
      </c>
    </row>
    <row r="217">
      <c r="A217" s="4" t="s">
        <v>5793</v>
      </c>
      <c r="B217" s="6" t="str">
        <f t="shared" si="1"/>
        <v>804.979</v>
      </c>
      <c r="C217" s="6" t="str">
        <f t="shared" si="2"/>
        <v>804,979</v>
      </c>
      <c r="D217" s="6">
        <f t="shared" si="3"/>
        <v>804.979</v>
      </c>
      <c r="E217" s="6">
        <f t="shared" si="4"/>
        <v>0.705</v>
      </c>
    </row>
    <row r="218">
      <c r="A218" s="4" t="s">
        <v>5794</v>
      </c>
      <c r="B218" s="6" t="str">
        <f t="shared" si="1"/>
        <v>812.613</v>
      </c>
      <c r="C218" s="6" t="str">
        <f t="shared" si="2"/>
        <v>812,613</v>
      </c>
      <c r="D218" s="6">
        <f t="shared" si="3"/>
        <v>812.613</v>
      </c>
      <c r="E218" s="6">
        <f t="shared" si="4"/>
        <v>7.634</v>
      </c>
    </row>
    <row r="219">
      <c r="A219" s="4" t="s">
        <v>5795</v>
      </c>
      <c r="B219" s="6" t="str">
        <f t="shared" si="1"/>
        <v>818.382</v>
      </c>
      <c r="C219" s="6" t="str">
        <f t="shared" si="2"/>
        <v>818,382</v>
      </c>
      <c r="D219" s="6">
        <f t="shared" si="3"/>
        <v>818.382</v>
      </c>
      <c r="E219" s="6">
        <f t="shared" si="4"/>
        <v>5.769</v>
      </c>
    </row>
    <row r="220">
      <c r="A220" s="4" t="s">
        <v>5796</v>
      </c>
      <c r="B220" s="6" t="str">
        <f t="shared" si="1"/>
        <v>826.307</v>
      </c>
      <c r="C220" s="6" t="str">
        <f t="shared" si="2"/>
        <v>826,307</v>
      </c>
      <c r="D220" s="6">
        <f t="shared" si="3"/>
        <v>826.307</v>
      </c>
      <c r="E220" s="6">
        <f t="shared" si="4"/>
        <v>7.925</v>
      </c>
    </row>
    <row r="221">
      <c r="A221" s="4" t="s">
        <v>5797</v>
      </c>
      <c r="B221" s="6" t="str">
        <f t="shared" si="1"/>
        <v>828.246</v>
      </c>
      <c r="C221" s="6" t="str">
        <f t="shared" si="2"/>
        <v>828,246</v>
      </c>
      <c r="D221" s="6">
        <f t="shared" si="3"/>
        <v>828.246</v>
      </c>
      <c r="E221" s="6">
        <f t="shared" si="4"/>
        <v>1.939</v>
      </c>
    </row>
    <row r="222">
      <c r="A222" s="4" t="s">
        <v>5798</v>
      </c>
      <c r="B222" s="6" t="str">
        <f t="shared" si="1"/>
        <v>829.150</v>
      </c>
      <c r="C222" s="6" t="str">
        <f t="shared" si="2"/>
        <v>829,150</v>
      </c>
      <c r="D222" s="6">
        <f t="shared" si="3"/>
        <v>829.15</v>
      </c>
      <c r="E222" s="6">
        <f t="shared" si="4"/>
        <v>0.904</v>
      </c>
    </row>
    <row r="223">
      <c r="A223" s="4" t="s">
        <v>5799</v>
      </c>
      <c r="B223" s="6" t="str">
        <f t="shared" si="1"/>
        <v>834.096</v>
      </c>
      <c r="C223" s="6" t="str">
        <f t="shared" si="2"/>
        <v>834,096</v>
      </c>
      <c r="D223" s="6">
        <f t="shared" si="3"/>
        <v>834.096</v>
      </c>
      <c r="E223" s="6">
        <f t="shared" si="4"/>
        <v>4.946</v>
      </c>
    </row>
    <row r="224">
      <c r="A224" s="4" t="s">
        <v>5800</v>
      </c>
      <c r="B224" s="6" t="str">
        <f t="shared" si="1"/>
        <v>834.505</v>
      </c>
      <c r="C224" s="6" t="str">
        <f t="shared" si="2"/>
        <v>834,505</v>
      </c>
      <c r="D224" s="6">
        <f t="shared" si="3"/>
        <v>834.505</v>
      </c>
      <c r="E224" s="6">
        <f t="shared" si="4"/>
        <v>0.409</v>
      </c>
    </row>
    <row r="225">
      <c r="A225" s="4" t="s">
        <v>5801</v>
      </c>
      <c r="B225" s="6" t="str">
        <f t="shared" si="1"/>
        <v>834.940</v>
      </c>
      <c r="C225" s="6" t="str">
        <f t="shared" si="2"/>
        <v>834,940</v>
      </c>
      <c r="D225" s="6">
        <f t="shared" si="3"/>
        <v>834.94</v>
      </c>
      <c r="E225" s="6">
        <f t="shared" si="4"/>
        <v>0.435</v>
      </c>
    </row>
    <row r="226">
      <c r="A226" s="4" t="s">
        <v>5802</v>
      </c>
      <c r="B226" s="6" t="str">
        <f t="shared" si="1"/>
        <v>837.254</v>
      </c>
      <c r="C226" s="6" t="str">
        <f t="shared" si="2"/>
        <v>837,254</v>
      </c>
      <c r="D226" s="6">
        <f t="shared" si="3"/>
        <v>837.254</v>
      </c>
      <c r="E226" s="6">
        <f t="shared" si="4"/>
        <v>2.314</v>
      </c>
    </row>
    <row r="227">
      <c r="A227" s="4" t="s">
        <v>5803</v>
      </c>
      <c r="B227" s="6" t="str">
        <f t="shared" si="1"/>
        <v>849.352</v>
      </c>
      <c r="C227" s="6" t="str">
        <f t="shared" si="2"/>
        <v>849,352</v>
      </c>
      <c r="D227" s="6">
        <f t="shared" si="3"/>
        <v>849.352</v>
      </c>
      <c r="E227" s="6">
        <f t="shared" si="4"/>
        <v>12.098</v>
      </c>
    </row>
    <row r="228">
      <c r="A228" s="4" t="s">
        <v>5804</v>
      </c>
      <c r="B228" s="6" t="str">
        <f t="shared" si="1"/>
        <v>851.053</v>
      </c>
      <c r="C228" s="6" t="str">
        <f t="shared" si="2"/>
        <v>851,053</v>
      </c>
      <c r="D228" s="6">
        <f t="shared" si="3"/>
        <v>851.053</v>
      </c>
      <c r="E228" s="6">
        <f t="shared" si="4"/>
        <v>1.701</v>
      </c>
    </row>
    <row r="229">
      <c r="A229" s="4" t="s">
        <v>5805</v>
      </c>
      <c r="B229" s="6" t="str">
        <f t="shared" si="1"/>
        <v>852.522</v>
      </c>
      <c r="C229" s="6" t="str">
        <f t="shared" si="2"/>
        <v>852,522</v>
      </c>
      <c r="D229" s="6">
        <f t="shared" si="3"/>
        <v>852.522</v>
      </c>
      <c r="E229" s="6">
        <f t="shared" si="4"/>
        <v>1.469</v>
      </c>
    </row>
    <row r="230">
      <c r="A230" s="4" t="s">
        <v>5806</v>
      </c>
      <c r="B230" s="6" t="str">
        <f t="shared" si="1"/>
        <v>854.277</v>
      </c>
      <c r="C230" s="6" t="str">
        <f t="shared" si="2"/>
        <v>854,277</v>
      </c>
      <c r="D230" s="6">
        <f t="shared" si="3"/>
        <v>854.277</v>
      </c>
      <c r="E230" s="6">
        <f t="shared" si="4"/>
        <v>1.755</v>
      </c>
    </row>
    <row r="231">
      <c r="A231" s="4" t="s">
        <v>5807</v>
      </c>
      <c r="B231" s="6" t="str">
        <f t="shared" si="1"/>
        <v>858.231</v>
      </c>
      <c r="C231" s="6" t="str">
        <f t="shared" si="2"/>
        <v>858,231</v>
      </c>
      <c r="D231" s="6">
        <f t="shared" si="3"/>
        <v>858.231</v>
      </c>
      <c r="E231" s="6">
        <f t="shared" si="4"/>
        <v>3.954</v>
      </c>
    </row>
    <row r="232">
      <c r="A232" s="4" t="s">
        <v>5808</v>
      </c>
      <c r="B232" s="6" t="str">
        <f t="shared" si="1"/>
        <v>867.974</v>
      </c>
      <c r="C232" s="6" t="str">
        <f t="shared" si="2"/>
        <v>867,974</v>
      </c>
      <c r="D232" s="6">
        <f t="shared" si="3"/>
        <v>867.974</v>
      </c>
      <c r="E232" s="6">
        <f t="shared" si="4"/>
        <v>9.743</v>
      </c>
    </row>
    <row r="233">
      <c r="A233" s="4" t="s">
        <v>5809</v>
      </c>
      <c r="B233" s="6" t="str">
        <f t="shared" si="1"/>
        <v>868.447</v>
      </c>
      <c r="C233" s="6" t="str">
        <f t="shared" si="2"/>
        <v>868,447</v>
      </c>
      <c r="D233" s="6">
        <f t="shared" si="3"/>
        <v>868.447</v>
      </c>
      <c r="E233" s="6">
        <f t="shared" si="4"/>
        <v>0.473</v>
      </c>
    </row>
    <row r="234">
      <c r="A234" s="4" t="s">
        <v>5810</v>
      </c>
      <c r="B234" s="6" t="str">
        <f t="shared" si="1"/>
        <v>869.647</v>
      </c>
      <c r="C234" s="6" t="str">
        <f t="shared" si="2"/>
        <v>869,647</v>
      </c>
      <c r="D234" s="6">
        <f t="shared" si="3"/>
        <v>869.647</v>
      </c>
      <c r="E234" s="6">
        <f t="shared" si="4"/>
        <v>1.2</v>
      </c>
    </row>
    <row r="235">
      <c r="A235" s="4" t="s">
        <v>5811</v>
      </c>
      <c r="B235" s="6" t="str">
        <f t="shared" si="1"/>
        <v>877.993</v>
      </c>
      <c r="C235" s="6" t="str">
        <f t="shared" si="2"/>
        <v>877,993</v>
      </c>
      <c r="D235" s="6">
        <f t="shared" si="3"/>
        <v>877.993</v>
      </c>
      <c r="E235" s="6">
        <f t="shared" si="4"/>
        <v>8.346</v>
      </c>
    </row>
    <row r="236">
      <c r="A236" s="4" t="s">
        <v>5812</v>
      </c>
      <c r="B236" s="6" t="str">
        <f t="shared" si="1"/>
        <v>880.364</v>
      </c>
      <c r="C236" s="6" t="str">
        <f t="shared" si="2"/>
        <v>880,364</v>
      </c>
      <c r="D236" s="6">
        <f t="shared" si="3"/>
        <v>880.364</v>
      </c>
      <c r="E236" s="6">
        <f t="shared" si="4"/>
        <v>2.371</v>
      </c>
    </row>
    <row r="237">
      <c r="A237" s="4" t="s">
        <v>5813</v>
      </c>
      <c r="B237" s="6" t="str">
        <f t="shared" si="1"/>
        <v>880.809</v>
      </c>
      <c r="C237" s="6" t="str">
        <f t="shared" si="2"/>
        <v>880,809</v>
      </c>
      <c r="D237" s="6">
        <f t="shared" si="3"/>
        <v>880.809</v>
      </c>
      <c r="E237" s="6">
        <f t="shared" si="4"/>
        <v>0.445</v>
      </c>
    </row>
    <row r="238">
      <c r="A238" s="4" t="s">
        <v>5814</v>
      </c>
      <c r="B238" s="6" t="str">
        <f t="shared" si="1"/>
        <v>883.594</v>
      </c>
      <c r="C238" s="6" t="str">
        <f t="shared" si="2"/>
        <v>883,594</v>
      </c>
      <c r="D238" s="6">
        <f t="shared" si="3"/>
        <v>883.594</v>
      </c>
      <c r="E238" s="6">
        <f t="shared" si="4"/>
        <v>2.785</v>
      </c>
    </row>
    <row r="239">
      <c r="A239" s="4" t="s">
        <v>5815</v>
      </c>
      <c r="B239" s="6" t="str">
        <f t="shared" si="1"/>
        <v>888.427</v>
      </c>
      <c r="C239" s="6" t="str">
        <f t="shared" si="2"/>
        <v>888,427</v>
      </c>
      <c r="D239" s="6">
        <f t="shared" si="3"/>
        <v>888.427</v>
      </c>
      <c r="E239" s="6">
        <f t="shared" si="4"/>
        <v>4.833</v>
      </c>
    </row>
    <row r="240">
      <c r="A240" s="4" t="s">
        <v>5816</v>
      </c>
      <c r="B240" s="6" t="str">
        <f t="shared" si="1"/>
        <v>888.829</v>
      </c>
      <c r="C240" s="6" t="str">
        <f t="shared" si="2"/>
        <v>888,829</v>
      </c>
      <c r="D240" s="6">
        <f t="shared" si="3"/>
        <v>888.829</v>
      </c>
      <c r="E240" s="6">
        <f t="shared" si="4"/>
        <v>0.402</v>
      </c>
    </row>
    <row r="241">
      <c r="A241" s="4" t="s">
        <v>5817</v>
      </c>
      <c r="B241" s="6" t="str">
        <f t="shared" si="1"/>
        <v>893.616</v>
      </c>
      <c r="C241" s="6" t="str">
        <f t="shared" si="2"/>
        <v>893,616</v>
      </c>
      <c r="D241" s="6">
        <f t="shared" si="3"/>
        <v>893.616</v>
      </c>
      <c r="E241" s="6">
        <f t="shared" si="4"/>
        <v>4.787</v>
      </c>
    </row>
    <row r="242">
      <c r="A242" s="4" t="s">
        <v>5818</v>
      </c>
      <c r="B242" s="6" t="str">
        <f t="shared" si="1"/>
        <v>894.760</v>
      </c>
      <c r="C242" s="6" t="str">
        <f t="shared" si="2"/>
        <v>894,760</v>
      </c>
      <c r="D242" s="6">
        <f t="shared" si="3"/>
        <v>894.76</v>
      </c>
      <c r="E242" s="6">
        <f t="shared" si="4"/>
        <v>1.144</v>
      </c>
    </row>
    <row r="243">
      <c r="A243" s="4" t="s">
        <v>5819</v>
      </c>
      <c r="B243" s="6" t="str">
        <f t="shared" si="1"/>
        <v>896.398</v>
      </c>
      <c r="C243" s="6" t="str">
        <f t="shared" si="2"/>
        <v>896,398</v>
      </c>
      <c r="D243" s="6">
        <f t="shared" si="3"/>
        <v>896.398</v>
      </c>
      <c r="E243" s="6">
        <f t="shared" si="4"/>
        <v>1.638</v>
      </c>
    </row>
    <row r="244">
      <c r="A244" s="4" t="s">
        <v>5820</v>
      </c>
      <c r="B244" s="6" t="str">
        <f t="shared" si="1"/>
        <v>899.407</v>
      </c>
      <c r="C244" s="6" t="str">
        <f t="shared" si="2"/>
        <v>899,407</v>
      </c>
      <c r="D244" s="6">
        <f t="shared" si="3"/>
        <v>899.407</v>
      </c>
      <c r="E244" s="6">
        <f t="shared" si="4"/>
        <v>3.009</v>
      </c>
    </row>
    <row r="245">
      <c r="A245" s="4" t="s">
        <v>5821</v>
      </c>
      <c r="B245" s="6" t="str">
        <f t="shared" si="1"/>
        <v>906.110</v>
      </c>
      <c r="C245" s="6" t="str">
        <f t="shared" si="2"/>
        <v>906,110</v>
      </c>
      <c r="D245" s="6">
        <f t="shared" si="3"/>
        <v>906.11</v>
      </c>
      <c r="E245" s="6">
        <f t="shared" si="4"/>
        <v>6.703</v>
      </c>
    </row>
    <row r="246">
      <c r="A246" s="4" t="s">
        <v>5822</v>
      </c>
      <c r="B246" s="6" t="str">
        <f t="shared" si="1"/>
        <v>911.253</v>
      </c>
      <c r="C246" s="6" t="str">
        <f t="shared" si="2"/>
        <v>911,253</v>
      </c>
      <c r="D246" s="6">
        <f t="shared" si="3"/>
        <v>911.253</v>
      </c>
      <c r="E246" s="6">
        <f t="shared" si="4"/>
        <v>5.143</v>
      </c>
    </row>
    <row r="247">
      <c r="A247" s="4" t="s">
        <v>5823</v>
      </c>
      <c r="B247" s="6" t="str">
        <f t="shared" si="1"/>
        <v>912.302</v>
      </c>
      <c r="C247" s="6" t="str">
        <f t="shared" si="2"/>
        <v>912,302</v>
      </c>
      <c r="D247" s="6">
        <f t="shared" si="3"/>
        <v>912.302</v>
      </c>
      <c r="E247" s="6">
        <f t="shared" si="4"/>
        <v>1.049</v>
      </c>
    </row>
    <row r="248">
      <c r="A248" s="4" t="s">
        <v>5824</v>
      </c>
      <c r="B248" s="6" t="str">
        <f t="shared" si="1"/>
        <v>914.324</v>
      </c>
      <c r="C248" s="6" t="str">
        <f t="shared" si="2"/>
        <v>914,324</v>
      </c>
      <c r="D248" s="6">
        <f t="shared" si="3"/>
        <v>914.324</v>
      </c>
      <c r="E248" s="6">
        <f t="shared" si="4"/>
        <v>2.022</v>
      </c>
    </row>
    <row r="249">
      <c r="A249" s="4" t="s">
        <v>5825</v>
      </c>
      <c r="B249" s="6" t="str">
        <f t="shared" si="1"/>
        <v>915.333</v>
      </c>
      <c r="C249" s="6" t="str">
        <f t="shared" si="2"/>
        <v>915,333</v>
      </c>
      <c r="D249" s="6">
        <f t="shared" si="3"/>
        <v>915.333</v>
      </c>
      <c r="E249" s="6">
        <f t="shared" si="4"/>
        <v>1.009</v>
      </c>
    </row>
    <row r="250">
      <c r="A250" s="4" t="s">
        <v>5826</v>
      </c>
      <c r="B250" s="6" t="str">
        <f t="shared" si="1"/>
        <v>916.899</v>
      </c>
      <c r="C250" s="6" t="str">
        <f t="shared" si="2"/>
        <v>916,899</v>
      </c>
      <c r="D250" s="6">
        <f t="shared" si="3"/>
        <v>916.899</v>
      </c>
      <c r="E250" s="6">
        <f t="shared" si="4"/>
        <v>1.566</v>
      </c>
    </row>
    <row r="251">
      <c r="A251" s="4" t="s">
        <v>5827</v>
      </c>
      <c r="B251" s="6" t="str">
        <f t="shared" si="1"/>
        <v>917.330</v>
      </c>
      <c r="C251" s="6" t="str">
        <f t="shared" si="2"/>
        <v>917,330</v>
      </c>
      <c r="D251" s="6">
        <f t="shared" si="3"/>
        <v>917.33</v>
      </c>
      <c r="E251" s="6">
        <f t="shared" si="4"/>
        <v>0.431</v>
      </c>
    </row>
    <row r="252">
      <c r="A252" s="4" t="s">
        <v>5828</v>
      </c>
      <c r="B252" s="6" t="str">
        <f t="shared" si="1"/>
        <v>917.733</v>
      </c>
      <c r="C252" s="6" t="str">
        <f t="shared" si="2"/>
        <v>917,733</v>
      </c>
      <c r="D252" s="6">
        <f t="shared" si="3"/>
        <v>917.733</v>
      </c>
      <c r="E252" s="6">
        <f t="shared" si="4"/>
        <v>0.403</v>
      </c>
    </row>
    <row r="253">
      <c r="A253" s="4" t="s">
        <v>5829</v>
      </c>
      <c r="B253" s="6" t="str">
        <f t="shared" si="1"/>
        <v>922.265</v>
      </c>
      <c r="C253" s="6" t="str">
        <f t="shared" si="2"/>
        <v>922,265</v>
      </c>
      <c r="D253" s="6">
        <f t="shared" si="3"/>
        <v>922.265</v>
      </c>
      <c r="E253" s="6">
        <f t="shared" si="4"/>
        <v>4.532</v>
      </c>
    </row>
    <row r="254">
      <c r="A254" s="4" t="s">
        <v>5830</v>
      </c>
      <c r="B254" s="6" t="str">
        <f t="shared" si="1"/>
        <v>927.158</v>
      </c>
      <c r="C254" s="6" t="str">
        <f t="shared" si="2"/>
        <v>927,158</v>
      </c>
      <c r="D254" s="6">
        <f t="shared" si="3"/>
        <v>927.158</v>
      </c>
      <c r="E254" s="6">
        <f t="shared" si="4"/>
        <v>4.893</v>
      </c>
    </row>
    <row r="255">
      <c r="A255" s="4" t="s">
        <v>5831</v>
      </c>
      <c r="B255" s="6" t="str">
        <f t="shared" si="1"/>
        <v>928.398</v>
      </c>
      <c r="C255" s="6" t="str">
        <f t="shared" si="2"/>
        <v>928,398</v>
      </c>
      <c r="D255" s="6">
        <f t="shared" si="3"/>
        <v>928.398</v>
      </c>
      <c r="E255" s="6">
        <f t="shared" si="4"/>
        <v>1.24</v>
      </c>
    </row>
    <row r="256">
      <c r="A256" s="4" t="s">
        <v>5832</v>
      </c>
      <c r="B256" s="6" t="str">
        <f t="shared" si="1"/>
        <v>928.801</v>
      </c>
      <c r="C256" s="6" t="str">
        <f t="shared" si="2"/>
        <v>928,801</v>
      </c>
      <c r="D256" s="6">
        <f t="shared" si="3"/>
        <v>928.801</v>
      </c>
      <c r="E256" s="6">
        <f t="shared" si="4"/>
        <v>0.403</v>
      </c>
    </row>
    <row r="257">
      <c r="A257" s="4" t="s">
        <v>5833</v>
      </c>
      <c r="B257" s="6" t="str">
        <f t="shared" si="1"/>
        <v>929.219</v>
      </c>
      <c r="C257" s="6" t="str">
        <f t="shared" si="2"/>
        <v>929,219</v>
      </c>
      <c r="D257" s="6">
        <f t="shared" si="3"/>
        <v>929.219</v>
      </c>
      <c r="E257" s="6">
        <f t="shared" si="4"/>
        <v>0.418</v>
      </c>
    </row>
    <row r="258">
      <c r="A258" s="4" t="s">
        <v>5834</v>
      </c>
      <c r="B258" s="6" t="str">
        <f t="shared" si="1"/>
        <v>930.891</v>
      </c>
      <c r="C258" s="6" t="str">
        <f t="shared" si="2"/>
        <v>930,891</v>
      </c>
      <c r="D258" s="6">
        <f t="shared" si="3"/>
        <v>930.891</v>
      </c>
      <c r="E258" s="6">
        <f t="shared" si="4"/>
        <v>1.672</v>
      </c>
    </row>
    <row r="259">
      <c r="A259" s="4" t="s">
        <v>5835</v>
      </c>
      <c r="B259" s="6" t="str">
        <f t="shared" si="1"/>
        <v>933.433</v>
      </c>
      <c r="C259" s="6" t="str">
        <f t="shared" si="2"/>
        <v>933,433</v>
      </c>
      <c r="D259" s="6">
        <f t="shared" si="3"/>
        <v>933.433</v>
      </c>
      <c r="E259" s="6">
        <f t="shared" si="4"/>
        <v>2.542</v>
      </c>
    </row>
    <row r="260">
      <c r="A260" s="4" t="s">
        <v>5836</v>
      </c>
      <c r="B260" s="6" t="str">
        <f t="shared" si="1"/>
        <v>938.661</v>
      </c>
      <c r="C260" s="6" t="str">
        <f t="shared" si="2"/>
        <v>938,661</v>
      </c>
      <c r="D260" s="6">
        <f t="shared" si="3"/>
        <v>938.661</v>
      </c>
      <c r="E260" s="6">
        <f t="shared" si="4"/>
        <v>5.228</v>
      </c>
    </row>
    <row r="261">
      <c r="A261" s="4" t="s">
        <v>5837</v>
      </c>
      <c r="B261" s="6" t="str">
        <f t="shared" si="1"/>
        <v>939.096</v>
      </c>
      <c r="C261" s="6" t="str">
        <f t="shared" si="2"/>
        <v>939,096</v>
      </c>
      <c r="D261" s="6">
        <f t="shared" si="3"/>
        <v>939.096</v>
      </c>
      <c r="E261" s="6">
        <f t="shared" si="4"/>
        <v>0.435</v>
      </c>
    </row>
    <row r="262">
      <c r="A262" s="4" t="s">
        <v>5838</v>
      </c>
      <c r="B262" s="6" t="str">
        <f t="shared" si="1"/>
        <v>942.941</v>
      </c>
      <c r="C262" s="6" t="str">
        <f t="shared" si="2"/>
        <v>942,941</v>
      </c>
      <c r="D262" s="6">
        <f t="shared" si="3"/>
        <v>942.941</v>
      </c>
      <c r="E262" s="6">
        <f t="shared" si="4"/>
        <v>3.845</v>
      </c>
    </row>
    <row r="263">
      <c r="A263" s="4" t="s">
        <v>5839</v>
      </c>
      <c r="B263" s="6" t="str">
        <f t="shared" si="1"/>
        <v>946.784</v>
      </c>
      <c r="C263" s="6" t="str">
        <f t="shared" si="2"/>
        <v>946,784</v>
      </c>
      <c r="D263" s="6">
        <f t="shared" si="3"/>
        <v>946.784</v>
      </c>
      <c r="E263" s="6">
        <f t="shared" si="4"/>
        <v>3.843</v>
      </c>
    </row>
    <row r="264">
      <c r="A264" s="4" t="s">
        <v>5840</v>
      </c>
      <c r="B264" s="6" t="str">
        <f t="shared" si="1"/>
        <v>948.821</v>
      </c>
      <c r="C264" s="6" t="str">
        <f t="shared" si="2"/>
        <v>948,821</v>
      </c>
      <c r="D264" s="6">
        <f t="shared" si="3"/>
        <v>948.821</v>
      </c>
      <c r="E264" s="6">
        <f t="shared" si="4"/>
        <v>2.037</v>
      </c>
    </row>
    <row r="265">
      <c r="A265" s="4" t="s">
        <v>5841</v>
      </c>
      <c r="B265" s="6" t="str">
        <f t="shared" si="1"/>
        <v>953.043</v>
      </c>
      <c r="C265" s="6" t="str">
        <f t="shared" si="2"/>
        <v>953,043</v>
      </c>
      <c r="D265" s="6">
        <f t="shared" si="3"/>
        <v>953.043</v>
      </c>
      <c r="E265" s="6">
        <f t="shared" si="4"/>
        <v>4.222</v>
      </c>
    </row>
    <row r="266">
      <c r="A266" s="4" t="s">
        <v>5842</v>
      </c>
      <c r="B266" s="6" t="str">
        <f t="shared" si="1"/>
        <v>953.591</v>
      </c>
      <c r="C266" s="6" t="str">
        <f t="shared" si="2"/>
        <v>953,591</v>
      </c>
      <c r="D266" s="6">
        <f t="shared" si="3"/>
        <v>953.591</v>
      </c>
      <c r="E266" s="6">
        <f t="shared" si="4"/>
        <v>0.548</v>
      </c>
    </row>
    <row r="267">
      <c r="A267" s="4" t="s">
        <v>5843</v>
      </c>
      <c r="B267" s="6" t="str">
        <f t="shared" si="1"/>
        <v>954.240</v>
      </c>
      <c r="C267" s="6" t="str">
        <f t="shared" si="2"/>
        <v>954,240</v>
      </c>
      <c r="D267" s="6">
        <f t="shared" si="3"/>
        <v>954.24</v>
      </c>
      <c r="E267" s="6">
        <f t="shared" si="4"/>
        <v>0.649</v>
      </c>
    </row>
    <row r="268">
      <c r="A268" s="4" t="s">
        <v>5844</v>
      </c>
      <c r="B268" s="6" t="str">
        <f t="shared" si="1"/>
        <v>959.057</v>
      </c>
      <c r="C268" s="6" t="str">
        <f t="shared" si="2"/>
        <v>959,057</v>
      </c>
      <c r="D268" s="6">
        <f t="shared" si="3"/>
        <v>959.057</v>
      </c>
      <c r="E268" s="6">
        <f t="shared" si="4"/>
        <v>4.817</v>
      </c>
    </row>
    <row r="269">
      <c r="A269" s="4" t="s">
        <v>5845</v>
      </c>
      <c r="B269" s="6" t="str">
        <f t="shared" si="1"/>
        <v>962.030</v>
      </c>
      <c r="C269" s="6" t="str">
        <f t="shared" si="2"/>
        <v>962,030</v>
      </c>
      <c r="D269" s="6">
        <f t="shared" si="3"/>
        <v>962.03</v>
      </c>
      <c r="E269" s="6">
        <f t="shared" si="4"/>
        <v>2.973</v>
      </c>
    </row>
    <row r="270">
      <c r="A270" s="4" t="s">
        <v>5846</v>
      </c>
      <c r="B270" s="6" t="str">
        <f t="shared" si="1"/>
        <v>969.283</v>
      </c>
      <c r="C270" s="6" t="str">
        <f t="shared" si="2"/>
        <v>969,283</v>
      </c>
      <c r="D270" s="6">
        <f t="shared" si="3"/>
        <v>969.283</v>
      </c>
      <c r="E270" s="6">
        <f t="shared" si="4"/>
        <v>7.253</v>
      </c>
    </row>
    <row r="271">
      <c r="A271" s="4" t="s">
        <v>5847</v>
      </c>
      <c r="B271" s="6" t="str">
        <f t="shared" si="1"/>
        <v>975.014</v>
      </c>
      <c r="C271" s="6" t="str">
        <f t="shared" si="2"/>
        <v>975,014</v>
      </c>
      <c r="D271" s="6">
        <f t="shared" si="3"/>
        <v>975.014</v>
      </c>
      <c r="E271" s="6">
        <f t="shared" si="4"/>
        <v>5.731</v>
      </c>
    </row>
    <row r="272">
      <c r="A272" s="4" t="s">
        <v>5848</v>
      </c>
      <c r="B272" s="6" t="str">
        <f t="shared" si="1"/>
        <v>976.637</v>
      </c>
      <c r="C272" s="6" t="str">
        <f t="shared" si="2"/>
        <v>976,637</v>
      </c>
      <c r="D272" s="6">
        <f t="shared" si="3"/>
        <v>976.637</v>
      </c>
      <c r="E272" s="6">
        <f t="shared" si="4"/>
        <v>1.623</v>
      </c>
    </row>
    <row r="273">
      <c r="A273" s="4" t="s">
        <v>5849</v>
      </c>
      <c r="B273" s="6" t="str">
        <f t="shared" si="1"/>
        <v>980.612</v>
      </c>
      <c r="C273" s="6" t="str">
        <f t="shared" si="2"/>
        <v>980,612</v>
      </c>
      <c r="D273" s="6">
        <f t="shared" si="3"/>
        <v>980.612</v>
      </c>
      <c r="E273" s="6">
        <f t="shared" si="4"/>
        <v>3.975</v>
      </c>
    </row>
    <row r="274">
      <c r="A274" s="4" t="s">
        <v>5850</v>
      </c>
      <c r="B274" s="6" t="str">
        <f t="shared" si="1"/>
        <v>983.395</v>
      </c>
      <c r="C274" s="6" t="str">
        <f t="shared" si="2"/>
        <v>983,395</v>
      </c>
      <c r="D274" s="6">
        <f t="shared" si="3"/>
        <v>983.395</v>
      </c>
      <c r="E274" s="6">
        <f t="shared" si="4"/>
        <v>2.783</v>
      </c>
    </row>
    <row r="275">
      <c r="A275" s="4" t="s">
        <v>5851</v>
      </c>
      <c r="B275" s="6" t="str">
        <f t="shared" si="1"/>
        <v>989.087</v>
      </c>
      <c r="C275" s="6" t="str">
        <f t="shared" si="2"/>
        <v>989,087</v>
      </c>
      <c r="D275" s="6">
        <f t="shared" si="3"/>
        <v>989.087</v>
      </c>
      <c r="E275" s="6">
        <f t="shared" si="4"/>
        <v>5.692</v>
      </c>
    </row>
    <row r="276">
      <c r="A276" s="4" t="s">
        <v>5852</v>
      </c>
      <c r="B276" s="6" t="str">
        <f t="shared" si="1"/>
        <v>993.280</v>
      </c>
      <c r="C276" s="6" t="str">
        <f t="shared" si="2"/>
        <v>993,280</v>
      </c>
      <c r="D276" s="6">
        <f t="shared" si="3"/>
        <v>993.28</v>
      </c>
      <c r="E276" s="6">
        <f t="shared" si="4"/>
        <v>4.193</v>
      </c>
    </row>
    <row r="277">
      <c r="A277" s="4" t="s">
        <v>5853</v>
      </c>
      <c r="B277" s="6" t="str">
        <f t="shared" si="1"/>
        <v>1003.08</v>
      </c>
      <c r="C277" s="6" t="str">
        <f t="shared" si="2"/>
        <v>1003,08</v>
      </c>
      <c r="D277" s="6">
        <f t="shared" si="3"/>
        <v>1003.08</v>
      </c>
      <c r="E277" s="6">
        <f t="shared" si="4"/>
        <v>9.8</v>
      </c>
    </row>
    <row r="278">
      <c r="A278" s="4" t="s">
        <v>5854</v>
      </c>
      <c r="B278" s="6" t="str">
        <f t="shared" si="1"/>
        <v>1003.50</v>
      </c>
      <c r="C278" s="6" t="str">
        <f t="shared" si="2"/>
        <v>1003,50</v>
      </c>
      <c r="D278" s="6">
        <f t="shared" si="3"/>
        <v>1003.5</v>
      </c>
      <c r="E278" s="6">
        <f t="shared" si="4"/>
        <v>0.42</v>
      </c>
    </row>
    <row r="279">
      <c r="A279" s="4" t="s">
        <v>5855</v>
      </c>
      <c r="B279" s="6" t="str">
        <f t="shared" si="1"/>
        <v>1003.94</v>
      </c>
      <c r="C279" s="6" t="str">
        <f t="shared" si="2"/>
        <v>1003,94</v>
      </c>
      <c r="D279" s="6">
        <f t="shared" si="3"/>
        <v>1003.94</v>
      </c>
      <c r="E279" s="6">
        <f t="shared" si="4"/>
        <v>0.44</v>
      </c>
    </row>
    <row r="280">
      <c r="A280" s="4" t="s">
        <v>5856</v>
      </c>
      <c r="B280" s="6" t="str">
        <f t="shared" si="1"/>
        <v>1006.43</v>
      </c>
      <c r="C280" s="6" t="str">
        <f t="shared" si="2"/>
        <v>1006,43</v>
      </c>
      <c r="D280" s="6">
        <f t="shared" si="3"/>
        <v>1006.43</v>
      </c>
      <c r="E280" s="6">
        <f t="shared" si="4"/>
        <v>2.49</v>
      </c>
    </row>
    <row r="281">
      <c r="A281" s="4" t="s">
        <v>5857</v>
      </c>
      <c r="B281" s="6" t="str">
        <f t="shared" si="1"/>
        <v>1006.85</v>
      </c>
      <c r="C281" s="6" t="str">
        <f t="shared" si="2"/>
        <v>1006,85</v>
      </c>
      <c r="D281" s="6">
        <f t="shared" si="3"/>
        <v>1006.85</v>
      </c>
      <c r="E281" s="6">
        <f t="shared" si="4"/>
        <v>0.42</v>
      </c>
    </row>
    <row r="282">
      <c r="A282" s="4" t="s">
        <v>5858</v>
      </c>
      <c r="B282" s="6" t="str">
        <f t="shared" si="1"/>
        <v>1011.04</v>
      </c>
      <c r="C282" s="6" t="str">
        <f t="shared" si="2"/>
        <v>1011,04</v>
      </c>
      <c r="D282" s="6">
        <f t="shared" si="3"/>
        <v>1011.04</v>
      </c>
      <c r="E282" s="6">
        <f t="shared" si="4"/>
        <v>4.19</v>
      </c>
    </row>
    <row r="283">
      <c r="A283" s="4" t="s">
        <v>5859</v>
      </c>
      <c r="B283" s="6" t="str">
        <f t="shared" si="1"/>
        <v>1011.46</v>
      </c>
      <c r="C283" s="6" t="str">
        <f t="shared" si="2"/>
        <v>1011,46</v>
      </c>
      <c r="D283" s="6">
        <f t="shared" si="3"/>
        <v>1011.46</v>
      </c>
      <c r="E283" s="6">
        <f t="shared" si="4"/>
        <v>0.42</v>
      </c>
    </row>
    <row r="284">
      <c r="A284" s="4" t="s">
        <v>5860</v>
      </c>
      <c r="B284" s="6" t="str">
        <f t="shared" si="1"/>
        <v>1015.21</v>
      </c>
      <c r="C284" s="6" t="str">
        <f t="shared" si="2"/>
        <v>1015,21</v>
      </c>
      <c r="D284" s="6">
        <f t="shared" si="3"/>
        <v>1015.21</v>
      </c>
      <c r="E284" s="6">
        <f t="shared" si="4"/>
        <v>3.75</v>
      </c>
    </row>
    <row r="285">
      <c r="A285" s="4" t="s">
        <v>5861</v>
      </c>
      <c r="B285" s="6" t="str">
        <f t="shared" si="1"/>
        <v>1017.21</v>
      </c>
      <c r="C285" s="6" t="str">
        <f t="shared" si="2"/>
        <v>1017,21</v>
      </c>
      <c r="D285" s="6">
        <f t="shared" si="3"/>
        <v>1017.21</v>
      </c>
      <c r="E285" s="6">
        <f t="shared" si="4"/>
        <v>2</v>
      </c>
    </row>
    <row r="286">
      <c r="A286" s="4" t="s">
        <v>5862</v>
      </c>
      <c r="B286" s="6" t="str">
        <f t="shared" si="1"/>
        <v>1019.06</v>
      </c>
      <c r="C286" s="6" t="str">
        <f t="shared" si="2"/>
        <v>1019,06</v>
      </c>
      <c r="D286" s="6">
        <f t="shared" si="3"/>
        <v>1019.06</v>
      </c>
      <c r="E286" s="6">
        <f t="shared" si="4"/>
        <v>1.85</v>
      </c>
    </row>
    <row r="287">
      <c r="A287" s="4" t="s">
        <v>5863</v>
      </c>
      <c r="B287" s="6" t="str">
        <f t="shared" si="1"/>
        <v>1019.78</v>
      </c>
      <c r="C287" s="6" t="str">
        <f t="shared" si="2"/>
        <v>1019,78</v>
      </c>
      <c r="D287" s="6">
        <f t="shared" si="3"/>
        <v>1019.78</v>
      </c>
      <c r="E287" s="6">
        <f t="shared" si="4"/>
        <v>0.72</v>
      </c>
    </row>
    <row r="288">
      <c r="A288" s="4" t="s">
        <v>5864</v>
      </c>
      <c r="B288" s="6" t="str">
        <f t="shared" si="1"/>
        <v>1020.28</v>
      </c>
      <c r="C288" s="6" t="str">
        <f t="shared" si="2"/>
        <v>1020,28</v>
      </c>
      <c r="D288" s="6">
        <f t="shared" si="3"/>
        <v>1020.28</v>
      </c>
      <c r="E288" s="6">
        <f t="shared" si="4"/>
        <v>0.5</v>
      </c>
    </row>
    <row r="289">
      <c r="A289" s="4" t="s">
        <v>5865</v>
      </c>
      <c r="B289" s="6" t="str">
        <f t="shared" si="1"/>
        <v>1022.94</v>
      </c>
      <c r="C289" s="6" t="str">
        <f t="shared" si="2"/>
        <v>1022,94</v>
      </c>
      <c r="D289" s="6">
        <f t="shared" si="3"/>
        <v>1022.94</v>
      </c>
      <c r="E289" s="6">
        <f t="shared" si="4"/>
        <v>2.66</v>
      </c>
    </row>
    <row r="290">
      <c r="A290" s="4" t="s">
        <v>5866</v>
      </c>
      <c r="B290" s="6" t="str">
        <f t="shared" si="1"/>
        <v>1029.44</v>
      </c>
      <c r="C290" s="6" t="str">
        <f t="shared" si="2"/>
        <v>1029,44</v>
      </c>
      <c r="D290" s="6">
        <f t="shared" si="3"/>
        <v>1029.44</v>
      </c>
      <c r="E290" s="6">
        <f t="shared" si="4"/>
        <v>6.5</v>
      </c>
    </row>
    <row r="291">
      <c r="A291" s="4" t="s">
        <v>5867</v>
      </c>
      <c r="B291" s="6" t="str">
        <f t="shared" si="1"/>
        <v>1032.31</v>
      </c>
      <c r="C291" s="6" t="str">
        <f t="shared" si="2"/>
        <v>1032,31</v>
      </c>
      <c r="D291" s="6">
        <f t="shared" si="3"/>
        <v>1032.31</v>
      </c>
      <c r="E291" s="6">
        <f t="shared" si="4"/>
        <v>2.87</v>
      </c>
    </row>
    <row r="292">
      <c r="A292" s="4" t="s">
        <v>5868</v>
      </c>
      <c r="B292" s="6" t="str">
        <f t="shared" si="1"/>
        <v>1032.79</v>
      </c>
      <c r="C292" s="6" t="str">
        <f t="shared" si="2"/>
        <v>1032,79</v>
      </c>
      <c r="D292" s="6">
        <f t="shared" si="3"/>
        <v>1032.79</v>
      </c>
      <c r="E292" s="6">
        <f t="shared" si="4"/>
        <v>0.48</v>
      </c>
    </row>
    <row r="293">
      <c r="A293" s="4" t="s">
        <v>5869</v>
      </c>
      <c r="B293" s="6" t="str">
        <f t="shared" si="1"/>
        <v>1033.78</v>
      </c>
      <c r="C293" s="6" t="str">
        <f t="shared" si="2"/>
        <v>1033,78</v>
      </c>
      <c r="D293" s="6">
        <f t="shared" si="3"/>
        <v>1033.78</v>
      </c>
      <c r="E293" s="6">
        <f t="shared" si="4"/>
        <v>0.99</v>
      </c>
    </row>
    <row r="294">
      <c r="A294" s="4" t="s">
        <v>5870</v>
      </c>
      <c r="B294" s="6" t="str">
        <f t="shared" si="1"/>
        <v>1037.86</v>
      </c>
      <c r="C294" s="6" t="str">
        <f t="shared" si="2"/>
        <v>1037,86</v>
      </c>
      <c r="D294" s="6">
        <f t="shared" si="3"/>
        <v>1037.86</v>
      </c>
      <c r="E294" s="6">
        <f t="shared" si="4"/>
        <v>4.08</v>
      </c>
    </row>
    <row r="295">
      <c r="A295" s="4" t="s">
        <v>5871</v>
      </c>
      <c r="B295" s="6" t="str">
        <f t="shared" si="1"/>
        <v>1039.00</v>
      </c>
      <c r="C295" s="6" t="str">
        <f t="shared" si="2"/>
        <v>1039,00</v>
      </c>
      <c r="D295" s="6">
        <f t="shared" si="3"/>
        <v>1039</v>
      </c>
      <c r="E295" s="6">
        <f t="shared" si="4"/>
        <v>1.14</v>
      </c>
    </row>
    <row r="296">
      <c r="A296" s="4" t="s">
        <v>5872</v>
      </c>
      <c r="B296" s="6" t="str">
        <f t="shared" si="1"/>
        <v>1039.41</v>
      </c>
      <c r="C296" s="6" t="str">
        <f t="shared" si="2"/>
        <v>1039,41</v>
      </c>
      <c r="D296" s="6">
        <f t="shared" si="3"/>
        <v>1039.41</v>
      </c>
      <c r="E296" s="6">
        <f t="shared" si="4"/>
        <v>0.41</v>
      </c>
    </row>
    <row r="297">
      <c r="A297" s="4" t="s">
        <v>5873</v>
      </c>
      <c r="B297" s="6" t="str">
        <f t="shared" si="1"/>
        <v>1040.40</v>
      </c>
      <c r="C297" s="6" t="str">
        <f t="shared" si="2"/>
        <v>1040,40</v>
      </c>
      <c r="D297" s="6">
        <f t="shared" si="3"/>
        <v>1040.4</v>
      </c>
      <c r="E297" s="6">
        <f t="shared" si="4"/>
        <v>0.99</v>
      </c>
    </row>
    <row r="298">
      <c r="A298" s="4" t="s">
        <v>5874</v>
      </c>
      <c r="B298" s="6" t="str">
        <f t="shared" si="1"/>
        <v>1041.73</v>
      </c>
      <c r="C298" s="6" t="str">
        <f t="shared" si="2"/>
        <v>1041,73</v>
      </c>
      <c r="D298" s="6">
        <f t="shared" si="3"/>
        <v>1041.73</v>
      </c>
      <c r="E298" s="6">
        <f t="shared" si="4"/>
        <v>1.33</v>
      </c>
    </row>
    <row r="299">
      <c r="A299" s="4" t="s">
        <v>5875</v>
      </c>
      <c r="B299" s="6" t="str">
        <f t="shared" si="1"/>
        <v>1042.22</v>
      </c>
      <c r="C299" s="6" t="str">
        <f t="shared" si="2"/>
        <v>1042,22</v>
      </c>
      <c r="D299" s="6">
        <f t="shared" si="3"/>
        <v>1042.22</v>
      </c>
      <c r="E299" s="6">
        <f t="shared" si="4"/>
        <v>0.49</v>
      </c>
    </row>
    <row r="300">
      <c r="A300" s="4" t="s">
        <v>5876</v>
      </c>
      <c r="B300" s="6" t="str">
        <f t="shared" si="1"/>
        <v>1043.55</v>
      </c>
      <c r="C300" s="6" t="str">
        <f t="shared" si="2"/>
        <v>1043,55</v>
      </c>
      <c r="D300" s="6">
        <f t="shared" si="3"/>
        <v>1043.55</v>
      </c>
      <c r="E300" s="6">
        <f t="shared" si="4"/>
        <v>1.33</v>
      </c>
    </row>
    <row r="301">
      <c r="A301" s="4" t="s">
        <v>5877</v>
      </c>
      <c r="B301" s="6" t="str">
        <f t="shared" si="1"/>
        <v>1049.58</v>
      </c>
      <c r="C301" s="6" t="str">
        <f t="shared" si="2"/>
        <v>1049,58</v>
      </c>
      <c r="D301" s="6">
        <f t="shared" si="3"/>
        <v>1049.58</v>
      </c>
      <c r="E301" s="6">
        <f t="shared" si="4"/>
        <v>6.03</v>
      </c>
    </row>
    <row r="302">
      <c r="A302" s="4" t="s">
        <v>5878</v>
      </c>
      <c r="B302" s="6" t="str">
        <f t="shared" si="1"/>
        <v>1049.99</v>
      </c>
      <c r="C302" s="6" t="str">
        <f t="shared" si="2"/>
        <v>1049,99</v>
      </c>
      <c r="D302" s="6">
        <f t="shared" si="3"/>
        <v>1049.99</v>
      </c>
      <c r="E302" s="6">
        <f t="shared" si="4"/>
        <v>0.41</v>
      </c>
    </row>
    <row r="303">
      <c r="A303" s="4" t="s">
        <v>5879</v>
      </c>
      <c r="B303" s="6" t="str">
        <f t="shared" si="1"/>
        <v>1052.35</v>
      </c>
      <c r="C303" s="6" t="str">
        <f t="shared" si="2"/>
        <v>1052,35</v>
      </c>
      <c r="D303" s="6">
        <f t="shared" si="3"/>
        <v>1052.35</v>
      </c>
      <c r="E303" s="6">
        <f t="shared" si="4"/>
        <v>2.36</v>
      </c>
    </row>
    <row r="304">
      <c r="A304" s="4" t="s">
        <v>5880</v>
      </c>
      <c r="B304" s="6" t="str">
        <f t="shared" si="1"/>
        <v>1055.17</v>
      </c>
      <c r="C304" s="6" t="str">
        <f t="shared" si="2"/>
        <v>1055,17</v>
      </c>
      <c r="D304" s="6">
        <f t="shared" si="3"/>
        <v>1055.17</v>
      </c>
      <c r="E304" s="6">
        <f t="shared" si="4"/>
        <v>2.82</v>
      </c>
    </row>
    <row r="305">
      <c r="A305" s="4" t="s">
        <v>5881</v>
      </c>
      <c r="B305" s="6" t="str">
        <f t="shared" si="1"/>
        <v>1058.48</v>
      </c>
      <c r="C305" s="6" t="str">
        <f t="shared" si="2"/>
        <v>1058,48</v>
      </c>
      <c r="D305" s="6">
        <f t="shared" si="3"/>
        <v>1058.48</v>
      </c>
      <c r="E305" s="6">
        <f t="shared" si="4"/>
        <v>3.31</v>
      </c>
    </row>
    <row r="306">
      <c r="A306" s="4" t="s">
        <v>5882</v>
      </c>
      <c r="B306" s="6" t="str">
        <f t="shared" si="1"/>
        <v>1063.31</v>
      </c>
      <c r="C306" s="6" t="str">
        <f t="shared" si="2"/>
        <v>1063,31</v>
      </c>
      <c r="D306" s="6">
        <f t="shared" si="3"/>
        <v>1063.31</v>
      </c>
      <c r="E306" s="6">
        <f t="shared" si="4"/>
        <v>4.83</v>
      </c>
    </row>
    <row r="307">
      <c r="A307" s="4" t="s">
        <v>5883</v>
      </c>
      <c r="B307" s="6" t="str">
        <f t="shared" si="1"/>
        <v>1065.34</v>
      </c>
      <c r="C307" s="6" t="str">
        <f t="shared" si="2"/>
        <v>1065,34</v>
      </c>
      <c r="D307" s="6">
        <f t="shared" si="3"/>
        <v>1065.34</v>
      </c>
      <c r="E307" s="6">
        <f t="shared" si="4"/>
        <v>2.03</v>
      </c>
    </row>
    <row r="308">
      <c r="A308" s="4" t="s">
        <v>5884</v>
      </c>
      <c r="B308" s="6" t="str">
        <f t="shared" si="1"/>
        <v>1068.73</v>
      </c>
      <c r="C308" s="6" t="str">
        <f t="shared" si="2"/>
        <v>1068,73</v>
      </c>
      <c r="D308" s="6">
        <f t="shared" si="3"/>
        <v>1068.73</v>
      </c>
      <c r="E308" s="6">
        <f t="shared" si="4"/>
        <v>3.39</v>
      </c>
    </row>
    <row r="309">
      <c r="A309" s="4" t="s">
        <v>5885</v>
      </c>
      <c r="B309" s="6" t="str">
        <f t="shared" si="1"/>
        <v>1072.64</v>
      </c>
      <c r="C309" s="6" t="str">
        <f t="shared" si="2"/>
        <v>1072,64</v>
      </c>
      <c r="D309" s="6">
        <f t="shared" si="3"/>
        <v>1072.64</v>
      </c>
      <c r="E309" s="6">
        <f t="shared" si="4"/>
        <v>3.91</v>
      </c>
    </row>
    <row r="310">
      <c r="A310" s="4" t="s">
        <v>5886</v>
      </c>
      <c r="B310" s="6" t="str">
        <f t="shared" si="1"/>
        <v>1075.89</v>
      </c>
      <c r="C310" s="6" t="str">
        <f t="shared" si="2"/>
        <v>1075,89</v>
      </c>
      <c r="D310" s="6">
        <f t="shared" si="3"/>
        <v>1075.89</v>
      </c>
      <c r="E310" s="6">
        <f t="shared" si="4"/>
        <v>3.25</v>
      </c>
    </row>
    <row r="311">
      <c r="A311" s="4" t="s">
        <v>5887</v>
      </c>
      <c r="B311" s="6" t="str">
        <f t="shared" si="1"/>
        <v>1078.34</v>
      </c>
      <c r="C311" s="6" t="str">
        <f t="shared" si="2"/>
        <v>1078,34</v>
      </c>
      <c r="D311" s="6">
        <f t="shared" si="3"/>
        <v>1078.34</v>
      </c>
      <c r="E311" s="6">
        <f t="shared" si="4"/>
        <v>2.45</v>
      </c>
    </row>
    <row r="312">
      <c r="A312" s="4" t="s">
        <v>5888</v>
      </c>
      <c r="B312" s="6" t="str">
        <f t="shared" si="1"/>
        <v>1081.21</v>
      </c>
      <c r="C312" s="6" t="str">
        <f t="shared" si="2"/>
        <v>1081,21</v>
      </c>
      <c r="D312" s="6">
        <f t="shared" si="3"/>
        <v>1081.21</v>
      </c>
      <c r="E312" s="6">
        <f t="shared" si="4"/>
        <v>2.87</v>
      </c>
    </row>
    <row r="313">
      <c r="A313" s="4" t="s">
        <v>5889</v>
      </c>
      <c r="B313" s="6" t="str">
        <f t="shared" si="1"/>
        <v>1084.67</v>
      </c>
      <c r="C313" s="6" t="str">
        <f t="shared" si="2"/>
        <v>1084,67</v>
      </c>
      <c r="D313" s="6">
        <f t="shared" si="3"/>
        <v>1084.67</v>
      </c>
      <c r="E313" s="6">
        <f t="shared" si="4"/>
        <v>3.46</v>
      </c>
    </row>
    <row r="314">
      <c r="A314" s="4" t="s">
        <v>5890</v>
      </c>
      <c r="B314" s="6" t="str">
        <f t="shared" si="1"/>
        <v>1086.02</v>
      </c>
      <c r="C314" s="6" t="str">
        <f t="shared" si="2"/>
        <v>1086,02</v>
      </c>
      <c r="D314" s="6">
        <f t="shared" si="3"/>
        <v>1086.02</v>
      </c>
      <c r="E314" s="6">
        <f t="shared" si="4"/>
        <v>1.35</v>
      </c>
    </row>
    <row r="315">
      <c r="A315" s="4" t="s">
        <v>5891</v>
      </c>
      <c r="B315" s="6" t="str">
        <f t="shared" si="1"/>
        <v>1089.17</v>
      </c>
      <c r="C315" s="6" t="str">
        <f t="shared" si="2"/>
        <v>1089,17</v>
      </c>
      <c r="D315" s="6">
        <f t="shared" si="3"/>
        <v>1089.17</v>
      </c>
      <c r="E315" s="6">
        <f t="shared" si="4"/>
        <v>3.15</v>
      </c>
    </row>
    <row r="316">
      <c r="A316" s="4" t="s">
        <v>5892</v>
      </c>
      <c r="B316" s="6" t="str">
        <f t="shared" si="1"/>
        <v>1090.86</v>
      </c>
      <c r="C316" s="6" t="str">
        <f t="shared" si="2"/>
        <v>1090,86</v>
      </c>
      <c r="D316" s="6">
        <f t="shared" si="3"/>
        <v>1090.86</v>
      </c>
      <c r="E316" s="6">
        <f t="shared" si="4"/>
        <v>1.69</v>
      </c>
    </row>
    <row r="317">
      <c r="A317" s="4" t="s">
        <v>5893</v>
      </c>
      <c r="B317" s="6" t="str">
        <f t="shared" si="1"/>
        <v>1095.68</v>
      </c>
      <c r="C317" s="6" t="str">
        <f t="shared" si="2"/>
        <v>1095,68</v>
      </c>
      <c r="D317" s="6">
        <f t="shared" si="3"/>
        <v>1095.68</v>
      </c>
      <c r="E317" s="6">
        <f t="shared" si="4"/>
        <v>4.82</v>
      </c>
    </row>
    <row r="318">
      <c r="A318" s="4" t="s">
        <v>5894</v>
      </c>
      <c r="B318" s="6" t="str">
        <f t="shared" si="1"/>
        <v>1100.65</v>
      </c>
      <c r="C318" s="6" t="str">
        <f t="shared" si="2"/>
        <v>1100,65</v>
      </c>
      <c r="D318" s="6">
        <f t="shared" si="3"/>
        <v>1100.65</v>
      </c>
      <c r="E318" s="6">
        <f t="shared" si="4"/>
        <v>4.97</v>
      </c>
    </row>
    <row r="319">
      <c r="A319" s="4" t="s">
        <v>5895</v>
      </c>
      <c r="B319" s="6" t="str">
        <f t="shared" si="1"/>
        <v>1111.06</v>
      </c>
      <c r="C319" s="6" t="str">
        <f t="shared" si="2"/>
        <v>1111,06</v>
      </c>
      <c r="D319" s="6">
        <f t="shared" si="3"/>
        <v>1111.06</v>
      </c>
      <c r="E319" s="6">
        <f t="shared" si="4"/>
        <v>10.41</v>
      </c>
    </row>
    <row r="320">
      <c r="A320" s="4" t="s">
        <v>5896</v>
      </c>
      <c r="B320" s="6" t="str">
        <f t="shared" si="1"/>
        <v>1111.78</v>
      </c>
      <c r="C320" s="6" t="str">
        <f t="shared" si="2"/>
        <v>1111,78</v>
      </c>
      <c r="D320" s="6">
        <f t="shared" si="3"/>
        <v>1111.78</v>
      </c>
      <c r="E320" s="6">
        <f t="shared" si="4"/>
        <v>0.72</v>
      </c>
    </row>
    <row r="321">
      <c r="A321" s="4" t="s">
        <v>5897</v>
      </c>
      <c r="B321" s="6" t="str">
        <f t="shared" si="1"/>
        <v>1113.59</v>
      </c>
      <c r="C321" s="6" t="str">
        <f t="shared" si="2"/>
        <v>1113,59</v>
      </c>
      <c r="D321" s="6">
        <f t="shared" si="3"/>
        <v>1113.59</v>
      </c>
      <c r="E321" s="6">
        <f t="shared" si="4"/>
        <v>1.81</v>
      </c>
    </row>
    <row r="322">
      <c r="A322" s="4" t="s">
        <v>5898</v>
      </c>
      <c r="B322" s="6" t="str">
        <f t="shared" si="1"/>
        <v>1118.02</v>
      </c>
      <c r="C322" s="6" t="str">
        <f t="shared" si="2"/>
        <v>1118,02</v>
      </c>
      <c r="D322" s="6">
        <f t="shared" si="3"/>
        <v>1118.02</v>
      </c>
      <c r="E322" s="6">
        <f t="shared" si="4"/>
        <v>4.43</v>
      </c>
    </row>
    <row r="323">
      <c r="A323" s="4" t="s">
        <v>5899</v>
      </c>
      <c r="B323" s="6" t="str">
        <f t="shared" si="1"/>
        <v>1124.55</v>
      </c>
      <c r="C323" s="6" t="str">
        <f t="shared" si="2"/>
        <v>1124,55</v>
      </c>
      <c r="D323" s="6">
        <f t="shared" si="3"/>
        <v>1124.55</v>
      </c>
      <c r="E323" s="6">
        <f t="shared" si="4"/>
        <v>6.53</v>
      </c>
    </row>
    <row r="324">
      <c r="A324" s="4" t="s">
        <v>5900</v>
      </c>
      <c r="B324" s="6" t="str">
        <f t="shared" si="1"/>
        <v>1140.88</v>
      </c>
      <c r="C324" s="6" t="str">
        <f t="shared" si="2"/>
        <v>1140,88</v>
      </c>
      <c r="D324" s="6">
        <f t="shared" si="3"/>
        <v>1140.88</v>
      </c>
      <c r="E324" s="6">
        <f t="shared" si="4"/>
        <v>16.33</v>
      </c>
    </row>
    <row r="325">
      <c r="A325" s="4" t="s">
        <v>5901</v>
      </c>
      <c r="B325" s="6" t="str">
        <f t="shared" si="1"/>
        <v>1141.29</v>
      </c>
      <c r="C325" s="6" t="str">
        <f t="shared" si="2"/>
        <v>1141,29</v>
      </c>
      <c r="D325" s="6">
        <f t="shared" si="3"/>
        <v>1141.29</v>
      </c>
      <c r="E325" s="6">
        <f t="shared" si="4"/>
        <v>0.41</v>
      </c>
    </row>
    <row r="326">
      <c r="A326" s="4" t="s">
        <v>5902</v>
      </c>
      <c r="B326" s="6" t="str">
        <f t="shared" si="1"/>
        <v>1141.76</v>
      </c>
      <c r="C326" s="6" t="str">
        <f t="shared" si="2"/>
        <v>1141,76</v>
      </c>
      <c r="D326" s="6">
        <f t="shared" si="3"/>
        <v>1141.76</v>
      </c>
      <c r="E326" s="6">
        <f t="shared" si="4"/>
        <v>0.47</v>
      </c>
    </row>
    <row r="327">
      <c r="A327" s="4" t="s">
        <v>5903</v>
      </c>
      <c r="B327" s="6" t="str">
        <f t="shared" si="1"/>
        <v>1144.23</v>
      </c>
      <c r="C327" s="6" t="str">
        <f t="shared" si="2"/>
        <v>1144,23</v>
      </c>
      <c r="D327" s="6">
        <f t="shared" si="3"/>
        <v>1144.23</v>
      </c>
      <c r="E327" s="6">
        <f t="shared" si="4"/>
        <v>2.47</v>
      </c>
    </row>
    <row r="328">
      <c r="A328" s="4" t="s">
        <v>5904</v>
      </c>
      <c r="B328" s="6" t="str">
        <f t="shared" si="1"/>
        <v>1144.69</v>
      </c>
      <c r="C328" s="6" t="str">
        <f t="shared" si="2"/>
        <v>1144,69</v>
      </c>
      <c r="D328" s="6">
        <f t="shared" si="3"/>
        <v>1144.69</v>
      </c>
      <c r="E328" s="6">
        <f t="shared" si="4"/>
        <v>0.46</v>
      </c>
    </row>
    <row r="329">
      <c r="A329" s="4" t="s">
        <v>5905</v>
      </c>
      <c r="B329" s="6" t="str">
        <f t="shared" si="1"/>
        <v>1157.32</v>
      </c>
      <c r="C329" s="6" t="str">
        <f t="shared" si="2"/>
        <v>1157,32</v>
      </c>
      <c r="D329" s="6">
        <f t="shared" si="3"/>
        <v>1157.32</v>
      </c>
      <c r="E329" s="6">
        <f t="shared" si="4"/>
        <v>12.63</v>
      </c>
    </row>
    <row r="330">
      <c r="A330" s="4" t="s">
        <v>5906</v>
      </c>
      <c r="B330" s="6" t="str">
        <f t="shared" si="1"/>
        <v>1159.66</v>
      </c>
      <c r="C330" s="6" t="str">
        <f t="shared" si="2"/>
        <v>1159,66</v>
      </c>
      <c r="D330" s="6">
        <f t="shared" si="3"/>
        <v>1159.66</v>
      </c>
      <c r="E330" s="6">
        <f t="shared" si="4"/>
        <v>2.34</v>
      </c>
    </row>
    <row r="331">
      <c r="A331" s="4" t="s">
        <v>5907</v>
      </c>
      <c r="B331" s="6" t="str">
        <f t="shared" si="1"/>
        <v>1160.87</v>
      </c>
      <c r="C331" s="6" t="str">
        <f t="shared" si="2"/>
        <v>1160,87</v>
      </c>
      <c r="D331" s="6">
        <f t="shared" si="3"/>
        <v>1160.87</v>
      </c>
      <c r="E331" s="6">
        <f t="shared" si="4"/>
        <v>1.21</v>
      </c>
    </row>
    <row r="332">
      <c r="A332" s="4" t="s">
        <v>5908</v>
      </c>
      <c r="B332" s="6" t="str">
        <f t="shared" si="1"/>
        <v>1161.66</v>
      </c>
      <c r="C332" s="6" t="str">
        <f t="shared" si="2"/>
        <v>1161,66</v>
      </c>
      <c r="D332" s="6">
        <f t="shared" si="3"/>
        <v>1161.66</v>
      </c>
      <c r="E332" s="6">
        <f t="shared" si="4"/>
        <v>0.79</v>
      </c>
    </row>
    <row r="333">
      <c r="A333" s="4" t="s">
        <v>5909</v>
      </c>
      <c r="B333" s="6" t="str">
        <f t="shared" si="1"/>
        <v>1162.51</v>
      </c>
      <c r="C333" s="6" t="str">
        <f t="shared" si="2"/>
        <v>1162,51</v>
      </c>
      <c r="D333" s="6">
        <f t="shared" si="3"/>
        <v>1162.51</v>
      </c>
      <c r="E333" s="6">
        <f t="shared" si="4"/>
        <v>0.85</v>
      </c>
    </row>
    <row r="334">
      <c r="A334" s="4" t="s">
        <v>5910</v>
      </c>
      <c r="B334" s="6" t="str">
        <f t="shared" si="1"/>
        <v>1166.67</v>
      </c>
      <c r="C334" s="6" t="str">
        <f t="shared" si="2"/>
        <v>1166,67</v>
      </c>
      <c r="D334" s="6">
        <f t="shared" si="3"/>
        <v>1166.67</v>
      </c>
      <c r="E334" s="6">
        <f t="shared" si="4"/>
        <v>4.16</v>
      </c>
    </row>
    <row r="335">
      <c r="A335" s="4" t="s">
        <v>5911</v>
      </c>
      <c r="B335" s="6" t="str">
        <f t="shared" si="1"/>
        <v>1167.09</v>
      </c>
      <c r="C335" s="6" t="str">
        <f t="shared" si="2"/>
        <v>1167,09</v>
      </c>
      <c r="D335" s="6">
        <f t="shared" si="3"/>
        <v>1167.09</v>
      </c>
      <c r="E335" s="6">
        <f t="shared" si="4"/>
        <v>0.42</v>
      </c>
    </row>
    <row r="336">
      <c r="A336" s="4" t="s">
        <v>5912</v>
      </c>
      <c r="B336" s="6" t="str">
        <f t="shared" si="1"/>
        <v>1170.65</v>
      </c>
      <c r="C336" s="6" t="str">
        <f t="shared" si="2"/>
        <v>1170,65</v>
      </c>
      <c r="D336" s="6">
        <f t="shared" si="3"/>
        <v>1170.65</v>
      </c>
      <c r="E336" s="6">
        <f t="shared" si="4"/>
        <v>3.56</v>
      </c>
    </row>
    <row r="337">
      <c r="A337" s="4" t="s">
        <v>5913</v>
      </c>
      <c r="B337" s="6" t="str">
        <f t="shared" si="1"/>
        <v>1173.71</v>
      </c>
      <c r="C337" s="6" t="str">
        <f t="shared" si="2"/>
        <v>1173,71</v>
      </c>
      <c r="D337" s="6">
        <f t="shared" si="3"/>
        <v>1173.71</v>
      </c>
      <c r="E337" s="6">
        <f t="shared" si="4"/>
        <v>3.06</v>
      </c>
    </row>
    <row r="338">
      <c r="A338" s="4" t="s">
        <v>5914</v>
      </c>
      <c r="B338" s="6" t="str">
        <f t="shared" si="1"/>
        <v>1176.18</v>
      </c>
      <c r="C338" s="6" t="str">
        <f t="shared" si="2"/>
        <v>1176,18</v>
      </c>
      <c r="D338" s="6">
        <f t="shared" si="3"/>
        <v>1176.18</v>
      </c>
      <c r="E338" s="6">
        <f t="shared" si="4"/>
        <v>2.47</v>
      </c>
    </row>
    <row r="339">
      <c r="A339" s="4" t="s">
        <v>5915</v>
      </c>
      <c r="B339" s="6" t="str">
        <f t="shared" si="1"/>
        <v>1182.18</v>
      </c>
      <c r="C339" s="6" t="str">
        <f t="shared" si="2"/>
        <v>1182,18</v>
      </c>
      <c r="D339" s="6">
        <f t="shared" si="3"/>
        <v>1182.18</v>
      </c>
      <c r="E339" s="6">
        <f t="shared" si="4"/>
        <v>6</v>
      </c>
    </row>
    <row r="340">
      <c r="A340" s="4" t="s">
        <v>5916</v>
      </c>
      <c r="B340" s="6" t="str">
        <f t="shared" si="1"/>
        <v>1182.58</v>
      </c>
      <c r="C340" s="6" t="str">
        <f t="shared" si="2"/>
        <v>1182,58</v>
      </c>
      <c r="D340" s="6">
        <f t="shared" si="3"/>
        <v>1182.58</v>
      </c>
      <c r="E340" s="6">
        <f t="shared" si="4"/>
        <v>0.4</v>
      </c>
    </row>
    <row r="341">
      <c r="A341" s="4" t="s">
        <v>5917</v>
      </c>
      <c r="B341" s="6" t="str">
        <f t="shared" si="1"/>
        <v>1186.80</v>
      </c>
      <c r="C341" s="6" t="str">
        <f t="shared" si="2"/>
        <v>1186,80</v>
      </c>
      <c r="D341" s="6">
        <f t="shared" si="3"/>
        <v>1186.8</v>
      </c>
      <c r="E341" s="6">
        <f t="shared" si="4"/>
        <v>4.22</v>
      </c>
    </row>
    <row r="342">
      <c r="A342" s="4" t="s">
        <v>5918</v>
      </c>
      <c r="B342" s="6" t="str">
        <f t="shared" si="1"/>
        <v>1192.16</v>
      </c>
      <c r="C342" s="6" t="str">
        <f t="shared" si="2"/>
        <v>1192,16</v>
      </c>
      <c r="D342" s="6">
        <f t="shared" si="3"/>
        <v>1192.16</v>
      </c>
      <c r="E342" s="6">
        <f t="shared" si="4"/>
        <v>5.36</v>
      </c>
    </row>
    <row r="343">
      <c r="A343" s="4" t="s">
        <v>5919</v>
      </c>
      <c r="B343" s="6" t="str">
        <f t="shared" si="1"/>
        <v>1194.62</v>
      </c>
      <c r="C343" s="6" t="str">
        <f t="shared" si="2"/>
        <v>1194,62</v>
      </c>
      <c r="D343" s="6">
        <f t="shared" si="3"/>
        <v>1194.62</v>
      </c>
      <c r="E343" s="6">
        <f t="shared" si="4"/>
        <v>2.46</v>
      </c>
    </row>
    <row r="344">
      <c r="A344" s="4" t="s">
        <v>5920</v>
      </c>
      <c r="B344" s="6" t="str">
        <f t="shared" si="1"/>
        <v>1196.90</v>
      </c>
      <c r="C344" s="6" t="str">
        <f t="shared" si="2"/>
        <v>1196,90</v>
      </c>
      <c r="D344" s="6">
        <f t="shared" si="3"/>
        <v>1196.9</v>
      </c>
      <c r="E344" s="6">
        <f t="shared" si="4"/>
        <v>2.28</v>
      </c>
    </row>
    <row r="345">
      <c r="A345" s="4" t="s">
        <v>5921</v>
      </c>
      <c r="B345" s="6" t="str">
        <f t="shared" si="1"/>
        <v>1201.54</v>
      </c>
      <c r="C345" s="6" t="str">
        <f t="shared" si="2"/>
        <v>1201,54</v>
      </c>
      <c r="D345" s="6">
        <f t="shared" si="3"/>
        <v>1201.54</v>
      </c>
      <c r="E345" s="6">
        <f t="shared" si="4"/>
        <v>4.64</v>
      </c>
    </row>
    <row r="346">
      <c r="A346" s="4" t="s">
        <v>5922</v>
      </c>
      <c r="B346" s="6" t="str">
        <f t="shared" si="1"/>
        <v>1201.97</v>
      </c>
      <c r="C346" s="6" t="str">
        <f t="shared" si="2"/>
        <v>1201,97</v>
      </c>
      <c r="D346" s="6">
        <f t="shared" si="3"/>
        <v>1201.97</v>
      </c>
      <c r="E346" s="6">
        <f t="shared" si="4"/>
        <v>0.43</v>
      </c>
    </row>
    <row r="347">
      <c r="A347" s="4" t="s">
        <v>5923</v>
      </c>
      <c r="B347" s="6" t="str">
        <f t="shared" si="1"/>
        <v>1202.73</v>
      </c>
      <c r="C347" s="6" t="str">
        <f t="shared" si="2"/>
        <v>1202,73</v>
      </c>
      <c r="D347" s="6">
        <f t="shared" si="3"/>
        <v>1202.73</v>
      </c>
      <c r="E347" s="6">
        <f t="shared" si="4"/>
        <v>0.76</v>
      </c>
    </row>
    <row r="348">
      <c r="A348" s="4" t="s">
        <v>5924</v>
      </c>
      <c r="B348" s="6" t="str">
        <f t="shared" si="1"/>
        <v>1203.17</v>
      </c>
      <c r="C348" s="6" t="str">
        <f t="shared" si="2"/>
        <v>1203,17</v>
      </c>
      <c r="D348" s="6">
        <f t="shared" si="3"/>
        <v>1203.17</v>
      </c>
      <c r="E348" s="6">
        <f t="shared" si="4"/>
        <v>0.44</v>
      </c>
    </row>
    <row r="349">
      <c r="A349" s="4" t="s">
        <v>5925</v>
      </c>
      <c r="B349" s="6" t="str">
        <f t="shared" si="1"/>
        <v>1210.12</v>
      </c>
      <c r="C349" s="6" t="str">
        <f t="shared" si="2"/>
        <v>1210,12</v>
      </c>
      <c r="D349" s="6">
        <f t="shared" si="3"/>
        <v>1210.12</v>
      </c>
      <c r="E349" s="6">
        <f t="shared" si="4"/>
        <v>6.95</v>
      </c>
    </row>
    <row r="350">
      <c r="A350" s="4" t="s">
        <v>5926</v>
      </c>
      <c r="B350" s="6" t="str">
        <f t="shared" si="1"/>
        <v>1212.74</v>
      </c>
      <c r="C350" s="6" t="str">
        <f t="shared" si="2"/>
        <v>1212,74</v>
      </c>
      <c r="D350" s="6">
        <f t="shared" si="3"/>
        <v>1212.74</v>
      </c>
      <c r="E350" s="6">
        <f t="shared" si="4"/>
        <v>2.62</v>
      </c>
    </row>
    <row r="351">
      <c r="A351" s="4" t="s">
        <v>5927</v>
      </c>
      <c r="B351" s="6" t="str">
        <f t="shared" si="1"/>
        <v>1215.28</v>
      </c>
      <c r="C351" s="6" t="str">
        <f t="shared" si="2"/>
        <v>1215,28</v>
      </c>
      <c r="D351" s="6">
        <f t="shared" si="3"/>
        <v>1215.28</v>
      </c>
      <c r="E351" s="6">
        <f t="shared" si="4"/>
        <v>2.54</v>
      </c>
    </row>
    <row r="352">
      <c r="A352" s="4" t="s">
        <v>5928</v>
      </c>
      <c r="B352" s="6" t="str">
        <f t="shared" si="1"/>
        <v>1215.79</v>
      </c>
      <c r="C352" s="6" t="str">
        <f t="shared" si="2"/>
        <v>1215,79</v>
      </c>
      <c r="D352" s="6">
        <f t="shared" si="3"/>
        <v>1215.79</v>
      </c>
      <c r="E352" s="6">
        <f t="shared" si="4"/>
        <v>0.51</v>
      </c>
    </row>
    <row r="353">
      <c r="A353" s="4" t="s">
        <v>5929</v>
      </c>
      <c r="B353" s="6" t="str">
        <f t="shared" si="1"/>
        <v>1216.56</v>
      </c>
      <c r="C353" s="6" t="str">
        <f t="shared" si="2"/>
        <v>1216,56</v>
      </c>
      <c r="D353" s="6">
        <f t="shared" si="3"/>
        <v>1216.56</v>
      </c>
      <c r="E353" s="6">
        <f t="shared" si="4"/>
        <v>0.77</v>
      </c>
    </row>
    <row r="354">
      <c r="A354" s="4" t="s">
        <v>5930</v>
      </c>
      <c r="B354" s="6" t="str">
        <f t="shared" si="1"/>
        <v>1217.05</v>
      </c>
      <c r="C354" s="6" t="str">
        <f t="shared" si="2"/>
        <v>1217,05</v>
      </c>
      <c r="D354" s="6">
        <f t="shared" si="3"/>
        <v>1217.05</v>
      </c>
      <c r="E354" s="6">
        <f t="shared" si="4"/>
        <v>0.49</v>
      </c>
    </row>
    <row r="355">
      <c r="A355" s="4" t="s">
        <v>5931</v>
      </c>
      <c r="B355" s="6" t="str">
        <f t="shared" si="1"/>
        <v>1219.47</v>
      </c>
      <c r="C355" s="6" t="str">
        <f t="shared" si="2"/>
        <v>1219,47</v>
      </c>
      <c r="D355" s="6">
        <f t="shared" si="3"/>
        <v>1219.47</v>
      </c>
      <c r="E355" s="6">
        <f t="shared" si="4"/>
        <v>2.42</v>
      </c>
    </row>
    <row r="356">
      <c r="A356" s="4" t="s">
        <v>5932</v>
      </c>
      <c r="B356" s="6" t="str">
        <f t="shared" si="1"/>
        <v>1227.15</v>
      </c>
      <c r="C356" s="6" t="str">
        <f t="shared" si="2"/>
        <v>1227,15</v>
      </c>
      <c r="D356" s="6">
        <f t="shared" si="3"/>
        <v>1227.15</v>
      </c>
      <c r="E356" s="6">
        <f t="shared" si="4"/>
        <v>7.68</v>
      </c>
    </row>
    <row r="357">
      <c r="A357" s="4" t="s">
        <v>5933</v>
      </c>
      <c r="B357" s="6" t="str">
        <f t="shared" si="1"/>
        <v>1227.82</v>
      </c>
      <c r="C357" s="6" t="str">
        <f t="shared" si="2"/>
        <v>1227,82</v>
      </c>
      <c r="D357" s="6">
        <f t="shared" si="3"/>
        <v>1227.82</v>
      </c>
      <c r="E357" s="6">
        <f t="shared" si="4"/>
        <v>0.67</v>
      </c>
    </row>
    <row r="358">
      <c r="A358" s="4" t="s">
        <v>5934</v>
      </c>
      <c r="B358" s="6" t="str">
        <f t="shared" si="1"/>
        <v>1232.86</v>
      </c>
      <c r="C358" s="6" t="str">
        <f t="shared" si="2"/>
        <v>1232,86</v>
      </c>
      <c r="D358" s="6">
        <f t="shared" si="3"/>
        <v>1232.86</v>
      </c>
      <c r="E358" s="6">
        <f t="shared" si="4"/>
        <v>5.04</v>
      </c>
    </row>
    <row r="359">
      <c r="A359" s="4" t="s">
        <v>5935</v>
      </c>
      <c r="B359" s="6" t="str">
        <f t="shared" si="1"/>
        <v>1235.08</v>
      </c>
      <c r="C359" s="6" t="str">
        <f t="shared" si="2"/>
        <v>1235,08</v>
      </c>
      <c r="D359" s="6">
        <f t="shared" si="3"/>
        <v>1235.08</v>
      </c>
      <c r="E359" s="6">
        <f t="shared" si="4"/>
        <v>2.22</v>
      </c>
    </row>
    <row r="360">
      <c r="A360" s="4" t="s">
        <v>5936</v>
      </c>
      <c r="B360" s="6" t="str">
        <f t="shared" si="1"/>
        <v>1237.53</v>
      </c>
      <c r="C360" s="6" t="str">
        <f t="shared" si="2"/>
        <v>1237,53</v>
      </c>
      <c r="D360" s="6">
        <f t="shared" si="3"/>
        <v>1237.53</v>
      </c>
      <c r="E360" s="6">
        <f t="shared" si="4"/>
        <v>2.45</v>
      </c>
    </row>
    <row r="361">
      <c r="A361" s="4" t="s">
        <v>5937</v>
      </c>
      <c r="B361" s="6" t="str">
        <f t="shared" si="1"/>
        <v>1237.96</v>
      </c>
      <c r="C361" s="6" t="str">
        <f t="shared" si="2"/>
        <v>1237,96</v>
      </c>
      <c r="D361" s="6">
        <f t="shared" si="3"/>
        <v>1237.96</v>
      </c>
      <c r="E361" s="6">
        <f t="shared" si="4"/>
        <v>0.43</v>
      </c>
    </row>
    <row r="362">
      <c r="A362" s="4" t="s">
        <v>5938</v>
      </c>
      <c r="B362" s="6" t="str">
        <f t="shared" si="1"/>
        <v>1242.79</v>
      </c>
      <c r="C362" s="6" t="str">
        <f t="shared" si="2"/>
        <v>1242,79</v>
      </c>
      <c r="D362" s="6">
        <f t="shared" si="3"/>
        <v>1242.79</v>
      </c>
      <c r="E362" s="6">
        <f t="shared" si="4"/>
        <v>4.83</v>
      </c>
    </row>
    <row r="363">
      <c r="A363" s="4" t="s">
        <v>5939</v>
      </c>
      <c r="B363" s="6" t="str">
        <f t="shared" si="1"/>
        <v>1245.21</v>
      </c>
      <c r="C363" s="6" t="str">
        <f t="shared" si="2"/>
        <v>1245,21</v>
      </c>
      <c r="D363" s="6">
        <f t="shared" si="3"/>
        <v>1245.21</v>
      </c>
      <c r="E363" s="6">
        <f t="shared" si="4"/>
        <v>2.42</v>
      </c>
    </row>
    <row r="364">
      <c r="A364" s="4" t="s">
        <v>5940</v>
      </c>
      <c r="B364" s="6" t="str">
        <f t="shared" si="1"/>
        <v>1254.06</v>
      </c>
      <c r="C364" s="6" t="str">
        <f t="shared" si="2"/>
        <v>1254,06</v>
      </c>
      <c r="D364" s="6">
        <f t="shared" si="3"/>
        <v>1254.06</v>
      </c>
      <c r="E364" s="6">
        <f t="shared" si="4"/>
        <v>8.85</v>
      </c>
    </row>
    <row r="365">
      <c r="A365" s="4" t="s">
        <v>5941</v>
      </c>
      <c r="B365" s="6" t="str">
        <f t="shared" si="1"/>
        <v>1254.46</v>
      </c>
      <c r="C365" s="6" t="str">
        <f t="shared" si="2"/>
        <v>1254,46</v>
      </c>
      <c r="D365" s="6">
        <f t="shared" si="3"/>
        <v>1254.46</v>
      </c>
      <c r="E365" s="6">
        <f t="shared" si="4"/>
        <v>0.4</v>
      </c>
    </row>
    <row r="366">
      <c r="A366" s="4" t="s">
        <v>5942</v>
      </c>
      <c r="B366" s="6" t="str">
        <f t="shared" si="1"/>
        <v>1255.83</v>
      </c>
      <c r="C366" s="6" t="str">
        <f t="shared" si="2"/>
        <v>1255,83</v>
      </c>
      <c r="D366" s="6">
        <f t="shared" si="3"/>
        <v>1255.83</v>
      </c>
      <c r="E366" s="6">
        <f t="shared" si="4"/>
        <v>1.37</v>
      </c>
    </row>
    <row r="367">
      <c r="A367" s="4" t="s">
        <v>5943</v>
      </c>
      <c r="B367" s="6" t="str">
        <f t="shared" si="1"/>
        <v>1258.38</v>
      </c>
      <c r="C367" s="6" t="str">
        <f t="shared" si="2"/>
        <v>1258,38</v>
      </c>
      <c r="D367" s="6">
        <f t="shared" si="3"/>
        <v>1258.38</v>
      </c>
      <c r="E367" s="6">
        <f t="shared" si="4"/>
        <v>2.55</v>
      </c>
    </row>
    <row r="368">
      <c r="A368" s="4" t="s">
        <v>5944</v>
      </c>
      <c r="B368" s="6" t="str">
        <f t="shared" si="1"/>
        <v>1258.81</v>
      </c>
      <c r="C368" s="6" t="str">
        <f t="shared" si="2"/>
        <v>1258,81</v>
      </c>
      <c r="D368" s="6">
        <f t="shared" si="3"/>
        <v>1258.81</v>
      </c>
      <c r="E368" s="6">
        <f t="shared" si="4"/>
        <v>0.43</v>
      </c>
    </row>
    <row r="369">
      <c r="A369" s="4" t="s">
        <v>5945</v>
      </c>
      <c r="B369" s="6" t="str">
        <f t="shared" si="1"/>
        <v>1260.85</v>
      </c>
      <c r="C369" s="6" t="str">
        <f t="shared" si="2"/>
        <v>1260,85</v>
      </c>
      <c r="D369" s="6">
        <f t="shared" si="3"/>
        <v>1260.85</v>
      </c>
      <c r="E369" s="6">
        <f t="shared" si="4"/>
        <v>2.04</v>
      </c>
    </row>
    <row r="370">
      <c r="A370" s="4" t="s">
        <v>5946</v>
      </c>
      <c r="B370" s="6" t="str">
        <f t="shared" si="1"/>
        <v>1262.13</v>
      </c>
      <c r="C370" s="6" t="str">
        <f t="shared" si="2"/>
        <v>1262,13</v>
      </c>
      <c r="D370" s="6">
        <f t="shared" si="3"/>
        <v>1262.13</v>
      </c>
      <c r="E370" s="6">
        <f t="shared" si="4"/>
        <v>1.28</v>
      </c>
    </row>
    <row r="371">
      <c r="A371" s="4" t="s">
        <v>5947</v>
      </c>
      <c r="B371" s="6" t="str">
        <f t="shared" si="1"/>
        <v>1265.31</v>
      </c>
      <c r="C371" s="6" t="str">
        <f t="shared" si="2"/>
        <v>1265,31</v>
      </c>
      <c r="D371" s="6">
        <f t="shared" si="3"/>
        <v>1265.31</v>
      </c>
      <c r="E371" s="6">
        <f t="shared" si="4"/>
        <v>3.18</v>
      </c>
    </row>
    <row r="372">
      <c r="A372" s="4" t="s">
        <v>5948</v>
      </c>
      <c r="B372" s="6" t="str">
        <f t="shared" si="1"/>
        <v>1273.15</v>
      </c>
      <c r="C372" s="6" t="str">
        <f t="shared" si="2"/>
        <v>1273,15</v>
      </c>
      <c r="D372" s="6">
        <f t="shared" si="3"/>
        <v>1273.15</v>
      </c>
      <c r="E372" s="6">
        <f t="shared" si="4"/>
        <v>7.84</v>
      </c>
    </row>
    <row r="373">
      <c r="A373" s="4" t="s">
        <v>5949</v>
      </c>
      <c r="B373" s="6" t="str">
        <f t="shared" si="1"/>
        <v>1277.84</v>
      </c>
      <c r="C373" s="6" t="str">
        <f t="shared" si="2"/>
        <v>1277,84</v>
      </c>
      <c r="D373" s="6">
        <f t="shared" si="3"/>
        <v>1277.84</v>
      </c>
      <c r="E373" s="6">
        <f t="shared" si="4"/>
        <v>4.69</v>
      </c>
    </row>
    <row r="374">
      <c r="A374" s="4" t="s">
        <v>5950</v>
      </c>
      <c r="B374" s="6" t="str">
        <f t="shared" si="1"/>
        <v>1280.22</v>
      </c>
      <c r="C374" s="6" t="str">
        <f t="shared" si="2"/>
        <v>1280,22</v>
      </c>
      <c r="D374" s="6">
        <f t="shared" si="3"/>
        <v>1280.22</v>
      </c>
      <c r="E374" s="6">
        <f t="shared" si="4"/>
        <v>2.38</v>
      </c>
    </row>
    <row r="375">
      <c r="A375" s="4" t="s">
        <v>5951</v>
      </c>
      <c r="B375" s="6" t="str">
        <f t="shared" si="1"/>
        <v>1280.63</v>
      </c>
      <c r="C375" s="6" t="str">
        <f t="shared" si="2"/>
        <v>1280,63</v>
      </c>
      <c r="D375" s="6">
        <f t="shared" si="3"/>
        <v>1280.63</v>
      </c>
      <c r="E375" s="6">
        <f t="shared" si="4"/>
        <v>0.41</v>
      </c>
    </row>
    <row r="376">
      <c r="A376" s="4" t="s">
        <v>5952</v>
      </c>
      <c r="B376" s="6" t="str">
        <f t="shared" si="1"/>
        <v>1282.90</v>
      </c>
      <c r="C376" s="6" t="str">
        <f t="shared" si="2"/>
        <v>1282,90</v>
      </c>
      <c r="D376" s="6">
        <f t="shared" si="3"/>
        <v>1282.9</v>
      </c>
      <c r="E376" s="6">
        <f t="shared" si="4"/>
        <v>2.27</v>
      </c>
    </row>
    <row r="377">
      <c r="A377" s="4" t="s">
        <v>5953</v>
      </c>
      <c r="B377" s="6" t="str">
        <f t="shared" si="1"/>
        <v>1287.33</v>
      </c>
      <c r="C377" s="6" t="str">
        <f t="shared" si="2"/>
        <v>1287,33</v>
      </c>
      <c r="D377" s="6">
        <f t="shared" si="3"/>
        <v>1287.33</v>
      </c>
      <c r="E377" s="6">
        <f t="shared" si="4"/>
        <v>4.43</v>
      </c>
    </row>
    <row r="378">
      <c r="A378" s="4" t="s">
        <v>5954</v>
      </c>
      <c r="B378" s="6" t="str">
        <f t="shared" si="1"/>
        <v>1294.09</v>
      </c>
      <c r="C378" s="6" t="str">
        <f t="shared" si="2"/>
        <v>1294,09</v>
      </c>
      <c r="D378" s="6">
        <f t="shared" si="3"/>
        <v>1294.09</v>
      </c>
      <c r="E378" s="6">
        <f t="shared" si="4"/>
        <v>6.76</v>
      </c>
    </row>
    <row r="379">
      <c r="A379" s="4" t="s">
        <v>5955</v>
      </c>
      <c r="B379" s="6" t="str">
        <f t="shared" si="1"/>
        <v>1297.03</v>
      </c>
      <c r="C379" s="6" t="str">
        <f t="shared" si="2"/>
        <v>1297,03</v>
      </c>
      <c r="D379" s="6">
        <f t="shared" si="3"/>
        <v>1297.03</v>
      </c>
      <c r="E379" s="6">
        <f t="shared" si="4"/>
        <v>2.94</v>
      </c>
    </row>
    <row r="380">
      <c r="A380" s="4" t="s">
        <v>5956</v>
      </c>
      <c r="B380" s="6" t="str">
        <f t="shared" si="1"/>
        <v>1303.80</v>
      </c>
      <c r="C380" s="6" t="str">
        <f t="shared" si="2"/>
        <v>1303,80</v>
      </c>
      <c r="D380" s="6">
        <f t="shared" si="3"/>
        <v>1303.8</v>
      </c>
      <c r="E380" s="6">
        <f t="shared" si="4"/>
        <v>6.77</v>
      </c>
    </row>
    <row r="381">
      <c r="A381" s="4" t="s">
        <v>5957</v>
      </c>
      <c r="B381" s="6" t="str">
        <f t="shared" si="1"/>
        <v>1308.06</v>
      </c>
      <c r="C381" s="6" t="str">
        <f t="shared" si="2"/>
        <v>1308,06</v>
      </c>
      <c r="D381" s="6">
        <f t="shared" si="3"/>
        <v>1308.06</v>
      </c>
      <c r="E381" s="6">
        <f t="shared" si="4"/>
        <v>4.26</v>
      </c>
    </row>
    <row r="382">
      <c r="A382" s="4" t="s">
        <v>5958</v>
      </c>
      <c r="B382" s="6" t="str">
        <f t="shared" si="1"/>
        <v>1318.42</v>
      </c>
      <c r="C382" s="6" t="str">
        <f t="shared" si="2"/>
        <v>1318,42</v>
      </c>
      <c r="D382" s="6">
        <f t="shared" si="3"/>
        <v>1318.42</v>
      </c>
      <c r="E382" s="6">
        <f t="shared" si="4"/>
        <v>10.36</v>
      </c>
    </row>
    <row r="383">
      <c r="A383" s="4" t="s">
        <v>5959</v>
      </c>
      <c r="B383" s="6" t="str">
        <f t="shared" si="1"/>
        <v>1326.23</v>
      </c>
      <c r="C383" s="6" t="str">
        <f t="shared" si="2"/>
        <v>1326,23</v>
      </c>
      <c r="D383" s="6">
        <f t="shared" si="3"/>
        <v>1326.23</v>
      </c>
      <c r="E383" s="6">
        <f t="shared" si="4"/>
        <v>7.81</v>
      </c>
    </row>
    <row r="384">
      <c r="A384" s="4" t="s">
        <v>5960</v>
      </c>
      <c r="B384" s="6" t="str">
        <f t="shared" si="1"/>
        <v>1326.69</v>
      </c>
      <c r="C384" s="6" t="str">
        <f t="shared" si="2"/>
        <v>1326,69</v>
      </c>
      <c r="D384" s="6">
        <f t="shared" si="3"/>
        <v>1326.69</v>
      </c>
      <c r="E384" s="6">
        <f t="shared" si="4"/>
        <v>0.46</v>
      </c>
    </row>
    <row r="385">
      <c r="A385" s="4" t="s">
        <v>5961</v>
      </c>
      <c r="B385" s="6" t="str">
        <f t="shared" si="1"/>
        <v>1327.11</v>
      </c>
      <c r="C385" s="6" t="str">
        <f t="shared" si="2"/>
        <v>1327,11</v>
      </c>
      <c r="D385" s="6">
        <f t="shared" si="3"/>
        <v>1327.11</v>
      </c>
      <c r="E385" s="6">
        <f t="shared" si="4"/>
        <v>0.42</v>
      </c>
    </row>
    <row r="386">
      <c r="A386" s="4" t="s">
        <v>5962</v>
      </c>
      <c r="B386" s="6" t="str">
        <f t="shared" si="1"/>
        <v>1334.39</v>
      </c>
      <c r="C386" s="6" t="str">
        <f t="shared" si="2"/>
        <v>1334,39</v>
      </c>
      <c r="D386" s="6">
        <f t="shared" si="3"/>
        <v>1334.39</v>
      </c>
      <c r="E386" s="6">
        <f t="shared" si="4"/>
        <v>7.28</v>
      </c>
    </row>
    <row r="387">
      <c r="A387" s="4" t="s">
        <v>5963</v>
      </c>
      <c r="B387" s="6" t="str">
        <f t="shared" si="1"/>
        <v>1334.84</v>
      </c>
      <c r="C387" s="6" t="str">
        <f t="shared" si="2"/>
        <v>1334,84</v>
      </c>
      <c r="D387" s="6">
        <f t="shared" si="3"/>
        <v>1334.84</v>
      </c>
      <c r="E387" s="6">
        <f t="shared" si="4"/>
        <v>0.45</v>
      </c>
    </row>
    <row r="388">
      <c r="A388" s="4" t="s">
        <v>5964</v>
      </c>
      <c r="B388" s="6" t="str">
        <f t="shared" si="1"/>
        <v>1337.00</v>
      </c>
      <c r="C388" s="6" t="str">
        <f t="shared" si="2"/>
        <v>1337,00</v>
      </c>
      <c r="D388" s="6">
        <f t="shared" si="3"/>
        <v>1337</v>
      </c>
      <c r="E388" s="6">
        <f t="shared" si="4"/>
        <v>2.16</v>
      </c>
    </row>
    <row r="389">
      <c r="A389" s="4" t="s">
        <v>5965</v>
      </c>
      <c r="B389" s="6" t="str">
        <f t="shared" si="1"/>
        <v>1337.44</v>
      </c>
      <c r="C389" s="6" t="str">
        <f t="shared" si="2"/>
        <v>1337,44</v>
      </c>
      <c r="D389" s="6">
        <f t="shared" si="3"/>
        <v>1337.44</v>
      </c>
      <c r="E389" s="6">
        <f t="shared" si="4"/>
        <v>0.44</v>
      </c>
    </row>
    <row r="390">
      <c r="A390" s="4" t="s">
        <v>5966</v>
      </c>
      <c r="B390" s="6" t="str">
        <f t="shared" si="1"/>
        <v>1339.99</v>
      </c>
      <c r="C390" s="6" t="str">
        <f t="shared" si="2"/>
        <v>1339,99</v>
      </c>
      <c r="D390" s="6">
        <f t="shared" si="3"/>
        <v>1339.99</v>
      </c>
      <c r="E390" s="6">
        <f t="shared" si="4"/>
        <v>2.55</v>
      </c>
    </row>
    <row r="391">
      <c r="A391" s="4" t="s">
        <v>5967</v>
      </c>
      <c r="B391" s="6" t="str">
        <f t="shared" si="1"/>
        <v>1342.00</v>
      </c>
      <c r="C391" s="6" t="str">
        <f t="shared" si="2"/>
        <v>1342,00</v>
      </c>
      <c r="D391" s="6">
        <f t="shared" si="3"/>
        <v>1342</v>
      </c>
      <c r="E391" s="6">
        <f t="shared" si="4"/>
        <v>2.01</v>
      </c>
    </row>
    <row r="392">
      <c r="A392" s="4" t="s">
        <v>5968</v>
      </c>
      <c r="B392" s="6" t="str">
        <f t="shared" si="1"/>
        <v>1342.74</v>
      </c>
      <c r="C392" s="6" t="str">
        <f t="shared" si="2"/>
        <v>1342,74</v>
      </c>
      <c r="D392" s="6">
        <f t="shared" si="3"/>
        <v>1342.74</v>
      </c>
      <c r="E392" s="6">
        <f t="shared" si="4"/>
        <v>0.74</v>
      </c>
    </row>
    <row r="393">
      <c r="A393" s="4" t="s">
        <v>5969</v>
      </c>
      <c r="B393" s="6" t="str">
        <f t="shared" si="1"/>
        <v>1348.31</v>
      </c>
      <c r="C393" s="6" t="str">
        <f t="shared" si="2"/>
        <v>1348,31</v>
      </c>
      <c r="D393" s="6">
        <f t="shared" si="3"/>
        <v>1348.31</v>
      </c>
      <c r="E393" s="6">
        <f t="shared" si="4"/>
        <v>5.57</v>
      </c>
    </row>
    <row r="394">
      <c r="A394" s="4" t="s">
        <v>5970</v>
      </c>
      <c r="B394" s="6" t="str">
        <f t="shared" si="1"/>
        <v>1350.10</v>
      </c>
      <c r="C394" s="6" t="str">
        <f t="shared" si="2"/>
        <v>1350,10</v>
      </c>
      <c r="D394" s="6">
        <f t="shared" si="3"/>
        <v>1350.1</v>
      </c>
      <c r="E394" s="6">
        <f t="shared" si="4"/>
        <v>1.79</v>
      </c>
    </row>
    <row r="395">
      <c r="A395" s="4" t="s">
        <v>5971</v>
      </c>
      <c r="B395" s="6" t="str">
        <f t="shared" si="1"/>
        <v>1350.51</v>
      </c>
      <c r="C395" s="6" t="str">
        <f t="shared" si="2"/>
        <v>1350,51</v>
      </c>
      <c r="D395" s="6">
        <f t="shared" si="3"/>
        <v>1350.51</v>
      </c>
      <c r="E395" s="6">
        <f t="shared" si="4"/>
        <v>0.41</v>
      </c>
    </row>
    <row r="396">
      <c r="A396" s="4" t="s">
        <v>5972</v>
      </c>
      <c r="B396" s="6" t="str">
        <f t="shared" si="1"/>
        <v>1355.06</v>
      </c>
      <c r="C396" s="6" t="str">
        <f t="shared" si="2"/>
        <v>1355,06</v>
      </c>
      <c r="D396" s="6">
        <f t="shared" si="3"/>
        <v>1355.06</v>
      </c>
      <c r="E396" s="6">
        <f t="shared" si="4"/>
        <v>4.55</v>
      </c>
    </row>
    <row r="397">
      <c r="A397" s="4" t="s">
        <v>5973</v>
      </c>
      <c r="B397" s="6" t="str">
        <f t="shared" si="1"/>
        <v>1355.62</v>
      </c>
      <c r="C397" s="6" t="str">
        <f t="shared" si="2"/>
        <v>1355,62</v>
      </c>
      <c r="D397" s="6">
        <f t="shared" si="3"/>
        <v>1355.62</v>
      </c>
      <c r="E397" s="6">
        <f t="shared" si="4"/>
        <v>0.56</v>
      </c>
    </row>
    <row r="398">
      <c r="A398" s="4" t="s">
        <v>5974</v>
      </c>
      <c r="B398" s="6" t="str">
        <f t="shared" si="1"/>
        <v>1358.33</v>
      </c>
      <c r="C398" s="6" t="str">
        <f t="shared" si="2"/>
        <v>1358,33</v>
      </c>
      <c r="D398" s="6">
        <f t="shared" si="3"/>
        <v>1358.33</v>
      </c>
      <c r="E398" s="6">
        <f t="shared" si="4"/>
        <v>2.71</v>
      </c>
    </row>
    <row r="399">
      <c r="A399" s="4" t="s">
        <v>5975</v>
      </c>
      <c r="B399" s="6" t="str">
        <f t="shared" si="1"/>
        <v>1360.74</v>
      </c>
      <c r="C399" s="6" t="str">
        <f t="shared" si="2"/>
        <v>1360,74</v>
      </c>
      <c r="D399" s="6">
        <f t="shared" si="3"/>
        <v>1360.74</v>
      </c>
      <c r="E399" s="6">
        <f t="shared" si="4"/>
        <v>2.41</v>
      </c>
    </row>
    <row r="400">
      <c r="A400" s="4" t="s">
        <v>5976</v>
      </c>
      <c r="B400" s="6" t="str">
        <f t="shared" si="1"/>
        <v>1362.46</v>
      </c>
      <c r="C400" s="6" t="str">
        <f t="shared" si="2"/>
        <v>1362,46</v>
      </c>
      <c r="D400" s="6">
        <f t="shared" si="3"/>
        <v>1362.46</v>
      </c>
      <c r="E400" s="6">
        <f t="shared" si="4"/>
        <v>1.72</v>
      </c>
    </row>
    <row r="401">
      <c r="A401" s="4" t="s">
        <v>5977</v>
      </c>
      <c r="B401" s="6" t="str">
        <f t="shared" si="1"/>
        <v>1366.53</v>
      </c>
      <c r="C401" s="6" t="str">
        <f t="shared" si="2"/>
        <v>1366,53</v>
      </c>
      <c r="D401" s="6">
        <f t="shared" si="3"/>
        <v>1366.53</v>
      </c>
      <c r="E401" s="6">
        <f t="shared" si="4"/>
        <v>4.07</v>
      </c>
    </row>
    <row r="402">
      <c r="A402" s="4" t="s">
        <v>5978</v>
      </c>
      <c r="B402" s="6" t="str">
        <f t="shared" si="1"/>
        <v>1366.97</v>
      </c>
      <c r="C402" s="6" t="str">
        <f t="shared" si="2"/>
        <v>1366,97</v>
      </c>
      <c r="D402" s="6">
        <f t="shared" si="3"/>
        <v>1366.97</v>
      </c>
      <c r="E402" s="6">
        <f t="shared" si="4"/>
        <v>0.44</v>
      </c>
    </row>
    <row r="403">
      <c r="A403" s="4" t="s">
        <v>5979</v>
      </c>
      <c r="B403" s="6" t="str">
        <f t="shared" si="1"/>
        <v>1368.18</v>
      </c>
      <c r="C403" s="6" t="str">
        <f t="shared" si="2"/>
        <v>1368,18</v>
      </c>
      <c r="D403" s="6">
        <f t="shared" si="3"/>
        <v>1368.18</v>
      </c>
      <c r="E403" s="6">
        <f t="shared" si="4"/>
        <v>1.21</v>
      </c>
    </row>
    <row r="404">
      <c r="A404" s="4" t="s">
        <v>5980</v>
      </c>
      <c r="B404" s="6" t="str">
        <f t="shared" si="1"/>
        <v>1368.61</v>
      </c>
      <c r="C404" s="6" t="str">
        <f t="shared" si="2"/>
        <v>1368,61</v>
      </c>
      <c r="D404" s="6">
        <f t="shared" si="3"/>
        <v>1368.61</v>
      </c>
      <c r="E404" s="6">
        <f t="shared" si="4"/>
        <v>0.43</v>
      </c>
    </row>
    <row r="405">
      <c r="A405" s="4" t="s">
        <v>5981</v>
      </c>
      <c r="B405" s="6" t="str">
        <f t="shared" si="1"/>
        <v>1387.22</v>
      </c>
      <c r="C405" s="6" t="str">
        <f t="shared" si="2"/>
        <v>1387,22</v>
      </c>
      <c r="D405" s="6">
        <f t="shared" si="3"/>
        <v>1387.22</v>
      </c>
      <c r="E405" s="6">
        <f t="shared" si="4"/>
        <v>18.61</v>
      </c>
    </row>
    <row r="406">
      <c r="A406" s="4" t="s">
        <v>5982</v>
      </c>
      <c r="B406" s="6" t="str">
        <f t="shared" si="1"/>
        <v>1388.54</v>
      </c>
      <c r="C406" s="6" t="str">
        <f t="shared" si="2"/>
        <v>1388,54</v>
      </c>
      <c r="D406" s="6">
        <f t="shared" si="3"/>
        <v>1388.54</v>
      </c>
      <c r="E406" s="6">
        <f t="shared" si="4"/>
        <v>1.32</v>
      </c>
    </row>
    <row r="407">
      <c r="A407" s="4" t="s">
        <v>5983</v>
      </c>
      <c r="B407" s="6" t="str">
        <f t="shared" si="1"/>
        <v>1392.51</v>
      </c>
      <c r="C407" s="6" t="str">
        <f t="shared" si="2"/>
        <v>1392,51</v>
      </c>
      <c r="D407" s="6">
        <f t="shared" si="3"/>
        <v>1392.51</v>
      </c>
      <c r="E407" s="6">
        <f t="shared" si="4"/>
        <v>3.97</v>
      </c>
    </row>
    <row r="408">
      <c r="A408" s="4" t="s">
        <v>5984</v>
      </c>
      <c r="B408" s="6" t="str">
        <f t="shared" si="1"/>
        <v>1393.55</v>
      </c>
      <c r="C408" s="6" t="str">
        <f t="shared" si="2"/>
        <v>1393,55</v>
      </c>
      <c r="D408" s="6">
        <f t="shared" si="3"/>
        <v>1393.55</v>
      </c>
      <c r="E408" s="6">
        <f t="shared" si="4"/>
        <v>1.04</v>
      </c>
    </row>
    <row r="409">
      <c r="A409" s="4" t="s">
        <v>5985</v>
      </c>
      <c r="B409" s="6" t="str">
        <f t="shared" si="1"/>
        <v>1396.45</v>
      </c>
      <c r="C409" s="6" t="str">
        <f t="shared" si="2"/>
        <v>1396,45</v>
      </c>
      <c r="D409" s="6">
        <f t="shared" si="3"/>
        <v>1396.45</v>
      </c>
      <c r="E409" s="6">
        <f t="shared" si="4"/>
        <v>2.9</v>
      </c>
    </row>
    <row r="410">
      <c r="A410" s="4" t="s">
        <v>5986</v>
      </c>
      <c r="B410" s="6" t="str">
        <f t="shared" si="1"/>
        <v>1396.89</v>
      </c>
      <c r="C410" s="6" t="str">
        <f t="shared" si="2"/>
        <v>1396,89</v>
      </c>
      <c r="D410" s="6">
        <f t="shared" si="3"/>
        <v>1396.89</v>
      </c>
      <c r="E410" s="6">
        <f t="shared" si="4"/>
        <v>0.44</v>
      </c>
    </row>
    <row r="411">
      <c r="A411" s="4" t="s">
        <v>5987</v>
      </c>
      <c r="B411" s="6" t="str">
        <f t="shared" si="1"/>
        <v>1397.33</v>
      </c>
      <c r="C411" s="6" t="str">
        <f t="shared" si="2"/>
        <v>1397,33</v>
      </c>
      <c r="D411" s="6">
        <f t="shared" si="3"/>
        <v>1397.33</v>
      </c>
      <c r="E411" s="6">
        <f t="shared" si="4"/>
        <v>0.44</v>
      </c>
    </row>
    <row r="412">
      <c r="A412" s="4" t="s">
        <v>5988</v>
      </c>
      <c r="B412" s="6" t="str">
        <f t="shared" si="1"/>
        <v>1397.76</v>
      </c>
      <c r="C412" s="6" t="str">
        <f t="shared" si="2"/>
        <v>1397,76</v>
      </c>
      <c r="D412" s="6">
        <f t="shared" si="3"/>
        <v>1397.76</v>
      </c>
      <c r="E412" s="6">
        <f t="shared" si="4"/>
        <v>0.43</v>
      </c>
    </row>
    <row r="413">
      <c r="A413" s="4" t="s">
        <v>5989</v>
      </c>
      <c r="B413" s="6" t="str">
        <f t="shared" si="1"/>
        <v>1398.35</v>
      </c>
      <c r="C413" s="6" t="str">
        <f t="shared" si="2"/>
        <v>1398,35</v>
      </c>
      <c r="D413" s="6">
        <f t="shared" si="3"/>
        <v>1398.35</v>
      </c>
      <c r="E413" s="6">
        <f t="shared" si="4"/>
        <v>0.59</v>
      </c>
    </row>
    <row r="414">
      <c r="A414" s="4" t="s">
        <v>5990</v>
      </c>
      <c r="B414" s="6" t="str">
        <f t="shared" si="1"/>
        <v>1400.75</v>
      </c>
      <c r="C414" s="6" t="str">
        <f t="shared" si="2"/>
        <v>1400,75</v>
      </c>
      <c r="D414" s="6">
        <f t="shared" si="3"/>
        <v>1400.75</v>
      </c>
      <c r="E414" s="6">
        <f t="shared" si="4"/>
        <v>2.4</v>
      </c>
    </row>
    <row r="415">
      <c r="A415" s="4" t="s">
        <v>5991</v>
      </c>
      <c r="B415" s="6" t="str">
        <f t="shared" si="1"/>
        <v>1403.81</v>
      </c>
      <c r="C415" s="6" t="str">
        <f t="shared" si="2"/>
        <v>1403,81</v>
      </c>
      <c r="D415" s="6">
        <f t="shared" si="3"/>
        <v>1403.81</v>
      </c>
      <c r="E415" s="6">
        <f t="shared" si="4"/>
        <v>3.06</v>
      </c>
    </row>
    <row r="416">
      <c r="A416" s="4" t="s">
        <v>5992</v>
      </c>
      <c r="B416" s="6" t="str">
        <f t="shared" si="1"/>
        <v>1405.52</v>
      </c>
      <c r="C416" s="6" t="str">
        <f t="shared" si="2"/>
        <v>1405,52</v>
      </c>
      <c r="D416" s="6">
        <f t="shared" si="3"/>
        <v>1405.52</v>
      </c>
      <c r="E416" s="6">
        <f t="shared" si="4"/>
        <v>1.71</v>
      </c>
    </row>
    <row r="417">
      <c r="A417" s="4" t="s">
        <v>5993</v>
      </c>
      <c r="B417" s="6" t="str">
        <f t="shared" si="1"/>
        <v>1406.72</v>
      </c>
      <c r="C417" s="6" t="str">
        <f t="shared" si="2"/>
        <v>1406,72</v>
      </c>
      <c r="D417" s="6">
        <f t="shared" si="3"/>
        <v>1406.72</v>
      </c>
      <c r="E417" s="6">
        <f t="shared" si="4"/>
        <v>1.2</v>
      </c>
    </row>
    <row r="418">
      <c r="A418" s="4" t="s">
        <v>5994</v>
      </c>
      <c r="B418" s="6" t="str">
        <f t="shared" si="1"/>
        <v>1407.93</v>
      </c>
      <c r="C418" s="6" t="str">
        <f t="shared" si="2"/>
        <v>1407,93</v>
      </c>
      <c r="D418" s="6">
        <f t="shared" si="3"/>
        <v>1407.93</v>
      </c>
      <c r="E418" s="6">
        <f t="shared" si="4"/>
        <v>1.21</v>
      </c>
    </row>
    <row r="419">
      <c r="A419" s="4" t="s">
        <v>5995</v>
      </c>
      <c r="B419" s="6" t="str">
        <f t="shared" si="1"/>
        <v>1412.29</v>
      </c>
      <c r="C419" s="6" t="str">
        <f t="shared" si="2"/>
        <v>1412,29</v>
      </c>
      <c r="D419" s="6">
        <f t="shared" si="3"/>
        <v>1412.29</v>
      </c>
      <c r="E419" s="6">
        <f t="shared" si="4"/>
        <v>4.36</v>
      </c>
    </row>
    <row r="420">
      <c r="A420" s="4" t="s">
        <v>5996</v>
      </c>
      <c r="B420" s="6" t="str">
        <f t="shared" si="1"/>
        <v>1417.92</v>
      </c>
      <c r="C420" s="6" t="str">
        <f t="shared" si="2"/>
        <v>1417,92</v>
      </c>
      <c r="D420" s="6">
        <f t="shared" si="3"/>
        <v>1417.92</v>
      </c>
      <c r="E420" s="6">
        <f t="shared" si="4"/>
        <v>5.63</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1655</v>
      </c>
    </row>
    <row r="3">
      <c r="A3" s="4" t="s">
        <v>1657</v>
      </c>
    </row>
    <row r="4">
      <c r="A4" s="4" t="s">
        <v>1656</v>
      </c>
    </row>
    <row r="5">
      <c r="A5" s="4" t="s">
        <v>1657</v>
      </c>
    </row>
    <row r="6">
      <c r="A6" s="4" t="s">
        <v>1657</v>
      </c>
    </row>
    <row r="7">
      <c r="A7" s="4" t="s">
        <v>1655</v>
      </c>
    </row>
    <row r="8">
      <c r="A8" s="4" t="s">
        <v>1656</v>
      </c>
    </row>
    <row r="9">
      <c r="A9" s="4" t="s">
        <v>1655</v>
      </c>
    </row>
    <row r="10">
      <c r="A10" s="4" t="s">
        <v>1657</v>
      </c>
    </row>
    <row r="11">
      <c r="A11" s="4" t="s">
        <v>1656</v>
      </c>
    </row>
    <row r="12">
      <c r="A12" s="4" t="s">
        <v>1655</v>
      </c>
    </row>
    <row r="13">
      <c r="A13" s="4" t="s">
        <v>1657</v>
      </c>
    </row>
    <row r="14">
      <c r="A14" s="4" t="s">
        <v>1657</v>
      </c>
    </row>
    <row r="15">
      <c r="A15" s="4" t="s">
        <v>1655</v>
      </c>
    </row>
    <row r="16">
      <c r="A16" s="4" t="s">
        <v>1656</v>
      </c>
    </row>
    <row r="17">
      <c r="A17" s="4" t="s">
        <v>1657</v>
      </c>
    </row>
    <row r="18">
      <c r="A18" s="4" t="s">
        <v>1656</v>
      </c>
    </row>
    <row r="19">
      <c r="A19" s="4" t="s">
        <v>1655</v>
      </c>
    </row>
    <row r="20">
      <c r="A20" s="4" t="s">
        <v>1656</v>
      </c>
    </row>
    <row r="21">
      <c r="A21" s="4" t="s">
        <v>1656</v>
      </c>
    </row>
    <row r="22">
      <c r="A22" s="4" t="s">
        <v>1655</v>
      </c>
    </row>
    <row r="23">
      <c r="A23" s="4" t="s">
        <v>1655</v>
      </c>
    </row>
    <row r="24">
      <c r="A24" s="4" t="s">
        <v>1656</v>
      </c>
    </row>
    <row r="25">
      <c r="A25" s="4" t="s">
        <v>1656</v>
      </c>
    </row>
    <row r="26">
      <c r="A26" s="4" t="s">
        <v>1657</v>
      </c>
    </row>
    <row r="27">
      <c r="A27" s="4" t="s">
        <v>1657</v>
      </c>
    </row>
    <row r="28">
      <c r="A28" s="4" t="s">
        <v>1657</v>
      </c>
    </row>
    <row r="29">
      <c r="A29" s="4" t="s">
        <v>1657</v>
      </c>
    </row>
    <row r="30">
      <c r="A30" s="4" t="s">
        <v>1657</v>
      </c>
    </row>
    <row r="31">
      <c r="A31" s="4" t="s">
        <v>1655</v>
      </c>
    </row>
    <row r="32">
      <c r="A32" s="4" t="s">
        <v>1656</v>
      </c>
    </row>
    <row r="33">
      <c r="A33" s="4" t="s">
        <v>1657</v>
      </c>
    </row>
    <row r="34">
      <c r="A34" s="4" t="s">
        <v>1655</v>
      </c>
    </row>
    <row r="35">
      <c r="A35" s="4" t="s">
        <v>1657</v>
      </c>
    </row>
    <row r="36">
      <c r="A36" s="4" t="s">
        <v>1655</v>
      </c>
    </row>
    <row r="37">
      <c r="A37" s="4" t="s">
        <v>1656</v>
      </c>
    </row>
    <row r="38">
      <c r="A38" s="4" t="s">
        <v>1656</v>
      </c>
    </row>
    <row r="39">
      <c r="A39" s="4" t="s">
        <v>1657</v>
      </c>
    </row>
    <row r="40">
      <c r="A40" s="4" t="s">
        <v>1657</v>
      </c>
    </row>
    <row r="41">
      <c r="A41" s="4" t="s">
        <v>1657</v>
      </c>
    </row>
    <row r="42">
      <c r="A42" s="4" t="s">
        <v>1656</v>
      </c>
    </row>
    <row r="43">
      <c r="A43" s="4" t="s">
        <v>1656</v>
      </c>
    </row>
    <row r="44">
      <c r="A44" s="4" t="s">
        <v>1656</v>
      </c>
    </row>
    <row r="45">
      <c r="A45" s="4" t="s">
        <v>1656</v>
      </c>
    </row>
    <row r="46">
      <c r="A46" s="4" t="s">
        <v>1656</v>
      </c>
    </row>
    <row r="47">
      <c r="A47" s="4" t="s">
        <v>1657</v>
      </c>
    </row>
    <row r="48">
      <c r="A48" s="4" t="s">
        <v>1656</v>
      </c>
    </row>
    <row r="49">
      <c r="A49" s="4" t="s">
        <v>1655</v>
      </c>
    </row>
    <row r="50">
      <c r="A50" s="4" t="s">
        <v>1657</v>
      </c>
    </row>
    <row r="51">
      <c r="A51" s="4" t="s">
        <v>1657</v>
      </c>
    </row>
    <row r="52">
      <c r="A52" s="4" t="s">
        <v>1656</v>
      </c>
    </row>
    <row r="53">
      <c r="A53" s="4" t="s">
        <v>1657</v>
      </c>
    </row>
    <row r="54">
      <c r="A54" s="4" t="s">
        <v>1657</v>
      </c>
    </row>
    <row r="55">
      <c r="A55" s="4" t="s">
        <v>1655</v>
      </c>
    </row>
    <row r="56">
      <c r="A56" s="4" t="s">
        <v>1656</v>
      </c>
    </row>
    <row r="57">
      <c r="A57" s="4" t="s">
        <v>1657</v>
      </c>
    </row>
    <row r="58">
      <c r="A58" s="4" t="s">
        <v>1657</v>
      </c>
    </row>
    <row r="59">
      <c r="A59" s="4" t="s">
        <v>1655</v>
      </c>
    </row>
    <row r="60">
      <c r="A60" s="4" t="s">
        <v>1656</v>
      </c>
    </row>
    <row r="61">
      <c r="A61" s="4" t="s">
        <v>1655</v>
      </c>
    </row>
    <row r="62">
      <c r="A62" s="4" t="s">
        <v>1655</v>
      </c>
    </row>
    <row r="63">
      <c r="A63" s="4" t="s">
        <v>1656</v>
      </c>
    </row>
    <row r="64">
      <c r="A64" s="4" t="s">
        <v>1655</v>
      </c>
    </row>
    <row r="65">
      <c r="A65" s="4" t="s">
        <v>1655</v>
      </c>
    </row>
    <row r="66">
      <c r="A66" s="4" t="s">
        <v>1656</v>
      </c>
    </row>
    <row r="67">
      <c r="A67" s="4" t="s">
        <v>1657</v>
      </c>
    </row>
    <row r="68">
      <c r="A68" s="4" t="s">
        <v>1655</v>
      </c>
    </row>
    <row r="69">
      <c r="A69" s="4" t="s">
        <v>1655</v>
      </c>
    </row>
    <row r="70">
      <c r="A70" s="4" t="s">
        <v>1657</v>
      </c>
    </row>
    <row r="71">
      <c r="A71" s="4" t="s">
        <v>1656</v>
      </c>
    </row>
    <row r="72">
      <c r="A72" s="4" t="s">
        <v>1655</v>
      </c>
    </row>
    <row r="73">
      <c r="A73" s="4" t="s">
        <v>1657</v>
      </c>
    </row>
    <row r="74">
      <c r="A74" s="4" t="s">
        <v>1656</v>
      </c>
    </row>
    <row r="75">
      <c r="A75" s="4" t="s">
        <v>1657</v>
      </c>
    </row>
    <row r="76">
      <c r="A76" s="4" t="s">
        <v>1657</v>
      </c>
    </row>
    <row r="77">
      <c r="A77" s="4" t="s">
        <v>1657</v>
      </c>
    </row>
    <row r="78">
      <c r="A78" s="4" t="s">
        <v>1656</v>
      </c>
    </row>
    <row r="79">
      <c r="A79" s="4" t="s">
        <v>1657</v>
      </c>
    </row>
    <row r="80">
      <c r="A80" s="4" t="s">
        <v>1655</v>
      </c>
    </row>
    <row r="81">
      <c r="A81" s="4" t="s">
        <v>1656</v>
      </c>
    </row>
    <row r="82">
      <c r="A82" s="4" t="s">
        <v>1657</v>
      </c>
    </row>
    <row r="83">
      <c r="A83" s="4" t="s">
        <v>1657</v>
      </c>
    </row>
    <row r="84">
      <c r="A84" s="4" t="s">
        <v>1655</v>
      </c>
    </row>
    <row r="85">
      <c r="A85" s="4" t="s">
        <v>1656</v>
      </c>
    </row>
    <row r="86">
      <c r="A86" s="4" t="s">
        <v>1655</v>
      </c>
    </row>
    <row r="87">
      <c r="A87" s="4" t="s">
        <v>1656</v>
      </c>
    </row>
    <row r="88">
      <c r="A88" s="4" t="s">
        <v>1656</v>
      </c>
    </row>
    <row r="89">
      <c r="A89" s="4" t="s">
        <v>1657</v>
      </c>
    </row>
    <row r="90">
      <c r="A90" s="4" t="s">
        <v>1656</v>
      </c>
    </row>
    <row r="91">
      <c r="A91" s="4" t="s">
        <v>1656</v>
      </c>
    </row>
    <row r="92">
      <c r="A92" s="4" t="s">
        <v>1656</v>
      </c>
    </row>
    <row r="93">
      <c r="A93" s="4" t="s">
        <v>1656</v>
      </c>
    </row>
    <row r="94">
      <c r="A94" s="4" t="s">
        <v>1657</v>
      </c>
    </row>
    <row r="95">
      <c r="A95" s="4" t="s">
        <v>1655</v>
      </c>
    </row>
    <row r="96">
      <c r="A96" s="4" t="s">
        <v>1655</v>
      </c>
    </row>
    <row r="97">
      <c r="A97" s="4" t="s">
        <v>1655</v>
      </c>
    </row>
    <row r="98">
      <c r="A98" s="4" t="s">
        <v>1657</v>
      </c>
    </row>
    <row r="99">
      <c r="A99" s="4" t="s">
        <v>1657</v>
      </c>
    </row>
    <row r="100">
      <c r="A100" s="4" t="s">
        <v>1656</v>
      </c>
    </row>
    <row r="101">
      <c r="A101" s="4" t="s">
        <v>1656</v>
      </c>
    </row>
    <row r="102">
      <c r="A102" s="4" t="s">
        <v>1655</v>
      </c>
    </row>
    <row r="103">
      <c r="A103" s="4" t="s">
        <v>1656</v>
      </c>
    </row>
    <row r="104">
      <c r="A104" s="4" t="s">
        <v>1655</v>
      </c>
    </row>
    <row r="105">
      <c r="A105" s="4" t="s">
        <v>1656</v>
      </c>
    </row>
    <row r="106">
      <c r="A106" s="4" t="s">
        <v>1655</v>
      </c>
    </row>
    <row r="107">
      <c r="A107" s="4" t="s">
        <v>1655</v>
      </c>
    </row>
    <row r="108">
      <c r="A108" s="4" t="s">
        <v>1655</v>
      </c>
    </row>
    <row r="109">
      <c r="A109" s="4" t="s">
        <v>1655</v>
      </c>
    </row>
    <row r="110">
      <c r="A110" s="4" t="s">
        <v>1656</v>
      </c>
    </row>
    <row r="111">
      <c r="A111" s="4" t="s">
        <v>1657</v>
      </c>
    </row>
    <row r="112">
      <c r="A112" s="4" t="s">
        <v>1657</v>
      </c>
    </row>
    <row r="113">
      <c r="A113" s="4" t="s">
        <v>1656</v>
      </c>
    </row>
    <row r="114">
      <c r="A114" s="4" t="s">
        <v>1656</v>
      </c>
    </row>
    <row r="115">
      <c r="A115" s="4" t="s">
        <v>1655</v>
      </c>
    </row>
    <row r="116">
      <c r="A116" s="4" t="s">
        <v>1655</v>
      </c>
    </row>
    <row r="117">
      <c r="A117" s="4" t="s">
        <v>1657</v>
      </c>
    </row>
    <row r="118">
      <c r="A118" s="4" t="s">
        <v>1657</v>
      </c>
    </row>
    <row r="119">
      <c r="A119" s="4" t="s">
        <v>1657</v>
      </c>
    </row>
    <row r="120">
      <c r="A120" s="4" t="s">
        <v>1655</v>
      </c>
    </row>
    <row r="121">
      <c r="A121" s="4" t="s">
        <v>1657</v>
      </c>
    </row>
    <row r="122">
      <c r="A122" s="4" t="s">
        <v>1655</v>
      </c>
    </row>
    <row r="123">
      <c r="A123" s="4" t="s">
        <v>1655</v>
      </c>
    </row>
    <row r="124">
      <c r="A124" s="4" t="s">
        <v>1655</v>
      </c>
    </row>
    <row r="125">
      <c r="A125" s="4" t="s">
        <v>1656</v>
      </c>
    </row>
    <row r="126">
      <c r="A126" s="4" t="s">
        <v>1655</v>
      </c>
    </row>
    <row r="127">
      <c r="A127" s="4" t="s">
        <v>1656</v>
      </c>
    </row>
    <row r="128">
      <c r="A128" s="4" t="s">
        <v>1656</v>
      </c>
    </row>
    <row r="129">
      <c r="A129" s="4" t="s">
        <v>1655</v>
      </c>
    </row>
    <row r="130">
      <c r="A130" s="4" t="s">
        <v>1656</v>
      </c>
    </row>
    <row r="131">
      <c r="A131" s="4" t="s">
        <v>1655</v>
      </c>
    </row>
    <row r="132">
      <c r="A132" s="4" t="s">
        <v>1655</v>
      </c>
    </row>
    <row r="133">
      <c r="A133" s="4" t="s">
        <v>1656</v>
      </c>
    </row>
    <row r="134">
      <c r="A134" s="4" t="s">
        <v>1657</v>
      </c>
    </row>
    <row r="135">
      <c r="A135" s="4" t="s">
        <v>1656</v>
      </c>
    </row>
    <row r="136">
      <c r="A136" s="4" t="s">
        <v>1655</v>
      </c>
    </row>
    <row r="137">
      <c r="A137" s="4" t="s">
        <v>1656</v>
      </c>
    </row>
    <row r="138">
      <c r="A138" s="4" t="s">
        <v>1656</v>
      </c>
    </row>
    <row r="139">
      <c r="A139" s="4" t="s">
        <v>1656</v>
      </c>
    </row>
    <row r="140">
      <c r="A140" s="4" t="s">
        <v>1657</v>
      </c>
    </row>
    <row r="141">
      <c r="A141" s="4" t="s">
        <v>1657</v>
      </c>
    </row>
    <row r="142">
      <c r="A142" s="4" t="s">
        <v>1657</v>
      </c>
    </row>
    <row r="143">
      <c r="A143" s="4" t="s">
        <v>1656</v>
      </c>
    </row>
    <row r="144">
      <c r="A144" s="4" t="s">
        <v>1657</v>
      </c>
    </row>
    <row r="145">
      <c r="A145" s="4" t="s">
        <v>1656</v>
      </c>
    </row>
    <row r="146">
      <c r="A146" s="4" t="s">
        <v>1655</v>
      </c>
    </row>
    <row r="147">
      <c r="A147" s="4" t="s">
        <v>1657</v>
      </c>
    </row>
    <row r="148">
      <c r="A148" s="4" t="s">
        <v>1656</v>
      </c>
    </row>
    <row r="149">
      <c r="A149" s="4" t="s">
        <v>1655</v>
      </c>
    </row>
    <row r="150">
      <c r="A150" s="4" t="s">
        <v>1655</v>
      </c>
    </row>
    <row r="151">
      <c r="A151" s="4" t="s">
        <v>1657</v>
      </c>
    </row>
    <row r="152">
      <c r="A152" s="4" t="s">
        <v>1655</v>
      </c>
    </row>
    <row r="153">
      <c r="A153" s="4" t="s">
        <v>1657</v>
      </c>
    </row>
    <row r="154">
      <c r="A154" s="4" t="s">
        <v>1656</v>
      </c>
    </row>
    <row r="155">
      <c r="A155" s="4" t="s">
        <v>1655</v>
      </c>
    </row>
    <row r="156">
      <c r="A156" s="4" t="s">
        <v>1657</v>
      </c>
    </row>
    <row r="157">
      <c r="A157" s="4" t="s">
        <v>1656</v>
      </c>
    </row>
    <row r="158">
      <c r="A158" s="4" t="s">
        <v>1655</v>
      </c>
    </row>
    <row r="159">
      <c r="A159" s="4" t="s">
        <v>1656</v>
      </c>
    </row>
    <row r="160">
      <c r="A160" s="4" t="s">
        <v>1656</v>
      </c>
    </row>
    <row r="161">
      <c r="A161" s="4" t="s">
        <v>1657</v>
      </c>
    </row>
    <row r="162">
      <c r="A162" s="4" t="s">
        <v>1656</v>
      </c>
    </row>
    <row r="163">
      <c r="A163" s="4" t="s">
        <v>1657</v>
      </c>
    </row>
    <row r="164">
      <c r="A164" s="4" t="s">
        <v>1655</v>
      </c>
    </row>
    <row r="165">
      <c r="A165" s="4" t="s">
        <v>1655</v>
      </c>
    </row>
    <row r="166">
      <c r="A166" s="4" t="s">
        <v>1657</v>
      </c>
    </row>
    <row r="167">
      <c r="A167" s="4" t="s">
        <v>1657</v>
      </c>
    </row>
    <row r="168">
      <c r="A168" s="4" t="s">
        <v>1656</v>
      </c>
    </row>
    <row r="169">
      <c r="A169" s="4" t="s">
        <v>1656</v>
      </c>
    </row>
    <row r="170">
      <c r="A170" s="4" t="s">
        <v>1655</v>
      </c>
    </row>
    <row r="171">
      <c r="A171" s="4" t="s">
        <v>1656</v>
      </c>
    </row>
    <row r="172">
      <c r="A172" s="4" t="s">
        <v>1655</v>
      </c>
    </row>
    <row r="173">
      <c r="A173" s="4" t="s">
        <v>1655</v>
      </c>
    </row>
    <row r="174">
      <c r="A174" s="4" t="s">
        <v>1656</v>
      </c>
    </row>
    <row r="175">
      <c r="A175" s="4" t="s">
        <v>1657</v>
      </c>
    </row>
    <row r="176">
      <c r="A176" s="4" t="s">
        <v>1656</v>
      </c>
    </row>
    <row r="177">
      <c r="A177" s="4" t="s">
        <v>1656</v>
      </c>
    </row>
    <row r="178">
      <c r="A178" s="4" t="s">
        <v>1655</v>
      </c>
    </row>
    <row r="179">
      <c r="A179" s="4" t="s">
        <v>1655</v>
      </c>
    </row>
    <row r="180">
      <c r="A180" s="4" t="s">
        <v>1656</v>
      </c>
    </row>
    <row r="181">
      <c r="A181" s="4" t="s">
        <v>1657</v>
      </c>
    </row>
    <row r="182">
      <c r="A182" s="4" t="s">
        <v>1657</v>
      </c>
    </row>
    <row r="183">
      <c r="A183" s="4" t="s">
        <v>1656</v>
      </c>
    </row>
    <row r="184">
      <c r="A184" s="4" t="s">
        <v>1656</v>
      </c>
    </row>
    <row r="185">
      <c r="A185" s="4" t="s">
        <v>1655</v>
      </c>
    </row>
    <row r="186">
      <c r="A186" s="4" t="s">
        <v>1657</v>
      </c>
    </row>
    <row r="187">
      <c r="A187" s="4" t="s">
        <v>1656</v>
      </c>
    </row>
    <row r="188">
      <c r="A188" s="4" t="s">
        <v>1655</v>
      </c>
    </row>
    <row r="189">
      <c r="A189" s="4" t="s">
        <v>1657</v>
      </c>
    </row>
    <row r="190">
      <c r="A190" s="4" t="s">
        <v>1655</v>
      </c>
    </row>
    <row r="191">
      <c r="A191" s="4" t="s">
        <v>1656</v>
      </c>
    </row>
    <row r="192">
      <c r="A192" s="4" t="s">
        <v>1655</v>
      </c>
    </row>
    <row r="193">
      <c r="A193" s="4" t="s">
        <v>1656</v>
      </c>
    </row>
    <row r="194">
      <c r="A194" s="4" t="s">
        <v>1656</v>
      </c>
    </row>
    <row r="195">
      <c r="A195" s="4" t="s">
        <v>1657</v>
      </c>
    </row>
    <row r="196">
      <c r="A196" s="4" t="s">
        <v>1657</v>
      </c>
    </row>
    <row r="197">
      <c r="A197" s="4" t="s">
        <v>1656</v>
      </c>
    </row>
    <row r="198">
      <c r="A198" s="4" t="s">
        <v>1656</v>
      </c>
    </row>
    <row r="199">
      <c r="A199" s="4" t="s">
        <v>1656</v>
      </c>
    </row>
    <row r="200">
      <c r="A200" s="4" t="s">
        <v>1656</v>
      </c>
    </row>
    <row r="201">
      <c r="A201" s="4" t="s">
        <v>1656</v>
      </c>
    </row>
    <row r="202">
      <c r="A202" s="4" t="s">
        <v>1657</v>
      </c>
    </row>
    <row r="203">
      <c r="A203" s="4" t="s">
        <v>1655</v>
      </c>
    </row>
    <row r="204">
      <c r="A204" s="4" t="s">
        <v>1656</v>
      </c>
    </row>
    <row r="205">
      <c r="A205" s="4" t="s">
        <v>1656</v>
      </c>
    </row>
    <row r="206">
      <c r="A206" s="4" t="s">
        <v>1657</v>
      </c>
    </row>
    <row r="207">
      <c r="A207" s="4" t="s">
        <v>1655</v>
      </c>
    </row>
    <row r="208">
      <c r="A208" s="4" t="s">
        <v>1656</v>
      </c>
    </row>
    <row r="209">
      <c r="A209" s="4" t="s">
        <v>1657</v>
      </c>
    </row>
    <row r="210">
      <c r="A210" s="4" t="s">
        <v>1657</v>
      </c>
    </row>
    <row r="211">
      <c r="A211" s="4" t="s">
        <v>1655</v>
      </c>
    </row>
    <row r="212">
      <c r="A212" s="4" t="s">
        <v>1657</v>
      </c>
    </row>
    <row r="213">
      <c r="A213" s="4" t="s">
        <v>1655</v>
      </c>
    </row>
    <row r="214">
      <c r="A214" s="4" t="s">
        <v>1656</v>
      </c>
    </row>
    <row r="215">
      <c r="A215" s="4" t="s">
        <v>1655</v>
      </c>
    </row>
    <row r="216">
      <c r="A216" s="4" t="s">
        <v>1655</v>
      </c>
    </row>
    <row r="217">
      <c r="A217" s="4" t="s">
        <v>1656</v>
      </c>
    </row>
    <row r="218">
      <c r="A218" s="4" t="s">
        <v>1656</v>
      </c>
    </row>
    <row r="219">
      <c r="A219" s="4" t="s">
        <v>1657</v>
      </c>
    </row>
    <row r="220">
      <c r="A220" s="4" t="s">
        <v>1656</v>
      </c>
    </row>
    <row r="221">
      <c r="A221" s="4" t="s">
        <v>1657</v>
      </c>
    </row>
    <row r="222">
      <c r="A222" s="4" t="s">
        <v>1655</v>
      </c>
    </row>
    <row r="223">
      <c r="A223" s="4" t="s">
        <v>1656</v>
      </c>
    </row>
    <row r="224">
      <c r="A224" s="4" t="s">
        <v>1657</v>
      </c>
    </row>
    <row r="225">
      <c r="A225" s="4" t="s">
        <v>1657</v>
      </c>
    </row>
    <row r="226">
      <c r="A226" s="4" t="s">
        <v>1656</v>
      </c>
    </row>
    <row r="227">
      <c r="A227" s="4" t="s">
        <v>1656</v>
      </c>
    </row>
    <row r="228">
      <c r="A228" s="4" t="s">
        <v>1656</v>
      </c>
    </row>
    <row r="229">
      <c r="A229" s="4" t="s">
        <v>1655</v>
      </c>
    </row>
    <row r="230">
      <c r="A230" s="4" t="s">
        <v>1656</v>
      </c>
    </row>
    <row r="231">
      <c r="A231" s="4" t="s">
        <v>1656</v>
      </c>
    </row>
    <row r="232">
      <c r="A232" s="4" t="s">
        <v>1655</v>
      </c>
    </row>
    <row r="233">
      <c r="A233" s="4" t="s">
        <v>1655</v>
      </c>
    </row>
    <row r="234">
      <c r="A234" s="4" t="s">
        <v>1657</v>
      </c>
    </row>
    <row r="235">
      <c r="A235" s="4" t="s">
        <v>1655</v>
      </c>
    </row>
    <row r="236">
      <c r="A236" s="4" t="s">
        <v>1655</v>
      </c>
    </row>
    <row r="237">
      <c r="A237" s="4" t="s">
        <v>1656</v>
      </c>
    </row>
    <row r="238">
      <c r="A238" s="4" t="s">
        <v>1657</v>
      </c>
    </row>
    <row r="239">
      <c r="A239" s="4" t="s">
        <v>1657</v>
      </c>
    </row>
    <row r="240">
      <c r="A240" s="4" t="s">
        <v>1656</v>
      </c>
    </row>
    <row r="241">
      <c r="A241" s="4" t="s">
        <v>1657</v>
      </c>
    </row>
    <row r="242">
      <c r="A242" s="4" t="s">
        <v>1656</v>
      </c>
    </row>
    <row r="243">
      <c r="A243" s="4" t="s">
        <v>1657</v>
      </c>
    </row>
    <row r="244">
      <c r="A244" s="4" t="s">
        <v>1657</v>
      </c>
    </row>
    <row r="245">
      <c r="A245" s="4" t="s">
        <v>1656</v>
      </c>
    </row>
    <row r="246">
      <c r="A246" s="4" t="s">
        <v>1655</v>
      </c>
    </row>
    <row r="247">
      <c r="A247" s="4" t="s">
        <v>1655</v>
      </c>
    </row>
    <row r="248">
      <c r="A248" s="4" t="s">
        <v>1657</v>
      </c>
    </row>
    <row r="249">
      <c r="A249" s="4" t="s">
        <v>1657</v>
      </c>
    </row>
    <row r="250">
      <c r="A250" s="4" t="s">
        <v>1656</v>
      </c>
    </row>
    <row r="251">
      <c r="A251" s="4" t="s">
        <v>1656</v>
      </c>
    </row>
    <row r="252">
      <c r="A252" s="4" t="s">
        <v>1656</v>
      </c>
    </row>
    <row r="253">
      <c r="A253" s="4" t="s">
        <v>1656</v>
      </c>
    </row>
    <row r="254">
      <c r="A254" s="4" t="s">
        <v>1656</v>
      </c>
    </row>
    <row r="255">
      <c r="A255" s="4" t="s">
        <v>1656</v>
      </c>
    </row>
    <row r="256">
      <c r="A256" s="4" t="s">
        <v>1657</v>
      </c>
    </row>
    <row r="257">
      <c r="A257" s="4" t="s">
        <v>1655</v>
      </c>
    </row>
    <row r="258">
      <c r="A258" s="4" t="s">
        <v>1655</v>
      </c>
    </row>
    <row r="259">
      <c r="A259" s="4" t="s">
        <v>1656</v>
      </c>
    </row>
    <row r="260">
      <c r="A260" s="4" t="s">
        <v>1655</v>
      </c>
    </row>
    <row r="261">
      <c r="A261" s="4" t="s">
        <v>1657</v>
      </c>
    </row>
    <row r="262">
      <c r="A262" s="4" t="s">
        <v>1655</v>
      </c>
    </row>
    <row r="263">
      <c r="A263" s="4" t="s">
        <v>1655</v>
      </c>
    </row>
    <row r="264">
      <c r="A264" s="4" t="s">
        <v>1657</v>
      </c>
    </row>
    <row r="265">
      <c r="A265" s="4" t="s">
        <v>1656</v>
      </c>
    </row>
    <row r="266">
      <c r="A266" s="4" t="s">
        <v>1656</v>
      </c>
    </row>
    <row r="267">
      <c r="A267" s="4" t="s">
        <v>1657</v>
      </c>
    </row>
    <row r="268">
      <c r="A268" s="4" t="s">
        <v>1655</v>
      </c>
    </row>
    <row r="269">
      <c r="A269" s="4" t="s">
        <v>1656</v>
      </c>
    </row>
    <row r="270">
      <c r="A270" s="4" t="s">
        <v>1655</v>
      </c>
    </row>
    <row r="271">
      <c r="A271" s="4" t="s">
        <v>1655</v>
      </c>
    </row>
    <row r="272">
      <c r="A272" s="4" t="s">
        <v>1657</v>
      </c>
    </row>
    <row r="273">
      <c r="A273" s="4" t="s">
        <v>1655</v>
      </c>
    </row>
    <row r="274">
      <c r="A274" s="4" t="s">
        <v>1656</v>
      </c>
    </row>
    <row r="275">
      <c r="A275" s="4" t="s">
        <v>1655</v>
      </c>
    </row>
    <row r="276">
      <c r="A276" s="4" t="s">
        <v>1655</v>
      </c>
    </row>
    <row r="277">
      <c r="A277" s="4" t="s">
        <v>1655</v>
      </c>
    </row>
    <row r="278">
      <c r="A278" s="4" t="s">
        <v>1656</v>
      </c>
    </row>
    <row r="279">
      <c r="A279" s="4" t="s">
        <v>1657</v>
      </c>
    </row>
    <row r="280">
      <c r="A280" s="4" t="s">
        <v>1657</v>
      </c>
    </row>
    <row r="281">
      <c r="A281" s="4" t="s">
        <v>1657</v>
      </c>
    </row>
    <row r="282">
      <c r="A282" s="4" t="s">
        <v>1655</v>
      </c>
    </row>
    <row r="283">
      <c r="A283" s="4" t="s">
        <v>1655</v>
      </c>
    </row>
    <row r="284">
      <c r="A284" s="4" t="s">
        <v>1656</v>
      </c>
    </row>
    <row r="285">
      <c r="A285" s="4" t="s">
        <v>1657</v>
      </c>
    </row>
    <row r="286">
      <c r="A286" s="4" t="s">
        <v>1656</v>
      </c>
    </row>
    <row r="287">
      <c r="A287" s="4" t="s">
        <v>1655</v>
      </c>
    </row>
    <row r="288">
      <c r="A288" s="4" t="s">
        <v>1657</v>
      </c>
    </row>
    <row r="289">
      <c r="A289" s="4" t="s">
        <v>1656</v>
      </c>
    </row>
    <row r="290">
      <c r="A290" s="4" t="s">
        <v>1657</v>
      </c>
    </row>
    <row r="291">
      <c r="A291" s="4" t="s">
        <v>1655</v>
      </c>
    </row>
    <row r="292">
      <c r="A292" s="4" t="s">
        <v>1657</v>
      </c>
    </row>
    <row r="293">
      <c r="A293" s="4" t="s">
        <v>1657</v>
      </c>
    </row>
    <row r="294">
      <c r="A294" s="4" t="s">
        <v>1656</v>
      </c>
    </row>
    <row r="295">
      <c r="A295" s="4" t="s">
        <v>1655</v>
      </c>
    </row>
    <row r="296">
      <c r="A296" s="4" t="s">
        <v>1655</v>
      </c>
    </row>
    <row r="297">
      <c r="A297" s="4" t="s">
        <v>1656</v>
      </c>
    </row>
    <row r="298">
      <c r="A298" s="4" t="s">
        <v>1656</v>
      </c>
    </row>
    <row r="299">
      <c r="A299" s="4" t="s">
        <v>1657</v>
      </c>
    </row>
    <row r="300">
      <c r="A300" s="4" t="s">
        <v>1657</v>
      </c>
    </row>
    <row r="301">
      <c r="A301" s="4" t="s">
        <v>1657</v>
      </c>
    </row>
    <row r="302">
      <c r="A302" s="4" t="s">
        <v>1655</v>
      </c>
    </row>
    <row r="303">
      <c r="A303" s="4" t="s">
        <v>1656</v>
      </c>
    </row>
    <row r="304">
      <c r="A304" s="4" t="s">
        <v>1655</v>
      </c>
    </row>
    <row r="305">
      <c r="A305" s="4" t="s">
        <v>1657</v>
      </c>
    </row>
    <row r="306">
      <c r="A306" s="4" t="s">
        <v>1655</v>
      </c>
    </row>
    <row r="307">
      <c r="A307" s="4" t="s">
        <v>1657</v>
      </c>
    </row>
    <row r="308">
      <c r="A308" s="4" t="s">
        <v>1655</v>
      </c>
    </row>
    <row r="309">
      <c r="A309" s="4" t="s">
        <v>1657</v>
      </c>
    </row>
    <row r="310">
      <c r="A310" s="4" t="s">
        <v>1656</v>
      </c>
    </row>
    <row r="311">
      <c r="A311" s="4" t="s">
        <v>1655</v>
      </c>
    </row>
    <row r="312">
      <c r="A312" s="4" t="s">
        <v>1656</v>
      </c>
    </row>
    <row r="313">
      <c r="A313" s="4" t="s">
        <v>1655</v>
      </c>
    </row>
    <row r="314">
      <c r="A314" s="4" t="s">
        <v>1656</v>
      </c>
    </row>
    <row r="315">
      <c r="A315" s="4" t="s">
        <v>1657</v>
      </c>
    </row>
    <row r="316">
      <c r="A316" s="4" t="s">
        <v>1656</v>
      </c>
    </row>
    <row r="317">
      <c r="A317" s="4" t="s">
        <v>1655</v>
      </c>
    </row>
    <row r="318">
      <c r="A318" s="4" t="s">
        <v>1655</v>
      </c>
    </row>
    <row r="319">
      <c r="A319" s="4" t="s">
        <v>1657</v>
      </c>
    </row>
    <row r="320">
      <c r="A320" s="4" t="s">
        <v>1656</v>
      </c>
    </row>
    <row r="321">
      <c r="A321" s="4" t="s">
        <v>1656</v>
      </c>
    </row>
    <row r="322">
      <c r="A322" s="4" t="s">
        <v>1657</v>
      </c>
    </row>
    <row r="323">
      <c r="A323" s="4" t="s">
        <v>1656</v>
      </c>
    </row>
    <row r="324">
      <c r="A324" s="4" t="s">
        <v>1656</v>
      </c>
    </row>
    <row r="325">
      <c r="A325" s="4" t="s">
        <v>1657</v>
      </c>
    </row>
    <row r="326">
      <c r="A326" s="4" t="s">
        <v>1657</v>
      </c>
    </row>
    <row r="327">
      <c r="A327" s="4" t="s">
        <v>1656</v>
      </c>
    </row>
    <row r="328">
      <c r="A328" s="4" t="s">
        <v>1656</v>
      </c>
    </row>
    <row r="329">
      <c r="A329" s="4" t="s">
        <v>1655</v>
      </c>
    </row>
    <row r="330">
      <c r="A330" s="4" t="s">
        <v>1655</v>
      </c>
    </row>
    <row r="331">
      <c r="A331" s="4" t="s">
        <v>1655</v>
      </c>
    </row>
    <row r="332">
      <c r="A332" s="4" t="s">
        <v>1657</v>
      </c>
    </row>
    <row r="333">
      <c r="A333" s="4" t="s">
        <v>1655</v>
      </c>
    </row>
    <row r="334">
      <c r="A334" s="4" t="s">
        <v>1657</v>
      </c>
    </row>
    <row r="335">
      <c r="A335" s="4" t="s">
        <v>1655</v>
      </c>
    </row>
    <row r="336">
      <c r="A336" s="4" t="s">
        <v>1655</v>
      </c>
    </row>
    <row r="337">
      <c r="A337" s="4" t="s">
        <v>1656</v>
      </c>
    </row>
    <row r="338">
      <c r="A338" s="4" t="s">
        <v>1657</v>
      </c>
    </row>
    <row r="339">
      <c r="A339" s="4" t="s">
        <v>1655</v>
      </c>
    </row>
    <row r="340">
      <c r="A340" s="4" t="s">
        <v>1657</v>
      </c>
    </row>
    <row r="341">
      <c r="A341" s="4" t="s">
        <v>1657</v>
      </c>
    </row>
    <row r="342">
      <c r="A342" s="4" t="s">
        <v>1656</v>
      </c>
    </row>
    <row r="343">
      <c r="A343" s="4" t="s">
        <v>1656</v>
      </c>
    </row>
    <row r="344">
      <c r="A344" s="4" t="s">
        <v>1655</v>
      </c>
    </row>
    <row r="345">
      <c r="A345" s="4" t="s">
        <v>1657</v>
      </c>
    </row>
    <row r="346">
      <c r="A346" s="4" t="s">
        <v>1656</v>
      </c>
    </row>
    <row r="347">
      <c r="A347" s="4" t="s">
        <v>1657</v>
      </c>
    </row>
    <row r="348">
      <c r="A348" s="4" t="s">
        <v>1657</v>
      </c>
    </row>
    <row r="349">
      <c r="A349" s="4" t="s">
        <v>1656</v>
      </c>
    </row>
    <row r="350">
      <c r="A350" s="4" t="s">
        <v>1655</v>
      </c>
    </row>
    <row r="351">
      <c r="A351" s="4" t="s">
        <v>1657</v>
      </c>
    </row>
    <row r="352">
      <c r="A352" s="4" t="s">
        <v>1656</v>
      </c>
    </row>
    <row r="353">
      <c r="A353" s="4" t="s">
        <v>1657</v>
      </c>
    </row>
    <row r="354">
      <c r="A354" s="4" t="s">
        <v>1656</v>
      </c>
    </row>
    <row r="355">
      <c r="A355" s="4" t="s">
        <v>1656</v>
      </c>
    </row>
    <row r="356">
      <c r="A356" s="4" t="s">
        <v>1656</v>
      </c>
    </row>
    <row r="357">
      <c r="A357" s="4" t="s">
        <v>1656</v>
      </c>
    </row>
    <row r="358">
      <c r="A358" s="4" t="s">
        <v>1655</v>
      </c>
    </row>
    <row r="359">
      <c r="A359" s="4" t="s">
        <v>1657</v>
      </c>
    </row>
    <row r="360">
      <c r="A360" s="4" t="s">
        <v>1657</v>
      </c>
    </row>
    <row r="361">
      <c r="A361" s="4" t="s">
        <v>1657</v>
      </c>
    </row>
    <row r="362">
      <c r="A362" s="4" t="s">
        <v>1657</v>
      </c>
    </row>
    <row r="363">
      <c r="A363" s="4" t="s">
        <v>1656</v>
      </c>
    </row>
    <row r="364">
      <c r="A364" s="4" t="s">
        <v>1655</v>
      </c>
    </row>
    <row r="365">
      <c r="A365" s="4" t="s">
        <v>1657</v>
      </c>
    </row>
    <row r="366">
      <c r="A366" s="4" t="s">
        <v>1656</v>
      </c>
    </row>
    <row r="367">
      <c r="A367" s="4" t="s">
        <v>1655</v>
      </c>
    </row>
    <row r="368">
      <c r="A368" s="4" t="s">
        <v>1656</v>
      </c>
    </row>
    <row r="369">
      <c r="A369" s="4" t="s">
        <v>1656</v>
      </c>
    </row>
    <row r="370">
      <c r="A370" s="4" t="s">
        <v>1655</v>
      </c>
    </row>
    <row r="371">
      <c r="A371" s="4" t="s">
        <v>1655</v>
      </c>
    </row>
    <row r="372">
      <c r="A372" s="4" t="s">
        <v>1655</v>
      </c>
    </row>
    <row r="373">
      <c r="A373" s="4" t="s">
        <v>1657</v>
      </c>
    </row>
    <row r="374">
      <c r="A374" s="4" t="s">
        <v>1657</v>
      </c>
    </row>
    <row r="375">
      <c r="A375" s="4" t="s">
        <v>1655</v>
      </c>
    </row>
    <row r="376">
      <c r="A376" s="4" t="s">
        <v>1655</v>
      </c>
    </row>
    <row r="377">
      <c r="A377" s="4" t="s">
        <v>1656</v>
      </c>
    </row>
    <row r="378">
      <c r="A378" s="4" t="s">
        <v>1656</v>
      </c>
    </row>
    <row r="379">
      <c r="A379" s="4" t="s">
        <v>1656</v>
      </c>
    </row>
    <row r="380">
      <c r="A380" s="4" t="s">
        <v>1655</v>
      </c>
    </row>
    <row r="381">
      <c r="A381" s="4" t="s">
        <v>1657</v>
      </c>
    </row>
    <row r="382">
      <c r="A382" s="4" t="s">
        <v>1657</v>
      </c>
    </row>
    <row r="383">
      <c r="A383" s="4" t="s">
        <v>1655</v>
      </c>
    </row>
    <row r="384">
      <c r="A384" s="4" t="s">
        <v>1656</v>
      </c>
    </row>
    <row r="385">
      <c r="A385" s="4" t="s">
        <v>1656</v>
      </c>
    </row>
    <row r="386">
      <c r="A386" s="4" t="s">
        <v>1656</v>
      </c>
    </row>
    <row r="387">
      <c r="A387" s="4" t="s">
        <v>1657</v>
      </c>
    </row>
    <row r="388">
      <c r="A388" s="4" t="s">
        <v>1655</v>
      </c>
    </row>
    <row r="389">
      <c r="A389" s="4" t="s">
        <v>1655</v>
      </c>
    </row>
    <row r="390">
      <c r="A390" s="4" t="s">
        <v>1656</v>
      </c>
    </row>
    <row r="391">
      <c r="A391" s="4" t="s">
        <v>1656</v>
      </c>
    </row>
    <row r="392">
      <c r="A392" s="4" t="s">
        <v>1656</v>
      </c>
    </row>
    <row r="393">
      <c r="A393" s="4" t="s">
        <v>1655</v>
      </c>
    </row>
    <row r="394">
      <c r="A394" s="4" t="s">
        <v>1657</v>
      </c>
    </row>
    <row r="395">
      <c r="A395" s="4" t="s">
        <v>1655</v>
      </c>
    </row>
    <row r="396">
      <c r="A396" s="4" t="s">
        <v>1657</v>
      </c>
    </row>
    <row r="397">
      <c r="A397" s="4" t="s">
        <v>1656</v>
      </c>
    </row>
    <row r="398">
      <c r="A398" s="4" t="s">
        <v>1657</v>
      </c>
    </row>
    <row r="399">
      <c r="A399" s="4" t="s">
        <v>1656</v>
      </c>
    </row>
    <row r="400">
      <c r="A400" s="4" t="s">
        <v>1655</v>
      </c>
    </row>
    <row r="401">
      <c r="A401" s="4" t="s">
        <v>1655</v>
      </c>
    </row>
    <row r="402">
      <c r="A402" s="4" t="s">
        <v>1656</v>
      </c>
    </row>
    <row r="403">
      <c r="A403" s="4" t="s">
        <v>1657</v>
      </c>
    </row>
    <row r="404">
      <c r="A404" s="4" t="s">
        <v>1657</v>
      </c>
    </row>
    <row r="405">
      <c r="A405" s="4" t="s">
        <v>1655</v>
      </c>
    </row>
    <row r="406">
      <c r="A406" s="4" t="s">
        <v>1656</v>
      </c>
    </row>
    <row r="407">
      <c r="A407" s="4" t="s">
        <v>1657</v>
      </c>
    </row>
    <row r="408">
      <c r="A408" s="4" t="s">
        <v>1655</v>
      </c>
    </row>
    <row r="409">
      <c r="A409" s="4" t="s">
        <v>1656</v>
      </c>
    </row>
    <row r="410">
      <c r="A410" s="4" t="s">
        <v>1657</v>
      </c>
    </row>
    <row r="411">
      <c r="A411" s="4" t="s">
        <v>1655</v>
      </c>
    </row>
    <row r="412">
      <c r="A412" s="4" t="s">
        <v>1657</v>
      </c>
    </row>
    <row r="413">
      <c r="A413" s="4" t="s">
        <v>1656</v>
      </c>
    </row>
    <row r="414">
      <c r="A414" s="4" t="s">
        <v>1657</v>
      </c>
    </row>
    <row r="415">
      <c r="A415" s="4" t="s">
        <v>1657</v>
      </c>
    </row>
    <row r="416">
      <c r="A416" s="4" t="s">
        <v>1656</v>
      </c>
    </row>
    <row r="417">
      <c r="A417" s="4" t="s">
        <v>1657</v>
      </c>
    </row>
    <row r="418">
      <c r="A418" s="4" t="s">
        <v>1657</v>
      </c>
    </row>
    <row r="419">
      <c r="A419" s="4" t="s">
        <v>1655</v>
      </c>
    </row>
    <row r="420">
      <c r="A420" s="4" t="s">
        <v>1656</v>
      </c>
    </row>
    <row r="421">
      <c r="A421" s="4" t="s">
        <v>1655</v>
      </c>
    </row>
    <row r="422">
      <c r="A422" s="4" t="s">
        <v>1655</v>
      </c>
    </row>
    <row r="423">
      <c r="A423" s="4" t="s">
        <v>1656</v>
      </c>
    </row>
    <row r="424">
      <c r="A424" s="4" t="s">
        <v>1657</v>
      </c>
    </row>
    <row r="425">
      <c r="A425" s="4" t="s">
        <v>1655</v>
      </c>
    </row>
    <row r="426">
      <c r="A426" s="4" t="s">
        <v>1657</v>
      </c>
    </row>
    <row r="427">
      <c r="A427" s="4" t="s">
        <v>1655</v>
      </c>
    </row>
    <row r="428">
      <c r="A428" s="4" t="s">
        <v>1655</v>
      </c>
    </row>
    <row r="429">
      <c r="A429" s="4" t="s">
        <v>1655</v>
      </c>
    </row>
    <row r="430">
      <c r="A430" s="4" t="s">
        <v>1657</v>
      </c>
    </row>
    <row r="431">
      <c r="A431" s="4" t="s">
        <v>1656</v>
      </c>
    </row>
    <row r="432">
      <c r="A432" s="4" t="s">
        <v>1656</v>
      </c>
    </row>
    <row r="433">
      <c r="A433" s="4" t="s">
        <v>1655</v>
      </c>
    </row>
    <row r="434">
      <c r="A434" s="4" t="s">
        <v>1656</v>
      </c>
    </row>
    <row r="435">
      <c r="A435" s="4" t="s">
        <v>1655</v>
      </c>
    </row>
    <row r="436">
      <c r="A436" s="4" t="s">
        <v>1656</v>
      </c>
    </row>
    <row r="437">
      <c r="A437" s="4" t="s">
        <v>1657</v>
      </c>
    </row>
    <row r="438">
      <c r="A438" s="4" t="s">
        <v>1657</v>
      </c>
    </row>
    <row r="439">
      <c r="A439" s="4" t="s">
        <v>1657</v>
      </c>
    </row>
    <row r="440">
      <c r="A440" s="4" t="s">
        <v>1657</v>
      </c>
    </row>
    <row r="441">
      <c r="A441" s="4" t="s">
        <v>1655</v>
      </c>
    </row>
    <row r="442">
      <c r="A442" s="4" t="s">
        <v>1657</v>
      </c>
    </row>
    <row r="443">
      <c r="A443" s="4" t="s">
        <v>1656</v>
      </c>
    </row>
    <row r="444">
      <c r="A444" s="4" t="s">
        <v>1656</v>
      </c>
    </row>
    <row r="445">
      <c r="A445" s="4" t="s">
        <v>1656</v>
      </c>
    </row>
    <row r="446">
      <c r="A446" s="4" t="s">
        <v>1655</v>
      </c>
    </row>
    <row r="447">
      <c r="A447" s="4" t="s">
        <v>1655</v>
      </c>
    </row>
    <row r="448">
      <c r="A448" s="4" t="s">
        <v>1656</v>
      </c>
    </row>
    <row r="449">
      <c r="A449" s="4" t="s">
        <v>1657</v>
      </c>
    </row>
    <row r="450">
      <c r="A450" s="4" t="s">
        <v>1657</v>
      </c>
    </row>
    <row r="451">
      <c r="A451" s="4" t="s">
        <v>1657</v>
      </c>
    </row>
    <row r="452">
      <c r="A452" s="4" t="s">
        <v>1656</v>
      </c>
    </row>
    <row r="453">
      <c r="A453" s="4" t="s">
        <v>1656</v>
      </c>
    </row>
    <row r="454">
      <c r="A454" s="4" t="s">
        <v>1655</v>
      </c>
    </row>
    <row r="455">
      <c r="A455" s="4" t="s">
        <v>1656</v>
      </c>
    </row>
    <row r="456">
      <c r="A456" s="4" t="s">
        <v>1655</v>
      </c>
    </row>
    <row r="457">
      <c r="A457" s="4" t="s">
        <v>1657</v>
      </c>
    </row>
    <row r="458">
      <c r="A458" s="4" t="s">
        <v>1656</v>
      </c>
    </row>
    <row r="459">
      <c r="A459" s="4" t="s">
        <v>1657</v>
      </c>
    </row>
    <row r="460">
      <c r="A460" s="4" t="s">
        <v>1656</v>
      </c>
    </row>
    <row r="461">
      <c r="A461" s="4" t="s">
        <v>1656</v>
      </c>
    </row>
    <row r="462">
      <c r="A462" s="4" t="s">
        <v>1657</v>
      </c>
    </row>
    <row r="463">
      <c r="A463" s="4" t="s">
        <v>1657</v>
      </c>
    </row>
    <row r="464">
      <c r="A464" s="4" t="s">
        <v>1656</v>
      </c>
    </row>
    <row r="465">
      <c r="A465" s="4" t="s">
        <v>1655</v>
      </c>
    </row>
    <row r="466">
      <c r="A466" s="4" t="s">
        <v>1655</v>
      </c>
    </row>
    <row r="467">
      <c r="A467" s="4" t="s">
        <v>1657</v>
      </c>
    </row>
    <row r="468">
      <c r="A468" s="4" t="s">
        <v>1655</v>
      </c>
    </row>
    <row r="469">
      <c r="A469" s="4" t="s">
        <v>1655</v>
      </c>
    </row>
    <row r="470">
      <c r="A470" s="4" t="s">
        <v>1656</v>
      </c>
    </row>
    <row r="471">
      <c r="A471" s="4" t="s">
        <v>1655</v>
      </c>
    </row>
    <row r="472">
      <c r="A472" s="4" t="s">
        <v>1657</v>
      </c>
    </row>
    <row r="473">
      <c r="A473" s="4" t="s">
        <v>1655</v>
      </c>
    </row>
    <row r="474">
      <c r="A474" s="4" t="s">
        <v>1655</v>
      </c>
    </row>
    <row r="475">
      <c r="A475" s="4" t="s">
        <v>1657</v>
      </c>
    </row>
    <row r="476">
      <c r="A476" s="4" t="s">
        <v>1656</v>
      </c>
    </row>
    <row r="477">
      <c r="A477" s="4" t="s">
        <v>1655</v>
      </c>
    </row>
    <row r="478">
      <c r="A478" s="4" t="s">
        <v>1657</v>
      </c>
    </row>
    <row r="479">
      <c r="A479" s="4" t="s">
        <v>1656</v>
      </c>
    </row>
    <row r="480">
      <c r="A480" s="4" t="s">
        <v>1655</v>
      </c>
    </row>
    <row r="481">
      <c r="A481" s="4" t="s">
        <v>1657</v>
      </c>
    </row>
    <row r="482">
      <c r="A482" s="4" t="s">
        <v>1657</v>
      </c>
    </row>
    <row r="483">
      <c r="A483" s="4" t="s">
        <v>1657</v>
      </c>
    </row>
    <row r="484">
      <c r="A484" s="4" t="s">
        <v>1656</v>
      </c>
    </row>
    <row r="485">
      <c r="A485" s="4" t="s">
        <v>1655</v>
      </c>
    </row>
    <row r="486">
      <c r="A486" s="4" t="s">
        <v>1655</v>
      </c>
    </row>
    <row r="487">
      <c r="A487" s="4" t="s">
        <v>1657</v>
      </c>
    </row>
    <row r="488">
      <c r="A488" s="4" t="s">
        <v>1655</v>
      </c>
    </row>
    <row r="489">
      <c r="A489" s="4" t="s">
        <v>1656</v>
      </c>
    </row>
    <row r="490">
      <c r="A490" s="4" t="s">
        <v>1657</v>
      </c>
    </row>
    <row r="491">
      <c r="A491" s="4" t="s">
        <v>1656</v>
      </c>
    </row>
    <row r="492">
      <c r="A492" s="4" t="s">
        <v>1655</v>
      </c>
    </row>
    <row r="493">
      <c r="A493" s="4" t="s">
        <v>1656</v>
      </c>
    </row>
    <row r="494">
      <c r="A494" s="4" t="s">
        <v>1657</v>
      </c>
    </row>
    <row r="495">
      <c r="A495" s="4" t="s">
        <v>1657</v>
      </c>
    </row>
    <row r="496">
      <c r="A496" s="4" t="s">
        <v>1656</v>
      </c>
    </row>
    <row r="497">
      <c r="A497" s="4" t="s">
        <v>1655</v>
      </c>
    </row>
    <row r="498">
      <c r="A498" s="4" t="s">
        <v>1655</v>
      </c>
    </row>
    <row r="499">
      <c r="A499" s="4" t="s">
        <v>1657</v>
      </c>
    </row>
    <row r="500">
      <c r="A500" s="4" t="s">
        <v>1657</v>
      </c>
    </row>
    <row r="501">
      <c r="A501" s="4" t="s">
        <v>1656</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1659</v>
      </c>
      <c r="D2" s="4" t="str">
        <f t="shared" ref="D2:D501" si="1">C2</f>
        <v>{"valorA":"freezer","valorB":1}</v>
      </c>
      <c r="E2" s="8" t="str">
        <f t="shared" ref="E2:E501" si="2">SUBSTITUTE(MID(C2,FIND(":",C2)+1,FIND(",",C2)-FIND(":",C2)-1),"""","")</f>
        <v>freezer</v>
      </c>
      <c r="F2" s="8" t="str">
        <f>IFERROR(__xludf.DUMMYFUNCTION("UNIQUE(E2:E501)"),"freezer")</f>
        <v>freezer</v>
      </c>
      <c r="G2" s="8" t="str">
        <f t="shared" ref="G2:G501" si="3">MID(C2,FIND("valorB",C2)+8,FIND("}",C2)-FIND("valorB",C2)-8)</f>
        <v>1</v>
      </c>
      <c r="H2" s="9">
        <f t="shared" ref="H2:H501" si="4">VALUE(SUBSTITUTE(G2,".",","))</f>
        <v>1</v>
      </c>
      <c r="I2" s="10">
        <f>IFERROR(__xludf.DUMMYFUNCTION("MAX(FILTER($H:$H,$E:$E=F2))"),164.0)</f>
        <v>164</v>
      </c>
    </row>
    <row r="3">
      <c r="C3" s="4" t="s">
        <v>1660</v>
      </c>
      <c r="D3" s="4" t="str">
        <f t="shared" si="1"/>
        <v>{"valorA":"freezer","valorB":2}</v>
      </c>
      <c r="E3" s="8" t="str">
        <f t="shared" si="2"/>
        <v>freezer</v>
      </c>
      <c r="F3" s="8" t="str">
        <f>IFERROR(__xludf.DUMMYFUNCTION("""COMPUTED_VALUE"""),"ar condicionado")</f>
        <v>ar condicionado</v>
      </c>
      <c r="G3" s="8" t="str">
        <f t="shared" si="3"/>
        <v>2</v>
      </c>
      <c r="H3" s="9">
        <f t="shared" si="4"/>
        <v>2</v>
      </c>
      <c r="I3" s="10">
        <f>IFERROR(__xludf.DUMMYFUNCTION("MAX(FILTER($H:$H,$E:$E=F3))"),158.0)</f>
        <v>158</v>
      </c>
    </row>
    <row r="4">
      <c r="C4" s="4" t="s">
        <v>1661</v>
      </c>
      <c r="D4" s="4" t="str">
        <f t="shared" si="1"/>
        <v>{"valorA":"freezer","valorB":3}</v>
      </c>
      <c r="E4" s="8" t="str">
        <f t="shared" si="2"/>
        <v>freezer</v>
      </c>
      <c r="F4" s="8" t="str">
        <f>IFERROR(__xludf.DUMMYFUNCTION("""COMPUTED_VALUE"""),"microondas")</f>
        <v>microondas</v>
      </c>
      <c r="G4" s="8" t="str">
        <f t="shared" si="3"/>
        <v>3</v>
      </c>
      <c r="H4" s="9">
        <f t="shared" si="4"/>
        <v>3</v>
      </c>
      <c r="I4" s="10">
        <f>IFERROR(__xludf.DUMMYFUNCTION("MAX(FILTER($H:$H,$E:$E=F4))"),178.0)</f>
        <v>178</v>
      </c>
    </row>
    <row r="5">
      <c r="C5" s="4" t="s">
        <v>1662</v>
      </c>
      <c r="D5" s="4" t="str">
        <f t="shared" si="1"/>
        <v>{"valorA":"freezer","valorB":4}</v>
      </c>
      <c r="E5" s="8" t="str">
        <f t="shared" si="2"/>
        <v>freezer</v>
      </c>
      <c r="F5" s="8"/>
      <c r="G5" s="8" t="str">
        <f t="shared" si="3"/>
        <v>4</v>
      </c>
      <c r="H5" s="9">
        <f t="shared" si="4"/>
        <v>4</v>
      </c>
      <c r="I5" s="6" t="str">
        <f>IFERROR(__xludf.DUMMYFUNCTION("MAX(FILTER($H:$H,$E:$E=F5))"),"#N/A")</f>
        <v>#N/A</v>
      </c>
    </row>
    <row r="6">
      <c r="C6" s="4" t="s">
        <v>1663</v>
      </c>
      <c r="D6" s="4" t="str">
        <f t="shared" si="1"/>
        <v>{"valorA":"freezer","valorB":5}</v>
      </c>
      <c r="E6" s="8" t="str">
        <f t="shared" si="2"/>
        <v>freezer</v>
      </c>
      <c r="F6" s="8"/>
      <c r="G6" s="8" t="str">
        <f t="shared" si="3"/>
        <v>5</v>
      </c>
      <c r="H6" s="9">
        <f t="shared" si="4"/>
        <v>5</v>
      </c>
      <c r="I6" s="6" t="str">
        <f>IFERROR(__xludf.DUMMYFUNCTION("MAX(FILTER($H:$H,$E:$E=F6))"),"#N/A")</f>
        <v>#N/A</v>
      </c>
    </row>
    <row r="7">
      <c r="C7" s="4" t="s">
        <v>1664</v>
      </c>
      <c r="D7" s="4" t="str">
        <f t="shared" si="1"/>
        <v>{"valorA":"freezer","valorB":6}</v>
      </c>
      <c r="E7" s="8" t="str">
        <f t="shared" si="2"/>
        <v>freezer</v>
      </c>
      <c r="F7" s="8"/>
      <c r="G7" s="8" t="str">
        <f t="shared" si="3"/>
        <v>6</v>
      </c>
      <c r="H7" s="9">
        <f t="shared" si="4"/>
        <v>6</v>
      </c>
      <c r="I7" s="6" t="str">
        <f>IFERROR(__xludf.DUMMYFUNCTION("MAX(FILTER($H:$H,$E:$E=F7))"),"#N/A")</f>
        <v>#N/A</v>
      </c>
    </row>
    <row r="8">
      <c r="C8" s="4" t="s">
        <v>1665</v>
      </c>
      <c r="D8" s="4" t="str">
        <f t="shared" si="1"/>
        <v>{"valorA":"freezer","valorB":7}</v>
      </c>
      <c r="E8" s="8" t="str">
        <f t="shared" si="2"/>
        <v>freezer</v>
      </c>
      <c r="F8" s="8"/>
      <c r="G8" s="8" t="str">
        <f t="shared" si="3"/>
        <v>7</v>
      </c>
      <c r="H8" s="9">
        <f t="shared" si="4"/>
        <v>7</v>
      </c>
      <c r="I8" s="6" t="str">
        <f>IFERROR(__xludf.DUMMYFUNCTION("MAX(FILTER($H:$H,$E:$E=F8))"),"#N/A")</f>
        <v>#N/A</v>
      </c>
    </row>
    <row r="9">
      <c r="C9" s="4" t="s">
        <v>1666</v>
      </c>
      <c r="D9" s="4" t="str">
        <f t="shared" si="1"/>
        <v>{"valorA":"freezer","valorB":8}</v>
      </c>
      <c r="E9" s="8" t="str">
        <f t="shared" si="2"/>
        <v>freezer</v>
      </c>
      <c r="F9" s="8"/>
      <c r="G9" s="8" t="str">
        <f t="shared" si="3"/>
        <v>8</v>
      </c>
      <c r="H9" s="9">
        <f t="shared" si="4"/>
        <v>8</v>
      </c>
      <c r="I9" s="6" t="str">
        <f>IFERROR(__xludf.DUMMYFUNCTION("MAX(FILTER($H:$H,$E:$E=F9))"),"#N/A")</f>
        <v>#N/A</v>
      </c>
    </row>
    <row r="10">
      <c r="C10" s="4" t="s">
        <v>1658</v>
      </c>
      <c r="D10" s="4" t="str">
        <f t="shared" si="1"/>
        <v>{"valorA":"ar condicionado","valorB":1}</v>
      </c>
      <c r="E10" s="8" t="str">
        <f t="shared" si="2"/>
        <v>ar condicionado</v>
      </c>
      <c r="F10" s="8"/>
      <c r="G10" s="8" t="str">
        <f t="shared" si="3"/>
        <v>1</v>
      </c>
      <c r="H10" s="9">
        <f t="shared" si="4"/>
        <v>1</v>
      </c>
      <c r="I10" s="6" t="str">
        <f>IFERROR(__xludf.DUMMYFUNCTION("MAX(FILTER($H:$H,$E:$E=F10))"),"#N/A")</f>
        <v>#N/A</v>
      </c>
    </row>
    <row r="11">
      <c r="C11" s="4" t="s">
        <v>1693</v>
      </c>
      <c r="D11" s="4" t="str">
        <f t="shared" si="1"/>
        <v>{"valorA":"microondas","valorB":1}</v>
      </c>
      <c r="E11" s="8" t="str">
        <f t="shared" si="2"/>
        <v>microondas</v>
      </c>
      <c r="F11" s="8"/>
      <c r="G11" s="8" t="str">
        <f t="shared" si="3"/>
        <v>1</v>
      </c>
      <c r="H11" s="9">
        <f t="shared" si="4"/>
        <v>1</v>
      </c>
      <c r="I11" s="6" t="str">
        <f>IFERROR(__xludf.DUMMYFUNCTION("MAX(FILTER($H:$H,$E:$E=F11))"),"#N/A")</f>
        <v>#N/A</v>
      </c>
    </row>
    <row r="12">
      <c r="C12" s="4" t="s">
        <v>1695</v>
      </c>
      <c r="D12" s="4" t="str">
        <f t="shared" si="1"/>
        <v>{"valorA":"ar condicionado","valorB":2}</v>
      </c>
      <c r="E12" s="8" t="str">
        <f t="shared" si="2"/>
        <v>ar condicionado</v>
      </c>
      <c r="F12" s="8"/>
      <c r="G12" s="8" t="str">
        <f t="shared" si="3"/>
        <v>2</v>
      </c>
      <c r="H12" s="9">
        <f t="shared" si="4"/>
        <v>2</v>
      </c>
      <c r="I12" s="6" t="str">
        <f>IFERROR(__xludf.DUMMYFUNCTION("MAX(FILTER($H:$H,$E:$E=F12))"),"#N/A")</f>
        <v>#N/A</v>
      </c>
    </row>
    <row r="13">
      <c r="C13" s="4" t="s">
        <v>1694</v>
      </c>
      <c r="D13" s="4" t="str">
        <f t="shared" si="1"/>
        <v>{"valorA":"microondas","valorB":2}</v>
      </c>
      <c r="E13" s="8" t="str">
        <f t="shared" si="2"/>
        <v>microondas</v>
      </c>
      <c r="F13" s="8"/>
      <c r="G13" s="8" t="str">
        <f t="shared" si="3"/>
        <v>2</v>
      </c>
      <c r="H13" s="9">
        <f t="shared" si="4"/>
        <v>2</v>
      </c>
      <c r="I13" s="6" t="str">
        <f>IFERROR(__xludf.DUMMYFUNCTION("MAX(FILTER($H:$H,$E:$E=F13))"),"#N/A")</f>
        <v>#N/A</v>
      </c>
    </row>
    <row r="14">
      <c r="C14" s="4" t="s">
        <v>1697</v>
      </c>
      <c r="D14" s="4" t="str">
        <f t="shared" si="1"/>
        <v>{"valorA":"ar condicionado","valorB":3}</v>
      </c>
      <c r="E14" s="8" t="str">
        <f t="shared" si="2"/>
        <v>ar condicionado</v>
      </c>
      <c r="F14" s="8"/>
      <c r="G14" s="8" t="str">
        <f t="shared" si="3"/>
        <v>3</v>
      </c>
      <c r="H14" s="9">
        <f t="shared" si="4"/>
        <v>3</v>
      </c>
      <c r="I14" s="6" t="str">
        <f>IFERROR(__xludf.DUMMYFUNCTION("MAX(FILTER($H:$H,$E:$E=F14))"),"#N/A")</f>
        <v>#N/A</v>
      </c>
    </row>
    <row r="15">
      <c r="C15" s="4" t="s">
        <v>1696</v>
      </c>
      <c r="D15" s="4" t="str">
        <f t="shared" si="1"/>
        <v>{"valorA":"microondas","valorB":3}</v>
      </c>
      <c r="E15" s="8" t="str">
        <f t="shared" si="2"/>
        <v>microondas</v>
      </c>
      <c r="F15" s="8"/>
      <c r="G15" s="8" t="str">
        <f t="shared" si="3"/>
        <v>3</v>
      </c>
      <c r="H15" s="9">
        <f t="shared" si="4"/>
        <v>3</v>
      </c>
      <c r="I15" s="6" t="str">
        <f>IFERROR(__xludf.DUMMYFUNCTION("MAX(FILTER($H:$H,$E:$E=F15))"),"#N/A")</f>
        <v>#N/A</v>
      </c>
    </row>
    <row r="16">
      <c r="C16" s="4" t="s">
        <v>1698</v>
      </c>
      <c r="D16" s="4" t="str">
        <f t="shared" si="1"/>
        <v>{"valorA":"ar condicionado","valorB":4}</v>
      </c>
      <c r="E16" s="8" t="str">
        <f t="shared" si="2"/>
        <v>ar condicionado</v>
      </c>
      <c r="F16" s="8"/>
      <c r="G16" s="8" t="str">
        <f t="shared" si="3"/>
        <v>4</v>
      </c>
      <c r="H16" s="9">
        <f t="shared" si="4"/>
        <v>4</v>
      </c>
      <c r="I16" s="6" t="str">
        <f>IFERROR(__xludf.DUMMYFUNCTION("MAX(FILTER($H:$H,$E:$E=F16))"),"#N/A")</f>
        <v>#N/A</v>
      </c>
    </row>
    <row r="17">
      <c r="C17" s="4" t="s">
        <v>1700</v>
      </c>
      <c r="D17" s="4" t="str">
        <f t="shared" si="1"/>
        <v>{"valorA":"ar condicionado","valorB":5}</v>
      </c>
      <c r="E17" s="8" t="str">
        <f t="shared" si="2"/>
        <v>ar condicionado</v>
      </c>
      <c r="F17" s="8"/>
      <c r="G17" s="8" t="str">
        <f t="shared" si="3"/>
        <v>5</v>
      </c>
      <c r="H17" s="9">
        <f t="shared" si="4"/>
        <v>5</v>
      </c>
      <c r="I17" s="6" t="str">
        <f>IFERROR(__xludf.DUMMYFUNCTION("MAX(FILTER($H:$H,$E:$E=F17))"),"#N/A")</f>
        <v>#N/A</v>
      </c>
    </row>
    <row r="18">
      <c r="C18" s="4" t="s">
        <v>1699</v>
      </c>
      <c r="D18" s="4" t="str">
        <f t="shared" si="1"/>
        <v>{"valorA":"microondas","valorB":4}</v>
      </c>
      <c r="E18" s="8" t="str">
        <f t="shared" si="2"/>
        <v>microondas</v>
      </c>
      <c r="F18" s="8"/>
      <c r="G18" s="8" t="str">
        <f t="shared" si="3"/>
        <v>4</v>
      </c>
      <c r="H18" s="9">
        <f t="shared" si="4"/>
        <v>4</v>
      </c>
      <c r="I18" s="6" t="str">
        <f>IFERROR(__xludf.DUMMYFUNCTION("MAX(FILTER($H:$H,$E:$E=F18))"),"#N/A")</f>
        <v>#N/A</v>
      </c>
    </row>
    <row r="19">
      <c r="C19" s="4" t="s">
        <v>1701</v>
      </c>
      <c r="D19" s="4" t="str">
        <f t="shared" si="1"/>
        <v>{"valorA":"microondas","valorB":5}</v>
      </c>
      <c r="E19" s="8" t="str">
        <f t="shared" si="2"/>
        <v>microondas</v>
      </c>
      <c r="F19" s="8"/>
      <c r="G19" s="8" t="str">
        <f t="shared" si="3"/>
        <v>5</v>
      </c>
      <c r="H19" s="9">
        <f t="shared" si="4"/>
        <v>5</v>
      </c>
      <c r="I19" s="6" t="str">
        <f>IFERROR(__xludf.DUMMYFUNCTION("MAX(FILTER($H:$H,$E:$E=F19))"),"#N/A")</f>
        <v>#N/A</v>
      </c>
    </row>
    <row r="20">
      <c r="C20" s="4" t="s">
        <v>1702</v>
      </c>
      <c r="D20" s="4" t="str">
        <f t="shared" si="1"/>
        <v>{"valorA":"ar condicionado","valorB":6}</v>
      </c>
      <c r="E20" s="8" t="str">
        <f t="shared" si="2"/>
        <v>ar condicionado</v>
      </c>
      <c r="F20" s="8"/>
      <c r="G20" s="8" t="str">
        <f t="shared" si="3"/>
        <v>6</v>
      </c>
      <c r="H20" s="9">
        <f t="shared" si="4"/>
        <v>6</v>
      </c>
      <c r="I20" s="6" t="str">
        <f>IFERROR(__xludf.DUMMYFUNCTION("MAX(FILTER($H:$H,$E:$E=F20))"),"#N/A")</f>
        <v>#N/A</v>
      </c>
    </row>
    <row r="21">
      <c r="C21" s="4" t="s">
        <v>1703</v>
      </c>
      <c r="D21" s="4" t="str">
        <f t="shared" si="1"/>
        <v>{"valorA":"microondas","valorB":6}</v>
      </c>
      <c r="E21" s="8" t="str">
        <f t="shared" si="2"/>
        <v>microondas</v>
      </c>
      <c r="F21" s="8"/>
      <c r="G21" s="8" t="str">
        <f t="shared" si="3"/>
        <v>6</v>
      </c>
      <c r="H21" s="9">
        <f t="shared" si="4"/>
        <v>6</v>
      </c>
      <c r="I21" s="6" t="str">
        <f>IFERROR(__xludf.DUMMYFUNCTION("MAX(FILTER($H:$H,$E:$E=F21))"),"#N/A")</f>
        <v>#N/A</v>
      </c>
    </row>
    <row r="22">
      <c r="C22" s="4" t="s">
        <v>1704</v>
      </c>
      <c r="D22" s="4" t="str">
        <f t="shared" si="1"/>
        <v>{"valorA":"microondas","valorB":7}</v>
      </c>
      <c r="E22" s="8" t="str">
        <f t="shared" si="2"/>
        <v>microondas</v>
      </c>
      <c r="F22" s="8"/>
      <c r="G22" s="8" t="str">
        <f t="shared" si="3"/>
        <v>7</v>
      </c>
      <c r="H22" s="9">
        <f t="shared" si="4"/>
        <v>7</v>
      </c>
      <c r="I22" s="6" t="str">
        <f>IFERROR(__xludf.DUMMYFUNCTION("MAX(FILTER($H:$H,$E:$E=F22))"),"#N/A")</f>
        <v>#N/A</v>
      </c>
    </row>
    <row r="23">
      <c r="C23" s="4" t="s">
        <v>1705</v>
      </c>
      <c r="D23" s="4" t="str">
        <f t="shared" si="1"/>
        <v>{"valorA":"ar condicionado","valorB":7}</v>
      </c>
      <c r="E23" s="8" t="str">
        <f t="shared" si="2"/>
        <v>ar condicionado</v>
      </c>
      <c r="F23" s="8"/>
      <c r="G23" s="8" t="str">
        <f t="shared" si="3"/>
        <v>7</v>
      </c>
      <c r="H23" s="9">
        <f t="shared" si="4"/>
        <v>7</v>
      </c>
      <c r="I23" s="6" t="str">
        <f>IFERROR(__xludf.DUMMYFUNCTION("MAX(FILTER($H:$H,$E:$E=F23))"),"#N/A")</f>
        <v>#N/A</v>
      </c>
    </row>
    <row r="24">
      <c r="C24" s="4" t="s">
        <v>1706</v>
      </c>
      <c r="D24" s="4" t="str">
        <f t="shared" si="1"/>
        <v>{"valorA":"ar condicionado","valorB":8}</v>
      </c>
      <c r="E24" s="8" t="str">
        <f t="shared" si="2"/>
        <v>ar condicionado</v>
      </c>
      <c r="F24" s="8"/>
      <c r="G24" s="8" t="str">
        <f t="shared" si="3"/>
        <v>8</v>
      </c>
      <c r="H24" s="9">
        <f t="shared" si="4"/>
        <v>8</v>
      </c>
      <c r="I24" s="6" t="str">
        <f>IFERROR(__xludf.DUMMYFUNCTION("MAX(FILTER($H:$H,$E:$E=F24))"),"#N/A")</f>
        <v>#N/A</v>
      </c>
    </row>
    <row r="25">
      <c r="C25" s="4" t="s">
        <v>1708</v>
      </c>
      <c r="D25" s="4" t="str">
        <f t="shared" si="1"/>
        <v>{"valorA":"microondas","valorB":8}</v>
      </c>
      <c r="E25" s="8" t="str">
        <f t="shared" si="2"/>
        <v>microondas</v>
      </c>
      <c r="F25" s="8"/>
      <c r="G25" s="8" t="str">
        <f t="shared" si="3"/>
        <v>8</v>
      </c>
      <c r="H25" s="9">
        <f t="shared" si="4"/>
        <v>8</v>
      </c>
      <c r="I25" s="6" t="str">
        <f>IFERROR(__xludf.DUMMYFUNCTION("MAX(FILTER($H:$H,$E:$E=F25))"),"#N/A")</f>
        <v>#N/A</v>
      </c>
    </row>
    <row r="26">
      <c r="C26" s="4" t="s">
        <v>1712</v>
      </c>
      <c r="D26" s="4" t="str">
        <f t="shared" si="1"/>
        <v>{"valorA":"microondas","valorB":9}</v>
      </c>
      <c r="E26" s="8" t="str">
        <f t="shared" si="2"/>
        <v>microondas</v>
      </c>
      <c r="F26" s="8"/>
      <c r="G26" s="8" t="str">
        <f t="shared" si="3"/>
        <v>9</v>
      </c>
      <c r="H26" s="9">
        <f t="shared" si="4"/>
        <v>9</v>
      </c>
      <c r="I26" s="6" t="str">
        <f>IFERROR(__xludf.DUMMYFUNCTION("MAX(FILTER($H:$H,$E:$E=F26))"),"#N/A")</f>
        <v>#N/A</v>
      </c>
    </row>
    <row r="27">
      <c r="C27" s="4" t="s">
        <v>1667</v>
      </c>
      <c r="D27" s="4" t="str">
        <f t="shared" si="1"/>
        <v>{"valorA":"freezer","valorB":9}</v>
      </c>
      <c r="E27" s="8" t="str">
        <f t="shared" si="2"/>
        <v>freezer</v>
      </c>
      <c r="F27" s="8"/>
      <c r="G27" s="8" t="str">
        <f t="shared" si="3"/>
        <v>9</v>
      </c>
      <c r="H27" s="9">
        <f t="shared" si="4"/>
        <v>9</v>
      </c>
      <c r="I27" s="6" t="str">
        <f>IFERROR(__xludf.DUMMYFUNCTION("MAX(FILTER($H:$H,$E:$E=F27))"),"#N/A")</f>
        <v>#N/A</v>
      </c>
    </row>
    <row r="28">
      <c r="C28" s="4" t="s">
        <v>1668</v>
      </c>
      <c r="D28" s="4" t="str">
        <f t="shared" si="1"/>
        <v>{"valorA":"freezer","valorB":10}</v>
      </c>
      <c r="E28" s="8" t="str">
        <f t="shared" si="2"/>
        <v>freezer</v>
      </c>
      <c r="F28" s="8"/>
      <c r="G28" s="8" t="str">
        <f t="shared" si="3"/>
        <v>10</v>
      </c>
      <c r="H28" s="9">
        <f t="shared" si="4"/>
        <v>10</v>
      </c>
      <c r="I28" s="6" t="str">
        <f>IFERROR(__xludf.DUMMYFUNCTION("MAX(FILTER($H:$H,$E:$E=F28))"),"#N/A")</f>
        <v>#N/A</v>
      </c>
    </row>
    <row r="29">
      <c r="C29" s="4" t="s">
        <v>1669</v>
      </c>
      <c r="D29" s="4" t="str">
        <f t="shared" si="1"/>
        <v>{"valorA":"freezer","valorB":11}</v>
      </c>
      <c r="E29" s="8" t="str">
        <f t="shared" si="2"/>
        <v>freezer</v>
      </c>
      <c r="F29" s="8"/>
      <c r="G29" s="8" t="str">
        <f t="shared" si="3"/>
        <v>11</v>
      </c>
      <c r="H29" s="9">
        <f t="shared" si="4"/>
        <v>11</v>
      </c>
      <c r="I29" s="6" t="str">
        <f>IFERROR(__xludf.DUMMYFUNCTION("MAX(FILTER($H:$H,$E:$E=F29))"),"#N/A")</f>
        <v>#N/A</v>
      </c>
    </row>
    <row r="30">
      <c r="C30" s="4" t="s">
        <v>1670</v>
      </c>
      <c r="D30" s="4" t="str">
        <f t="shared" si="1"/>
        <v>{"valorA":"freezer","valorB":12}</v>
      </c>
      <c r="E30" s="8" t="str">
        <f t="shared" si="2"/>
        <v>freezer</v>
      </c>
      <c r="F30" s="8"/>
      <c r="G30" s="8" t="str">
        <f t="shared" si="3"/>
        <v>12</v>
      </c>
      <c r="H30" s="9">
        <f t="shared" si="4"/>
        <v>12</v>
      </c>
      <c r="I30" s="6" t="str">
        <f>IFERROR(__xludf.DUMMYFUNCTION("MAX(FILTER($H:$H,$E:$E=F30))"),"#N/A")</f>
        <v>#N/A</v>
      </c>
    </row>
    <row r="31">
      <c r="C31" s="4" t="s">
        <v>1707</v>
      </c>
      <c r="D31" s="4" t="str">
        <f t="shared" si="1"/>
        <v>{"valorA":"ar condicionado","valorB":9}</v>
      </c>
      <c r="E31" s="8" t="str">
        <f t="shared" si="2"/>
        <v>ar condicionado</v>
      </c>
      <c r="F31" s="8"/>
      <c r="G31" s="8" t="str">
        <f t="shared" si="3"/>
        <v>9</v>
      </c>
      <c r="H31" s="9">
        <f t="shared" si="4"/>
        <v>9</v>
      </c>
      <c r="I31" s="6" t="str">
        <f>IFERROR(__xludf.DUMMYFUNCTION("MAX(FILTER($H:$H,$E:$E=F31))"),"#N/A")</f>
        <v>#N/A</v>
      </c>
    </row>
    <row r="32">
      <c r="C32" s="4" t="s">
        <v>1713</v>
      </c>
      <c r="D32" s="4" t="str">
        <f t="shared" si="1"/>
        <v>{"valorA":"microondas","valorB":10}</v>
      </c>
      <c r="E32" s="8" t="str">
        <f t="shared" si="2"/>
        <v>microondas</v>
      </c>
      <c r="F32" s="8"/>
      <c r="G32" s="8" t="str">
        <f t="shared" si="3"/>
        <v>10</v>
      </c>
      <c r="H32" s="9">
        <f t="shared" si="4"/>
        <v>10</v>
      </c>
      <c r="I32" s="6" t="str">
        <f>IFERROR(__xludf.DUMMYFUNCTION("MAX(FILTER($H:$H,$E:$E=F32))"),"#N/A")</f>
        <v>#N/A</v>
      </c>
    </row>
    <row r="33">
      <c r="C33" s="4" t="s">
        <v>1671</v>
      </c>
      <c r="D33" s="4" t="str">
        <f t="shared" si="1"/>
        <v>{"valorA":"freezer","valorB":13}</v>
      </c>
      <c r="E33" s="8" t="str">
        <f t="shared" si="2"/>
        <v>freezer</v>
      </c>
      <c r="F33" s="8"/>
      <c r="G33" s="8" t="str">
        <f t="shared" si="3"/>
        <v>13</v>
      </c>
      <c r="H33" s="9">
        <f t="shared" si="4"/>
        <v>13</v>
      </c>
      <c r="I33" s="6" t="str">
        <f>IFERROR(__xludf.DUMMYFUNCTION("MAX(FILTER($H:$H,$E:$E=F33))"),"#N/A")</f>
        <v>#N/A</v>
      </c>
    </row>
    <row r="34">
      <c r="C34" s="4" t="s">
        <v>1709</v>
      </c>
      <c r="D34" s="4" t="str">
        <f t="shared" si="1"/>
        <v>{"valorA":"ar condicionado","valorB":10}</v>
      </c>
      <c r="E34" s="8" t="str">
        <f t="shared" si="2"/>
        <v>ar condicionado</v>
      </c>
      <c r="F34" s="8"/>
      <c r="G34" s="8" t="str">
        <f t="shared" si="3"/>
        <v>10</v>
      </c>
      <c r="H34" s="9">
        <f t="shared" si="4"/>
        <v>10</v>
      </c>
      <c r="I34" s="6" t="str">
        <f>IFERROR(__xludf.DUMMYFUNCTION("MAX(FILTER($H:$H,$E:$E=F34))"),"#N/A")</f>
        <v>#N/A</v>
      </c>
    </row>
    <row r="35">
      <c r="C35" s="4" t="s">
        <v>1672</v>
      </c>
      <c r="D35" s="4" t="str">
        <f t="shared" si="1"/>
        <v>{"valorA":"freezer","valorB":14}</v>
      </c>
      <c r="E35" s="8" t="str">
        <f t="shared" si="2"/>
        <v>freezer</v>
      </c>
      <c r="F35" s="8"/>
      <c r="G35" s="8" t="str">
        <f t="shared" si="3"/>
        <v>14</v>
      </c>
      <c r="H35" s="9">
        <f t="shared" si="4"/>
        <v>14</v>
      </c>
      <c r="I35" s="6" t="str">
        <f>IFERROR(__xludf.DUMMYFUNCTION("MAX(FILTER($H:$H,$E:$E=F35))"),"#N/A")</f>
        <v>#N/A</v>
      </c>
    </row>
    <row r="36">
      <c r="C36" s="4" t="s">
        <v>1710</v>
      </c>
      <c r="D36" s="4" t="str">
        <f t="shared" si="1"/>
        <v>{"valorA":"ar condicionado","valorB":11}</v>
      </c>
      <c r="E36" s="8" t="str">
        <f t="shared" si="2"/>
        <v>ar condicionado</v>
      </c>
      <c r="F36" s="8"/>
      <c r="G36" s="8" t="str">
        <f t="shared" si="3"/>
        <v>11</v>
      </c>
      <c r="H36" s="9">
        <f t="shared" si="4"/>
        <v>11</v>
      </c>
      <c r="I36" s="6" t="str">
        <f>IFERROR(__xludf.DUMMYFUNCTION("MAX(FILTER($H:$H,$E:$E=F36))"),"#N/A")</f>
        <v>#N/A</v>
      </c>
    </row>
    <row r="37">
      <c r="C37" s="4" t="s">
        <v>1714</v>
      </c>
      <c r="D37" s="4" t="str">
        <f t="shared" si="1"/>
        <v>{"valorA":"microondas","valorB":11}</v>
      </c>
      <c r="E37" s="8" t="str">
        <f t="shared" si="2"/>
        <v>microondas</v>
      </c>
      <c r="F37" s="8"/>
      <c r="G37" s="8" t="str">
        <f t="shared" si="3"/>
        <v>11</v>
      </c>
      <c r="H37" s="9">
        <f t="shared" si="4"/>
        <v>11</v>
      </c>
      <c r="I37" s="6" t="str">
        <f>IFERROR(__xludf.DUMMYFUNCTION("MAX(FILTER($H:$H,$E:$E=F37))"),"#N/A")</f>
        <v>#N/A</v>
      </c>
    </row>
    <row r="38">
      <c r="C38" s="4" t="s">
        <v>1716</v>
      </c>
      <c r="D38" s="4" t="str">
        <f t="shared" si="1"/>
        <v>{"valorA":"microondas","valorB":12}</v>
      </c>
      <c r="E38" s="8" t="str">
        <f t="shared" si="2"/>
        <v>microondas</v>
      </c>
      <c r="F38" s="8"/>
      <c r="G38" s="8" t="str">
        <f t="shared" si="3"/>
        <v>12</v>
      </c>
      <c r="H38" s="9">
        <f t="shared" si="4"/>
        <v>12</v>
      </c>
      <c r="I38" s="6" t="str">
        <f>IFERROR(__xludf.DUMMYFUNCTION("MAX(FILTER($H:$H,$E:$E=F38))"),"#N/A")</f>
        <v>#N/A</v>
      </c>
    </row>
    <row r="39">
      <c r="C39" s="4" t="s">
        <v>1673</v>
      </c>
      <c r="D39" s="4" t="str">
        <f t="shared" si="1"/>
        <v>{"valorA":"freezer","valorB":15}</v>
      </c>
      <c r="E39" s="8" t="str">
        <f t="shared" si="2"/>
        <v>freezer</v>
      </c>
      <c r="F39" s="8"/>
      <c r="G39" s="8" t="str">
        <f t="shared" si="3"/>
        <v>15</v>
      </c>
      <c r="H39" s="9">
        <f t="shared" si="4"/>
        <v>15</v>
      </c>
      <c r="I39" s="6" t="str">
        <f>IFERROR(__xludf.DUMMYFUNCTION("MAX(FILTER($H:$H,$E:$E=F39))"),"#N/A")</f>
        <v>#N/A</v>
      </c>
    </row>
    <row r="40">
      <c r="C40" s="4" t="s">
        <v>1674</v>
      </c>
      <c r="D40" s="4" t="str">
        <f t="shared" si="1"/>
        <v>{"valorA":"freezer","valorB":16}</v>
      </c>
      <c r="E40" s="8" t="str">
        <f t="shared" si="2"/>
        <v>freezer</v>
      </c>
      <c r="F40" s="8"/>
      <c r="G40" s="8" t="str">
        <f t="shared" si="3"/>
        <v>16</v>
      </c>
      <c r="H40" s="9">
        <f t="shared" si="4"/>
        <v>16</v>
      </c>
      <c r="I40" s="6" t="str">
        <f>IFERROR(__xludf.DUMMYFUNCTION("MAX(FILTER($H:$H,$E:$E=F40))"),"#N/A")</f>
        <v>#N/A</v>
      </c>
    </row>
    <row r="41">
      <c r="C41" s="4" t="s">
        <v>1675</v>
      </c>
      <c r="D41" s="4" t="str">
        <f t="shared" si="1"/>
        <v>{"valorA":"freezer","valorB":17}</v>
      </c>
      <c r="E41" s="8" t="str">
        <f t="shared" si="2"/>
        <v>freezer</v>
      </c>
      <c r="F41" s="8"/>
      <c r="G41" s="8" t="str">
        <f t="shared" si="3"/>
        <v>17</v>
      </c>
      <c r="H41" s="9">
        <f t="shared" si="4"/>
        <v>17</v>
      </c>
      <c r="I41" s="6" t="str">
        <f>IFERROR(__xludf.DUMMYFUNCTION("MAX(FILTER($H:$H,$E:$E=F41))"),"#N/A")</f>
        <v>#N/A</v>
      </c>
    </row>
    <row r="42">
      <c r="C42" s="4" t="s">
        <v>1720</v>
      </c>
      <c r="D42" s="4" t="str">
        <f t="shared" si="1"/>
        <v>{"valorA":"microondas","valorB":13}</v>
      </c>
      <c r="E42" s="8" t="str">
        <f t="shared" si="2"/>
        <v>microondas</v>
      </c>
      <c r="F42" s="8"/>
      <c r="G42" s="8" t="str">
        <f t="shared" si="3"/>
        <v>13</v>
      </c>
      <c r="H42" s="9">
        <f t="shared" si="4"/>
        <v>13</v>
      </c>
      <c r="I42" s="6" t="str">
        <f>IFERROR(__xludf.DUMMYFUNCTION("MAX(FILTER($H:$H,$E:$E=F42))"),"#N/A")</f>
        <v>#N/A</v>
      </c>
    </row>
    <row r="43">
      <c r="C43" s="4" t="s">
        <v>1721</v>
      </c>
      <c r="D43" s="4" t="str">
        <f t="shared" si="1"/>
        <v>{"valorA":"microondas","valorB":14}</v>
      </c>
      <c r="E43" s="8" t="str">
        <f t="shared" si="2"/>
        <v>microondas</v>
      </c>
      <c r="F43" s="8"/>
      <c r="G43" s="8" t="str">
        <f t="shared" si="3"/>
        <v>14</v>
      </c>
      <c r="H43" s="9">
        <f t="shared" si="4"/>
        <v>14</v>
      </c>
      <c r="I43" s="6" t="str">
        <f>IFERROR(__xludf.DUMMYFUNCTION("MAX(FILTER($H:$H,$E:$E=F43))"),"#N/A")</f>
        <v>#N/A</v>
      </c>
    </row>
    <row r="44">
      <c r="C44" s="4" t="s">
        <v>1722</v>
      </c>
      <c r="D44" s="4" t="str">
        <f t="shared" si="1"/>
        <v>{"valorA":"microondas","valorB":15}</v>
      </c>
      <c r="E44" s="8" t="str">
        <f t="shared" si="2"/>
        <v>microondas</v>
      </c>
      <c r="F44" s="8"/>
      <c r="G44" s="8" t="str">
        <f t="shared" si="3"/>
        <v>15</v>
      </c>
      <c r="H44" s="9">
        <f t="shared" si="4"/>
        <v>15</v>
      </c>
      <c r="I44" s="6" t="str">
        <f>IFERROR(__xludf.DUMMYFUNCTION("MAX(FILTER($H:$H,$E:$E=F44))"),"#N/A")</f>
        <v>#N/A</v>
      </c>
    </row>
    <row r="45">
      <c r="C45" s="4" t="s">
        <v>1725</v>
      </c>
      <c r="D45" s="4" t="str">
        <f t="shared" si="1"/>
        <v>{"valorA":"microondas","valorB":16}</v>
      </c>
      <c r="E45" s="8" t="str">
        <f t="shared" si="2"/>
        <v>microondas</v>
      </c>
      <c r="F45" s="8"/>
      <c r="G45" s="8" t="str">
        <f t="shared" si="3"/>
        <v>16</v>
      </c>
      <c r="H45" s="9">
        <f t="shared" si="4"/>
        <v>16</v>
      </c>
      <c r="I45" s="6" t="str">
        <f>IFERROR(__xludf.DUMMYFUNCTION("MAX(FILTER($H:$H,$E:$E=F45))"),"#N/A")</f>
        <v>#N/A</v>
      </c>
    </row>
    <row r="46">
      <c r="C46" s="4" t="s">
        <v>1727</v>
      </c>
      <c r="D46" s="4" t="str">
        <f t="shared" si="1"/>
        <v>{"valorA":"microondas","valorB":17}</v>
      </c>
      <c r="E46" s="8" t="str">
        <f t="shared" si="2"/>
        <v>microondas</v>
      </c>
      <c r="F46" s="8"/>
      <c r="G46" s="8" t="str">
        <f t="shared" si="3"/>
        <v>17</v>
      </c>
      <c r="H46" s="9">
        <f t="shared" si="4"/>
        <v>17</v>
      </c>
      <c r="I46" s="6" t="str">
        <f>IFERROR(__xludf.DUMMYFUNCTION("MAX(FILTER($H:$H,$E:$E=F46))"),"#N/A")</f>
        <v>#N/A</v>
      </c>
    </row>
    <row r="47">
      <c r="C47" s="4" t="s">
        <v>1676</v>
      </c>
      <c r="D47" s="4" t="str">
        <f t="shared" si="1"/>
        <v>{"valorA":"freezer","valorB":18}</v>
      </c>
      <c r="E47" s="8" t="str">
        <f t="shared" si="2"/>
        <v>freezer</v>
      </c>
      <c r="F47" s="8"/>
      <c r="G47" s="8" t="str">
        <f t="shared" si="3"/>
        <v>18</v>
      </c>
      <c r="H47" s="9">
        <f t="shared" si="4"/>
        <v>18</v>
      </c>
      <c r="I47" s="6" t="str">
        <f>IFERROR(__xludf.DUMMYFUNCTION("MAX(FILTER($H:$H,$E:$E=F47))"),"#N/A")</f>
        <v>#N/A</v>
      </c>
    </row>
    <row r="48">
      <c r="C48" s="4" t="s">
        <v>1728</v>
      </c>
      <c r="D48" s="4" t="str">
        <f t="shared" si="1"/>
        <v>{"valorA":"microondas","valorB":18}</v>
      </c>
      <c r="E48" s="8" t="str">
        <f t="shared" si="2"/>
        <v>microondas</v>
      </c>
      <c r="F48" s="8"/>
      <c r="G48" s="8" t="str">
        <f t="shared" si="3"/>
        <v>18</v>
      </c>
      <c r="H48" s="9">
        <f t="shared" si="4"/>
        <v>18</v>
      </c>
      <c r="I48" s="6" t="str">
        <f>IFERROR(__xludf.DUMMYFUNCTION("MAX(FILTER($H:$H,$E:$E=F48))"),"#N/A")</f>
        <v>#N/A</v>
      </c>
    </row>
    <row r="49">
      <c r="C49" s="4" t="s">
        <v>1711</v>
      </c>
      <c r="D49" s="4" t="str">
        <f t="shared" si="1"/>
        <v>{"valorA":"ar condicionado","valorB":12}</v>
      </c>
      <c r="E49" s="8" t="str">
        <f t="shared" si="2"/>
        <v>ar condicionado</v>
      </c>
      <c r="F49" s="8"/>
      <c r="G49" s="8" t="str">
        <f t="shared" si="3"/>
        <v>12</v>
      </c>
      <c r="H49" s="9">
        <f t="shared" si="4"/>
        <v>12</v>
      </c>
      <c r="I49" s="6" t="str">
        <f>IFERROR(__xludf.DUMMYFUNCTION("MAX(FILTER($H:$H,$E:$E=F49))"),"#N/A")</f>
        <v>#N/A</v>
      </c>
    </row>
    <row r="50">
      <c r="C50" s="4" t="s">
        <v>1677</v>
      </c>
      <c r="D50" s="4" t="str">
        <f t="shared" si="1"/>
        <v>{"valorA":"freezer","valorB":19}</v>
      </c>
      <c r="E50" s="8" t="str">
        <f t="shared" si="2"/>
        <v>freezer</v>
      </c>
      <c r="F50" s="8"/>
      <c r="G50" s="8" t="str">
        <f t="shared" si="3"/>
        <v>19</v>
      </c>
      <c r="H50" s="9">
        <f t="shared" si="4"/>
        <v>19</v>
      </c>
      <c r="I50" s="6" t="str">
        <f>IFERROR(__xludf.DUMMYFUNCTION("MAX(FILTER($H:$H,$E:$E=F50))"),"#N/A")</f>
        <v>#N/A</v>
      </c>
    </row>
    <row r="51">
      <c r="C51" s="4" t="s">
        <v>1678</v>
      </c>
      <c r="D51" s="4" t="str">
        <f t="shared" si="1"/>
        <v>{"valorA":"freezer","valorB":20}</v>
      </c>
      <c r="E51" s="8" t="str">
        <f t="shared" si="2"/>
        <v>freezer</v>
      </c>
      <c r="F51" s="8"/>
      <c r="G51" s="8" t="str">
        <f t="shared" si="3"/>
        <v>20</v>
      </c>
      <c r="H51" s="9">
        <f t="shared" si="4"/>
        <v>20</v>
      </c>
      <c r="I51" s="6" t="str">
        <f>IFERROR(__xludf.DUMMYFUNCTION("MAX(FILTER($H:$H,$E:$E=F51))"),"#N/A")</f>
        <v>#N/A</v>
      </c>
    </row>
    <row r="52">
      <c r="C52" s="4" t="s">
        <v>1730</v>
      </c>
      <c r="D52" s="4" t="str">
        <f t="shared" si="1"/>
        <v>{"valorA":"microondas","valorB":19}</v>
      </c>
      <c r="E52" s="8" t="str">
        <f t="shared" si="2"/>
        <v>microondas</v>
      </c>
      <c r="F52" s="8"/>
      <c r="G52" s="8" t="str">
        <f t="shared" si="3"/>
        <v>19</v>
      </c>
      <c r="H52" s="9">
        <f t="shared" si="4"/>
        <v>19</v>
      </c>
      <c r="I52" s="6" t="str">
        <f>IFERROR(__xludf.DUMMYFUNCTION("MAX(FILTER($H:$H,$E:$E=F52))"),"#N/A")</f>
        <v>#N/A</v>
      </c>
    </row>
    <row r="53">
      <c r="C53" s="4" t="s">
        <v>1679</v>
      </c>
      <c r="D53" s="4" t="str">
        <f t="shared" si="1"/>
        <v>{"valorA":"freezer","valorB":21}</v>
      </c>
      <c r="E53" s="8" t="str">
        <f t="shared" si="2"/>
        <v>freezer</v>
      </c>
      <c r="F53" s="8"/>
      <c r="G53" s="8" t="str">
        <f t="shared" si="3"/>
        <v>21</v>
      </c>
      <c r="H53" s="9">
        <f t="shared" si="4"/>
        <v>21</v>
      </c>
      <c r="I53" s="6" t="str">
        <f>IFERROR(__xludf.DUMMYFUNCTION("MAX(FILTER($H:$H,$E:$E=F53))"),"#N/A")</f>
        <v>#N/A</v>
      </c>
    </row>
    <row r="54">
      <c r="C54" s="4" t="s">
        <v>1680</v>
      </c>
      <c r="D54" s="4" t="str">
        <f t="shared" si="1"/>
        <v>{"valorA":"freezer","valorB":22}</v>
      </c>
      <c r="E54" s="8" t="str">
        <f t="shared" si="2"/>
        <v>freezer</v>
      </c>
      <c r="F54" s="8"/>
      <c r="G54" s="8" t="str">
        <f t="shared" si="3"/>
        <v>22</v>
      </c>
      <c r="H54" s="9">
        <f t="shared" si="4"/>
        <v>22</v>
      </c>
      <c r="I54" s="6" t="str">
        <f>IFERROR(__xludf.DUMMYFUNCTION("MAX(FILTER($H:$H,$E:$E=F54))"),"#N/A")</f>
        <v>#N/A</v>
      </c>
    </row>
    <row r="55">
      <c r="C55" s="4" t="s">
        <v>1715</v>
      </c>
      <c r="D55" s="4" t="str">
        <f t="shared" si="1"/>
        <v>{"valorA":"ar condicionado","valorB":13}</v>
      </c>
      <c r="E55" s="8" t="str">
        <f t="shared" si="2"/>
        <v>ar condicionado</v>
      </c>
      <c r="F55" s="8"/>
      <c r="G55" s="8" t="str">
        <f t="shared" si="3"/>
        <v>13</v>
      </c>
      <c r="H55" s="9">
        <f t="shared" si="4"/>
        <v>13</v>
      </c>
      <c r="I55" s="6" t="str">
        <f>IFERROR(__xludf.DUMMYFUNCTION("MAX(FILTER($H:$H,$E:$E=F55))"),"#N/A")</f>
        <v>#N/A</v>
      </c>
    </row>
    <row r="56">
      <c r="C56" s="4" t="s">
        <v>1734</v>
      </c>
      <c r="D56" s="4" t="str">
        <f t="shared" si="1"/>
        <v>{"valorA":"microondas","valorB":20}</v>
      </c>
      <c r="E56" s="8" t="str">
        <f t="shared" si="2"/>
        <v>microondas</v>
      </c>
      <c r="F56" s="8"/>
      <c r="G56" s="8" t="str">
        <f t="shared" si="3"/>
        <v>20</v>
      </c>
      <c r="H56" s="9">
        <f t="shared" si="4"/>
        <v>20</v>
      </c>
      <c r="I56" s="6" t="str">
        <f>IFERROR(__xludf.DUMMYFUNCTION("MAX(FILTER($H:$H,$E:$E=F56))"),"#N/A")</f>
        <v>#N/A</v>
      </c>
    </row>
    <row r="57">
      <c r="C57" s="4" t="s">
        <v>1681</v>
      </c>
      <c r="D57" s="4" t="str">
        <f t="shared" si="1"/>
        <v>{"valorA":"freezer","valorB":23}</v>
      </c>
      <c r="E57" s="8" t="str">
        <f t="shared" si="2"/>
        <v>freezer</v>
      </c>
      <c r="F57" s="8"/>
      <c r="G57" s="8" t="str">
        <f t="shared" si="3"/>
        <v>23</v>
      </c>
      <c r="H57" s="9">
        <f t="shared" si="4"/>
        <v>23</v>
      </c>
      <c r="I57" s="6" t="str">
        <f>IFERROR(__xludf.DUMMYFUNCTION("MAX(FILTER($H:$H,$E:$E=F57))"),"#N/A")</f>
        <v>#N/A</v>
      </c>
    </row>
    <row r="58">
      <c r="C58" s="4" t="s">
        <v>1682</v>
      </c>
      <c r="D58" s="4" t="str">
        <f t="shared" si="1"/>
        <v>{"valorA":"freezer","valorB":24}</v>
      </c>
      <c r="E58" s="8" t="str">
        <f t="shared" si="2"/>
        <v>freezer</v>
      </c>
      <c r="F58" s="8"/>
      <c r="G58" s="8" t="str">
        <f t="shared" si="3"/>
        <v>24</v>
      </c>
      <c r="H58" s="9">
        <f t="shared" si="4"/>
        <v>24</v>
      </c>
      <c r="I58" s="6" t="str">
        <f>IFERROR(__xludf.DUMMYFUNCTION("MAX(FILTER($H:$H,$E:$E=F58))"),"#N/A")</f>
        <v>#N/A</v>
      </c>
    </row>
    <row r="59">
      <c r="C59" s="4" t="s">
        <v>1717</v>
      </c>
      <c r="D59" s="4" t="str">
        <f t="shared" si="1"/>
        <v>{"valorA":"ar condicionado","valorB":14}</v>
      </c>
      <c r="E59" s="8" t="str">
        <f t="shared" si="2"/>
        <v>ar condicionado</v>
      </c>
      <c r="F59" s="8"/>
      <c r="G59" s="8" t="str">
        <f t="shared" si="3"/>
        <v>14</v>
      </c>
      <c r="H59" s="9">
        <f t="shared" si="4"/>
        <v>14</v>
      </c>
      <c r="I59" s="6" t="str">
        <f>IFERROR(__xludf.DUMMYFUNCTION("MAX(FILTER($H:$H,$E:$E=F59))"),"#N/A")</f>
        <v>#N/A</v>
      </c>
    </row>
    <row r="60">
      <c r="C60" s="4" t="s">
        <v>1735</v>
      </c>
      <c r="D60" s="4" t="str">
        <f t="shared" si="1"/>
        <v>{"valorA":"microondas","valorB":21}</v>
      </c>
      <c r="E60" s="8" t="str">
        <f t="shared" si="2"/>
        <v>microondas</v>
      </c>
      <c r="F60" s="8"/>
      <c r="G60" s="8" t="str">
        <f t="shared" si="3"/>
        <v>21</v>
      </c>
      <c r="H60" s="9">
        <f t="shared" si="4"/>
        <v>21</v>
      </c>
      <c r="I60" s="6" t="str">
        <f>IFERROR(__xludf.DUMMYFUNCTION("MAX(FILTER($H:$H,$E:$E=F60))"),"#N/A")</f>
        <v>#N/A</v>
      </c>
    </row>
    <row r="61">
      <c r="C61" s="4" t="s">
        <v>1718</v>
      </c>
      <c r="D61" s="4" t="str">
        <f t="shared" si="1"/>
        <v>{"valorA":"ar condicionado","valorB":15}</v>
      </c>
      <c r="E61" s="8" t="str">
        <f t="shared" si="2"/>
        <v>ar condicionado</v>
      </c>
      <c r="F61" s="8"/>
      <c r="G61" s="8" t="str">
        <f t="shared" si="3"/>
        <v>15</v>
      </c>
      <c r="H61" s="9">
        <f t="shared" si="4"/>
        <v>15</v>
      </c>
      <c r="I61" s="6" t="str">
        <f>IFERROR(__xludf.DUMMYFUNCTION("MAX(FILTER($H:$H,$E:$E=F61))"),"#N/A")</f>
        <v>#N/A</v>
      </c>
    </row>
    <row r="62">
      <c r="C62" s="4" t="s">
        <v>1719</v>
      </c>
      <c r="D62" s="4" t="str">
        <f t="shared" si="1"/>
        <v>{"valorA":"ar condicionado","valorB":16}</v>
      </c>
      <c r="E62" s="8" t="str">
        <f t="shared" si="2"/>
        <v>ar condicionado</v>
      </c>
      <c r="F62" s="8"/>
      <c r="G62" s="8" t="str">
        <f t="shared" si="3"/>
        <v>16</v>
      </c>
      <c r="H62" s="9">
        <f t="shared" si="4"/>
        <v>16</v>
      </c>
      <c r="I62" s="6" t="str">
        <f>IFERROR(__xludf.DUMMYFUNCTION("MAX(FILTER($H:$H,$E:$E=F62))"),"#N/A")</f>
        <v>#N/A</v>
      </c>
    </row>
    <row r="63">
      <c r="C63" s="4" t="s">
        <v>1737</v>
      </c>
      <c r="D63" s="4" t="str">
        <f t="shared" si="1"/>
        <v>{"valorA":"microondas","valorB":22}</v>
      </c>
      <c r="E63" s="8" t="str">
        <f t="shared" si="2"/>
        <v>microondas</v>
      </c>
      <c r="F63" s="8"/>
      <c r="G63" s="8" t="str">
        <f t="shared" si="3"/>
        <v>22</v>
      </c>
      <c r="H63" s="9">
        <f t="shared" si="4"/>
        <v>22</v>
      </c>
      <c r="I63" s="6" t="str">
        <f>IFERROR(__xludf.DUMMYFUNCTION("MAX(FILTER($H:$H,$E:$E=F63))"),"#N/A")</f>
        <v>#N/A</v>
      </c>
    </row>
    <row r="64">
      <c r="C64" s="4" t="s">
        <v>1723</v>
      </c>
      <c r="D64" s="4" t="str">
        <f t="shared" si="1"/>
        <v>{"valorA":"ar condicionado","valorB":17}</v>
      </c>
      <c r="E64" s="8" t="str">
        <f t="shared" si="2"/>
        <v>ar condicionado</v>
      </c>
      <c r="F64" s="8"/>
      <c r="G64" s="8" t="str">
        <f t="shared" si="3"/>
        <v>17</v>
      </c>
      <c r="H64" s="9">
        <f t="shared" si="4"/>
        <v>17</v>
      </c>
      <c r="I64" s="6" t="str">
        <f>IFERROR(__xludf.DUMMYFUNCTION("MAX(FILTER($H:$H,$E:$E=F64))"),"#N/A")</f>
        <v>#N/A</v>
      </c>
    </row>
    <row r="65">
      <c r="C65" s="4" t="s">
        <v>1724</v>
      </c>
      <c r="D65" s="4" t="str">
        <f t="shared" si="1"/>
        <v>{"valorA":"ar condicionado","valorB":18}</v>
      </c>
      <c r="E65" s="8" t="str">
        <f t="shared" si="2"/>
        <v>ar condicionado</v>
      </c>
      <c r="F65" s="8"/>
      <c r="G65" s="8" t="str">
        <f t="shared" si="3"/>
        <v>18</v>
      </c>
      <c r="H65" s="9">
        <f t="shared" si="4"/>
        <v>18</v>
      </c>
      <c r="I65" s="6" t="str">
        <f>IFERROR(__xludf.DUMMYFUNCTION("MAX(FILTER($H:$H,$E:$E=F65))"),"#N/A")</f>
        <v>#N/A</v>
      </c>
    </row>
    <row r="66">
      <c r="C66" s="4" t="s">
        <v>1738</v>
      </c>
      <c r="D66" s="4" t="str">
        <f t="shared" si="1"/>
        <v>{"valorA":"microondas","valorB":23}</v>
      </c>
      <c r="E66" s="8" t="str">
        <f t="shared" si="2"/>
        <v>microondas</v>
      </c>
      <c r="F66" s="8"/>
      <c r="G66" s="8" t="str">
        <f t="shared" si="3"/>
        <v>23</v>
      </c>
      <c r="H66" s="9">
        <f t="shared" si="4"/>
        <v>23</v>
      </c>
      <c r="I66" s="6" t="str">
        <f>IFERROR(__xludf.DUMMYFUNCTION("MAX(FILTER($H:$H,$E:$E=F66))"),"#N/A")</f>
        <v>#N/A</v>
      </c>
    </row>
    <row r="67">
      <c r="C67" s="4" t="s">
        <v>1683</v>
      </c>
      <c r="D67" s="4" t="str">
        <f t="shared" si="1"/>
        <v>{"valorA":"freezer","valorB":25}</v>
      </c>
      <c r="E67" s="8" t="str">
        <f t="shared" si="2"/>
        <v>freezer</v>
      </c>
      <c r="F67" s="8"/>
      <c r="G67" s="8" t="str">
        <f t="shared" si="3"/>
        <v>25</v>
      </c>
      <c r="H67" s="9">
        <f t="shared" si="4"/>
        <v>25</v>
      </c>
      <c r="I67" s="6" t="str">
        <f>IFERROR(__xludf.DUMMYFUNCTION("MAX(FILTER($H:$H,$E:$E=F67))"),"#N/A")</f>
        <v>#N/A</v>
      </c>
    </row>
    <row r="68">
      <c r="C68" s="4" t="s">
        <v>1726</v>
      </c>
      <c r="D68" s="4" t="str">
        <f t="shared" si="1"/>
        <v>{"valorA":"ar condicionado","valorB":19}</v>
      </c>
      <c r="E68" s="8" t="str">
        <f t="shared" si="2"/>
        <v>ar condicionado</v>
      </c>
      <c r="F68" s="8"/>
      <c r="G68" s="8" t="str">
        <f t="shared" si="3"/>
        <v>19</v>
      </c>
      <c r="H68" s="9">
        <f t="shared" si="4"/>
        <v>19</v>
      </c>
      <c r="I68" s="6" t="str">
        <f>IFERROR(__xludf.DUMMYFUNCTION("MAX(FILTER($H:$H,$E:$E=F68))"),"#N/A")</f>
        <v>#N/A</v>
      </c>
    </row>
    <row r="69">
      <c r="C69" s="4" t="s">
        <v>1729</v>
      </c>
      <c r="D69" s="4" t="str">
        <f t="shared" si="1"/>
        <v>{"valorA":"ar condicionado","valorB":20}</v>
      </c>
      <c r="E69" s="8" t="str">
        <f t="shared" si="2"/>
        <v>ar condicionado</v>
      </c>
      <c r="F69" s="8"/>
      <c r="G69" s="8" t="str">
        <f t="shared" si="3"/>
        <v>20</v>
      </c>
      <c r="H69" s="9">
        <f t="shared" si="4"/>
        <v>20</v>
      </c>
      <c r="I69" s="6" t="str">
        <f>IFERROR(__xludf.DUMMYFUNCTION("MAX(FILTER($H:$H,$E:$E=F69))"),"#N/A")</f>
        <v>#N/A</v>
      </c>
    </row>
    <row r="70">
      <c r="C70" s="4" t="s">
        <v>1684</v>
      </c>
      <c r="D70" s="4" t="str">
        <f t="shared" si="1"/>
        <v>{"valorA":"freezer","valorB":26}</v>
      </c>
      <c r="E70" s="8" t="str">
        <f t="shared" si="2"/>
        <v>freezer</v>
      </c>
      <c r="F70" s="8"/>
      <c r="G70" s="8" t="str">
        <f t="shared" si="3"/>
        <v>26</v>
      </c>
      <c r="H70" s="9">
        <f t="shared" si="4"/>
        <v>26</v>
      </c>
      <c r="I70" s="6" t="str">
        <f>IFERROR(__xludf.DUMMYFUNCTION("MAX(FILTER($H:$H,$E:$E=F70))"),"#N/A")</f>
        <v>#N/A</v>
      </c>
    </row>
    <row r="71">
      <c r="C71" s="4" t="s">
        <v>1740</v>
      </c>
      <c r="D71" s="4" t="str">
        <f t="shared" si="1"/>
        <v>{"valorA":"microondas","valorB":24}</v>
      </c>
      <c r="E71" s="8" t="str">
        <f t="shared" si="2"/>
        <v>microondas</v>
      </c>
      <c r="F71" s="8"/>
      <c r="G71" s="8" t="str">
        <f t="shared" si="3"/>
        <v>24</v>
      </c>
      <c r="H71" s="9">
        <f t="shared" si="4"/>
        <v>24</v>
      </c>
      <c r="I71" s="6" t="str">
        <f>IFERROR(__xludf.DUMMYFUNCTION("MAX(FILTER($H:$H,$E:$E=F71))"),"#N/A")</f>
        <v>#N/A</v>
      </c>
    </row>
    <row r="72">
      <c r="C72" s="4" t="s">
        <v>1731</v>
      </c>
      <c r="D72" s="4" t="str">
        <f t="shared" si="1"/>
        <v>{"valorA":"ar condicionado","valorB":21}</v>
      </c>
      <c r="E72" s="8" t="str">
        <f t="shared" si="2"/>
        <v>ar condicionado</v>
      </c>
      <c r="F72" s="8"/>
      <c r="G72" s="8" t="str">
        <f t="shared" si="3"/>
        <v>21</v>
      </c>
      <c r="H72" s="9">
        <f t="shared" si="4"/>
        <v>21</v>
      </c>
      <c r="I72" s="6" t="str">
        <f>IFERROR(__xludf.DUMMYFUNCTION("MAX(FILTER($H:$H,$E:$E=F72))"),"#N/A")</f>
        <v>#N/A</v>
      </c>
    </row>
    <row r="73">
      <c r="C73" s="4" t="s">
        <v>1685</v>
      </c>
      <c r="D73" s="4" t="str">
        <f t="shared" si="1"/>
        <v>{"valorA":"freezer","valorB":27}</v>
      </c>
      <c r="E73" s="8" t="str">
        <f t="shared" si="2"/>
        <v>freezer</v>
      </c>
      <c r="F73" s="8"/>
      <c r="G73" s="8" t="str">
        <f t="shared" si="3"/>
        <v>27</v>
      </c>
      <c r="H73" s="9">
        <f t="shared" si="4"/>
        <v>27</v>
      </c>
      <c r="I73" s="6" t="str">
        <f>IFERROR(__xludf.DUMMYFUNCTION("MAX(FILTER($H:$H,$E:$E=F73))"),"#N/A")</f>
        <v>#N/A</v>
      </c>
    </row>
    <row r="74">
      <c r="C74" s="4" t="s">
        <v>1743</v>
      </c>
      <c r="D74" s="4" t="str">
        <f t="shared" si="1"/>
        <v>{"valorA":"microondas","valorB":25}</v>
      </c>
      <c r="E74" s="8" t="str">
        <f t="shared" si="2"/>
        <v>microondas</v>
      </c>
      <c r="F74" s="8"/>
      <c r="G74" s="8" t="str">
        <f t="shared" si="3"/>
        <v>25</v>
      </c>
      <c r="H74" s="9">
        <f t="shared" si="4"/>
        <v>25</v>
      </c>
      <c r="I74" s="6" t="str">
        <f>IFERROR(__xludf.DUMMYFUNCTION("MAX(FILTER($H:$H,$E:$E=F74))"),"#N/A")</f>
        <v>#N/A</v>
      </c>
    </row>
    <row r="75">
      <c r="C75" s="4" t="s">
        <v>1686</v>
      </c>
      <c r="D75" s="4" t="str">
        <f t="shared" si="1"/>
        <v>{"valorA":"freezer","valorB":28}</v>
      </c>
      <c r="E75" s="8" t="str">
        <f t="shared" si="2"/>
        <v>freezer</v>
      </c>
      <c r="F75" s="8"/>
      <c r="G75" s="8" t="str">
        <f t="shared" si="3"/>
        <v>28</v>
      </c>
      <c r="H75" s="9">
        <f t="shared" si="4"/>
        <v>28</v>
      </c>
      <c r="I75" s="6" t="str">
        <f>IFERROR(__xludf.DUMMYFUNCTION("MAX(FILTER($H:$H,$E:$E=F75))"),"#N/A")</f>
        <v>#N/A</v>
      </c>
    </row>
    <row r="76">
      <c r="C76" s="4" t="s">
        <v>1687</v>
      </c>
      <c r="D76" s="4" t="str">
        <f t="shared" si="1"/>
        <v>{"valorA":"freezer","valorB":29}</v>
      </c>
      <c r="E76" s="8" t="str">
        <f t="shared" si="2"/>
        <v>freezer</v>
      </c>
      <c r="F76" s="8"/>
      <c r="G76" s="8" t="str">
        <f t="shared" si="3"/>
        <v>29</v>
      </c>
      <c r="H76" s="9">
        <f t="shared" si="4"/>
        <v>29</v>
      </c>
      <c r="I76" s="6" t="str">
        <f>IFERROR(__xludf.DUMMYFUNCTION("MAX(FILTER($H:$H,$E:$E=F76))"),"#N/A")</f>
        <v>#N/A</v>
      </c>
    </row>
    <row r="77">
      <c r="C77" s="4" t="s">
        <v>1688</v>
      </c>
      <c r="D77" s="4" t="str">
        <f t="shared" si="1"/>
        <v>{"valorA":"freezer","valorB":30}</v>
      </c>
      <c r="E77" s="8" t="str">
        <f t="shared" si="2"/>
        <v>freezer</v>
      </c>
      <c r="F77" s="8"/>
      <c r="G77" s="8" t="str">
        <f t="shared" si="3"/>
        <v>30</v>
      </c>
      <c r="H77" s="9">
        <f t="shared" si="4"/>
        <v>30</v>
      </c>
      <c r="I77" s="6" t="str">
        <f>IFERROR(__xludf.DUMMYFUNCTION("MAX(FILTER($H:$H,$E:$E=F77))"),"#N/A")</f>
        <v>#N/A</v>
      </c>
    </row>
    <row r="78">
      <c r="C78" s="4" t="s">
        <v>1746</v>
      </c>
      <c r="D78" s="4" t="str">
        <f t="shared" si="1"/>
        <v>{"valorA":"microondas","valorB":26}</v>
      </c>
      <c r="E78" s="8" t="str">
        <f t="shared" si="2"/>
        <v>microondas</v>
      </c>
      <c r="F78" s="8"/>
      <c r="G78" s="8" t="str">
        <f t="shared" si="3"/>
        <v>26</v>
      </c>
      <c r="H78" s="9">
        <f t="shared" si="4"/>
        <v>26</v>
      </c>
      <c r="I78" s="6" t="str">
        <f>IFERROR(__xludf.DUMMYFUNCTION("MAX(FILTER($H:$H,$E:$E=F78))"),"#N/A")</f>
        <v>#N/A</v>
      </c>
    </row>
    <row r="79">
      <c r="C79" s="4" t="s">
        <v>1689</v>
      </c>
      <c r="D79" s="4" t="str">
        <f t="shared" si="1"/>
        <v>{"valorA":"freezer","valorB":31}</v>
      </c>
      <c r="E79" s="8" t="str">
        <f t="shared" si="2"/>
        <v>freezer</v>
      </c>
      <c r="F79" s="8"/>
      <c r="G79" s="8" t="str">
        <f t="shared" si="3"/>
        <v>31</v>
      </c>
      <c r="H79" s="9">
        <f t="shared" si="4"/>
        <v>31</v>
      </c>
      <c r="I79" s="6" t="str">
        <f>IFERROR(__xludf.DUMMYFUNCTION("MAX(FILTER($H:$H,$E:$E=F79))"),"#N/A")</f>
        <v>#N/A</v>
      </c>
    </row>
    <row r="80">
      <c r="C80" s="4" t="s">
        <v>1732</v>
      </c>
      <c r="D80" s="4" t="str">
        <f t="shared" si="1"/>
        <v>{"valorA":"ar condicionado","valorB":22}</v>
      </c>
      <c r="E80" s="8" t="str">
        <f t="shared" si="2"/>
        <v>ar condicionado</v>
      </c>
      <c r="F80" s="8"/>
      <c r="G80" s="8" t="str">
        <f t="shared" si="3"/>
        <v>22</v>
      </c>
      <c r="H80" s="9">
        <f t="shared" si="4"/>
        <v>22</v>
      </c>
      <c r="I80" s="6" t="str">
        <f>IFERROR(__xludf.DUMMYFUNCTION("MAX(FILTER($H:$H,$E:$E=F80))"),"#N/A")</f>
        <v>#N/A</v>
      </c>
    </row>
    <row r="81">
      <c r="C81" s="4" t="s">
        <v>1748</v>
      </c>
      <c r="D81" s="4" t="str">
        <f t="shared" si="1"/>
        <v>{"valorA":"microondas","valorB":27}</v>
      </c>
      <c r="E81" s="8" t="str">
        <f t="shared" si="2"/>
        <v>microondas</v>
      </c>
      <c r="F81" s="8"/>
      <c r="G81" s="8" t="str">
        <f t="shared" si="3"/>
        <v>27</v>
      </c>
      <c r="H81" s="9">
        <f t="shared" si="4"/>
        <v>27</v>
      </c>
      <c r="I81" s="6" t="str">
        <f>IFERROR(__xludf.DUMMYFUNCTION("MAX(FILTER($H:$H,$E:$E=F81))"),"#N/A")</f>
        <v>#N/A</v>
      </c>
    </row>
    <row r="82">
      <c r="C82" s="4" t="s">
        <v>1690</v>
      </c>
      <c r="D82" s="4" t="str">
        <f t="shared" si="1"/>
        <v>{"valorA":"freezer","valorB":32}</v>
      </c>
      <c r="E82" s="8" t="str">
        <f t="shared" si="2"/>
        <v>freezer</v>
      </c>
      <c r="F82" s="8"/>
      <c r="G82" s="8" t="str">
        <f t="shared" si="3"/>
        <v>32</v>
      </c>
      <c r="H82" s="9">
        <f t="shared" si="4"/>
        <v>32</v>
      </c>
      <c r="I82" s="6" t="str">
        <f>IFERROR(__xludf.DUMMYFUNCTION("MAX(FILTER($H:$H,$E:$E=F82))"),"#N/A")</f>
        <v>#N/A</v>
      </c>
    </row>
    <row r="83">
      <c r="C83" s="4" t="s">
        <v>1691</v>
      </c>
      <c r="D83" s="4" t="str">
        <f t="shared" si="1"/>
        <v>{"valorA":"freezer","valorB":33}</v>
      </c>
      <c r="E83" s="8" t="str">
        <f t="shared" si="2"/>
        <v>freezer</v>
      </c>
      <c r="F83" s="8"/>
      <c r="G83" s="8" t="str">
        <f t="shared" si="3"/>
        <v>33</v>
      </c>
      <c r="H83" s="9">
        <f t="shared" si="4"/>
        <v>33</v>
      </c>
      <c r="I83" s="6" t="str">
        <f>IFERROR(__xludf.DUMMYFUNCTION("MAX(FILTER($H:$H,$E:$E=F83))"),"#N/A")</f>
        <v>#N/A</v>
      </c>
    </row>
    <row r="84">
      <c r="C84" s="4" t="s">
        <v>1733</v>
      </c>
      <c r="D84" s="4" t="str">
        <f t="shared" si="1"/>
        <v>{"valorA":"ar condicionado","valorB":23}</v>
      </c>
      <c r="E84" s="8" t="str">
        <f t="shared" si="2"/>
        <v>ar condicionado</v>
      </c>
      <c r="F84" s="8"/>
      <c r="G84" s="8" t="str">
        <f t="shared" si="3"/>
        <v>23</v>
      </c>
      <c r="H84" s="9">
        <f t="shared" si="4"/>
        <v>23</v>
      </c>
      <c r="I84" s="6" t="str">
        <f>IFERROR(__xludf.DUMMYFUNCTION("MAX(FILTER($H:$H,$E:$E=F84))"),"#N/A")</f>
        <v>#N/A</v>
      </c>
    </row>
    <row r="85">
      <c r="C85" s="4" t="s">
        <v>1750</v>
      </c>
      <c r="D85" s="4" t="str">
        <f t="shared" si="1"/>
        <v>{"valorA":"microondas","valorB":28}</v>
      </c>
      <c r="E85" s="8" t="str">
        <f t="shared" si="2"/>
        <v>microondas</v>
      </c>
      <c r="F85" s="8"/>
      <c r="G85" s="8" t="str">
        <f t="shared" si="3"/>
        <v>28</v>
      </c>
      <c r="H85" s="9">
        <f t="shared" si="4"/>
        <v>28</v>
      </c>
      <c r="I85" s="6" t="str">
        <f>IFERROR(__xludf.DUMMYFUNCTION("MAX(FILTER($H:$H,$E:$E=F85))"),"#N/A")</f>
        <v>#N/A</v>
      </c>
    </row>
    <row r="86">
      <c r="C86" s="4" t="s">
        <v>1736</v>
      </c>
      <c r="D86" s="4" t="str">
        <f t="shared" si="1"/>
        <v>{"valorA":"ar condicionado","valorB":24}</v>
      </c>
      <c r="E86" s="8" t="str">
        <f t="shared" si="2"/>
        <v>ar condicionado</v>
      </c>
      <c r="F86" s="8"/>
      <c r="G86" s="8" t="str">
        <f t="shared" si="3"/>
        <v>24</v>
      </c>
      <c r="H86" s="9">
        <f t="shared" si="4"/>
        <v>24</v>
      </c>
      <c r="I86" s="6" t="str">
        <f>IFERROR(__xludf.DUMMYFUNCTION("MAX(FILTER($H:$H,$E:$E=F86))"),"#N/A")</f>
        <v>#N/A</v>
      </c>
    </row>
    <row r="87">
      <c r="C87" s="4" t="s">
        <v>1751</v>
      </c>
      <c r="D87" s="4" t="str">
        <f t="shared" si="1"/>
        <v>{"valorA":"microondas","valorB":29}</v>
      </c>
      <c r="E87" s="8" t="str">
        <f t="shared" si="2"/>
        <v>microondas</v>
      </c>
      <c r="F87" s="8"/>
      <c r="G87" s="8" t="str">
        <f t="shared" si="3"/>
        <v>29</v>
      </c>
      <c r="H87" s="9">
        <f t="shared" si="4"/>
        <v>29</v>
      </c>
      <c r="I87" s="6" t="str">
        <f>IFERROR(__xludf.DUMMYFUNCTION("MAX(FILTER($H:$H,$E:$E=F87))"),"#N/A")</f>
        <v>#N/A</v>
      </c>
    </row>
    <row r="88">
      <c r="C88" s="4" t="s">
        <v>1752</v>
      </c>
      <c r="D88" s="4" t="str">
        <f t="shared" si="1"/>
        <v>{"valorA":"microondas","valorB":30}</v>
      </c>
      <c r="E88" s="8" t="str">
        <f t="shared" si="2"/>
        <v>microondas</v>
      </c>
      <c r="F88" s="8"/>
      <c r="G88" s="8" t="str">
        <f t="shared" si="3"/>
        <v>30</v>
      </c>
      <c r="H88" s="9">
        <f t="shared" si="4"/>
        <v>30</v>
      </c>
      <c r="I88" s="6" t="str">
        <f>IFERROR(__xludf.DUMMYFUNCTION("MAX(FILTER($H:$H,$E:$E=F88))"),"#N/A")</f>
        <v>#N/A</v>
      </c>
    </row>
    <row r="89">
      <c r="C89" s="4" t="s">
        <v>1692</v>
      </c>
      <c r="D89" s="4" t="str">
        <f t="shared" si="1"/>
        <v>{"valorA":"freezer","valorB":34}</v>
      </c>
      <c r="E89" s="8" t="str">
        <f t="shared" si="2"/>
        <v>freezer</v>
      </c>
      <c r="F89" s="8"/>
      <c r="G89" s="8" t="str">
        <f t="shared" si="3"/>
        <v>34</v>
      </c>
      <c r="H89" s="9">
        <f t="shared" si="4"/>
        <v>34</v>
      </c>
      <c r="I89" s="6" t="str">
        <f>IFERROR(__xludf.DUMMYFUNCTION("MAX(FILTER($H:$H,$E:$E=F89))"),"#N/A")</f>
        <v>#N/A</v>
      </c>
    </row>
    <row r="90">
      <c r="C90" s="4" t="s">
        <v>1753</v>
      </c>
      <c r="D90" s="4" t="str">
        <f t="shared" si="1"/>
        <v>{"valorA":"microondas","valorB":31}</v>
      </c>
      <c r="E90" s="8" t="str">
        <f t="shared" si="2"/>
        <v>microondas</v>
      </c>
      <c r="F90" s="8"/>
      <c r="G90" s="8" t="str">
        <f t="shared" si="3"/>
        <v>31</v>
      </c>
      <c r="H90" s="9">
        <f t="shared" si="4"/>
        <v>31</v>
      </c>
      <c r="I90" s="6" t="str">
        <f>IFERROR(__xludf.DUMMYFUNCTION("MAX(FILTER($H:$H,$E:$E=F90))"),"#N/A")</f>
        <v>#N/A</v>
      </c>
    </row>
    <row r="91">
      <c r="C91" s="4" t="s">
        <v>1756</v>
      </c>
      <c r="D91" s="4" t="str">
        <f t="shared" si="1"/>
        <v>{"valorA":"microondas","valorB":32}</v>
      </c>
      <c r="E91" s="8" t="str">
        <f t="shared" si="2"/>
        <v>microondas</v>
      </c>
      <c r="F91" s="8"/>
      <c r="G91" s="8" t="str">
        <f t="shared" si="3"/>
        <v>32</v>
      </c>
      <c r="H91" s="9">
        <f t="shared" si="4"/>
        <v>32</v>
      </c>
      <c r="I91" s="6" t="str">
        <f>IFERROR(__xludf.DUMMYFUNCTION("MAX(FILTER($H:$H,$E:$E=F91))"),"#N/A")</f>
        <v>#N/A</v>
      </c>
    </row>
    <row r="92">
      <c r="C92" s="4" t="s">
        <v>1758</v>
      </c>
      <c r="D92" s="4" t="str">
        <f t="shared" si="1"/>
        <v>{"valorA":"microondas","valorB":33}</v>
      </c>
      <c r="E92" s="8" t="str">
        <f t="shared" si="2"/>
        <v>microondas</v>
      </c>
      <c r="F92" s="8"/>
      <c r="G92" s="8" t="str">
        <f t="shared" si="3"/>
        <v>33</v>
      </c>
      <c r="H92" s="9">
        <f t="shared" si="4"/>
        <v>33</v>
      </c>
      <c r="I92" s="6" t="str">
        <f>IFERROR(__xludf.DUMMYFUNCTION("MAX(FILTER($H:$H,$E:$E=F92))"),"#N/A")</f>
        <v>#N/A</v>
      </c>
    </row>
    <row r="93">
      <c r="C93" s="4" t="s">
        <v>1759</v>
      </c>
      <c r="D93" s="4" t="str">
        <f t="shared" si="1"/>
        <v>{"valorA":"microondas","valorB":34}</v>
      </c>
      <c r="E93" s="8" t="str">
        <f t="shared" si="2"/>
        <v>microondas</v>
      </c>
      <c r="F93" s="8"/>
      <c r="G93" s="8" t="str">
        <f t="shared" si="3"/>
        <v>34</v>
      </c>
      <c r="H93" s="9">
        <f t="shared" si="4"/>
        <v>34</v>
      </c>
      <c r="I93" s="6" t="str">
        <f>IFERROR(__xludf.DUMMYFUNCTION("MAX(FILTER($H:$H,$E:$E=F93))"),"#N/A")</f>
        <v>#N/A</v>
      </c>
    </row>
    <row r="94">
      <c r="C94" s="4" t="s">
        <v>1771</v>
      </c>
      <c r="D94" s="4" t="str">
        <f t="shared" si="1"/>
        <v>{"valorA":"freezer","valorB":35}</v>
      </c>
      <c r="E94" s="8" t="str">
        <f t="shared" si="2"/>
        <v>freezer</v>
      </c>
      <c r="F94" s="8"/>
      <c r="G94" s="8" t="str">
        <f t="shared" si="3"/>
        <v>35</v>
      </c>
      <c r="H94" s="9">
        <f t="shared" si="4"/>
        <v>35</v>
      </c>
      <c r="I94" s="6" t="str">
        <f>IFERROR(__xludf.DUMMYFUNCTION("MAX(FILTER($H:$H,$E:$E=F94))"),"#N/A")</f>
        <v>#N/A</v>
      </c>
    </row>
    <row r="95">
      <c r="C95" s="4" t="s">
        <v>1739</v>
      </c>
      <c r="D95" s="4" t="str">
        <f t="shared" si="1"/>
        <v>{"valorA":"ar condicionado","valorB":25}</v>
      </c>
      <c r="E95" s="8" t="str">
        <f t="shared" si="2"/>
        <v>ar condicionado</v>
      </c>
      <c r="F95" s="8"/>
      <c r="G95" s="8" t="str">
        <f t="shared" si="3"/>
        <v>25</v>
      </c>
      <c r="H95" s="9">
        <f t="shared" si="4"/>
        <v>25</v>
      </c>
      <c r="I95" s="6" t="str">
        <f>IFERROR(__xludf.DUMMYFUNCTION("MAX(FILTER($H:$H,$E:$E=F95))"),"#N/A")</f>
        <v>#N/A</v>
      </c>
    </row>
    <row r="96">
      <c r="C96" s="4" t="s">
        <v>1741</v>
      </c>
      <c r="D96" s="4" t="str">
        <f t="shared" si="1"/>
        <v>{"valorA":"ar condicionado","valorB":26}</v>
      </c>
      <c r="E96" s="8" t="str">
        <f t="shared" si="2"/>
        <v>ar condicionado</v>
      </c>
      <c r="F96" s="8"/>
      <c r="G96" s="8" t="str">
        <f t="shared" si="3"/>
        <v>26</v>
      </c>
      <c r="H96" s="9">
        <f t="shared" si="4"/>
        <v>26</v>
      </c>
      <c r="I96" s="6" t="str">
        <f>IFERROR(__xludf.DUMMYFUNCTION("MAX(FILTER($H:$H,$E:$E=F96))"),"#N/A")</f>
        <v>#N/A</v>
      </c>
    </row>
    <row r="97">
      <c r="C97" s="4" t="s">
        <v>1742</v>
      </c>
      <c r="D97" s="4" t="str">
        <f t="shared" si="1"/>
        <v>{"valorA":"ar condicionado","valorB":27}</v>
      </c>
      <c r="E97" s="8" t="str">
        <f t="shared" si="2"/>
        <v>ar condicionado</v>
      </c>
      <c r="F97" s="8"/>
      <c r="G97" s="8" t="str">
        <f t="shared" si="3"/>
        <v>27</v>
      </c>
      <c r="H97" s="9">
        <f t="shared" si="4"/>
        <v>27</v>
      </c>
      <c r="I97" s="6" t="str">
        <f>IFERROR(__xludf.DUMMYFUNCTION("MAX(FILTER($H:$H,$E:$E=F97))"),"#N/A")</f>
        <v>#N/A</v>
      </c>
    </row>
    <row r="98">
      <c r="C98" s="4" t="s">
        <v>1772</v>
      </c>
      <c r="D98" s="4" t="str">
        <f t="shared" si="1"/>
        <v>{"valorA":"freezer","valorB":36}</v>
      </c>
      <c r="E98" s="8" t="str">
        <f t="shared" si="2"/>
        <v>freezer</v>
      </c>
      <c r="F98" s="8"/>
      <c r="G98" s="8" t="str">
        <f t="shared" si="3"/>
        <v>36</v>
      </c>
      <c r="H98" s="9">
        <f t="shared" si="4"/>
        <v>36</v>
      </c>
      <c r="I98" s="6" t="str">
        <f>IFERROR(__xludf.DUMMYFUNCTION("MAX(FILTER($H:$H,$E:$E=F98))"),"#N/A")</f>
        <v>#N/A</v>
      </c>
    </row>
    <row r="99">
      <c r="C99" s="4" t="s">
        <v>1779</v>
      </c>
      <c r="D99" s="4" t="str">
        <f t="shared" si="1"/>
        <v>{"valorA":"freezer","valorB":37}</v>
      </c>
      <c r="E99" s="8" t="str">
        <f t="shared" si="2"/>
        <v>freezer</v>
      </c>
      <c r="F99" s="8"/>
      <c r="G99" s="8" t="str">
        <f t="shared" si="3"/>
        <v>37</v>
      </c>
      <c r="H99" s="9">
        <f t="shared" si="4"/>
        <v>37</v>
      </c>
      <c r="I99" s="6" t="str">
        <f>IFERROR(__xludf.DUMMYFUNCTION("MAX(FILTER($H:$H,$E:$E=F99))"),"#N/A")</f>
        <v>#N/A</v>
      </c>
    </row>
    <row r="100">
      <c r="C100" s="4" t="s">
        <v>1762</v>
      </c>
      <c r="D100" s="4" t="str">
        <f t="shared" si="1"/>
        <v>{"valorA":"microondas","valorB":35}</v>
      </c>
      <c r="E100" s="8" t="str">
        <f t="shared" si="2"/>
        <v>microondas</v>
      </c>
      <c r="F100" s="8"/>
      <c r="G100" s="8" t="str">
        <f t="shared" si="3"/>
        <v>35</v>
      </c>
      <c r="H100" s="9">
        <f t="shared" si="4"/>
        <v>35</v>
      </c>
      <c r="I100" s="6" t="str">
        <f>IFERROR(__xludf.DUMMYFUNCTION("MAX(FILTER($H:$H,$E:$E=F100))"),"#N/A")</f>
        <v>#N/A</v>
      </c>
    </row>
    <row r="101">
      <c r="C101" s="4" t="s">
        <v>1766</v>
      </c>
      <c r="D101" s="4" t="str">
        <f t="shared" si="1"/>
        <v>{"valorA":"microondas","valorB":36}</v>
      </c>
      <c r="E101" s="8" t="str">
        <f t="shared" si="2"/>
        <v>microondas</v>
      </c>
      <c r="F101" s="8"/>
      <c r="G101" s="8" t="str">
        <f t="shared" si="3"/>
        <v>36</v>
      </c>
      <c r="H101" s="9">
        <f t="shared" si="4"/>
        <v>36</v>
      </c>
      <c r="I101" s="6" t="str">
        <f>IFERROR(__xludf.DUMMYFUNCTION("MAX(FILTER($H:$H,$E:$E=F101))"),"#N/A")</f>
        <v>#N/A</v>
      </c>
    </row>
    <row r="102">
      <c r="C102" s="4" t="s">
        <v>1744</v>
      </c>
      <c r="D102" s="4" t="str">
        <f t="shared" si="1"/>
        <v>{"valorA":"ar condicionado","valorB":28}</v>
      </c>
      <c r="E102" s="8" t="str">
        <f t="shared" si="2"/>
        <v>ar condicionado</v>
      </c>
      <c r="F102" s="8"/>
      <c r="G102" s="8" t="str">
        <f t="shared" si="3"/>
        <v>28</v>
      </c>
      <c r="H102" s="9">
        <f t="shared" si="4"/>
        <v>28</v>
      </c>
      <c r="I102" s="6" t="str">
        <f>IFERROR(__xludf.DUMMYFUNCTION("MAX(FILTER($H:$H,$E:$E=F102))"),"#N/A")</f>
        <v>#N/A</v>
      </c>
    </row>
    <row r="103">
      <c r="C103" s="4" t="s">
        <v>1768</v>
      </c>
      <c r="D103" s="4" t="str">
        <f t="shared" si="1"/>
        <v>{"valorA":"microondas","valorB":37}</v>
      </c>
      <c r="E103" s="8" t="str">
        <f t="shared" si="2"/>
        <v>microondas</v>
      </c>
      <c r="F103" s="8"/>
      <c r="G103" s="8" t="str">
        <f t="shared" si="3"/>
        <v>37</v>
      </c>
      <c r="H103" s="9">
        <f t="shared" si="4"/>
        <v>37</v>
      </c>
      <c r="I103" s="6" t="str">
        <f>IFERROR(__xludf.DUMMYFUNCTION("MAX(FILTER($H:$H,$E:$E=F103))"),"#N/A")</f>
        <v>#N/A</v>
      </c>
    </row>
    <row r="104">
      <c r="C104" s="4" t="s">
        <v>1745</v>
      </c>
      <c r="D104" s="4" t="str">
        <f t="shared" si="1"/>
        <v>{"valorA":"ar condicionado","valorB":29}</v>
      </c>
      <c r="E104" s="8" t="str">
        <f t="shared" si="2"/>
        <v>ar condicionado</v>
      </c>
      <c r="F104" s="8"/>
      <c r="G104" s="8" t="str">
        <f t="shared" si="3"/>
        <v>29</v>
      </c>
      <c r="H104" s="9">
        <f t="shared" si="4"/>
        <v>29</v>
      </c>
      <c r="I104" s="6" t="str">
        <f>IFERROR(__xludf.DUMMYFUNCTION("MAX(FILTER($H:$H,$E:$E=F104))"),"#N/A")</f>
        <v>#N/A</v>
      </c>
    </row>
    <row r="105">
      <c r="C105" s="4" t="s">
        <v>1770</v>
      </c>
      <c r="D105" s="4" t="str">
        <f t="shared" si="1"/>
        <v>{"valorA":"microondas","valorB":38}</v>
      </c>
      <c r="E105" s="8" t="str">
        <f t="shared" si="2"/>
        <v>microondas</v>
      </c>
      <c r="F105" s="8"/>
      <c r="G105" s="8" t="str">
        <f t="shared" si="3"/>
        <v>38</v>
      </c>
      <c r="H105" s="9">
        <f t="shared" si="4"/>
        <v>38</v>
      </c>
      <c r="I105" s="6" t="str">
        <f>IFERROR(__xludf.DUMMYFUNCTION("MAX(FILTER($H:$H,$E:$E=F105))"),"#N/A")</f>
        <v>#N/A</v>
      </c>
    </row>
    <row r="106">
      <c r="C106" s="4" t="s">
        <v>1747</v>
      </c>
      <c r="D106" s="4" t="str">
        <f t="shared" si="1"/>
        <v>{"valorA":"ar condicionado","valorB":30}</v>
      </c>
      <c r="E106" s="8" t="str">
        <f t="shared" si="2"/>
        <v>ar condicionado</v>
      </c>
      <c r="F106" s="8"/>
      <c r="G106" s="8" t="str">
        <f t="shared" si="3"/>
        <v>30</v>
      </c>
      <c r="H106" s="9">
        <f t="shared" si="4"/>
        <v>30</v>
      </c>
      <c r="I106" s="6" t="str">
        <f>IFERROR(__xludf.DUMMYFUNCTION("MAX(FILTER($H:$H,$E:$E=F106))"),"#N/A")</f>
        <v>#N/A</v>
      </c>
    </row>
    <row r="107">
      <c r="C107" s="4" t="s">
        <v>1749</v>
      </c>
      <c r="D107" s="4" t="str">
        <f t="shared" si="1"/>
        <v>{"valorA":"ar condicionado","valorB":31}</v>
      </c>
      <c r="E107" s="8" t="str">
        <f t="shared" si="2"/>
        <v>ar condicionado</v>
      </c>
      <c r="F107" s="8"/>
      <c r="G107" s="8" t="str">
        <f t="shared" si="3"/>
        <v>31</v>
      </c>
      <c r="H107" s="9">
        <f t="shared" si="4"/>
        <v>31</v>
      </c>
      <c r="I107" s="6" t="str">
        <f>IFERROR(__xludf.DUMMYFUNCTION("MAX(FILTER($H:$H,$E:$E=F107))"),"#N/A")</f>
        <v>#N/A</v>
      </c>
    </row>
    <row r="108">
      <c r="C108" s="4" t="s">
        <v>1754</v>
      </c>
      <c r="D108" s="4" t="str">
        <f t="shared" si="1"/>
        <v>{"valorA":"ar condicionado","valorB":32}</v>
      </c>
      <c r="E108" s="8" t="str">
        <f t="shared" si="2"/>
        <v>ar condicionado</v>
      </c>
      <c r="F108" s="8"/>
      <c r="G108" s="8" t="str">
        <f t="shared" si="3"/>
        <v>32</v>
      </c>
      <c r="H108" s="9">
        <f t="shared" si="4"/>
        <v>32</v>
      </c>
      <c r="I108" s="6" t="str">
        <f>IFERROR(__xludf.DUMMYFUNCTION("MAX(FILTER($H:$H,$E:$E=F108))"),"#N/A")</f>
        <v>#N/A</v>
      </c>
    </row>
    <row r="109">
      <c r="C109" s="4" t="s">
        <v>1755</v>
      </c>
      <c r="D109" s="4" t="str">
        <f t="shared" si="1"/>
        <v>{"valorA":"ar condicionado","valorB":33}</v>
      </c>
      <c r="E109" s="8" t="str">
        <f t="shared" si="2"/>
        <v>ar condicionado</v>
      </c>
      <c r="F109" s="8"/>
      <c r="G109" s="8" t="str">
        <f t="shared" si="3"/>
        <v>33</v>
      </c>
      <c r="H109" s="9">
        <f t="shared" si="4"/>
        <v>33</v>
      </c>
      <c r="I109" s="6" t="str">
        <f>IFERROR(__xludf.DUMMYFUNCTION("MAX(FILTER($H:$H,$E:$E=F109))"),"#N/A")</f>
        <v>#N/A</v>
      </c>
    </row>
    <row r="110">
      <c r="C110" s="4" t="s">
        <v>1773</v>
      </c>
      <c r="D110" s="4" t="str">
        <f t="shared" si="1"/>
        <v>{"valorA":"microondas","valorB":39}</v>
      </c>
      <c r="E110" s="8" t="str">
        <f t="shared" si="2"/>
        <v>microondas</v>
      </c>
      <c r="F110" s="8"/>
      <c r="G110" s="8" t="str">
        <f t="shared" si="3"/>
        <v>39</v>
      </c>
      <c r="H110" s="9">
        <f t="shared" si="4"/>
        <v>39</v>
      </c>
      <c r="I110" s="6" t="str">
        <f>IFERROR(__xludf.DUMMYFUNCTION("MAX(FILTER($H:$H,$E:$E=F110))"),"#N/A")</f>
        <v>#N/A</v>
      </c>
    </row>
    <row r="111">
      <c r="C111" s="4" t="s">
        <v>1781</v>
      </c>
      <c r="D111" s="4" t="str">
        <f t="shared" si="1"/>
        <v>{"valorA":"freezer","valorB":38}</v>
      </c>
      <c r="E111" s="8" t="str">
        <f t="shared" si="2"/>
        <v>freezer</v>
      </c>
      <c r="F111" s="8"/>
      <c r="G111" s="8" t="str">
        <f t="shared" si="3"/>
        <v>38</v>
      </c>
      <c r="H111" s="9">
        <f t="shared" si="4"/>
        <v>38</v>
      </c>
      <c r="I111" s="6" t="str">
        <f>IFERROR(__xludf.DUMMYFUNCTION("MAX(FILTER($H:$H,$E:$E=F111))"),"#N/A")</f>
        <v>#N/A</v>
      </c>
    </row>
    <row r="112">
      <c r="C112" s="4" t="s">
        <v>1782</v>
      </c>
      <c r="D112" s="4" t="str">
        <f t="shared" si="1"/>
        <v>{"valorA":"freezer","valorB":39}</v>
      </c>
      <c r="E112" s="8" t="str">
        <f t="shared" si="2"/>
        <v>freezer</v>
      </c>
      <c r="F112" s="8"/>
      <c r="G112" s="8" t="str">
        <f t="shared" si="3"/>
        <v>39</v>
      </c>
      <c r="H112" s="9">
        <f t="shared" si="4"/>
        <v>39</v>
      </c>
      <c r="I112" s="6" t="str">
        <f>IFERROR(__xludf.DUMMYFUNCTION("MAX(FILTER($H:$H,$E:$E=F112))"),"#N/A")</f>
        <v>#N/A</v>
      </c>
    </row>
    <row r="113">
      <c r="C113" s="4" t="s">
        <v>1775</v>
      </c>
      <c r="D113" s="4" t="str">
        <f t="shared" si="1"/>
        <v>{"valorA":"microondas","valorB":40}</v>
      </c>
      <c r="E113" s="8" t="str">
        <f t="shared" si="2"/>
        <v>microondas</v>
      </c>
      <c r="F113" s="8"/>
      <c r="G113" s="8" t="str">
        <f t="shared" si="3"/>
        <v>40</v>
      </c>
      <c r="H113" s="9">
        <f t="shared" si="4"/>
        <v>40</v>
      </c>
      <c r="I113" s="6" t="str">
        <f>IFERROR(__xludf.DUMMYFUNCTION("MAX(FILTER($H:$H,$E:$E=F113))"),"#N/A")</f>
        <v>#N/A</v>
      </c>
    </row>
    <row r="114">
      <c r="C114" s="4" t="s">
        <v>1777</v>
      </c>
      <c r="D114" s="4" t="str">
        <f t="shared" si="1"/>
        <v>{"valorA":"microondas","valorB":41}</v>
      </c>
      <c r="E114" s="8" t="str">
        <f t="shared" si="2"/>
        <v>microondas</v>
      </c>
      <c r="F114" s="8"/>
      <c r="G114" s="8" t="str">
        <f t="shared" si="3"/>
        <v>41</v>
      </c>
      <c r="H114" s="9">
        <f t="shared" si="4"/>
        <v>41</v>
      </c>
      <c r="I114" s="6" t="str">
        <f>IFERROR(__xludf.DUMMYFUNCTION("MAX(FILTER($H:$H,$E:$E=F114))"),"#N/A")</f>
        <v>#N/A</v>
      </c>
    </row>
    <row r="115">
      <c r="C115" s="4" t="s">
        <v>1757</v>
      </c>
      <c r="D115" s="4" t="str">
        <f t="shared" si="1"/>
        <v>{"valorA":"ar condicionado","valorB":34}</v>
      </c>
      <c r="E115" s="8" t="str">
        <f t="shared" si="2"/>
        <v>ar condicionado</v>
      </c>
      <c r="F115" s="8"/>
      <c r="G115" s="8" t="str">
        <f t="shared" si="3"/>
        <v>34</v>
      </c>
      <c r="H115" s="9">
        <f t="shared" si="4"/>
        <v>34</v>
      </c>
      <c r="I115" s="6" t="str">
        <f>IFERROR(__xludf.DUMMYFUNCTION("MAX(FILTER($H:$H,$E:$E=F115))"),"#N/A")</f>
        <v>#N/A</v>
      </c>
    </row>
    <row r="116">
      <c r="C116" s="4" t="s">
        <v>1760</v>
      </c>
      <c r="D116" s="4" t="str">
        <f t="shared" si="1"/>
        <v>{"valorA":"ar condicionado","valorB":35}</v>
      </c>
      <c r="E116" s="8" t="str">
        <f t="shared" si="2"/>
        <v>ar condicionado</v>
      </c>
      <c r="F116" s="8"/>
      <c r="G116" s="8" t="str">
        <f t="shared" si="3"/>
        <v>35</v>
      </c>
      <c r="H116" s="9">
        <f t="shared" si="4"/>
        <v>35</v>
      </c>
      <c r="I116" s="6" t="str">
        <f>IFERROR(__xludf.DUMMYFUNCTION("MAX(FILTER($H:$H,$E:$E=F116))"),"#N/A")</f>
        <v>#N/A</v>
      </c>
    </row>
    <row r="117">
      <c r="C117" s="4" t="s">
        <v>1783</v>
      </c>
      <c r="D117" s="4" t="str">
        <f t="shared" si="1"/>
        <v>{"valorA":"freezer","valorB":40}</v>
      </c>
      <c r="E117" s="8" t="str">
        <f t="shared" si="2"/>
        <v>freezer</v>
      </c>
      <c r="F117" s="8"/>
      <c r="G117" s="8" t="str">
        <f t="shared" si="3"/>
        <v>40</v>
      </c>
      <c r="H117" s="9">
        <f t="shared" si="4"/>
        <v>40</v>
      </c>
      <c r="I117" s="6" t="str">
        <f>IFERROR(__xludf.DUMMYFUNCTION("MAX(FILTER($H:$H,$E:$E=F117))"),"#N/A")</f>
        <v>#N/A</v>
      </c>
    </row>
    <row r="118">
      <c r="C118" s="4" t="s">
        <v>1784</v>
      </c>
      <c r="D118" s="4" t="str">
        <f t="shared" si="1"/>
        <v>{"valorA":"freezer","valorB":41}</v>
      </c>
      <c r="E118" s="8" t="str">
        <f t="shared" si="2"/>
        <v>freezer</v>
      </c>
      <c r="F118" s="8"/>
      <c r="G118" s="8" t="str">
        <f t="shared" si="3"/>
        <v>41</v>
      </c>
      <c r="H118" s="9">
        <f t="shared" si="4"/>
        <v>41</v>
      </c>
      <c r="I118" s="6" t="str">
        <f>IFERROR(__xludf.DUMMYFUNCTION("MAX(FILTER($H:$H,$E:$E=F118))"),"#N/A")</f>
        <v>#N/A</v>
      </c>
    </row>
    <row r="119">
      <c r="C119" s="4" t="s">
        <v>1790</v>
      </c>
      <c r="D119" s="4" t="str">
        <f t="shared" si="1"/>
        <v>{"valorA":"freezer","valorB":42}</v>
      </c>
      <c r="E119" s="8" t="str">
        <f t="shared" si="2"/>
        <v>freezer</v>
      </c>
      <c r="F119" s="8"/>
      <c r="G119" s="8" t="str">
        <f t="shared" si="3"/>
        <v>42</v>
      </c>
      <c r="H119" s="9">
        <f t="shared" si="4"/>
        <v>42</v>
      </c>
      <c r="I119" s="6" t="str">
        <f>IFERROR(__xludf.DUMMYFUNCTION("MAX(FILTER($H:$H,$E:$E=F119))"),"#N/A")</f>
        <v>#N/A</v>
      </c>
    </row>
    <row r="120">
      <c r="C120" s="4" t="s">
        <v>1761</v>
      </c>
      <c r="D120" s="4" t="str">
        <f t="shared" si="1"/>
        <v>{"valorA":"ar condicionado","valorB":36}</v>
      </c>
      <c r="E120" s="8" t="str">
        <f t="shared" si="2"/>
        <v>ar condicionado</v>
      </c>
      <c r="F120" s="8"/>
      <c r="G120" s="8" t="str">
        <f t="shared" si="3"/>
        <v>36</v>
      </c>
      <c r="H120" s="9">
        <f t="shared" si="4"/>
        <v>36</v>
      </c>
      <c r="I120" s="6" t="str">
        <f>IFERROR(__xludf.DUMMYFUNCTION("MAX(FILTER($H:$H,$E:$E=F120))"),"#N/A")</f>
        <v>#N/A</v>
      </c>
    </row>
    <row r="121">
      <c r="C121" s="4" t="s">
        <v>1792</v>
      </c>
      <c r="D121" s="4" t="str">
        <f t="shared" si="1"/>
        <v>{"valorA":"freezer","valorB":43}</v>
      </c>
      <c r="E121" s="8" t="str">
        <f t="shared" si="2"/>
        <v>freezer</v>
      </c>
      <c r="F121" s="8"/>
      <c r="G121" s="8" t="str">
        <f t="shared" si="3"/>
        <v>43</v>
      </c>
      <c r="H121" s="9">
        <f t="shared" si="4"/>
        <v>43</v>
      </c>
      <c r="I121" s="6" t="str">
        <f>IFERROR(__xludf.DUMMYFUNCTION("MAX(FILTER($H:$H,$E:$E=F121))"),"#N/A")</f>
        <v>#N/A</v>
      </c>
    </row>
    <row r="122">
      <c r="C122" s="4" t="s">
        <v>1763</v>
      </c>
      <c r="D122" s="4" t="str">
        <f t="shared" si="1"/>
        <v>{"valorA":"ar condicionado","valorB":37}</v>
      </c>
      <c r="E122" s="8" t="str">
        <f t="shared" si="2"/>
        <v>ar condicionado</v>
      </c>
      <c r="F122" s="8"/>
      <c r="G122" s="8" t="str">
        <f t="shared" si="3"/>
        <v>37</v>
      </c>
      <c r="H122" s="9">
        <f t="shared" si="4"/>
        <v>37</v>
      </c>
      <c r="I122" s="6" t="str">
        <f>IFERROR(__xludf.DUMMYFUNCTION("MAX(FILTER($H:$H,$E:$E=F122))"),"#N/A")</f>
        <v>#N/A</v>
      </c>
    </row>
    <row r="123">
      <c r="C123" s="4" t="s">
        <v>1764</v>
      </c>
      <c r="D123" s="4" t="str">
        <f t="shared" si="1"/>
        <v>{"valorA":"ar condicionado","valorB":38}</v>
      </c>
      <c r="E123" s="8" t="str">
        <f t="shared" si="2"/>
        <v>ar condicionado</v>
      </c>
      <c r="F123" s="8"/>
      <c r="G123" s="8" t="str">
        <f t="shared" si="3"/>
        <v>38</v>
      </c>
      <c r="H123" s="9">
        <f t="shared" si="4"/>
        <v>38</v>
      </c>
      <c r="I123" s="6" t="str">
        <f>IFERROR(__xludf.DUMMYFUNCTION("MAX(FILTER($H:$H,$E:$E=F123))"),"#N/A")</f>
        <v>#N/A</v>
      </c>
    </row>
    <row r="124">
      <c r="C124" s="4" t="s">
        <v>1765</v>
      </c>
      <c r="D124" s="4" t="str">
        <f t="shared" si="1"/>
        <v>{"valorA":"ar condicionado","valorB":39}</v>
      </c>
      <c r="E124" s="8" t="str">
        <f t="shared" si="2"/>
        <v>ar condicionado</v>
      </c>
      <c r="F124" s="8"/>
      <c r="G124" s="8" t="str">
        <f t="shared" si="3"/>
        <v>39</v>
      </c>
      <c r="H124" s="9">
        <f t="shared" si="4"/>
        <v>39</v>
      </c>
      <c r="I124" s="6" t="str">
        <f>IFERROR(__xludf.DUMMYFUNCTION("MAX(FILTER($H:$H,$E:$E=F124))"),"#N/A")</f>
        <v>#N/A</v>
      </c>
    </row>
    <row r="125">
      <c r="C125" s="4" t="s">
        <v>1785</v>
      </c>
      <c r="D125" s="4" t="str">
        <f t="shared" si="1"/>
        <v>{"valorA":"microondas","valorB":42}</v>
      </c>
      <c r="E125" s="8" t="str">
        <f t="shared" si="2"/>
        <v>microondas</v>
      </c>
      <c r="F125" s="8"/>
      <c r="G125" s="8" t="str">
        <f t="shared" si="3"/>
        <v>42</v>
      </c>
      <c r="H125" s="9">
        <f t="shared" si="4"/>
        <v>42</v>
      </c>
      <c r="I125" s="6" t="str">
        <f>IFERROR(__xludf.DUMMYFUNCTION("MAX(FILTER($H:$H,$E:$E=F125))"),"#N/A")</f>
        <v>#N/A</v>
      </c>
    </row>
    <row r="126">
      <c r="C126" s="4" t="s">
        <v>1767</v>
      </c>
      <c r="D126" s="4" t="str">
        <f t="shared" si="1"/>
        <v>{"valorA":"ar condicionado","valorB":40}</v>
      </c>
      <c r="E126" s="8" t="str">
        <f t="shared" si="2"/>
        <v>ar condicionado</v>
      </c>
      <c r="F126" s="8"/>
      <c r="G126" s="8" t="str">
        <f t="shared" si="3"/>
        <v>40</v>
      </c>
      <c r="H126" s="9">
        <f t="shared" si="4"/>
        <v>40</v>
      </c>
      <c r="I126" s="6" t="str">
        <f>IFERROR(__xludf.DUMMYFUNCTION("MAX(FILTER($H:$H,$E:$E=F126))"),"#N/A")</f>
        <v>#N/A</v>
      </c>
    </row>
    <row r="127">
      <c r="C127" s="4" t="s">
        <v>1786</v>
      </c>
      <c r="D127" s="4" t="str">
        <f t="shared" si="1"/>
        <v>{"valorA":"microondas","valorB":43}</v>
      </c>
      <c r="E127" s="8" t="str">
        <f t="shared" si="2"/>
        <v>microondas</v>
      </c>
      <c r="F127" s="8"/>
      <c r="G127" s="8" t="str">
        <f t="shared" si="3"/>
        <v>43</v>
      </c>
      <c r="H127" s="9">
        <f t="shared" si="4"/>
        <v>43</v>
      </c>
      <c r="I127" s="6" t="str">
        <f>IFERROR(__xludf.DUMMYFUNCTION("MAX(FILTER($H:$H,$E:$E=F127))"),"#N/A")</f>
        <v>#N/A</v>
      </c>
    </row>
    <row r="128">
      <c r="C128" s="4" t="s">
        <v>1787</v>
      </c>
      <c r="D128" s="4" t="str">
        <f t="shared" si="1"/>
        <v>{"valorA":"microondas","valorB":44}</v>
      </c>
      <c r="E128" s="8" t="str">
        <f t="shared" si="2"/>
        <v>microondas</v>
      </c>
      <c r="F128" s="8"/>
      <c r="G128" s="8" t="str">
        <f t="shared" si="3"/>
        <v>44</v>
      </c>
      <c r="H128" s="9">
        <f t="shared" si="4"/>
        <v>44</v>
      </c>
      <c r="I128" s="6" t="str">
        <f>IFERROR(__xludf.DUMMYFUNCTION("MAX(FILTER($H:$H,$E:$E=F128))"),"#N/A")</f>
        <v>#N/A</v>
      </c>
    </row>
    <row r="129">
      <c r="C129" s="4" t="s">
        <v>1769</v>
      </c>
      <c r="D129" s="4" t="str">
        <f t="shared" si="1"/>
        <v>{"valorA":"ar condicionado","valorB":41}</v>
      </c>
      <c r="E129" s="8" t="str">
        <f t="shared" si="2"/>
        <v>ar condicionado</v>
      </c>
      <c r="F129" s="8"/>
      <c r="G129" s="8" t="str">
        <f t="shared" si="3"/>
        <v>41</v>
      </c>
      <c r="H129" s="9">
        <f t="shared" si="4"/>
        <v>41</v>
      </c>
      <c r="I129" s="6" t="str">
        <f>IFERROR(__xludf.DUMMYFUNCTION("MAX(FILTER($H:$H,$E:$E=F129))"),"#N/A")</f>
        <v>#N/A</v>
      </c>
    </row>
    <row r="130">
      <c r="C130" s="4" t="s">
        <v>1788</v>
      </c>
      <c r="D130" s="4" t="str">
        <f t="shared" si="1"/>
        <v>{"valorA":"microondas","valorB":45}</v>
      </c>
      <c r="E130" s="8" t="str">
        <f t="shared" si="2"/>
        <v>microondas</v>
      </c>
      <c r="F130" s="8"/>
      <c r="G130" s="8" t="str">
        <f t="shared" si="3"/>
        <v>45</v>
      </c>
      <c r="H130" s="9">
        <f t="shared" si="4"/>
        <v>45</v>
      </c>
      <c r="I130" s="6" t="str">
        <f>IFERROR(__xludf.DUMMYFUNCTION("MAX(FILTER($H:$H,$E:$E=F130))"),"#N/A")</f>
        <v>#N/A</v>
      </c>
    </row>
    <row r="131">
      <c r="C131" s="4" t="s">
        <v>1774</v>
      </c>
      <c r="D131" s="4" t="str">
        <f t="shared" si="1"/>
        <v>{"valorA":"ar condicionado","valorB":42}</v>
      </c>
      <c r="E131" s="8" t="str">
        <f t="shared" si="2"/>
        <v>ar condicionado</v>
      </c>
      <c r="F131" s="8"/>
      <c r="G131" s="8" t="str">
        <f t="shared" si="3"/>
        <v>42</v>
      </c>
      <c r="H131" s="9">
        <f t="shared" si="4"/>
        <v>42</v>
      </c>
      <c r="I131" s="6" t="str">
        <f>IFERROR(__xludf.DUMMYFUNCTION("MAX(FILTER($H:$H,$E:$E=F131))"),"#N/A")</f>
        <v>#N/A</v>
      </c>
    </row>
    <row r="132">
      <c r="C132" s="4" t="s">
        <v>1776</v>
      </c>
      <c r="D132" s="4" t="str">
        <f t="shared" si="1"/>
        <v>{"valorA":"ar condicionado","valorB":43}</v>
      </c>
      <c r="E132" s="8" t="str">
        <f t="shared" si="2"/>
        <v>ar condicionado</v>
      </c>
      <c r="F132" s="8"/>
      <c r="G132" s="8" t="str">
        <f t="shared" si="3"/>
        <v>43</v>
      </c>
      <c r="H132" s="9">
        <f t="shared" si="4"/>
        <v>43</v>
      </c>
      <c r="I132" s="6" t="str">
        <f>IFERROR(__xludf.DUMMYFUNCTION("MAX(FILTER($H:$H,$E:$E=F132))"),"#N/A")</f>
        <v>#N/A</v>
      </c>
    </row>
    <row r="133">
      <c r="C133" s="4" t="s">
        <v>1797</v>
      </c>
      <c r="D133" s="4" t="str">
        <f t="shared" si="1"/>
        <v>{"valorA":"microondas","valorB":46}</v>
      </c>
      <c r="E133" s="8" t="str">
        <f t="shared" si="2"/>
        <v>microondas</v>
      </c>
      <c r="F133" s="8"/>
      <c r="G133" s="8" t="str">
        <f t="shared" si="3"/>
        <v>46</v>
      </c>
      <c r="H133" s="9">
        <f t="shared" si="4"/>
        <v>46</v>
      </c>
      <c r="I133" s="6" t="str">
        <f>IFERROR(__xludf.DUMMYFUNCTION("MAX(FILTER($H:$H,$E:$E=F133))"),"#N/A")</f>
        <v>#N/A</v>
      </c>
    </row>
    <row r="134">
      <c r="C134" s="4" t="s">
        <v>1793</v>
      </c>
      <c r="D134" s="4" t="str">
        <f t="shared" si="1"/>
        <v>{"valorA":"freezer","valorB":44}</v>
      </c>
      <c r="E134" s="8" t="str">
        <f t="shared" si="2"/>
        <v>freezer</v>
      </c>
      <c r="F134" s="8"/>
      <c r="G134" s="8" t="str">
        <f t="shared" si="3"/>
        <v>44</v>
      </c>
      <c r="H134" s="9">
        <f t="shared" si="4"/>
        <v>44</v>
      </c>
      <c r="I134" s="6" t="str">
        <f>IFERROR(__xludf.DUMMYFUNCTION("MAX(FILTER($H:$H,$E:$E=F134))"),"#N/A")</f>
        <v>#N/A</v>
      </c>
    </row>
    <row r="135">
      <c r="C135" s="4" t="s">
        <v>1799</v>
      </c>
      <c r="D135" s="4" t="str">
        <f t="shared" si="1"/>
        <v>{"valorA":"microondas","valorB":47}</v>
      </c>
      <c r="E135" s="8" t="str">
        <f t="shared" si="2"/>
        <v>microondas</v>
      </c>
      <c r="F135" s="8"/>
      <c r="G135" s="8" t="str">
        <f t="shared" si="3"/>
        <v>47</v>
      </c>
      <c r="H135" s="9">
        <f t="shared" si="4"/>
        <v>47</v>
      </c>
      <c r="I135" s="6" t="str">
        <f>IFERROR(__xludf.DUMMYFUNCTION("MAX(FILTER($H:$H,$E:$E=F135))"),"#N/A")</f>
        <v>#N/A</v>
      </c>
    </row>
    <row r="136">
      <c r="C136" s="4" t="s">
        <v>1778</v>
      </c>
      <c r="D136" s="4" t="str">
        <f t="shared" si="1"/>
        <v>{"valorA":"ar condicionado","valorB":44}</v>
      </c>
      <c r="E136" s="8" t="str">
        <f t="shared" si="2"/>
        <v>ar condicionado</v>
      </c>
      <c r="F136" s="8"/>
      <c r="G136" s="8" t="str">
        <f t="shared" si="3"/>
        <v>44</v>
      </c>
      <c r="H136" s="9">
        <f t="shared" si="4"/>
        <v>44</v>
      </c>
      <c r="I136" s="6" t="str">
        <f>IFERROR(__xludf.DUMMYFUNCTION("MAX(FILTER($H:$H,$E:$E=F136))"),"#N/A")</f>
        <v>#N/A</v>
      </c>
    </row>
    <row r="137">
      <c r="C137" s="4" t="s">
        <v>1806</v>
      </c>
      <c r="D137" s="4" t="str">
        <f t="shared" si="1"/>
        <v>{"valorA":"microondas","valorB":48}</v>
      </c>
      <c r="E137" s="8" t="str">
        <f t="shared" si="2"/>
        <v>microondas</v>
      </c>
      <c r="F137" s="8"/>
      <c r="G137" s="8" t="str">
        <f t="shared" si="3"/>
        <v>48</v>
      </c>
      <c r="H137" s="9">
        <f t="shared" si="4"/>
        <v>48</v>
      </c>
      <c r="I137" s="6" t="str">
        <f>IFERROR(__xludf.DUMMYFUNCTION("MAX(FILTER($H:$H,$E:$E=F137))"),"#N/A")</f>
        <v>#N/A</v>
      </c>
    </row>
    <row r="138">
      <c r="C138" s="4" t="s">
        <v>1807</v>
      </c>
      <c r="D138" s="4" t="str">
        <f t="shared" si="1"/>
        <v>{"valorA":"microondas","valorB":49}</v>
      </c>
      <c r="E138" s="8" t="str">
        <f t="shared" si="2"/>
        <v>microondas</v>
      </c>
      <c r="F138" s="8"/>
      <c r="G138" s="8" t="str">
        <f t="shared" si="3"/>
        <v>49</v>
      </c>
      <c r="H138" s="9">
        <f t="shared" si="4"/>
        <v>49</v>
      </c>
      <c r="I138" s="6" t="str">
        <f>IFERROR(__xludf.DUMMYFUNCTION("MAX(FILTER($H:$H,$E:$E=F138))"),"#N/A")</f>
        <v>#N/A</v>
      </c>
    </row>
    <row r="139">
      <c r="C139" s="4" t="s">
        <v>1808</v>
      </c>
      <c r="D139" s="4" t="str">
        <f t="shared" si="1"/>
        <v>{"valorA":"microondas","valorB":50}</v>
      </c>
      <c r="E139" s="8" t="str">
        <f t="shared" si="2"/>
        <v>microondas</v>
      </c>
      <c r="F139" s="8"/>
      <c r="G139" s="8" t="str">
        <f t="shared" si="3"/>
        <v>50</v>
      </c>
      <c r="H139" s="9">
        <f t="shared" si="4"/>
        <v>50</v>
      </c>
      <c r="I139" s="6" t="str">
        <f>IFERROR(__xludf.DUMMYFUNCTION("MAX(FILTER($H:$H,$E:$E=F139))"),"#N/A")</f>
        <v>#N/A</v>
      </c>
    </row>
    <row r="140">
      <c r="C140" s="4" t="s">
        <v>1795</v>
      </c>
      <c r="D140" s="4" t="str">
        <f t="shared" si="1"/>
        <v>{"valorA":"freezer","valorB":45}</v>
      </c>
      <c r="E140" s="8" t="str">
        <f t="shared" si="2"/>
        <v>freezer</v>
      </c>
      <c r="F140" s="8"/>
      <c r="G140" s="8" t="str">
        <f t="shared" si="3"/>
        <v>45</v>
      </c>
      <c r="H140" s="9">
        <f t="shared" si="4"/>
        <v>45</v>
      </c>
      <c r="I140" s="6" t="str">
        <f>IFERROR(__xludf.DUMMYFUNCTION("MAX(FILTER($H:$H,$E:$E=F140))"),"#N/A")</f>
        <v>#N/A</v>
      </c>
    </row>
    <row r="141">
      <c r="C141" s="4" t="s">
        <v>1796</v>
      </c>
      <c r="D141" s="4" t="str">
        <f t="shared" si="1"/>
        <v>{"valorA":"freezer","valorB":46}</v>
      </c>
      <c r="E141" s="8" t="str">
        <f t="shared" si="2"/>
        <v>freezer</v>
      </c>
      <c r="F141" s="8"/>
      <c r="G141" s="8" t="str">
        <f t="shared" si="3"/>
        <v>46</v>
      </c>
      <c r="H141" s="9">
        <f t="shared" si="4"/>
        <v>46</v>
      </c>
      <c r="I141" s="6" t="str">
        <f>IFERROR(__xludf.DUMMYFUNCTION("MAX(FILTER($H:$H,$E:$E=F141))"),"#N/A")</f>
        <v>#N/A</v>
      </c>
    </row>
    <row r="142">
      <c r="C142" s="4" t="s">
        <v>1801</v>
      </c>
      <c r="D142" s="4" t="str">
        <f t="shared" si="1"/>
        <v>{"valorA":"freezer","valorB":47}</v>
      </c>
      <c r="E142" s="8" t="str">
        <f t="shared" si="2"/>
        <v>freezer</v>
      </c>
      <c r="F142" s="8"/>
      <c r="G142" s="8" t="str">
        <f t="shared" si="3"/>
        <v>47</v>
      </c>
      <c r="H142" s="9">
        <f t="shared" si="4"/>
        <v>47</v>
      </c>
      <c r="I142" s="6" t="str">
        <f>IFERROR(__xludf.DUMMYFUNCTION("MAX(FILTER($H:$H,$E:$E=F142))"),"#N/A")</f>
        <v>#N/A</v>
      </c>
    </row>
    <row r="143">
      <c r="C143" s="4" t="s">
        <v>1811</v>
      </c>
      <c r="D143" s="4" t="str">
        <f t="shared" si="1"/>
        <v>{"valorA":"microondas","valorB":51}</v>
      </c>
      <c r="E143" s="8" t="str">
        <f t="shared" si="2"/>
        <v>microondas</v>
      </c>
      <c r="F143" s="8"/>
      <c r="G143" s="8" t="str">
        <f t="shared" si="3"/>
        <v>51</v>
      </c>
      <c r="H143" s="9">
        <f t="shared" si="4"/>
        <v>51</v>
      </c>
      <c r="I143" s="6" t="str">
        <f>IFERROR(__xludf.DUMMYFUNCTION("MAX(FILTER($H:$H,$E:$E=F143))"),"#N/A")</f>
        <v>#N/A</v>
      </c>
    </row>
    <row r="144">
      <c r="C144" s="4" t="s">
        <v>1804</v>
      </c>
      <c r="D144" s="4" t="str">
        <f t="shared" si="1"/>
        <v>{"valorA":"freezer","valorB":48}</v>
      </c>
      <c r="E144" s="8" t="str">
        <f t="shared" si="2"/>
        <v>freezer</v>
      </c>
      <c r="F144" s="8"/>
      <c r="G144" s="8" t="str">
        <f t="shared" si="3"/>
        <v>48</v>
      </c>
      <c r="H144" s="9">
        <f t="shared" si="4"/>
        <v>48</v>
      </c>
      <c r="I144" s="6" t="str">
        <f>IFERROR(__xludf.DUMMYFUNCTION("MAX(FILTER($H:$H,$E:$E=F144))"),"#N/A")</f>
        <v>#N/A</v>
      </c>
    </row>
    <row r="145">
      <c r="C145" s="4" t="s">
        <v>1815</v>
      </c>
      <c r="D145" s="4" t="str">
        <f t="shared" si="1"/>
        <v>{"valorA":"microondas","valorB":52}</v>
      </c>
      <c r="E145" s="8" t="str">
        <f t="shared" si="2"/>
        <v>microondas</v>
      </c>
      <c r="F145" s="8"/>
      <c r="G145" s="8" t="str">
        <f t="shared" si="3"/>
        <v>52</v>
      </c>
      <c r="H145" s="9">
        <f t="shared" si="4"/>
        <v>52</v>
      </c>
      <c r="I145" s="6" t="str">
        <f>IFERROR(__xludf.DUMMYFUNCTION("MAX(FILTER($H:$H,$E:$E=F145))"),"#N/A")</f>
        <v>#N/A</v>
      </c>
    </row>
    <row r="146">
      <c r="C146" s="4" t="s">
        <v>1780</v>
      </c>
      <c r="D146" s="4" t="str">
        <f t="shared" si="1"/>
        <v>{"valorA":"ar condicionado","valorB":45}</v>
      </c>
      <c r="E146" s="8" t="str">
        <f t="shared" si="2"/>
        <v>ar condicionado</v>
      </c>
      <c r="F146" s="8"/>
      <c r="G146" s="8" t="str">
        <f t="shared" si="3"/>
        <v>45</v>
      </c>
      <c r="H146" s="9">
        <f t="shared" si="4"/>
        <v>45</v>
      </c>
      <c r="I146" s="6" t="str">
        <f>IFERROR(__xludf.DUMMYFUNCTION("MAX(FILTER($H:$H,$E:$E=F146))"),"#N/A")</f>
        <v>#N/A</v>
      </c>
    </row>
    <row r="147">
      <c r="C147" s="4" t="s">
        <v>1805</v>
      </c>
      <c r="D147" s="4" t="str">
        <f t="shared" si="1"/>
        <v>{"valorA":"freezer","valorB":49}</v>
      </c>
      <c r="E147" s="8" t="str">
        <f t="shared" si="2"/>
        <v>freezer</v>
      </c>
      <c r="F147" s="8"/>
      <c r="G147" s="8" t="str">
        <f t="shared" si="3"/>
        <v>49</v>
      </c>
      <c r="H147" s="9">
        <f t="shared" si="4"/>
        <v>49</v>
      </c>
      <c r="I147" s="6" t="str">
        <f>IFERROR(__xludf.DUMMYFUNCTION("MAX(FILTER($H:$H,$E:$E=F147))"),"#N/A")</f>
        <v>#N/A</v>
      </c>
    </row>
    <row r="148">
      <c r="C148" s="4" t="s">
        <v>1819</v>
      </c>
      <c r="D148" s="4" t="str">
        <f t="shared" si="1"/>
        <v>{"valorA":"microondas","valorB":53}</v>
      </c>
      <c r="E148" s="8" t="str">
        <f t="shared" si="2"/>
        <v>microondas</v>
      </c>
      <c r="F148" s="8"/>
      <c r="G148" s="8" t="str">
        <f t="shared" si="3"/>
        <v>53</v>
      </c>
      <c r="H148" s="9">
        <f t="shared" si="4"/>
        <v>53</v>
      </c>
      <c r="I148" s="6" t="str">
        <f>IFERROR(__xludf.DUMMYFUNCTION("MAX(FILTER($H:$H,$E:$E=F148))"),"#N/A")</f>
        <v>#N/A</v>
      </c>
    </row>
    <row r="149">
      <c r="C149" s="4" t="s">
        <v>1789</v>
      </c>
      <c r="D149" s="4" t="str">
        <f t="shared" si="1"/>
        <v>{"valorA":"ar condicionado","valorB":46}</v>
      </c>
      <c r="E149" s="8" t="str">
        <f t="shared" si="2"/>
        <v>ar condicionado</v>
      </c>
      <c r="F149" s="8"/>
      <c r="G149" s="8" t="str">
        <f t="shared" si="3"/>
        <v>46</v>
      </c>
      <c r="H149" s="9">
        <f t="shared" si="4"/>
        <v>46</v>
      </c>
      <c r="I149" s="6" t="str">
        <f>IFERROR(__xludf.DUMMYFUNCTION("MAX(FILTER($H:$H,$E:$E=F149))"),"#N/A")</f>
        <v>#N/A</v>
      </c>
    </row>
    <row r="150">
      <c r="C150" s="4" t="s">
        <v>1791</v>
      </c>
      <c r="D150" s="4" t="str">
        <f t="shared" si="1"/>
        <v>{"valorA":"ar condicionado","valorB":47}</v>
      </c>
      <c r="E150" s="8" t="str">
        <f t="shared" si="2"/>
        <v>ar condicionado</v>
      </c>
      <c r="F150" s="8"/>
      <c r="G150" s="8" t="str">
        <f t="shared" si="3"/>
        <v>47</v>
      </c>
      <c r="H150" s="9">
        <f t="shared" si="4"/>
        <v>47</v>
      </c>
      <c r="I150" s="6" t="str">
        <f>IFERROR(__xludf.DUMMYFUNCTION("MAX(FILTER($H:$H,$E:$E=F150))"),"#N/A")</f>
        <v>#N/A</v>
      </c>
    </row>
    <row r="151">
      <c r="C151" s="4" t="s">
        <v>1810</v>
      </c>
      <c r="D151" s="4" t="str">
        <f t="shared" si="1"/>
        <v>{"valorA":"freezer","valorB":50}</v>
      </c>
      <c r="E151" s="8" t="str">
        <f t="shared" si="2"/>
        <v>freezer</v>
      </c>
      <c r="F151" s="8"/>
      <c r="G151" s="8" t="str">
        <f t="shared" si="3"/>
        <v>50</v>
      </c>
      <c r="H151" s="9">
        <f t="shared" si="4"/>
        <v>50</v>
      </c>
      <c r="I151" s="6" t="str">
        <f>IFERROR(__xludf.DUMMYFUNCTION("MAX(FILTER($H:$H,$E:$E=F151))"),"#N/A")</f>
        <v>#N/A</v>
      </c>
    </row>
    <row r="152">
      <c r="C152" s="4" t="s">
        <v>1794</v>
      </c>
      <c r="D152" s="4" t="str">
        <f t="shared" si="1"/>
        <v>{"valorA":"ar condicionado","valorB":48}</v>
      </c>
      <c r="E152" s="8" t="str">
        <f t="shared" si="2"/>
        <v>ar condicionado</v>
      </c>
      <c r="F152" s="8"/>
      <c r="G152" s="8" t="str">
        <f t="shared" si="3"/>
        <v>48</v>
      </c>
      <c r="H152" s="9">
        <f t="shared" si="4"/>
        <v>48</v>
      </c>
      <c r="I152" s="6" t="str">
        <f>IFERROR(__xludf.DUMMYFUNCTION("MAX(FILTER($H:$H,$E:$E=F152))"),"#N/A")</f>
        <v>#N/A</v>
      </c>
    </row>
    <row r="153">
      <c r="C153" s="4" t="s">
        <v>1812</v>
      </c>
      <c r="D153" s="4" t="str">
        <f t="shared" si="1"/>
        <v>{"valorA":"freezer","valorB":51}</v>
      </c>
      <c r="E153" s="8" t="str">
        <f t="shared" si="2"/>
        <v>freezer</v>
      </c>
      <c r="F153" s="8"/>
      <c r="G153" s="8" t="str">
        <f t="shared" si="3"/>
        <v>51</v>
      </c>
      <c r="H153" s="9">
        <f t="shared" si="4"/>
        <v>51</v>
      </c>
      <c r="I153" s="6" t="str">
        <f>IFERROR(__xludf.DUMMYFUNCTION("MAX(FILTER($H:$H,$E:$E=F153))"),"#N/A")</f>
        <v>#N/A</v>
      </c>
    </row>
    <row r="154">
      <c r="C154" s="4" t="s">
        <v>1820</v>
      </c>
      <c r="D154" s="4" t="str">
        <f t="shared" si="1"/>
        <v>{"valorA":"microondas","valorB":54}</v>
      </c>
      <c r="E154" s="8" t="str">
        <f t="shared" si="2"/>
        <v>microondas</v>
      </c>
      <c r="F154" s="8"/>
      <c r="G154" s="8" t="str">
        <f t="shared" si="3"/>
        <v>54</v>
      </c>
      <c r="H154" s="9">
        <f t="shared" si="4"/>
        <v>54</v>
      </c>
      <c r="I154" s="6" t="str">
        <f>IFERROR(__xludf.DUMMYFUNCTION("MAX(FILTER($H:$H,$E:$E=F154))"),"#N/A")</f>
        <v>#N/A</v>
      </c>
    </row>
    <row r="155">
      <c r="C155" s="4" t="s">
        <v>1798</v>
      </c>
      <c r="D155" s="4" t="str">
        <f t="shared" si="1"/>
        <v>{"valorA":"ar condicionado","valorB":49}</v>
      </c>
      <c r="E155" s="8" t="str">
        <f t="shared" si="2"/>
        <v>ar condicionado</v>
      </c>
      <c r="F155" s="8"/>
      <c r="G155" s="8" t="str">
        <f t="shared" si="3"/>
        <v>49</v>
      </c>
      <c r="H155" s="9">
        <f t="shared" si="4"/>
        <v>49</v>
      </c>
      <c r="I155" s="6" t="str">
        <f>IFERROR(__xludf.DUMMYFUNCTION("MAX(FILTER($H:$H,$E:$E=F155))"),"#N/A")</f>
        <v>#N/A</v>
      </c>
    </row>
    <row r="156">
      <c r="C156" s="4" t="s">
        <v>1816</v>
      </c>
      <c r="D156" s="4" t="str">
        <f t="shared" si="1"/>
        <v>{"valorA":"freezer","valorB":52}</v>
      </c>
      <c r="E156" s="8" t="str">
        <f t="shared" si="2"/>
        <v>freezer</v>
      </c>
      <c r="F156" s="8"/>
      <c r="G156" s="8" t="str">
        <f t="shared" si="3"/>
        <v>52</v>
      </c>
      <c r="H156" s="9">
        <f t="shared" si="4"/>
        <v>52</v>
      </c>
      <c r="I156" s="6" t="str">
        <f>IFERROR(__xludf.DUMMYFUNCTION("MAX(FILTER($H:$H,$E:$E=F156))"),"#N/A")</f>
        <v>#N/A</v>
      </c>
    </row>
    <row r="157">
      <c r="C157" s="4" t="s">
        <v>1826</v>
      </c>
      <c r="D157" s="4" t="str">
        <f t="shared" si="1"/>
        <v>{"valorA":"microondas","valorB":55}</v>
      </c>
      <c r="E157" s="8" t="str">
        <f t="shared" si="2"/>
        <v>microondas</v>
      </c>
      <c r="F157" s="8"/>
      <c r="G157" s="8" t="str">
        <f t="shared" si="3"/>
        <v>55</v>
      </c>
      <c r="H157" s="9">
        <f t="shared" si="4"/>
        <v>55</v>
      </c>
      <c r="I157" s="6" t="str">
        <f>IFERROR(__xludf.DUMMYFUNCTION("MAX(FILTER($H:$H,$E:$E=F157))"),"#N/A")</f>
        <v>#N/A</v>
      </c>
    </row>
    <row r="158">
      <c r="C158" s="4" t="s">
        <v>1800</v>
      </c>
      <c r="D158" s="4" t="str">
        <f t="shared" si="1"/>
        <v>{"valorA":"ar condicionado","valorB":50}</v>
      </c>
      <c r="E158" s="8" t="str">
        <f t="shared" si="2"/>
        <v>ar condicionado</v>
      </c>
      <c r="F158" s="8"/>
      <c r="G158" s="8" t="str">
        <f t="shared" si="3"/>
        <v>50</v>
      </c>
      <c r="H158" s="9">
        <f t="shared" si="4"/>
        <v>50</v>
      </c>
      <c r="I158" s="6" t="str">
        <f>IFERROR(__xludf.DUMMYFUNCTION("MAX(FILTER($H:$H,$E:$E=F158))"),"#N/A")</f>
        <v>#N/A</v>
      </c>
    </row>
    <row r="159">
      <c r="C159" s="4" t="s">
        <v>1827</v>
      </c>
      <c r="D159" s="4" t="str">
        <f t="shared" si="1"/>
        <v>{"valorA":"microondas","valorB":56}</v>
      </c>
      <c r="E159" s="8" t="str">
        <f t="shared" si="2"/>
        <v>microondas</v>
      </c>
      <c r="F159" s="8"/>
      <c r="G159" s="8" t="str">
        <f t="shared" si="3"/>
        <v>56</v>
      </c>
      <c r="H159" s="9">
        <f t="shared" si="4"/>
        <v>56</v>
      </c>
      <c r="I159" s="6" t="str">
        <f>IFERROR(__xludf.DUMMYFUNCTION("MAX(FILTER($H:$H,$E:$E=F159))"),"#N/A")</f>
        <v>#N/A</v>
      </c>
    </row>
    <row r="160">
      <c r="C160" s="4" t="s">
        <v>1828</v>
      </c>
      <c r="D160" s="4" t="str">
        <f t="shared" si="1"/>
        <v>{"valorA":"microondas","valorB":57}</v>
      </c>
      <c r="E160" s="8" t="str">
        <f t="shared" si="2"/>
        <v>microondas</v>
      </c>
      <c r="F160" s="8"/>
      <c r="G160" s="8" t="str">
        <f t="shared" si="3"/>
        <v>57</v>
      </c>
      <c r="H160" s="9">
        <f t="shared" si="4"/>
        <v>57</v>
      </c>
      <c r="I160" s="6" t="str">
        <f>IFERROR(__xludf.DUMMYFUNCTION("MAX(FILTER($H:$H,$E:$E=F160))"),"#N/A")</f>
        <v>#N/A</v>
      </c>
    </row>
    <row r="161">
      <c r="C161" s="4" t="s">
        <v>1817</v>
      </c>
      <c r="D161" s="4" t="str">
        <f t="shared" si="1"/>
        <v>{"valorA":"freezer","valorB":53}</v>
      </c>
      <c r="E161" s="8" t="str">
        <f t="shared" si="2"/>
        <v>freezer</v>
      </c>
      <c r="F161" s="8"/>
      <c r="G161" s="8" t="str">
        <f t="shared" si="3"/>
        <v>53</v>
      </c>
      <c r="H161" s="9">
        <f t="shared" si="4"/>
        <v>53</v>
      </c>
      <c r="I161" s="6" t="str">
        <f>IFERROR(__xludf.DUMMYFUNCTION("MAX(FILTER($H:$H,$E:$E=F161))"),"#N/A")</f>
        <v>#N/A</v>
      </c>
    </row>
    <row r="162">
      <c r="C162" s="4" t="s">
        <v>1830</v>
      </c>
      <c r="D162" s="4" t="str">
        <f t="shared" si="1"/>
        <v>{"valorA":"microondas","valorB":58}</v>
      </c>
      <c r="E162" s="8" t="str">
        <f t="shared" si="2"/>
        <v>microondas</v>
      </c>
      <c r="F162" s="8"/>
      <c r="G162" s="8" t="str">
        <f t="shared" si="3"/>
        <v>58</v>
      </c>
      <c r="H162" s="9">
        <f t="shared" si="4"/>
        <v>58</v>
      </c>
      <c r="I162" s="6" t="str">
        <f>IFERROR(__xludf.DUMMYFUNCTION("MAX(FILTER($H:$H,$E:$E=F162))"),"#N/A")</f>
        <v>#N/A</v>
      </c>
    </row>
    <row r="163">
      <c r="C163" s="4" t="s">
        <v>1821</v>
      </c>
      <c r="D163" s="4" t="str">
        <f t="shared" si="1"/>
        <v>{"valorA":"freezer","valorB":54}</v>
      </c>
      <c r="E163" s="8" t="str">
        <f t="shared" si="2"/>
        <v>freezer</v>
      </c>
      <c r="F163" s="8"/>
      <c r="G163" s="8" t="str">
        <f t="shared" si="3"/>
        <v>54</v>
      </c>
      <c r="H163" s="9">
        <f t="shared" si="4"/>
        <v>54</v>
      </c>
      <c r="I163" s="6" t="str">
        <f>IFERROR(__xludf.DUMMYFUNCTION("MAX(FILTER($H:$H,$E:$E=F163))"),"#N/A")</f>
        <v>#N/A</v>
      </c>
    </row>
    <row r="164">
      <c r="C164" s="4" t="s">
        <v>1802</v>
      </c>
      <c r="D164" s="4" t="str">
        <f t="shared" si="1"/>
        <v>{"valorA":"ar condicionado","valorB":51}</v>
      </c>
      <c r="E164" s="8" t="str">
        <f t="shared" si="2"/>
        <v>ar condicionado</v>
      </c>
      <c r="F164" s="8"/>
      <c r="G164" s="8" t="str">
        <f t="shared" si="3"/>
        <v>51</v>
      </c>
      <c r="H164" s="9">
        <f t="shared" si="4"/>
        <v>51</v>
      </c>
      <c r="I164" s="6" t="str">
        <f>IFERROR(__xludf.DUMMYFUNCTION("MAX(FILTER($H:$H,$E:$E=F164))"),"#N/A")</f>
        <v>#N/A</v>
      </c>
    </row>
    <row r="165">
      <c r="C165" s="4" t="s">
        <v>1803</v>
      </c>
      <c r="D165" s="4" t="str">
        <f t="shared" si="1"/>
        <v>{"valorA":"ar condicionado","valorB":52}</v>
      </c>
      <c r="E165" s="8" t="str">
        <f t="shared" si="2"/>
        <v>ar condicionado</v>
      </c>
      <c r="F165" s="8"/>
      <c r="G165" s="8" t="str">
        <f t="shared" si="3"/>
        <v>52</v>
      </c>
      <c r="H165" s="9">
        <f t="shared" si="4"/>
        <v>52</v>
      </c>
      <c r="I165" s="6" t="str">
        <f>IFERROR(__xludf.DUMMYFUNCTION("MAX(FILTER($H:$H,$E:$E=F165))"),"#N/A")</f>
        <v>#N/A</v>
      </c>
    </row>
    <row r="166">
      <c r="C166" s="4" t="s">
        <v>1822</v>
      </c>
      <c r="D166" s="4" t="str">
        <f t="shared" si="1"/>
        <v>{"valorA":"freezer","valorB":55}</v>
      </c>
      <c r="E166" s="8" t="str">
        <f t="shared" si="2"/>
        <v>freezer</v>
      </c>
      <c r="F166" s="8"/>
      <c r="G166" s="8" t="str">
        <f t="shared" si="3"/>
        <v>55</v>
      </c>
      <c r="H166" s="9">
        <f t="shared" si="4"/>
        <v>55</v>
      </c>
      <c r="I166" s="6" t="str">
        <f>IFERROR(__xludf.DUMMYFUNCTION("MAX(FILTER($H:$H,$E:$E=F166))"),"#N/A")</f>
        <v>#N/A</v>
      </c>
    </row>
    <row r="167">
      <c r="C167" s="4" t="s">
        <v>1823</v>
      </c>
      <c r="D167" s="4" t="str">
        <f t="shared" si="1"/>
        <v>{"valorA":"freezer","valorB":56}</v>
      </c>
      <c r="E167" s="8" t="str">
        <f t="shared" si="2"/>
        <v>freezer</v>
      </c>
      <c r="F167" s="8"/>
      <c r="G167" s="8" t="str">
        <f t="shared" si="3"/>
        <v>56</v>
      </c>
      <c r="H167" s="9">
        <f t="shared" si="4"/>
        <v>56</v>
      </c>
      <c r="I167" s="6" t="str">
        <f>IFERROR(__xludf.DUMMYFUNCTION("MAX(FILTER($H:$H,$E:$E=F167))"),"#N/A")</f>
        <v>#N/A</v>
      </c>
    </row>
    <row r="168">
      <c r="C168" s="4" t="s">
        <v>1831</v>
      </c>
      <c r="D168" s="4" t="str">
        <f t="shared" si="1"/>
        <v>{"valorA":"microondas","valorB":59}</v>
      </c>
      <c r="E168" s="8" t="str">
        <f t="shared" si="2"/>
        <v>microondas</v>
      </c>
      <c r="F168" s="8"/>
      <c r="G168" s="8" t="str">
        <f t="shared" si="3"/>
        <v>59</v>
      </c>
      <c r="H168" s="9">
        <f t="shared" si="4"/>
        <v>59</v>
      </c>
      <c r="I168" s="6" t="str">
        <f>IFERROR(__xludf.DUMMYFUNCTION("MAX(FILTER($H:$H,$E:$E=F168))"),"#N/A")</f>
        <v>#N/A</v>
      </c>
    </row>
    <row r="169">
      <c r="C169" s="4" t="s">
        <v>1832</v>
      </c>
      <c r="D169" s="4" t="str">
        <f t="shared" si="1"/>
        <v>{"valorA":"microondas","valorB":60}</v>
      </c>
      <c r="E169" s="8" t="str">
        <f t="shared" si="2"/>
        <v>microondas</v>
      </c>
      <c r="F169" s="8"/>
      <c r="G169" s="8" t="str">
        <f t="shared" si="3"/>
        <v>60</v>
      </c>
      <c r="H169" s="9">
        <f t="shared" si="4"/>
        <v>60</v>
      </c>
      <c r="I169" s="6" t="str">
        <f>IFERROR(__xludf.DUMMYFUNCTION("MAX(FILTER($H:$H,$E:$E=F169))"),"#N/A")</f>
        <v>#N/A</v>
      </c>
    </row>
    <row r="170">
      <c r="C170" s="4" t="s">
        <v>1809</v>
      </c>
      <c r="D170" s="4" t="str">
        <f t="shared" si="1"/>
        <v>{"valorA":"ar condicionado","valorB":53}</v>
      </c>
      <c r="E170" s="8" t="str">
        <f t="shared" si="2"/>
        <v>ar condicionado</v>
      </c>
      <c r="F170" s="8"/>
      <c r="G170" s="8" t="str">
        <f t="shared" si="3"/>
        <v>53</v>
      </c>
      <c r="H170" s="9">
        <f t="shared" si="4"/>
        <v>53</v>
      </c>
      <c r="I170" s="6" t="str">
        <f>IFERROR(__xludf.DUMMYFUNCTION("MAX(FILTER($H:$H,$E:$E=F170))"),"#N/A")</f>
        <v>#N/A</v>
      </c>
    </row>
    <row r="171">
      <c r="C171" s="4" t="s">
        <v>1834</v>
      </c>
      <c r="D171" s="4" t="str">
        <f t="shared" si="1"/>
        <v>{"valorA":"microondas","valorB":61}</v>
      </c>
      <c r="E171" s="8" t="str">
        <f t="shared" si="2"/>
        <v>microondas</v>
      </c>
      <c r="F171" s="8"/>
      <c r="G171" s="8" t="str">
        <f t="shared" si="3"/>
        <v>61</v>
      </c>
      <c r="H171" s="9">
        <f t="shared" si="4"/>
        <v>61</v>
      </c>
      <c r="I171" s="6" t="str">
        <f>IFERROR(__xludf.DUMMYFUNCTION("MAX(FILTER($H:$H,$E:$E=F171))"),"#N/A")</f>
        <v>#N/A</v>
      </c>
    </row>
    <row r="172">
      <c r="C172" s="4" t="s">
        <v>1813</v>
      </c>
      <c r="D172" s="4" t="str">
        <f t="shared" si="1"/>
        <v>{"valorA":"ar condicionado","valorB":54}</v>
      </c>
      <c r="E172" s="8" t="str">
        <f t="shared" si="2"/>
        <v>ar condicionado</v>
      </c>
      <c r="F172" s="8"/>
      <c r="G172" s="8" t="str">
        <f t="shared" si="3"/>
        <v>54</v>
      </c>
      <c r="H172" s="9">
        <f t="shared" si="4"/>
        <v>54</v>
      </c>
      <c r="I172" s="6" t="str">
        <f>IFERROR(__xludf.DUMMYFUNCTION("MAX(FILTER($H:$H,$E:$E=F172))"),"#N/A")</f>
        <v>#N/A</v>
      </c>
    </row>
    <row r="173">
      <c r="C173" s="4" t="s">
        <v>1814</v>
      </c>
      <c r="D173" s="4" t="str">
        <f t="shared" si="1"/>
        <v>{"valorA":"ar condicionado","valorB":55}</v>
      </c>
      <c r="E173" s="8" t="str">
        <f t="shared" si="2"/>
        <v>ar condicionado</v>
      </c>
      <c r="F173" s="8"/>
      <c r="G173" s="8" t="str">
        <f t="shared" si="3"/>
        <v>55</v>
      </c>
      <c r="H173" s="9">
        <f t="shared" si="4"/>
        <v>55</v>
      </c>
      <c r="I173" s="6" t="str">
        <f>IFERROR(__xludf.DUMMYFUNCTION("MAX(FILTER($H:$H,$E:$E=F173))"),"#N/A")</f>
        <v>#N/A</v>
      </c>
    </row>
    <row r="174">
      <c r="C174" s="4" t="s">
        <v>1835</v>
      </c>
      <c r="D174" s="4" t="str">
        <f t="shared" si="1"/>
        <v>{"valorA":"microondas","valorB":62}</v>
      </c>
      <c r="E174" s="8" t="str">
        <f t="shared" si="2"/>
        <v>microondas</v>
      </c>
      <c r="F174" s="8"/>
      <c r="G174" s="8" t="str">
        <f t="shared" si="3"/>
        <v>62</v>
      </c>
      <c r="H174" s="9">
        <f t="shared" si="4"/>
        <v>62</v>
      </c>
      <c r="I174" s="6" t="str">
        <f>IFERROR(__xludf.DUMMYFUNCTION("MAX(FILTER($H:$H,$E:$E=F174))"),"#N/A")</f>
        <v>#N/A</v>
      </c>
    </row>
    <row r="175">
      <c r="C175" s="4" t="s">
        <v>1824</v>
      </c>
      <c r="D175" s="4" t="str">
        <f t="shared" si="1"/>
        <v>{"valorA":"freezer","valorB":57}</v>
      </c>
      <c r="E175" s="8" t="str">
        <f t="shared" si="2"/>
        <v>freezer</v>
      </c>
      <c r="F175" s="8"/>
      <c r="G175" s="8" t="str">
        <f t="shared" si="3"/>
        <v>57</v>
      </c>
      <c r="H175" s="9">
        <f t="shared" si="4"/>
        <v>57</v>
      </c>
      <c r="I175" s="6" t="str">
        <f>IFERROR(__xludf.DUMMYFUNCTION("MAX(FILTER($H:$H,$E:$E=F175))"),"#N/A")</f>
        <v>#N/A</v>
      </c>
    </row>
    <row r="176">
      <c r="C176" s="4" t="s">
        <v>1837</v>
      </c>
      <c r="D176" s="4" t="str">
        <f t="shared" si="1"/>
        <v>{"valorA":"microondas","valorB":63}</v>
      </c>
      <c r="E176" s="8" t="str">
        <f t="shared" si="2"/>
        <v>microondas</v>
      </c>
      <c r="F176" s="8"/>
      <c r="G176" s="8" t="str">
        <f t="shared" si="3"/>
        <v>63</v>
      </c>
      <c r="H176" s="9">
        <f t="shared" si="4"/>
        <v>63</v>
      </c>
      <c r="I176" s="6" t="str">
        <f>IFERROR(__xludf.DUMMYFUNCTION("MAX(FILTER($H:$H,$E:$E=F176))"),"#N/A")</f>
        <v>#N/A</v>
      </c>
    </row>
    <row r="177">
      <c r="C177" s="4" t="s">
        <v>1839</v>
      </c>
      <c r="D177" s="4" t="str">
        <f t="shared" si="1"/>
        <v>{"valorA":"microondas","valorB":64}</v>
      </c>
      <c r="E177" s="8" t="str">
        <f t="shared" si="2"/>
        <v>microondas</v>
      </c>
      <c r="F177" s="8"/>
      <c r="G177" s="8" t="str">
        <f t="shared" si="3"/>
        <v>64</v>
      </c>
      <c r="H177" s="9">
        <f t="shared" si="4"/>
        <v>64</v>
      </c>
      <c r="I177" s="6" t="str">
        <f>IFERROR(__xludf.DUMMYFUNCTION("MAX(FILTER($H:$H,$E:$E=F177))"),"#N/A")</f>
        <v>#N/A</v>
      </c>
    </row>
    <row r="178">
      <c r="C178" s="4" t="s">
        <v>1818</v>
      </c>
      <c r="D178" s="4" t="str">
        <f t="shared" si="1"/>
        <v>{"valorA":"ar condicionado","valorB":56}</v>
      </c>
      <c r="E178" s="8" t="str">
        <f t="shared" si="2"/>
        <v>ar condicionado</v>
      </c>
      <c r="F178" s="8"/>
      <c r="G178" s="8" t="str">
        <f t="shared" si="3"/>
        <v>56</v>
      </c>
      <c r="H178" s="9">
        <f t="shared" si="4"/>
        <v>56</v>
      </c>
      <c r="I178" s="6" t="str">
        <f>IFERROR(__xludf.DUMMYFUNCTION("MAX(FILTER($H:$H,$E:$E=F178))"),"#N/A")</f>
        <v>#N/A</v>
      </c>
    </row>
    <row r="179">
      <c r="C179" s="4" t="s">
        <v>1825</v>
      </c>
      <c r="D179" s="4" t="str">
        <f t="shared" si="1"/>
        <v>{"valorA":"ar condicionado","valorB":57}</v>
      </c>
      <c r="E179" s="8" t="str">
        <f t="shared" si="2"/>
        <v>ar condicionado</v>
      </c>
      <c r="F179" s="8"/>
      <c r="G179" s="8" t="str">
        <f t="shared" si="3"/>
        <v>57</v>
      </c>
      <c r="H179" s="9">
        <f t="shared" si="4"/>
        <v>57</v>
      </c>
      <c r="I179" s="6" t="str">
        <f>IFERROR(__xludf.DUMMYFUNCTION("MAX(FILTER($H:$H,$E:$E=F179))"),"#N/A")</f>
        <v>#N/A</v>
      </c>
    </row>
    <row r="180">
      <c r="C180" s="4" t="s">
        <v>1845</v>
      </c>
      <c r="D180" s="4" t="str">
        <f t="shared" si="1"/>
        <v>{"valorA":"microondas","valorB":65}</v>
      </c>
      <c r="E180" s="8" t="str">
        <f t="shared" si="2"/>
        <v>microondas</v>
      </c>
      <c r="F180" s="8"/>
      <c r="G180" s="8" t="str">
        <f t="shared" si="3"/>
        <v>65</v>
      </c>
      <c r="H180" s="9">
        <f t="shared" si="4"/>
        <v>65</v>
      </c>
      <c r="I180" s="6" t="str">
        <f>IFERROR(__xludf.DUMMYFUNCTION("MAX(FILTER($H:$H,$E:$E=F180))"),"#N/A")</f>
        <v>#N/A</v>
      </c>
    </row>
    <row r="181">
      <c r="C181" s="4" t="s">
        <v>1829</v>
      </c>
      <c r="D181" s="4" t="str">
        <f t="shared" si="1"/>
        <v>{"valorA":"freezer","valorB":58}</v>
      </c>
      <c r="E181" s="8" t="str">
        <f t="shared" si="2"/>
        <v>freezer</v>
      </c>
      <c r="F181" s="8"/>
      <c r="G181" s="8" t="str">
        <f t="shared" si="3"/>
        <v>58</v>
      </c>
      <c r="H181" s="9">
        <f t="shared" si="4"/>
        <v>58</v>
      </c>
      <c r="I181" s="6" t="str">
        <f>IFERROR(__xludf.DUMMYFUNCTION("MAX(FILTER($H:$H,$E:$E=F181))"),"#N/A")</f>
        <v>#N/A</v>
      </c>
    </row>
    <row r="182">
      <c r="C182" s="4" t="s">
        <v>1838</v>
      </c>
      <c r="D182" s="4" t="str">
        <f t="shared" si="1"/>
        <v>{"valorA":"freezer","valorB":59}</v>
      </c>
      <c r="E182" s="8" t="str">
        <f t="shared" si="2"/>
        <v>freezer</v>
      </c>
      <c r="F182" s="8"/>
      <c r="G182" s="8" t="str">
        <f t="shared" si="3"/>
        <v>59</v>
      </c>
      <c r="H182" s="9">
        <f t="shared" si="4"/>
        <v>59</v>
      </c>
      <c r="I182" s="6" t="str">
        <f>IFERROR(__xludf.DUMMYFUNCTION("MAX(FILTER($H:$H,$E:$E=F182))"),"#N/A")</f>
        <v>#N/A</v>
      </c>
    </row>
    <row r="183">
      <c r="C183" s="4" t="s">
        <v>1848</v>
      </c>
      <c r="D183" s="4" t="str">
        <f t="shared" si="1"/>
        <v>{"valorA":"microondas","valorB":66}</v>
      </c>
      <c r="E183" s="8" t="str">
        <f t="shared" si="2"/>
        <v>microondas</v>
      </c>
      <c r="F183" s="8"/>
      <c r="G183" s="8" t="str">
        <f t="shared" si="3"/>
        <v>66</v>
      </c>
      <c r="H183" s="9">
        <f t="shared" si="4"/>
        <v>66</v>
      </c>
      <c r="I183" s="6" t="str">
        <f>IFERROR(__xludf.DUMMYFUNCTION("MAX(FILTER($H:$H,$E:$E=F183))"),"#N/A")</f>
        <v>#N/A</v>
      </c>
    </row>
    <row r="184">
      <c r="C184" s="4" t="s">
        <v>1851</v>
      </c>
      <c r="D184" s="4" t="str">
        <f t="shared" si="1"/>
        <v>{"valorA":"microondas","valorB":67}</v>
      </c>
      <c r="E184" s="8" t="str">
        <f t="shared" si="2"/>
        <v>microondas</v>
      </c>
      <c r="F184" s="8"/>
      <c r="G184" s="8" t="str">
        <f t="shared" si="3"/>
        <v>67</v>
      </c>
      <c r="H184" s="9">
        <f t="shared" si="4"/>
        <v>67</v>
      </c>
      <c r="I184" s="6" t="str">
        <f>IFERROR(__xludf.DUMMYFUNCTION("MAX(FILTER($H:$H,$E:$E=F184))"),"#N/A")</f>
        <v>#N/A</v>
      </c>
    </row>
    <row r="185">
      <c r="C185" s="4" t="s">
        <v>1833</v>
      </c>
      <c r="D185" s="4" t="str">
        <f t="shared" si="1"/>
        <v>{"valorA":"ar condicionado","valorB":58}</v>
      </c>
      <c r="E185" s="8" t="str">
        <f t="shared" si="2"/>
        <v>ar condicionado</v>
      </c>
      <c r="F185" s="8"/>
      <c r="G185" s="8" t="str">
        <f t="shared" si="3"/>
        <v>58</v>
      </c>
      <c r="H185" s="9">
        <f t="shared" si="4"/>
        <v>58</v>
      </c>
      <c r="I185" s="6" t="str">
        <f>IFERROR(__xludf.DUMMYFUNCTION("MAX(FILTER($H:$H,$E:$E=F185))"),"#N/A")</f>
        <v>#N/A</v>
      </c>
    </row>
    <row r="186">
      <c r="C186" s="4" t="s">
        <v>1840</v>
      </c>
      <c r="D186" s="4" t="str">
        <f t="shared" si="1"/>
        <v>{"valorA":"freezer","valorB":60}</v>
      </c>
      <c r="E186" s="8" t="str">
        <f t="shared" si="2"/>
        <v>freezer</v>
      </c>
      <c r="F186" s="8"/>
      <c r="G186" s="8" t="str">
        <f t="shared" si="3"/>
        <v>60</v>
      </c>
      <c r="H186" s="9">
        <f t="shared" si="4"/>
        <v>60</v>
      </c>
      <c r="I186" s="6" t="str">
        <f>IFERROR(__xludf.DUMMYFUNCTION("MAX(FILTER($H:$H,$E:$E=F186))"),"#N/A")</f>
        <v>#N/A</v>
      </c>
    </row>
    <row r="187">
      <c r="C187" s="4" t="s">
        <v>1852</v>
      </c>
      <c r="D187" s="4" t="str">
        <f t="shared" si="1"/>
        <v>{"valorA":"microondas","valorB":68}</v>
      </c>
      <c r="E187" s="8" t="str">
        <f t="shared" si="2"/>
        <v>microondas</v>
      </c>
      <c r="F187" s="8"/>
      <c r="G187" s="8" t="str">
        <f t="shared" si="3"/>
        <v>68</v>
      </c>
      <c r="H187" s="9">
        <f t="shared" si="4"/>
        <v>68</v>
      </c>
      <c r="I187" s="6" t="str">
        <f>IFERROR(__xludf.DUMMYFUNCTION("MAX(FILTER($H:$H,$E:$E=F187))"),"#N/A")</f>
        <v>#N/A</v>
      </c>
    </row>
    <row r="188">
      <c r="C188" s="4" t="s">
        <v>1836</v>
      </c>
      <c r="D188" s="4" t="str">
        <f t="shared" si="1"/>
        <v>{"valorA":"ar condicionado","valorB":59}</v>
      </c>
      <c r="E188" s="8" t="str">
        <f t="shared" si="2"/>
        <v>ar condicionado</v>
      </c>
      <c r="F188" s="8"/>
      <c r="G188" s="8" t="str">
        <f t="shared" si="3"/>
        <v>59</v>
      </c>
      <c r="H188" s="9">
        <f t="shared" si="4"/>
        <v>59</v>
      </c>
      <c r="I188" s="6" t="str">
        <f>IFERROR(__xludf.DUMMYFUNCTION("MAX(FILTER($H:$H,$E:$E=F188))"),"#N/A")</f>
        <v>#N/A</v>
      </c>
    </row>
    <row r="189">
      <c r="C189" s="4" t="s">
        <v>1841</v>
      </c>
      <c r="D189" s="4" t="str">
        <f t="shared" si="1"/>
        <v>{"valorA":"freezer","valorB":61}</v>
      </c>
      <c r="E189" s="8" t="str">
        <f t="shared" si="2"/>
        <v>freezer</v>
      </c>
      <c r="F189" s="8"/>
      <c r="G189" s="8" t="str">
        <f t="shared" si="3"/>
        <v>61</v>
      </c>
      <c r="H189" s="9">
        <f t="shared" si="4"/>
        <v>61</v>
      </c>
      <c r="I189" s="6" t="str">
        <f>IFERROR(__xludf.DUMMYFUNCTION("MAX(FILTER($H:$H,$E:$E=F189))"),"#N/A")</f>
        <v>#N/A</v>
      </c>
    </row>
    <row r="190">
      <c r="C190" s="4" t="s">
        <v>1842</v>
      </c>
      <c r="D190" s="4" t="str">
        <f t="shared" si="1"/>
        <v>{"valorA":"ar condicionado","valorB":60}</v>
      </c>
      <c r="E190" s="8" t="str">
        <f t="shared" si="2"/>
        <v>ar condicionado</v>
      </c>
      <c r="F190" s="8"/>
      <c r="G190" s="8" t="str">
        <f t="shared" si="3"/>
        <v>60</v>
      </c>
      <c r="H190" s="9">
        <f t="shared" si="4"/>
        <v>60</v>
      </c>
      <c r="I190" s="6" t="str">
        <f>IFERROR(__xludf.DUMMYFUNCTION("MAX(FILTER($H:$H,$E:$E=F190))"),"#N/A")</f>
        <v>#N/A</v>
      </c>
    </row>
    <row r="191">
      <c r="C191" s="4" t="s">
        <v>1853</v>
      </c>
      <c r="D191" s="4" t="str">
        <f t="shared" si="1"/>
        <v>{"valorA":"microondas","valorB":69}</v>
      </c>
      <c r="E191" s="8" t="str">
        <f t="shared" si="2"/>
        <v>microondas</v>
      </c>
      <c r="F191" s="8"/>
      <c r="G191" s="8" t="str">
        <f t="shared" si="3"/>
        <v>69</v>
      </c>
      <c r="H191" s="9">
        <f t="shared" si="4"/>
        <v>69</v>
      </c>
      <c r="I191" s="6" t="str">
        <f>IFERROR(__xludf.DUMMYFUNCTION("MAX(FILTER($H:$H,$E:$E=F191))"),"#N/A")</f>
        <v>#N/A</v>
      </c>
    </row>
    <row r="192">
      <c r="C192" s="4" t="s">
        <v>1843</v>
      </c>
      <c r="D192" s="4" t="str">
        <f t="shared" si="1"/>
        <v>{"valorA":"ar condicionado","valorB":61}</v>
      </c>
      <c r="E192" s="8" t="str">
        <f t="shared" si="2"/>
        <v>ar condicionado</v>
      </c>
      <c r="F192" s="8"/>
      <c r="G192" s="8" t="str">
        <f t="shared" si="3"/>
        <v>61</v>
      </c>
      <c r="H192" s="9">
        <f t="shared" si="4"/>
        <v>61</v>
      </c>
      <c r="I192" s="6" t="str">
        <f>IFERROR(__xludf.DUMMYFUNCTION("MAX(FILTER($H:$H,$E:$E=F192))"),"#N/A")</f>
        <v>#N/A</v>
      </c>
    </row>
    <row r="193">
      <c r="C193" s="4" t="s">
        <v>1854</v>
      </c>
      <c r="D193" s="4" t="str">
        <f t="shared" si="1"/>
        <v>{"valorA":"microondas","valorB":70}</v>
      </c>
      <c r="E193" s="8" t="str">
        <f t="shared" si="2"/>
        <v>microondas</v>
      </c>
      <c r="F193" s="8"/>
      <c r="G193" s="8" t="str">
        <f t="shared" si="3"/>
        <v>70</v>
      </c>
      <c r="H193" s="9">
        <f t="shared" si="4"/>
        <v>70</v>
      </c>
      <c r="I193" s="6" t="str">
        <f>IFERROR(__xludf.DUMMYFUNCTION("MAX(FILTER($H:$H,$E:$E=F193))"),"#N/A")</f>
        <v>#N/A</v>
      </c>
    </row>
    <row r="194">
      <c r="C194" s="4" t="s">
        <v>1860</v>
      </c>
      <c r="D194" s="4" t="str">
        <f t="shared" si="1"/>
        <v>{"valorA":"microondas","valorB":71}</v>
      </c>
      <c r="E194" s="8" t="str">
        <f t="shared" si="2"/>
        <v>microondas</v>
      </c>
      <c r="F194" s="8"/>
      <c r="G194" s="8" t="str">
        <f t="shared" si="3"/>
        <v>71</v>
      </c>
      <c r="H194" s="9">
        <f t="shared" si="4"/>
        <v>71</v>
      </c>
      <c r="I194" s="6" t="str">
        <f>IFERROR(__xludf.DUMMYFUNCTION("MAX(FILTER($H:$H,$E:$E=F194))"),"#N/A")</f>
        <v>#N/A</v>
      </c>
    </row>
    <row r="195">
      <c r="C195" s="4" t="s">
        <v>1850</v>
      </c>
      <c r="D195" s="4" t="str">
        <f t="shared" si="1"/>
        <v>{"valorA":"freezer","valorB":62}</v>
      </c>
      <c r="E195" s="8" t="str">
        <f t="shared" si="2"/>
        <v>freezer</v>
      </c>
      <c r="F195" s="8"/>
      <c r="G195" s="8" t="str">
        <f t="shared" si="3"/>
        <v>62</v>
      </c>
      <c r="H195" s="9">
        <f t="shared" si="4"/>
        <v>62</v>
      </c>
      <c r="I195" s="6" t="str">
        <f>IFERROR(__xludf.DUMMYFUNCTION("MAX(FILTER($H:$H,$E:$E=F195))"),"#N/A")</f>
        <v>#N/A</v>
      </c>
    </row>
    <row r="196">
      <c r="C196" s="4" t="s">
        <v>1856</v>
      </c>
      <c r="D196" s="4" t="str">
        <f t="shared" si="1"/>
        <v>{"valorA":"freezer","valorB":63}</v>
      </c>
      <c r="E196" s="8" t="str">
        <f t="shared" si="2"/>
        <v>freezer</v>
      </c>
      <c r="F196" s="8"/>
      <c r="G196" s="8" t="str">
        <f t="shared" si="3"/>
        <v>63</v>
      </c>
      <c r="H196" s="9">
        <f t="shared" si="4"/>
        <v>63</v>
      </c>
      <c r="I196" s="6" t="str">
        <f>IFERROR(__xludf.DUMMYFUNCTION("MAX(FILTER($H:$H,$E:$E=F196))"),"#N/A")</f>
        <v>#N/A</v>
      </c>
    </row>
    <row r="197">
      <c r="C197" s="4" t="s">
        <v>1863</v>
      </c>
      <c r="D197" s="4" t="str">
        <f t="shared" si="1"/>
        <v>{"valorA":"microondas","valorB":72}</v>
      </c>
      <c r="E197" s="8" t="str">
        <f t="shared" si="2"/>
        <v>microondas</v>
      </c>
      <c r="F197" s="8"/>
      <c r="G197" s="8" t="str">
        <f t="shared" si="3"/>
        <v>72</v>
      </c>
      <c r="H197" s="9">
        <f t="shared" si="4"/>
        <v>72</v>
      </c>
      <c r="I197" s="6" t="str">
        <f>IFERROR(__xludf.DUMMYFUNCTION("MAX(FILTER($H:$H,$E:$E=F197))"),"#N/A")</f>
        <v>#N/A</v>
      </c>
    </row>
    <row r="198">
      <c r="C198" s="4" t="s">
        <v>1865</v>
      </c>
      <c r="D198" s="4" t="str">
        <f t="shared" si="1"/>
        <v>{"valorA":"microondas","valorB":73}</v>
      </c>
      <c r="E198" s="8" t="str">
        <f t="shared" si="2"/>
        <v>microondas</v>
      </c>
      <c r="F198" s="8"/>
      <c r="G198" s="8" t="str">
        <f t="shared" si="3"/>
        <v>73</v>
      </c>
      <c r="H198" s="9">
        <f t="shared" si="4"/>
        <v>73</v>
      </c>
      <c r="I198" s="6" t="str">
        <f>IFERROR(__xludf.DUMMYFUNCTION("MAX(FILTER($H:$H,$E:$E=F198))"),"#N/A")</f>
        <v>#N/A</v>
      </c>
    </row>
    <row r="199">
      <c r="C199" s="4" t="s">
        <v>1873</v>
      </c>
      <c r="D199" s="4" t="str">
        <f t="shared" si="1"/>
        <v>{"valorA":"microondas","valorB":74}</v>
      </c>
      <c r="E199" s="8" t="str">
        <f t="shared" si="2"/>
        <v>microondas</v>
      </c>
      <c r="F199" s="8"/>
      <c r="G199" s="8" t="str">
        <f t="shared" si="3"/>
        <v>74</v>
      </c>
      <c r="H199" s="9">
        <f t="shared" si="4"/>
        <v>74</v>
      </c>
      <c r="I199" s="6" t="str">
        <f>IFERROR(__xludf.DUMMYFUNCTION("MAX(FILTER($H:$H,$E:$E=F199))"),"#N/A")</f>
        <v>#N/A</v>
      </c>
    </row>
    <row r="200">
      <c r="C200" s="4" t="s">
        <v>1881</v>
      </c>
      <c r="D200" s="4" t="str">
        <f t="shared" si="1"/>
        <v>{"valorA":"microondas","valorB":75}</v>
      </c>
      <c r="E200" s="8" t="str">
        <f t="shared" si="2"/>
        <v>microondas</v>
      </c>
      <c r="F200" s="8"/>
      <c r="G200" s="8" t="str">
        <f t="shared" si="3"/>
        <v>75</v>
      </c>
      <c r="H200" s="9">
        <f t="shared" si="4"/>
        <v>75</v>
      </c>
      <c r="I200" s="6" t="str">
        <f>IFERROR(__xludf.DUMMYFUNCTION("MAX(FILTER($H:$H,$E:$E=F200))"),"#N/A")</f>
        <v>#N/A</v>
      </c>
    </row>
    <row r="201">
      <c r="C201" s="4" t="s">
        <v>1882</v>
      </c>
      <c r="D201" s="4" t="str">
        <f t="shared" si="1"/>
        <v>{"valorA":"microondas","valorB":76}</v>
      </c>
      <c r="E201" s="8" t="str">
        <f t="shared" si="2"/>
        <v>microondas</v>
      </c>
      <c r="F201" s="8"/>
      <c r="G201" s="8" t="str">
        <f t="shared" si="3"/>
        <v>76</v>
      </c>
      <c r="H201" s="9">
        <f t="shared" si="4"/>
        <v>76</v>
      </c>
      <c r="I201" s="6" t="str">
        <f>IFERROR(__xludf.DUMMYFUNCTION("MAX(FILTER($H:$H,$E:$E=F201))"),"#N/A")</f>
        <v>#N/A</v>
      </c>
    </row>
    <row r="202">
      <c r="C202" s="4" t="s">
        <v>1857</v>
      </c>
      <c r="D202" s="4" t="str">
        <f t="shared" si="1"/>
        <v>{"valorA":"freezer","valorB":64}</v>
      </c>
      <c r="E202" s="8" t="str">
        <f t="shared" si="2"/>
        <v>freezer</v>
      </c>
      <c r="F202" s="8"/>
      <c r="G202" s="8" t="str">
        <f t="shared" si="3"/>
        <v>64</v>
      </c>
      <c r="H202" s="9">
        <f t="shared" si="4"/>
        <v>64</v>
      </c>
      <c r="I202" s="6" t="str">
        <f>IFERROR(__xludf.DUMMYFUNCTION("MAX(FILTER($H:$H,$E:$E=F202))"),"#N/A")</f>
        <v>#N/A</v>
      </c>
    </row>
    <row r="203">
      <c r="C203" s="4" t="s">
        <v>1844</v>
      </c>
      <c r="D203" s="4" t="str">
        <f t="shared" si="1"/>
        <v>{"valorA":"ar condicionado","valorB":62}</v>
      </c>
      <c r="E203" s="8" t="str">
        <f t="shared" si="2"/>
        <v>ar condicionado</v>
      </c>
      <c r="F203" s="8"/>
      <c r="G203" s="8" t="str">
        <f t="shared" si="3"/>
        <v>62</v>
      </c>
      <c r="H203" s="9">
        <f t="shared" si="4"/>
        <v>62</v>
      </c>
      <c r="I203" s="6" t="str">
        <f>IFERROR(__xludf.DUMMYFUNCTION("MAX(FILTER($H:$H,$E:$E=F203))"),"#N/A")</f>
        <v>#N/A</v>
      </c>
    </row>
    <row r="204">
      <c r="C204" s="4" t="s">
        <v>1887</v>
      </c>
      <c r="D204" s="4" t="str">
        <f t="shared" si="1"/>
        <v>{"valorA":"microondas","valorB":77}</v>
      </c>
      <c r="E204" s="8" t="str">
        <f t="shared" si="2"/>
        <v>microondas</v>
      </c>
      <c r="F204" s="8"/>
      <c r="G204" s="8" t="str">
        <f t="shared" si="3"/>
        <v>77</v>
      </c>
      <c r="H204" s="9">
        <f t="shared" si="4"/>
        <v>77</v>
      </c>
      <c r="I204" s="6" t="str">
        <f>IFERROR(__xludf.DUMMYFUNCTION("MAX(FILTER($H:$H,$E:$E=F204))"),"#N/A")</f>
        <v>#N/A</v>
      </c>
    </row>
    <row r="205">
      <c r="C205" s="4" t="s">
        <v>1888</v>
      </c>
      <c r="D205" s="4" t="str">
        <f t="shared" si="1"/>
        <v>{"valorA":"microondas","valorB":78}</v>
      </c>
      <c r="E205" s="8" t="str">
        <f t="shared" si="2"/>
        <v>microondas</v>
      </c>
      <c r="F205" s="8"/>
      <c r="G205" s="8" t="str">
        <f t="shared" si="3"/>
        <v>78</v>
      </c>
      <c r="H205" s="9">
        <f t="shared" si="4"/>
        <v>78</v>
      </c>
      <c r="I205" s="6" t="str">
        <f>IFERROR(__xludf.DUMMYFUNCTION("MAX(FILTER($H:$H,$E:$E=F205))"),"#N/A")</f>
        <v>#N/A</v>
      </c>
    </row>
    <row r="206">
      <c r="C206" s="4" t="s">
        <v>1858</v>
      </c>
      <c r="D206" s="4" t="str">
        <f t="shared" si="1"/>
        <v>{"valorA":"freezer","valorB":65}</v>
      </c>
      <c r="E206" s="8" t="str">
        <f t="shared" si="2"/>
        <v>freezer</v>
      </c>
      <c r="F206" s="8"/>
      <c r="G206" s="8" t="str">
        <f t="shared" si="3"/>
        <v>65</v>
      </c>
      <c r="H206" s="9">
        <f t="shared" si="4"/>
        <v>65</v>
      </c>
      <c r="I206" s="6" t="str">
        <f>IFERROR(__xludf.DUMMYFUNCTION("MAX(FILTER($H:$H,$E:$E=F206))"),"#N/A")</f>
        <v>#N/A</v>
      </c>
    </row>
    <row r="207">
      <c r="C207" s="4" t="s">
        <v>1846</v>
      </c>
      <c r="D207" s="4" t="str">
        <f t="shared" si="1"/>
        <v>{"valorA":"ar condicionado","valorB":63}</v>
      </c>
      <c r="E207" s="8" t="str">
        <f t="shared" si="2"/>
        <v>ar condicionado</v>
      </c>
      <c r="F207" s="8"/>
      <c r="G207" s="8" t="str">
        <f t="shared" si="3"/>
        <v>63</v>
      </c>
      <c r="H207" s="9">
        <f t="shared" si="4"/>
        <v>63</v>
      </c>
      <c r="I207" s="6" t="str">
        <f>IFERROR(__xludf.DUMMYFUNCTION("MAX(FILTER($H:$H,$E:$E=F207))"),"#N/A")</f>
        <v>#N/A</v>
      </c>
    </row>
    <row r="208">
      <c r="C208" s="4" t="s">
        <v>1892</v>
      </c>
      <c r="D208" s="4" t="str">
        <f t="shared" si="1"/>
        <v>{"valorA":"microondas","valorB":79}</v>
      </c>
      <c r="E208" s="8" t="str">
        <f t="shared" si="2"/>
        <v>microondas</v>
      </c>
      <c r="F208" s="8"/>
      <c r="G208" s="8" t="str">
        <f t="shared" si="3"/>
        <v>79</v>
      </c>
      <c r="H208" s="9">
        <f t="shared" si="4"/>
        <v>79</v>
      </c>
      <c r="I208" s="6" t="str">
        <f>IFERROR(__xludf.DUMMYFUNCTION("MAX(FILTER($H:$H,$E:$E=F208))"),"#N/A")</f>
        <v>#N/A</v>
      </c>
    </row>
    <row r="209">
      <c r="C209" s="4" t="s">
        <v>1859</v>
      </c>
      <c r="D209" s="4" t="str">
        <f t="shared" si="1"/>
        <v>{"valorA":"freezer","valorB":66}</v>
      </c>
      <c r="E209" s="8" t="str">
        <f t="shared" si="2"/>
        <v>freezer</v>
      </c>
      <c r="F209" s="8"/>
      <c r="G209" s="8" t="str">
        <f t="shared" si="3"/>
        <v>66</v>
      </c>
      <c r="H209" s="9">
        <f t="shared" si="4"/>
        <v>66</v>
      </c>
      <c r="I209" s="6" t="str">
        <f>IFERROR(__xludf.DUMMYFUNCTION("MAX(FILTER($H:$H,$E:$E=F209))"),"#N/A")</f>
        <v>#N/A</v>
      </c>
    </row>
    <row r="210">
      <c r="C210" s="4" t="s">
        <v>1861</v>
      </c>
      <c r="D210" s="4" t="str">
        <f t="shared" si="1"/>
        <v>{"valorA":"freezer","valorB":67}</v>
      </c>
      <c r="E210" s="8" t="str">
        <f t="shared" si="2"/>
        <v>freezer</v>
      </c>
      <c r="F210" s="8"/>
      <c r="G210" s="8" t="str">
        <f t="shared" si="3"/>
        <v>67</v>
      </c>
      <c r="H210" s="9">
        <f t="shared" si="4"/>
        <v>67</v>
      </c>
      <c r="I210" s="6" t="str">
        <f>IFERROR(__xludf.DUMMYFUNCTION("MAX(FILTER($H:$H,$E:$E=F210))"),"#N/A")</f>
        <v>#N/A</v>
      </c>
    </row>
    <row r="211">
      <c r="C211" s="4" t="s">
        <v>1847</v>
      </c>
      <c r="D211" s="4" t="str">
        <f t="shared" si="1"/>
        <v>{"valorA":"ar condicionado","valorB":64}</v>
      </c>
      <c r="E211" s="8" t="str">
        <f t="shared" si="2"/>
        <v>ar condicionado</v>
      </c>
      <c r="F211" s="8"/>
      <c r="G211" s="8" t="str">
        <f t="shared" si="3"/>
        <v>64</v>
      </c>
      <c r="H211" s="9">
        <f t="shared" si="4"/>
        <v>64</v>
      </c>
      <c r="I211" s="6" t="str">
        <f>IFERROR(__xludf.DUMMYFUNCTION("MAX(FILTER($H:$H,$E:$E=F211))"),"#N/A")</f>
        <v>#N/A</v>
      </c>
    </row>
    <row r="212">
      <c r="C212" s="4" t="s">
        <v>1862</v>
      </c>
      <c r="D212" s="4" t="str">
        <f t="shared" si="1"/>
        <v>{"valorA":"freezer","valorB":68}</v>
      </c>
      <c r="E212" s="8" t="str">
        <f t="shared" si="2"/>
        <v>freezer</v>
      </c>
      <c r="F212" s="8"/>
      <c r="G212" s="8" t="str">
        <f t="shared" si="3"/>
        <v>68</v>
      </c>
      <c r="H212" s="9">
        <f t="shared" si="4"/>
        <v>68</v>
      </c>
      <c r="I212" s="6" t="str">
        <f>IFERROR(__xludf.DUMMYFUNCTION("MAX(FILTER($H:$H,$E:$E=F212))"),"#N/A")</f>
        <v>#N/A</v>
      </c>
    </row>
    <row r="213">
      <c r="C213" s="4" t="s">
        <v>1849</v>
      </c>
      <c r="D213" s="4" t="str">
        <f t="shared" si="1"/>
        <v>{"valorA":"ar condicionado","valorB":65}</v>
      </c>
      <c r="E213" s="8" t="str">
        <f t="shared" si="2"/>
        <v>ar condicionado</v>
      </c>
      <c r="F213" s="8"/>
      <c r="G213" s="8" t="str">
        <f t="shared" si="3"/>
        <v>65</v>
      </c>
      <c r="H213" s="9">
        <f t="shared" si="4"/>
        <v>65</v>
      </c>
      <c r="I213" s="6" t="str">
        <f>IFERROR(__xludf.DUMMYFUNCTION("MAX(FILTER($H:$H,$E:$E=F213))"),"#N/A")</f>
        <v>#N/A</v>
      </c>
    </row>
    <row r="214">
      <c r="C214" s="4" t="s">
        <v>1897</v>
      </c>
      <c r="D214" s="4" t="str">
        <f t="shared" si="1"/>
        <v>{"valorA":"microondas","valorB":80}</v>
      </c>
      <c r="E214" s="8" t="str">
        <f t="shared" si="2"/>
        <v>microondas</v>
      </c>
      <c r="F214" s="8"/>
      <c r="G214" s="8" t="str">
        <f t="shared" si="3"/>
        <v>80</v>
      </c>
      <c r="H214" s="9">
        <f t="shared" si="4"/>
        <v>80</v>
      </c>
      <c r="I214" s="6" t="str">
        <f>IFERROR(__xludf.DUMMYFUNCTION("MAX(FILTER($H:$H,$E:$E=F214))"),"#N/A")</f>
        <v>#N/A</v>
      </c>
    </row>
    <row r="215">
      <c r="C215" s="4" t="s">
        <v>1855</v>
      </c>
      <c r="D215" s="4" t="str">
        <f t="shared" si="1"/>
        <v>{"valorA":"ar condicionado","valorB":66}</v>
      </c>
      <c r="E215" s="8" t="str">
        <f t="shared" si="2"/>
        <v>ar condicionado</v>
      </c>
      <c r="F215" s="8"/>
      <c r="G215" s="8" t="str">
        <f t="shared" si="3"/>
        <v>66</v>
      </c>
      <c r="H215" s="9">
        <f t="shared" si="4"/>
        <v>66</v>
      </c>
      <c r="I215" s="6" t="str">
        <f>IFERROR(__xludf.DUMMYFUNCTION("MAX(FILTER($H:$H,$E:$E=F215))"),"#N/A")</f>
        <v>#N/A</v>
      </c>
    </row>
    <row r="216">
      <c r="C216" s="4" t="s">
        <v>1866</v>
      </c>
      <c r="D216" s="4" t="str">
        <f t="shared" si="1"/>
        <v>{"valorA":"ar condicionado","valorB":67}</v>
      </c>
      <c r="E216" s="8" t="str">
        <f t="shared" si="2"/>
        <v>ar condicionado</v>
      </c>
      <c r="F216" s="8"/>
      <c r="G216" s="8" t="str">
        <f t="shared" si="3"/>
        <v>67</v>
      </c>
      <c r="H216" s="9">
        <f t="shared" si="4"/>
        <v>67</v>
      </c>
      <c r="I216" s="6" t="str">
        <f>IFERROR(__xludf.DUMMYFUNCTION("MAX(FILTER($H:$H,$E:$E=F216))"),"#N/A")</f>
        <v>#N/A</v>
      </c>
    </row>
    <row r="217">
      <c r="C217" s="4" t="s">
        <v>1899</v>
      </c>
      <c r="D217" s="4" t="str">
        <f t="shared" si="1"/>
        <v>{"valorA":"microondas","valorB":81}</v>
      </c>
      <c r="E217" s="8" t="str">
        <f t="shared" si="2"/>
        <v>microondas</v>
      </c>
      <c r="F217" s="8"/>
      <c r="G217" s="8" t="str">
        <f t="shared" si="3"/>
        <v>81</v>
      </c>
      <c r="H217" s="9">
        <f t="shared" si="4"/>
        <v>81</v>
      </c>
      <c r="I217" s="6" t="str">
        <f>IFERROR(__xludf.DUMMYFUNCTION("MAX(FILTER($H:$H,$E:$E=F217))"),"#N/A")</f>
        <v>#N/A</v>
      </c>
    </row>
    <row r="218">
      <c r="C218" s="4" t="s">
        <v>1903</v>
      </c>
      <c r="D218" s="4" t="str">
        <f t="shared" si="1"/>
        <v>{"valorA":"microondas","valorB":82}</v>
      </c>
      <c r="E218" s="8" t="str">
        <f t="shared" si="2"/>
        <v>microondas</v>
      </c>
      <c r="F218" s="8"/>
      <c r="G218" s="8" t="str">
        <f t="shared" si="3"/>
        <v>82</v>
      </c>
      <c r="H218" s="9">
        <f t="shared" si="4"/>
        <v>82</v>
      </c>
      <c r="I218" s="6" t="str">
        <f>IFERROR(__xludf.DUMMYFUNCTION("MAX(FILTER($H:$H,$E:$E=F218))"),"#N/A")</f>
        <v>#N/A</v>
      </c>
    </row>
    <row r="219">
      <c r="C219" s="4" t="s">
        <v>1864</v>
      </c>
      <c r="D219" s="4" t="str">
        <f t="shared" si="1"/>
        <v>{"valorA":"freezer","valorB":69}</v>
      </c>
      <c r="E219" s="8" t="str">
        <f t="shared" si="2"/>
        <v>freezer</v>
      </c>
      <c r="F219" s="8"/>
      <c r="G219" s="8" t="str">
        <f t="shared" si="3"/>
        <v>69</v>
      </c>
      <c r="H219" s="9">
        <f t="shared" si="4"/>
        <v>69</v>
      </c>
      <c r="I219" s="6" t="str">
        <f>IFERROR(__xludf.DUMMYFUNCTION("MAX(FILTER($H:$H,$E:$E=F219))"),"#N/A")</f>
        <v>#N/A</v>
      </c>
    </row>
    <row r="220">
      <c r="C220" s="4" t="s">
        <v>1910</v>
      </c>
      <c r="D220" s="4" t="str">
        <f t="shared" si="1"/>
        <v>{"valorA":"microondas","valorB":83}</v>
      </c>
      <c r="E220" s="8" t="str">
        <f t="shared" si="2"/>
        <v>microondas</v>
      </c>
      <c r="F220" s="8"/>
      <c r="G220" s="8" t="str">
        <f t="shared" si="3"/>
        <v>83</v>
      </c>
      <c r="H220" s="9">
        <f t="shared" si="4"/>
        <v>83</v>
      </c>
      <c r="I220" s="6" t="str">
        <f>IFERROR(__xludf.DUMMYFUNCTION("MAX(FILTER($H:$H,$E:$E=F220))"),"#N/A")</f>
        <v>#N/A</v>
      </c>
    </row>
    <row r="221">
      <c r="C221" s="4" t="s">
        <v>1869</v>
      </c>
      <c r="D221" s="4" t="str">
        <f t="shared" si="1"/>
        <v>{"valorA":"freezer","valorB":70}</v>
      </c>
      <c r="E221" s="8" t="str">
        <f t="shared" si="2"/>
        <v>freezer</v>
      </c>
      <c r="F221" s="8"/>
      <c r="G221" s="8" t="str">
        <f t="shared" si="3"/>
        <v>70</v>
      </c>
      <c r="H221" s="9">
        <f t="shared" si="4"/>
        <v>70</v>
      </c>
      <c r="I221" s="6" t="str">
        <f>IFERROR(__xludf.DUMMYFUNCTION("MAX(FILTER($H:$H,$E:$E=F221))"),"#N/A")</f>
        <v>#N/A</v>
      </c>
    </row>
    <row r="222">
      <c r="C222" s="4" t="s">
        <v>1867</v>
      </c>
      <c r="D222" s="4" t="str">
        <f t="shared" si="1"/>
        <v>{"valorA":"ar condicionado","valorB":68}</v>
      </c>
      <c r="E222" s="8" t="str">
        <f t="shared" si="2"/>
        <v>ar condicionado</v>
      </c>
      <c r="F222" s="8"/>
      <c r="G222" s="8" t="str">
        <f t="shared" si="3"/>
        <v>68</v>
      </c>
      <c r="H222" s="9">
        <f t="shared" si="4"/>
        <v>68</v>
      </c>
      <c r="I222" s="6" t="str">
        <f>IFERROR(__xludf.DUMMYFUNCTION("MAX(FILTER($H:$H,$E:$E=F222))"),"#N/A")</f>
        <v>#N/A</v>
      </c>
    </row>
    <row r="223">
      <c r="C223" s="4" t="s">
        <v>1919</v>
      </c>
      <c r="D223" s="4" t="str">
        <f t="shared" si="1"/>
        <v>{"valorA":"microondas","valorB":84}</v>
      </c>
      <c r="E223" s="8" t="str">
        <f t="shared" si="2"/>
        <v>microondas</v>
      </c>
      <c r="F223" s="8"/>
      <c r="G223" s="8" t="str">
        <f t="shared" si="3"/>
        <v>84</v>
      </c>
      <c r="H223" s="9">
        <f t="shared" si="4"/>
        <v>84</v>
      </c>
      <c r="I223" s="6" t="str">
        <f>IFERROR(__xludf.DUMMYFUNCTION("MAX(FILTER($H:$H,$E:$E=F223))"),"#N/A")</f>
        <v>#N/A</v>
      </c>
    </row>
    <row r="224">
      <c r="C224" s="4" t="s">
        <v>1870</v>
      </c>
      <c r="D224" s="4" t="str">
        <f t="shared" si="1"/>
        <v>{"valorA":"freezer","valorB":71}</v>
      </c>
      <c r="E224" s="8" t="str">
        <f t="shared" si="2"/>
        <v>freezer</v>
      </c>
      <c r="F224" s="8"/>
      <c r="G224" s="8" t="str">
        <f t="shared" si="3"/>
        <v>71</v>
      </c>
      <c r="H224" s="9">
        <f t="shared" si="4"/>
        <v>71</v>
      </c>
      <c r="I224" s="6" t="str">
        <f>IFERROR(__xludf.DUMMYFUNCTION("MAX(FILTER($H:$H,$E:$E=F224))"),"#N/A")</f>
        <v>#N/A</v>
      </c>
    </row>
    <row r="225">
      <c r="C225" s="4" t="s">
        <v>1875</v>
      </c>
      <c r="D225" s="4" t="str">
        <f t="shared" si="1"/>
        <v>{"valorA":"freezer","valorB":72}</v>
      </c>
      <c r="E225" s="8" t="str">
        <f t="shared" si="2"/>
        <v>freezer</v>
      </c>
      <c r="F225" s="8"/>
      <c r="G225" s="8" t="str">
        <f t="shared" si="3"/>
        <v>72</v>
      </c>
      <c r="H225" s="9">
        <f t="shared" si="4"/>
        <v>72</v>
      </c>
      <c r="I225" s="6" t="str">
        <f>IFERROR(__xludf.DUMMYFUNCTION("MAX(FILTER($H:$H,$E:$E=F225))"),"#N/A")</f>
        <v>#N/A</v>
      </c>
    </row>
    <row r="226">
      <c r="C226" s="4" t="s">
        <v>1925</v>
      </c>
      <c r="D226" s="4" t="str">
        <f t="shared" si="1"/>
        <v>{"valorA":"microondas","valorB":85}</v>
      </c>
      <c r="E226" s="8" t="str">
        <f t="shared" si="2"/>
        <v>microondas</v>
      </c>
      <c r="F226" s="8"/>
      <c r="G226" s="8" t="str">
        <f t="shared" si="3"/>
        <v>85</v>
      </c>
      <c r="H226" s="9">
        <f t="shared" si="4"/>
        <v>85</v>
      </c>
      <c r="I226" s="6" t="str">
        <f>IFERROR(__xludf.DUMMYFUNCTION("MAX(FILTER($H:$H,$E:$E=F226))"),"#N/A")</f>
        <v>#N/A</v>
      </c>
    </row>
    <row r="227">
      <c r="C227" s="4" t="s">
        <v>1928</v>
      </c>
      <c r="D227" s="4" t="str">
        <f t="shared" si="1"/>
        <v>{"valorA":"microondas","valorB":86}</v>
      </c>
      <c r="E227" s="8" t="str">
        <f t="shared" si="2"/>
        <v>microondas</v>
      </c>
      <c r="F227" s="8"/>
      <c r="G227" s="8" t="str">
        <f t="shared" si="3"/>
        <v>86</v>
      </c>
      <c r="H227" s="9">
        <f t="shared" si="4"/>
        <v>86</v>
      </c>
      <c r="I227" s="6" t="str">
        <f>IFERROR(__xludf.DUMMYFUNCTION("MAX(FILTER($H:$H,$E:$E=F227))"),"#N/A")</f>
        <v>#N/A</v>
      </c>
    </row>
    <row r="228">
      <c r="C228" s="4" t="s">
        <v>1930</v>
      </c>
      <c r="D228" s="4" t="str">
        <f t="shared" si="1"/>
        <v>{"valorA":"microondas","valorB":87}</v>
      </c>
      <c r="E228" s="8" t="str">
        <f t="shared" si="2"/>
        <v>microondas</v>
      </c>
      <c r="F228" s="8"/>
      <c r="G228" s="8" t="str">
        <f t="shared" si="3"/>
        <v>87</v>
      </c>
      <c r="H228" s="9">
        <f t="shared" si="4"/>
        <v>87</v>
      </c>
      <c r="I228" s="6" t="str">
        <f>IFERROR(__xludf.DUMMYFUNCTION("MAX(FILTER($H:$H,$E:$E=F228))"),"#N/A")</f>
        <v>#N/A</v>
      </c>
    </row>
    <row r="229">
      <c r="C229" s="4" t="s">
        <v>1868</v>
      </c>
      <c r="D229" s="4" t="str">
        <f t="shared" si="1"/>
        <v>{"valorA":"ar condicionado","valorB":69}</v>
      </c>
      <c r="E229" s="8" t="str">
        <f t="shared" si="2"/>
        <v>ar condicionado</v>
      </c>
      <c r="F229" s="8"/>
      <c r="G229" s="8" t="str">
        <f t="shared" si="3"/>
        <v>69</v>
      </c>
      <c r="H229" s="9">
        <f t="shared" si="4"/>
        <v>69</v>
      </c>
      <c r="I229" s="6" t="str">
        <f>IFERROR(__xludf.DUMMYFUNCTION("MAX(FILTER($H:$H,$E:$E=F229))"),"#N/A")</f>
        <v>#N/A</v>
      </c>
    </row>
    <row r="230">
      <c r="C230" s="4" t="s">
        <v>1932</v>
      </c>
      <c r="D230" s="4" t="str">
        <f t="shared" si="1"/>
        <v>{"valorA":"microondas","valorB":88}</v>
      </c>
      <c r="E230" s="8" t="str">
        <f t="shared" si="2"/>
        <v>microondas</v>
      </c>
      <c r="F230" s="8"/>
      <c r="G230" s="8" t="str">
        <f t="shared" si="3"/>
        <v>88</v>
      </c>
      <c r="H230" s="9">
        <f t="shared" si="4"/>
        <v>88</v>
      </c>
      <c r="I230" s="6" t="str">
        <f>IFERROR(__xludf.DUMMYFUNCTION("MAX(FILTER($H:$H,$E:$E=F230))"),"#N/A")</f>
        <v>#N/A</v>
      </c>
    </row>
    <row r="231">
      <c r="C231" s="4" t="s">
        <v>1936</v>
      </c>
      <c r="D231" s="4" t="str">
        <f t="shared" si="1"/>
        <v>{"valorA":"microondas","valorB":89}</v>
      </c>
      <c r="E231" s="8" t="str">
        <f t="shared" si="2"/>
        <v>microondas</v>
      </c>
      <c r="F231" s="8"/>
      <c r="G231" s="8" t="str">
        <f t="shared" si="3"/>
        <v>89</v>
      </c>
      <c r="H231" s="9">
        <f t="shared" si="4"/>
        <v>89</v>
      </c>
      <c r="I231" s="6" t="str">
        <f>IFERROR(__xludf.DUMMYFUNCTION("MAX(FILTER($H:$H,$E:$E=F231))"),"#N/A")</f>
        <v>#N/A</v>
      </c>
    </row>
    <row r="232">
      <c r="C232" s="4" t="s">
        <v>1871</v>
      </c>
      <c r="D232" s="4" t="str">
        <f t="shared" si="1"/>
        <v>{"valorA":"ar condicionado","valorB":70}</v>
      </c>
      <c r="E232" s="8" t="str">
        <f t="shared" si="2"/>
        <v>ar condicionado</v>
      </c>
      <c r="F232" s="8"/>
      <c r="G232" s="8" t="str">
        <f t="shared" si="3"/>
        <v>70</v>
      </c>
      <c r="H232" s="9">
        <f t="shared" si="4"/>
        <v>70</v>
      </c>
      <c r="I232" s="6" t="str">
        <f>IFERROR(__xludf.DUMMYFUNCTION("MAX(FILTER($H:$H,$E:$E=F232))"),"#N/A")</f>
        <v>#N/A</v>
      </c>
    </row>
    <row r="233">
      <c r="C233" s="4" t="s">
        <v>1872</v>
      </c>
      <c r="D233" s="4" t="str">
        <f t="shared" si="1"/>
        <v>{"valorA":"ar condicionado","valorB":71}</v>
      </c>
      <c r="E233" s="8" t="str">
        <f t="shared" si="2"/>
        <v>ar condicionado</v>
      </c>
      <c r="F233" s="8"/>
      <c r="G233" s="8" t="str">
        <f t="shared" si="3"/>
        <v>71</v>
      </c>
      <c r="H233" s="9">
        <f t="shared" si="4"/>
        <v>71</v>
      </c>
      <c r="I233" s="6" t="str">
        <f>IFERROR(__xludf.DUMMYFUNCTION("MAX(FILTER($H:$H,$E:$E=F233))"),"#N/A")</f>
        <v>#N/A</v>
      </c>
    </row>
    <row r="234">
      <c r="C234" s="4" t="s">
        <v>1876</v>
      </c>
      <c r="D234" s="4" t="str">
        <f t="shared" si="1"/>
        <v>{"valorA":"freezer","valorB":73}</v>
      </c>
      <c r="E234" s="8" t="str">
        <f t="shared" si="2"/>
        <v>freezer</v>
      </c>
      <c r="F234" s="8"/>
      <c r="G234" s="8" t="str">
        <f t="shared" si="3"/>
        <v>73</v>
      </c>
      <c r="H234" s="9">
        <f t="shared" si="4"/>
        <v>73</v>
      </c>
      <c r="I234" s="6" t="str">
        <f>IFERROR(__xludf.DUMMYFUNCTION("MAX(FILTER($H:$H,$E:$E=F234))"),"#N/A")</f>
        <v>#N/A</v>
      </c>
    </row>
    <row r="235">
      <c r="C235" s="4" t="s">
        <v>1874</v>
      </c>
      <c r="D235" s="4" t="str">
        <f t="shared" si="1"/>
        <v>{"valorA":"ar condicionado","valorB":72}</v>
      </c>
      <c r="E235" s="8" t="str">
        <f t="shared" si="2"/>
        <v>ar condicionado</v>
      </c>
      <c r="F235" s="8"/>
      <c r="G235" s="8" t="str">
        <f t="shared" si="3"/>
        <v>72</v>
      </c>
      <c r="H235" s="9">
        <f t="shared" si="4"/>
        <v>72</v>
      </c>
      <c r="I235" s="6" t="str">
        <f>IFERROR(__xludf.DUMMYFUNCTION("MAX(FILTER($H:$H,$E:$E=F235))"),"#N/A")</f>
        <v>#N/A</v>
      </c>
    </row>
    <row r="236">
      <c r="C236" s="4" t="s">
        <v>1878</v>
      </c>
      <c r="D236" s="4" t="str">
        <f t="shared" si="1"/>
        <v>{"valorA":"ar condicionado","valorB":73}</v>
      </c>
      <c r="E236" s="8" t="str">
        <f t="shared" si="2"/>
        <v>ar condicionado</v>
      </c>
      <c r="F236" s="8"/>
      <c r="G236" s="8" t="str">
        <f t="shared" si="3"/>
        <v>73</v>
      </c>
      <c r="H236" s="9">
        <f t="shared" si="4"/>
        <v>73</v>
      </c>
      <c r="I236" s="6" t="str">
        <f>IFERROR(__xludf.DUMMYFUNCTION("MAX(FILTER($H:$H,$E:$E=F236))"),"#N/A")</f>
        <v>#N/A</v>
      </c>
    </row>
    <row r="237">
      <c r="C237" s="4" t="s">
        <v>1938</v>
      </c>
      <c r="D237" s="4" t="str">
        <f t="shared" si="1"/>
        <v>{"valorA":"microondas","valorB":90}</v>
      </c>
      <c r="E237" s="8" t="str">
        <f t="shared" si="2"/>
        <v>microondas</v>
      </c>
      <c r="F237" s="8"/>
      <c r="G237" s="8" t="str">
        <f t="shared" si="3"/>
        <v>90</v>
      </c>
      <c r="H237" s="9">
        <f t="shared" si="4"/>
        <v>90</v>
      </c>
      <c r="I237" s="6" t="str">
        <f>IFERROR(__xludf.DUMMYFUNCTION("MAX(FILTER($H:$H,$E:$E=F237))"),"#N/A")</f>
        <v>#N/A</v>
      </c>
    </row>
    <row r="238">
      <c r="C238" s="4" t="s">
        <v>1877</v>
      </c>
      <c r="D238" s="4" t="str">
        <f t="shared" si="1"/>
        <v>{"valorA":"freezer","valorB":74}</v>
      </c>
      <c r="E238" s="8" t="str">
        <f t="shared" si="2"/>
        <v>freezer</v>
      </c>
      <c r="F238" s="8"/>
      <c r="G238" s="8" t="str">
        <f t="shared" si="3"/>
        <v>74</v>
      </c>
      <c r="H238" s="9">
        <f t="shared" si="4"/>
        <v>74</v>
      </c>
      <c r="I238" s="6" t="str">
        <f>IFERROR(__xludf.DUMMYFUNCTION("MAX(FILTER($H:$H,$E:$E=F238))"),"#N/A")</f>
        <v>#N/A</v>
      </c>
    </row>
    <row r="239">
      <c r="C239" s="4" t="s">
        <v>1885</v>
      </c>
      <c r="D239" s="4" t="str">
        <f t="shared" si="1"/>
        <v>{"valorA":"freezer","valorB":75}</v>
      </c>
      <c r="E239" s="8" t="str">
        <f t="shared" si="2"/>
        <v>freezer</v>
      </c>
      <c r="F239" s="8"/>
      <c r="G239" s="8" t="str">
        <f t="shared" si="3"/>
        <v>75</v>
      </c>
      <c r="H239" s="9">
        <f t="shared" si="4"/>
        <v>75</v>
      </c>
      <c r="I239" s="6" t="str">
        <f>IFERROR(__xludf.DUMMYFUNCTION("MAX(FILTER($H:$H,$E:$E=F239))"),"#N/A")</f>
        <v>#N/A</v>
      </c>
    </row>
    <row r="240">
      <c r="C240" s="4" t="s">
        <v>1939</v>
      </c>
      <c r="D240" s="4" t="str">
        <f t="shared" si="1"/>
        <v>{"valorA":"microondas","valorB":91}</v>
      </c>
      <c r="E240" s="8" t="str">
        <f t="shared" si="2"/>
        <v>microondas</v>
      </c>
      <c r="F240" s="8"/>
      <c r="G240" s="8" t="str">
        <f t="shared" si="3"/>
        <v>91</v>
      </c>
      <c r="H240" s="9">
        <f t="shared" si="4"/>
        <v>91</v>
      </c>
      <c r="I240" s="6" t="str">
        <f>IFERROR(__xludf.DUMMYFUNCTION("MAX(FILTER($H:$H,$E:$E=F240))"),"#N/A")</f>
        <v>#N/A</v>
      </c>
    </row>
    <row r="241">
      <c r="C241" s="4" t="s">
        <v>1886</v>
      </c>
      <c r="D241" s="4" t="str">
        <f t="shared" si="1"/>
        <v>{"valorA":"freezer","valorB":76}</v>
      </c>
      <c r="E241" s="8" t="str">
        <f t="shared" si="2"/>
        <v>freezer</v>
      </c>
      <c r="F241" s="8"/>
      <c r="G241" s="8" t="str">
        <f t="shared" si="3"/>
        <v>76</v>
      </c>
      <c r="H241" s="9">
        <f t="shared" si="4"/>
        <v>76</v>
      </c>
      <c r="I241" s="6" t="str">
        <f>IFERROR(__xludf.DUMMYFUNCTION("MAX(FILTER($H:$H,$E:$E=F241))"),"#N/A")</f>
        <v>#N/A</v>
      </c>
    </row>
    <row r="242">
      <c r="C242" s="4" t="s">
        <v>1942</v>
      </c>
      <c r="D242" s="4" t="str">
        <f t="shared" si="1"/>
        <v>{"valorA":"microondas","valorB":92}</v>
      </c>
      <c r="E242" s="8" t="str">
        <f t="shared" si="2"/>
        <v>microondas</v>
      </c>
      <c r="F242" s="8"/>
      <c r="G242" s="8" t="str">
        <f t="shared" si="3"/>
        <v>92</v>
      </c>
      <c r="H242" s="9">
        <f t="shared" si="4"/>
        <v>92</v>
      </c>
      <c r="I242" s="6" t="str">
        <f>IFERROR(__xludf.DUMMYFUNCTION("MAX(FILTER($H:$H,$E:$E=F242))"),"#N/A")</f>
        <v>#N/A</v>
      </c>
    </row>
    <row r="243">
      <c r="C243" s="4" t="s">
        <v>1890</v>
      </c>
      <c r="D243" s="4" t="str">
        <f t="shared" si="1"/>
        <v>{"valorA":"freezer","valorB":77}</v>
      </c>
      <c r="E243" s="8" t="str">
        <f t="shared" si="2"/>
        <v>freezer</v>
      </c>
      <c r="F243" s="8"/>
      <c r="G243" s="8" t="str">
        <f t="shared" si="3"/>
        <v>77</v>
      </c>
      <c r="H243" s="9">
        <f t="shared" si="4"/>
        <v>77</v>
      </c>
      <c r="I243" s="6" t="str">
        <f>IFERROR(__xludf.DUMMYFUNCTION("MAX(FILTER($H:$H,$E:$E=F243))"),"#N/A")</f>
        <v>#N/A</v>
      </c>
    </row>
    <row r="244">
      <c r="C244" s="4" t="s">
        <v>1891</v>
      </c>
      <c r="D244" s="4" t="str">
        <f t="shared" si="1"/>
        <v>{"valorA":"freezer","valorB":78}</v>
      </c>
      <c r="E244" s="8" t="str">
        <f t="shared" si="2"/>
        <v>freezer</v>
      </c>
      <c r="F244" s="8"/>
      <c r="G244" s="8" t="str">
        <f t="shared" si="3"/>
        <v>78</v>
      </c>
      <c r="H244" s="9">
        <f t="shared" si="4"/>
        <v>78</v>
      </c>
      <c r="I244" s="6" t="str">
        <f>IFERROR(__xludf.DUMMYFUNCTION("MAX(FILTER($H:$H,$E:$E=F244))"),"#N/A")</f>
        <v>#N/A</v>
      </c>
    </row>
    <row r="245">
      <c r="C245" s="4" t="s">
        <v>1943</v>
      </c>
      <c r="D245" s="4" t="str">
        <f t="shared" si="1"/>
        <v>{"valorA":"microondas","valorB":93}</v>
      </c>
      <c r="E245" s="8" t="str">
        <f t="shared" si="2"/>
        <v>microondas</v>
      </c>
      <c r="F245" s="8"/>
      <c r="G245" s="8" t="str">
        <f t="shared" si="3"/>
        <v>93</v>
      </c>
      <c r="H245" s="9">
        <f t="shared" si="4"/>
        <v>93</v>
      </c>
      <c r="I245" s="6" t="str">
        <f>IFERROR(__xludf.DUMMYFUNCTION("MAX(FILTER($H:$H,$E:$E=F245))"),"#N/A")</f>
        <v>#N/A</v>
      </c>
    </row>
    <row r="246">
      <c r="C246" s="4" t="s">
        <v>1879</v>
      </c>
      <c r="D246" s="4" t="str">
        <f t="shared" si="1"/>
        <v>{"valorA":"ar condicionado","valorB":74}</v>
      </c>
      <c r="E246" s="8" t="str">
        <f t="shared" si="2"/>
        <v>ar condicionado</v>
      </c>
      <c r="F246" s="8"/>
      <c r="G246" s="8" t="str">
        <f t="shared" si="3"/>
        <v>74</v>
      </c>
      <c r="H246" s="9">
        <f t="shared" si="4"/>
        <v>74</v>
      </c>
      <c r="I246" s="6" t="str">
        <f>IFERROR(__xludf.DUMMYFUNCTION("MAX(FILTER($H:$H,$E:$E=F246))"),"#N/A")</f>
        <v>#N/A</v>
      </c>
    </row>
    <row r="247">
      <c r="C247" s="4" t="s">
        <v>1880</v>
      </c>
      <c r="D247" s="4" t="str">
        <f t="shared" si="1"/>
        <v>{"valorA":"ar condicionado","valorB":75}</v>
      </c>
      <c r="E247" s="8" t="str">
        <f t="shared" si="2"/>
        <v>ar condicionado</v>
      </c>
      <c r="F247" s="8"/>
      <c r="G247" s="8" t="str">
        <f t="shared" si="3"/>
        <v>75</v>
      </c>
      <c r="H247" s="9">
        <f t="shared" si="4"/>
        <v>75</v>
      </c>
      <c r="I247" s="6" t="str">
        <f>IFERROR(__xludf.DUMMYFUNCTION("MAX(FILTER($H:$H,$E:$E=F247))"),"#N/A")</f>
        <v>#N/A</v>
      </c>
    </row>
    <row r="248">
      <c r="C248" s="4" t="s">
        <v>1894</v>
      </c>
      <c r="D248" s="4" t="str">
        <f t="shared" si="1"/>
        <v>{"valorA":"freezer","valorB":79}</v>
      </c>
      <c r="E248" s="8" t="str">
        <f t="shared" si="2"/>
        <v>freezer</v>
      </c>
      <c r="F248" s="8"/>
      <c r="G248" s="8" t="str">
        <f t="shared" si="3"/>
        <v>79</v>
      </c>
      <c r="H248" s="9">
        <f t="shared" si="4"/>
        <v>79</v>
      </c>
      <c r="I248" s="6" t="str">
        <f>IFERROR(__xludf.DUMMYFUNCTION("MAX(FILTER($H:$H,$E:$E=F248))"),"#N/A")</f>
        <v>#N/A</v>
      </c>
    </row>
    <row r="249">
      <c r="C249" s="4" t="s">
        <v>1895</v>
      </c>
      <c r="D249" s="4" t="str">
        <f t="shared" si="1"/>
        <v>{"valorA":"freezer","valorB":80}</v>
      </c>
      <c r="E249" s="8" t="str">
        <f t="shared" si="2"/>
        <v>freezer</v>
      </c>
      <c r="F249" s="8"/>
      <c r="G249" s="8" t="str">
        <f t="shared" si="3"/>
        <v>80</v>
      </c>
      <c r="H249" s="9">
        <f t="shared" si="4"/>
        <v>80</v>
      </c>
      <c r="I249" s="6" t="str">
        <f>IFERROR(__xludf.DUMMYFUNCTION("MAX(FILTER($H:$H,$E:$E=F249))"),"#N/A")</f>
        <v>#N/A</v>
      </c>
    </row>
    <row r="250">
      <c r="C250" s="4" t="s">
        <v>1952</v>
      </c>
      <c r="D250" s="4" t="str">
        <f t="shared" si="1"/>
        <v>{"valorA":"microondas","valorB":94}</v>
      </c>
      <c r="E250" s="8" t="str">
        <f t="shared" si="2"/>
        <v>microondas</v>
      </c>
      <c r="F250" s="8"/>
      <c r="G250" s="8" t="str">
        <f t="shared" si="3"/>
        <v>94</v>
      </c>
      <c r="H250" s="9">
        <f t="shared" si="4"/>
        <v>94</v>
      </c>
      <c r="I250" s="6" t="str">
        <f>IFERROR(__xludf.DUMMYFUNCTION("MAX(FILTER($H:$H,$E:$E=F250))"),"#N/A")</f>
        <v>#N/A</v>
      </c>
    </row>
    <row r="251">
      <c r="C251" s="4" t="s">
        <v>1953</v>
      </c>
      <c r="D251" s="4" t="str">
        <f t="shared" si="1"/>
        <v>{"valorA":"microondas","valorB":95}</v>
      </c>
      <c r="E251" s="8" t="str">
        <f t="shared" si="2"/>
        <v>microondas</v>
      </c>
      <c r="F251" s="8"/>
      <c r="G251" s="8" t="str">
        <f t="shared" si="3"/>
        <v>95</v>
      </c>
      <c r="H251" s="9">
        <f t="shared" si="4"/>
        <v>95</v>
      </c>
      <c r="I251" s="6" t="str">
        <f>IFERROR(__xludf.DUMMYFUNCTION("MAX(FILTER($H:$H,$E:$E=F251))"),"#N/A")</f>
        <v>#N/A</v>
      </c>
    </row>
    <row r="252">
      <c r="C252" s="4" t="s">
        <v>1956</v>
      </c>
      <c r="D252" s="4" t="str">
        <f t="shared" si="1"/>
        <v>{"valorA":"microondas","valorB":96}</v>
      </c>
      <c r="E252" s="8" t="str">
        <f t="shared" si="2"/>
        <v>microondas</v>
      </c>
      <c r="F252" s="8"/>
      <c r="G252" s="8" t="str">
        <f t="shared" si="3"/>
        <v>96</v>
      </c>
      <c r="H252" s="9">
        <f t="shared" si="4"/>
        <v>96</v>
      </c>
      <c r="I252" s="6" t="str">
        <f>IFERROR(__xludf.DUMMYFUNCTION("MAX(FILTER($H:$H,$E:$E=F252))"),"#N/A")</f>
        <v>#N/A</v>
      </c>
    </row>
    <row r="253">
      <c r="C253" s="4" t="s">
        <v>1960</v>
      </c>
      <c r="D253" s="4" t="str">
        <f t="shared" si="1"/>
        <v>{"valorA":"microondas","valorB":97}</v>
      </c>
      <c r="E253" s="8" t="str">
        <f t="shared" si="2"/>
        <v>microondas</v>
      </c>
      <c r="F253" s="8"/>
      <c r="G253" s="8" t="str">
        <f t="shared" si="3"/>
        <v>97</v>
      </c>
      <c r="H253" s="9">
        <f t="shared" si="4"/>
        <v>97</v>
      </c>
      <c r="I253" s="6" t="str">
        <f>IFERROR(__xludf.DUMMYFUNCTION("MAX(FILTER($H:$H,$E:$E=F253))"),"#N/A")</f>
        <v>#N/A</v>
      </c>
    </row>
    <row r="254">
      <c r="C254" s="4" t="s">
        <v>1961</v>
      </c>
      <c r="D254" s="4" t="str">
        <f t="shared" si="1"/>
        <v>{"valorA":"microondas","valorB":98}</v>
      </c>
      <c r="E254" s="8" t="str">
        <f t="shared" si="2"/>
        <v>microondas</v>
      </c>
      <c r="F254" s="8"/>
      <c r="G254" s="8" t="str">
        <f t="shared" si="3"/>
        <v>98</v>
      </c>
      <c r="H254" s="9">
        <f t="shared" si="4"/>
        <v>98</v>
      </c>
      <c r="I254" s="6" t="str">
        <f>IFERROR(__xludf.DUMMYFUNCTION("MAX(FILTER($H:$H,$E:$E=F254))"),"#N/A")</f>
        <v>#N/A</v>
      </c>
    </row>
    <row r="255">
      <c r="C255" s="4" t="s">
        <v>1965</v>
      </c>
      <c r="D255" s="4" t="str">
        <f t="shared" si="1"/>
        <v>{"valorA":"microondas","valorB":99}</v>
      </c>
      <c r="E255" s="8" t="str">
        <f t="shared" si="2"/>
        <v>microondas</v>
      </c>
      <c r="F255" s="8"/>
      <c r="G255" s="8" t="str">
        <f t="shared" si="3"/>
        <v>99</v>
      </c>
      <c r="H255" s="9">
        <f t="shared" si="4"/>
        <v>99</v>
      </c>
      <c r="I255" s="6" t="str">
        <f>IFERROR(__xludf.DUMMYFUNCTION("MAX(FILTER($H:$H,$E:$E=F255))"),"#N/A")</f>
        <v>#N/A</v>
      </c>
    </row>
    <row r="256">
      <c r="C256" s="4" t="s">
        <v>1898</v>
      </c>
      <c r="D256" s="4" t="str">
        <f t="shared" si="1"/>
        <v>{"valorA":"freezer","valorB":81}</v>
      </c>
      <c r="E256" s="8" t="str">
        <f t="shared" si="2"/>
        <v>freezer</v>
      </c>
      <c r="F256" s="8"/>
      <c r="G256" s="8" t="str">
        <f t="shared" si="3"/>
        <v>81</v>
      </c>
      <c r="H256" s="9">
        <f t="shared" si="4"/>
        <v>81</v>
      </c>
      <c r="I256" s="6" t="str">
        <f>IFERROR(__xludf.DUMMYFUNCTION("MAX(FILTER($H:$H,$E:$E=F256))"),"#N/A")</f>
        <v>#N/A</v>
      </c>
    </row>
    <row r="257">
      <c r="C257" s="4" t="s">
        <v>1883</v>
      </c>
      <c r="D257" s="4" t="str">
        <f t="shared" si="1"/>
        <v>{"valorA":"ar condicionado","valorB":76}</v>
      </c>
      <c r="E257" s="8" t="str">
        <f t="shared" si="2"/>
        <v>ar condicionado</v>
      </c>
      <c r="F257" s="8"/>
      <c r="G257" s="8" t="str">
        <f t="shared" si="3"/>
        <v>76</v>
      </c>
      <c r="H257" s="9">
        <f t="shared" si="4"/>
        <v>76</v>
      </c>
      <c r="I257" s="6" t="str">
        <f>IFERROR(__xludf.DUMMYFUNCTION("MAX(FILTER($H:$H,$E:$E=F257))"),"#N/A")</f>
        <v>#N/A</v>
      </c>
    </row>
    <row r="258">
      <c r="C258" s="4" t="s">
        <v>1884</v>
      </c>
      <c r="D258" s="4" t="str">
        <f t="shared" si="1"/>
        <v>{"valorA":"ar condicionado","valorB":77}</v>
      </c>
      <c r="E258" s="8" t="str">
        <f t="shared" si="2"/>
        <v>ar condicionado</v>
      </c>
      <c r="F258" s="8"/>
      <c r="G258" s="8" t="str">
        <f t="shared" si="3"/>
        <v>77</v>
      </c>
      <c r="H258" s="9">
        <f t="shared" si="4"/>
        <v>77</v>
      </c>
      <c r="I258" s="6" t="str">
        <f>IFERROR(__xludf.DUMMYFUNCTION("MAX(FILTER($H:$H,$E:$E=F258))"),"#N/A")</f>
        <v>#N/A</v>
      </c>
    </row>
    <row r="259">
      <c r="C259" s="4" t="s">
        <v>1967</v>
      </c>
      <c r="D259" s="4" t="str">
        <f t="shared" si="1"/>
        <v>{"valorA":"microondas","valorB":100}</v>
      </c>
      <c r="E259" s="8" t="str">
        <f t="shared" si="2"/>
        <v>microondas</v>
      </c>
      <c r="F259" s="8"/>
      <c r="G259" s="8" t="str">
        <f t="shared" si="3"/>
        <v>100</v>
      </c>
      <c r="H259" s="9">
        <f t="shared" si="4"/>
        <v>100</v>
      </c>
      <c r="I259" s="6" t="str">
        <f>IFERROR(__xludf.DUMMYFUNCTION("MAX(FILTER($H:$H,$E:$E=F259))"),"#N/A")</f>
        <v>#N/A</v>
      </c>
    </row>
    <row r="260">
      <c r="C260" s="4" t="s">
        <v>1889</v>
      </c>
      <c r="D260" s="4" t="str">
        <f t="shared" si="1"/>
        <v>{"valorA":"ar condicionado","valorB":78}</v>
      </c>
      <c r="E260" s="8" t="str">
        <f t="shared" si="2"/>
        <v>ar condicionado</v>
      </c>
      <c r="F260" s="8"/>
      <c r="G260" s="8" t="str">
        <f t="shared" si="3"/>
        <v>78</v>
      </c>
      <c r="H260" s="9">
        <f t="shared" si="4"/>
        <v>78</v>
      </c>
      <c r="I260" s="6" t="str">
        <f>IFERROR(__xludf.DUMMYFUNCTION("MAX(FILTER($H:$H,$E:$E=F260))"),"#N/A")</f>
        <v>#N/A</v>
      </c>
    </row>
    <row r="261">
      <c r="C261" s="4" t="s">
        <v>1905</v>
      </c>
      <c r="D261" s="4" t="str">
        <f t="shared" si="1"/>
        <v>{"valorA":"freezer","valorB":82}</v>
      </c>
      <c r="E261" s="8" t="str">
        <f t="shared" si="2"/>
        <v>freezer</v>
      </c>
      <c r="F261" s="8"/>
      <c r="G261" s="8" t="str">
        <f t="shared" si="3"/>
        <v>82</v>
      </c>
      <c r="H261" s="9">
        <f t="shared" si="4"/>
        <v>82</v>
      </c>
      <c r="I261" s="6" t="str">
        <f>IFERROR(__xludf.DUMMYFUNCTION("MAX(FILTER($H:$H,$E:$E=F261))"),"#N/A")</f>
        <v>#N/A</v>
      </c>
    </row>
    <row r="262">
      <c r="C262" s="4" t="s">
        <v>1893</v>
      </c>
      <c r="D262" s="4" t="str">
        <f t="shared" si="1"/>
        <v>{"valorA":"ar condicionado","valorB":79}</v>
      </c>
      <c r="E262" s="8" t="str">
        <f t="shared" si="2"/>
        <v>ar condicionado</v>
      </c>
      <c r="F262" s="8"/>
      <c r="G262" s="8" t="str">
        <f t="shared" si="3"/>
        <v>79</v>
      </c>
      <c r="H262" s="9">
        <f t="shared" si="4"/>
        <v>79</v>
      </c>
      <c r="I262" s="6" t="str">
        <f>IFERROR(__xludf.DUMMYFUNCTION("MAX(FILTER($H:$H,$E:$E=F262))"),"#N/A")</f>
        <v>#N/A</v>
      </c>
    </row>
    <row r="263">
      <c r="C263" s="4" t="s">
        <v>1896</v>
      </c>
      <c r="D263" s="4" t="str">
        <f t="shared" si="1"/>
        <v>{"valorA":"ar condicionado","valorB":80}</v>
      </c>
      <c r="E263" s="8" t="str">
        <f t="shared" si="2"/>
        <v>ar condicionado</v>
      </c>
      <c r="F263" s="8"/>
      <c r="G263" s="8" t="str">
        <f t="shared" si="3"/>
        <v>80</v>
      </c>
      <c r="H263" s="9">
        <f t="shared" si="4"/>
        <v>80</v>
      </c>
      <c r="I263" s="6" t="str">
        <f>IFERROR(__xludf.DUMMYFUNCTION("MAX(FILTER($H:$H,$E:$E=F263))"),"#N/A")</f>
        <v>#N/A</v>
      </c>
    </row>
    <row r="264">
      <c r="C264" s="4" t="s">
        <v>1907</v>
      </c>
      <c r="D264" s="4" t="str">
        <f t="shared" si="1"/>
        <v>{"valorA":"freezer","valorB":83}</v>
      </c>
      <c r="E264" s="8" t="str">
        <f t="shared" si="2"/>
        <v>freezer</v>
      </c>
      <c r="F264" s="8"/>
      <c r="G264" s="8" t="str">
        <f t="shared" si="3"/>
        <v>83</v>
      </c>
      <c r="H264" s="9">
        <f t="shared" si="4"/>
        <v>83</v>
      </c>
      <c r="I264" s="6" t="str">
        <f>IFERROR(__xludf.DUMMYFUNCTION("MAX(FILTER($H:$H,$E:$E=F264))"),"#N/A")</f>
        <v>#N/A</v>
      </c>
    </row>
    <row r="265">
      <c r="C265" s="4" t="s">
        <v>1969</v>
      </c>
      <c r="D265" s="4" t="str">
        <f t="shared" si="1"/>
        <v>{"valorA":"microondas","valorB":101}</v>
      </c>
      <c r="E265" s="8" t="str">
        <f t="shared" si="2"/>
        <v>microondas</v>
      </c>
      <c r="F265" s="8"/>
      <c r="G265" s="8" t="str">
        <f t="shared" si="3"/>
        <v>101</v>
      </c>
      <c r="H265" s="9">
        <f t="shared" si="4"/>
        <v>101</v>
      </c>
      <c r="I265" s="6" t="str">
        <f>IFERROR(__xludf.DUMMYFUNCTION("MAX(FILTER($H:$H,$E:$E=F265))"),"#N/A")</f>
        <v>#N/A</v>
      </c>
    </row>
    <row r="266">
      <c r="C266" s="4" t="s">
        <v>1970</v>
      </c>
      <c r="D266" s="4" t="str">
        <f t="shared" si="1"/>
        <v>{"valorA":"microondas","valorB":102}</v>
      </c>
      <c r="E266" s="8" t="str">
        <f t="shared" si="2"/>
        <v>microondas</v>
      </c>
      <c r="F266" s="8"/>
      <c r="G266" s="8" t="str">
        <f t="shared" si="3"/>
        <v>102</v>
      </c>
      <c r="H266" s="9">
        <f t="shared" si="4"/>
        <v>102</v>
      </c>
      <c r="I266" s="6" t="str">
        <f>IFERROR(__xludf.DUMMYFUNCTION("MAX(FILTER($H:$H,$E:$E=F266))"),"#N/A")</f>
        <v>#N/A</v>
      </c>
    </row>
    <row r="267">
      <c r="C267" s="4" t="s">
        <v>1911</v>
      </c>
      <c r="D267" s="4" t="str">
        <f t="shared" si="1"/>
        <v>{"valorA":"freezer","valorB":84}</v>
      </c>
      <c r="E267" s="8" t="str">
        <f t="shared" si="2"/>
        <v>freezer</v>
      </c>
      <c r="F267" s="8"/>
      <c r="G267" s="8" t="str">
        <f t="shared" si="3"/>
        <v>84</v>
      </c>
      <c r="H267" s="9">
        <f t="shared" si="4"/>
        <v>84</v>
      </c>
      <c r="I267" s="6" t="str">
        <f>IFERROR(__xludf.DUMMYFUNCTION("MAX(FILTER($H:$H,$E:$E=F267))"),"#N/A")</f>
        <v>#N/A</v>
      </c>
    </row>
    <row r="268">
      <c r="C268" s="4" t="s">
        <v>1900</v>
      </c>
      <c r="D268" s="4" t="str">
        <f t="shared" si="1"/>
        <v>{"valorA":"ar condicionado","valorB":81}</v>
      </c>
      <c r="E268" s="8" t="str">
        <f t="shared" si="2"/>
        <v>ar condicionado</v>
      </c>
      <c r="F268" s="8"/>
      <c r="G268" s="8" t="str">
        <f t="shared" si="3"/>
        <v>81</v>
      </c>
      <c r="H268" s="9">
        <f t="shared" si="4"/>
        <v>81</v>
      </c>
      <c r="I268" s="6" t="str">
        <f>IFERROR(__xludf.DUMMYFUNCTION("MAX(FILTER($H:$H,$E:$E=F268))"),"#N/A")</f>
        <v>#N/A</v>
      </c>
    </row>
    <row r="269">
      <c r="C269" s="4" t="s">
        <v>1972</v>
      </c>
      <c r="D269" s="4" t="str">
        <f t="shared" si="1"/>
        <v>{"valorA":"microondas","valorB":103}</v>
      </c>
      <c r="E269" s="8" t="str">
        <f t="shared" si="2"/>
        <v>microondas</v>
      </c>
      <c r="F269" s="8"/>
      <c r="G269" s="8" t="str">
        <f t="shared" si="3"/>
        <v>103</v>
      </c>
      <c r="H269" s="9">
        <f t="shared" si="4"/>
        <v>103</v>
      </c>
      <c r="I269" s="6" t="str">
        <f>IFERROR(__xludf.DUMMYFUNCTION("MAX(FILTER($H:$H,$E:$E=F269))"),"#N/A")</f>
        <v>#N/A</v>
      </c>
    </row>
    <row r="270">
      <c r="C270" s="4" t="s">
        <v>1901</v>
      </c>
      <c r="D270" s="4" t="str">
        <f t="shared" si="1"/>
        <v>{"valorA":"ar condicionado","valorB":82}</v>
      </c>
      <c r="E270" s="8" t="str">
        <f t="shared" si="2"/>
        <v>ar condicionado</v>
      </c>
      <c r="F270" s="8"/>
      <c r="G270" s="8" t="str">
        <f t="shared" si="3"/>
        <v>82</v>
      </c>
      <c r="H270" s="9">
        <f t="shared" si="4"/>
        <v>82</v>
      </c>
      <c r="I270" s="6" t="str">
        <f>IFERROR(__xludf.DUMMYFUNCTION("MAX(FILTER($H:$H,$E:$E=F270))"),"#N/A")</f>
        <v>#N/A</v>
      </c>
    </row>
    <row r="271">
      <c r="C271" s="4" t="s">
        <v>1902</v>
      </c>
      <c r="D271" s="4" t="str">
        <f t="shared" si="1"/>
        <v>{"valorA":"ar condicionado","valorB":83}</v>
      </c>
      <c r="E271" s="8" t="str">
        <f t="shared" si="2"/>
        <v>ar condicionado</v>
      </c>
      <c r="F271" s="8"/>
      <c r="G271" s="8" t="str">
        <f t="shared" si="3"/>
        <v>83</v>
      </c>
      <c r="H271" s="9">
        <f t="shared" si="4"/>
        <v>83</v>
      </c>
      <c r="I271" s="6" t="str">
        <f>IFERROR(__xludf.DUMMYFUNCTION("MAX(FILTER($H:$H,$E:$E=F271))"),"#N/A")</f>
        <v>#N/A</v>
      </c>
    </row>
    <row r="272">
      <c r="C272" s="4" t="s">
        <v>1912</v>
      </c>
      <c r="D272" s="4" t="str">
        <f t="shared" si="1"/>
        <v>{"valorA":"freezer","valorB":85}</v>
      </c>
      <c r="E272" s="8" t="str">
        <f t="shared" si="2"/>
        <v>freezer</v>
      </c>
      <c r="F272" s="8"/>
      <c r="G272" s="8" t="str">
        <f t="shared" si="3"/>
        <v>85</v>
      </c>
      <c r="H272" s="9">
        <f t="shared" si="4"/>
        <v>85</v>
      </c>
      <c r="I272" s="6" t="str">
        <f>IFERROR(__xludf.DUMMYFUNCTION("MAX(FILTER($H:$H,$E:$E=F272))"),"#N/A")</f>
        <v>#N/A</v>
      </c>
    </row>
    <row r="273">
      <c r="C273" s="4" t="s">
        <v>1904</v>
      </c>
      <c r="D273" s="4" t="str">
        <f t="shared" si="1"/>
        <v>{"valorA":"ar condicionado","valorB":84}</v>
      </c>
      <c r="E273" s="8" t="str">
        <f t="shared" si="2"/>
        <v>ar condicionado</v>
      </c>
      <c r="F273" s="8"/>
      <c r="G273" s="8" t="str">
        <f t="shared" si="3"/>
        <v>84</v>
      </c>
      <c r="H273" s="9">
        <f t="shared" si="4"/>
        <v>84</v>
      </c>
      <c r="I273" s="6" t="str">
        <f>IFERROR(__xludf.DUMMYFUNCTION("MAX(FILTER($H:$H,$E:$E=F273))"),"#N/A")</f>
        <v>#N/A</v>
      </c>
    </row>
    <row r="274">
      <c r="C274" s="4" t="s">
        <v>1973</v>
      </c>
      <c r="D274" s="4" t="str">
        <f t="shared" si="1"/>
        <v>{"valorA":"microondas","valorB":104}</v>
      </c>
      <c r="E274" s="8" t="str">
        <f t="shared" si="2"/>
        <v>microondas</v>
      </c>
      <c r="F274" s="8"/>
      <c r="G274" s="8" t="str">
        <f t="shared" si="3"/>
        <v>104</v>
      </c>
      <c r="H274" s="9">
        <f t="shared" si="4"/>
        <v>104</v>
      </c>
      <c r="I274" s="6" t="str">
        <f>IFERROR(__xludf.DUMMYFUNCTION("MAX(FILTER($H:$H,$E:$E=F274))"),"#N/A")</f>
        <v>#N/A</v>
      </c>
    </row>
    <row r="275">
      <c r="C275" s="4" t="s">
        <v>1906</v>
      </c>
      <c r="D275" s="4" t="str">
        <f t="shared" si="1"/>
        <v>{"valorA":"ar condicionado","valorB":85}</v>
      </c>
      <c r="E275" s="8" t="str">
        <f t="shared" si="2"/>
        <v>ar condicionado</v>
      </c>
      <c r="F275" s="8"/>
      <c r="G275" s="8" t="str">
        <f t="shared" si="3"/>
        <v>85</v>
      </c>
      <c r="H275" s="9">
        <f t="shared" si="4"/>
        <v>85</v>
      </c>
      <c r="I275" s="6" t="str">
        <f>IFERROR(__xludf.DUMMYFUNCTION("MAX(FILTER($H:$H,$E:$E=F275))"),"#N/A")</f>
        <v>#N/A</v>
      </c>
    </row>
    <row r="276">
      <c r="C276" s="4" t="s">
        <v>1908</v>
      </c>
      <c r="D276" s="4" t="str">
        <f t="shared" si="1"/>
        <v>{"valorA":"ar condicionado","valorB":86}</v>
      </c>
      <c r="E276" s="8" t="str">
        <f t="shared" si="2"/>
        <v>ar condicionado</v>
      </c>
      <c r="F276" s="8"/>
      <c r="G276" s="8" t="str">
        <f t="shared" si="3"/>
        <v>86</v>
      </c>
      <c r="H276" s="9">
        <f t="shared" si="4"/>
        <v>86</v>
      </c>
      <c r="I276" s="6" t="str">
        <f>IFERROR(__xludf.DUMMYFUNCTION("MAX(FILTER($H:$H,$E:$E=F276))"),"#N/A")</f>
        <v>#N/A</v>
      </c>
    </row>
    <row r="277">
      <c r="C277" s="4" t="s">
        <v>1909</v>
      </c>
      <c r="D277" s="4" t="str">
        <f t="shared" si="1"/>
        <v>{"valorA":"ar condicionado","valorB":87}</v>
      </c>
      <c r="E277" s="8" t="str">
        <f t="shared" si="2"/>
        <v>ar condicionado</v>
      </c>
      <c r="F277" s="8"/>
      <c r="G277" s="8" t="str">
        <f t="shared" si="3"/>
        <v>87</v>
      </c>
      <c r="H277" s="9">
        <f t="shared" si="4"/>
        <v>87</v>
      </c>
      <c r="I277" s="6" t="str">
        <f>IFERROR(__xludf.DUMMYFUNCTION("MAX(FILTER($H:$H,$E:$E=F277))"),"#N/A")</f>
        <v>#N/A</v>
      </c>
    </row>
    <row r="278">
      <c r="C278" s="4" t="s">
        <v>1974</v>
      </c>
      <c r="D278" s="4" t="str">
        <f t="shared" si="1"/>
        <v>{"valorA":"microondas","valorB":105}</v>
      </c>
      <c r="E278" s="8" t="str">
        <f t="shared" si="2"/>
        <v>microondas</v>
      </c>
      <c r="F278" s="8"/>
      <c r="G278" s="8" t="str">
        <f t="shared" si="3"/>
        <v>105</v>
      </c>
      <c r="H278" s="9">
        <f t="shared" si="4"/>
        <v>105</v>
      </c>
      <c r="I278" s="6" t="str">
        <f>IFERROR(__xludf.DUMMYFUNCTION("MAX(FILTER($H:$H,$E:$E=F278))"),"#N/A")</f>
        <v>#N/A</v>
      </c>
    </row>
    <row r="279">
      <c r="C279" s="4" t="s">
        <v>1913</v>
      </c>
      <c r="D279" s="4" t="str">
        <f t="shared" si="1"/>
        <v>{"valorA":"freezer","valorB":86}</v>
      </c>
      <c r="E279" s="8" t="str">
        <f t="shared" si="2"/>
        <v>freezer</v>
      </c>
      <c r="F279" s="8"/>
      <c r="G279" s="8" t="str">
        <f t="shared" si="3"/>
        <v>86</v>
      </c>
      <c r="H279" s="9">
        <f t="shared" si="4"/>
        <v>86</v>
      </c>
      <c r="I279" s="6" t="str">
        <f>IFERROR(__xludf.DUMMYFUNCTION("MAX(FILTER($H:$H,$E:$E=F279))"),"#N/A")</f>
        <v>#N/A</v>
      </c>
    </row>
    <row r="280">
      <c r="C280" s="4" t="s">
        <v>1914</v>
      </c>
      <c r="D280" s="4" t="str">
        <f t="shared" si="1"/>
        <v>{"valorA":"freezer","valorB":87}</v>
      </c>
      <c r="E280" s="8" t="str">
        <f t="shared" si="2"/>
        <v>freezer</v>
      </c>
      <c r="F280" s="8"/>
      <c r="G280" s="8" t="str">
        <f t="shared" si="3"/>
        <v>87</v>
      </c>
      <c r="H280" s="9">
        <f t="shared" si="4"/>
        <v>87</v>
      </c>
      <c r="I280" s="6" t="str">
        <f>IFERROR(__xludf.DUMMYFUNCTION("MAX(FILTER($H:$H,$E:$E=F280))"),"#N/A")</f>
        <v>#N/A</v>
      </c>
    </row>
    <row r="281">
      <c r="C281" s="4" t="s">
        <v>1916</v>
      </c>
      <c r="D281" s="4" t="str">
        <f t="shared" si="1"/>
        <v>{"valorA":"freezer","valorB":88}</v>
      </c>
      <c r="E281" s="8" t="str">
        <f t="shared" si="2"/>
        <v>freezer</v>
      </c>
      <c r="F281" s="8"/>
      <c r="G281" s="8" t="str">
        <f t="shared" si="3"/>
        <v>88</v>
      </c>
      <c r="H281" s="9">
        <f t="shared" si="4"/>
        <v>88</v>
      </c>
      <c r="I281" s="6" t="str">
        <f>IFERROR(__xludf.DUMMYFUNCTION("MAX(FILTER($H:$H,$E:$E=F281))"),"#N/A")</f>
        <v>#N/A</v>
      </c>
    </row>
    <row r="282">
      <c r="C282" s="4" t="s">
        <v>1915</v>
      </c>
      <c r="D282" s="4" t="str">
        <f t="shared" si="1"/>
        <v>{"valorA":"ar condicionado","valorB":88}</v>
      </c>
      <c r="E282" s="8" t="str">
        <f t="shared" si="2"/>
        <v>ar condicionado</v>
      </c>
      <c r="F282" s="8"/>
      <c r="G282" s="8" t="str">
        <f t="shared" si="3"/>
        <v>88</v>
      </c>
      <c r="H282" s="9">
        <f t="shared" si="4"/>
        <v>88</v>
      </c>
      <c r="I282" s="6" t="str">
        <f>IFERROR(__xludf.DUMMYFUNCTION("MAX(FILTER($H:$H,$E:$E=F282))"),"#N/A")</f>
        <v>#N/A</v>
      </c>
    </row>
    <row r="283">
      <c r="C283" s="4" t="s">
        <v>1922</v>
      </c>
      <c r="D283" s="4" t="str">
        <f t="shared" si="1"/>
        <v>{"valorA":"ar condicionado","valorB":89}</v>
      </c>
      <c r="E283" s="8" t="str">
        <f t="shared" si="2"/>
        <v>ar condicionado</v>
      </c>
      <c r="F283" s="8"/>
      <c r="G283" s="8" t="str">
        <f t="shared" si="3"/>
        <v>89</v>
      </c>
      <c r="H283" s="9">
        <f t="shared" si="4"/>
        <v>89</v>
      </c>
      <c r="I283" s="6" t="str">
        <f>IFERROR(__xludf.DUMMYFUNCTION("MAX(FILTER($H:$H,$E:$E=F283))"),"#N/A")</f>
        <v>#N/A</v>
      </c>
    </row>
    <row r="284">
      <c r="C284" s="4" t="s">
        <v>1979</v>
      </c>
      <c r="D284" s="4" t="str">
        <f t="shared" si="1"/>
        <v>{"valorA":"microondas","valorB":106}</v>
      </c>
      <c r="E284" s="8" t="str">
        <f t="shared" si="2"/>
        <v>microondas</v>
      </c>
      <c r="F284" s="8"/>
      <c r="G284" s="8" t="str">
        <f t="shared" si="3"/>
        <v>106</v>
      </c>
      <c r="H284" s="9">
        <f t="shared" si="4"/>
        <v>106</v>
      </c>
      <c r="I284" s="6" t="str">
        <f>IFERROR(__xludf.DUMMYFUNCTION("MAX(FILTER($H:$H,$E:$E=F284))"),"#N/A")</f>
        <v>#N/A</v>
      </c>
    </row>
    <row r="285">
      <c r="C285" s="4" t="s">
        <v>1917</v>
      </c>
      <c r="D285" s="4" t="str">
        <f t="shared" si="1"/>
        <v>{"valorA":"freezer","valorB":89}</v>
      </c>
      <c r="E285" s="8" t="str">
        <f t="shared" si="2"/>
        <v>freezer</v>
      </c>
      <c r="F285" s="8"/>
      <c r="G285" s="8" t="str">
        <f t="shared" si="3"/>
        <v>89</v>
      </c>
      <c r="H285" s="9">
        <f t="shared" si="4"/>
        <v>89</v>
      </c>
      <c r="I285" s="6" t="str">
        <f>IFERROR(__xludf.DUMMYFUNCTION("MAX(FILTER($H:$H,$E:$E=F285))"),"#N/A")</f>
        <v>#N/A</v>
      </c>
    </row>
    <row r="286">
      <c r="C286" s="4" t="s">
        <v>1981</v>
      </c>
      <c r="D286" s="4" t="str">
        <f t="shared" si="1"/>
        <v>{"valorA":"microondas","valorB":107}</v>
      </c>
      <c r="E286" s="8" t="str">
        <f t="shared" si="2"/>
        <v>microondas</v>
      </c>
      <c r="F286" s="8"/>
      <c r="G286" s="8" t="str">
        <f t="shared" si="3"/>
        <v>107</v>
      </c>
      <c r="H286" s="9">
        <f t="shared" si="4"/>
        <v>107</v>
      </c>
      <c r="I286" s="6" t="str">
        <f>IFERROR(__xludf.DUMMYFUNCTION("MAX(FILTER($H:$H,$E:$E=F286))"),"#N/A")</f>
        <v>#N/A</v>
      </c>
    </row>
    <row r="287">
      <c r="C287" s="4" t="s">
        <v>1923</v>
      </c>
      <c r="D287" s="4" t="str">
        <f t="shared" si="1"/>
        <v>{"valorA":"ar condicionado","valorB":90}</v>
      </c>
      <c r="E287" s="8" t="str">
        <f t="shared" si="2"/>
        <v>ar condicionado</v>
      </c>
      <c r="F287" s="8"/>
      <c r="G287" s="8" t="str">
        <f t="shared" si="3"/>
        <v>90</v>
      </c>
      <c r="H287" s="9">
        <f t="shared" si="4"/>
        <v>90</v>
      </c>
      <c r="I287" s="6" t="str">
        <f>IFERROR(__xludf.DUMMYFUNCTION("MAX(FILTER($H:$H,$E:$E=F287))"),"#N/A")</f>
        <v>#N/A</v>
      </c>
    </row>
    <row r="288">
      <c r="C288" s="4" t="s">
        <v>1918</v>
      </c>
      <c r="D288" s="4" t="str">
        <f t="shared" si="1"/>
        <v>{"valorA":"freezer","valorB":90}</v>
      </c>
      <c r="E288" s="8" t="str">
        <f t="shared" si="2"/>
        <v>freezer</v>
      </c>
      <c r="F288" s="8"/>
      <c r="G288" s="8" t="str">
        <f t="shared" si="3"/>
        <v>90</v>
      </c>
      <c r="H288" s="9">
        <f t="shared" si="4"/>
        <v>90</v>
      </c>
      <c r="I288" s="6" t="str">
        <f>IFERROR(__xludf.DUMMYFUNCTION("MAX(FILTER($H:$H,$E:$E=F288))"),"#N/A")</f>
        <v>#N/A</v>
      </c>
    </row>
    <row r="289">
      <c r="C289" s="4" t="s">
        <v>1984</v>
      </c>
      <c r="D289" s="4" t="str">
        <f t="shared" si="1"/>
        <v>{"valorA":"microondas","valorB":108}</v>
      </c>
      <c r="E289" s="8" t="str">
        <f t="shared" si="2"/>
        <v>microondas</v>
      </c>
      <c r="F289" s="8"/>
      <c r="G289" s="8" t="str">
        <f t="shared" si="3"/>
        <v>108</v>
      </c>
      <c r="H289" s="9">
        <f t="shared" si="4"/>
        <v>108</v>
      </c>
      <c r="I289" s="6" t="str">
        <f>IFERROR(__xludf.DUMMYFUNCTION("MAX(FILTER($H:$H,$E:$E=F289))"),"#N/A")</f>
        <v>#N/A</v>
      </c>
    </row>
    <row r="290">
      <c r="C290" s="4" t="s">
        <v>1920</v>
      </c>
      <c r="D290" s="4" t="str">
        <f t="shared" si="1"/>
        <v>{"valorA":"freezer","valorB":91}</v>
      </c>
      <c r="E290" s="8" t="str">
        <f t="shared" si="2"/>
        <v>freezer</v>
      </c>
      <c r="F290" s="8"/>
      <c r="G290" s="8" t="str">
        <f t="shared" si="3"/>
        <v>91</v>
      </c>
      <c r="H290" s="9">
        <f t="shared" si="4"/>
        <v>91</v>
      </c>
      <c r="I290" s="6" t="str">
        <f>IFERROR(__xludf.DUMMYFUNCTION("MAX(FILTER($H:$H,$E:$E=F290))"),"#N/A")</f>
        <v>#N/A</v>
      </c>
    </row>
    <row r="291">
      <c r="C291" s="4" t="s">
        <v>1924</v>
      </c>
      <c r="D291" s="4" t="str">
        <f t="shared" si="1"/>
        <v>{"valorA":"ar condicionado","valorB":91}</v>
      </c>
      <c r="E291" s="8" t="str">
        <f t="shared" si="2"/>
        <v>ar condicionado</v>
      </c>
      <c r="F291" s="8"/>
      <c r="G291" s="8" t="str">
        <f t="shared" si="3"/>
        <v>91</v>
      </c>
      <c r="H291" s="9">
        <f t="shared" si="4"/>
        <v>91</v>
      </c>
      <c r="I291" s="6" t="str">
        <f>IFERROR(__xludf.DUMMYFUNCTION("MAX(FILTER($H:$H,$E:$E=F291))"),"#N/A")</f>
        <v>#N/A</v>
      </c>
    </row>
    <row r="292">
      <c r="C292" s="4" t="s">
        <v>1921</v>
      </c>
      <c r="D292" s="4" t="str">
        <f t="shared" si="1"/>
        <v>{"valorA":"freezer","valorB":92}</v>
      </c>
      <c r="E292" s="8" t="str">
        <f t="shared" si="2"/>
        <v>freezer</v>
      </c>
      <c r="F292" s="8"/>
      <c r="G292" s="8" t="str">
        <f t="shared" si="3"/>
        <v>92</v>
      </c>
      <c r="H292" s="9">
        <f t="shared" si="4"/>
        <v>92</v>
      </c>
      <c r="I292" s="6" t="str">
        <f>IFERROR(__xludf.DUMMYFUNCTION("MAX(FILTER($H:$H,$E:$E=F292))"),"#N/A")</f>
        <v>#N/A</v>
      </c>
    </row>
    <row r="293">
      <c r="C293" s="4" t="s">
        <v>1926</v>
      </c>
      <c r="D293" s="4" t="str">
        <f t="shared" si="1"/>
        <v>{"valorA":"freezer","valorB":93}</v>
      </c>
      <c r="E293" s="8" t="str">
        <f t="shared" si="2"/>
        <v>freezer</v>
      </c>
      <c r="F293" s="8"/>
      <c r="G293" s="8" t="str">
        <f t="shared" si="3"/>
        <v>93</v>
      </c>
      <c r="H293" s="9">
        <f t="shared" si="4"/>
        <v>93</v>
      </c>
      <c r="I293" s="6" t="str">
        <f>IFERROR(__xludf.DUMMYFUNCTION("MAX(FILTER($H:$H,$E:$E=F293))"),"#N/A")</f>
        <v>#N/A</v>
      </c>
    </row>
    <row r="294">
      <c r="C294" s="4" t="s">
        <v>1985</v>
      </c>
      <c r="D294" s="4" t="str">
        <f t="shared" si="1"/>
        <v>{"valorA":"microondas","valorB":109}</v>
      </c>
      <c r="E294" s="8" t="str">
        <f t="shared" si="2"/>
        <v>microondas</v>
      </c>
      <c r="F294" s="8"/>
      <c r="G294" s="8" t="str">
        <f t="shared" si="3"/>
        <v>109</v>
      </c>
      <c r="H294" s="9">
        <f t="shared" si="4"/>
        <v>109</v>
      </c>
      <c r="I294" s="6" t="str">
        <f>IFERROR(__xludf.DUMMYFUNCTION("MAX(FILTER($H:$H,$E:$E=F294))"),"#N/A")</f>
        <v>#N/A</v>
      </c>
    </row>
    <row r="295">
      <c r="C295" s="4" t="s">
        <v>1933</v>
      </c>
      <c r="D295" s="4" t="str">
        <f t="shared" si="1"/>
        <v>{"valorA":"ar condicionado","valorB":92}</v>
      </c>
      <c r="E295" s="8" t="str">
        <f t="shared" si="2"/>
        <v>ar condicionado</v>
      </c>
      <c r="F295" s="8"/>
      <c r="G295" s="8" t="str">
        <f t="shared" si="3"/>
        <v>92</v>
      </c>
      <c r="H295" s="9">
        <f t="shared" si="4"/>
        <v>92</v>
      </c>
      <c r="I295" s="6" t="str">
        <f>IFERROR(__xludf.DUMMYFUNCTION("MAX(FILTER($H:$H,$E:$E=F295))"),"#N/A")</f>
        <v>#N/A</v>
      </c>
    </row>
    <row r="296">
      <c r="C296" s="4" t="s">
        <v>1934</v>
      </c>
      <c r="D296" s="4" t="str">
        <f t="shared" si="1"/>
        <v>{"valorA":"ar condicionado","valorB":93}</v>
      </c>
      <c r="E296" s="8" t="str">
        <f t="shared" si="2"/>
        <v>ar condicionado</v>
      </c>
      <c r="F296" s="8"/>
      <c r="G296" s="8" t="str">
        <f t="shared" si="3"/>
        <v>93</v>
      </c>
      <c r="H296" s="9">
        <f t="shared" si="4"/>
        <v>93</v>
      </c>
      <c r="I296" s="6" t="str">
        <f>IFERROR(__xludf.DUMMYFUNCTION("MAX(FILTER($H:$H,$E:$E=F296))"),"#N/A")</f>
        <v>#N/A</v>
      </c>
    </row>
    <row r="297">
      <c r="C297" s="4" t="s">
        <v>1987</v>
      </c>
      <c r="D297" s="4" t="str">
        <f t="shared" si="1"/>
        <v>{"valorA":"microondas","valorB":110}</v>
      </c>
      <c r="E297" s="8" t="str">
        <f t="shared" si="2"/>
        <v>microondas</v>
      </c>
      <c r="F297" s="8"/>
      <c r="G297" s="8" t="str">
        <f t="shared" si="3"/>
        <v>110</v>
      </c>
      <c r="H297" s="9">
        <f t="shared" si="4"/>
        <v>110</v>
      </c>
      <c r="I297" s="6" t="str">
        <f>IFERROR(__xludf.DUMMYFUNCTION("MAX(FILTER($H:$H,$E:$E=F297))"),"#N/A")</f>
        <v>#N/A</v>
      </c>
    </row>
    <row r="298">
      <c r="C298" s="4" t="s">
        <v>1990</v>
      </c>
      <c r="D298" s="4" t="str">
        <f t="shared" si="1"/>
        <v>{"valorA":"microondas","valorB":111}</v>
      </c>
      <c r="E298" s="8" t="str">
        <f t="shared" si="2"/>
        <v>microondas</v>
      </c>
      <c r="F298" s="8"/>
      <c r="G298" s="8" t="str">
        <f t="shared" si="3"/>
        <v>111</v>
      </c>
      <c r="H298" s="9">
        <f t="shared" si="4"/>
        <v>111</v>
      </c>
      <c r="I298" s="6" t="str">
        <f>IFERROR(__xludf.DUMMYFUNCTION("MAX(FILTER($H:$H,$E:$E=F298))"),"#N/A")</f>
        <v>#N/A</v>
      </c>
    </row>
    <row r="299">
      <c r="C299" s="4" t="s">
        <v>1927</v>
      </c>
      <c r="D299" s="4" t="str">
        <f t="shared" si="1"/>
        <v>{"valorA":"freezer","valorB":94}</v>
      </c>
      <c r="E299" s="8" t="str">
        <f t="shared" si="2"/>
        <v>freezer</v>
      </c>
      <c r="F299" s="8"/>
      <c r="G299" s="8" t="str">
        <f t="shared" si="3"/>
        <v>94</v>
      </c>
      <c r="H299" s="9">
        <f t="shared" si="4"/>
        <v>94</v>
      </c>
      <c r="I299" s="6" t="str">
        <f>IFERROR(__xludf.DUMMYFUNCTION("MAX(FILTER($H:$H,$E:$E=F299))"),"#N/A")</f>
        <v>#N/A</v>
      </c>
    </row>
    <row r="300">
      <c r="C300" s="4" t="s">
        <v>1929</v>
      </c>
      <c r="D300" s="4" t="str">
        <f t="shared" si="1"/>
        <v>{"valorA":"freezer","valorB":95}</v>
      </c>
      <c r="E300" s="8" t="str">
        <f t="shared" si="2"/>
        <v>freezer</v>
      </c>
      <c r="F300" s="8"/>
      <c r="G300" s="8" t="str">
        <f t="shared" si="3"/>
        <v>95</v>
      </c>
      <c r="H300" s="9">
        <f t="shared" si="4"/>
        <v>95</v>
      </c>
      <c r="I300" s="6" t="str">
        <f>IFERROR(__xludf.DUMMYFUNCTION("MAX(FILTER($H:$H,$E:$E=F300))"),"#N/A")</f>
        <v>#N/A</v>
      </c>
    </row>
    <row r="301">
      <c r="C301" s="4" t="s">
        <v>1931</v>
      </c>
      <c r="D301" s="4" t="str">
        <f t="shared" si="1"/>
        <v>{"valorA":"freezer","valorB":96}</v>
      </c>
      <c r="E301" s="8" t="str">
        <f t="shared" si="2"/>
        <v>freezer</v>
      </c>
      <c r="F301" s="8"/>
      <c r="G301" s="8" t="str">
        <f t="shared" si="3"/>
        <v>96</v>
      </c>
      <c r="H301" s="9">
        <f t="shared" si="4"/>
        <v>96</v>
      </c>
      <c r="I301" s="6" t="str">
        <f>IFERROR(__xludf.DUMMYFUNCTION("MAX(FILTER($H:$H,$E:$E=F301))"),"#N/A")</f>
        <v>#N/A</v>
      </c>
    </row>
    <row r="302">
      <c r="C302" s="4" t="s">
        <v>1937</v>
      </c>
      <c r="D302" s="4" t="str">
        <f t="shared" si="1"/>
        <v>{"valorA":"ar condicionado","valorB":94}</v>
      </c>
      <c r="E302" s="8" t="str">
        <f t="shared" si="2"/>
        <v>ar condicionado</v>
      </c>
      <c r="F302" s="8"/>
      <c r="G302" s="8" t="str">
        <f t="shared" si="3"/>
        <v>94</v>
      </c>
      <c r="H302" s="9">
        <f t="shared" si="4"/>
        <v>94</v>
      </c>
      <c r="I302" s="6" t="str">
        <f>IFERROR(__xludf.DUMMYFUNCTION("MAX(FILTER($H:$H,$E:$E=F302))"),"#N/A")</f>
        <v>#N/A</v>
      </c>
    </row>
    <row r="303">
      <c r="C303" s="4" t="s">
        <v>1992</v>
      </c>
      <c r="D303" s="4" t="str">
        <f t="shared" si="1"/>
        <v>{"valorA":"microondas","valorB":112}</v>
      </c>
      <c r="E303" s="8" t="str">
        <f t="shared" si="2"/>
        <v>microondas</v>
      </c>
      <c r="F303" s="8"/>
      <c r="G303" s="8" t="str">
        <f t="shared" si="3"/>
        <v>112</v>
      </c>
      <c r="H303" s="9">
        <f t="shared" si="4"/>
        <v>112</v>
      </c>
      <c r="I303" s="6" t="str">
        <f>IFERROR(__xludf.DUMMYFUNCTION("MAX(FILTER($H:$H,$E:$E=F303))"),"#N/A")</f>
        <v>#N/A</v>
      </c>
    </row>
    <row r="304">
      <c r="C304" s="4" t="s">
        <v>1940</v>
      </c>
      <c r="D304" s="4" t="str">
        <f t="shared" si="1"/>
        <v>{"valorA":"ar condicionado","valorB":95}</v>
      </c>
      <c r="E304" s="8" t="str">
        <f t="shared" si="2"/>
        <v>ar condicionado</v>
      </c>
      <c r="F304" s="8"/>
      <c r="G304" s="8" t="str">
        <f t="shared" si="3"/>
        <v>95</v>
      </c>
      <c r="H304" s="9">
        <f t="shared" si="4"/>
        <v>95</v>
      </c>
      <c r="I304" s="6" t="str">
        <f>IFERROR(__xludf.DUMMYFUNCTION("MAX(FILTER($H:$H,$E:$E=F304))"),"#N/A")</f>
        <v>#N/A</v>
      </c>
    </row>
    <row r="305">
      <c r="C305" s="4" t="s">
        <v>1935</v>
      </c>
      <c r="D305" s="4" t="str">
        <f t="shared" si="1"/>
        <v>{"valorA":"freezer","valorB":97}</v>
      </c>
      <c r="E305" s="8" t="str">
        <f t="shared" si="2"/>
        <v>freezer</v>
      </c>
      <c r="F305" s="8"/>
      <c r="G305" s="8" t="str">
        <f t="shared" si="3"/>
        <v>97</v>
      </c>
      <c r="H305" s="9">
        <f t="shared" si="4"/>
        <v>97</v>
      </c>
      <c r="I305" s="6" t="str">
        <f>IFERROR(__xludf.DUMMYFUNCTION("MAX(FILTER($H:$H,$E:$E=F305))"),"#N/A")</f>
        <v>#N/A</v>
      </c>
    </row>
    <row r="306">
      <c r="C306" s="4" t="s">
        <v>1941</v>
      </c>
      <c r="D306" s="4" t="str">
        <f t="shared" si="1"/>
        <v>{"valorA":"ar condicionado","valorB":96}</v>
      </c>
      <c r="E306" s="8" t="str">
        <f t="shared" si="2"/>
        <v>ar condicionado</v>
      </c>
      <c r="F306" s="8"/>
      <c r="G306" s="8" t="str">
        <f t="shared" si="3"/>
        <v>96</v>
      </c>
      <c r="H306" s="9">
        <f t="shared" si="4"/>
        <v>96</v>
      </c>
      <c r="I306" s="6" t="str">
        <f>IFERROR(__xludf.DUMMYFUNCTION("MAX(FILTER($H:$H,$E:$E=F306))"),"#N/A")</f>
        <v>#N/A</v>
      </c>
    </row>
    <row r="307">
      <c r="C307" s="4" t="s">
        <v>1945</v>
      </c>
      <c r="D307" s="4" t="str">
        <f t="shared" si="1"/>
        <v>{"valorA":"freezer","valorB":98}</v>
      </c>
      <c r="E307" s="8" t="str">
        <f t="shared" si="2"/>
        <v>freezer</v>
      </c>
      <c r="F307" s="8"/>
      <c r="G307" s="8" t="str">
        <f t="shared" si="3"/>
        <v>98</v>
      </c>
      <c r="H307" s="9">
        <f t="shared" si="4"/>
        <v>98</v>
      </c>
      <c r="I307" s="6" t="str">
        <f>IFERROR(__xludf.DUMMYFUNCTION("MAX(FILTER($H:$H,$E:$E=F307))"),"#N/A")</f>
        <v>#N/A</v>
      </c>
    </row>
    <row r="308">
      <c r="C308" s="4" t="s">
        <v>1944</v>
      </c>
      <c r="D308" s="4" t="str">
        <f t="shared" si="1"/>
        <v>{"valorA":"ar condicionado","valorB":97}</v>
      </c>
      <c r="E308" s="8" t="str">
        <f t="shared" si="2"/>
        <v>ar condicionado</v>
      </c>
      <c r="F308" s="8"/>
      <c r="G308" s="8" t="str">
        <f t="shared" si="3"/>
        <v>97</v>
      </c>
      <c r="H308" s="9">
        <f t="shared" si="4"/>
        <v>97</v>
      </c>
      <c r="I308" s="6" t="str">
        <f>IFERROR(__xludf.DUMMYFUNCTION("MAX(FILTER($H:$H,$E:$E=F308))"),"#N/A")</f>
        <v>#N/A</v>
      </c>
    </row>
    <row r="309">
      <c r="C309" s="4" t="s">
        <v>1946</v>
      </c>
      <c r="D309" s="4" t="str">
        <f t="shared" si="1"/>
        <v>{"valorA":"freezer","valorB":99}</v>
      </c>
      <c r="E309" s="8" t="str">
        <f t="shared" si="2"/>
        <v>freezer</v>
      </c>
      <c r="F309" s="8"/>
      <c r="G309" s="8" t="str">
        <f t="shared" si="3"/>
        <v>99</v>
      </c>
      <c r="H309" s="9">
        <f t="shared" si="4"/>
        <v>99</v>
      </c>
      <c r="I309" s="6" t="str">
        <f>IFERROR(__xludf.DUMMYFUNCTION("MAX(FILTER($H:$H,$E:$E=F309))"),"#N/A")</f>
        <v>#N/A</v>
      </c>
    </row>
    <row r="310">
      <c r="C310" s="4" t="s">
        <v>2000</v>
      </c>
      <c r="D310" s="4" t="str">
        <f t="shared" si="1"/>
        <v>{"valorA":"microondas","valorB":113}</v>
      </c>
      <c r="E310" s="8" t="str">
        <f t="shared" si="2"/>
        <v>microondas</v>
      </c>
      <c r="F310" s="8"/>
      <c r="G310" s="8" t="str">
        <f t="shared" si="3"/>
        <v>113</v>
      </c>
      <c r="H310" s="9">
        <f t="shared" si="4"/>
        <v>113</v>
      </c>
      <c r="I310" s="6" t="str">
        <f>IFERROR(__xludf.DUMMYFUNCTION("MAX(FILTER($H:$H,$E:$E=F310))"),"#N/A")</f>
        <v>#N/A</v>
      </c>
    </row>
    <row r="311">
      <c r="C311" s="4" t="s">
        <v>1948</v>
      </c>
      <c r="D311" s="4" t="str">
        <f t="shared" si="1"/>
        <v>{"valorA":"ar condicionado","valorB":98}</v>
      </c>
      <c r="E311" s="8" t="str">
        <f t="shared" si="2"/>
        <v>ar condicionado</v>
      </c>
      <c r="F311" s="8"/>
      <c r="G311" s="8" t="str">
        <f t="shared" si="3"/>
        <v>98</v>
      </c>
      <c r="H311" s="9">
        <f t="shared" si="4"/>
        <v>98</v>
      </c>
      <c r="I311" s="6" t="str">
        <f>IFERROR(__xludf.DUMMYFUNCTION("MAX(FILTER($H:$H,$E:$E=F311))"),"#N/A")</f>
        <v>#N/A</v>
      </c>
    </row>
    <row r="312">
      <c r="C312" s="4" t="s">
        <v>2002</v>
      </c>
      <c r="D312" s="4" t="str">
        <f t="shared" si="1"/>
        <v>{"valorA":"microondas","valorB":114}</v>
      </c>
      <c r="E312" s="8" t="str">
        <f t="shared" si="2"/>
        <v>microondas</v>
      </c>
      <c r="F312" s="8"/>
      <c r="G312" s="8" t="str">
        <f t="shared" si="3"/>
        <v>114</v>
      </c>
      <c r="H312" s="9">
        <f t="shared" si="4"/>
        <v>114</v>
      </c>
      <c r="I312" s="6" t="str">
        <f>IFERROR(__xludf.DUMMYFUNCTION("MAX(FILTER($H:$H,$E:$E=F312))"),"#N/A")</f>
        <v>#N/A</v>
      </c>
    </row>
    <row r="313">
      <c r="C313" s="4" t="s">
        <v>1949</v>
      </c>
      <c r="D313" s="4" t="str">
        <f t="shared" si="1"/>
        <v>{"valorA":"ar condicionado","valorB":99}</v>
      </c>
      <c r="E313" s="8" t="str">
        <f t="shared" si="2"/>
        <v>ar condicionado</v>
      </c>
      <c r="F313" s="8"/>
      <c r="G313" s="8" t="str">
        <f t="shared" si="3"/>
        <v>99</v>
      </c>
      <c r="H313" s="9">
        <f t="shared" si="4"/>
        <v>99</v>
      </c>
      <c r="I313" s="6" t="str">
        <f>IFERROR(__xludf.DUMMYFUNCTION("MAX(FILTER($H:$H,$E:$E=F313))"),"#N/A")</f>
        <v>#N/A</v>
      </c>
    </row>
    <row r="314">
      <c r="C314" s="4" t="s">
        <v>2007</v>
      </c>
      <c r="D314" s="4" t="str">
        <f t="shared" si="1"/>
        <v>{"valorA":"microondas","valorB":115}</v>
      </c>
      <c r="E314" s="8" t="str">
        <f t="shared" si="2"/>
        <v>microondas</v>
      </c>
      <c r="F314" s="8"/>
      <c r="G314" s="8" t="str">
        <f t="shared" si="3"/>
        <v>115</v>
      </c>
      <c r="H314" s="9">
        <f t="shared" si="4"/>
        <v>115</v>
      </c>
      <c r="I314" s="6" t="str">
        <f>IFERROR(__xludf.DUMMYFUNCTION("MAX(FILTER($H:$H,$E:$E=F314))"),"#N/A")</f>
        <v>#N/A</v>
      </c>
    </row>
    <row r="315">
      <c r="C315" s="4" t="s">
        <v>1947</v>
      </c>
      <c r="D315" s="4" t="str">
        <f t="shared" si="1"/>
        <v>{"valorA":"freezer","valorB":100}</v>
      </c>
      <c r="E315" s="8" t="str">
        <f t="shared" si="2"/>
        <v>freezer</v>
      </c>
      <c r="F315" s="8"/>
      <c r="G315" s="8" t="str">
        <f t="shared" si="3"/>
        <v>100</v>
      </c>
      <c r="H315" s="9">
        <f t="shared" si="4"/>
        <v>100</v>
      </c>
      <c r="I315" s="6" t="str">
        <f>IFERROR(__xludf.DUMMYFUNCTION("MAX(FILTER($H:$H,$E:$E=F315))"),"#N/A")</f>
        <v>#N/A</v>
      </c>
    </row>
    <row r="316">
      <c r="C316" s="4" t="s">
        <v>2014</v>
      </c>
      <c r="D316" s="4" t="str">
        <f t="shared" si="1"/>
        <v>{"valorA":"microondas","valorB":116}</v>
      </c>
      <c r="E316" s="8" t="str">
        <f t="shared" si="2"/>
        <v>microondas</v>
      </c>
      <c r="F316" s="8"/>
      <c r="G316" s="8" t="str">
        <f t="shared" si="3"/>
        <v>116</v>
      </c>
      <c r="H316" s="9">
        <f t="shared" si="4"/>
        <v>116</v>
      </c>
      <c r="I316" s="6" t="str">
        <f>IFERROR(__xludf.DUMMYFUNCTION("MAX(FILTER($H:$H,$E:$E=F316))"),"#N/A")</f>
        <v>#N/A</v>
      </c>
    </row>
    <row r="317">
      <c r="C317" s="4" t="s">
        <v>1950</v>
      </c>
      <c r="D317" s="4" t="str">
        <f t="shared" si="1"/>
        <v>{"valorA":"ar condicionado","valorB":100}</v>
      </c>
      <c r="E317" s="8" t="str">
        <f t="shared" si="2"/>
        <v>ar condicionado</v>
      </c>
      <c r="F317" s="8"/>
      <c r="G317" s="8" t="str">
        <f t="shared" si="3"/>
        <v>100</v>
      </c>
      <c r="H317" s="9">
        <f t="shared" si="4"/>
        <v>100</v>
      </c>
      <c r="I317" s="6" t="str">
        <f>IFERROR(__xludf.DUMMYFUNCTION("MAX(FILTER($H:$H,$E:$E=F317))"),"#N/A")</f>
        <v>#N/A</v>
      </c>
    </row>
    <row r="318">
      <c r="C318" s="4" t="s">
        <v>1951</v>
      </c>
      <c r="D318" s="4" t="str">
        <f t="shared" si="1"/>
        <v>{"valorA":"ar condicionado","valorB":101}</v>
      </c>
      <c r="E318" s="8" t="str">
        <f t="shared" si="2"/>
        <v>ar condicionado</v>
      </c>
      <c r="F318" s="8"/>
      <c r="G318" s="8" t="str">
        <f t="shared" si="3"/>
        <v>101</v>
      </c>
      <c r="H318" s="9">
        <f t="shared" si="4"/>
        <v>101</v>
      </c>
      <c r="I318" s="6" t="str">
        <f>IFERROR(__xludf.DUMMYFUNCTION("MAX(FILTER($H:$H,$E:$E=F318))"),"#N/A")</f>
        <v>#N/A</v>
      </c>
    </row>
    <row r="319">
      <c r="C319" s="4" t="s">
        <v>1954</v>
      </c>
      <c r="D319" s="4" t="str">
        <f t="shared" si="1"/>
        <v>{"valorA":"freezer","valorB":101}</v>
      </c>
      <c r="E319" s="8" t="str">
        <f t="shared" si="2"/>
        <v>freezer</v>
      </c>
      <c r="F319" s="8"/>
      <c r="G319" s="8" t="str">
        <f t="shared" si="3"/>
        <v>101</v>
      </c>
      <c r="H319" s="9">
        <f t="shared" si="4"/>
        <v>101</v>
      </c>
      <c r="I319" s="6" t="str">
        <f>IFERROR(__xludf.DUMMYFUNCTION("MAX(FILTER($H:$H,$E:$E=F319))"),"#N/A")</f>
        <v>#N/A</v>
      </c>
    </row>
    <row r="320">
      <c r="C320" s="4" t="s">
        <v>2015</v>
      </c>
      <c r="D320" s="4" t="str">
        <f t="shared" si="1"/>
        <v>{"valorA":"microondas","valorB":117}</v>
      </c>
      <c r="E320" s="8" t="str">
        <f t="shared" si="2"/>
        <v>microondas</v>
      </c>
      <c r="F320" s="8"/>
      <c r="G320" s="8" t="str">
        <f t="shared" si="3"/>
        <v>117</v>
      </c>
      <c r="H320" s="9">
        <f t="shared" si="4"/>
        <v>117</v>
      </c>
      <c r="I320" s="6" t="str">
        <f>IFERROR(__xludf.DUMMYFUNCTION("MAX(FILTER($H:$H,$E:$E=F320))"),"#N/A")</f>
        <v>#N/A</v>
      </c>
    </row>
    <row r="321">
      <c r="C321" s="4" t="s">
        <v>2019</v>
      </c>
      <c r="D321" s="4" t="str">
        <f t="shared" si="1"/>
        <v>{"valorA":"microondas","valorB":118}</v>
      </c>
      <c r="E321" s="8" t="str">
        <f t="shared" si="2"/>
        <v>microondas</v>
      </c>
      <c r="F321" s="8"/>
      <c r="G321" s="8" t="str">
        <f t="shared" si="3"/>
        <v>118</v>
      </c>
      <c r="H321" s="9">
        <f t="shared" si="4"/>
        <v>118</v>
      </c>
      <c r="I321" s="6" t="str">
        <f>IFERROR(__xludf.DUMMYFUNCTION("MAX(FILTER($H:$H,$E:$E=F321))"),"#N/A")</f>
        <v>#N/A</v>
      </c>
    </row>
    <row r="322">
      <c r="C322" s="4" t="s">
        <v>1955</v>
      </c>
      <c r="D322" s="4" t="str">
        <f t="shared" si="1"/>
        <v>{"valorA":"freezer","valorB":102}</v>
      </c>
      <c r="E322" s="8" t="str">
        <f t="shared" si="2"/>
        <v>freezer</v>
      </c>
      <c r="F322" s="8"/>
      <c r="G322" s="8" t="str">
        <f t="shared" si="3"/>
        <v>102</v>
      </c>
      <c r="H322" s="9">
        <f t="shared" si="4"/>
        <v>102</v>
      </c>
      <c r="I322" s="6" t="str">
        <f>IFERROR(__xludf.DUMMYFUNCTION("MAX(FILTER($H:$H,$E:$E=F322))"),"#N/A")</f>
        <v>#N/A</v>
      </c>
    </row>
    <row r="323">
      <c r="C323" s="4" t="s">
        <v>2026</v>
      </c>
      <c r="D323" s="4" t="str">
        <f t="shared" si="1"/>
        <v>{"valorA":"microondas","valorB":119}</v>
      </c>
      <c r="E323" s="8" t="str">
        <f t="shared" si="2"/>
        <v>microondas</v>
      </c>
      <c r="F323" s="8"/>
      <c r="G323" s="8" t="str">
        <f t="shared" si="3"/>
        <v>119</v>
      </c>
      <c r="H323" s="9">
        <f t="shared" si="4"/>
        <v>119</v>
      </c>
      <c r="I323" s="6" t="str">
        <f>IFERROR(__xludf.DUMMYFUNCTION("MAX(FILTER($H:$H,$E:$E=F323))"),"#N/A")</f>
        <v>#N/A</v>
      </c>
    </row>
    <row r="324">
      <c r="C324" s="4" t="s">
        <v>2032</v>
      </c>
      <c r="D324" s="4" t="str">
        <f t="shared" si="1"/>
        <v>{"valorA":"microondas","valorB":120}</v>
      </c>
      <c r="E324" s="8" t="str">
        <f t="shared" si="2"/>
        <v>microondas</v>
      </c>
      <c r="F324" s="8"/>
      <c r="G324" s="8" t="str">
        <f t="shared" si="3"/>
        <v>120</v>
      </c>
      <c r="H324" s="9">
        <f t="shared" si="4"/>
        <v>120</v>
      </c>
      <c r="I324" s="6" t="str">
        <f>IFERROR(__xludf.DUMMYFUNCTION("MAX(FILTER($H:$H,$E:$E=F324))"),"#N/A")</f>
        <v>#N/A</v>
      </c>
    </row>
    <row r="325">
      <c r="C325" s="4" t="s">
        <v>1959</v>
      </c>
      <c r="D325" s="4" t="str">
        <f t="shared" si="1"/>
        <v>{"valorA":"freezer","valorB":103}</v>
      </c>
      <c r="E325" s="8" t="str">
        <f t="shared" si="2"/>
        <v>freezer</v>
      </c>
      <c r="F325" s="8"/>
      <c r="G325" s="8" t="str">
        <f t="shared" si="3"/>
        <v>103</v>
      </c>
      <c r="H325" s="9">
        <f t="shared" si="4"/>
        <v>103</v>
      </c>
      <c r="I325" s="6" t="str">
        <f>IFERROR(__xludf.DUMMYFUNCTION("MAX(FILTER($H:$H,$E:$E=F325))"),"#N/A")</f>
        <v>#N/A</v>
      </c>
    </row>
    <row r="326">
      <c r="C326" s="4" t="s">
        <v>1963</v>
      </c>
      <c r="D326" s="4" t="str">
        <f t="shared" si="1"/>
        <v>{"valorA":"freezer","valorB":104}</v>
      </c>
      <c r="E326" s="8" t="str">
        <f t="shared" si="2"/>
        <v>freezer</v>
      </c>
      <c r="F326" s="8"/>
      <c r="G326" s="8" t="str">
        <f t="shared" si="3"/>
        <v>104</v>
      </c>
      <c r="H326" s="9">
        <f t="shared" si="4"/>
        <v>104</v>
      </c>
      <c r="I326" s="6" t="str">
        <f>IFERROR(__xludf.DUMMYFUNCTION("MAX(FILTER($H:$H,$E:$E=F326))"),"#N/A")</f>
        <v>#N/A</v>
      </c>
    </row>
    <row r="327">
      <c r="C327" s="4" t="s">
        <v>2033</v>
      </c>
      <c r="D327" s="4" t="str">
        <f t="shared" si="1"/>
        <v>{"valorA":"microondas","valorB":121}</v>
      </c>
      <c r="E327" s="8" t="str">
        <f t="shared" si="2"/>
        <v>microondas</v>
      </c>
      <c r="F327" s="8"/>
      <c r="G327" s="8" t="str">
        <f t="shared" si="3"/>
        <v>121</v>
      </c>
      <c r="H327" s="9">
        <f t="shared" si="4"/>
        <v>121</v>
      </c>
      <c r="I327" s="6" t="str">
        <f>IFERROR(__xludf.DUMMYFUNCTION("MAX(FILTER($H:$H,$E:$E=F327))"),"#N/A")</f>
        <v>#N/A</v>
      </c>
    </row>
    <row r="328">
      <c r="C328" s="4" t="s">
        <v>2036</v>
      </c>
      <c r="D328" s="4" t="str">
        <f t="shared" si="1"/>
        <v>{"valorA":"microondas","valorB":122}</v>
      </c>
      <c r="E328" s="8" t="str">
        <f t="shared" si="2"/>
        <v>microondas</v>
      </c>
      <c r="F328" s="8"/>
      <c r="G328" s="8" t="str">
        <f t="shared" si="3"/>
        <v>122</v>
      </c>
      <c r="H328" s="9">
        <f t="shared" si="4"/>
        <v>122</v>
      </c>
      <c r="I328" s="6" t="str">
        <f>IFERROR(__xludf.DUMMYFUNCTION("MAX(FILTER($H:$H,$E:$E=F328))"),"#N/A")</f>
        <v>#N/A</v>
      </c>
    </row>
    <row r="329">
      <c r="C329" s="4" t="s">
        <v>1957</v>
      </c>
      <c r="D329" s="4" t="str">
        <f t="shared" si="1"/>
        <v>{"valorA":"ar condicionado","valorB":102}</v>
      </c>
      <c r="E329" s="8" t="str">
        <f t="shared" si="2"/>
        <v>ar condicionado</v>
      </c>
      <c r="F329" s="8"/>
      <c r="G329" s="8" t="str">
        <f t="shared" si="3"/>
        <v>102</v>
      </c>
      <c r="H329" s="9">
        <f t="shared" si="4"/>
        <v>102</v>
      </c>
      <c r="I329" s="6" t="str">
        <f>IFERROR(__xludf.DUMMYFUNCTION("MAX(FILTER($H:$H,$E:$E=F329))"),"#N/A")</f>
        <v>#N/A</v>
      </c>
    </row>
    <row r="330">
      <c r="C330" s="4" t="s">
        <v>1958</v>
      </c>
      <c r="D330" s="4" t="str">
        <f t="shared" si="1"/>
        <v>{"valorA":"ar condicionado","valorB":103}</v>
      </c>
      <c r="E330" s="8" t="str">
        <f t="shared" si="2"/>
        <v>ar condicionado</v>
      </c>
      <c r="F330" s="8"/>
      <c r="G330" s="8" t="str">
        <f t="shared" si="3"/>
        <v>103</v>
      </c>
      <c r="H330" s="9">
        <f t="shared" si="4"/>
        <v>103</v>
      </c>
      <c r="I330" s="6" t="str">
        <f>IFERROR(__xludf.DUMMYFUNCTION("MAX(FILTER($H:$H,$E:$E=F330))"),"#N/A")</f>
        <v>#N/A</v>
      </c>
    </row>
    <row r="331">
      <c r="C331" s="4" t="s">
        <v>1962</v>
      </c>
      <c r="D331" s="4" t="str">
        <f t="shared" si="1"/>
        <v>{"valorA":"ar condicionado","valorB":104}</v>
      </c>
      <c r="E331" s="8" t="str">
        <f t="shared" si="2"/>
        <v>ar condicionado</v>
      </c>
      <c r="F331" s="8"/>
      <c r="G331" s="8" t="str">
        <f t="shared" si="3"/>
        <v>104</v>
      </c>
      <c r="H331" s="9">
        <f t="shared" si="4"/>
        <v>104</v>
      </c>
      <c r="I331" s="6" t="str">
        <f>IFERROR(__xludf.DUMMYFUNCTION("MAX(FILTER($H:$H,$E:$E=F331))"),"#N/A")</f>
        <v>#N/A</v>
      </c>
    </row>
    <row r="332">
      <c r="C332" s="4" t="s">
        <v>1964</v>
      </c>
      <c r="D332" s="4" t="str">
        <f t="shared" si="1"/>
        <v>{"valorA":"freezer","valorB":105}</v>
      </c>
      <c r="E332" s="8" t="str">
        <f t="shared" si="2"/>
        <v>freezer</v>
      </c>
      <c r="F332" s="8"/>
      <c r="G332" s="8" t="str">
        <f t="shared" si="3"/>
        <v>105</v>
      </c>
      <c r="H332" s="9">
        <f t="shared" si="4"/>
        <v>105</v>
      </c>
      <c r="I332" s="6" t="str">
        <f>IFERROR(__xludf.DUMMYFUNCTION("MAX(FILTER($H:$H,$E:$E=F332))"),"#N/A")</f>
        <v>#N/A</v>
      </c>
    </row>
    <row r="333">
      <c r="C333" s="4" t="s">
        <v>1966</v>
      </c>
      <c r="D333" s="4" t="str">
        <f t="shared" si="1"/>
        <v>{"valorA":"ar condicionado","valorB":105}</v>
      </c>
      <c r="E333" s="8" t="str">
        <f t="shared" si="2"/>
        <v>ar condicionado</v>
      </c>
      <c r="F333" s="8"/>
      <c r="G333" s="8" t="str">
        <f t="shared" si="3"/>
        <v>105</v>
      </c>
      <c r="H333" s="9">
        <f t="shared" si="4"/>
        <v>105</v>
      </c>
      <c r="I333" s="6" t="str">
        <f>IFERROR(__xludf.DUMMYFUNCTION("MAX(FILTER($H:$H,$E:$E=F333))"),"#N/A")</f>
        <v>#N/A</v>
      </c>
    </row>
    <row r="334">
      <c r="C334" s="4" t="s">
        <v>1968</v>
      </c>
      <c r="D334" s="4" t="str">
        <f t="shared" si="1"/>
        <v>{"valorA":"freezer","valorB":106}</v>
      </c>
      <c r="E334" s="8" t="str">
        <f t="shared" si="2"/>
        <v>freezer</v>
      </c>
      <c r="F334" s="8"/>
      <c r="G334" s="8" t="str">
        <f t="shared" si="3"/>
        <v>106</v>
      </c>
      <c r="H334" s="9">
        <f t="shared" si="4"/>
        <v>106</v>
      </c>
      <c r="I334" s="6" t="str">
        <f>IFERROR(__xludf.DUMMYFUNCTION("MAX(FILTER($H:$H,$E:$E=F334))"),"#N/A")</f>
        <v>#N/A</v>
      </c>
    </row>
    <row r="335">
      <c r="C335" s="4" t="s">
        <v>1975</v>
      </c>
      <c r="D335" s="4" t="str">
        <f t="shared" si="1"/>
        <v>{"valorA":"ar condicionado","valorB":106}</v>
      </c>
      <c r="E335" s="8" t="str">
        <f t="shared" si="2"/>
        <v>ar condicionado</v>
      </c>
      <c r="F335" s="8"/>
      <c r="G335" s="8" t="str">
        <f t="shared" si="3"/>
        <v>106</v>
      </c>
      <c r="H335" s="9">
        <f t="shared" si="4"/>
        <v>106</v>
      </c>
      <c r="I335" s="6" t="str">
        <f>IFERROR(__xludf.DUMMYFUNCTION("MAX(FILTER($H:$H,$E:$E=F335))"),"#N/A")</f>
        <v>#N/A</v>
      </c>
    </row>
    <row r="336">
      <c r="C336" s="4" t="s">
        <v>1977</v>
      </c>
      <c r="D336" s="4" t="str">
        <f t="shared" si="1"/>
        <v>{"valorA":"ar condicionado","valorB":107}</v>
      </c>
      <c r="E336" s="8" t="str">
        <f t="shared" si="2"/>
        <v>ar condicionado</v>
      </c>
      <c r="F336" s="8"/>
      <c r="G336" s="8" t="str">
        <f t="shared" si="3"/>
        <v>107</v>
      </c>
      <c r="H336" s="9">
        <f t="shared" si="4"/>
        <v>107</v>
      </c>
      <c r="I336" s="6" t="str">
        <f>IFERROR(__xludf.DUMMYFUNCTION("MAX(FILTER($H:$H,$E:$E=F336))"),"#N/A")</f>
        <v>#N/A</v>
      </c>
    </row>
    <row r="337">
      <c r="C337" s="4" t="s">
        <v>2038</v>
      </c>
      <c r="D337" s="4" t="str">
        <f t="shared" si="1"/>
        <v>{"valorA":"microondas","valorB":123}</v>
      </c>
      <c r="E337" s="8" t="str">
        <f t="shared" si="2"/>
        <v>microondas</v>
      </c>
      <c r="F337" s="8"/>
      <c r="G337" s="8" t="str">
        <f t="shared" si="3"/>
        <v>123</v>
      </c>
      <c r="H337" s="9">
        <f t="shared" si="4"/>
        <v>123</v>
      </c>
      <c r="I337" s="6" t="str">
        <f>IFERROR(__xludf.DUMMYFUNCTION("MAX(FILTER($H:$H,$E:$E=F337))"),"#N/A")</f>
        <v>#N/A</v>
      </c>
    </row>
    <row r="338">
      <c r="C338" s="4" t="s">
        <v>1971</v>
      </c>
      <c r="D338" s="4" t="str">
        <f t="shared" si="1"/>
        <v>{"valorA":"freezer","valorB":107}</v>
      </c>
      <c r="E338" s="8" t="str">
        <f t="shared" si="2"/>
        <v>freezer</v>
      </c>
      <c r="F338" s="8"/>
      <c r="G338" s="8" t="str">
        <f t="shared" si="3"/>
        <v>107</v>
      </c>
      <c r="H338" s="9">
        <f t="shared" si="4"/>
        <v>107</v>
      </c>
      <c r="I338" s="6" t="str">
        <f>IFERROR(__xludf.DUMMYFUNCTION("MAX(FILTER($H:$H,$E:$E=F338))"),"#N/A")</f>
        <v>#N/A</v>
      </c>
    </row>
    <row r="339">
      <c r="C339" s="4" t="s">
        <v>1983</v>
      </c>
      <c r="D339" s="4" t="str">
        <f t="shared" si="1"/>
        <v>{"valorA":"ar condicionado","valorB":108}</v>
      </c>
      <c r="E339" s="8" t="str">
        <f t="shared" si="2"/>
        <v>ar condicionado</v>
      </c>
      <c r="F339" s="8"/>
      <c r="G339" s="8" t="str">
        <f t="shared" si="3"/>
        <v>108</v>
      </c>
      <c r="H339" s="9">
        <f t="shared" si="4"/>
        <v>108</v>
      </c>
      <c r="I339" s="6" t="str">
        <f>IFERROR(__xludf.DUMMYFUNCTION("MAX(FILTER($H:$H,$E:$E=F339))"),"#N/A")</f>
        <v>#N/A</v>
      </c>
    </row>
    <row r="340">
      <c r="C340" s="4" t="s">
        <v>1976</v>
      </c>
      <c r="D340" s="4" t="str">
        <f t="shared" si="1"/>
        <v>{"valorA":"freezer","valorB":108}</v>
      </c>
      <c r="E340" s="8" t="str">
        <f t="shared" si="2"/>
        <v>freezer</v>
      </c>
      <c r="F340" s="8"/>
      <c r="G340" s="8" t="str">
        <f t="shared" si="3"/>
        <v>108</v>
      </c>
      <c r="H340" s="9">
        <f t="shared" si="4"/>
        <v>108</v>
      </c>
      <c r="I340" s="6" t="str">
        <f>IFERROR(__xludf.DUMMYFUNCTION("MAX(FILTER($H:$H,$E:$E=F340))"),"#N/A")</f>
        <v>#N/A</v>
      </c>
    </row>
    <row r="341">
      <c r="C341" s="4" t="s">
        <v>1978</v>
      </c>
      <c r="D341" s="4" t="str">
        <f t="shared" si="1"/>
        <v>{"valorA":"freezer","valorB":109}</v>
      </c>
      <c r="E341" s="8" t="str">
        <f t="shared" si="2"/>
        <v>freezer</v>
      </c>
      <c r="F341" s="8"/>
      <c r="G341" s="8" t="str">
        <f t="shared" si="3"/>
        <v>109</v>
      </c>
      <c r="H341" s="9">
        <f t="shared" si="4"/>
        <v>109</v>
      </c>
      <c r="I341" s="6" t="str">
        <f>IFERROR(__xludf.DUMMYFUNCTION("MAX(FILTER($H:$H,$E:$E=F341))"),"#N/A")</f>
        <v>#N/A</v>
      </c>
    </row>
    <row r="342">
      <c r="C342" s="4" t="s">
        <v>2040</v>
      </c>
      <c r="D342" s="4" t="str">
        <f t="shared" si="1"/>
        <v>{"valorA":"microondas","valorB":124}</v>
      </c>
      <c r="E342" s="8" t="str">
        <f t="shared" si="2"/>
        <v>microondas</v>
      </c>
      <c r="F342" s="8"/>
      <c r="G342" s="8" t="str">
        <f t="shared" si="3"/>
        <v>124</v>
      </c>
      <c r="H342" s="9">
        <f t="shared" si="4"/>
        <v>124</v>
      </c>
      <c r="I342" s="6" t="str">
        <f>IFERROR(__xludf.DUMMYFUNCTION("MAX(FILTER($H:$H,$E:$E=F342))"),"#N/A")</f>
        <v>#N/A</v>
      </c>
    </row>
    <row r="343">
      <c r="C343" s="4" t="s">
        <v>2043</v>
      </c>
      <c r="D343" s="4" t="str">
        <f t="shared" si="1"/>
        <v>{"valorA":"microondas","valorB":125}</v>
      </c>
      <c r="E343" s="8" t="str">
        <f t="shared" si="2"/>
        <v>microondas</v>
      </c>
      <c r="F343" s="8"/>
      <c r="G343" s="8" t="str">
        <f t="shared" si="3"/>
        <v>125</v>
      </c>
      <c r="H343" s="9">
        <f t="shared" si="4"/>
        <v>125</v>
      </c>
      <c r="I343" s="6" t="str">
        <f>IFERROR(__xludf.DUMMYFUNCTION("MAX(FILTER($H:$H,$E:$E=F343))"),"#N/A")</f>
        <v>#N/A</v>
      </c>
    </row>
    <row r="344">
      <c r="C344" s="4" t="s">
        <v>1988</v>
      </c>
      <c r="D344" s="4" t="str">
        <f t="shared" si="1"/>
        <v>{"valorA":"ar condicionado","valorB":109}</v>
      </c>
      <c r="E344" s="8" t="str">
        <f t="shared" si="2"/>
        <v>ar condicionado</v>
      </c>
      <c r="F344" s="8"/>
      <c r="G344" s="8" t="str">
        <f t="shared" si="3"/>
        <v>109</v>
      </c>
      <c r="H344" s="9">
        <f t="shared" si="4"/>
        <v>109</v>
      </c>
      <c r="I344" s="6" t="str">
        <f>IFERROR(__xludf.DUMMYFUNCTION("MAX(FILTER($H:$H,$E:$E=F344))"),"#N/A")</f>
        <v>#N/A</v>
      </c>
    </row>
    <row r="345">
      <c r="C345" s="4" t="s">
        <v>1980</v>
      </c>
      <c r="D345" s="4" t="str">
        <f t="shared" si="1"/>
        <v>{"valorA":"freezer","valorB":110}</v>
      </c>
      <c r="E345" s="8" t="str">
        <f t="shared" si="2"/>
        <v>freezer</v>
      </c>
      <c r="F345" s="8"/>
      <c r="G345" s="8" t="str">
        <f t="shared" si="3"/>
        <v>110</v>
      </c>
      <c r="H345" s="9">
        <f t="shared" si="4"/>
        <v>110</v>
      </c>
      <c r="I345" s="6" t="str">
        <f>IFERROR(__xludf.DUMMYFUNCTION("MAX(FILTER($H:$H,$E:$E=F345))"),"#N/A")</f>
        <v>#N/A</v>
      </c>
    </row>
    <row r="346">
      <c r="C346" s="4" t="s">
        <v>2044</v>
      </c>
      <c r="D346" s="4" t="str">
        <f t="shared" si="1"/>
        <v>{"valorA":"microondas","valorB":126}</v>
      </c>
      <c r="E346" s="8" t="str">
        <f t="shared" si="2"/>
        <v>microondas</v>
      </c>
      <c r="F346" s="8"/>
      <c r="G346" s="8" t="str">
        <f t="shared" si="3"/>
        <v>126</v>
      </c>
      <c r="H346" s="9">
        <f t="shared" si="4"/>
        <v>126</v>
      </c>
      <c r="I346" s="6" t="str">
        <f>IFERROR(__xludf.DUMMYFUNCTION("MAX(FILTER($H:$H,$E:$E=F346))"),"#N/A")</f>
        <v>#N/A</v>
      </c>
    </row>
    <row r="347">
      <c r="C347" s="4" t="s">
        <v>1982</v>
      </c>
      <c r="D347" s="4" t="str">
        <f t="shared" si="1"/>
        <v>{"valorA":"freezer","valorB":111}</v>
      </c>
      <c r="E347" s="8" t="str">
        <f t="shared" si="2"/>
        <v>freezer</v>
      </c>
      <c r="F347" s="8"/>
      <c r="G347" s="8" t="str">
        <f t="shared" si="3"/>
        <v>111</v>
      </c>
      <c r="H347" s="9">
        <f t="shared" si="4"/>
        <v>111</v>
      </c>
      <c r="I347" s="6" t="str">
        <f>IFERROR(__xludf.DUMMYFUNCTION("MAX(FILTER($H:$H,$E:$E=F347))"),"#N/A")</f>
        <v>#N/A</v>
      </c>
    </row>
    <row r="348">
      <c r="C348" s="4" t="s">
        <v>1986</v>
      </c>
      <c r="D348" s="4" t="str">
        <f t="shared" si="1"/>
        <v>{"valorA":"freezer","valorB":112}</v>
      </c>
      <c r="E348" s="8" t="str">
        <f t="shared" si="2"/>
        <v>freezer</v>
      </c>
      <c r="F348" s="8"/>
      <c r="G348" s="8" t="str">
        <f t="shared" si="3"/>
        <v>112</v>
      </c>
      <c r="H348" s="9">
        <f t="shared" si="4"/>
        <v>112</v>
      </c>
      <c r="I348" s="6" t="str">
        <f>IFERROR(__xludf.DUMMYFUNCTION("MAX(FILTER($H:$H,$E:$E=F348))"),"#N/A")</f>
        <v>#N/A</v>
      </c>
    </row>
    <row r="349">
      <c r="C349" s="4" t="s">
        <v>2047</v>
      </c>
      <c r="D349" s="4" t="str">
        <f t="shared" si="1"/>
        <v>{"valorA":"microondas","valorB":127}</v>
      </c>
      <c r="E349" s="8" t="str">
        <f t="shared" si="2"/>
        <v>microondas</v>
      </c>
      <c r="F349" s="8"/>
      <c r="G349" s="8" t="str">
        <f t="shared" si="3"/>
        <v>127</v>
      </c>
      <c r="H349" s="9">
        <f t="shared" si="4"/>
        <v>127</v>
      </c>
      <c r="I349" s="6" t="str">
        <f>IFERROR(__xludf.DUMMYFUNCTION("MAX(FILTER($H:$H,$E:$E=F349))"),"#N/A")</f>
        <v>#N/A</v>
      </c>
    </row>
    <row r="350">
      <c r="C350" s="4" t="s">
        <v>1995</v>
      </c>
      <c r="D350" s="4" t="str">
        <f t="shared" si="1"/>
        <v>{"valorA":"ar condicionado","valorB":110}</v>
      </c>
      <c r="E350" s="8" t="str">
        <f t="shared" si="2"/>
        <v>ar condicionado</v>
      </c>
      <c r="F350" s="8"/>
      <c r="G350" s="8" t="str">
        <f t="shared" si="3"/>
        <v>110</v>
      </c>
      <c r="H350" s="9">
        <f t="shared" si="4"/>
        <v>110</v>
      </c>
      <c r="I350" s="6" t="str">
        <f>IFERROR(__xludf.DUMMYFUNCTION("MAX(FILTER($H:$H,$E:$E=F350))"),"#N/A")</f>
        <v>#N/A</v>
      </c>
    </row>
    <row r="351">
      <c r="C351" s="4" t="s">
        <v>1989</v>
      </c>
      <c r="D351" s="4" t="str">
        <f t="shared" si="1"/>
        <v>{"valorA":"freezer","valorB":113}</v>
      </c>
      <c r="E351" s="8" t="str">
        <f t="shared" si="2"/>
        <v>freezer</v>
      </c>
      <c r="F351" s="8"/>
      <c r="G351" s="8" t="str">
        <f t="shared" si="3"/>
        <v>113</v>
      </c>
      <c r="H351" s="9">
        <f t="shared" si="4"/>
        <v>113</v>
      </c>
      <c r="I351" s="6" t="str">
        <f>IFERROR(__xludf.DUMMYFUNCTION("MAX(FILTER($H:$H,$E:$E=F351))"),"#N/A")</f>
        <v>#N/A</v>
      </c>
    </row>
    <row r="352">
      <c r="C352" s="4" t="s">
        <v>2048</v>
      </c>
      <c r="D352" s="4" t="str">
        <f t="shared" si="1"/>
        <v>{"valorA":"microondas","valorB":128}</v>
      </c>
      <c r="E352" s="8" t="str">
        <f t="shared" si="2"/>
        <v>microondas</v>
      </c>
      <c r="F352" s="8"/>
      <c r="G352" s="8" t="str">
        <f t="shared" si="3"/>
        <v>128</v>
      </c>
      <c r="H352" s="9">
        <f t="shared" si="4"/>
        <v>128</v>
      </c>
      <c r="I352" s="6" t="str">
        <f>IFERROR(__xludf.DUMMYFUNCTION("MAX(FILTER($H:$H,$E:$E=F352))"),"#N/A")</f>
        <v>#N/A</v>
      </c>
    </row>
    <row r="353">
      <c r="C353" s="4" t="s">
        <v>1991</v>
      </c>
      <c r="D353" s="4" t="str">
        <f t="shared" si="1"/>
        <v>{"valorA":"freezer","valorB":114}</v>
      </c>
      <c r="E353" s="8" t="str">
        <f t="shared" si="2"/>
        <v>freezer</v>
      </c>
      <c r="F353" s="8"/>
      <c r="G353" s="8" t="str">
        <f t="shared" si="3"/>
        <v>114</v>
      </c>
      <c r="H353" s="9">
        <f t="shared" si="4"/>
        <v>114</v>
      </c>
      <c r="I353" s="6" t="str">
        <f>IFERROR(__xludf.DUMMYFUNCTION("MAX(FILTER($H:$H,$E:$E=F353))"),"#N/A")</f>
        <v>#N/A</v>
      </c>
    </row>
    <row r="354">
      <c r="C354" s="4" t="s">
        <v>2053</v>
      </c>
      <c r="D354" s="4" t="str">
        <f t="shared" si="1"/>
        <v>{"valorA":"microondas","valorB":129}</v>
      </c>
      <c r="E354" s="8" t="str">
        <f t="shared" si="2"/>
        <v>microondas</v>
      </c>
      <c r="F354" s="8"/>
      <c r="G354" s="8" t="str">
        <f t="shared" si="3"/>
        <v>129</v>
      </c>
      <c r="H354" s="9">
        <f t="shared" si="4"/>
        <v>129</v>
      </c>
      <c r="I354" s="6" t="str">
        <f>IFERROR(__xludf.DUMMYFUNCTION("MAX(FILTER($H:$H,$E:$E=F354))"),"#N/A")</f>
        <v>#N/A</v>
      </c>
    </row>
    <row r="355">
      <c r="C355" s="4" t="s">
        <v>2057</v>
      </c>
      <c r="D355" s="4" t="str">
        <f t="shared" si="1"/>
        <v>{"valorA":"microondas","valorB":130}</v>
      </c>
      <c r="E355" s="8" t="str">
        <f t="shared" si="2"/>
        <v>microondas</v>
      </c>
      <c r="F355" s="8"/>
      <c r="G355" s="8" t="str">
        <f t="shared" si="3"/>
        <v>130</v>
      </c>
      <c r="H355" s="9">
        <f t="shared" si="4"/>
        <v>130</v>
      </c>
      <c r="I355" s="6" t="str">
        <f>IFERROR(__xludf.DUMMYFUNCTION("MAX(FILTER($H:$H,$E:$E=F355))"),"#N/A")</f>
        <v>#N/A</v>
      </c>
    </row>
    <row r="356">
      <c r="C356" s="4" t="s">
        <v>2063</v>
      </c>
      <c r="D356" s="4" t="str">
        <f t="shared" si="1"/>
        <v>{"valorA":"microondas","valorB":131}</v>
      </c>
      <c r="E356" s="8" t="str">
        <f t="shared" si="2"/>
        <v>microondas</v>
      </c>
      <c r="F356" s="8"/>
      <c r="G356" s="8" t="str">
        <f t="shared" si="3"/>
        <v>131</v>
      </c>
      <c r="H356" s="9">
        <f t="shared" si="4"/>
        <v>131</v>
      </c>
      <c r="I356" s="6" t="str">
        <f>IFERROR(__xludf.DUMMYFUNCTION("MAX(FILTER($H:$H,$E:$E=F356))"),"#N/A")</f>
        <v>#N/A</v>
      </c>
    </row>
    <row r="357">
      <c r="C357" s="4" t="s">
        <v>2066</v>
      </c>
      <c r="D357" s="4" t="str">
        <f t="shared" si="1"/>
        <v>{"valorA":"microondas","valorB":132}</v>
      </c>
      <c r="E357" s="8" t="str">
        <f t="shared" si="2"/>
        <v>microondas</v>
      </c>
      <c r="F357" s="8"/>
      <c r="G357" s="8" t="str">
        <f t="shared" si="3"/>
        <v>132</v>
      </c>
      <c r="H357" s="9">
        <f t="shared" si="4"/>
        <v>132</v>
      </c>
      <c r="I357" s="6" t="str">
        <f>IFERROR(__xludf.DUMMYFUNCTION("MAX(FILTER($H:$H,$E:$E=F357))"),"#N/A")</f>
        <v>#N/A</v>
      </c>
    </row>
    <row r="358">
      <c r="C358" s="4" t="s">
        <v>1997</v>
      </c>
      <c r="D358" s="4" t="str">
        <f t="shared" si="1"/>
        <v>{"valorA":"ar condicionado","valorB":111}</v>
      </c>
      <c r="E358" s="8" t="str">
        <f t="shared" si="2"/>
        <v>ar condicionado</v>
      </c>
      <c r="F358" s="8"/>
      <c r="G358" s="8" t="str">
        <f t="shared" si="3"/>
        <v>111</v>
      </c>
      <c r="H358" s="9">
        <f t="shared" si="4"/>
        <v>111</v>
      </c>
      <c r="I358" s="6" t="str">
        <f>IFERROR(__xludf.DUMMYFUNCTION("MAX(FILTER($H:$H,$E:$E=F358))"),"#N/A")</f>
        <v>#N/A</v>
      </c>
    </row>
    <row r="359">
      <c r="C359" s="4" t="s">
        <v>1993</v>
      </c>
      <c r="D359" s="4" t="str">
        <f t="shared" si="1"/>
        <v>{"valorA":"freezer","valorB":115}</v>
      </c>
      <c r="E359" s="8" t="str">
        <f t="shared" si="2"/>
        <v>freezer</v>
      </c>
      <c r="F359" s="8"/>
      <c r="G359" s="8" t="str">
        <f t="shared" si="3"/>
        <v>115</v>
      </c>
      <c r="H359" s="9">
        <f t="shared" si="4"/>
        <v>115</v>
      </c>
      <c r="I359" s="6" t="str">
        <f>IFERROR(__xludf.DUMMYFUNCTION("MAX(FILTER($H:$H,$E:$E=F359))"),"#N/A")</f>
        <v>#N/A</v>
      </c>
    </row>
    <row r="360">
      <c r="C360" s="4" t="s">
        <v>1994</v>
      </c>
      <c r="D360" s="4" t="str">
        <f t="shared" si="1"/>
        <v>{"valorA":"freezer","valorB":116}</v>
      </c>
      <c r="E360" s="8" t="str">
        <f t="shared" si="2"/>
        <v>freezer</v>
      </c>
      <c r="F360" s="8"/>
      <c r="G360" s="8" t="str">
        <f t="shared" si="3"/>
        <v>116</v>
      </c>
      <c r="H360" s="9">
        <f t="shared" si="4"/>
        <v>116</v>
      </c>
      <c r="I360" s="6" t="str">
        <f>IFERROR(__xludf.DUMMYFUNCTION("MAX(FILTER($H:$H,$E:$E=F360))"),"#N/A")</f>
        <v>#N/A</v>
      </c>
    </row>
    <row r="361">
      <c r="C361" s="4" t="s">
        <v>1996</v>
      </c>
      <c r="D361" s="4" t="str">
        <f t="shared" si="1"/>
        <v>{"valorA":"freezer","valorB":117}</v>
      </c>
      <c r="E361" s="8" t="str">
        <f t="shared" si="2"/>
        <v>freezer</v>
      </c>
      <c r="F361" s="8"/>
      <c r="G361" s="8" t="str">
        <f t="shared" si="3"/>
        <v>117</v>
      </c>
      <c r="H361" s="9">
        <f t="shared" si="4"/>
        <v>117</v>
      </c>
      <c r="I361" s="6" t="str">
        <f>IFERROR(__xludf.DUMMYFUNCTION("MAX(FILTER($H:$H,$E:$E=F361))"),"#N/A")</f>
        <v>#N/A</v>
      </c>
    </row>
    <row r="362">
      <c r="C362" s="4" t="s">
        <v>1998</v>
      </c>
      <c r="D362" s="4" t="str">
        <f t="shared" si="1"/>
        <v>{"valorA":"freezer","valorB":118}</v>
      </c>
      <c r="E362" s="8" t="str">
        <f t="shared" si="2"/>
        <v>freezer</v>
      </c>
      <c r="F362" s="8"/>
      <c r="G362" s="8" t="str">
        <f t="shared" si="3"/>
        <v>118</v>
      </c>
      <c r="H362" s="9">
        <f t="shared" si="4"/>
        <v>118</v>
      </c>
      <c r="I362" s="6" t="str">
        <f>IFERROR(__xludf.DUMMYFUNCTION("MAX(FILTER($H:$H,$E:$E=F362))"),"#N/A")</f>
        <v>#N/A</v>
      </c>
    </row>
    <row r="363">
      <c r="C363" s="4" t="s">
        <v>2068</v>
      </c>
      <c r="D363" s="4" t="str">
        <f t="shared" si="1"/>
        <v>{"valorA":"microondas","valorB":133}</v>
      </c>
      <c r="E363" s="8" t="str">
        <f t="shared" si="2"/>
        <v>microondas</v>
      </c>
      <c r="F363" s="8"/>
      <c r="G363" s="8" t="str">
        <f t="shared" si="3"/>
        <v>133</v>
      </c>
      <c r="H363" s="9">
        <f t="shared" si="4"/>
        <v>133</v>
      </c>
      <c r="I363" s="6" t="str">
        <f>IFERROR(__xludf.DUMMYFUNCTION("MAX(FILTER($H:$H,$E:$E=F363))"),"#N/A")</f>
        <v>#N/A</v>
      </c>
    </row>
    <row r="364">
      <c r="C364" s="4" t="s">
        <v>1999</v>
      </c>
      <c r="D364" s="4" t="str">
        <f t="shared" si="1"/>
        <v>{"valorA":"ar condicionado","valorB":112}</v>
      </c>
      <c r="E364" s="8" t="str">
        <f t="shared" si="2"/>
        <v>ar condicionado</v>
      </c>
      <c r="F364" s="8"/>
      <c r="G364" s="8" t="str">
        <f t="shared" si="3"/>
        <v>112</v>
      </c>
      <c r="H364" s="9">
        <f t="shared" si="4"/>
        <v>112</v>
      </c>
      <c r="I364" s="6" t="str">
        <f>IFERROR(__xludf.DUMMYFUNCTION("MAX(FILTER($H:$H,$E:$E=F364))"),"#N/A")</f>
        <v>#N/A</v>
      </c>
    </row>
    <row r="365">
      <c r="C365" s="4" t="s">
        <v>2001</v>
      </c>
      <c r="D365" s="4" t="str">
        <f t="shared" si="1"/>
        <v>{"valorA":"freezer","valorB":119}</v>
      </c>
      <c r="E365" s="8" t="str">
        <f t="shared" si="2"/>
        <v>freezer</v>
      </c>
      <c r="F365" s="8"/>
      <c r="G365" s="8" t="str">
        <f t="shared" si="3"/>
        <v>119</v>
      </c>
      <c r="H365" s="9">
        <f t="shared" si="4"/>
        <v>119</v>
      </c>
      <c r="I365" s="6" t="str">
        <f>IFERROR(__xludf.DUMMYFUNCTION("MAX(FILTER($H:$H,$E:$E=F365))"),"#N/A")</f>
        <v>#N/A</v>
      </c>
    </row>
    <row r="366">
      <c r="C366" s="4" t="s">
        <v>2073</v>
      </c>
      <c r="D366" s="4" t="str">
        <f t="shared" si="1"/>
        <v>{"valorA":"microondas","valorB":134}</v>
      </c>
      <c r="E366" s="8" t="str">
        <f t="shared" si="2"/>
        <v>microondas</v>
      </c>
      <c r="F366" s="8"/>
      <c r="G366" s="8" t="str">
        <f t="shared" si="3"/>
        <v>134</v>
      </c>
      <c r="H366" s="9">
        <f t="shared" si="4"/>
        <v>134</v>
      </c>
      <c r="I366" s="6" t="str">
        <f>IFERROR(__xludf.DUMMYFUNCTION("MAX(FILTER($H:$H,$E:$E=F366))"),"#N/A")</f>
        <v>#N/A</v>
      </c>
    </row>
    <row r="367">
      <c r="C367" s="4" t="s">
        <v>2003</v>
      </c>
      <c r="D367" s="4" t="str">
        <f t="shared" si="1"/>
        <v>{"valorA":"ar condicionado","valorB":113}</v>
      </c>
      <c r="E367" s="8" t="str">
        <f t="shared" si="2"/>
        <v>ar condicionado</v>
      </c>
      <c r="F367" s="8"/>
      <c r="G367" s="8" t="str">
        <f t="shared" si="3"/>
        <v>113</v>
      </c>
      <c r="H367" s="9">
        <f t="shared" si="4"/>
        <v>113</v>
      </c>
      <c r="I367" s="6" t="str">
        <f>IFERROR(__xludf.DUMMYFUNCTION("MAX(FILTER($H:$H,$E:$E=F367))"),"#N/A")</f>
        <v>#N/A</v>
      </c>
    </row>
    <row r="368">
      <c r="C368" s="4" t="s">
        <v>2077</v>
      </c>
      <c r="D368" s="4" t="str">
        <f t="shared" si="1"/>
        <v>{"valorA":"microondas","valorB":135}</v>
      </c>
      <c r="E368" s="8" t="str">
        <f t="shared" si="2"/>
        <v>microondas</v>
      </c>
      <c r="F368" s="8"/>
      <c r="G368" s="8" t="str">
        <f t="shared" si="3"/>
        <v>135</v>
      </c>
      <c r="H368" s="9">
        <f t="shared" si="4"/>
        <v>135</v>
      </c>
      <c r="I368" s="6" t="str">
        <f>IFERROR(__xludf.DUMMYFUNCTION("MAX(FILTER($H:$H,$E:$E=F368))"),"#N/A")</f>
        <v>#N/A</v>
      </c>
    </row>
    <row r="369">
      <c r="C369" s="4" t="s">
        <v>2079</v>
      </c>
      <c r="D369" s="4" t="str">
        <f t="shared" si="1"/>
        <v>{"valorA":"microondas","valorB":136}</v>
      </c>
      <c r="E369" s="8" t="str">
        <f t="shared" si="2"/>
        <v>microondas</v>
      </c>
      <c r="F369" s="8"/>
      <c r="G369" s="8" t="str">
        <f t="shared" si="3"/>
        <v>136</v>
      </c>
      <c r="H369" s="9">
        <f t="shared" si="4"/>
        <v>136</v>
      </c>
      <c r="I369" s="6" t="str">
        <f>IFERROR(__xludf.DUMMYFUNCTION("MAX(FILTER($H:$H,$E:$E=F369))"),"#N/A")</f>
        <v>#N/A</v>
      </c>
    </row>
    <row r="370">
      <c r="C370" s="4" t="s">
        <v>2004</v>
      </c>
      <c r="D370" s="4" t="str">
        <f t="shared" si="1"/>
        <v>{"valorA":"ar condicionado","valorB":114}</v>
      </c>
      <c r="E370" s="8" t="str">
        <f t="shared" si="2"/>
        <v>ar condicionado</v>
      </c>
      <c r="F370" s="8"/>
      <c r="G370" s="8" t="str">
        <f t="shared" si="3"/>
        <v>114</v>
      </c>
      <c r="H370" s="9">
        <f t="shared" si="4"/>
        <v>114</v>
      </c>
      <c r="I370" s="6" t="str">
        <f>IFERROR(__xludf.DUMMYFUNCTION("MAX(FILTER($H:$H,$E:$E=F370))"),"#N/A")</f>
        <v>#N/A</v>
      </c>
    </row>
    <row r="371">
      <c r="C371" s="4" t="s">
        <v>2005</v>
      </c>
      <c r="D371" s="4" t="str">
        <f t="shared" si="1"/>
        <v>{"valorA":"ar condicionado","valorB":115}</v>
      </c>
      <c r="E371" s="8" t="str">
        <f t="shared" si="2"/>
        <v>ar condicionado</v>
      </c>
      <c r="F371" s="8"/>
      <c r="G371" s="8" t="str">
        <f t="shared" si="3"/>
        <v>115</v>
      </c>
      <c r="H371" s="9">
        <f t="shared" si="4"/>
        <v>115</v>
      </c>
      <c r="I371" s="6" t="str">
        <f>IFERROR(__xludf.DUMMYFUNCTION("MAX(FILTER($H:$H,$E:$E=F371))"),"#N/A")</f>
        <v>#N/A</v>
      </c>
    </row>
    <row r="372">
      <c r="C372" s="4" t="s">
        <v>2006</v>
      </c>
      <c r="D372" s="4" t="str">
        <f t="shared" si="1"/>
        <v>{"valorA":"ar condicionado","valorB":116}</v>
      </c>
      <c r="E372" s="8" t="str">
        <f t="shared" si="2"/>
        <v>ar condicionado</v>
      </c>
      <c r="F372" s="8"/>
      <c r="G372" s="8" t="str">
        <f t="shared" si="3"/>
        <v>116</v>
      </c>
      <c r="H372" s="9">
        <f t="shared" si="4"/>
        <v>116</v>
      </c>
      <c r="I372" s="6" t="str">
        <f>IFERROR(__xludf.DUMMYFUNCTION("MAX(FILTER($H:$H,$E:$E=F372))"),"#N/A")</f>
        <v>#N/A</v>
      </c>
    </row>
    <row r="373">
      <c r="C373" s="4" t="s">
        <v>2011</v>
      </c>
      <c r="D373" s="4" t="str">
        <f t="shared" si="1"/>
        <v>{"valorA":"freezer","valorB":120}</v>
      </c>
      <c r="E373" s="8" t="str">
        <f t="shared" si="2"/>
        <v>freezer</v>
      </c>
      <c r="F373" s="8"/>
      <c r="G373" s="8" t="str">
        <f t="shared" si="3"/>
        <v>120</v>
      </c>
      <c r="H373" s="9">
        <f t="shared" si="4"/>
        <v>120</v>
      </c>
      <c r="I373" s="6" t="str">
        <f>IFERROR(__xludf.DUMMYFUNCTION("MAX(FILTER($H:$H,$E:$E=F373))"),"#N/A")</f>
        <v>#N/A</v>
      </c>
    </row>
    <row r="374">
      <c r="C374" s="4" t="s">
        <v>2012</v>
      </c>
      <c r="D374" s="4" t="str">
        <f t="shared" si="1"/>
        <v>{"valorA":"freezer","valorB":121}</v>
      </c>
      <c r="E374" s="8" t="str">
        <f t="shared" si="2"/>
        <v>freezer</v>
      </c>
      <c r="F374" s="8"/>
      <c r="G374" s="8" t="str">
        <f t="shared" si="3"/>
        <v>121</v>
      </c>
      <c r="H374" s="9">
        <f t="shared" si="4"/>
        <v>121</v>
      </c>
      <c r="I374" s="6" t="str">
        <f>IFERROR(__xludf.DUMMYFUNCTION("MAX(FILTER($H:$H,$E:$E=F374))"),"#N/A")</f>
        <v>#N/A</v>
      </c>
    </row>
    <row r="375">
      <c r="C375" s="4" t="s">
        <v>2008</v>
      </c>
      <c r="D375" s="4" t="str">
        <f t="shared" si="1"/>
        <v>{"valorA":"ar condicionado","valorB":117}</v>
      </c>
      <c r="E375" s="8" t="str">
        <f t="shared" si="2"/>
        <v>ar condicionado</v>
      </c>
      <c r="F375" s="8"/>
      <c r="G375" s="8" t="str">
        <f t="shared" si="3"/>
        <v>117</v>
      </c>
      <c r="H375" s="9">
        <f t="shared" si="4"/>
        <v>117</v>
      </c>
      <c r="I375" s="6" t="str">
        <f>IFERROR(__xludf.DUMMYFUNCTION("MAX(FILTER($H:$H,$E:$E=F375))"),"#N/A")</f>
        <v>#N/A</v>
      </c>
    </row>
    <row r="376">
      <c r="C376" s="4" t="s">
        <v>2009</v>
      </c>
      <c r="D376" s="4" t="str">
        <f t="shared" si="1"/>
        <v>{"valorA":"ar condicionado","valorB":118}</v>
      </c>
      <c r="E376" s="8" t="str">
        <f t="shared" si="2"/>
        <v>ar condicionado</v>
      </c>
      <c r="F376" s="8"/>
      <c r="G376" s="8" t="str">
        <f t="shared" si="3"/>
        <v>118</v>
      </c>
      <c r="H376" s="9">
        <f t="shared" si="4"/>
        <v>118</v>
      </c>
      <c r="I376" s="6" t="str">
        <f>IFERROR(__xludf.DUMMYFUNCTION("MAX(FILTER($H:$H,$E:$E=F376))"),"#N/A")</f>
        <v>#N/A</v>
      </c>
    </row>
    <row r="377">
      <c r="C377" s="4" t="s">
        <v>2082</v>
      </c>
      <c r="D377" s="4" t="str">
        <f t="shared" si="1"/>
        <v>{"valorA":"microondas","valorB":137}</v>
      </c>
      <c r="E377" s="8" t="str">
        <f t="shared" si="2"/>
        <v>microondas</v>
      </c>
      <c r="F377" s="8"/>
      <c r="G377" s="8" t="str">
        <f t="shared" si="3"/>
        <v>137</v>
      </c>
      <c r="H377" s="9">
        <f t="shared" si="4"/>
        <v>137</v>
      </c>
      <c r="I377" s="6" t="str">
        <f>IFERROR(__xludf.DUMMYFUNCTION("MAX(FILTER($H:$H,$E:$E=F377))"),"#N/A")</f>
        <v>#N/A</v>
      </c>
    </row>
    <row r="378">
      <c r="C378" s="4" t="s">
        <v>2084</v>
      </c>
      <c r="D378" s="4" t="str">
        <f t="shared" si="1"/>
        <v>{"valorA":"microondas","valorB":138}</v>
      </c>
      <c r="E378" s="8" t="str">
        <f t="shared" si="2"/>
        <v>microondas</v>
      </c>
      <c r="F378" s="8"/>
      <c r="G378" s="8" t="str">
        <f t="shared" si="3"/>
        <v>138</v>
      </c>
      <c r="H378" s="9">
        <f t="shared" si="4"/>
        <v>138</v>
      </c>
      <c r="I378" s="6" t="str">
        <f>IFERROR(__xludf.DUMMYFUNCTION("MAX(FILTER($H:$H,$E:$E=F378))"),"#N/A")</f>
        <v>#N/A</v>
      </c>
    </row>
    <row r="379">
      <c r="C379" s="4" t="s">
        <v>2085</v>
      </c>
      <c r="D379" s="4" t="str">
        <f t="shared" si="1"/>
        <v>{"valorA":"microondas","valorB":139}</v>
      </c>
      <c r="E379" s="8" t="str">
        <f t="shared" si="2"/>
        <v>microondas</v>
      </c>
      <c r="F379" s="8"/>
      <c r="G379" s="8" t="str">
        <f t="shared" si="3"/>
        <v>139</v>
      </c>
      <c r="H379" s="9">
        <f t="shared" si="4"/>
        <v>139</v>
      </c>
      <c r="I379" s="6" t="str">
        <f>IFERROR(__xludf.DUMMYFUNCTION("MAX(FILTER($H:$H,$E:$E=F379))"),"#N/A")</f>
        <v>#N/A</v>
      </c>
    </row>
    <row r="380">
      <c r="C380" s="4" t="s">
        <v>2010</v>
      </c>
      <c r="D380" s="4" t="str">
        <f t="shared" si="1"/>
        <v>{"valorA":"ar condicionado","valorB":119}</v>
      </c>
      <c r="E380" s="8" t="str">
        <f t="shared" si="2"/>
        <v>ar condicionado</v>
      </c>
      <c r="F380" s="8"/>
      <c r="G380" s="8" t="str">
        <f t="shared" si="3"/>
        <v>119</v>
      </c>
      <c r="H380" s="9">
        <f t="shared" si="4"/>
        <v>119</v>
      </c>
      <c r="I380" s="6" t="str">
        <f>IFERROR(__xludf.DUMMYFUNCTION("MAX(FILTER($H:$H,$E:$E=F380))"),"#N/A")</f>
        <v>#N/A</v>
      </c>
    </row>
    <row r="381">
      <c r="C381" s="4" t="s">
        <v>2013</v>
      </c>
      <c r="D381" s="4" t="str">
        <f t="shared" si="1"/>
        <v>{"valorA":"freezer","valorB":122}</v>
      </c>
      <c r="E381" s="8" t="str">
        <f t="shared" si="2"/>
        <v>freezer</v>
      </c>
      <c r="F381" s="8"/>
      <c r="G381" s="8" t="str">
        <f t="shared" si="3"/>
        <v>122</v>
      </c>
      <c r="H381" s="9">
        <f t="shared" si="4"/>
        <v>122</v>
      </c>
      <c r="I381" s="6" t="str">
        <f>IFERROR(__xludf.DUMMYFUNCTION("MAX(FILTER($H:$H,$E:$E=F381))"),"#N/A")</f>
        <v>#N/A</v>
      </c>
    </row>
    <row r="382">
      <c r="C382" s="4" t="s">
        <v>2017</v>
      </c>
      <c r="D382" s="4" t="str">
        <f t="shared" si="1"/>
        <v>{"valorA":"freezer","valorB":123}</v>
      </c>
      <c r="E382" s="8" t="str">
        <f t="shared" si="2"/>
        <v>freezer</v>
      </c>
      <c r="F382" s="8"/>
      <c r="G382" s="8" t="str">
        <f t="shared" si="3"/>
        <v>123</v>
      </c>
      <c r="H382" s="9">
        <f t="shared" si="4"/>
        <v>123</v>
      </c>
      <c r="I382" s="6" t="str">
        <f>IFERROR(__xludf.DUMMYFUNCTION("MAX(FILTER($H:$H,$E:$E=F382))"),"#N/A")</f>
        <v>#N/A</v>
      </c>
    </row>
    <row r="383">
      <c r="C383" s="4" t="s">
        <v>2016</v>
      </c>
      <c r="D383" s="4" t="str">
        <f t="shared" si="1"/>
        <v>{"valorA":"ar condicionado","valorB":120}</v>
      </c>
      <c r="E383" s="8" t="str">
        <f t="shared" si="2"/>
        <v>ar condicionado</v>
      </c>
      <c r="F383" s="8"/>
      <c r="G383" s="8" t="str">
        <f t="shared" si="3"/>
        <v>120</v>
      </c>
      <c r="H383" s="9">
        <f t="shared" si="4"/>
        <v>120</v>
      </c>
      <c r="I383" s="6" t="str">
        <f>IFERROR(__xludf.DUMMYFUNCTION("MAX(FILTER($H:$H,$E:$E=F383))"),"#N/A")</f>
        <v>#N/A</v>
      </c>
    </row>
    <row r="384">
      <c r="C384" s="4" t="s">
        <v>2088</v>
      </c>
      <c r="D384" s="4" t="str">
        <f t="shared" si="1"/>
        <v>{"valorA":"microondas","valorB":140}</v>
      </c>
      <c r="E384" s="8" t="str">
        <f t="shared" si="2"/>
        <v>microondas</v>
      </c>
      <c r="F384" s="8"/>
      <c r="G384" s="8" t="str">
        <f t="shared" si="3"/>
        <v>140</v>
      </c>
      <c r="H384" s="9">
        <f t="shared" si="4"/>
        <v>140</v>
      </c>
      <c r="I384" s="6" t="str">
        <f>IFERROR(__xludf.DUMMYFUNCTION("MAX(FILTER($H:$H,$E:$E=F384))"),"#N/A")</f>
        <v>#N/A</v>
      </c>
    </row>
    <row r="385">
      <c r="C385" s="4" t="s">
        <v>2090</v>
      </c>
      <c r="D385" s="4" t="str">
        <f t="shared" si="1"/>
        <v>{"valorA":"microondas","valorB":141}</v>
      </c>
      <c r="E385" s="8" t="str">
        <f t="shared" si="2"/>
        <v>microondas</v>
      </c>
      <c r="F385" s="8"/>
      <c r="G385" s="8" t="str">
        <f t="shared" si="3"/>
        <v>141</v>
      </c>
      <c r="H385" s="9">
        <f t="shared" si="4"/>
        <v>141</v>
      </c>
      <c r="I385" s="6" t="str">
        <f>IFERROR(__xludf.DUMMYFUNCTION("MAX(FILTER($H:$H,$E:$E=F385))"),"#N/A")</f>
        <v>#N/A</v>
      </c>
    </row>
    <row r="386">
      <c r="C386" s="4" t="s">
        <v>2091</v>
      </c>
      <c r="D386" s="4" t="str">
        <f t="shared" si="1"/>
        <v>{"valorA":"microondas","valorB":142}</v>
      </c>
      <c r="E386" s="8" t="str">
        <f t="shared" si="2"/>
        <v>microondas</v>
      </c>
      <c r="F386" s="8"/>
      <c r="G386" s="8" t="str">
        <f t="shared" si="3"/>
        <v>142</v>
      </c>
      <c r="H386" s="9">
        <f t="shared" si="4"/>
        <v>142</v>
      </c>
      <c r="I386" s="6" t="str">
        <f>IFERROR(__xludf.DUMMYFUNCTION("MAX(FILTER($H:$H,$E:$E=F386))"),"#N/A")</f>
        <v>#N/A</v>
      </c>
    </row>
    <row r="387">
      <c r="C387" s="4" t="s">
        <v>2018</v>
      </c>
      <c r="D387" s="4" t="str">
        <f t="shared" si="1"/>
        <v>{"valorA":"freezer","valorB":124}</v>
      </c>
      <c r="E387" s="8" t="str">
        <f t="shared" si="2"/>
        <v>freezer</v>
      </c>
      <c r="F387" s="8"/>
      <c r="G387" s="8" t="str">
        <f t="shared" si="3"/>
        <v>124</v>
      </c>
      <c r="H387" s="9">
        <f t="shared" si="4"/>
        <v>124</v>
      </c>
      <c r="I387" s="6" t="str">
        <f>IFERROR(__xludf.DUMMYFUNCTION("MAX(FILTER($H:$H,$E:$E=F387))"),"#N/A")</f>
        <v>#N/A</v>
      </c>
    </row>
    <row r="388">
      <c r="C388" s="4" t="s">
        <v>2024</v>
      </c>
      <c r="D388" s="4" t="str">
        <f t="shared" si="1"/>
        <v>{"valorA":"ar condicionado","valorB":121}</v>
      </c>
      <c r="E388" s="8" t="str">
        <f t="shared" si="2"/>
        <v>ar condicionado</v>
      </c>
      <c r="F388" s="8"/>
      <c r="G388" s="8" t="str">
        <f t="shared" si="3"/>
        <v>121</v>
      </c>
      <c r="H388" s="9">
        <f t="shared" si="4"/>
        <v>121</v>
      </c>
      <c r="I388" s="6" t="str">
        <f>IFERROR(__xludf.DUMMYFUNCTION("MAX(FILTER($H:$H,$E:$E=F388))"),"#N/A")</f>
        <v>#N/A</v>
      </c>
    </row>
    <row r="389">
      <c r="C389" s="4" t="s">
        <v>2025</v>
      </c>
      <c r="D389" s="4" t="str">
        <f t="shared" si="1"/>
        <v>{"valorA":"ar condicionado","valorB":122}</v>
      </c>
      <c r="E389" s="8" t="str">
        <f t="shared" si="2"/>
        <v>ar condicionado</v>
      </c>
      <c r="F389" s="8"/>
      <c r="G389" s="8" t="str">
        <f t="shared" si="3"/>
        <v>122</v>
      </c>
      <c r="H389" s="9">
        <f t="shared" si="4"/>
        <v>122</v>
      </c>
      <c r="I389" s="6" t="str">
        <f>IFERROR(__xludf.DUMMYFUNCTION("MAX(FILTER($H:$H,$E:$E=F389))"),"#N/A")</f>
        <v>#N/A</v>
      </c>
    </row>
    <row r="390">
      <c r="C390" s="4" t="s">
        <v>2093</v>
      </c>
      <c r="D390" s="4" t="str">
        <f t="shared" si="1"/>
        <v>{"valorA":"microondas","valorB":143}</v>
      </c>
      <c r="E390" s="8" t="str">
        <f t="shared" si="2"/>
        <v>microondas</v>
      </c>
      <c r="F390" s="8"/>
      <c r="G390" s="8" t="str">
        <f t="shared" si="3"/>
        <v>143</v>
      </c>
      <c r="H390" s="9">
        <f t="shared" si="4"/>
        <v>143</v>
      </c>
      <c r="I390" s="6" t="str">
        <f>IFERROR(__xludf.DUMMYFUNCTION("MAX(FILTER($H:$H,$E:$E=F390))"),"#N/A")</f>
        <v>#N/A</v>
      </c>
    </row>
    <row r="391">
      <c r="C391" s="4" t="s">
        <v>2098</v>
      </c>
      <c r="D391" s="4" t="str">
        <f t="shared" si="1"/>
        <v>{"valorA":"microondas","valorB":144}</v>
      </c>
      <c r="E391" s="8" t="str">
        <f t="shared" si="2"/>
        <v>microondas</v>
      </c>
      <c r="F391" s="8"/>
      <c r="G391" s="8" t="str">
        <f t="shared" si="3"/>
        <v>144</v>
      </c>
      <c r="H391" s="9">
        <f t="shared" si="4"/>
        <v>144</v>
      </c>
      <c r="I391" s="6" t="str">
        <f>IFERROR(__xludf.DUMMYFUNCTION("MAX(FILTER($H:$H,$E:$E=F391))"),"#N/A")</f>
        <v>#N/A</v>
      </c>
    </row>
    <row r="392">
      <c r="C392" s="4" t="s">
        <v>2101</v>
      </c>
      <c r="D392" s="4" t="str">
        <f t="shared" si="1"/>
        <v>{"valorA":"microondas","valorB":145}</v>
      </c>
      <c r="E392" s="8" t="str">
        <f t="shared" si="2"/>
        <v>microondas</v>
      </c>
      <c r="F392" s="8"/>
      <c r="G392" s="8" t="str">
        <f t="shared" si="3"/>
        <v>145</v>
      </c>
      <c r="H392" s="9">
        <f t="shared" si="4"/>
        <v>145</v>
      </c>
      <c r="I392" s="6" t="str">
        <f>IFERROR(__xludf.DUMMYFUNCTION("MAX(FILTER($H:$H,$E:$E=F392))"),"#N/A")</f>
        <v>#N/A</v>
      </c>
    </row>
    <row r="393">
      <c r="C393" s="4" t="s">
        <v>2027</v>
      </c>
      <c r="D393" s="4" t="str">
        <f t="shared" si="1"/>
        <v>{"valorA":"ar condicionado","valorB":123}</v>
      </c>
      <c r="E393" s="8" t="str">
        <f t="shared" si="2"/>
        <v>ar condicionado</v>
      </c>
      <c r="F393" s="8"/>
      <c r="G393" s="8" t="str">
        <f t="shared" si="3"/>
        <v>123</v>
      </c>
      <c r="H393" s="9">
        <f t="shared" si="4"/>
        <v>123</v>
      </c>
      <c r="I393" s="6" t="str">
        <f>IFERROR(__xludf.DUMMYFUNCTION("MAX(FILTER($H:$H,$E:$E=F393))"),"#N/A")</f>
        <v>#N/A</v>
      </c>
    </row>
    <row r="394">
      <c r="C394" s="4" t="s">
        <v>2020</v>
      </c>
      <c r="D394" s="4" t="str">
        <f t="shared" si="1"/>
        <v>{"valorA":"freezer","valorB":125}</v>
      </c>
      <c r="E394" s="8" t="str">
        <f t="shared" si="2"/>
        <v>freezer</v>
      </c>
      <c r="F394" s="8"/>
      <c r="G394" s="8" t="str">
        <f t="shared" si="3"/>
        <v>125</v>
      </c>
      <c r="H394" s="9">
        <f t="shared" si="4"/>
        <v>125</v>
      </c>
      <c r="I394" s="6" t="str">
        <f>IFERROR(__xludf.DUMMYFUNCTION("MAX(FILTER($H:$H,$E:$E=F394))"),"#N/A")</f>
        <v>#N/A</v>
      </c>
    </row>
    <row r="395">
      <c r="C395" s="4" t="s">
        <v>2028</v>
      </c>
      <c r="D395" s="4" t="str">
        <f t="shared" si="1"/>
        <v>{"valorA":"ar condicionado","valorB":124}</v>
      </c>
      <c r="E395" s="8" t="str">
        <f t="shared" si="2"/>
        <v>ar condicionado</v>
      </c>
      <c r="F395" s="8"/>
      <c r="G395" s="8" t="str">
        <f t="shared" si="3"/>
        <v>124</v>
      </c>
      <c r="H395" s="9">
        <f t="shared" si="4"/>
        <v>124</v>
      </c>
      <c r="I395" s="6" t="str">
        <f>IFERROR(__xludf.DUMMYFUNCTION("MAX(FILTER($H:$H,$E:$E=F395))"),"#N/A")</f>
        <v>#N/A</v>
      </c>
    </row>
    <row r="396">
      <c r="C396" s="4" t="s">
        <v>2021</v>
      </c>
      <c r="D396" s="4" t="str">
        <f t="shared" si="1"/>
        <v>{"valorA":"freezer","valorB":126}</v>
      </c>
      <c r="E396" s="8" t="str">
        <f t="shared" si="2"/>
        <v>freezer</v>
      </c>
      <c r="F396" s="8"/>
      <c r="G396" s="8" t="str">
        <f t="shared" si="3"/>
        <v>126</v>
      </c>
      <c r="H396" s="9">
        <f t="shared" si="4"/>
        <v>126</v>
      </c>
      <c r="I396" s="6" t="str">
        <f>IFERROR(__xludf.DUMMYFUNCTION("MAX(FILTER($H:$H,$E:$E=F396))"),"#N/A")</f>
        <v>#N/A</v>
      </c>
    </row>
    <row r="397">
      <c r="C397" s="4" t="s">
        <v>2103</v>
      </c>
      <c r="D397" s="4" t="str">
        <f t="shared" si="1"/>
        <v>{"valorA":"microondas","valorB":146}</v>
      </c>
      <c r="E397" s="8" t="str">
        <f t="shared" si="2"/>
        <v>microondas</v>
      </c>
      <c r="F397" s="8"/>
      <c r="G397" s="8" t="str">
        <f t="shared" si="3"/>
        <v>146</v>
      </c>
      <c r="H397" s="9">
        <f t="shared" si="4"/>
        <v>146</v>
      </c>
      <c r="I397" s="6" t="str">
        <f>IFERROR(__xludf.DUMMYFUNCTION("MAX(FILTER($H:$H,$E:$E=F397))"),"#N/A")</f>
        <v>#N/A</v>
      </c>
    </row>
    <row r="398">
      <c r="C398" s="4" t="s">
        <v>2022</v>
      </c>
      <c r="D398" s="4" t="str">
        <f t="shared" si="1"/>
        <v>{"valorA":"freezer","valorB":127}</v>
      </c>
      <c r="E398" s="8" t="str">
        <f t="shared" si="2"/>
        <v>freezer</v>
      </c>
      <c r="F398" s="8"/>
      <c r="G398" s="8" t="str">
        <f t="shared" si="3"/>
        <v>127</v>
      </c>
      <c r="H398" s="9">
        <f t="shared" si="4"/>
        <v>127</v>
      </c>
      <c r="I398" s="6" t="str">
        <f>IFERROR(__xludf.DUMMYFUNCTION("MAX(FILTER($H:$H,$E:$E=F398))"),"#N/A")</f>
        <v>#N/A</v>
      </c>
    </row>
    <row r="399">
      <c r="C399" s="4" t="s">
        <v>2106</v>
      </c>
      <c r="D399" s="4" t="str">
        <f t="shared" si="1"/>
        <v>{"valorA":"microondas","valorB":147}</v>
      </c>
      <c r="E399" s="8" t="str">
        <f t="shared" si="2"/>
        <v>microondas</v>
      </c>
      <c r="F399" s="8"/>
      <c r="G399" s="8" t="str">
        <f t="shared" si="3"/>
        <v>147</v>
      </c>
      <c r="H399" s="9">
        <f t="shared" si="4"/>
        <v>147</v>
      </c>
      <c r="I399" s="6" t="str">
        <f>IFERROR(__xludf.DUMMYFUNCTION("MAX(FILTER($H:$H,$E:$E=F399))"),"#N/A")</f>
        <v>#N/A</v>
      </c>
    </row>
    <row r="400">
      <c r="C400" s="4" t="s">
        <v>2030</v>
      </c>
      <c r="D400" s="4" t="str">
        <f t="shared" si="1"/>
        <v>{"valorA":"ar condicionado","valorB":125}</v>
      </c>
      <c r="E400" s="8" t="str">
        <f t="shared" si="2"/>
        <v>ar condicionado</v>
      </c>
      <c r="F400" s="8"/>
      <c r="G400" s="8" t="str">
        <f t="shared" si="3"/>
        <v>125</v>
      </c>
      <c r="H400" s="9">
        <f t="shared" si="4"/>
        <v>125</v>
      </c>
      <c r="I400" s="6" t="str">
        <f>IFERROR(__xludf.DUMMYFUNCTION("MAX(FILTER($H:$H,$E:$E=F400))"),"#N/A")</f>
        <v>#N/A</v>
      </c>
    </row>
    <row r="401">
      <c r="C401" s="4" t="s">
        <v>2034</v>
      </c>
      <c r="D401" s="4" t="str">
        <f t="shared" si="1"/>
        <v>{"valorA":"ar condicionado","valorB":126}</v>
      </c>
      <c r="E401" s="8" t="str">
        <f t="shared" si="2"/>
        <v>ar condicionado</v>
      </c>
      <c r="F401" s="8"/>
      <c r="G401" s="8" t="str">
        <f t="shared" si="3"/>
        <v>126</v>
      </c>
      <c r="H401" s="9">
        <f t="shared" si="4"/>
        <v>126</v>
      </c>
      <c r="I401" s="6" t="str">
        <f>IFERROR(__xludf.DUMMYFUNCTION("MAX(FILTER($H:$H,$E:$E=F401))"),"#N/A")</f>
        <v>#N/A</v>
      </c>
    </row>
    <row r="402">
      <c r="C402" s="4" t="s">
        <v>2108</v>
      </c>
      <c r="D402" s="4" t="str">
        <f t="shared" si="1"/>
        <v>{"valorA":"microondas","valorB":148}</v>
      </c>
      <c r="E402" s="8" t="str">
        <f t="shared" si="2"/>
        <v>microondas</v>
      </c>
      <c r="F402" s="8"/>
      <c r="G402" s="8" t="str">
        <f t="shared" si="3"/>
        <v>148</v>
      </c>
      <c r="H402" s="9">
        <f t="shared" si="4"/>
        <v>148</v>
      </c>
      <c r="I402" s="6" t="str">
        <f>IFERROR(__xludf.DUMMYFUNCTION("MAX(FILTER($H:$H,$E:$E=F402))"),"#N/A")</f>
        <v>#N/A</v>
      </c>
    </row>
    <row r="403">
      <c r="C403" s="4" t="s">
        <v>2023</v>
      </c>
      <c r="D403" s="4" t="str">
        <f t="shared" si="1"/>
        <v>{"valorA":"freezer","valorB":128}</v>
      </c>
      <c r="E403" s="8" t="str">
        <f t="shared" si="2"/>
        <v>freezer</v>
      </c>
      <c r="F403" s="8"/>
      <c r="G403" s="8" t="str">
        <f t="shared" si="3"/>
        <v>128</v>
      </c>
      <c r="H403" s="9">
        <f t="shared" si="4"/>
        <v>128</v>
      </c>
      <c r="I403" s="6" t="str">
        <f>IFERROR(__xludf.DUMMYFUNCTION("MAX(FILTER($H:$H,$E:$E=F403))"),"#N/A")</f>
        <v>#N/A</v>
      </c>
    </row>
    <row r="404">
      <c r="C404" s="4" t="s">
        <v>2029</v>
      </c>
      <c r="D404" s="4" t="str">
        <f t="shared" si="1"/>
        <v>{"valorA":"freezer","valorB":129}</v>
      </c>
      <c r="E404" s="8" t="str">
        <f t="shared" si="2"/>
        <v>freezer</v>
      </c>
      <c r="F404" s="8"/>
      <c r="G404" s="8" t="str">
        <f t="shared" si="3"/>
        <v>129</v>
      </c>
      <c r="H404" s="9">
        <f t="shared" si="4"/>
        <v>129</v>
      </c>
      <c r="I404" s="6" t="str">
        <f>IFERROR(__xludf.DUMMYFUNCTION("MAX(FILTER($H:$H,$E:$E=F404))"),"#N/A")</f>
        <v>#N/A</v>
      </c>
    </row>
    <row r="405">
      <c r="C405" s="4" t="s">
        <v>2037</v>
      </c>
      <c r="D405" s="4" t="str">
        <f t="shared" si="1"/>
        <v>{"valorA":"ar condicionado","valorB":127}</v>
      </c>
      <c r="E405" s="8" t="str">
        <f t="shared" si="2"/>
        <v>ar condicionado</v>
      </c>
      <c r="F405" s="8"/>
      <c r="G405" s="8" t="str">
        <f t="shared" si="3"/>
        <v>127</v>
      </c>
      <c r="H405" s="9">
        <f t="shared" si="4"/>
        <v>127</v>
      </c>
      <c r="I405" s="6" t="str">
        <f>IFERROR(__xludf.DUMMYFUNCTION("MAX(FILTER($H:$H,$E:$E=F405))"),"#N/A")</f>
        <v>#N/A</v>
      </c>
    </row>
    <row r="406">
      <c r="C406" s="4" t="s">
        <v>2111</v>
      </c>
      <c r="D406" s="4" t="str">
        <f t="shared" si="1"/>
        <v>{"valorA":"microondas","valorB":149}</v>
      </c>
      <c r="E406" s="8" t="str">
        <f t="shared" si="2"/>
        <v>microondas</v>
      </c>
      <c r="F406" s="8"/>
      <c r="G406" s="8" t="str">
        <f t="shared" si="3"/>
        <v>149</v>
      </c>
      <c r="H406" s="9">
        <f t="shared" si="4"/>
        <v>149</v>
      </c>
      <c r="I406" s="6" t="str">
        <f>IFERROR(__xludf.DUMMYFUNCTION("MAX(FILTER($H:$H,$E:$E=F406))"),"#N/A")</f>
        <v>#N/A</v>
      </c>
    </row>
    <row r="407">
      <c r="C407" s="4" t="s">
        <v>2031</v>
      </c>
      <c r="D407" s="4" t="str">
        <f t="shared" si="1"/>
        <v>{"valorA":"freezer","valorB":130}</v>
      </c>
      <c r="E407" s="8" t="str">
        <f t="shared" si="2"/>
        <v>freezer</v>
      </c>
      <c r="F407" s="8"/>
      <c r="G407" s="8" t="str">
        <f t="shared" si="3"/>
        <v>130</v>
      </c>
      <c r="H407" s="9">
        <f t="shared" si="4"/>
        <v>130</v>
      </c>
      <c r="I407" s="6" t="str">
        <f>IFERROR(__xludf.DUMMYFUNCTION("MAX(FILTER($H:$H,$E:$E=F407))"),"#N/A")</f>
        <v>#N/A</v>
      </c>
    </row>
    <row r="408">
      <c r="C408" s="4" t="s">
        <v>2039</v>
      </c>
      <c r="D408" s="4" t="str">
        <f t="shared" si="1"/>
        <v>{"valorA":"ar condicionado","valorB":128}</v>
      </c>
      <c r="E408" s="8" t="str">
        <f t="shared" si="2"/>
        <v>ar condicionado</v>
      </c>
      <c r="F408" s="8"/>
      <c r="G408" s="8" t="str">
        <f t="shared" si="3"/>
        <v>128</v>
      </c>
      <c r="H408" s="9">
        <f t="shared" si="4"/>
        <v>128</v>
      </c>
      <c r="I408" s="6" t="str">
        <f>IFERROR(__xludf.DUMMYFUNCTION("MAX(FILTER($H:$H,$E:$E=F408))"),"#N/A")</f>
        <v>#N/A</v>
      </c>
    </row>
    <row r="409">
      <c r="C409" s="4" t="s">
        <v>2112</v>
      </c>
      <c r="D409" s="4" t="str">
        <f t="shared" si="1"/>
        <v>{"valorA":"microondas","valorB":150}</v>
      </c>
      <c r="E409" s="8" t="str">
        <f t="shared" si="2"/>
        <v>microondas</v>
      </c>
      <c r="F409" s="8"/>
      <c r="G409" s="8" t="str">
        <f t="shared" si="3"/>
        <v>150</v>
      </c>
      <c r="H409" s="9">
        <f t="shared" si="4"/>
        <v>150</v>
      </c>
      <c r="I409" s="6" t="str">
        <f>IFERROR(__xludf.DUMMYFUNCTION("MAX(FILTER($H:$H,$E:$E=F409))"),"#N/A")</f>
        <v>#N/A</v>
      </c>
    </row>
    <row r="410">
      <c r="C410" s="4" t="s">
        <v>2035</v>
      </c>
      <c r="D410" s="4" t="str">
        <f t="shared" si="1"/>
        <v>{"valorA":"freezer","valorB":131}</v>
      </c>
      <c r="E410" s="8" t="str">
        <f t="shared" si="2"/>
        <v>freezer</v>
      </c>
      <c r="F410" s="8"/>
      <c r="G410" s="8" t="str">
        <f t="shared" si="3"/>
        <v>131</v>
      </c>
      <c r="H410" s="9">
        <f t="shared" si="4"/>
        <v>131</v>
      </c>
      <c r="I410" s="6" t="str">
        <f>IFERROR(__xludf.DUMMYFUNCTION("MAX(FILTER($H:$H,$E:$E=F410))"),"#N/A")</f>
        <v>#N/A</v>
      </c>
    </row>
    <row r="411">
      <c r="C411" s="4" t="s">
        <v>2042</v>
      </c>
      <c r="D411" s="4" t="str">
        <f t="shared" si="1"/>
        <v>{"valorA":"ar condicionado","valorB":129}</v>
      </c>
      <c r="E411" s="8" t="str">
        <f t="shared" si="2"/>
        <v>ar condicionado</v>
      </c>
      <c r="F411" s="8"/>
      <c r="G411" s="8" t="str">
        <f t="shared" si="3"/>
        <v>129</v>
      </c>
      <c r="H411" s="9">
        <f t="shared" si="4"/>
        <v>129</v>
      </c>
      <c r="I411" s="6" t="str">
        <f>IFERROR(__xludf.DUMMYFUNCTION("MAX(FILTER($H:$H,$E:$E=F411))"),"#N/A")</f>
        <v>#N/A</v>
      </c>
    </row>
    <row r="412">
      <c r="C412" s="4" t="s">
        <v>2041</v>
      </c>
      <c r="D412" s="4" t="str">
        <f t="shared" si="1"/>
        <v>{"valorA":"freezer","valorB":132}</v>
      </c>
      <c r="E412" s="8" t="str">
        <f t="shared" si="2"/>
        <v>freezer</v>
      </c>
      <c r="F412" s="8"/>
      <c r="G412" s="8" t="str">
        <f t="shared" si="3"/>
        <v>132</v>
      </c>
      <c r="H412" s="9">
        <f t="shared" si="4"/>
        <v>132</v>
      </c>
      <c r="I412" s="6" t="str">
        <f>IFERROR(__xludf.DUMMYFUNCTION("MAX(FILTER($H:$H,$E:$E=F412))"),"#N/A")</f>
        <v>#N/A</v>
      </c>
    </row>
    <row r="413">
      <c r="C413" s="4" t="s">
        <v>2115</v>
      </c>
      <c r="D413" s="4" t="str">
        <f t="shared" si="1"/>
        <v>{"valorA":"microondas","valorB":151}</v>
      </c>
      <c r="E413" s="8" t="str">
        <f t="shared" si="2"/>
        <v>microondas</v>
      </c>
      <c r="F413" s="8"/>
      <c r="G413" s="8" t="str">
        <f t="shared" si="3"/>
        <v>151</v>
      </c>
      <c r="H413" s="9">
        <f t="shared" si="4"/>
        <v>151</v>
      </c>
      <c r="I413" s="6" t="str">
        <f>IFERROR(__xludf.DUMMYFUNCTION("MAX(FILTER($H:$H,$E:$E=F413))"),"#N/A")</f>
        <v>#N/A</v>
      </c>
    </row>
    <row r="414">
      <c r="C414" s="4" t="s">
        <v>2045</v>
      </c>
      <c r="D414" s="4" t="str">
        <f t="shared" si="1"/>
        <v>{"valorA":"freezer","valorB":133}</v>
      </c>
      <c r="E414" s="8" t="str">
        <f t="shared" si="2"/>
        <v>freezer</v>
      </c>
      <c r="F414" s="8"/>
      <c r="G414" s="8" t="str">
        <f t="shared" si="3"/>
        <v>133</v>
      </c>
      <c r="H414" s="9">
        <f t="shared" si="4"/>
        <v>133</v>
      </c>
      <c r="I414" s="6" t="str">
        <f>IFERROR(__xludf.DUMMYFUNCTION("MAX(FILTER($H:$H,$E:$E=F414))"),"#N/A")</f>
        <v>#N/A</v>
      </c>
    </row>
    <row r="415">
      <c r="C415" s="4" t="s">
        <v>2049</v>
      </c>
      <c r="D415" s="4" t="str">
        <f t="shared" si="1"/>
        <v>{"valorA":"freezer","valorB":134}</v>
      </c>
      <c r="E415" s="8" t="str">
        <f t="shared" si="2"/>
        <v>freezer</v>
      </c>
      <c r="F415" s="8"/>
      <c r="G415" s="8" t="str">
        <f t="shared" si="3"/>
        <v>134</v>
      </c>
      <c r="H415" s="9">
        <f t="shared" si="4"/>
        <v>134</v>
      </c>
      <c r="I415" s="6" t="str">
        <f>IFERROR(__xludf.DUMMYFUNCTION("MAX(FILTER($H:$H,$E:$E=F415))"),"#N/A")</f>
        <v>#N/A</v>
      </c>
    </row>
    <row r="416">
      <c r="C416" s="4" t="s">
        <v>2116</v>
      </c>
      <c r="D416" s="4" t="str">
        <f t="shared" si="1"/>
        <v>{"valorA":"microondas","valorB":152}</v>
      </c>
      <c r="E416" s="8" t="str">
        <f t="shared" si="2"/>
        <v>microondas</v>
      </c>
      <c r="F416" s="8"/>
      <c r="G416" s="8" t="str">
        <f t="shared" si="3"/>
        <v>152</v>
      </c>
      <c r="H416" s="9">
        <f t="shared" si="4"/>
        <v>152</v>
      </c>
      <c r="I416" s="6" t="str">
        <f>IFERROR(__xludf.DUMMYFUNCTION("MAX(FILTER($H:$H,$E:$E=F416))"),"#N/A")</f>
        <v>#N/A</v>
      </c>
    </row>
    <row r="417">
      <c r="C417" s="4" t="s">
        <v>2052</v>
      </c>
      <c r="D417" s="4" t="str">
        <f t="shared" si="1"/>
        <v>{"valorA":"freezer","valorB":135}</v>
      </c>
      <c r="E417" s="8" t="str">
        <f t="shared" si="2"/>
        <v>freezer</v>
      </c>
      <c r="F417" s="8"/>
      <c r="G417" s="8" t="str">
        <f t="shared" si="3"/>
        <v>135</v>
      </c>
      <c r="H417" s="9">
        <f t="shared" si="4"/>
        <v>135</v>
      </c>
      <c r="I417" s="6" t="str">
        <f>IFERROR(__xludf.DUMMYFUNCTION("MAX(FILTER($H:$H,$E:$E=F417))"),"#N/A")</f>
        <v>#N/A</v>
      </c>
    </row>
    <row r="418">
      <c r="C418" s="4" t="s">
        <v>2055</v>
      </c>
      <c r="D418" s="4" t="str">
        <f t="shared" si="1"/>
        <v>{"valorA":"freezer","valorB":136}</v>
      </c>
      <c r="E418" s="8" t="str">
        <f t="shared" si="2"/>
        <v>freezer</v>
      </c>
      <c r="F418" s="8"/>
      <c r="G418" s="8" t="str">
        <f t="shared" si="3"/>
        <v>136</v>
      </c>
      <c r="H418" s="9">
        <f t="shared" si="4"/>
        <v>136</v>
      </c>
      <c r="I418" s="6" t="str">
        <f>IFERROR(__xludf.DUMMYFUNCTION("MAX(FILTER($H:$H,$E:$E=F418))"),"#N/A")</f>
        <v>#N/A</v>
      </c>
    </row>
    <row r="419">
      <c r="C419" s="4" t="s">
        <v>2046</v>
      </c>
      <c r="D419" s="4" t="str">
        <f t="shared" si="1"/>
        <v>{"valorA":"ar condicionado","valorB":130}</v>
      </c>
      <c r="E419" s="8" t="str">
        <f t="shared" si="2"/>
        <v>ar condicionado</v>
      </c>
      <c r="F419" s="8"/>
      <c r="G419" s="8" t="str">
        <f t="shared" si="3"/>
        <v>130</v>
      </c>
      <c r="H419" s="9">
        <f t="shared" si="4"/>
        <v>130</v>
      </c>
      <c r="I419" s="6" t="str">
        <f>IFERROR(__xludf.DUMMYFUNCTION("MAX(FILTER($H:$H,$E:$E=F419))"),"#N/A")</f>
        <v>#N/A</v>
      </c>
    </row>
    <row r="420">
      <c r="C420" s="4" t="s">
        <v>2117</v>
      </c>
      <c r="D420" s="4" t="str">
        <f t="shared" si="1"/>
        <v>{"valorA":"microondas","valorB":153}</v>
      </c>
      <c r="E420" s="8" t="str">
        <f t="shared" si="2"/>
        <v>microondas</v>
      </c>
      <c r="F420" s="8"/>
      <c r="G420" s="8" t="str">
        <f t="shared" si="3"/>
        <v>153</v>
      </c>
      <c r="H420" s="9">
        <f t="shared" si="4"/>
        <v>153</v>
      </c>
      <c r="I420" s="6" t="str">
        <f>IFERROR(__xludf.DUMMYFUNCTION("MAX(FILTER($H:$H,$E:$E=F420))"),"#N/A")</f>
        <v>#N/A</v>
      </c>
    </row>
    <row r="421">
      <c r="C421" s="4" t="s">
        <v>2050</v>
      </c>
      <c r="D421" s="4" t="str">
        <f t="shared" si="1"/>
        <v>{"valorA":"ar condicionado","valorB":131}</v>
      </c>
      <c r="E421" s="8" t="str">
        <f t="shared" si="2"/>
        <v>ar condicionado</v>
      </c>
      <c r="F421" s="8"/>
      <c r="G421" s="8" t="str">
        <f t="shared" si="3"/>
        <v>131</v>
      </c>
      <c r="H421" s="9">
        <f t="shared" si="4"/>
        <v>131</v>
      </c>
      <c r="I421" s="6" t="str">
        <f>IFERROR(__xludf.DUMMYFUNCTION("MAX(FILTER($H:$H,$E:$E=F421))"),"#N/A")</f>
        <v>#N/A</v>
      </c>
    </row>
    <row r="422">
      <c r="C422" s="4" t="s">
        <v>2051</v>
      </c>
      <c r="D422" s="4" t="str">
        <f t="shared" si="1"/>
        <v>{"valorA":"ar condicionado","valorB":132}</v>
      </c>
      <c r="E422" s="8" t="str">
        <f t="shared" si="2"/>
        <v>ar condicionado</v>
      </c>
      <c r="F422" s="8"/>
      <c r="G422" s="8" t="str">
        <f t="shared" si="3"/>
        <v>132</v>
      </c>
      <c r="H422" s="9">
        <f t="shared" si="4"/>
        <v>132</v>
      </c>
      <c r="I422" s="6" t="str">
        <f>IFERROR(__xludf.DUMMYFUNCTION("MAX(FILTER($H:$H,$E:$E=F422))"),"#N/A")</f>
        <v>#N/A</v>
      </c>
    </row>
    <row r="423">
      <c r="C423" s="4" t="s">
        <v>2120</v>
      </c>
      <c r="D423" s="4" t="str">
        <f t="shared" si="1"/>
        <v>{"valorA":"microondas","valorB":154}</v>
      </c>
      <c r="E423" s="8" t="str">
        <f t="shared" si="2"/>
        <v>microondas</v>
      </c>
      <c r="F423" s="8"/>
      <c r="G423" s="8" t="str">
        <f t="shared" si="3"/>
        <v>154</v>
      </c>
      <c r="H423" s="9">
        <f t="shared" si="4"/>
        <v>154</v>
      </c>
      <c r="I423" s="6" t="str">
        <f>IFERROR(__xludf.DUMMYFUNCTION("MAX(FILTER($H:$H,$E:$E=F423))"),"#N/A")</f>
        <v>#N/A</v>
      </c>
    </row>
    <row r="424">
      <c r="C424" s="4" t="s">
        <v>2056</v>
      </c>
      <c r="D424" s="4" t="str">
        <f t="shared" si="1"/>
        <v>{"valorA":"freezer","valorB":137}</v>
      </c>
      <c r="E424" s="8" t="str">
        <f t="shared" si="2"/>
        <v>freezer</v>
      </c>
      <c r="F424" s="8"/>
      <c r="G424" s="8" t="str">
        <f t="shared" si="3"/>
        <v>137</v>
      </c>
      <c r="H424" s="9">
        <f t="shared" si="4"/>
        <v>137</v>
      </c>
      <c r="I424" s="6" t="str">
        <f>IFERROR(__xludf.DUMMYFUNCTION("MAX(FILTER($H:$H,$E:$E=F424))"),"#N/A")</f>
        <v>#N/A</v>
      </c>
    </row>
    <row r="425">
      <c r="C425" s="4" t="s">
        <v>2054</v>
      </c>
      <c r="D425" s="4" t="str">
        <f t="shared" si="1"/>
        <v>{"valorA":"ar condicionado","valorB":133}</v>
      </c>
      <c r="E425" s="8" t="str">
        <f t="shared" si="2"/>
        <v>ar condicionado</v>
      </c>
      <c r="F425" s="8"/>
      <c r="G425" s="8" t="str">
        <f t="shared" si="3"/>
        <v>133</v>
      </c>
      <c r="H425" s="9">
        <f t="shared" si="4"/>
        <v>133</v>
      </c>
      <c r="I425" s="6" t="str">
        <f>IFERROR(__xludf.DUMMYFUNCTION("MAX(FILTER($H:$H,$E:$E=F425))"),"#N/A")</f>
        <v>#N/A</v>
      </c>
    </row>
    <row r="426">
      <c r="C426" s="4" t="s">
        <v>2058</v>
      </c>
      <c r="D426" s="4" t="str">
        <f t="shared" si="1"/>
        <v>{"valorA":"freezer","valorB":138}</v>
      </c>
      <c r="E426" s="8" t="str">
        <f t="shared" si="2"/>
        <v>freezer</v>
      </c>
      <c r="F426" s="8"/>
      <c r="G426" s="8" t="str">
        <f t="shared" si="3"/>
        <v>138</v>
      </c>
      <c r="H426" s="9">
        <f t="shared" si="4"/>
        <v>138</v>
      </c>
      <c r="I426" s="6" t="str">
        <f>IFERROR(__xludf.DUMMYFUNCTION("MAX(FILTER($H:$H,$E:$E=F426))"),"#N/A")</f>
        <v>#N/A</v>
      </c>
    </row>
    <row r="427">
      <c r="C427" s="4" t="s">
        <v>2059</v>
      </c>
      <c r="D427" s="4" t="str">
        <f t="shared" si="1"/>
        <v>{"valorA":"ar condicionado","valorB":134}</v>
      </c>
      <c r="E427" s="8" t="str">
        <f t="shared" si="2"/>
        <v>ar condicionado</v>
      </c>
      <c r="F427" s="8"/>
      <c r="G427" s="8" t="str">
        <f t="shared" si="3"/>
        <v>134</v>
      </c>
      <c r="H427" s="9">
        <f t="shared" si="4"/>
        <v>134</v>
      </c>
      <c r="I427" s="6" t="str">
        <f>IFERROR(__xludf.DUMMYFUNCTION("MAX(FILTER($H:$H,$E:$E=F427))"),"#N/A")</f>
        <v>#N/A</v>
      </c>
    </row>
    <row r="428">
      <c r="C428" s="4" t="s">
        <v>2061</v>
      </c>
      <c r="D428" s="4" t="str">
        <f t="shared" si="1"/>
        <v>{"valorA":"ar condicionado","valorB":135}</v>
      </c>
      <c r="E428" s="8" t="str">
        <f t="shared" si="2"/>
        <v>ar condicionado</v>
      </c>
      <c r="F428" s="8"/>
      <c r="G428" s="8" t="str">
        <f t="shared" si="3"/>
        <v>135</v>
      </c>
      <c r="H428" s="9">
        <f t="shared" si="4"/>
        <v>135</v>
      </c>
      <c r="I428" s="6" t="str">
        <f>IFERROR(__xludf.DUMMYFUNCTION("MAX(FILTER($H:$H,$E:$E=F428))"),"#N/A")</f>
        <v>#N/A</v>
      </c>
    </row>
    <row r="429">
      <c r="C429" s="4" t="s">
        <v>2065</v>
      </c>
      <c r="D429" s="4" t="str">
        <f t="shared" si="1"/>
        <v>{"valorA":"ar condicionado","valorB":136}</v>
      </c>
      <c r="E429" s="8" t="str">
        <f t="shared" si="2"/>
        <v>ar condicionado</v>
      </c>
      <c r="F429" s="8"/>
      <c r="G429" s="8" t="str">
        <f t="shared" si="3"/>
        <v>136</v>
      </c>
      <c r="H429" s="9">
        <f t="shared" si="4"/>
        <v>136</v>
      </c>
      <c r="I429" s="6" t="str">
        <f>IFERROR(__xludf.DUMMYFUNCTION("MAX(FILTER($H:$H,$E:$E=F429))"),"#N/A")</f>
        <v>#N/A</v>
      </c>
    </row>
    <row r="430">
      <c r="C430" s="4" t="s">
        <v>2060</v>
      </c>
      <c r="D430" s="4" t="str">
        <f t="shared" si="1"/>
        <v>{"valorA":"freezer","valorB":139}</v>
      </c>
      <c r="E430" s="8" t="str">
        <f t="shared" si="2"/>
        <v>freezer</v>
      </c>
      <c r="F430" s="8"/>
      <c r="G430" s="8" t="str">
        <f t="shared" si="3"/>
        <v>139</v>
      </c>
      <c r="H430" s="9">
        <f t="shared" si="4"/>
        <v>139</v>
      </c>
      <c r="I430" s="6" t="str">
        <f>IFERROR(__xludf.DUMMYFUNCTION("MAX(FILTER($H:$H,$E:$E=F430))"),"#N/A")</f>
        <v>#N/A</v>
      </c>
    </row>
    <row r="431">
      <c r="C431" s="4" t="s">
        <v>2121</v>
      </c>
      <c r="D431" s="4" t="str">
        <f t="shared" si="1"/>
        <v>{"valorA":"microondas","valorB":155}</v>
      </c>
      <c r="E431" s="8" t="str">
        <f t="shared" si="2"/>
        <v>microondas</v>
      </c>
      <c r="F431" s="8"/>
      <c r="G431" s="8" t="str">
        <f t="shared" si="3"/>
        <v>155</v>
      </c>
      <c r="H431" s="9">
        <f t="shared" si="4"/>
        <v>155</v>
      </c>
      <c r="I431" s="6" t="str">
        <f>IFERROR(__xludf.DUMMYFUNCTION("MAX(FILTER($H:$H,$E:$E=F431))"),"#N/A")</f>
        <v>#N/A</v>
      </c>
    </row>
    <row r="432">
      <c r="C432" s="4" t="s">
        <v>2124</v>
      </c>
      <c r="D432" s="4" t="str">
        <f t="shared" si="1"/>
        <v>{"valorA":"microondas","valorB":156}</v>
      </c>
      <c r="E432" s="8" t="str">
        <f t="shared" si="2"/>
        <v>microondas</v>
      </c>
      <c r="F432" s="8"/>
      <c r="G432" s="8" t="str">
        <f t="shared" si="3"/>
        <v>156</v>
      </c>
      <c r="H432" s="9">
        <f t="shared" si="4"/>
        <v>156</v>
      </c>
      <c r="I432" s="6" t="str">
        <f>IFERROR(__xludf.DUMMYFUNCTION("MAX(FILTER($H:$H,$E:$E=F432))"),"#N/A")</f>
        <v>#N/A</v>
      </c>
    </row>
    <row r="433">
      <c r="C433" s="4" t="s">
        <v>2069</v>
      </c>
      <c r="D433" s="4" t="str">
        <f t="shared" si="1"/>
        <v>{"valorA":"ar condicionado","valorB":137}</v>
      </c>
      <c r="E433" s="8" t="str">
        <f t="shared" si="2"/>
        <v>ar condicionado</v>
      </c>
      <c r="F433" s="8"/>
      <c r="G433" s="8" t="str">
        <f t="shared" si="3"/>
        <v>137</v>
      </c>
      <c r="H433" s="9">
        <f t="shared" si="4"/>
        <v>137</v>
      </c>
      <c r="I433" s="6" t="str">
        <f>IFERROR(__xludf.DUMMYFUNCTION("MAX(FILTER($H:$H,$E:$E=F433))"),"#N/A")</f>
        <v>#N/A</v>
      </c>
    </row>
    <row r="434">
      <c r="C434" s="4" t="s">
        <v>2128</v>
      </c>
      <c r="D434" s="4" t="str">
        <f t="shared" si="1"/>
        <v>{"valorA":"microondas","valorB":157}</v>
      </c>
      <c r="E434" s="8" t="str">
        <f t="shared" si="2"/>
        <v>microondas</v>
      </c>
      <c r="F434" s="8"/>
      <c r="G434" s="8" t="str">
        <f t="shared" si="3"/>
        <v>157</v>
      </c>
      <c r="H434" s="9">
        <f t="shared" si="4"/>
        <v>157</v>
      </c>
      <c r="I434" s="6" t="str">
        <f>IFERROR(__xludf.DUMMYFUNCTION("MAX(FILTER($H:$H,$E:$E=F434))"),"#N/A")</f>
        <v>#N/A</v>
      </c>
    </row>
    <row r="435">
      <c r="C435" s="4" t="s">
        <v>2070</v>
      </c>
      <c r="D435" s="4" t="str">
        <f t="shared" si="1"/>
        <v>{"valorA":"ar condicionado","valorB":138}</v>
      </c>
      <c r="E435" s="8" t="str">
        <f t="shared" si="2"/>
        <v>ar condicionado</v>
      </c>
      <c r="F435" s="8"/>
      <c r="G435" s="8" t="str">
        <f t="shared" si="3"/>
        <v>138</v>
      </c>
      <c r="H435" s="9">
        <f t="shared" si="4"/>
        <v>138</v>
      </c>
      <c r="I435" s="6" t="str">
        <f>IFERROR(__xludf.DUMMYFUNCTION("MAX(FILTER($H:$H,$E:$E=F435))"),"#N/A")</f>
        <v>#N/A</v>
      </c>
    </row>
    <row r="436">
      <c r="C436" s="4" t="s">
        <v>2135</v>
      </c>
      <c r="D436" s="4" t="str">
        <f t="shared" si="1"/>
        <v>{"valorA":"microondas","valorB":158}</v>
      </c>
      <c r="E436" s="8" t="str">
        <f t="shared" si="2"/>
        <v>microondas</v>
      </c>
      <c r="F436" s="8"/>
      <c r="G436" s="8" t="str">
        <f t="shared" si="3"/>
        <v>158</v>
      </c>
      <c r="H436" s="9">
        <f t="shared" si="4"/>
        <v>158</v>
      </c>
      <c r="I436" s="6" t="str">
        <f>IFERROR(__xludf.DUMMYFUNCTION("MAX(FILTER($H:$H,$E:$E=F436))"),"#N/A")</f>
        <v>#N/A</v>
      </c>
    </row>
    <row r="437">
      <c r="C437" s="4" t="s">
        <v>2062</v>
      </c>
      <c r="D437" s="4" t="str">
        <f t="shared" si="1"/>
        <v>{"valorA":"freezer","valorB":140}</v>
      </c>
      <c r="E437" s="8" t="str">
        <f t="shared" si="2"/>
        <v>freezer</v>
      </c>
      <c r="F437" s="8"/>
      <c r="G437" s="8" t="str">
        <f t="shared" si="3"/>
        <v>140</v>
      </c>
      <c r="H437" s="9">
        <f t="shared" si="4"/>
        <v>140</v>
      </c>
      <c r="I437" s="6" t="str">
        <f>IFERROR(__xludf.DUMMYFUNCTION("MAX(FILTER($H:$H,$E:$E=F437))"),"#N/A")</f>
        <v>#N/A</v>
      </c>
    </row>
    <row r="438">
      <c r="C438" s="4" t="s">
        <v>2064</v>
      </c>
      <c r="D438" s="4" t="str">
        <f t="shared" si="1"/>
        <v>{"valorA":"freezer","valorB":141}</v>
      </c>
      <c r="E438" s="8" t="str">
        <f t="shared" si="2"/>
        <v>freezer</v>
      </c>
      <c r="F438" s="8"/>
      <c r="G438" s="8" t="str">
        <f t="shared" si="3"/>
        <v>141</v>
      </c>
      <c r="H438" s="9">
        <f t="shared" si="4"/>
        <v>141</v>
      </c>
      <c r="I438" s="6" t="str">
        <f>IFERROR(__xludf.DUMMYFUNCTION("MAX(FILTER($H:$H,$E:$E=F438))"),"#N/A")</f>
        <v>#N/A</v>
      </c>
    </row>
    <row r="439">
      <c r="C439" s="4" t="s">
        <v>2067</v>
      </c>
      <c r="D439" s="4" t="str">
        <f t="shared" si="1"/>
        <v>{"valorA":"freezer","valorB":142}</v>
      </c>
      <c r="E439" s="8" t="str">
        <f t="shared" si="2"/>
        <v>freezer</v>
      </c>
      <c r="F439" s="8"/>
      <c r="G439" s="8" t="str">
        <f t="shared" si="3"/>
        <v>142</v>
      </c>
      <c r="H439" s="9">
        <f t="shared" si="4"/>
        <v>142</v>
      </c>
      <c r="I439" s="6" t="str">
        <f>IFERROR(__xludf.DUMMYFUNCTION("MAX(FILTER($H:$H,$E:$E=F439))"),"#N/A")</f>
        <v>#N/A</v>
      </c>
    </row>
    <row r="440">
      <c r="C440" s="4" t="s">
        <v>2074</v>
      </c>
      <c r="D440" s="4" t="str">
        <f t="shared" si="1"/>
        <v>{"valorA":"freezer","valorB":143}</v>
      </c>
      <c r="E440" s="8" t="str">
        <f t="shared" si="2"/>
        <v>freezer</v>
      </c>
      <c r="F440" s="8"/>
      <c r="G440" s="8" t="str">
        <f t="shared" si="3"/>
        <v>143</v>
      </c>
      <c r="H440" s="9">
        <f t="shared" si="4"/>
        <v>143</v>
      </c>
      <c r="I440" s="6" t="str">
        <f>IFERROR(__xludf.DUMMYFUNCTION("MAX(FILTER($H:$H,$E:$E=F440))"),"#N/A")</f>
        <v>#N/A</v>
      </c>
    </row>
    <row r="441">
      <c r="C441" s="4" t="s">
        <v>2071</v>
      </c>
      <c r="D441" s="4" t="str">
        <f t="shared" si="1"/>
        <v>{"valorA":"ar condicionado","valorB":139}</v>
      </c>
      <c r="E441" s="8" t="str">
        <f t="shared" si="2"/>
        <v>ar condicionado</v>
      </c>
      <c r="F441" s="8"/>
      <c r="G441" s="8" t="str">
        <f t="shared" si="3"/>
        <v>139</v>
      </c>
      <c r="H441" s="9">
        <f t="shared" si="4"/>
        <v>139</v>
      </c>
      <c r="I441" s="6" t="str">
        <f>IFERROR(__xludf.DUMMYFUNCTION("MAX(FILTER($H:$H,$E:$E=F441))"),"#N/A")</f>
        <v>#N/A</v>
      </c>
    </row>
    <row r="442">
      <c r="C442" s="4" t="s">
        <v>2078</v>
      </c>
      <c r="D442" s="4" t="str">
        <f t="shared" si="1"/>
        <v>{"valorA":"freezer","valorB":144}</v>
      </c>
      <c r="E442" s="8" t="str">
        <f t="shared" si="2"/>
        <v>freezer</v>
      </c>
      <c r="F442" s="8"/>
      <c r="G442" s="8" t="str">
        <f t="shared" si="3"/>
        <v>144</v>
      </c>
      <c r="H442" s="9">
        <f t="shared" si="4"/>
        <v>144</v>
      </c>
      <c r="I442" s="6" t="str">
        <f>IFERROR(__xludf.DUMMYFUNCTION("MAX(FILTER($H:$H,$E:$E=F442))"),"#N/A")</f>
        <v>#N/A</v>
      </c>
    </row>
    <row r="443">
      <c r="C443" s="4" t="s">
        <v>2140</v>
      </c>
      <c r="D443" s="4" t="str">
        <f t="shared" si="1"/>
        <v>{"valorA":"microondas","valorB":159}</v>
      </c>
      <c r="E443" s="8" t="str">
        <f t="shared" si="2"/>
        <v>microondas</v>
      </c>
      <c r="F443" s="8"/>
      <c r="G443" s="8" t="str">
        <f t="shared" si="3"/>
        <v>159</v>
      </c>
      <c r="H443" s="9">
        <f t="shared" si="4"/>
        <v>159</v>
      </c>
      <c r="I443" s="6" t="str">
        <f>IFERROR(__xludf.DUMMYFUNCTION("MAX(FILTER($H:$H,$E:$E=F443))"),"#N/A")</f>
        <v>#N/A</v>
      </c>
    </row>
    <row r="444">
      <c r="C444" s="4" t="s">
        <v>2142</v>
      </c>
      <c r="D444" s="4" t="str">
        <f t="shared" si="1"/>
        <v>{"valorA":"microondas","valorB":160}</v>
      </c>
      <c r="E444" s="8" t="str">
        <f t="shared" si="2"/>
        <v>microondas</v>
      </c>
      <c r="F444" s="8"/>
      <c r="G444" s="8" t="str">
        <f t="shared" si="3"/>
        <v>160</v>
      </c>
      <c r="H444" s="9">
        <f t="shared" si="4"/>
        <v>160</v>
      </c>
      <c r="I444" s="6" t="str">
        <f>IFERROR(__xludf.DUMMYFUNCTION("MAX(FILTER($H:$H,$E:$E=F444))"),"#N/A")</f>
        <v>#N/A</v>
      </c>
    </row>
    <row r="445">
      <c r="C445" s="4" t="s">
        <v>2143</v>
      </c>
      <c r="D445" s="4" t="str">
        <f t="shared" si="1"/>
        <v>{"valorA":"microondas","valorB":161}</v>
      </c>
      <c r="E445" s="8" t="str">
        <f t="shared" si="2"/>
        <v>microondas</v>
      </c>
      <c r="F445" s="8"/>
      <c r="G445" s="8" t="str">
        <f t="shared" si="3"/>
        <v>161</v>
      </c>
      <c r="H445" s="9">
        <f t="shared" si="4"/>
        <v>161</v>
      </c>
      <c r="I445" s="6" t="str">
        <f>IFERROR(__xludf.DUMMYFUNCTION("MAX(FILTER($H:$H,$E:$E=F445))"),"#N/A")</f>
        <v>#N/A</v>
      </c>
    </row>
    <row r="446">
      <c r="C446" s="4" t="s">
        <v>2072</v>
      </c>
      <c r="D446" s="4" t="str">
        <f t="shared" si="1"/>
        <v>{"valorA":"ar condicionado","valorB":140}</v>
      </c>
      <c r="E446" s="8" t="str">
        <f t="shared" si="2"/>
        <v>ar condicionado</v>
      </c>
      <c r="F446" s="8"/>
      <c r="G446" s="8" t="str">
        <f t="shared" si="3"/>
        <v>140</v>
      </c>
      <c r="H446" s="9">
        <f t="shared" si="4"/>
        <v>140</v>
      </c>
      <c r="I446" s="6" t="str">
        <f>IFERROR(__xludf.DUMMYFUNCTION("MAX(FILTER($H:$H,$E:$E=F446))"),"#N/A")</f>
        <v>#N/A</v>
      </c>
    </row>
    <row r="447">
      <c r="C447" s="4" t="s">
        <v>2075</v>
      </c>
      <c r="D447" s="4" t="str">
        <f t="shared" si="1"/>
        <v>{"valorA":"ar condicionado","valorB":141}</v>
      </c>
      <c r="E447" s="8" t="str">
        <f t="shared" si="2"/>
        <v>ar condicionado</v>
      </c>
      <c r="F447" s="8"/>
      <c r="G447" s="8" t="str">
        <f t="shared" si="3"/>
        <v>141</v>
      </c>
      <c r="H447" s="9">
        <f t="shared" si="4"/>
        <v>141</v>
      </c>
      <c r="I447" s="6" t="str">
        <f>IFERROR(__xludf.DUMMYFUNCTION("MAX(FILTER($H:$H,$E:$E=F447))"),"#N/A")</f>
        <v>#N/A</v>
      </c>
    </row>
    <row r="448">
      <c r="C448" s="4" t="s">
        <v>2149</v>
      </c>
      <c r="D448" s="4" t="str">
        <f t="shared" si="1"/>
        <v>{"valorA":"microondas","valorB":162}</v>
      </c>
      <c r="E448" s="8" t="str">
        <f t="shared" si="2"/>
        <v>microondas</v>
      </c>
      <c r="F448" s="8"/>
      <c r="G448" s="8" t="str">
        <f t="shared" si="3"/>
        <v>162</v>
      </c>
      <c r="H448" s="9">
        <f t="shared" si="4"/>
        <v>162</v>
      </c>
      <c r="I448" s="6" t="str">
        <f>IFERROR(__xludf.DUMMYFUNCTION("MAX(FILTER($H:$H,$E:$E=F448))"),"#N/A")</f>
        <v>#N/A</v>
      </c>
    </row>
    <row r="449">
      <c r="C449" s="4" t="s">
        <v>2086</v>
      </c>
      <c r="D449" s="4" t="str">
        <f t="shared" si="1"/>
        <v>{"valorA":"freezer","valorB":145}</v>
      </c>
      <c r="E449" s="8" t="str">
        <f t="shared" si="2"/>
        <v>freezer</v>
      </c>
      <c r="F449" s="8"/>
      <c r="G449" s="8" t="str">
        <f t="shared" si="3"/>
        <v>145</v>
      </c>
      <c r="H449" s="9">
        <f t="shared" si="4"/>
        <v>145</v>
      </c>
      <c r="I449" s="6" t="str">
        <f>IFERROR(__xludf.DUMMYFUNCTION("MAX(FILTER($H:$H,$E:$E=F449))"),"#N/A")</f>
        <v>#N/A</v>
      </c>
    </row>
    <row r="450">
      <c r="C450" s="4" t="s">
        <v>2089</v>
      </c>
      <c r="D450" s="4" t="str">
        <f t="shared" si="1"/>
        <v>{"valorA":"freezer","valorB":146}</v>
      </c>
      <c r="E450" s="8" t="str">
        <f t="shared" si="2"/>
        <v>freezer</v>
      </c>
      <c r="F450" s="8"/>
      <c r="G450" s="8" t="str">
        <f t="shared" si="3"/>
        <v>146</v>
      </c>
      <c r="H450" s="9">
        <f t="shared" si="4"/>
        <v>146</v>
      </c>
      <c r="I450" s="6" t="str">
        <f>IFERROR(__xludf.DUMMYFUNCTION("MAX(FILTER($H:$H,$E:$E=F450))"),"#N/A")</f>
        <v>#N/A</v>
      </c>
    </row>
    <row r="451">
      <c r="C451" s="4" t="s">
        <v>2099</v>
      </c>
      <c r="D451" s="4" t="str">
        <f t="shared" si="1"/>
        <v>{"valorA":"freezer","valorB":147}</v>
      </c>
      <c r="E451" s="8" t="str">
        <f t="shared" si="2"/>
        <v>freezer</v>
      </c>
      <c r="F451" s="8"/>
      <c r="G451" s="8" t="str">
        <f t="shared" si="3"/>
        <v>147</v>
      </c>
      <c r="H451" s="9">
        <f t="shared" si="4"/>
        <v>147</v>
      </c>
      <c r="I451" s="6" t="str">
        <f>IFERROR(__xludf.DUMMYFUNCTION("MAX(FILTER($H:$H,$E:$E=F451))"),"#N/A")</f>
        <v>#N/A</v>
      </c>
    </row>
    <row r="452">
      <c r="C452" s="4" t="s">
        <v>2151</v>
      </c>
      <c r="D452" s="4" t="str">
        <f t="shared" si="1"/>
        <v>{"valorA":"microondas","valorB":163}</v>
      </c>
      <c r="E452" s="8" t="str">
        <f t="shared" si="2"/>
        <v>microondas</v>
      </c>
      <c r="F452" s="8"/>
      <c r="G452" s="8" t="str">
        <f t="shared" si="3"/>
        <v>163</v>
      </c>
      <c r="H452" s="9">
        <f t="shared" si="4"/>
        <v>163</v>
      </c>
      <c r="I452" s="6" t="str">
        <f>IFERROR(__xludf.DUMMYFUNCTION("MAX(FILTER($H:$H,$E:$E=F452))"),"#N/A")</f>
        <v>#N/A</v>
      </c>
    </row>
    <row r="453">
      <c r="C453" s="4" t="s">
        <v>5997</v>
      </c>
      <c r="D453" s="4" t="str">
        <f t="shared" si="1"/>
        <v>{"valorA":"microondas","valorB":164}</v>
      </c>
      <c r="E453" s="8" t="str">
        <f t="shared" si="2"/>
        <v>microondas</v>
      </c>
      <c r="F453" s="8"/>
      <c r="G453" s="8" t="str">
        <f t="shared" si="3"/>
        <v>164</v>
      </c>
      <c r="H453" s="9">
        <f t="shared" si="4"/>
        <v>164</v>
      </c>
      <c r="I453" s="6" t="str">
        <f>IFERROR(__xludf.DUMMYFUNCTION("MAX(FILTER($H:$H,$E:$E=F453))"),"#N/A")</f>
        <v>#N/A</v>
      </c>
    </row>
    <row r="454">
      <c r="C454" s="4" t="s">
        <v>2076</v>
      </c>
      <c r="D454" s="4" t="str">
        <f t="shared" si="1"/>
        <v>{"valorA":"ar condicionado","valorB":142}</v>
      </c>
      <c r="E454" s="8" t="str">
        <f t="shared" si="2"/>
        <v>ar condicionado</v>
      </c>
      <c r="F454" s="8"/>
      <c r="G454" s="8" t="str">
        <f t="shared" si="3"/>
        <v>142</v>
      </c>
      <c r="H454" s="9">
        <f t="shared" si="4"/>
        <v>142</v>
      </c>
      <c r="I454" s="6" t="str">
        <f>IFERROR(__xludf.DUMMYFUNCTION("MAX(FILTER($H:$H,$E:$E=F454))"),"#N/A")</f>
        <v>#N/A</v>
      </c>
    </row>
    <row r="455">
      <c r="C455" s="4" t="s">
        <v>5998</v>
      </c>
      <c r="D455" s="4" t="str">
        <f t="shared" si="1"/>
        <v>{"valorA":"microondas","valorB":165}</v>
      </c>
      <c r="E455" s="8" t="str">
        <f t="shared" si="2"/>
        <v>microondas</v>
      </c>
      <c r="F455" s="8"/>
      <c r="G455" s="8" t="str">
        <f t="shared" si="3"/>
        <v>165</v>
      </c>
      <c r="H455" s="9">
        <f t="shared" si="4"/>
        <v>165</v>
      </c>
      <c r="I455" s="6" t="str">
        <f>IFERROR(__xludf.DUMMYFUNCTION("MAX(FILTER($H:$H,$E:$E=F455))"),"#N/A")</f>
        <v>#N/A</v>
      </c>
    </row>
    <row r="456">
      <c r="C456" s="4" t="s">
        <v>2080</v>
      </c>
      <c r="D456" s="4" t="str">
        <f t="shared" si="1"/>
        <v>{"valorA":"ar condicionado","valorB":143}</v>
      </c>
      <c r="E456" s="8" t="str">
        <f t="shared" si="2"/>
        <v>ar condicionado</v>
      </c>
      <c r="F456" s="8"/>
      <c r="G456" s="8" t="str">
        <f t="shared" si="3"/>
        <v>143</v>
      </c>
      <c r="H456" s="9">
        <f t="shared" si="4"/>
        <v>143</v>
      </c>
      <c r="I456" s="6" t="str">
        <f>IFERROR(__xludf.DUMMYFUNCTION("MAX(FILTER($H:$H,$E:$E=F456))"),"#N/A")</f>
        <v>#N/A</v>
      </c>
    </row>
    <row r="457">
      <c r="C457" s="4" t="s">
        <v>2102</v>
      </c>
      <c r="D457" s="4" t="str">
        <f t="shared" si="1"/>
        <v>{"valorA":"freezer","valorB":148}</v>
      </c>
      <c r="E457" s="8" t="str">
        <f t="shared" si="2"/>
        <v>freezer</v>
      </c>
      <c r="F457" s="8"/>
      <c r="G457" s="8" t="str">
        <f t="shared" si="3"/>
        <v>148</v>
      </c>
      <c r="H457" s="9">
        <f t="shared" si="4"/>
        <v>148</v>
      </c>
      <c r="I457" s="6" t="str">
        <f>IFERROR(__xludf.DUMMYFUNCTION("MAX(FILTER($H:$H,$E:$E=F457))"),"#N/A")</f>
        <v>#N/A</v>
      </c>
    </row>
    <row r="458">
      <c r="C458" s="4" t="s">
        <v>5999</v>
      </c>
      <c r="D458" s="4" t="str">
        <f t="shared" si="1"/>
        <v>{"valorA":"microondas","valorB":166}</v>
      </c>
      <c r="E458" s="8" t="str">
        <f t="shared" si="2"/>
        <v>microondas</v>
      </c>
      <c r="F458" s="8"/>
      <c r="G458" s="8" t="str">
        <f t="shared" si="3"/>
        <v>166</v>
      </c>
      <c r="H458" s="9">
        <f t="shared" si="4"/>
        <v>166</v>
      </c>
      <c r="I458" s="6" t="str">
        <f>IFERROR(__xludf.DUMMYFUNCTION("MAX(FILTER($H:$H,$E:$E=F458))"),"#N/A")</f>
        <v>#N/A</v>
      </c>
    </row>
    <row r="459">
      <c r="C459" s="4" t="s">
        <v>2104</v>
      </c>
      <c r="D459" s="4" t="str">
        <f t="shared" si="1"/>
        <v>{"valorA":"freezer","valorB":149}</v>
      </c>
      <c r="E459" s="8" t="str">
        <f t="shared" si="2"/>
        <v>freezer</v>
      </c>
      <c r="F459" s="8"/>
      <c r="G459" s="8" t="str">
        <f t="shared" si="3"/>
        <v>149</v>
      </c>
      <c r="H459" s="9">
        <f t="shared" si="4"/>
        <v>149</v>
      </c>
      <c r="I459" s="6" t="str">
        <f>IFERROR(__xludf.DUMMYFUNCTION("MAX(FILTER($H:$H,$E:$E=F459))"),"#N/A")</f>
        <v>#N/A</v>
      </c>
    </row>
    <row r="460">
      <c r="C460" s="4" t="s">
        <v>6000</v>
      </c>
      <c r="D460" s="4" t="str">
        <f t="shared" si="1"/>
        <v>{"valorA":"microondas","valorB":167}</v>
      </c>
      <c r="E460" s="8" t="str">
        <f t="shared" si="2"/>
        <v>microondas</v>
      </c>
      <c r="F460" s="8"/>
      <c r="G460" s="8" t="str">
        <f t="shared" si="3"/>
        <v>167</v>
      </c>
      <c r="H460" s="9">
        <f t="shared" si="4"/>
        <v>167</v>
      </c>
      <c r="I460" s="6" t="str">
        <f>IFERROR(__xludf.DUMMYFUNCTION("MAX(FILTER($H:$H,$E:$E=F460))"),"#N/A")</f>
        <v>#N/A</v>
      </c>
    </row>
    <row r="461">
      <c r="C461" s="4" t="s">
        <v>6001</v>
      </c>
      <c r="D461" s="4" t="str">
        <f t="shared" si="1"/>
        <v>{"valorA":"microondas","valorB":168}</v>
      </c>
      <c r="E461" s="8" t="str">
        <f t="shared" si="2"/>
        <v>microondas</v>
      </c>
      <c r="F461" s="8"/>
      <c r="G461" s="8" t="str">
        <f t="shared" si="3"/>
        <v>168</v>
      </c>
      <c r="H461" s="9">
        <f t="shared" si="4"/>
        <v>168</v>
      </c>
      <c r="I461" s="6" t="str">
        <f>IFERROR(__xludf.DUMMYFUNCTION("MAX(FILTER($H:$H,$E:$E=F461))"),"#N/A")</f>
        <v>#N/A</v>
      </c>
    </row>
    <row r="462">
      <c r="C462" s="4" t="s">
        <v>2105</v>
      </c>
      <c r="D462" s="4" t="str">
        <f t="shared" si="1"/>
        <v>{"valorA":"freezer","valorB":150}</v>
      </c>
      <c r="E462" s="8" t="str">
        <f t="shared" si="2"/>
        <v>freezer</v>
      </c>
      <c r="F462" s="8"/>
      <c r="G462" s="8" t="str">
        <f t="shared" si="3"/>
        <v>150</v>
      </c>
      <c r="H462" s="9">
        <f t="shared" si="4"/>
        <v>150</v>
      </c>
      <c r="I462" s="6" t="str">
        <f>IFERROR(__xludf.DUMMYFUNCTION("MAX(FILTER($H:$H,$E:$E=F462))"),"#N/A")</f>
        <v>#N/A</v>
      </c>
    </row>
    <row r="463">
      <c r="C463" s="4" t="s">
        <v>2107</v>
      </c>
      <c r="D463" s="4" t="str">
        <f t="shared" si="1"/>
        <v>{"valorA":"freezer","valorB":151}</v>
      </c>
      <c r="E463" s="8" t="str">
        <f t="shared" si="2"/>
        <v>freezer</v>
      </c>
      <c r="F463" s="8"/>
      <c r="G463" s="8" t="str">
        <f t="shared" si="3"/>
        <v>151</v>
      </c>
      <c r="H463" s="9">
        <f t="shared" si="4"/>
        <v>151</v>
      </c>
      <c r="I463" s="6" t="str">
        <f>IFERROR(__xludf.DUMMYFUNCTION("MAX(FILTER($H:$H,$E:$E=F463))"),"#N/A")</f>
        <v>#N/A</v>
      </c>
    </row>
    <row r="464">
      <c r="C464" s="4" t="s">
        <v>6002</v>
      </c>
      <c r="D464" s="4" t="str">
        <f t="shared" si="1"/>
        <v>{"valorA":"microondas","valorB":169}</v>
      </c>
      <c r="E464" s="8" t="str">
        <f t="shared" si="2"/>
        <v>microondas</v>
      </c>
      <c r="F464" s="8"/>
      <c r="G464" s="8" t="str">
        <f t="shared" si="3"/>
        <v>169</v>
      </c>
      <c r="H464" s="9">
        <f t="shared" si="4"/>
        <v>169</v>
      </c>
      <c r="I464" s="6" t="str">
        <f>IFERROR(__xludf.DUMMYFUNCTION("MAX(FILTER($H:$H,$E:$E=F464))"),"#N/A")</f>
        <v>#N/A</v>
      </c>
    </row>
    <row r="465">
      <c r="C465" s="4" t="s">
        <v>2081</v>
      </c>
      <c r="D465" s="4" t="str">
        <f t="shared" si="1"/>
        <v>{"valorA":"ar condicionado","valorB":144}</v>
      </c>
      <c r="E465" s="8" t="str">
        <f t="shared" si="2"/>
        <v>ar condicionado</v>
      </c>
      <c r="F465" s="8"/>
      <c r="G465" s="8" t="str">
        <f t="shared" si="3"/>
        <v>144</v>
      </c>
      <c r="H465" s="9">
        <f t="shared" si="4"/>
        <v>144</v>
      </c>
      <c r="I465" s="6" t="str">
        <f>IFERROR(__xludf.DUMMYFUNCTION("MAX(FILTER($H:$H,$E:$E=F465))"),"#N/A")</f>
        <v>#N/A</v>
      </c>
    </row>
    <row r="466">
      <c r="C466" s="4" t="s">
        <v>2083</v>
      </c>
      <c r="D466" s="4" t="str">
        <f t="shared" si="1"/>
        <v>{"valorA":"ar condicionado","valorB":145}</v>
      </c>
      <c r="E466" s="8" t="str">
        <f t="shared" si="2"/>
        <v>ar condicionado</v>
      </c>
      <c r="F466" s="8"/>
      <c r="G466" s="8" t="str">
        <f t="shared" si="3"/>
        <v>145</v>
      </c>
      <c r="H466" s="9">
        <f t="shared" si="4"/>
        <v>145</v>
      </c>
      <c r="I466" s="6" t="str">
        <f>IFERROR(__xludf.DUMMYFUNCTION("MAX(FILTER($H:$H,$E:$E=F466))"),"#N/A")</f>
        <v>#N/A</v>
      </c>
    </row>
    <row r="467">
      <c r="C467" s="4" t="s">
        <v>2110</v>
      </c>
      <c r="D467" s="4" t="str">
        <f t="shared" si="1"/>
        <v>{"valorA":"freezer","valorB":152}</v>
      </c>
      <c r="E467" s="8" t="str">
        <f t="shared" si="2"/>
        <v>freezer</v>
      </c>
      <c r="F467" s="8"/>
      <c r="G467" s="8" t="str">
        <f t="shared" si="3"/>
        <v>152</v>
      </c>
      <c r="H467" s="9">
        <f t="shared" si="4"/>
        <v>152</v>
      </c>
      <c r="I467" s="6" t="str">
        <f>IFERROR(__xludf.DUMMYFUNCTION("MAX(FILTER($H:$H,$E:$E=F467))"),"#N/A")</f>
        <v>#N/A</v>
      </c>
    </row>
    <row r="468">
      <c r="C468" s="4" t="s">
        <v>2087</v>
      </c>
      <c r="D468" s="4" t="str">
        <f t="shared" si="1"/>
        <v>{"valorA":"ar condicionado","valorB":146}</v>
      </c>
      <c r="E468" s="8" t="str">
        <f t="shared" si="2"/>
        <v>ar condicionado</v>
      </c>
      <c r="F468" s="8"/>
      <c r="G468" s="8" t="str">
        <f t="shared" si="3"/>
        <v>146</v>
      </c>
      <c r="H468" s="9">
        <f t="shared" si="4"/>
        <v>146</v>
      </c>
      <c r="I468" s="6" t="str">
        <f>IFERROR(__xludf.DUMMYFUNCTION("MAX(FILTER($H:$H,$E:$E=F468))"),"#N/A")</f>
        <v>#N/A</v>
      </c>
    </row>
    <row r="469">
      <c r="C469" s="4" t="s">
        <v>2092</v>
      </c>
      <c r="D469" s="4" t="str">
        <f t="shared" si="1"/>
        <v>{"valorA":"ar condicionado","valorB":147}</v>
      </c>
      <c r="E469" s="8" t="str">
        <f t="shared" si="2"/>
        <v>ar condicionado</v>
      </c>
      <c r="F469" s="8"/>
      <c r="G469" s="8" t="str">
        <f t="shared" si="3"/>
        <v>147</v>
      </c>
      <c r="H469" s="9">
        <f t="shared" si="4"/>
        <v>147</v>
      </c>
      <c r="I469" s="6" t="str">
        <f>IFERROR(__xludf.DUMMYFUNCTION("MAX(FILTER($H:$H,$E:$E=F469))"),"#N/A")</f>
        <v>#N/A</v>
      </c>
    </row>
    <row r="470">
      <c r="C470" s="4" t="s">
        <v>6003</v>
      </c>
      <c r="D470" s="4" t="str">
        <f t="shared" si="1"/>
        <v>{"valorA":"microondas","valorB":170}</v>
      </c>
      <c r="E470" s="8" t="str">
        <f t="shared" si="2"/>
        <v>microondas</v>
      </c>
      <c r="F470" s="8"/>
      <c r="G470" s="8" t="str">
        <f t="shared" si="3"/>
        <v>170</v>
      </c>
      <c r="H470" s="9">
        <f t="shared" si="4"/>
        <v>170</v>
      </c>
      <c r="I470" s="6" t="str">
        <f>IFERROR(__xludf.DUMMYFUNCTION("MAX(FILTER($H:$H,$E:$E=F470))"),"#N/A")</f>
        <v>#N/A</v>
      </c>
    </row>
    <row r="471">
      <c r="C471" s="4" t="s">
        <v>2094</v>
      </c>
      <c r="D471" s="4" t="str">
        <f t="shared" si="1"/>
        <v>{"valorA":"ar condicionado","valorB":148}</v>
      </c>
      <c r="E471" s="8" t="str">
        <f t="shared" si="2"/>
        <v>ar condicionado</v>
      </c>
      <c r="F471" s="8"/>
      <c r="G471" s="8" t="str">
        <f t="shared" si="3"/>
        <v>148</v>
      </c>
      <c r="H471" s="9">
        <f t="shared" si="4"/>
        <v>148</v>
      </c>
      <c r="I471" s="6" t="str">
        <f>IFERROR(__xludf.DUMMYFUNCTION("MAX(FILTER($H:$H,$E:$E=F471))"),"#N/A")</f>
        <v>#N/A</v>
      </c>
    </row>
    <row r="472">
      <c r="C472" s="4" t="s">
        <v>2119</v>
      </c>
      <c r="D472" s="4" t="str">
        <f t="shared" si="1"/>
        <v>{"valorA":"freezer","valorB":153}</v>
      </c>
      <c r="E472" s="8" t="str">
        <f t="shared" si="2"/>
        <v>freezer</v>
      </c>
      <c r="F472" s="8"/>
      <c r="G472" s="8" t="str">
        <f t="shared" si="3"/>
        <v>153</v>
      </c>
      <c r="H472" s="9">
        <f t="shared" si="4"/>
        <v>153</v>
      </c>
      <c r="I472" s="6" t="str">
        <f>IFERROR(__xludf.DUMMYFUNCTION("MAX(FILTER($H:$H,$E:$E=F472))"),"#N/A")</f>
        <v>#N/A</v>
      </c>
    </row>
    <row r="473">
      <c r="C473" s="4" t="s">
        <v>2095</v>
      </c>
      <c r="D473" s="4" t="str">
        <f t="shared" si="1"/>
        <v>{"valorA":"ar condicionado","valorB":149}</v>
      </c>
      <c r="E473" s="8" t="str">
        <f t="shared" si="2"/>
        <v>ar condicionado</v>
      </c>
      <c r="F473" s="8"/>
      <c r="G473" s="8" t="str">
        <f t="shared" si="3"/>
        <v>149</v>
      </c>
      <c r="H473" s="9">
        <f t="shared" si="4"/>
        <v>149</v>
      </c>
      <c r="I473" s="6" t="str">
        <f>IFERROR(__xludf.DUMMYFUNCTION("MAX(FILTER($H:$H,$E:$E=F473))"),"#N/A")</f>
        <v>#N/A</v>
      </c>
    </row>
    <row r="474">
      <c r="C474" s="4" t="s">
        <v>2096</v>
      </c>
      <c r="D474" s="4" t="str">
        <f t="shared" si="1"/>
        <v>{"valorA":"ar condicionado","valorB":150}</v>
      </c>
      <c r="E474" s="8" t="str">
        <f t="shared" si="2"/>
        <v>ar condicionado</v>
      </c>
      <c r="F474" s="8"/>
      <c r="G474" s="8" t="str">
        <f t="shared" si="3"/>
        <v>150</v>
      </c>
      <c r="H474" s="9">
        <f t="shared" si="4"/>
        <v>150</v>
      </c>
      <c r="I474" s="6" t="str">
        <f>IFERROR(__xludf.DUMMYFUNCTION("MAX(FILTER($H:$H,$E:$E=F474))"),"#N/A")</f>
        <v>#N/A</v>
      </c>
    </row>
    <row r="475">
      <c r="C475" s="4" t="s">
        <v>2122</v>
      </c>
      <c r="D475" s="4" t="str">
        <f t="shared" si="1"/>
        <v>{"valorA":"freezer","valorB":154}</v>
      </c>
      <c r="E475" s="8" t="str">
        <f t="shared" si="2"/>
        <v>freezer</v>
      </c>
      <c r="F475" s="8"/>
      <c r="G475" s="8" t="str">
        <f t="shared" si="3"/>
        <v>154</v>
      </c>
      <c r="H475" s="9">
        <f t="shared" si="4"/>
        <v>154</v>
      </c>
      <c r="I475" s="6" t="str">
        <f>IFERROR(__xludf.DUMMYFUNCTION("MAX(FILTER($H:$H,$E:$E=F475))"),"#N/A")</f>
        <v>#N/A</v>
      </c>
    </row>
    <row r="476">
      <c r="C476" s="4" t="s">
        <v>6004</v>
      </c>
      <c r="D476" s="4" t="str">
        <f t="shared" si="1"/>
        <v>{"valorA":"microondas","valorB":171}</v>
      </c>
      <c r="E476" s="8" t="str">
        <f t="shared" si="2"/>
        <v>microondas</v>
      </c>
      <c r="F476" s="8"/>
      <c r="G476" s="8" t="str">
        <f t="shared" si="3"/>
        <v>171</v>
      </c>
      <c r="H476" s="9">
        <f t="shared" si="4"/>
        <v>171</v>
      </c>
      <c r="I476" s="6" t="str">
        <f>IFERROR(__xludf.DUMMYFUNCTION("MAX(FILTER($H:$H,$E:$E=F476))"),"#N/A")</f>
        <v>#N/A</v>
      </c>
    </row>
    <row r="477">
      <c r="C477" s="4" t="s">
        <v>2097</v>
      </c>
      <c r="D477" s="4" t="str">
        <f t="shared" si="1"/>
        <v>{"valorA":"ar condicionado","valorB":151}</v>
      </c>
      <c r="E477" s="8" t="str">
        <f t="shared" si="2"/>
        <v>ar condicionado</v>
      </c>
      <c r="F477" s="8"/>
      <c r="G477" s="8" t="str">
        <f t="shared" si="3"/>
        <v>151</v>
      </c>
      <c r="H477" s="9">
        <f t="shared" si="4"/>
        <v>151</v>
      </c>
      <c r="I477" s="6" t="str">
        <f>IFERROR(__xludf.DUMMYFUNCTION("MAX(FILTER($H:$H,$E:$E=F477))"),"#N/A")</f>
        <v>#N/A</v>
      </c>
    </row>
    <row r="478">
      <c r="C478" s="4" t="s">
        <v>2125</v>
      </c>
      <c r="D478" s="4" t="str">
        <f t="shared" si="1"/>
        <v>{"valorA":"freezer","valorB":155}</v>
      </c>
      <c r="E478" s="8" t="str">
        <f t="shared" si="2"/>
        <v>freezer</v>
      </c>
      <c r="F478" s="8"/>
      <c r="G478" s="8" t="str">
        <f t="shared" si="3"/>
        <v>155</v>
      </c>
      <c r="H478" s="9">
        <f t="shared" si="4"/>
        <v>155</v>
      </c>
      <c r="I478" s="6" t="str">
        <f>IFERROR(__xludf.DUMMYFUNCTION("MAX(FILTER($H:$H,$E:$E=F478))"),"#N/A")</f>
        <v>#N/A</v>
      </c>
    </row>
    <row r="479">
      <c r="C479" s="4" t="s">
        <v>6005</v>
      </c>
      <c r="D479" s="4" t="str">
        <f t="shared" si="1"/>
        <v>{"valorA":"microondas","valorB":172}</v>
      </c>
      <c r="E479" s="8" t="str">
        <f t="shared" si="2"/>
        <v>microondas</v>
      </c>
      <c r="F479" s="8"/>
      <c r="G479" s="8" t="str">
        <f t="shared" si="3"/>
        <v>172</v>
      </c>
      <c r="H479" s="9">
        <f t="shared" si="4"/>
        <v>172</v>
      </c>
      <c r="I479" s="6" t="str">
        <f>IFERROR(__xludf.DUMMYFUNCTION("MAX(FILTER($H:$H,$E:$E=F479))"),"#N/A")</f>
        <v>#N/A</v>
      </c>
    </row>
    <row r="480">
      <c r="C480" s="4" t="s">
        <v>2100</v>
      </c>
      <c r="D480" s="4" t="str">
        <f t="shared" si="1"/>
        <v>{"valorA":"ar condicionado","valorB":152}</v>
      </c>
      <c r="E480" s="8" t="str">
        <f t="shared" si="2"/>
        <v>ar condicionado</v>
      </c>
      <c r="F480" s="8"/>
      <c r="G480" s="8" t="str">
        <f t="shared" si="3"/>
        <v>152</v>
      </c>
      <c r="H480" s="9">
        <f t="shared" si="4"/>
        <v>152</v>
      </c>
      <c r="I480" s="6" t="str">
        <f>IFERROR(__xludf.DUMMYFUNCTION("MAX(FILTER($H:$H,$E:$E=F480))"),"#N/A")</f>
        <v>#N/A</v>
      </c>
    </row>
    <row r="481">
      <c r="C481" s="4" t="s">
        <v>2126</v>
      </c>
      <c r="D481" s="4" t="str">
        <f t="shared" si="1"/>
        <v>{"valorA":"freezer","valorB":156}</v>
      </c>
      <c r="E481" s="8" t="str">
        <f t="shared" si="2"/>
        <v>freezer</v>
      </c>
      <c r="F481" s="8"/>
      <c r="G481" s="8" t="str">
        <f t="shared" si="3"/>
        <v>156</v>
      </c>
      <c r="H481" s="9">
        <f t="shared" si="4"/>
        <v>156</v>
      </c>
      <c r="I481" s="6" t="str">
        <f>IFERROR(__xludf.DUMMYFUNCTION("MAX(FILTER($H:$H,$E:$E=F481))"),"#N/A")</f>
        <v>#N/A</v>
      </c>
    </row>
    <row r="482">
      <c r="C482" s="4" t="s">
        <v>2130</v>
      </c>
      <c r="D482" s="4" t="str">
        <f t="shared" si="1"/>
        <v>{"valorA":"freezer","valorB":157}</v>
      </c>
      <c r="E482" s="8" t="str">
        <f t="shared" si="2"/>
        <v>freezer</v>
      </c>
      <c r="F482" s="8"/>
      <c r="G482" s="8" t="str">
        <f t="shared" si="3"/>
        <v>157</v>
      </c>
      <c r="H482" s="9">
        <f t="shared" si="4"/>
        <v>157</v>
      </c>
      <c r="I482" s="6" t="str">
        <f>IFERROR(__xludf.DUMMYFUNCTION("MAX(FILTER($H:$H,$E:$E=F482))"),"#N/A")</f>
        <v>#N/A</v>
      </c>
    </row>
    <row r="483">
      <c r="C483" s="4" t="s">
        <v>2131</v>
      </c>
      <c r="D483" s="4" t="str">
        <f t="shared" si="1"/>
        <v>{"valorA":"freezer","valorB":158}</v>
      </c>
      <c r="E483" s="8" t="str">
        <f t="shared" si="2"/>
        <v>freezer</v>
      </c>
      <c r="F483" s="8"/>
      <c r="G483" s="8" t="str">
        <f t="shared" si="3"/>
        <v>158</v>
      </c>
      <c r="H483" s="9">
        <f t="shared" si="4"/>
        <v>158</v>
      </c>
      <c r="I483" s="6" t="str">
        <f>IFERROR(__xludf.DUMMYFUNCTION("MAX(FILTER($H:$H,$E:$E=F483))"),"#N/A")</f>
        <v>#N/A</v>
      </c>
    </row>
    <row r="484">
      <c r="C484" s="4" t="s">
        <v>6006</v>
      </c>
      <c r="D484" s="4" t="str">
        <f t="shared" si="1"/>
        <v>{"valorA":"microondas","valorB":173}</v>
      </c>
      <c r="E484" s="8" t="str">
        <f t="shared" si="2"/>
        <v>microondas</v>
      </c>
      <c r="F484" s="8"/>
      <c r="G484" s="8" t="str">
        <f t="shared" si="3"/>
        <v>173</v>
      </c>
      <c r="H484" s="9">
        <f t="shared" si="4"/>
        <v>173</v>
      </c>
      <c r="I484" s="6" t="str">
        <f>IFERROR(__xludf.DUMMYFUNCTION("MAX(FILTER($H:$H,$E:$E=F484))"),"#N/A")</f>
        <v>#N/A</v>
      </c>
    </row>
    <row r="485">
      <c r="C485" s="4" t="s">
        <v>2109</v>
      </c>
      <c r="D485" s="4" t="str">
        <f t="shared" si="1"/>
        <v>{"valorA":"ar condicionado","valorB":153}</v>
      </c>
      <c r="E485" s="8" t="str">
        <f t="shared" si="2"/>
        <v>ar condicionado</v>
      </c>
      <c r="F485" s="8"/>
      <c r="G485" s="8" t="str">
        <f t="shared" si="3"/>
        <v>153</v>
      </c>
      <c r="H485" s="9">
        <f t="shared" si="4"/>
        <v>153</v>
      </c>
      <c r="I485" s="6" t="str">
        <f>IFERROR(__xludf.DUMMYFUNCTION("MAX(FILTER($H:$H,$E:$E=F485))"),"#N/A")</f>
        <v>#N/A</v>
      </c>
    </row>
    <row r="486">
      <c r="C486" s="4" t="s">
        <v>2113</v>
      </c>
      <c r="D486" s="4" t="str">
        <f t="shared" si="1"/>
        <v>{"valorA":"ar condicionado","valorB":154}</v>
      </c>
      <c r="E486" s="8" t="str">
        <f t="shared" si="2"/>
        <v>ar condicionado</v>
      </c>
      <c r="F486" s="8"/>
      <c r="G486" s="8" t="str">
        <f t="shared" si="3"/>
        <v>154</v>
      </c>
      <c r="H486" s="9">
        <f t="shared" si="4"/>
        <v>154</v>
      </c>
      <c r="I486" s="6" t="str">
        <f>IFERROR(__xludf.DUMMYFUNCTION("MAX(FILTER($H:$H,$E:$E=F486))"),"#N/A")</f>
        <v>#N/A</v>
      </c>
    </row>
    <row r="487">
      <c r="C487" s="4" t="s">
        <v>2133</v>
      </c>
      <c r="D487" s="4" t="str">
        <f t="shared" si="1"/>
        <v>{"valorA":"freezer","valorB":159}</v>
      </c>
      <c r="E487" s="8" t="str">
        <f t="shared" si="2"/>
        <v>freezer</v>
      </c>
      <c r="F487" s="8"/>
      <c r="G487" s="8" t="str">
        <f t="shared" si="3"/>
        <v>159</v>
      </c>
      <c r="H487" s="9">
        <f t="shared" si="4"/>
        <v>159</v>
      </c>
      <c r="I487" s="6" t="str">
        <f>IFERROR(__xludf.DUMMYFUNCTION("MAX(FILTER($H:$H,$E:$E=F487))"),"#N/A")</f>
        <v>#N/A</v>
      </c>
    </row>
    <row r="488">
      <c r="C488" s="4" t="s">
        <v>2114</v>
      </c>
      <c r="D488" s="4" t="str">
        <f t="shared" si="1"/>
        <v>{"valorA":"ar condicionado","valorB":155}</v>
      </c>
      <c r="E488" s="8" t="str">
        <f t="shared" si="2"/>
        <v>ar condicionado</v>
      </c>
      <c r="F488" s="8"/>
      <c r="G488" s="8" t="str">
        <f t="shared" si="3"/>
        <v>155</v>
      </c>
      <c r="H488" s="9">
        <f t="shared" si="4"/>
        <v>155</v>
      </c>
      <c r="I488" s="6" t="str">
        <f>IFERROR(__xludf.DUMMYFUNCTION("MAX(FILTER($H:$H,$E:$E=F488))"),"#N/A")</f>
        <v>#N/A</v>
      </c>
    </row>
    <row r="489">
      <c r="C489" s="4" t="s">
        <v>6007</v>
      </c>
      <c r="D489" s="4" t="str">
        <f t="shared" si="1"/>
        <v>{"valorA":"microondas","valorB":174}</v>
      </c>
      <c r="E489" s="8" t="str">
        <f t="shared" si="2"/>
        <v>microondas</v>
      </c>
      <c r="F489" s="8"/>
      <c r="G489" s="8" t="str">
        <f t="shared" si="3"/>
        <v>174</v>
      </c>
      <c r="H489" s="9">
        <f t="shared" si="4"/>
        <v>174</v>
      </c>
      <c r="I489" s="6" t="str">
        <f>IFERROR(__xludf.DUMMYFUNCTION("MAX(FILTER($H:$H,$E:$E=F489))"),"#N/A")</f>
        <v>#N/A</v>
      </c>
    </row>
    <row r="490">
      <c r="C490" s="4" t="s">
        <v>2136</v>
      </c>
      <c r="D490" s="4" t="str">
        <f t="shared" si="1"/>
        <v>{"valorA":"freezer","valorB":160}</v>
      </c>
      <c r="E490" s="8" t="str">
        <f t="shared" si="2"/>
        <v>freezer</v>
      </c>
      <c r="F490" s="8"/>
      <c r="G490" s="8" t="str">
        <f t="shared" si="3"/>
        <v>160</v>
      </c>
      <c r="H490" s="9">
        <f t="shared" si="4"/>
        <v>160</v>
      </c>
      <c r="I490" s="6" t="str">
        <f>IFERROR(__xludf.DUMMYFUNCTION("MAX(FILTER($H:$H,$E:$E=F490))"),"#N/A")</f>
        <v>#N/A</v>
      </c>
    </row>
    <row r="491">
      <c r="C491" s="4" t="s">
        <v>6008</v>
      </c>
      <c r="D491" s="4" t="str">
        <f t="shared" si="1"/>
        <v>{"valorA":"microondas","valorB":175}</v>
      </c>
      <c r="E491" s="8" t="str">
        <f t="shared" si="2"/>
        <v>microondas</v>
      </c>
      <c r="F491" s="8"/>
      <c r="G491" s="8" t="str">
        <f t="shared" si="3"/>
        <v>175</v>
      </c>
      <c r="H491" s="9">
        <f t="shared" si="4"/>
        <v>175</v>
      </c>
      <c r="I491" s="6" t="str">
        <f>IFERROR(__xludf.DUMMYFUNCTION("MAX(FILTER($H:$H,$E:$E=F491))"),"#N/A")</f>
        <v>#N/A</v>
      </c>
    </row>
    <row r="492">
      <c r="C492" s="4" t="s">
        <v>2118</v>
      </c>
      <c r="D492" s="4" t="str">
        <f t="shared" si="1"/>
        <v>{"valorA":"ar condicionado","valorB":156}</v>
      </c>
      <c r="E492" s="8" t="str">
        <f t="shared" si="2"/>
        <v>ar condicionado</v>
      </c>
      <c r="F492" s="8"/>
      <c r="G492" s="8" t="str">
        <f t="shared" si="3"/>
        <v>156</v>
      </c>
      <c r="H492" s="9">
        <f t="shared" si="4"/>
        <v>156</v>
      </c>
      <c r="I492" s="6" t="str">
        <f>IFERROR(__xludf.DUMMYFUNCTION("MAX(FILTER($H:$H,$E:$E=F492))"),"#N/A")</f>
        <v>#N/A</v>
      </c>
    </row>
    <row r="493">
      <c r="C493" s="4" t="s">
        <v>6009</v>
      </c>
      <c r="D493" s="4" t="str">
        <f t="shared" si="1"/>
        <v>{"valorA":"microondas","valorB":176}</v>
      </c>
      <c r="E493" s="8" t="str">
        <f t="shared" si="2"/>
        <v>microondas</v>
      </c>
      <c r="F493" s="8"/>
      <c r="G493" s="8" t="str">
        <f t="shared" si="3"/>
        <v>176</v>
      </c>
      <c r="H493" s="9">
        <f t="shared" si="4"/>
        <v>176</v>
      </c>
      <c r="I493" s="6" t="str">
        <f>IFERROR(__xludf.DUMMYFUNCTION("MAX(FILTER($H:$H,$E:$E=F493))"),"#N/A")</f>
        <v>#N/A</v>
      </c>
    </row>
    <row r="494">
      <c r="C494" s="4" t="s">
        <v>2137</v>
      </c>
      <c r="D494" s="4" t="str">
        <f t="shared" si="1"/>
        <v>{"valorA":"freezer","valorB":161}</v>
      </c>
      <c r="E494" s="8" t="str">
        <f t="shared" si="2"/>
        <v>freezer</v>
      </c>
      <c r="F494" s="8"/>
      <c r="G494" s="8" t="str">
        <f t="shared" si="3"/>
        <v>161</v>
      </c>
      <c r="H494" s="9">
        <f t="shared" si="4"/>
        <v>161</v>
      </c>
      <c r="I494" s="6" t="str">
        <f>IFERROR(__xludf.DUMMYFUNCTION("MAX(FILTER($H:$H,$E:$E=F494))"),"#N/A")</f>
        <v>#N/A</v>
      </c>
    </row>
    <row r="495">
      <c r="C495" s="4" t="s">
        <v>2138</v>
      </c>
      <c r="D495" s="4" t="str">
        <f t="shared" si="1"/>
        <v>{"valorA":"freezer","valorB":162}</v>
      </c>
      <c r="E495" s="8" t="str">
        <f t="shared" si="2"/>
        <v>freezer</v>
      </c>
      <c r="F495" s="8"/>
      <c r="G495" s="8" t="str">
        <f t="shared" si="3"/>
        <v>162</v>
      </c>
      <c r="H495" s="9">
        <f t="shared" si="4"/>
        <v>162</v>
      </c>
      <c r="I495" s="6" t="str">
        <f>IFERROR(__xludf.DUMMYFUNCTION("MAX(FILTER($H:$H,$E:$E=F495))"),"#N/A")</f>
        <v>#N/A</v>
      </c>
    </row>
    <row r="496">
      <c r="C496" s="4" t="s">
        <v>6010</v>
      </c>
      <c r="D496" s="4" t="str">
        <f t="shared" si="1"/>
        <v>{"valorA":"microondas","valorB":177}</v>
      </c>
      <c r="E496" s="8" t="str">
        <f t="shared" si="2"/>
        <v>microondas</v>
      </c>
      <c r="F496" s="8"/>
      <c r="G496" s="8" t="str">
        <f t="shared" si="3"/>
        <v>177</v>
      </c>
      <c r="H496" s="9">
        <f t="shared" si="4"/>
        <v>177</v>
      </c>
      <c r="I496" s="6" t="str">
        <f>IFERROR(__xludf.DUMMYFUNCTION("MAX(FILTER($H:$H,$E:$E=F496))"),"#N/A")</f>
        <v>#N/A</v>
      </c>
    </row>
    <row r="497">
      <c r="C497" s="4" t="s">
        <v>2123</v>
      </c>
      <c r="D497" s="4" t="str">
        <f t="shared" si="1"/>
        <v>{"valorA":"ar condicionado","valorB":157}</v>
      </c>
      <c r="E497" s="8" t="str">
        <f t="shared" si="2"/>
        <v>ar condicionado</v>
      </c>
      <c r="F497" s="8"/>
      <c r="G497" s="8" t="str">
        <f t="shared" si="3"/>
        <v>157</v>
      </c>
      <c r="H497" s="9">
        <f t="shared" si="4"/>
        <v>157</v>
      </c>
      <c r="I497" s="6" t="str">
        <f>IFERROR(__xludf.DUMMYFUNCTION("MAX(FILTER($H:$H,$E:$E=F497))"),"#N/A")</f>
        <v>#N/A</v>
      </c>
    </row>
    <row r="498">
      <c r="C498" s="4" t="s">
        <v>2127</v>
      </c>
      <c r="D498" s="4" t="str">
        <f t="shared" si="1"/>
        <v>{"valorA":"ar condicionado","valorB":158}</v>
      </c>
      <c r="E498" s="8" t="str">
        <f t="shared" si="2"/>
        <v>ar condicionado</v>
      </c>
      <c r="F498" s="8"/>
      <c r="G498" s="8" t="str">
        <f t="shared" si="3"/>
        <v>158</v>
      </c>
      <c r="H498" s="9">
        <f t="shared" si="4"/>
        <v>158</v>
      </c>
      <c r="I498" s="6" t="str">
        <f>IFERROR(__xludf.DUMMYFUNCTION("MAX(FILTER($H:$H,$E:$E=F498))"),"#N/A")</f>
        <v>#N/A</v>
      </c>
    </row>
    <row r="499">
      <c r="C499" s="4" t="s">
        <v>2139</v>
      </c>
      <c r="D499" s="4" t="str">
        <f t="shared" si="1"/>
        <v>{"valorA":"freezer","valorB":163}</v>
      </c>
      <c r="E499" s="8" t="str">
        <f t="shared" si="2"/>
        <v>freezer</v>
      </c>
      <c r="F499" s="8"/>
      <c r="G499" s="8" t="str">
        <f t="shared" si="3"/>
        <v>163</v>
      </c>
      <c r="H499" s="9">
        <f t="shared" si="4"/>
        <v>163</v>
      </c>
      <c r="I499" s="6" t="str">
        <f>IFERROR(__xludf.DUMMYFUNCTION("MAX(FILTER($H:$H,$E:$E=F499))"),"#N/A")</f>
        <v>#N/A</v>
      </c>
    </row>
    <row r="500">
      <c r="C500" s="4" t="s">
        <v>2144</v>
      </c>
      <c r="D500" s="4" t="str">
        <f t="shared" si="1"/>
        <v>{"valorA":"freezer","valorB":164}</v>
      </c>
      <c r="E500" s="8" t="str">
        <f t="shared" si="2"/>
        <v>freezer</v>
      </c>
      <c r="F500" s="8"/>
      <c r="G500" s="8" t="str">
        <f t="shared" si="3"/>
        <v>164</v>
      </c>
      <c r="H500" s="9">
        <f t="shared" si="4"/>
        <v>164</v>
      </c>
      <c r="I500" s="6" t="str">
        <f>IFERROR(__xludf.DUMMYFUNCTION("MAX(FILTER($H:$H,$E:$E=F500))"),"#N/A")</f>
        <v>#N/A</v>
      </c>
    </row>
    <row r="501">
      <c r="C501" s="4" t="s">
        <v>6011</v>
      </c>
      <c r="D501" s="4" t="str">
        <f t="shared" si="1"/>
        <v>{"valorA":"microondas","valorB":178}</v>
      </c>
      <c r="E501" s="8" t="str">
        <f t="shared" si="2"/>
        <v>microondas</v>
      </c>
      <c r="F501" s="8"/>
      <c r="G501" s="8" t="str">
        <f t="shared" si="3"/>
        <v>178</v>
      </c>
      <c r="H501" s="9">
        <f t="shared" si="4"/>
        <v>178</v>
      </c>
      <c r="I501" s="6" t="str">
        <f>IFERROR(__xludf.DUMMYFUNCTION("MAX(FILTER($H:$H,$E:$E=F501))"),"#N/A")</f>
        <v>#N/A</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6012</v>
      </c>
      <c r="D1" s="5">
        <v>0.0</v>
      </c>
      <c r="F1" s="5"/>
      <c r="G1" s="19" t="s">
        <v>4013</v>
      </c>
      <c r="H1" s="19" t="s">
        <v>4247</v>
      </c>
    </row>
    <row r="2">
      <c r="A2" s="4" t="s">
        <v>6013</v>
      </c>
      <c r="B2" s="6" t="str">
        <f t="shared" ref="B2:B501" si="1">MID(A2,FIND(":",A2)+1,LEN(A2)-FIND("segundos",A2))</f>
        <v>33.7001</v>
      </c>
      <c r="C2" s="6" t="str">
        <f t="shared" ref="C2:C501" si="2">SUBSTITUTE(B2,".",",")</f>
        <v>33,7001</v>
      </c>
      <c r="D2" s="6">
        <f t="shared" ref="D2:D501" si="3">VALUE(C2)</f>
        <v>33.7001</v>
      </c>
      <c r="E2" s="6">
        <f t="shared" ref="E2:E501" si="4">D2-D1</f>
        <v>33.7001</v>
      </c>
      <c r="G2" s="20">
        <f>AVERAGE(E2:E501)</f>
        <v>0.550136</v>
      </c>
      <c r="H2" s="20">
        <f>STDEV(E2:E501)</f>
        <v>1.491896009</v>
      </c>
    </row>
    <row r="3">
      <c r="A3" s="4" t="s">
        <v>6014</v>
      </c>
      <c r="B3" s="6" t="str">
        <f t="shared" si="1"/>
        <v>33.8229</v>
      </c>
      <c r="C3" s="6" t="str">
        <f t="shared" si="2"/>
        <v>33,8229</v>
      </c>
      <c r="D3" s="6">
        <f t="shared" si="3"/>
        <v>33.8229</v>
      </c>
      <c r="E3" s="6">
        <f t="shared" si="4"/>
        <v>0.1228</v>
      </c>
    </row>
    <row r="4">
      <c r="A4" s="4" t="s">
        <v>6015</v>
      </c>
      <c r="B4" s="6" t="str">
        <f t="shared" si="1"/>
        <v>33.9278</v>
      </c>
      <c r="C4" s="6" t="str">
        <f t="shared" si="2"/>
        <v>33,9278</v>
      </c>
      <c r="D4" s="6">
        <f t="shared" si="3"/>
        <v>33.9278</v>
      </c>
      <c r="E4" s="6">
        <f t="shared" si="4"/>
        <v>0.1049</v>
      </c>
    </row>
    <row r="5">
      <c r="A5" s="4" t="s">
        <v>6016</v>
      </c>
      <c r="B5" s="6" t="str">
        <f t="shared" si="1"/>
        <v>34.0141</v>
      </c>
      <c r="C5" s="6" t="str">
        <f t="shared" si="2"/>
        <v>34,0141</v>
      </c>
      <c r="D5" s="6">
        <f t="shared" si="3"/>
        <v>34.0141</v>
      </c>
      <c r="E5" s="6">
        <f t="shared" si="4"/>
        <v>0.0863</v>
      </c>
    </row>
    <row r="6">
      <c r="A6" s="4" t="s">
        <v>6017</v>
      </c>
      <c r="B6" s="6" t="str">
        <f t="shared" si="1"/>
        <v>34.0982</v>
      </c>
      <c r="C6" s="6" t="str">
        <f t="shared" si="2"/>
        <v>34,0982</v>
      </c>
      <c r="D6" s="6">
        <f t="shared" si="3"/>
        <v>34.0982</v>
      </c>
      <c r="E6" s="6">
        <f t="shared" si="4"/>
        <v>0.0841</v>
      </c>
    </row>
    <row r="7">
      <c r="A7" s="4" t="s">
        <v>6018</v>
      </c>
      <c r="B7" s="6" t="str">
        <f t="shared" si="1"/>
        <v>34.1751</v>
      </c>
      <c r="C7" s="6" t="str">
        <f t="shared" si="2"/>
        <v>34,1751</v>
      </c>
      <c r="D7" s="6">
        <f t="shared" si="3"/>
        <v>34.1751</v>
      </c>
      <c r="E7" s="6">
        <f t="shared" si="4"/>
        <v>0.0769</v>
      </c>
    </row>
    <row r="8">
      <c r="A8" s="4" t="s">
        <v>6019</v>
      </c>
      <c r="B8" s="6" t="str">
        <f t="shared" si="1"/>
        <v>34.2575</v>
      </c>
      <c r="C8" s="6" t="str">
        <f t="shared" si="2"/>
        <v>34,2575</v>
      </c>
      <c r="D8" s="6">
        <f t="shared" si="3"/>
        <v>34.2575</v>
      </c>
      <c r="E8" s="6">
        <f t="shared" si="4"/>
        <v>0.0824</v>
      </c>
    </row>
    <row r="9">
      <c r="A9" s="4" t="s">
        <v>6020</v>
      </c>
      <c r="B9" s="6" t="str">
        <f t="shared" si="1"/>
        <v>34.3366</v>
      </c>
      <c r="C9" s="6" t="str">
        <f t="shared" si="2"/>
        <v>34,3366</v>
      </c>
      <c r="D9" s="6">
        <f t="shared" si="3"/>
        <v>34.3366</v>
      </c>
      <c r="E9" s="6">
        <f t="shared" si="4"/>
        <v>0.0791</v>
      </c>
    </row>
    <row r="10">
      <c r="A10" s="4" t="s">
        <v>6021</v>
      </c>
      <c r="B10" s="6" t="str">
        <f t="shared" si="1"/>
        <v>34.4237</v>
      </c>
      <c r="C10" s="6" t="str">
        <f t="shared" si="2"/>
        <v>34,4237</v>
      </c>
      <c r="D10" s="6">
        <f t="shared" si="3"/>
        <v>34.4237</v>
      </c>
      <c r="E10" s="6">
        <f t="shared" si="4"/>
        <v>0.0871</v>
      </c>
    </row>
    <row r="11">
      <c r="A11" s="4" t="s">
        <v>6022</v>
      </c>
      <c r="B11" s="6" t="str">
        <f t="shared" si="1"/>
        <v>34.5423</v>
      </c>
      <c r="C11" s="6" t="str">
        <f t="shared" si="2"/>
        <v>34,5423</v>
      </c>
      <c r="D11" s="6">
        <f t="shared" si="3"/>
        <v>34.5423</v>
      </c>
      <c r="E11" s="6">
        <f t="shared" si="4"/>
        <v>0.1186</v>
      </c>
    </row>
    <row r="12">
      <c r="A12" s="4" t="s">
        <v>6023</v>
      </c>
      <c r="B12" s="6" t="str">
        <f t="shared" si="1"/>
        <v>34.6466</v>
      </c>
      <c r="C12" s="6" t="str">
        <f t="shared" si="2"/>
        <v>34,6466</v>
      </c>
      <c r="D12" s="6">
        <f t="shared" si="3"/>
        <v>34.6466</v>
      </c>
      <c r="E12" s="6">
        <f t="shared" si="4"/>
        <v>0.1043</v>
      </c>
    </row>
    <row r="13">
      <c r="A13" s="4" t="s">
        <v>6024</v>
      </c>
      <c r="B13" s="6" t="str">
        <f t="shared" si="1"/>
        <v>34.7415</v>
      </c>
      <c r="C13" s="6" t="str">
        <f t="shared" si="2"/>
        <v>34,7415</v>
      </c>
      <c r="D13" s="6">
        <f t="shared" si="3"/>
        <v>34.7415</v>
      </c>
      <c r="E13" s="6">
        <f t="shared" si="4"/>
        <v>0.0949</v>
      </c>
    </row>
    <row r="14">
      <c r="A14" s="4" t="s">
        <v>6025</v>
      </c>
      <c r="B14" s="6" t="str">
        <f t="shared" si="1"/>
        <v>34.8432</v>
      </c>
      <c r="C14" s="6" t="str">
        <f t="shared" si="2"/>
        <v>34,8432</v>
      </c>
      <c r="D14" s="6">
        <f t="shared" si="3"/>
        <v>34.8432</v>
      </c>
      <c r="E14" s="6">
        <f t="shared" si="4"/>
        <v>0.1017</v>
      </c>
    </row>
    <row r="15">
      <c r="A15" s="4" t="s">
        <v>6026</v>
      </c>
      <c r="B15" s="6" t="str">
        <f t="shared" si="1"/>
        <v>34.9337</v>
      </c>
      <c r="C15" s="6" t="str">
        <f t="shared" si="2"/>
        <v>34,9337</v>
      </c>
      <c r="D15" s="6">
        <f t="shared" si="3"/>
        <v>34.9337</v>
      </c>
      <c r="E15" s="6">
        <f t="shared" si="4"/>
        <v>0.0905</v>
      </c>
    </row>
    <row r="16">
      <c r="A16" s="4" t="s">
        <v>6027</v>
      </c>
      <c r="B16" s="6" t="str">
        <f t="shared" si="1"/>
        <v>35.0543</v>
      </c>
      <c r="C16" s="6" t="str">
        <f t="shared" si="2"/>
        <v>35,0543</v>
      </c>
      <c r="D16" s="6">
        <f t="shared" si="3"/>
        <v>35.0543</v>
      </c>
      <c r="E16" s="6">
        <f t="shared" si="4"/>
        <v>0.1206</v>
      </c>
    </row>
    <row r="17">
      <c r="A17" s="4" t="s">
        <v>6028</v>
      </c>
      <c r="B17" s="6" t="str">
        <f t="shared" si="1"/>
        <v>35.1646</v>
      </c>
      <c r="C17" s="6" t="str">
        <f t="shared" si="2"/>
        <v>35,1646</v>
      </c>
      <c r="D17" s="6">
        <f t="shared" si="3"/>
        <v>35.1646</v>
      </c>
      <c r="E17" s="6">
        <f t="shared" si="4"/>
        <v>0.1103</v>
      </c>
    </row>
    <row r="18">
      <c r="A18" s="4" t="s">
        <v>6029</v>
      </c>
      <c r="B18" s="6" t="str">
        <f t="shared" si="1"/>
        <v>35.2640</v>
      </c>
      <c r="C18" s="6" t="str">
        <f t="shared" si="2"/>
        <v>35,2640</v>
      </c>
      <c r="D18" s="6">
        <f t="shared" si="3"/>
        <v>35.264</v>
      </c>
      <c r="E18" s="6">
        <f t="shared" si="4"/>
        <v>0.0994</v>
      </c>
    </row>
    <row r="19">
      <c r="A19" s="4" t="s">
        <v>6030</v>
      </c>
      <c r="B19" s="6" t="str">
        <f t="shared" si="1"/>
        <v>35.3548</v>
      </c>
      <c r="C19" s="6" t="str">
        <f t="shared" si="2"/>
        <v>35,3548</v>
      </c>
      <c r="D19" s="6">
        <f t="shared" si="3"/>
        <v>35.3548</v>
      </c>
      <c r="E19" s="6">
        <f t="shared" si="4"/>
        <v>0.0908</v>
      </c>
    </row>
    <row r="20">
      <c r="A20" s="4" t="s">
        <v>6031</v>
      </c>
      <c r="B20" s="6" t="str">
        <f t="shared" si="1"/>
        <v>35.4582</v>
      </c>
      <c r="C20" s="6" t="str">
        <f t="shared" si="2"/>
        <v>35,4582</v>
      </c>
      <c r="D20" s="6">
        <f t="shared" si="3"/>
        <v>35.4582</v>
      </c>
      <c r="E20" s="6">
        <f t="shared" si="4"/>
        <v>0.1034</v>
      </c>
    </row>
    <row r="21">
      <c r="A21" s="4" t="s">
        <v>6032</v>
      </c>
      <c r="B21" s="6" t="str">
        <f t="shared" si="1"/>
        <v>35.5775</v>
      </c>
      <c r="C21" s="6" t="str">
        <f t="shared" si="2"/>
        <v>35,5775</v>
      </c>
      <c r="D21" s="6">
        <f t="shared" si="3"/>
        <v>35.5775</v>
      </c>
      <c r="E21" s="6">
        <f t="shared" si="4"/>
        <v>0.1193</v>
      </c>
    </row>
    <row r="22">
      <c r="A22" s="4" t="s">
        <v>6033</v>
      </c>
      <c r="B22" s="6" t="str">
        <f t="shared" si="1"/>
        <v>35.6806</v>
      </c>
      <c r="C22" s="6" t="str">
        <f t="shared" si="2"/>
        <v>35,6806</v>
      </c>
      <c r="D22" s="6">
        <f t="shared" si="3"/>
        <v>35.6806</v>
      </c>
      <c r="E22" s="6">
        <f t="shared" si="4"/>
        <v>0.1031</v>
      </c>
    </row>
    <row r="23">
      <c r="A23" s="4" t="s">
        <v>6034</v>
      </c>
      <c r="B23" s="6" t="str">
        <f t="shared" si="1"/>
        <v>35.7702</v>
      </c>
      <c r="C23" s="6" t="str">
        <f t="shared" si="2"/>
        <v>35,7702</v>
      </c>
      <c r="D23" s="6">
        <f t="shared" si="3"/>
        <v>35.7702</v>
      </c>
      <c r="E23" s="6">
        <f t="shared" si="4"/>
        <v>0.0896</v>
      </c>
    </row>
    <row r="24">
      <c r="A24" s="4" t="s">
        <v>6035</v>
      </c>
      <c r="B24" s="6" t="str">
        <f t="shared" si="1"/>
        <v>35.8848</v>
      </c>
      <c r="C24" s="6" t="str">
        <f t="shared" si="2"/>
        <v>35,8848</v>
      </c>
      <c r="D24" s="6">
        <f t="shared" si="3"/>
        <v>35.8848</v>
      </c>
      <c r="E24" s="6">
        <f t="shared" si="4"/>
        <v>0.1146</v>
      </c>
    </row>
    <row r="25">
      <c r="A25" s="4" t="s">
        <v>6036</v>
      </c>
      <c r="B25" s="6" t="str">
        <f t="shared" si="1"/>
        <v>35.9832</v>
      </c>
      <c r="C25" s="6" t="str">
        <f t="shared" si="2"/>
        <v>35,9832</v>
      </c>
      <c r="D25" s="6">
        <f t="shared" si="3"/>
        <v>35.9832</v>
      </c>
      <c r="E25" s="6">
        <f t="shared" si="4"/>
        <v>0.0984</v>
      </c>
    </row>
    <row r="26">
      <c r="A26" s="4" t="s">
        <v>6037</v>
      </c>
      <c r="B26" s="6" t="str">
        <f t="shared" si="1"/>
        <v>36.0932</v>
      </c>
      <c r="C26" s="6" t="str">
        <f t="shared" si="2"/>
        <v>36,0932</v>
      </c>
      <c r="D26" s="6">
        <f t="shared" si="3"/>
        <v>36.0932</v>
      </c>
      <c r="E26" s="6">
        <f t="shared" si="4"/>
        <v>0.11</v>
      </c>
    </row>
    <row r="27">
      <c r="A27" s="4" t="s">
        <v>6038</v>
      </c>
      <c r="B27" s="6" t="str">
        <f t="shared" si="1"/>
        <v>36.1645</v>
      </c>
      <c r="C27" s="6" t="str">
        <f t="shared" si="2"/>
        <v>36,1645</v>
      </c>
      <c r="D27" s="6">
        <f t="shared" si="3"/>
        <v>36.1645</v>
      </c>
      <c r="E27" s="6">
        <f t="shared" si="4"/>
        <v>0.0713</v>
      </c>
    </row>
    <row r="28">
      <c r="A28" s="4" t="s">
        <v>6039</v>
      </c>
      <c r="B28" s="6" t="str">
        <f t="shared" si="1"/>
        <v>36.2512</v>
      </c>
      <c r="C28" s="6" t="str">
        <f t="shared" si="2"/>
        <v>36,2512</v>
      </c>
      <c r="D28" s="6">
        <f t="shared" si="3"/>
        <v>36.2512</v>
      </c>
      <c r="E28" s="6">
        <f t="shared" si="4"/>
        <v>0.0867</v>
      </c>
    </row>
    <row r="29">
      <c r="A29" s="4" t="s">
        <v>6040</v>
      </c>
      <c r="B29" s="6" t="str">
        <f t="shared" si="1"/>
        <v>36.3516</v>
      </c>
      <c r="C29" s="6" t="str">
        <f t="shared" si="2"/>
        <v>36,3516</v>
      </c>
      <c r="D29" s="6">
        <f t="shared" si="3"/>
        <v>36.3516</v>
      </c>
      <c r="E29" s="6">
        <f t="shared" si="4"/>
        <v>0.1004</v>
      </c>
    </row>
    <row r="30">
      <c r="A30" s="4" t="s">
        <v>6041</v>
      </c>
      <c r="B30" s="6" t="str">
        <f t="shared" si="1"/>
        <v>36.4407</v>
      </c>
      <c r="C30" s="6" t="str">
        <f t="shared" si="2"/>
        <v>36,4407</v>
      </c>
      <c r="D30" s="6">
        <f t="shared" si="3"/>
        <v>36.4407</v>
      </c>
      <c r="E30" s="6">
        <f t="shared" si="4"/>
        <v>0.0891</v>
      </c>
    </row>
    <row r="31">
      <c r="A31" s="4" t="s">
        <v>6042</v>
      </c>
      <c r="B31" s="6" t="str">
        <f t="shared" si="1"/>
        <v>36.5329</v>
      </c>
      <c r="C31" s="6" t="str">
        <f t="shared" si="2"/>
        <v>36,5329</v>
      </c>
      <c r="D31" s="6">
        <f t="shared" si="3"/>
        <v>36.5329</v>
      </c>
      <c r="E31" s="6">
        <f t="shared" si="4"/>
        <v>0.0922</v>
      </c>
    </row>
    <row r="32">
      <c r="A32" s="4" t="s">
        <v>6043</v>
      </c>
      <c r="B32" s="6" t="str">
        <f t="shared" si="1"/>
        <v>36.6305</v>
      </c>
      <c r="C32" s="6" t="str">
        <f t="shared" si="2"/>
        <v>36,6305</v>
      </c>
      <c r="D32" s="6">
        <f t="shared" si="3"/>
        <v>36.6305</v>
      </c>
      <c r="E32" s="6">
        <f t="shared" si="4"/>
        <v>0.0976</v>
      </c>
    </row>
    <row r="33">
      <c r="A33" s="4" t="s">
        <v>6044</v>
      </c>
      <c r="B33" s="6" t="str">
        <f t="shared" si="1"/>
        <v>36.9544</v>
      </c>
      <c r="C33" s="6" t="str">
        <f t="shared" si="2"/>
        <v>36,9544</v>
      </c>
      <c r="D33" s="6">
        <f t="shared" si="3"/>
        <v>36.9544</v>
      </c>
      <c r="E33" s="6">
        <f t="shared" si="4"/>
        <v>0.3239</v>
      </c>
    </row>
    <row r="34">
      <c r="A34" s="4" t="s">
        <v>6045</v>
      </c>
      <c r="B34" s="6" t="str">
        <f t="shared" si="1"/>
        <v>37.4953</v>
      </c>
      <c r="C34" s="6" t="str">
        <f t="shared" si="2"/>
        <v>37,4953</v>
      </c>
      <c r="D34" s="6">
        <f t="shared" si="3"/>
        <v>37.4953</v>
      </c>
      <c r="E34" s="6">
        <f t="shared" si="4"/>
        <v>0.5409</v>
      </c>
    </row>
    <row r="35">
      <c r="A35" s="4" t="s">
        <v>6046</v>
      </c>
      <c r="B35" s="6" t="str">
        <f t="shared" si="1"/>
        <v>38.0334</v>
      </c>
      <c r="C35" s="6" t="str">
        <f t="shared" si="2"/>
        <v>38,0334</v>
      </c>
      <c r="D35" s="6">
        <f t="shared" si="3"/>
        <v>38.0334</v>
      </c>
      <c r="E35" s="6">
        <f t="shared" si="4"/>
        <v>0.5381</v>
      </c>
    </row>
    <row r="36">
      <c r="A36" s="4" t="s">
        <v>6047</v>
      </c>
      <c r="B36" s="6" t="str">
        <f t="shared" si="1"/>
        <v>38.4722</v>
      </c>
      <c r="C36" s="6" t="str">
        <f t="shared" si="2"/>
        <v>38,4722</v>
      </c>
      <c r="D36" s="6">
        <f t="shared" si="3"/>
        <v>38.4722</v>
      </c>
      <c r="E36" s="6">
        <f t="shared" si="4"/>
        <v>0.4388</v>
      </c>
    </row>
    <row r="37">
      <c r="A37" s="4" t="s">
        <v>6048</v>
      </c>
      <c r="B37" s="6" t="str">
        <f t="shared" si="1"/>
        <v>39.0212</v>
      </c>
      <c r="C37" s="6" t="str">
        <f t="shared" si="2"/>
        <v>39,0212</v>
      </c>
      <c r="D37" s="6">
        <f t="shared" si="3"/>
        <v>39.0212</v>
      </c>
      <c r="E37" s="6">
        <f t="shared" si="4"/>
        <v>0.549</v>
      </c>
    </row>
    <row r="38">
      <c r="A38" s="4" t="s">
        <v>6049</v>
      </c>
      <c r="B38" s="6" t="str">
        <f t="shared" si="1"/>
        <v>39.5597</v>
      </c>
      <c r="C38" s="6" t="str">
        <f t="shared" si="2"/>
        <v>39,5597</v>
      </c>
      <c r="D38" s="6">
        <f t="shared" si="3"/>
        <v>39.5597</v>
      </c>
      <c r="E38" s="6">
        <f t="shared" si="4"/>
        <v>0.5385</v>
      </c>
    </row>
    <row r="39">
      <c r="A39" s="4" t="s">
        <v>6050</v>
      </c>
      <c r="B39" s="6" t="str">
        <f t="shared" si="1"/>
        <v>39.9931</v>
      </c>
      <c r="C39" s="6" t="str">
        <f t="shared" si="2"/>
        <v>39,9931</v>
      </c>
      <c r="D39" s="6">
        <f t="shared" si="3"/>
        <v>39.9931</v>
      </c>
      <c r="E39" s="6">
        <f t="shared" si="4"/>
        <v>0.4334</v>
      </c>
    </row>
    <row r="40">
      <c r="A40" s="4" t="s">
        <v>6051</v>
      </c>
      <c r="B40" s="6" t="str">
        <f t="shared" si="1"/>
        <v>40.5369</v>
      </c>
      <c r="C40" s="6" t="str">
        <f t="shared" si="2"/>
        <v>40,5369</v>
      </c>
      <c r="D40" s="6">
        <f t="shared" si="3"/>
        <v>40.5369</v>
      </c>
      <c r="E40" s="6">
        <f t="shared" si="4"/>
        <v>0.5438</v>
      </c>
    </row>
    <row r="41">
      <c r="A41" s="4" t="s">
        <v>6052</v>
      </c>
      <c r="B41" s="6" t="str">
        <f t="shared" si="1"/>
        <v>41.0844</v>
      </c>
      <c r="C41" s="6" t="str">
        <f t="shared" si="2"/>
        <v>41,0844</v>
      </c>
      <c r="D41" s="6">
        <f t="shared" si="3"/>
        <v>41.0844</v>
      </c>
      <c r="E41" s="6">
        <f t="shared" si="4"/>
        <v>0.5475</v>
      </c>
    </row>
    <row r="42">
      <c r="A42" s="4" t="s">
        <v>6053</v>
      </c>
      <c r="B42" s="6" t="str">
        <f t="shared" si="1"/>
        <v>41.5168</v>
      </c>
      <c r="C42" s="6" t="str">
        <f t="shared" si="2"/>
        <v>41,5168</v>
      </c>
      <c r="D42" s="6">
        <f t="shared" si="3"/>
        <v>41.5168</v>
      </c>
      <c r="E42" s="6">
        <f t="shared" si="4"/>
        <v>0.4324</v>
      </c>
    </row>
    <row r="43">
      <c r="A43" s="4" t="s">
        <v>6054</v>
      </c>
      <c r="B43" s="6" t="str">
        <f t="shared" si="1"/>
        <v>42.0632</v>
      </c>
      <c r="C43" s="6" t="str">
        <f t="shared" si="2"/>
        <v>42,0632</v>
      </c>
      <c r="D43" s="6">
        <f t="shared" si="3"/>
        <v>42.0632</v>
      </c>
      <c r="E43" s="6">
        <f t="shared" si="4"/>
        <v>0.5464</v>
      </c>
    </row>
    <row r="44">
      <c r="A44" s="4" t="s">
        <v>6055</v>
      </c>
      <c r="B44" s="6" t="str">
        <f t="shared" si="1"/>
        <v>42.6107</v>
      </c>
      <c r="C44" s="6" t="str">
        <f t="shared" si="2"/>
        <v>42,6107</v>
      </c>
      <c r="D44" s="6">
        <f t="shared" si="3"/>
        <v>42.6107</v>
      </c>
      <c r="E44" s="6">
        <f t="shared" si="4"/>
        <v>0.5475</v>
      </c>
    </row>
    <row r="45">
      <c r="A45" s="4" t="s">
        <v>6056</v>
      </c>
      <c r="B45" s="6" t="str">
        <f t="shared" si="1"/>
        <v>43.0338</v>
      </c>
      <c r="C45" s="6" t="str">
        <f t="shared" si="2"/>
        <v>43,0338</v>
      </c>
      <c r="D45" s="6">
        <f t="shared" si="3"/>
        <v>43.0338</v>
      </c>
      <c r="E45" s="6">
        <f t="shared" si="4"/>
        <v>0.4231</v>
      </c>
    </row>
    <row r="46">
      <c r="A46" s="4" t="s">
        <v>6057</v>
      </c>
      <c r="B46" s="6" t="str">
        <f t="shared" si="1"/>
        <v>43.5766</v>
      </c>
      <c r="C46" s="6" t="str">
        <f t="shared" si="2"/>
        <v>43,5766</v>
      </c>
      <c r="D46" s="6">
        <f t="shared" si="3"/>
        <v>43.5766</v>
      </c>
      <c r="E46" s="6">
        <f t="shared" si="4"/>
        <v>0.5428</v>
      </c>
    </row>
    <row r="47">
      <c r="A47" s="4" t="s">
        <v>6058</v>
      </c>
      <c r="B47" s="6" t="str">
        <f t="shared" si="1"/>
        <v>44.1232</v>
      </c>
      <c r="C47" s="6" t="str">
        <f t="shared" si="2"/>
        <v>44,1232</v>
      </c>
      <c r="D47" s="6">
        <f t="shared" si="3"/>
        <v>44.1232</v>
      </c>
      <c r="E47" s="6">
        <f t="shared" si="4"/>
        <v>0.5466</v>
      </c>
    </row>
    <row r="48">
      <c r="A48" s="4" t="s">
        <v>6059</v>
      </c>
      <c r="B48" s="6" t="str">
        <f t="shared" si="1"/>
        <v>44.5561</v>
      </c>
      <c r="C48" s="6" t="str">
        <f t="shared" si="2"/>
        <v>44,5561</v>
      </c>
      <c r="D48" s="6">
        <f t="shared" si="3"/>
        <v>44.5561</v>
      </c>
      <c r="E48" s="6">
        <f t="shared" si="4"/>
        <v>0.4329</v>
      </c>
    </row>
    <row r="49">
      <c r="A49" s="4" t="s">
        <v>6060</v>
      </c>
      <c r="B49" s="6" t="str">
        <f t="shared" si="1"/>
        <v>45.0988</v>
      </c>
      <c r="C49" s="6" t="str">
        <f t="shared" si="2"/>
        <v>45,0988</v>
      </c>
      <c r="D49" s="6">
        <f t="shared" si="3"/>
        <v>45.0988</v>
      </c>
      <c r="E49" s="6">
        <f t="shared" si="4"/>
        <v>0.5427</v>
      </c>
    </row>
    <row r="50">
      <c r="A50" s="4" t="s">
        <v>6061</v>
      </c>
      <c r="B50" s="6" t="str">
        <f t="shared" si="1"/>
        <v>45.6432</v>
      </c>
      <c r="C50" s="6" t="str">
        <f t="shared" si="2"/>
        <v>45,6432</v>
      </c>
      <c r="D50" s="6">
        <f t="shared" si="3"/>
        <v>45.6432</v>
      </c>
      <c r="E50" s="6">
        <f t="shared" si="4"/>
        <v>0.5444</v>
      </c>
    </row>
    <row r="51">
      <c r="A51" s="4" t="s">
        <v>6062</v>
      </c>
      <c r="B51" s="6" t="str">
        <f t="shared" si="1"/>
        <v>46.0781</v>
      </c>
      <c r="C51" s="6" t="str">
        <f t="shared" si="2"/>
        <v>46,0781</v>
      </c>
      <c r="D51" s="6">
        <f t="shared" si="3"/>
        <v>46.0781</v>
      </c>
      <c r="E51" s="6">
        <f t="shared" si="4"/>
        <v>0.4349</v>
      </c>
    </row>
    <row r="52">
      <c r="A52" s="4" t="s">
        <v>6063</v>
      </c>
      <c r="B52" s="6" t="str">
        <f t="shared" si="1"/>
        <v>46.6227</v>
      </c>
      <c r="C52" s="6" t="str">
        <f t="shared" si="2"/>
        <v>46,6227</v>
      </c>
      <c r="D52" s="6">
        <f t="shared" si="3"/>
        <v>46.6227</v>
      </c>
      <c r="E52" s="6">
        <f t="shared" si="4"/>
        <v>0.5446</v>
      </c>
    </row>
    <row r="53">
      <c r="A53" s="4" t="s">
        <v>6064</v>
      </c>
      <c r="B53" s="6" t="str">
        <f t="shared" si="1"/>
        <v>47.1756</v>
      </c>
      <c r="C53" s="6" t="str">
        <f t="shared" si="2"/>
        <v>47,1756</v>
      </c>
      <c r="D53" s="6">
        <f t="shared" si="3"/>
        <v>47.1756</v>
      </c>
      <c r="E53" s="6">
        <f t="shared" si="4"/>
        <v>0.5529</v>
      </c>
    </row>
    <row r="54">
      <c r="A54" s="4" t="s">
        <v>6065</v>
      </c>
      <c r="B54" s="6" t="str">
        <f t="shared" si="1"/>
        <v>47.6024</v>
      </c>
      <c r="C54" s="6" t="str">
        <f t="shared" si="2"/>
        <v>47,6024</v>
      </c>
      <c r="D54" s="6">
        <f t="shared" si="3"/>
        <v>47.6024</v>
      </c>
      <c r="E54" s="6">
        <f t="shared" si="4"/>
        <v>0.4268</v>
      </c>
    </row>
    <row r="55">
      <c r="A55" s="4" t="s">
        <v>6066</v>
      </c>
      <c r="B55" s="6" t="str">
        <f t="shared" si="1"/>
        <v>48.1483</v>
      </c>
      <c r="C55" s="6" t="str">
        <f t="shared" si="2"/>
        <v>48,1483</v>
      </c>
      <c r="D55" s="6">
        <f t="shared" si="3"/>
        <v>48.1483</v>
      </c>
      <c r="E55" s="6">
        <f t="shared" si="4"/>
        <v>0.5459</v>
      </c>
    </row>
    <row r="56">
      <c r="A56" s="4" t="s">
        <v>6067</v>
      </c>
      <c r="B56" s="6" t="str">
        <f t="shared" si="1"/>
        <v>48.6836</v>
      </c>
      <c r="C56" s="6" t="str">
        <f t="shared" si="2"/>
        <v>48,6836</v>
      </c>
      <c r="D56" s="6">
        <f t="shared" si="3"/>
        <v>48.6836</v>
      </c>
      <c r="E56" s="6">
        <f t="shared" si="4"/>
        <v>0.5353</v>
      </c>
    </row>
    <row r="57">
      <c r="A57" s="4" t="s">
        <v>6068</v>
      </c>
      <c r="B57" s="6" t="str">
        <f t="shared" si="1"/>
        <v>49.1178</v>
      </c>
      <c r="C57" s="6" t="str">
        <f t="shared" si="2"/>
        <v>49,1178</v>
      </c>
      <c r="D57" s="6">
        <f t="shared" si="3"/>
        <v>49.1178</v>
      </c>
      <c r="E57" s="6">
        <f t="shared" si="4"/>
        <v>0.4342</v>
      </c>
    </row>
    <row r="58">
      <c r="A58" s="4" t="s">
        <v>6069</v>
      </c>
      <c r="B58" s="6" t="str">
        <f t="shared" si="1"/>
        <v>49.6605</v>
      </c>
      <c r="C58" s="6" t="str">
        <f t="shared" si="2"/>
        <v>49,6605</v>
      </c>
      <c r="D58" s="6">
        <f t="shared" si="3"/>
        <v>49.6605</v>
      </c>
      <c r="E58" s="6">
        <f t="shared" si="4"/>
        <v>0.5427</v>
      </c>
    </row>
    <row r="59">
      <c r="A59" s="4" t="s">
        <v>6070</v>
      </c>
      <c r="B59" s="6" t="str">
        <f t="shared" si="1"/>
        <v>50.2038</v>
      </c>
      <c r="C59" s="6" t="str">
        <f t="shared" si="2"/>
        <v>50,2038</v>
      </c>
      <c r="D59" s="6">
        <f t="shared" si="3"/>
        <v>50.2038</v>
      </c>
      <c r="E59" s="6">
        <f t="shared" si="4"/>
        <v>0.5433</v>
      </c>
    </row>
    <row r="60">
      <c r="A60" s="4" t="s">
        <v>6071</v>
      </c>
      <c r="B60" s="6" t="str">
        <f t="shared" si="1"/>
        <v>50.6394</v>
      </c>
      <c r="C60" s="6" t="str">
        <f t="shared" si="2"/>
        <v>50,6394</v>
      </c>
      <c r="D60" s="6">
        <f t="shared" si="3"/>
        <v>50.6394</v>
      </c>
      <c r="E60" s="6">
        <f t="shared" si="4"/>
        <v>0.4356</v>
      </c>
    </row>
    <row r="61">
      <c r="A61" s="4" t="s">
        <v>6072</v>
      </c>
      <c r="B61" s="6" t="str">
        <f t="shared" si="1"/>
        <v>51.1818</v>
      </c>
      <c r="C61" s="6" t="str">
        <f t="shared" si="2"/>
        <v>51,1818</v>
      </c>
      <c r="D61" s="6">
        <f t="shared" si="3"/>
        <v>51.1818</v>
      </c>
      <c r="E61" s="6">
        <f t="shared" si="4"/>
        <v>0.5424</v>
      </c>
    </row>
    <row r="62">
      <c r="A62" s="4" t="s">
        <v>6073</v>
      </c>
      <c r="B62" s="6" t="str">
        <f t="shared" si="1"/>
        <v>51.7243</v>
      </c>
      <c r="C62" s="6" t="str">
        <f t="shared" si="2"/>
        <v>51,7243</v>
      </c>
      <c r="D62" s="6">
        <f t="shared" si="3"/>
        <v>51.7243</v>
      </c>
      <c r="E62" s="6">
        <f t="shared" si="4"/>
        <v>0.5425</v>
      </c>
    </row>
    <row r="63">
      <c r="A63" s="4" t="s">
        <v>6074</v>
      </c>
      <c r="B63" s="6" t="str">
        <f t="shared" si="1"/>
        <v>52.1571</v>
      </c>
      <c r="C63" s="6" t="str">
        <f t="shared" si="2"/>
        <v>52,1571</v>
      </c>
      <c r="D63" s="6">
        <f t="shared" si="3"/>
        <v>52.1571</v>
      </c>
      <c r="E63" s="6">
        <f t="shared" si="4"/>
        <v>0.4328</v>
      </c>
    </row>
    <row r="64">
      <c r="A64" s="4" t="s">
        <v>6075</v>
      </c>
      <c r="B64" s="6" t="str">
        <f t="shared" si="1"/>
        <v>52.7042</v>
      </c>
      <c r="C64" s="6" t="str">
        <f t="shared" si="2"/>
        <v>52,7042</v>
      </c>
      <c r="D64" s="6">
        <f t="shared" si="3"/>
        <v>52.7042</v>
      </c>
      <c r="E64" s="6">
        <f t="shared" si="4"/>
        <v>0.5471</v>
      </c>
    </row>
    <row r="65">
      <c r="A65" s="4" t="s">
        <v>6076</v>
      </c>
      <c r="B65" s="6" t="str">
        <f t="shared" si="1"/>
        <v>53.2578</v>
      </c>
      <c r="C65" s="6" t="str">
        <f t="shared" si="2"/>
        <v>53,2578</v>
      </c>
      <c r="D65" s="6">
        <f t="shared" si="3"/>
        <v>53.2578</v>
      </c>
      <c r="E65" s="6">
        <f t="shared" si="4"/>
        <v>0.5536</v>
      </c>
    </row>
    <row r="66">
      <c r="A66" s="4" t="s">
        <v>6077</v>
      </c>
      <c r="B66" s="6" t="str">
        <f t="shared" si="1"/>
        <v>53.6813</v>
      </c>
      <c r="C66" s="6" t="str">
        <f t="shared" si="2"/>
        <v>53,6813</v>
      </c>
      <c r="D66" s="6">
        <f t="shared" si="3"/>
        <v>53.6813</v>
      </c>
      <c r="E66" s="6">
        <f t="shared" si="4"/>
        <v>0.4235</v>
      </c>
    </row>
    <row r="67">
      <c r="A67" s="4" t="s">
        <v>6078</v>
      </c>
      <c r="B67" s="6" t="str">
        <f t="shared" si="1"/>
        <v>54.2231</v>
      </c>
      <c r="C67" s="6" t="str">
        <f t="shared" si="2"/>
        <v>54,2231</v>
      </c>
      <c r="D67" s="6">
        <f t="shared" si="3"/>
        <v>54.2231</v>
      </c>
      <c r="E67" s="6">
        <f t="shared" si="4"/>
        <v>0.5418</v>
      </c>
    </row>
    <row r="68">
      <c r="A68" s="4" t="s">
        <v>6079</v>
      </c>
      <c r="B68" s="6" t="str">
        <f t="shared" si="1"/>
        <v>54.7645</v>
      </c>
      <c r="C68" s="6" t="str">
        <f t="shared" si="2"/>
        <v>54,7645</v>
      </c>
      <c r="D68" s="6">
        <f t="shared" si="3"/>
        <v>54.7645</v>
      </c>
      <c r="E68" s="6">
        <f t="shared" si="4"/>
        <v>0.5414</v>
      </c>
    </row>
    <row r="69">
      <c r="A69" s="4" t="s">
        <v>6080</v>
      </c>
      <c r="B69" s="6" t="str">
        <f t="shared" si="1"/>
        <v>55.2028</v>
      </c>
      <c r="C69" s="6" t="str">
        <f t="shared" si="2"/>
        <v>55,2028</v>
      </c>
      <c r="D69" s="6">
        <f t="shared" si="3"/>
        <v>55.2028</v>
      </c>
      <c r="E69" s="6">
        <f t="shared" si="4"/>
        <v>0.4383</v>
      </c>
    </row>
    <row r="70">
      <c r="A70" s="4" t="s">
        <v>6081</v>
      </c>
      <c r="B70" s="6" t="str">
        <f t="shared" si="1"/>
        <v>55.7499</v>
      </c>
      <c r="C70" s="6" t="str">
        <f t="shared" si="2"/>
        <v>55,7499</v>
      </c>
      <c r="D70" s="6">
        <f t="shared" si="3"/>
        <v>55.7499</v>
      </c>
      <c r="E70" s="6">
        <f t="shared" si="4"/>
        <v>0.5471</v>
      </c>
    </row>
    <row r="71">
      <c r="A71" s="4" t="s">
        <v>6082</v>
      </c>
      <c r="B71" s="6" t="str">
        <f t="shared" si="1"/>
        <v>56.2854</v>
      </c>
      <c r="C71" s="6" t="str">
        <f t="shared" si="2"/>
        <v>56,2854</v>
      </c>
      <c r="D71" s="6">
        <f t="shared" si="3"/>
        <v>56.2854</v>
      </c>
      <c r="E71" s="6">
        <f t="shared" si="4"/>
        <v>0.5355</v>
      </c>
    </row>
    <row r="72">
      <c r="A72" s="4" t="s">
        <v>6083</v>
      </c>
      <c r="B72" s="6" t="str">
        <f t="shared" si="1"/>
        <v>56.7192</v>
      </c>
      <c r="C72" s="6" t="str">
        <f t="shared" si="2"/>
        <v>56,7192</v>
      </c>
      <c r="D72" s="6">
        <f t="shared" si="3"/>
        <v>56.7192</v>
      </c>
      <c r="E72" s="6">
        <f t="shared" si="4"/>
        <v>0.4338</v>
      </c>
    </row>
    <row r="73">
      <c r="A73" s="4" t="s">
        <v>6084</v>
      </c>
      <c r="B73" s="6" t="str">
        <f t="shared" si="1"/>
        <v>57.2622</v>
      </c>
      <c r="C73" s="6" t="str">
        <f t="shared" si="2"/>
        <v>57,2622</v>
      </c>
      <c r="D73" s="6">
        <f t="shared" si="3"/>
        <v>57.2622</v>
      </c>
      <c r="E73" s="6">
        <f t="shared" si="4"/>
        <v>0.543</v>
      </c>
    </row>
    <row r="74">
      <c r="A74" s="4" t="s">
        <v>6085</v>
      </c>
      <c r="B74" s="6" t="str">
        <f t="shared" si="1"/>
        <v>57.8115</v>
      </c>
      <c r="C74" s="6" t="str">
        <f t="shared" si="2"/>
        <v>57,8115</v>
      </c>
      <c r="D74" s="6">
        <f t="shared" si="3"/>
        <v>57.8115</v>
      </c>
      <c r="E74" s="6">
        <f t="shared" si="4"/>
        <v>0.5493</v>
      </c>
    </row>
    <row r="75">
      <c r="A75" s="4" t="s">
        <v>6086</v>
      </c>
      <c r="B75" s="6" t="str">
        <f t="shared" si="1"/>
        <v>58.2415</v>
      </c>
      <c r="C75" s="6" t="str">
        <f t="shared" si="2"/>
        <v>58,2415</v>
      </c>
      <c r="D75" s="6">
        <f t="shared" si="3"/>
        <v>58.2415</v>
      </c>
      <c r="E75" s="6">
        <f t="shared" si="4"/>
        <v>0.43</v>
      </c>
    </row>
    <row r="76">
      <c r="A76" s="4" t="s">
        <v>6087</v>
      </c>
      <c r="B76" s="6" t="str">
        <f t="shared" si="1"/>
        <v>58.7876</v>
      </c>
      <c r="C76" s="6" t="str">
        <f t="shared" si="2"/>
        <v>58,7876</v>
      </c>
      <c r="D76" s="6">
        <f t="shared" si="3"/>
        <v>58.7876</v>
      </c>
      <c r="E76" s="6">
        <f t="shared" si="4"/>
        <v>0.5461</v>
      </c>
    </row>
    <row r="77">
      <c r="A77" s="4" t="s">
        <v>6088</v>
      </c>
      <c r="B77" s="6" t="str">
        <f t="shared" si="1"/>
        <v>59.2222</v>
      </c>
      <c r="C77" s="6" t="str">
        <f t="shared" si="2"/>
        <v>59,2222</v>
      </c>
      <c r="D77" s="6">
        <f t="shared" si="3"/>
        <v>59.2222</v>
      </c>
      <c r="E77" s="6">
        <f t="shared" si="4"/>
        <v>0.4346</v>
      </c>
    </row>
    <row r="78">
      <c r="A78" s="4" t="s">
        <v>6089</v>
      </c>
      <c r="B78" s="6" t="str">
        <f t="shared" si="1"/>
        <v>59.7672</v>
      </c>
      <c r="C78" s="6" t="str">
        <f t="shared" si="2"/>
        <v>59,7672</v>
      </c>
      <c r="D78" s="6">
        <f t="shared" si="3"/>
        <v>59.7672</v>
      </c>
      <c r="E78" s="6">
        <f t="shared" si="4"/>
        <v>0.545</v>
      </c>
    </row>
    <row r="79">
      <c r="A79" s="4" t="s">
        <v>6090</v>
      </c>
      <c r="B79" s="6" t="str">
        <f t="shared" si="1"/>
        <v>60.3082</v>
      </c>
      <c r="C79" s="6" t="str">
        <f t="shared" si="2"/>
        <v>60,3082</v>
      </c>
      <c r="D79" s="6">
        <f t="shared" si="3"/>
        <v>60.3082</v>
      </c>
      <c r="E79" s="6">
        <f t="shared" si="4"/>
        <v>0.541</v>
      </c>
    </row>
    <row r="80">
      <c r="A80" s="4" t="s">
        <v>6091</v>
      </c>
      <c r="B80" s="6" t="str">
        <f t="shared" si="1"/>
        <v>60.7437</v>
      </c>
      <c r="C80" s="6" t="str">
        <f t="shared" si="2"/>
        <v>60,7437</v>
      </c>
      <c r="D80" s="6">
        <f t="shared" si="3"/>
        <v>60.7437</v>
      </c>
      <c r="E80" s="6">
        <f t="shared" si="4"/>
        <v>0.4355</v>
      </c>
    </row>
    <row r="81">
      <c r="A81" s="4" t="s">
        <v>6092</v>
      </c>
      <c r="B81" s="6" t="str">
        <f t="shared" si="1"/>
        <v>61.2851</v>
      </c>
      <c r="C81" s="6" t="str">
        <f t="shared" si="2"/>
        <v>61,2851</v>
      </c>
      <c r="D81" s="6">
        <f t="shared" si="3"/>
        <v>61.2851</v>
      </c>
      <c r="E81" s="6">
        <f t="shared" si="4"/>
        <v>0.5414</v>
      </c>
    </row>
    <row r="82">
      <c r="A82" s="4" t="s">
        <v>6093</v>
      </c>
      <c r="B82" s="6" t="str">
        <f t="shared" si="1"/>
        <v>61.8267</v>
      </c>
      <c r="C82" s="6" t="str">
        <f t="shared" si="2"/>
        <v>61,8267</v>
      </c>
      <c r="D82" s="6">
        <f t="shared" si="3"/>
        <v>61.8267</v>
      </c>
      <c r="E82" s="6">
        <f t="shared" si="4"/>
        <v>0.5416</v>
      </c>
    </row>
    <row r="83">
      <c r="A83" s="4" t="s">
        <v>6094</v>
      </c>
      <c r="B83" s="6" t="str">
        <f t="shared" si="1"/>
        <v>62.2578</v>
      </c>
      <c r="C83" s="6" t="str">
        <f t="shared" si="2"/>
        <v>62,2578</v>
      </c>
      <c r="D83" s="6">
        <f t="shared" si="3"/>
        <v>62.2578</v>
      </c>
      <c r="E83" s="6">
        <f t="shared" si="4"/>
        <v>0.4311</v>
      </c>
    </row>
    <row r="84">
      <c r="A84" s="4" t="s">
        <v>6095</v>
      </c>
      <c r="B84" s="6" t="str">
        <f t="shared" si="1"/>
        <v>62.8041</v>
      </c>
      <c r="C84" s="6" t="str">
        <f t="shared" si="2"/>
        <v>62,8041</v>
      </c>
      <c r="D84" s="6">
        <f t="shared" si="3"/>
        <v>62.8041</v>
      </c>
      <c r="E84" s="6">
        <f t="shared" si="4"/>
        <v>0.5463</v>
      </c>
    </row>
    <row r="85">
      <c r="A85" s="4" t="s">
        <v>6096</v>
      </c>
      <c r="B85" s="6" t="str">
        <f t="shared" si="1"/>
        <v>63.3511</v>
      </c>
      <c r="C85" s="6" t="str">
        <f t="shared" si="2"/>
        <v>63,3511</v>
      </c>
      <c r="D85" s="6">
        <f t="shared" si="3"/>
        <v>63.3511</v>
      </c>
      <c r="E85" s="6">
        <f t="shared" si="4"/>
        <v>0.547</v>
      </c>
    </row>
    <row r="86">
      <c r="A86" s="4" t="s">
        <v>6097</v>
      </c>
      <c r="B86" s="6" t="str">
        <f t="shared" si="1"/>
        <v>63.7825</v>
      </c>
      <c r="C86" s="6" t="str">
        <f t="shared" si="2"/>
        <v>63,7825</v>
      </c>
      <c r="D86" s="6">
        <f t="shared" si="3"/>
        <v>63.7825</v>
      </c>
      <c r="E86" s="6">
        <f t="shared" si="4"/>
        <v>0.4314</v>
      </c>
    </row>
    <row r="87">
      <c r="A87" s="4" t="s">
        <v>6098</v>
      </c>
      <c r="B87" s="6" t="str">
        <f t="shared" si="1"/>
        <v>64.3241</v>
      </c>
      <c r="C87" s="6" t="str">
        <f t="shared" si="2"/>
        <v>64,3241</v>
      </c>
      <c r="D87" s="6">
        <f t="shared" si="3"/>
        <v>64.3241</v>
      </c>
      <c r="E87" s="6">
        <f t="shared" si="4"/>
        <v>0.5416</v>
      </c>
    </row>
    <row r="88">
      <c r="A88" s="4" t="s">
        <v>6099</v>
      </c>
      <c r="B88" s="6" t="str">
        <f t="shared" si="1"/>
        <v>64.8645</v>
      </c>
      <c r="C88" s="6" t="str">
        <f t="shared" si="2"/>
        <v>64,8645</v>
      </c>
      <c r="D88" s="6">
        <f t="shared" si="3"/>
        <v>64.8645</v>
      </c>
      <c r="E88" s="6">
        <f t="shared" si="4"/>
        <v>0.5404</v>
      </c>
    </row>
    <row r="89">
      <c r="A89" s="4" t="s">
        <v>6100</v>
      </c>
      <c r="B89" s="6" t="str">
        <f t="shared" si="1"/>
        <v>65.3022</v>
      </c>
      <c r="C89" s="6" t="str">
        <f t="shared" si="2"/>
        <v>65,3022</v>
      </c>
      <c r="D89" s="6">
        <f t="shared" si="3"/>
        <v>65.3022</v>
      </c>
      <c r="E89" s="6">
        <f t="shared" si="4"/>
        <v>0.4377</v>
      </c>
    </row>
    <row r="90">
      <c r="A90" s="4" t="s">
        <v>6101</v>
      </c>
      <c r="B90" s="6" t="str">
        <f t="shared" si="1"/>
        <v>65.8446</v>
      </c>
      <c r="C90" s="6" t="str">
        <f t="shared" si="2"/>
        <v>65,8446</v>
      </c>
      <c r="D90" s="6">
        <f t="shared" si="3"/>
        <v>65.8446</v>
      </c>
      <c r="E90" s="6">
        <f t="shared" si="4"/>
        <v>0.5424</v>
      </c>
    </row>
    <row r="91">
      <c r="A91" s="4" t="s">
        <v>6102</v>
      </c>
      <c r="B91" s="6" t="str">
        <f t="shared" si="1"/>
        <v>66.3953</v>
      </c>
      <c r="C91" s="6" t="str">
        <f t="shared" si="2"/>
        <v>66,3953</v>
      </c>
      <c r="D91" s="6">
        <f t="shared" si="3"/>
        <v>66.3953</v>
      </c>
      <c r="E91" s="6">
        <f t="shared" si="4"/>
        <v>0.5507</v>
      </c>
    </row>
    <row r="92">
      <c r="A92" s="4" t="s">
        <v>6103</v>
      </c>
      <c r="B92" s="6" t="str">
        <f t="shared" si="1"/>
        <v>66.8235</v>
      </c>
      <c r="C92" s="6" t="str">
        <f t="shared" si="2"/>
        <v>66,8235</v>
      </c>
      <c r="D92" s="6">
        <f t="shared" si="3"/>
        <v>66.8235</v>
      </c>
      <c r="E92" s="6">
        <f t="shared" si="4"/>
        <v>0.4282</v>
      </c>
    </row>
    <row r="93">
      <c r="A93" s="4" t="s">
        <v>6104</v>
      </c>
      <c r="B93" s="6" t="str">
        <f t="shared" si="1"/>
        <v>67.3670</v>
      </c>
      <c r="C93" s="6" t="str">
        <f t="shared" si="2"/>
        <v>67,3670</v>
      </c>
      <c r="D93" s="6">
        <f t="shared" si="3"/>
        <v>67.367</v>
      </c>
      <c r="E93" s="6">
        <f t="shared" si="4"/>
        <v>0.5435</v>
      </c>
    </row>
    <row r="94">
      <c r="A94" s="4" t="s">
        <v>6105</v>
      </c>
      <c r="B94" s="6" t="str">
        <f t="shared" si="1"/>
        <v>67.9102</v>
      </c>
      <c r="C94" s="6" t="str">
        <f t="shared" si="2"/>
        <v>67,9102</v>
      </c>
      <c r="D94" s="6">
        <f t="shared" si="3"/>
        <v>67.9102</v>
      </c>
      <c r="E94" s="6">
        <f t="shared" si="4"/>
        <v>0.5432</v>
      </c>
    </row>
    <row r="95">
      <c r="A95" s="4" t="s">
        <v>6106</v>
      </c>
      <c r="B95" s="6" t="str">
        <f t="shared" si="1"/>
        <v>68.3485</v>
      </c>
      <c r="C95" s="6" t="str">
        <f t="shared" si="2"/>
        <v>68,3485</v>
      </c>
      <c r="D95" s="6">
        <f t="shared" si="3"/>
        <v>68.3485</v>
      </c>
      <c r="E95" s="6">
        <f t="shared" si="4"/>
        <v>0.4383</v>
      </c>
    </row>
    <row r="96">
      <c r="A96" s="4" t="s">
        <v>6107</v>
      </c>
      <c r="B96" s="6" t="str">
        <f t="shared" si="1"/>
        <v>68.8932</v>
      </c>
      <c r="C96" s="6" t="str">
        <f t="shared" si="2"/>
        <v>68,8932</v>
      </c>
      <c r="D96" s="6">
        <f t="shared" si="3"/>
        <v>68.8932</v>
      </c>
      <c r="E96" s="6">
        <f t="shared" si="4"/>
        <v>0.5447</v>
      </c>
    </row>
    <row r="97">
      <c r="A97" s="4" t="s">
        <v>6108</v>
      </c>
      <c r="B97" s="6" t="str">
        <f t="shared" si="1"/>
        <v>69.4377</v>
      </c>
      <c r="C97" s="6" t="str">
        <f t="shared" si="2"/>
        <v>69,4377</v>
      </c>
      <c r="D97" s="6">
        <f t="shared" si="3"/>
        <v>69.4377</v>
      </c>
      <c r="E97" s="6">
        <f t="shared" si="4"/>
        <v>0.5445</v>
      </c>
    </row>
    <row r="98">
      <c r="A98" s="4" t="s">
        <v>6109</v>
      </c>
      <c r="B98" s="6" t="str">
        <f t="shared" si="1"/>
        <v>69.8707</v>
      </c>
      <c r="C98" s="6" t="str">
        <f t="shared" si="2"/>
        <v>69,8707</v>
      </c>
      <c r="D98" s="6">
        <f t="shared" si="3"/>
        <v>69.8707</v>
      </c>
      <c r="E98" s="6">
        <f t="shared" si="4"/>
        <v>0.433</v>
      </c>
    </row>
    <row r="99">
      <c r="A99" s="4" t="s">
        <v>6110</v>
      </c>
      <c r="B99" s="6" t="str">
        <f t="shared" si="1"/>
        <v>70.4128</v>
      </c>
      <c r="C99" s="6" t="str">
        <f t="shared" si="2"/>
        <v>70,4128</v>
      </c>
      <c r="D99" s="6">
        <f t="shared" si="3"/>
        <v>70.4128</v>
      </c>
      <c r="E99" s="6">
        <f t="shared" si="4"/>
        <v>0.5421</v>
      </c>
    </row>
    <row r="100">
      <c r="A100" s="4" t="s">
        <v>6111</v>
      </c>
      <c r="B100" s="6" t="str">
        <f t="shared" si="1"/>
        <v>70.8442</v>
      </c>
      <c r="C100" s="6" t="str">
        <f t="shared" si="2"/>
        <v>70,8442</v>
      </c>
      <c r="D100" s="6">
        <f t="shared" si="3"/>
        <v>70.8442</v>
      </c>
      <c r="E100" s="6">
        <f t="shared" si="4"/>
        <v>0.4314</v>
      </c>
    </row>
    <row r="101">
      <c r="A101" s="4" t="s">
        <v>6112</v>
      </c>
      <c r="B101" s="6" t="str">
        <f t="shared" si="1"/>
        <v>71.3887</v>
      </c>
      <c r="C101" s="6" t="str">
        <f t="shared" si="2"/>
        <v>71,3887</v>
      </c>
      <c r="D101" s="6">
        <f t="shared" si="3"/>
        <v>71.3887</v>
      </c>
      <c r="E101" s="6">
        <f t="shared" si="4"/>
        <v>0.5445</v>
      </c>
    </row>
    <row r="102">
      <c r="A102" s="4" t="s">
        <v>6113</v>
      </c>
      <c r="B102" s="6" t="str">
        <f t="shared" si="1"/>
        <v>71.9344</v>
      </c>
      <c r="C102" s="6" t="str">
        <f t="shared" si="2"/>
        <v>71,9344</v>
      </c>
      <c r="D102" s="6">
        <f t="shared" si="3"/>
        <v>71.9344</v>
      </c>
      <c r="E102" s="6">
        <f t="shared" si="4"/>
        <v>0.5457</v>
      </c>
    </row>
    <row r="103">
      <c r="A103" s="4" t="s">
        <v>6114</v>
      </c>
      <c r="B103" s="6" t="str">
        <f t="shared" si="1"/>
        <v>72.3731</v>
      </c>
      <c r="C103" s="6" t="str">
        <f t="shared" si="2"/>
        <v>72,3731</v>
      </c>
      <c r="D103" s="6">
        <f t="shared" si="3"/>
        <v>72.3731</v>
      </c>
      <c r="E103" s="6">
        <f t="shared" si="4"/>
        <v>0.4387</v>
      </c>
    </row>
    <row r="104">
      <c r="A104" s="4" t="s">
        <v>6115</v>
      </c>
      <c r="B104" s="6" t="str">
        <f t="shared" si="1"/>
        <v>72.9090</v>
      </c>
      <c r="C104" s="6" t="str">
        <f t="shared" si="2"/>
        <v>72,9090</v>
      </c>
      <c r="D104" s="6">
        <f t="shared" si="3"/>
        <v>72.909</v>
      </c>
      <c r="E104" s="6">
        <f t="shared" si="4"/>
        <v>0.5359</v>
      </c>
    </row>
    <row r="105">
      <c r="A105" s="4" t="s">
        <v>6116</v>
      </c>
      <c r="B105" s="6" t="str">
        <f t="shared" si="1"/>
        <v>73.4562</v>
      </c>
      <c r="C105" s="6" t="str">
        <f t="shared" si="2"/>
        <v>73,4562</v>
      </c>
      <c r="D105" s="6">
        <f t="shared" si="3"/>
        <v>73.4562</v>
      </c>
      <c r="E105" s="6">
        <f t="shared" si="4"/>
        <v>0.5472</v>
      </c>
    </row>
    <row r="106">
      <c r="A106" s="4" t="s">
        <v>6117</v>
      </c>
      <c r="B106" s="6" t="str">
        <f t="shared" si="1"/>
        <v>73.8876</v>
      </c>
      <c r="C106" s="6" t="str">
        <f t="shared" si="2"/>
        <v>73,8876</v>
      </c>
      <c r="D106" s="6">
        <f t="shared" si="3"/>
        <v>73.8876</v>
      </c>
      <c r="E106" s="6">
        <f t="shared" si="4"/>
        <v>0.4314</v>
      </c>
    </row>
    <row r="107">
      <c r="A107" s="4" t="s">
        <v>6118</v>
      </c>
      <c r="B107" s="6" t="str">
        <f t="shared" si="1"/>
        <v>74.4331</v>
      </c>
      <c r="C107" s="6" t="str">
        <f t="shared" si="2"/>
        <v>74,4331</v>
      </c>
      <c r="D107" s="6">
        <f t="shared" si="3"/>
        <v>74.4331</v>
      </c>
      <c r="E107" s="6">
        <f t="shared" si="4"/>
        <v>0.5455</v>
      </c>
    </row>
    <row r="108">
      <c r="A108" s="4" t="s">
        <v>6119</v>
      </c>
      <c r="B108" s="6" t="str">
        <f t="shared" si="1"/>
        <v>74.9754</v>
      </c>
      <c r="C108" s="6" t="str">
        <f t="shared" si="2"/>
        <v>74,9754</v>
      </c>
      <c r="D108" s="6">
        <f t="shared" si="3"/>
        <v>74.9754</v>
      </c>
      <c r="E108" s="6">
        <f t="shared" si="4"/>
        <v>0.5423</v>
      </c>
    </row>
    <row r="109">
      <c r="A109" s="4" t="s">
        <v>6120</v>
      </c>
      <c r="B109" s="6" t="str">
        <f t="shared" si="1"/>
        <v>75.4112</v>
      </c>
      <c r="C109" s="6" t="str">
        <f t="shared" si="2"/>
        <v>75,4112</v>
      </c>
      <c r="D109" s="6">
        <f t="shared" si="3"/>
        <v>75.4112</v>
      </c>
      <c r="E109" s="6">
        <f t="shared" si="4"/>
        <v>0.4358</v>
      </c>
    </row>
    <row r="110">
      <c r="A110" s="4" t="s">
        <v>6121</v>
      </c>
      <c r="B110" s="6" t="str">
        <f t="shared" si="1"/>
        <v>75.9544</v>
      </c>
      <c r="C110" s="6" t="str">
        <f t="shared" si="2"/>
        <v>75,9544</v>
      </c>
      <c r="D110" s="6">
        <f t="shared" si="3"/>
        <v>75.9544</v>
      </c>
      <c r="E110" s="6">
        <f t="shared" si="4"/>
        <v>0.5432</v>
      </c>
    </row>
    <row r="111">
      <c r="A111" s="4" t="s">
        <v>6122</v>
      </c>
      <c r="B111" s="6" t="str">
        <f t="shared" si="1"/>
        <v>76.4971</v>
      </c>
      <c r="C111" s="6" t="str">
        <f t="shared" si="2"/>
        <v>76,4971</v>
      </c>
      <c r="D111" s="6">
        <f t="shared" si="3"/>
        <v>76.4971</v>
      </c>
      <c r="E111" s="6">
        <f t="shared" si="4"/>
        <v>0.5427</v>
      </c>
    </row>
    <row r="112">
      <c r="A112" s="4" t="s">
        <v>6123</v>
      </c>
      <c r="B112" s="6" t="str">
        <f t="shared" si="1"/>
        <v>76.9321</v>
      </c>
      <c r="C112" s="6" t="str">
        <f t="shared" si="2"/>
        <v>76,9321</v>
      </c>
      <c r="D112" s="6">
        <f t="shared" si="3"/>
        <v>76.9321</v>
      </c>
      <c r="E112" s="6">
        <f t="shared" si="4"/>
        <v>0.435</v>
      </c>
    </row>
    <row r="113">
      <c r="A113" s="4" t="s">
        <v>6124</v>
      </c>
      <c r="B113" s="6" t="str">
        <f t="shared" si="1"/>
        <v>77.4796</v>
      </c>
      <c r="C113" s="6" t="str">
        <f t="shared" si="2"/>
        <v>77,4796</v>
      </c>
      <c r="D113" s="6">
        <f t="shared" si="3"/>
        <v>77.4796</v>
      </c>
      <c r="E113" s="6">
        <f t="shared" si="4"/>
        <v>0.5475</v>
      </c>
    </row>
    <row r="114">
      <c r="A114" s="4" t="s">
        <v>6125</v>
      </c>
      <c r="B114" s="6" t="str">
        <f t="shared" si="1"/>
        <v>78.0211</v>
      </c>
      <c r="C114" s="6" t="str">
        <f t="shared" si="2"/>
        <v>78,0211</v>
      </c>
      <c r="D114" s="6">
        <f t="shared" si="3"/>
        <v>78.0211</v>
      </c>
      <c r="E114" s="6">
        <f t="shared" si="4"/>
        <v>0.5415</v>
      </c>
    </row>
    <row r="115">
      <c r="A115" s="4" t="s">
        <v>6126</v>
      </c>
      <c r="B115" s="6" t="str">
        <f t="shared" si="1"/>
        <v>78.4579</v>
      </c>
      <c r="C115" s="6" t="str">
        <f t="shared" si="2"/>
        <v>78,4579</v>
      </c>
      <c r="D115" s="6">
        <f t="shared" si="3"/>
        <v>78.4579</v>
      </c>
      <c r="E115" s="6">
        <f t="shared" si="4"/>
        <v>0.4368</v>
      </c>
    </row>
    <row r="116">
      <c r="A116" s="4" t="s">
        <v>6127</v>
      </c>
      <c r="B116" s="6" t="str">
        <f t="shared" si="1"/>
        <v>79.0007</v>
      </c>
      <c r="C116" s="6" t="str">
        <f t="shared" si="2"/>
        <v>79,0007</v>
      </c>
      <c r="D116" s="6">
        <f t="shared" si="3"/>
        <v>79.0007</v>
      </c>
      <c r="E116" s="6">
        <f t="shared" si="4"/>
        <v>0.5428</v>
      </c>
    </row>
    <row r="117">
      <c r="A117" s="4" t="s">
        <v>6128</v>
      </c>
      <c r="B117" s="6" t="str">
        <f t="shared" si="1"/>
        <v>79.5517</v>
      </c>
      <c r="C117" s="6" t="str">
        <f t="shared" si="2"/>
        <v>79,5517</v>
      </c>
      <c r="D117" s="6">
        <f t="shared" si="3"/>
        <v>79.5517</v>
      </c>
      <c r="E117" s="6">
        <f t="shared" si="4"/>
        <v>0.551</v>
      </c>
    </row>
    <row r="118">
      <c r="A118" s="4" t="s">
        <v>6129</v>
      </c>
      <c r="B118" s="6" t="str">
        <f t="shared" si="1"/>
        <v>79.9828</v>
      </c>
      <c r="C118" s="6" t="str">
        <f t="shared" si="2"/>
        <v>79,9828</v>
      </c>
      <c r="D118" s="6">
        <f t="shared" si="3"/>
        <v>79.9828</v>
      </c>
      <c r="E118" s="6">
        <f t="shared" si="4"/>
        <v>0.4311</v>
      </c>
    </row>
    <row r="119">
      <c r="A119" s="4" t="s">
        <v>6130</v>
      </c>
      <c r="B119" s="6" t="str">
        <f t="shared" si="1"/>
        <v>80.5244</v>
      </c>
      <c r="C119" s="6" t="str">
        <f t="shared" si="2"/>
        <v>80,5244</v>
      </c>
      <c r="D119" s="6">
        <f t="shared" si="3"/>
        <v>80.5244</v>
      </c>
      <c r="E119" s="6">
        <f t="shared" si="4"/>
        <v>0.5416</v>
      </c>
    </row>
    <row r="120">
      <c r="A120" s="4" t="s">
        <v>6131</v>
      </c>
      <c r="B120" s="6" t="str">
        <f t="shared" si="1"/>
        <v>81.0681</v>
      </c>
      <c r="C120" s="6" t="str">
        <f t="shared" si="2"/>
        <v>81,0681</v>
      </c>
      <c r="D120" s="6">
        <f t="shared" si="3"/>
        <v>81.0681</v>
      </c>
      <c r="E120" s="6">
        <f t="shared" si="4"/>
        <v>0.5437</v>
      </c>
    </row>
    <row r="121">
      <c r="A121" s="4" t="s">
        <v>6132</v>
      </c>
      <c r="B121" s="6" t="str">
        <f t="shared" si="1"/>
        <v>81.5057</v>
      </c>
      <c r="C121" s="6" t="str">
        <f t="shared" si="2"/>
        <v>81,5057</v>
      </c>
      <c r="D121" s="6">
        <f t="shared" si="3"/>
        <v>81.5057</v>
      </c>
      <c r="E121" s="6">
        <f t="shared" si="4"/>
        <v>0.4376</v>
      </c>
    </row>
    <row r="122">
      <c r="A122" s="4" t="s">
        <v>6133</v>
      </c>
      <c r="B122" s="6" t="str">
        <f t="shared" si="1"/>
        <v>82.0529</v>
      </c>
      <c r="C122" s="6" t="str">
        <f t="shared" si="2"/>
        <v>82,0529</v>
      </c>
      <c r="D122" s="6">
        <f t="shared" si="3"/>
        <v>82.0529</v>
      </c>
      <c r="E122" s="6">
        <f t="shared" si="4"/>
        <v>0.5472</v>
      </c>
    </row>
    <row r="123">
      <c r="A123" s="4" t="s">
        <v>6134</v>
      </c>
      <c r="B123" s="6" t="str">
        <f t="shared" si="1"/>
        <v>82.4883</v>
      </c>
      <c r="C123" s="6" t="str">
        <f t="shared" si="2"/>
        <v>82,4883</v>
      </c>
      <c r="D123" s="6">
        <f t="shared" si="3"/>
        <v>82.4883</v>
      </c>
      <c r="E123" s="6">
        <f t="shared" si="4"/>
        <v>0.4354</v>
      </c>
    </row>
    <row r="124">
      <c r="A124" s="4" t="s">
        <v>6135</v>
      </c>
      <c r="B124" s="6" t="str">
        <f t="shared" si="1"/>
        <v>83.0308</v>
      </c>
      <c r="C124" s="6" t="str">
        <f t="shared" si="2"/>
        <v>83,0308</v>
      </c>
      <c r="D124" s="6">
        <f t="shared" si="3"/>
        <v>83.0308</v>
      </c>
      <c r="E124" s="6">
        <f t="shared" si="4"/>
        <v>0.5425</v>
      </c>
    </row>
    <row r="125">
      <c r="A125" s="4" t="s">
        <v>6136</v>
      </c>
      <c r="B125" s="6" t="str">
        <f t="shared" si="1"/>
        <v>83.5750</v>
      </c>
      <c r="C125" s="6" t="str">
        <f t="shared" si="2"/>
        <v>83,5750</v>
      </c>
      <c r="D125" s="6">
        <f t="shared" si="3"/>
        <v>83.575</v>
      </c>
      <c r="E125" s="6">
        <f t="shared" si="4"/>
        <v>0.5442</v>
      </c>
    </row>
    <row r="126">
      <c r="A126" s="4" t="s">
        <v>6137</v>
      </c>
      <c r="B126" s="6" t="str">
        <f t="shared" si="1"/>
        <v>84.0112</v>
      </c>
      <c r="C126" s="6" t="str">
        <f t="shared" si="2"/>
        <v>84,0112</v>
      </c>
      <c r="D126" s="6">
        <f t="shared" si="3"/>
        <v>84.0112</v>
      </c>
      <c r="E126" s="6">
        <f t="shared" si="4"/>
        <v>0.4362</v>
      </c>
    </row>
    <row r="127">
      <c r="A127" s="4" t="s">
        <v>6138</v>
      </c>
      <c r="B127" s="6" t="str">
        <f t="shared" si="1"/>
        <v>84.5528</v>
      </c>
      <c r="C127" s="6" t="str">
        <f t="shared" si="2"/>
        <v>84,5528</v>
      </c>
      <c r="D127" s="6">
        <f t="shared" si="3"/>
        <v>84.5528</v>
      </c>
      <c r="E127" s="6">
        <f t="shared" si="4"/>
        <v>0.5416</v>
      </c>
    </row>
    <row r="128">
      <c r="A128" s="4" t="s">
        <v>6139</v>
      </c>
      <c r="B128" s="6" t="str">
        <f t="shared" si="1"/>
        <v>85.0998</v>
      </c>
      <c r="C128" s="6" t="str">
        <f t="shared" si="2"/>
        <v>85,0998</v>
      </c>
      <c r="D128" s="6">
        <f t="shared" si="3"/>
        <v>85.0998</v>
      </c>
      <c r="E128" s="6">
        <f t="shared" si="4"/>
        <v>0.547</v>
      </c>
    </row>
    <row r="129">
      <c r="A129" s="4" t="s">
        <v>6140</v>
      </c>
      <c r="B129" s="6" t="str">
        <f t="shared" si="1"/>
        <v>85.5345</v>
      </c>
      <c r="C129" s="6" t="str">
        <f t="shared" si="2"/>
        <v>85,5345</v>
      </c>
      <c r="D129" s="6">
        <f t="shared" si="3"/>
        <v>85.5345</v>
      </c>
      <c r="E129" s="6">
        <f t="shared" si="4"/>
        <v>0.4347</v>
      </c>
    </row>
    <row r="130">
      <c r="A130" s="4" t="s">
        <v>6141</v>
      </c>
      <c r="B130" s="6" t="str">
        <f t="shared" si="1"/>
        <v>86.0798</v>
      </c>
      <c r="C130" s="6" t="str">
        <f t="shared" si="2"/>
        <v>86,0798</v>
      </c>
      <c r="D130" s="6">
        <f t="shared" si="3"/>
        <v>86.0798</v>
      </c>
      <c r="E130" s="6">
        <f t="shared" si="4"/>
        <v>0.5453</v>
      </c>
    </row>
    <row r="131">
      <c r="A131" s="4" t="s">
        <v>6142</v>
      </c>
      <c r="B131" s="6" t="str">
        <f t="shared" si="1"/>
        <v>86.6251</v>
      </c>
      <c r="C131" s="6" t="str">
        <f t="shared" si="2"/>
        <v>86,6251</v>
      </c>
      <c r="D131" s="6">
        <f t="shared" si="3"/>
        <v>86.6251</v>
      </c>
      <c r="E131" s="6">
        <f t="shared" si="4"/>
        <v>0.5453</v>
      </c>
    </row>
    <row r="132">
      <c r="A132" s="4" t="s">
        <v>6143</v>
      </c>
      <c r="B132" s="6" t="str">
        <f t="shared" si="1"/>
        <v>87.0673</v>
      </c>
      <c r="C132" s="6" t="str">
        <f t="shared" si="2"/>
        <v>87,0673</v>
      </c>
      <c r="D132" s="6">
        <f t="shared" si="3"/>
        <v>87.0673</v>
      </c>
      <c r="E132" s="6">
        <f t="shared" si="4"/>
        <v>0.4422</v>
      </c>
    </row>
    <row r="133">
      <c r="A133" s="4" t="s">
        <v>6144</v>
      </c>
      <c r="B133" s="6" t="str">
        <f t="shared" si="1"/>
        <v>87.6047</v>
      </c>
      <c r="C133" s="6" t="str">
        <f t="shared" si="2"/>
        <v>87,6047</v>
      </c>
      <c r="D133" s="6">
        <f t="shared" si="3"/>
        <v>87.6047</v>
      </c>
      <c r="E133" s="6">
        <f t="shared" si="4"/>
        <v>0.5374</v>
      </c>
    </row>
    <row r="134">
      <c r="A134" s="4" t="s">
        <v>6145</v>
      </c>
      <c r="B134" s="6" t="str">
        <f t="shared" si="1"/>
        <v>88.0403</v>
      </c>
      <c r="C134" s="6" t="str">
        <f t="shared" si="2"/>
        <v>88,0403</v>
      </c>
      <c r="D134" s="6">
        <f t="shared" si="3"/>
        <v>88.0403</v>
      </c>
      <c r="E134" s="6">
        <f t="shared" si="4"/>
        <v>0.4356</v>
      </c>
    </row>
    <row r="135">
      <c r="A135" s="4" t="s">
        <v>6146</v>
      </c>
      <c r="B135" s="6" t="str">
        <f t="shared" si="1"/>
        <v>88.5853</v>
      </c>
      <c r="C135" s="6" t="str">
        <f t="shared" si="2"/>
        <v>88,5853</v>
      </c>
      <c r="D135" s="6">
        <f t="shared" si="3"/>
        <v>88.5853</v>
      </c>
      <c r="E135" s="6">
        <f t="shared" si="4"/>
        <v>0.545</v>
      </c>
    </row>
    <row r="136">
      <c r="A136" s="4" t="s">
        <v>6147</v>
      </c>
      <c r="B136" s="6" t="str">
        <f t="shared" si="1"/>
        <v>89.1261</v>
      </c>
      <c r="C136" s="6" t="str">
        <f t="shared" si="2"/>
        <v>89,1261</v>
      </c>
      <c r="D136" s="6">
        <f t="shared" si="3"/>
        <v>89.1261</v>
      </c>
      <c r="E136" s="6">
        <f t="shared" si="4"/>
        <v>0.5408</v>
      </c>
    </row>
    <row r="137">
      <c r="A137" s="4" t="s">
        <v>6148</v>
      </c>
      <c r="B137" s="6" t="str">
        <f t="shared" si="1"/>
        <v>89.5560</v>
      </c>
      <c r="C137" s="6" t="str">
        <f t="shared" si="2"/>
        <v>89,5560</v>
      </c>
      <c r="D137" s="6">
        <f t="shared" si="3"/>
        <v>89.556</v>
      </c>
      <c r="E137" s="6">
        <f t="shared" si="4"/>
        <v>0.4299</v>
      </c>
    </row>
    <row r="138">
      <c r="A138" s="4" t="s">
        <v>6149</v>
      </c>
      <c r="B138" s="6" t="str">
        <f t="shared" si="1"/>
        <v>90.0991</v>
      </c>
      <c r="C138" s="6" t="str">
        <f t="shared" si="2"/>
        <v>90,0991</v>
      </c>
      <c r="D138" s="6">
        <f t="shared" si="3"/>
        <v>90.0991</v>
      </c>
      <c r="E138" s="6">
        <f t="shared" si="4"/>
        <v>0.5431</v>
      </c>
    </row>
    <row r="139">
      <c r="A139" s="4" t="s">
        <v>6150</v>
      </c>
      <c r="B139" s="6" t="str">
        <f t="shared" si="1"/>
        <v>90.6440</v>
      </c>
      <c r="C139" s="6" t="str">
        <f t="shared" si="2"/>
        <v>90,6440</v>
      </c>
      <c r="D139" s="6">
        <f t="shared" si="3"/>
        <v>90.644</v>
      </c>
      <c r="E139" s="6">
        <f t="shared" si="4"/>
        <v>0.5449</v>
      </c>
    </row>
    <row r="140">
      <c r="A140" s="4" t="s">
        <v>6151</v>
      </c>
      <c r="B140" s="6" t="str">
        <f t="shared" si="1"/>
        <v>91.0787</v>
      </c>
      <c r="C140" s="6" t="str">
        <f t="shared" si="2"/>
        <v>91,0787</v>
      </c>
      <c r="D140" s="6">
        <f t="shared" si="3"/>
        <v>91.0787</v>
      </c>
      <c r="E140" s="6">
        <f t="shared" si="4"/>
        <v>0.4347</v>
      </c>
    </row>
    <row r="141">
      <c r="A141" s="4" t="s">
        <v>6152</v>
      </c>
      <c r="B141" s="6" t="str">
        <f t="shared" si="1"/>
        <v>91.6214</v>
      </c>
      <c r="C141" s="6" t="str">
        <f t="shared" si="2"/>
        <v>91,6214</v>
      </c>
      <c r="D141" s="6">
        <f t="shared" si="3"/>
        <v>91.6214</v>
      </c>
      <c r="E141" s="6">
        <f t="shared" si="4"/>
        <v>0.5427</v>
      </c>
    </row>
    <row r="142">
      <c r="A142" s="4" t="s">
        <v>6153</v>
      </c>
      <c r="B142" s="6" t="str">
        <f t="shared" si="1"/>
        <v>92.1659</v>
      </c>
      <c r="C142" s="6" t="str">
        <f t="shared" si="2"/>
        <v>92,1659</v>
      </c>
      <c r="D142" s="6">
        <f t="shared" si="3"/>
        <v>92.1659</v>
      </c>
      <c r="E142" s="6">
        <f t="shared" si="4"/>
        <v>0.5445</v>
      </c>
    </row>
    <row r="143">
      <c r="A143" s="4" t="s">
        <v>6154</v>
      </c>
      <c r="B143" s="6" t="str">
        <f t="shared" si="1"/>
        <v>92.6016</v>
      </c>
      <c r="C143" s="6" t="str">
        <f t="shared" si="2"/>
        <v>92,6016</v>
      </c>
      <c r="D143" s="6">
        <f t="shared" si="3"/>
        <v>92.6016</v>
      </c>
      <c r="E143" s="6">
        <f t="shared" si="4"/>
        <v>0.4357</v>
      </c>
    </row>
    <row r="144">
      <c r="A144" s="4" t="s">
        <v>6155</v>
      </c>
      <c r="B144" s="6" t="str">
        <f t="shared" si="1"/>
        <v>93.1433</v>
      </c>
      <c r="C144" s="6" t="str">
        <f t="shared" si="2"/>
        <v>93,1433</v>
      </c>
      <c r="D144" s="6">
        <f t="shared" si="3"/>
        <v>93.1433</v>
      </c>
      <c r="E144" s="6">
        <f t="shared" si="4"/>
        <v>0.5417</v>
      </c>
    </row>
    <row r="145">
      <c r="A145" s="4" t="s">
        <v>6156</v>
      </c>
      <c r="B145" s="6" t="str">
        <f t="shared" si="1"/>
        <v>93.6866</v>
      </c>
      <c r="C145" s="6" t="str">
        <f t="shared" si="2"/>
        <v>93,6866</v>
      </c>
      <c r="D145" s="6">
        <f t="shared" si="3"/>
        <v>93.6866</v>
      </c>
      <c r="E145" s="6">
        <f t="shared" si="4"/>
        <v>0.5433</v>
      </c>
    </row>
    <row r="146">
      <c r="A146" s="4" t="s">
        <v>6157</v>
      </c>
      <c r="B146" s="6" t="str">
        <f t="shared" si="1"/>
        <v>94.1219</v>
      </c>
      <c r="C146" s="6" t="str">
        <f t="shared" si="2"/>
        <v>94,1219</v>
      </c>
      <c r="D146" s="6">
        <f t="shared" si="3"/>
        <v>94.1219</v>
      </c>
      <c r="E146" s="6">
        <f t="shared" si="4"/>
        <v>0.4353</v>
      </c>
    </row>
    <row r="147">
      <c r="A147" s="4" t="s">
        <v>6158</v>
      </c>
      <c r="B147" s="6" t="str">
        <f t="shared" si="1"/>
        <v>94.6670</v>
      </c>
      <c r="C147" s="6" t="str">
        <f t="shared" si="2"/>
        <v>94,6670</v>
      </c>
      <c r="D147" s="6">
        <f t="shared" si="3"/>
        <v>94.667</v>
      </c>
      <c r="E147" s="6">
        <f t="shared" si="4"/>
        <v>0.5451</v>
      </c>
    </row>
    <row r="148">
      <c r="A148" s="4" t="s">
        <v>6159</v>
      </c>
      <c r="B148" s="6" t="str">
        <f t="shared" si="1"/>
        <v>95.2161</v>
      </c>
      <c r="C148" s="6" t="str">
        <f t="shared" si="2"/>
        <v>95,2161</v>
      </c>
      <c r="D148" s="6">
        <f t="shared" si="3"/>
        <v>95.2161</v>
      </c>
      <c r="E148" s="6">
        <f t="shared" si="4"/>
        <v>0.5491</v>
      </c>
    </row>
    <row r="149">
      <c r="A149" s="4" t="s">
        <v>6160</v>
      </c>
      <c r="B149" s="6" t="str">
        <f t="shared" si="1"/>
        <v>95.6463</v>
      </c>
      <c r="C149" s="6" t="str">
        <f t="shared" si="2"/>
        <v>95,6463</v>
      </c>
      <c r="D149" s="6">
        <f t="shared" si="3"/>
        <v>95.6463</v>
      </c>
      <c r="E149" s="6">
        <f t="shared" si="4"/>
        <v>0.4302</v>
      </c>
    </row>
    <row r="150">
      <c r="A150" s="4" t="s">
        <v>6161</v>
      </c>
      <c r="B150" s="6" t="str">
        <f t="shared" si="1"/>
        <v>96.1902</v>
      </c>
      <c r="C150" s="6" t="str">
        <f t="shared" si="2"/>
        <v>96,1902</v>
      </c>
      <c r="D150" s="6">
        <f t="shared" si="3"/>
        <v>96.1902</v>
      </c>
      <c r="E150" s="6">
        <f t="shared" si="4"/>
        <v>0.5439</v>
      </c>
    </row>
    <row r="151">
      <c r="A151" s="4" t="s">
        <v>6162</v>
      </c>
      <c r="B151" s="6" t="str">
        <f t="shared" si="1"/>
        <v>96.7333</v>
      </c>
      <c r="C151" s="6" t="str">
        <f t="shared" si="2"/>
        <v>96,7333</v>
      </c>
      <c r="D151" s="6">
        <f t="shared" si="3"/>
        <v>96.7333</v>
      </c>
      <c r="E151" s="6">
        <f t="shared" si="4"/>
        <v>0.5431</v>
      </c>
    </row>
    <row r="152">
      <c r="A152" s="4" t="s">
        <v>6163</v>
      </c>
      <c r="B152" s="6" t="str">
        <f t="shared" si="1"/>
        <v>97.1691</v>
      </c>
      <c r="C152" s="6" t="str">
        <f t="shared" si="2"/>
        <v>97,1691</v>
      </c>
      <c r="D152" s="6">
        <f t="shared" si="3"/>
        <v>97.1691</v>
      </c>
      <c r="E152" s="6">
        <f t="shared" si="4"/>
        <v>0.4358</v>
      </c>
    </row>
    <row r="153">
      <c r="A153" s="4" t="s">
        <v>6164</v>
      </c>
      <c r="B153" s="6" t="str">
        <f t="shared" si="1"/>
        <v>97.7099</v>
      </c>
      <c r="C153" s="6" t="str">
        <f t="shared" si="2"/>
        <v>97,7099</v>
      </c>
      <c r="D153" s="6">
        <f t="shared" si="3"/>
        <v>97.7099</v>
      </c>
      <c r="E153" s="6">
        <f t="shared" si="4"/>
        <v>0.5408</v>
      </c>
    </row>
    <row r="154">
      <c r="A154" s="4" t="s">
        <v>6165</v>
      </c>
      <c r="B154" s="6" t="str">
        <f t="shared" si="1"/>
        <v>98.2560</v>
      </c>
      <c r="C154" s="6" t="str">
        <f t="shared" si="2"/>
        <v>98,2560</v>
      </c>
      <c r="D154" s="6">
        <f t="shared" si="3"/>
        <v>98.256</v>
      </c>
      <c r="E154" s="6">
        <f t="shared" si="4"/>
        <v>0.5461</v>
      </c>
    </row>
    <row r="155">
      <c r="A155" s="4" t="s">
        <v>6166</v>
      </c>
      <c r="B155" s="6" t="str">
        <f t="shared" si="1"/>
        <v>98.6913</v>
      </c>
      <c r="C155" s="6" t="str">
        <f t="shared" si="2"/>
        <v>98,6913</v>
      </c>
      <c r="D155" s="6">
        <f t="shared" si="3"/>
        <v>98.6913</v>
      </c>
      <c r="E155" s="6">
        <f t="shared" si="4"/>
        <v>0.4353</v>
      </c>
    </row>
    <row r="156">
      <c r="A156" s="4" t="s">
        <v>6167</v>
      </c>
      <c r="B156" s="6" t="str">
        <f t="shared" si="1"/>
        <v>99.2414</v>
      </c>
      <c r="C156" s="6" t="str">
        <f t="shared" si="2"/>
        <v>99,2414</v>
      </c>
      <c r="D156" s="6">
        <f t="shared" si="3"/>
        <v>99.2414</v>
      </c>
      <c r="E156" s="6">
        <f t="shared" si="4"/>
        <v>0.5501</v>
      </c>
    </row>
    <row r="157">
      <c r="A157" s="4" t="s">
        <v>6168</v>
      </c>
      <c r="B157" s="6" t="str">
        <f t="shared" si="1"/>
        <v>99.6749</v>
      </c>
      <c r="C157" s="6" t="str">
        <f t="shared" si="2"/>
        <v>99,6749</v>
      </c>
      <c r="D157" s="6">
        <f t="shared" si="3"/>
        <v>99.6749</v>
      </c>
      <c r="E157" s="6">
        <f t="shared" si="4"/>
        <v>0.4335</v>
      </c>
    </row>
    <row r="158">
      <c r="A158" s="4" t="s">
        <v>6169</v>
      </c>
      <c r="B158" s="6" t="str">
        <f t="shared" si="1"/>
        <v>100.217</v>
      </c>
      <c r="C158" s="6" t="str">
        <f t="shared" si="2"/>
        <v>100,217</v>
      </c>
      <c r="D158" s="6">
        <f t="shared" si="3"/>
        <v>100.217</v>
      </c>
      <c r="E158" s="6">
        <f t="shared" si="4"/>
        <v>0.5421</v>
      </c>
    </row>
    <row r="159">
      <c r="A159" s="4" t="s">
        <v>6170</v>
      </c>
      <c r="B159" s="6" t="str">
        <f t="shared" si="1"/>
        <v>100.762</v>
      </c>
      <c r="C159" s="6" t="str">
        <f t="shared" si="2"/>
        <v>100,762</v>
      </c>
      <c r="D159" s="6">
        <f t="shared" si="3"/>
        <v>100.762</v>
      </c>
      <c r="E159" s="6">
        <f t="shared" si="4"/>
        <v>0.545</v>
      </c>
    </row>
    <row r="160">
      <c r="A160" s="4" t="s">
        <v>6171</v>
      </c>
      <c r="B160" s="6" t="str">
        <f t="shared" si="1"/>
        <v>101.198</v>
      </c>
      <c r="C160" s="6" t="str">
        <f t="shared" si="2"/>
        <v>101,198</v>
      </c>
      <c r="D160" s="6">
        <f t="shared" si="3"/>
        <v>101.198</v>
      </c>
      <c r="E160" s="6">
        <f t="shared" si="4"/>
        <v>0.436</v>
      </c>
    </row>
    <row r="161">
      <c r="A161" s="4" t="s">
        <v>6172</v>
      </c>
      <c r="B161" s="6" t="str">
        <f t="shared" si="1"/>
        <v>101.739</v>
      </c>
      <c r="C161" s="6" t="str">
        <f t="shared" si="2"/>
        <v>101,739</v>
      </c>
      <c r="D161" s="6">
        <f t="shared" si="3"/>
        <v>101.739</v>
      </c>
      <c r="E161" s="6">
        <f t="shared" si="4"/>
        <v>0.541</v>
      </c>
    </row>
    <row r="162">
      <c r="A162" s="4" t="s">
        <v>6173</v>
      </c>
      <c r="B162" s="6" t="str">
        <f t="shared" si="1"/>
        <v>102.284</v>
      </c>
      <c r="C162" s="6" t="str">
        <f t="shared" si="2"/>
        <v>102,284</v>
      </c>
      <c r="D162" s="6">
        <f t="shared" si="3"/>
        <v>102.284</v>
      </c>
      <c r="E162" s="6">
        <f t="shared" si="4"/>
        <v>0.545</v>
      </c>
    </row>
    <row r="163">
      <c r="A163" s="4" t="s">
        <v>6174</v>
      </c>
      <c r="B163" s="6" t="str">
        <f t="shared" si="1"/>
        <v>102.714</v>
      </c>
      <c r="C163" s="6" t="str">
        <f t="shared" si="2"/>
        <v>102,714</v>
      </c>
      <c r="D163" s="6">
        <f t="shared" si="3"/>
        <v>102.714</v>
      </c>
      <c r="E163" s="6">
        <f t="shared" si="4"/>
        <v>0.43</v>
      </c>
    </row>
    <row r="164">
      <c r="A164" s="4" t="s">
        <v>6175</v>
      </c>
      <c r="B164" s="6" t="str">
        <f t="shared" si="1"/>
        <v>103.258</v>
      </c>
      <c r="C164" s="6" t="str">
        <f t="shared" si="2"/>
        <v>103,258</v>
      </c>
      <c r="D164" s="6">
        <f t="shared" si="3"/>
        <v>103.258</v>
      </c>
      <c r="E164" s="6">
        <f t="shared" si="4"/>
        <v>0.544</v>
      </c>
    </row>
    <row r="165">
      <c r="A165" s="4" t="s">
        <v>6176</v>
      </c>
      <c r="B165" s="6" t="str">
        <f t="shared" si="1"/>
        <v>103.804</v>
      </c>
      <c r="C165" s="6" t="str">
        <f t="shared" si="2"/>
        <v>103,804</v>
      </c>
      <c r="D165" s="6">
        <f t="shared" si="3"/>
        <v>103.804</v>
      </c>
      <c r="E165" s="6">
        <f t="shared" si="4"/>
        <v>0.546</v>
      </c>
    </row>
    <row r="166">
      <c r="A166" s="4" t="s">
        <v>6177</v>
      </c>
      <c r="B166" s="6" t="str">
        <f t="shared" si="1"/>
        <v>104.238</v>
      </c>
      <c r="C166" s="6" t="str">
        <f t="shared" si="2"/>
        <v>104,238</v>
      </c>
      <c r="D166" s="6">
        <f t="shared" si="3"/>
        <v>104.238</v>
      </c>
      <c r="E166" s="6">
        <f t="shared" si="4"/>
        <v>0.434</v>
      </c>
    </row>
    <row r="167">
      <c r="A167" s="4" t="s">
        <v>6178</v>
      </c>
      <c r="B167" s="6" t="str">
        <f t="shared" si="1"/>
        <v>104.783</v>
      </c>
      <c r="C167" s="6" t="str">
        <f t="shared" si="2"/>
        <v>104,783</v>
      </c>
      <c r="D167" s="6">
        <f t="shared" si="3"/>
        <v>104.783</v>
      </c>
      <c r="E167" s="6">
        <f t="shared" si="4"/>
        <v>0.545</v>
      </c>
    </row>
    <row r="168">
      <c r="A168" s="4" t="s">
        <v>6179</v>
      </c>
      <c r="B168" s="6" t="str">
        <f t="shared" si="1"/>
        <v>105.331</v>
      </c>
      <c r="C168" s="6" t="str">
        <f t="shared" si="2"/>
        <v>105,331</v>
      </c>
      <c r="D168" s="6">
        <f t="shared" si="3"/>
        <v>105.331</v>
      </c>
      <c r="E168" s="6">
        <f t="shared" si="4"/>
        <v>0.548</v>
      </c>
    </row>
    <row r="169">
      <c r="A169" s="4" t="s">
        <v>6180</v>
      </c>
      <c r="B169" s="6" t="str">
        <f t="shared" si="1"/>
        <v>105.766</v>
      </c>
      <c r="C169" s="6" t="str">
        <f t="shared" si="2"/>
        <v>105,766</v>
      </c>
      <c r="D169" s="6">
        <f t="shared" si="3"/>
        <v>105.766</v>
      </c>
      <c r="E169" s="6">
        <f t="shared" si="4"/>
        <v>0.435</v>
      </c>
    </row>
    <row r="170">
      <c r="A170" s="4" t="s">
        <v>6181</v>
      </c>
      <c r="B170" s="6" t="str">
        <f t="shared" si="1"/>
        <v>106.306</v>
      </c>
      <c r="C170" s="6" t="str">
        <f t="shared" si="2"/>
        <v>106,306</v>
      </c>
      <c r="D170" s="6">
        <f t="shared" si="3"/>
        <v>106.306</v>
      </c>
      <c r="E170" s="6">
        <f t="shared" si="4"/>
        <v>0.54</v>
      </c>
    </row>
    <row r="171">
      <c r="A171" s="4" t="s">
        <v>6182</v>
      </c>
      <c r="B171" s="6" t="str">
        <f t="shared" si="1"/>
        <v>106.852</v>
      </c>
      <c r="C171" s="6" t="str">
        <f t="shared" si="2"/>
        <v>106,852</v>
      </c>
      <c r="D171" s="6">
        <f t="shared" si="3"/>
        <v>106.852</v>
      </c>
      <c r="E171" s="6">
        <f t="shared" si="4"/>
        <v>0.546</v>
      </c>
    </row>
    <row r="172">
      <c r="A172" s="4" t="s">
        <v>6183</v>
      </c>
      <c r="B172" s="6" t="str">
        <f t="shared" si="1"/>
        <v>107.289</v>
      </c>
      <c r="C172" s="6" t="str">
        <f t="shared" si="2"/>
        <v>107,289</v>
      </c>
      <c r="D172" s="6">
        <f t="shared" si="3"/>
        <v>107.289</v>
      </c>
      <c r="E172" s="6">
        <f t="shared" si="4"/>
        <v>0.437</v>
      </c>
    </row>
    <row r="173">
      <c r="A173" s="4" t="s">
        <v>6184</v>
      </c>
      <c r="B173" s="6" t="str">
        <f t="shared" si="1"/>
        <v>107.831</v>
      </c>
      <c r="C173" s="6" t="str">
        <f t="shared" si="2"/>
        <v>107,831</v>
      </c>
      <c r="D173" s="6">
        <f t="shared" si="3"/>
        <v>107.831</v>
      </c>
      <c r="E173" s="6">
        <f t="shared" si="4"/>
        <v>0.542</v>
      </c>
    </row>
    <row r="174">
      <c r="A174" s="4" t="s">
        <v>6185</v>
      </c>
      <c r="B174" s="6" t="str">
        <f t="shared" si="1"/>
        <v>108.375</v>
      </c>
      <c r="C174" s="6" t="str">
        <f t="shared" si="2"/>
        <v>108,375</v>
      </c>
      <c r="D174" s="6">
        <f t="shared" si="3"/>
        <v>108.375</v>
      </c>
      <c r="E174" s="6">
        <f t="shared" si="4"/>
        <v>0.544</v>
      </c>
    </row>
    <row r="175">
      <c r="A175" s="4" t="s">
        <v>6186</v>
      </c>
      <c r="B175" s="6" t="str">
        <f t="shared" si="1"/>
        <v>108.810</v>
      </c>
      <c r="C175" s="6" t="str">
        <f t="shared" si="2"/>
        <v>108,810</v>
      </c>
      <c r="D175" s="6">
        <f t="shared" si="3"/>
        <v>108.81</v>
      </c>
      <c r="E175" s="6">
        <f t="shared" si="4"/>
        <v>0.435</v>
      </c>
    </row>
    <row r="176">
      <c r="A176" s="4" t="s">
        <v>6187</v>
      </c>
      <c r="B176" s="6" t="str">
        <f t="shared" si="1"/>
        <v>109.355</v>
      </c>
      <c r="C176" s="6" t="str">
        <f t="shared" si="2"/>
        <v>109,355</v>
      </c>
      <c r="D176" s="6">
        <f t="shared" si="3"/>
        <v>109.355</v>
      </c>
      <c r="E176" s="6">
        <f t="shared" si="4"/>
        <v>0.545</v>
      </c>
    </row>
    <row r="177">
      <c r="A177" s="4" t="s">
        <v>6188</v>
      </c>
      <c r="B177" s="6" t="str">
        <f t="shared" si="1"/>
        <v>109.894</v>
      </c>
      <c r="C177" s="6" t="str">
        <f t="shared" si="2"/>
        <v>109,894</v>
      </c>
      <c r="D177" s="6">
        <f t="shared" si="3"/>
        <v>109.894</v>
      </c>
      <c r="E177" s="6">
        <f t="shared" si="4"/>
        <v>0.539</v>
      </c>
    </row>
    <row r="178">
      <c r="A178" s="4" t="s">
        <v>6189</v>
      </c>
      <c r="B178" s="6" t="str">
        <f t="shared" si="1"/>
        <v>110.333</v>
      </c>
      <c r="C178" s="6" t="str">
        <f t="shared" si="2"/>
        <v>110,333</v>
      </c>
      <c r="D178" s="6">
        <f t="shared" si="3"/>
        <v>110.333</v>
      </c>
      <c r="E178" s="6">
        <f t="shared" si="4"/>
        <v>0.439</v>
      </c>
    </row>
    <row r="179">
      <c r="A179" s="4" t="s">
        <v>6190</v>
      </c>
      <c r="B179" s="6" t="str">
        <f t="shared" si="1"/>
        <v>110.873</v>
      </c>
      <c r="C179" s="6" t="str">
        <f t="shared" si="2"/>
        <v>110,873</v>
      </c>
      <c r="D179" s="6">
        <f t="shared" si="3"/>
        <v>110.873</v>
      </c>
      <c r="E179" s="6">
        <f t="shared" si="4"/>
        <v>0.54</v>
      </c>
    </row>
    <row r="180">
      <c r="A180" s="4" t="s">
        <v>6191</v>
      </c>
      <c r="B180" s="6" t="str">
        <f t="shared" si="1"/>
        <v>111.417</v>
      </c>
      <c r="C180" s="6" t="str">
        <f t="shared" si="2"/>
        <v>111,417</v>
      </c>
      <c r="D180" s="6">
        <f t="shared" si="3"/>
        <v>111.417</v>
      </c>
      <c r="E180" s="6">
        <f t="shared" si="4"/>
        <v>0.544</v>
      </c>
    </row>
    <row r="181">
      <c r="A181" s="4" t="s">
        <v>6192</v>
      </c>
      <c r="B181" s="6" t="str">
        <f t="shared" si="1"/>
        <v>111.863</v>
      </c>
      <c r="C181" s="6" t="str">
        <f t="shared" si="2"/>
        <v>111,863</v>
      </c>
      <c r="D181" s="6">
        <f t="shared" si="3"/>
        <v>111.863</v>
      </c>
      <c r="E181" s="6">
        <f t="shared" si="4"/>
        <v>0.446</v>
      </c>
    </row>
    <row r="182">
      <c r="A182" s="4" t="s">
        <v>6193</v>
      </c>
      <c r="B182" s="6" t="str">
        <f t="shared" si="1"/>
        <v>112.401</v>
      </c>
      <c r="C182" s="6" t="str">
        <f t="shared" si="2"/>
        <v>112,401</v>
      </c>
      <c r="D182" s="6">
        <f t="shared" si="3"/>
        <v>112.401</v>
      </c>
      <c r="E182" s="6">
        <f t="shared" si="4"/>
        <v>0.538</v>
      </c>
    </row>
    <row r="183">
      <c r="A183" s="4" t="s">
        <v>6194</v>
      </c>
      <c r="B183" s="6" t="str">
        <f t="shared" si="1"/>
        <v>112.837</v>
      </c>
      <c r="C183" s="6" t="str">
        <f t="shared" si="2"/>
        <v>112,837</v>
      </c>
      <c r="D183" s="6">
        <f t="shared" si="3"/>
        <v>112.837</v>
      </c>
      <c r="E183" s="6">
        <f t="shared" si="4"/>
        <v>0.436</v>
      </c>
    </row>
    <row r="184">
      <c r="A184" s="4" t="s">
        <v>6195</v>
      </c>
      <c r="B184" s="6" t="str">
        <f t="shared" si="1"/>
        <v>113.385</v>
      </c>
      <c r="C184" s="6" t="str">
        <f t="shared" si="2"/>
        <v>113,385</v>
      </c>
      <c r="D184" s="6">
        <f t="shared" si="3"/>
        <v>113.385</v>
      </c>
      <c r="E184" s="6">
        <f t="shared" si="4"/>
        <v>0.548</v>
      </c>
    </row>
    <row r="185">
      <c r="A185" s="4" t="s">
        <v>6196</v>
      </c>
      <c r="B185" s="6" t="str">
        <f t="shared" si="1"/>
        <v>113.931</v>
      </c>
      <c r="C185" s="6" t="str">
        <f t="shared" si="2"/>
        <v>113,931</v>
      </c>
      <c r="D185" s="6">
        <f t="shared" si="3"/>
        <v>113.931</v>
      </c>
      <c r="E185" s="6">
        <f t="shared" si="4"/>
        <v>0.546</v>
      </c>
    </row>
    <row r="186">
      <c r="A186" s="4" t="s">
        <v>6197</v>
      </c>
      <c r="B186" s="6" t="str">
        <f t="shared" si="1"/>
        <v>114.363</v>
      </c>
      <c r="C186" s="6" t="str">
        <f t="shared" si="2"/>
        <v>114,363</v>
      </c>
      <c r="D186" s="6">
        <f t="shared" si="3"/>
        <v>114.363</v>
      </c>
      <c r="E186" s="6">
        <f t="shared" si="4"/>
        <v>0.432</v>
      </c>
    </row>
    <row r="187">
      <c r="A187" s="4" t="s">
        <v>6198</v>
      </c>
      <c r="B187" s="6" t="str">
        <f t="shared" si="1"/>
        <v>114.911</v>
      </c>
      <c r="C187" s="6" t="str">
        <f t="shared" si="2"/>
        <v>114,911</v>
      </c>
      <c r="D187" s="6">
        <f t="shared" si="3"/>
        <v>114.911</v>
      </c>
      <c r="E187" s="6">
        <f t="shared" si="4"/>
        <v>0.548</v>
      </c>
    </row>
    <row r="188">
      <c r="A188" s="4" t="s">
        <v>6199</v>
      </c>
      <c r="B188" s="6" t="str">
        <f t="shared" si="1"/>
        <v>115.454</v>
      </c>
      <c r="C188" s="6" t="str">
        <f t="shared" si="2"/>
        <v>115,454</v>
      </c>
      <c r="D188" s="6">
        <f t="shared" si="3"/>
        <v>115.454</v>
      </c>
      <c r="E188" s="6">
        <f t="shared" si="4"/>
        <v>0.543</v>
      </c>
    </row>
    <row r="189">
      <c r="A189" s="4" t="s">
        <v>6200</v>
      </c>
      <c r="B189" s="6" t="str">
        <f t="shared" si="1"/>
        <v>115.891</v>
      </c>
      <c r="C189" s="6" t="str">
        <f t="shared" si="2"/>
        <v>115,891</v>
      </c>
      <c r="D189" s="6">
        <f t="shared" si="3"/>
        <v>115.891</v>
      </c>
      <c r="E189" s="6">
        <f t="shared" si="4"/>
        <v>0.437</v>
      </c>
    </row>
    <row r="190">
      <c r="A190" s="4" t="s">
        <v>6201</v>
      </c>
      <c r="B190" s="6" t="str">
        <f t="shared" si="1"/>
        <v>116.434</v>
      </c>
      <c r="C190" s="6" t="str">
        <f t="shared" si="2"/>
        <v>116,434</v>
      </c>
      <c r="D190" s="6">
        <f t="shared" si="3"/>
        <v>116.434</v>
      </c>
      <c r="E190" s="6">
        <f t="shared" si="4"/>
        <v>0.543</v>
      </c>
    </row>
    <row r="191">
      <c r="A191" s="4" t="s">
        <v>6202</v>
      </c>
      <c r="B191" s="6" t="str">
        <f t="shared" si="1"/>
        <v>116.977</v>
      </c>
      <c r="C191" s="6" t="str">
        <f t="shared" si="2"/>
        <v>116,977</v>
      </c>
      <c r="D191" s="6">
        <f t="shared" si="3"/>
        <v>116.977</v>
      </c>
      <c r="E191" s="6">
        <f t="shared" si="4"/>
        <v>0.543</v>
      </c>
    </row>
    <row r="192">
      <c r="A192" s="4" t="s">
        <v>6203</v>
      </c>
      <c r="B192" s="6" t="str">
        <f t="shared" si="1"/>
        <v>117.414</v>
      </c>
      <c r="C192" s="6" t="str">
        <f t="shared" si="2"/>
        <v>117,414</v>
      </c>
      <c r="D192" s="6">
        <f t="shared" si="3"/>
        <v>117.414</v>
      </c>
      <c r="E192" s="6">
        <f t="shared" si="4"/>
        <v>0.437</v>
      </c>
    </row>
    <row r="193">
      <c r="A193" s="4" t="s">
        <v>6204</v>
      </c>
      <c r="B193" s="6" t="str">
        <f t="shared" si="1"/>
        <v>117.959</v>
      </c>
      <c r="C193" s="6" t="str">
        <f t="shared" si="2"/>
        <v>117,959</v>
      </c>
      <c r="D193" s="6">
        <f t="shared" si="3"/>
        <v>117.959</v>
      </c>
      <c r="E193" s="6">
        <f t="shared" si="4"/>
        <v>0.545</v>
      </c>
    </row>
    <row r="194">
      <c r="A194" s="4" t="s">
        <v>6205</v>
      </c>
      <c r="B194" s="6" t="str">
        <f t="shared" si="1"/>
        <v>118.507</v>
      </c>
      <c r="C194" s="6" t="str">
        <f t="shared" si="2"/>
        <v>118,507</v>
      </c>
      <c r="D194" s="6">
        <f t="shared" si="3"/>
        <v>118.507</v>
      </c>
      <c r="E194" s="6">
        <f t="shared" si="4"/>
        <v>0.548</v>
      </c>
    </row>
    <row r="195">
      <c r="A195" s="4" t="s">
        <v>6206</v>
      </c>
      <c r="B195" s="6" t="str">
        <f t="shared" si="1"/>
        <v>118.943</v>
      </c>
      <c r="C195" s="6" t="str">
        <f t="shared" si="2"/>
        <v>118,943</v>
      </c>
      <c r="D195" s="6">
        <f t="shared" si="3"/>
        <v>118.943</v>
      </c>
      <c r="E195" s="6">
        <f t="shared" si="4"/>
        <v>0.436</v>
      </c>
    </row>
    <row r="196">
      <c r="A196" s="4" t="s">
        <v>6207</v>
      </c>
      <c r="B196" s="6" t="str">
        <f t="shared" si="1"/>
        <v>119.486</v>
      </c>
      <c r="C196" s="6" t="str">
        <f t="shared" si="2"/>
        <v>119,486</v>
      </c>
      <c r="D196" s="6">
        <f t="shared" si="3"/>
        <v>119.486</v>
      </c>
      <c r="E196" s="6">
        <f t="shared" si="4"/>
        <v>0.543</v>
      </c>
    </row>
    <row r="197">
      <c r="A197" s="4" t="s">
        <v>6208</v>
      </c>
      <c r="B197" s="6" t="str">
        <f t="shared" si="1"/>
        <v>119.920</v>
      </c>
      <c r="C197" s="6" t="str">
        <f t="shared" si="2"/>
        <v>119,920</v>
      </c>
      <c r="D197" s="6">
        <f t="shared" si="3"/>
        <v>119.92</v>
      </c>
      <c r="E197" s="6">
        <f t="shared" si="4"/>
        <v>0.434</v>
      </c>
    </row>
    <row r="198">
      <c r="A198" s="4" t="s">
        <v>6209</v>
      </c>
      <c r="B198" s="6" t="str">
        <f t="shared" si="1"/>
        <v>120.465</v>
      </c>
      <c r="C198" s="6" t="str">
        <f t="shared" si="2"/>
        <v>120,465</v>
      </c>
      <c r="D198" s="6">
        <f t="shared" si="3"/>
        <v>120.465</v>
      </c>
      <c r="E198" s="6">
        <f t="shared" si="4"/>
        <v>0.545</v>
      </c>
    </row>
    <row r="199">
      <c r="A199" s="4" t="s">
        <v>6210</v>
      </c>
      <c r="B199" s="6" t="str">
        <f t="shared" si="1"/>
        <v>121.010</v>
      </c>
      <c r="C199" s="6" t="str">
        <f t="shared" si="2"/>
        <v>121,010</v>
      </c>
      <c r="D199" s="6">
        <f t="shared" si="3"/>
        <v>121.01</v>
      </c>
      <c r="E199" s="6">
        <f t="shared" si="4"/>
        <v>0.545</v>
      </c>
    </row>
    <row r="200">
      <c r="A200" s="4" t="s">
        <v>6211</v>
      </c>
      <c r="B200" s="6" t="str">
        <f t="shared" si="1"/>
        <v>121.442</v>
      </c>
      <c r="C200" s="6" t="str">
        <f t="shared" si="2"/>
        <v>121,442</v>
      </c>
      <c r="D200" s="6">
        <f t="shared" si="3"/>
        <v>121.442</v>
      </c>
      <c r="E200" s="6">
        <f t="shared" si="4"/>
        <v>0.432</v>
      </c>
    </row>
    <row r="201">
      <c r="A201" s="4" t="s">
        <v>6212</v>
      </c>
      <c r="B201" s="6" t="str">
        <f t="shared" si="1"/>
        <v>121.985</v>
      </c>
      <c r="C201" s="6" t="str">
        <f t="shared" si="2"/>
        <v>121,985</v>
      </c>
      <c r="D201" s="6">
        <f t="shared" si="3"/>
        <v>121.985</v>
      </c>
      <c r="E201" s="6">
        <f t="shared" si="4"/>
        <v>0.543</v>
      </c>
    </row>
    <row r="202">
      <c r="A202" s="4" t="s">
        <v>6213</v>
      </c>
      <c r="B202" s="6" t="str">
        <f t="shared" si="1"/>
        <v>122.534</v>
      </c>
      <c r="C202" s="6" t="str">
        <f t="shared" si="2"/>
        <v>122,534</v>
      </c>
      <c r="D202" s="6">
        <f t="shared" si="3"/>
        <v>122.534</v>
      </c>
      <c r="E202" s="6">
        <f t="shared" si="4"/>
        <v>0.549</v>
      </c>
    </row>
    <row r="203">
      <c r="A203" s="4" t="s">
        <v>6214</v>
      </c>
      <c r="B203" s="6" t="str">
        <f t="shared" si="1"/>
        <v>122.967</v>
      </c>
      <c r="C203" s="6" t="str">
        <f t="shared" si="2"/>
        <v>122,967</v>
      </c>
      <c r="D203" s="6">
        <f t="shared" si="3"/>
        <v>122.967</v>
      </c>
      <c r="E203" s="6">
        <f t="shared" si="4"/>
        <v>0.433</v>
      </c>
    </row>
    <row r="204">
      <c r="A204" s="4" t="s">
        <v>6215</v>
      </c>
      <c r="B204" s="6" t="str">
        <f t="shared" si="1"/>
        <v>123.513</v>
      </c>
      <c r="C204" s="6" t="str">
        <f t="shared" si="2"/>
        <v>123,513</v>
      </c>
      <c r="D204" s="6">
        <f t="shared" si="3"/>
        <v>123.513</v>
      </c>
      <c r="E204" s="6">
        <f t="shared" si="4"/>
        <v>0.546</v>
      </c>
    </row>
    <row r="205">
      <c r="A205" s="4" t="s">
        <v>6216</v>
      </c>
      <c r="B205" s="6" t="str">
        <f t="shared" si="1"/>
        <v>124.058</v>
      </c>
      <c r="C205" s="6" t="str">
        <f t="shared" si="2"/>
        <v>124,058</v>
      </c>
      <c r="D205" s="6">
        <f t="shared" si="3"/>
        <v>124.058</v>
      </c>
      <c r="E205" s="6">
        <f t="shared" si="4"/>
        <v>0.545</v>
      </c>
    </row>
    <row r="206">
      <c r="A206" s="4" t="s">
        <v>6217</v>
      </c>
      <c r="B206" s="6" t="str">
        <f t="shared" si="1"/>
        <v>124.491</v>
      </c>
      <c r="C206" s="6" t="str">
        <f t="shared" si="2"/>
        <v>124,491</v>
      </c>
      <c r="D206" s="6">
        <f t="shared" si="3"/>
        <v>124.491</v>
      </c>
      <c r="E206" s="6">
        <f t="shared" si="4"/>
        <v>0.433</v>
      </c>
    </row>
    <row r="207">
      <c r="A207" s="4" t="s">
        <v>6218</v>
      </c>
      <c r="B207" s="6" t="str">
        <f t="shared" si="1"/>
        <v>125.038</v>
      </c>
      <c r="C207" s="6" t="str">
        <f t="shared" si="2"/>
        <v>125,038</v>
      </c>
      <c r="D207" s="6">
        <f t="shared" si="3"/>
        <v>125.038</v>
      </c>
      <c r="E207" s="6">
        <f t="shared" si="4"/>
        <v>0.547</v>
      </c>
    </row>
    <row r="208">
      <c r="A208" s="4" t="s">
        <v>6219</v>
      </c>
      <c r="B208" s="6" t="str">
        <f t="shared" si="1"/>
        <v>125.578</v>
      </c>
      <c r="C208" s="6" t="str">
        <f t="shared" si="2"/>
        <v>125,578</v>
      </c>
      <c r="D208" s="6">
        <f t="shared" si="3"/>
        <v>125.578</v>
      </c>
      <c r="E208" s="6">
        <f t="shared" si="4"/>
        <v>0.54</v>
      </c>
    </row>
    <row r="209">
      <c r="A209" s="4" t="s">
        <v>6220</v>
      </c>
      <c r="B209" s="6" t="str">
        <f t="shared" si="1"/>
        <v>126.014</v>
      </c>
      <c r="C209" s="6" t="str">
        <f t="shared" si="2"/>
        <v>126,014</v>
      </c>
      <c r="D209" s="6">
        <f t="shared" si="3"/>
        <v>126.014</v>
      </c>
      <c r="E209" s="6">
        <f t="shared" si="4"/>
        <v>0.436</v>
      </c>
    </row>
    <row r="210">
      <c r="A210" s="4" t="s">
        <v>6221</v>
      </c>
      <c r="B210" s="6" t="str">
        <f t="shared" si="1"/>
        <v>126.559</v>
      </c>
      <c r="C210" s="6" t="str">
        <f t="shared" si="2"/>
        <v>126,559</v>
      </c>
      <c r="D210" s="6">
        <f t="shared" si="3"/>
        <v>126.559</v>
      </c>
      <c r="E210" s="6">
        <f t="shared" si="4"/>
        <v>0.545</v>
      </c>
    </row>
    <row r="211">
      <c r="A211" s="4" t="s">
        <v>6222</v>
      </c>
      <c r="B211" s="6" t="str">
        <f t="shared" si="1"/>
        <v>126.991</v>
      </c>
      <c r="C211" s="6" t="str">
        <f t="shared" si="2"/>
        <v>126,991</v>
      </c>
      <c r="D211" s="6">
        <f t="shared" si="3"/>
        <v>126.991</v>
      </c>
      <c r="E211" s="6">
        <f t="shared" si="4"/>
        <v>0.432</v>
      </c>
    </row>
    <row r="212">
      <c r="A212" s="4" t="s">
        <v>6223</v>
      </c>
      <c r="B212" s="6" t="str">
        <f t="shared" si="1"/>
        <v>127.535</v>
      </c>
      <c r="C212" s="6" t="str">
        <f t="shared" si="2"/>
        <v>127,535</v>
      </c>
      <c r="D212" s="6">
        <f t="shared" si="3"/>
        <v>127.535</v>
      </c>
      <c r="E212" s="6">
        <f t="shared" si="4"/>
        <v>0.544</v>
      </c>
    </row>
    <row r="213">
      <c r="A213" s="4" t="s">
        <v>6224</v>
      </c>
      <c r="B213" s="6" t="str">
        <f t="shared" si="1"/>
        <v>128.080</v>
      </c>
      <c r="C213" s="6" t="str">
        <f t="shared" si="2"/>
        <v>128,080</v>
      </c>
      <c r="D213" s="6">
        <f t="shared" si="3"/>
        <v>128.08</v>
      </c>
      <c r="E213" s="6">
        <f t="shared" si="4"/>
        <v>0.545</v>
      </c>
    </row>
    <row r="214">
      <c r="A214" s="4" t="s">
        <v>6225</v>
      </c>
      <c r="B214" s="6" t="str">
        <f t="shared" si="1"/>
        <v>128.518</v>
      </c>
      <c r="C214" s="6" t="str">
        <f t="shared" si="2"/>
        <v>128,518</v>
      </c>
      <c r="D214" s="6">
        <f t="shared" si="3"/>
        <v>128.518</v>
      </c>
      <c r="E214" s="6">
        <f t="shared" si="4"/>
        <v>0.438</v>
      </c>
    </row>
    <row r="215">
      <c r="A215" s="4" t="s">
        <v>6226</v>
      </c>
      <c r="B215" s="6" t="str">
        <f t="shared" si="1"/>
        <v>129.066</v>
      </c>
      <c r="C215" s="6" t="str">
        <f t="shared" si="2"/>
        <v>129,066</v>
      </c>
      <c r="D215" s="6">
        <f t="shared" si="3"/>
        <v>129.066</v>
      </c>
      <c r="E215" s="6">
        <f t="shared" si="4"/>
        <v>0.548</v>
      </c>
    </row>
    <row r="216">
      <c r="A216" s="4" t="s">
        <v>6227</v>
      </c>
      <c r="B216" s="6" t="str">
        <f t="shared" si="1"/>
        <v>129.607</v>
      </c>
      <c r="C216" s="6" t="str">
        <f t="shared" si="2"/>
        <v>129,607</v>
      </c>
      <c r="D216" s="6">
        <f t="shared" si="3"/>
        <v>129.607</v>
      </c>
      <c r="E216" s="6">
        <f t="shared" si="4"/>
        <v>0.541</v>
      </c>
    </row>
    <row r="217">
      <c r="A217" s="4" t="s">
        <v>6228</v>
      </c>
      <c r="B217" s="6" t="str">
        <f t="shared" si="1"/>
        <v>130.040</v>
      </c>
      <c r="C217" s="6" t="str">
        <f t="shared" si="2"/>
        <v>130,040</v>
      </c>
      <c r="D217" s="6">
        <f t="shared" si="3"/>
        <v>130.04</v>
      </c>
      <c r="E217" s="6">
        <f t="shared" si="4"/>
        <v>0.433</v>
      </c>
    </row>
    <row r="218">
      <c r="A218" s="4" t="s">
        <v>6229</v>
      </c>
      <c r="B218" s="6" t="str">
        <f t="shared" si="1"/>
        <v>130.586</v>
      </c>
      <c r="C218" s="6" t="str">
        <f t="shared" si="2"/>
        <v>130,586</v>
      </c>
      <c r="D218" s="6">
        <f t="shared" si="3"/>
        <v>130.586</v>
      </c>
      <c r="E218" s="6">
        <f t="shared" si="4"/>
        <v>0.546</v>
      </c>
    </row>
    <row r="219">
      <c r="A219" s="4" t="s">
        <v>6230</v>
      </c>
      <c r="B219" s="6" t="str">
        <f t="shared" si="1"/>
        <v>131.133</v>
      </c>
      <c r="C219" s="6" t="str">
        <f t="shared" si="2"/>
        <v>131,133</v>
      </c>
      <c r="D219" s="6">
        <f t="shared" si="3"/>
        <v>131.133</v>
      </c>
      <c r="E219" s="6">
        <f t="shared" si="4"/>
        <v>0.547</v>
      </c>
    </row>
    <row r="220">
      <c r="A220" s="4" t="s">
        <v>6231</v>
      </c>
      <c r="B220" s="6" t="str">
        <f t="shared" si="1"/>
        <v>131.566</v>
      </c>
      <c r="C220" s="6" t="str">
        <f t="shared" si="2"/>
        <v>131,566</v>
      </c>
      <c r="D220" s="6">
        <f t="shared" si="3"/>
        <v>131.566</v>
      </c>
      <c r="E220" s="6">
        <f t="shared" si="4"/>
        <v>0.433</v>
      </c>
    </row>
    <row r="221">
      <c r="A221" s="4" t="s">
        <v>6232</v>
      </c>
      <c r="B221" s="6" t="str">
        <f t="shared" si="1"/>
        <v>132.111</v>
      </c>
      <c r="C221" s="6" t="str">
        <f t="shared" si="2"/>
        <v>132,111</v>
      </c>
      <c r="D221" s="6">
        <f t="shared" si="3"/>
        <v>132.111</v>
      </c>
      <c r="E221" s="6">
        <f t="shared" si="4"/>
        <v>0.545</v>
      </c>
    </row>
    <row r="222">
      <c r="A222" s="4" t="s">
        <v>6233</v>
      </c>
      <c r="B222" s="6" t="str">
        <f t="shared" si="1"/>
        <v>132.654</v>
      </c>
      <c r="C222" s="6" t="str">
        <f t="shared" si="2"/>
        <v>132,654</v>
      </c>
      <c r="D222" s="6">
        <f t="shared" si="3"/>
        <v>132.654</v>
      </c>
      <c r="E222" s="6">
        <f t="shared" si="4"/>
        <v>0.543</v>
      </c>
    </row>
    <row r="223">
      <c r="A223" s="4" t="s">
        <v>6234</v>
      </c>
      <c r="B223" s="6" t="str">
        <f t="shared" si="1"/>
        <v>133.092</v>
      </c>
      <c r="C223" s="6" t="str">
        <f t="shared" si="2"/>
        <v>133,092</v>
      </c>
      <c r="D223" s="6">
        <f t="shared" si="3"/>
        <v>133.092</v>
      </c>
      <c r="E223" s="6">
        <f t="shared" si="4"/>
        <v>0.438</v>
      </c>
    </row>
    <row r="224">
      <c r="A224" s="4" t="s">
        <v>6235</v>
      </c>
      <c r="B224" s="6" t="str">
        <f t="shared" si="1"/>
        <v>133.632</v>
      </c>
      <c r="C224" s="6" t="str">
        <f t="shared" si="2"/>
        <v>133,632</v>
      </c>
      <c r="D224" s="6">
        <f t="shared" si="3"/>
        <v>133.632</v>
      </c>
      <c r="E224" s="6">
        <f t="shared" si="4"/>
        <v>0.54</v>
      </c>
    </row>
    <row r="225">
      <c r="A225" s="4" t="s">
        <v>6236</v>
      </c>
      <c r="B225" s="6" t="str">
        <f t="shared" si="1"/>
        <v>134.173</v>
      </c>
      <c r="C225" s="6" t="str">
        <f t="shared" si="2"/>
        <v>134,173</v>
      </c>
      <c r="D225" s="6">
        <f t="shared" si="3"/>
        <v>134.173</v>
      </c>
      <c r="E225" s="6">
        <f t="shared" si="4"/>
        <v>0.541</v>
      </c>
    </row>
    <row r="226">
      <c r="A226" s="4" t="s">
        <v>6237</v>
      </c>
      <c r="B226" s="6" t="str">
        <f t="shared" si="1"/>
        <v>134.607</v>
      </c>
      <c r="C226" s="6" t="str">
        <f t="shared" si="2"/>
        <v>134,607</v>
      </c>
      <c r="D226" s="6">
        <f t="shared" si="3"/>
        <v>134.607</v>
      </c>
      <c r="E226" s="6">
        <f t="shared" si="4"/>
        <v>0.434</v>
      </c>
    </row>
    <row r="227">
      <c r="A227" s="4" t="s">
        <v>6238</v>
      </c>
      <c r="B227" s="6" t="str">
        <f t="shared" si="1"/>
        <v>135.152</v>
      </c>
      <c r="C227" s="6" t="str">
        <f t="shared" si="2"/>
        <v>135,152</v>
      </c>
      <c r="D227" s="6">
        <f t="shared" si="3"/>
        <v>135.152</v>
      </c>
      <c r="E227" s="6">
        <f t="shared" si="4"/>
        <v>0.545</v>
      </c>
    </row>
    <row r="228">
      <c r="A228" s="4" t="s">
        <v>6239</v>
      </c>
      <c r="B228" s="6" t="str">
        <f t="shared" si="1"/>
        <v>135.697</v>
      </c>
      <c r="C228" s="6" t="str">
        <f t="shared" si="2"/>
        <v>135,697</v>
      </c>
      <c r="D228" s="6">
        <f t="shared" si="3"/>
        <v>135.697</v>
      </c>
      <c r="E228" s="6">
        <f t="shared" si="4"/>
        <v>0.545</v>
      </c>
    </row>
    <row r="229">
      <c r="A229" s="4" t="s">
        <v>6240</v>
      </c>
      <c r="B229" s="6" t="str">
        <f t="shared" si="1"/>
        <v>136.131</v>
      </c>
      <c r="C229" s="6" t="str">
        <f t="shared" si="2"/>
        <v>136,131</v>
      </c>
      <c r="D229" s="6">
        <f t="shared" si="3"/>
        <v>136.131</v>
      </c>
      <c r="E229" s="6">
        <f t="shared" si="4"/>
        <v>0.434</v>
      </c>
    </row>
    <row r="230">
      <c r="A230" s="4" t="s">
        <v>6241</v>
      </c>
      <c r="B230" s="6" t="str">
        <f t="shared" si="1"/>
        <v>136.675</v>
      </c>
      <c r="C230" s="6" t="str">
        <f t="shared" si="2"/>
        <v>136,675</v>
      </c>
      <c r="D230" s="6">
        <f t="shared" si="3"/>
        <v>136.675</v>
      </c>
      <c r="E230" s="6">
        <f t="shared" si="4"/>
        <v>0.544</v>
      </c>
    </row>
    <row r="231">
      <c r="A231" s="4" t="s">
        <v>6242</v>
      </c>
      <c r="B231" s="6" t="str">
        <f t="shared" si="1"/>
        <v>137.109</v>
      </c>
      <c r="C231" s="6" t="str">
        <f t="shared" si="2"/>
        <v>137,109</v>
      </c>
      <c r="D231" s="6">
        <f t="shared" si="3"/>
        <v>137.109</v>
      </c>
      <c r="E231" s="6">
        <f t="shared" si="4"/>
        <v>0.434</v>
      </c>
    </row>
    <row r="232">
      <c r="A232" s="4" t="s">
        <v>6243</v>
      </c>
      <c r="B232" s="6" t="str">
        <f t="shared" si="1"/>
        <v>137.654</v>
      </c>
      <c r="C232" s="6" t="str">
        <f t="shared" si="2"/>
        <v>137,654</v>
      </c>
      <c r="D232" s="6">
        <f t="shared" si="3"/>
        <v>137.654</v>
      </c>
      <c r="E232" s="6">
        <f t="shared" si="4"/>
        <v>0.545</v>
      </c>
    </row>
    <row r="233">
      <c r="A233" s="4" t="s">
        <v>6244</v>
      </c>
      <c r="B233" s="6" t="str">
        <f t="shared" si="1"/>
        <v>138.205</v>
      </c>
      <c r="C233" s="6" t="str">
        <f t="shared" si="2"/>
        <v>138,205</v>
      </c>
      <c r="D233" s="6">
        <f t="shared" si="3"/>
        <v>138.205</v>
      </c>
      <c r="E233" s="6">
        <f t="shared" si="4"/>
        <v>0.551</v>
      </c>
    </row>
    <row r="234">
      <c r="A234" s="4" t="s">
        <v>6245</v>
      </c>
      <c r="B234" s="6" t="str">
        <f t="shared" si="1"/>
        <v>138.638</v>
      </c>
      <c r="C234" s="6" t="str">
        <f t="shared" si="2"/>
        <v>138,638</v>
      </c>
      <c r="D234" s="6">
        <f t="shared" si="3"/>
        <v>138.638</v>
      </c>
      <c r="E234" s="6">
        <f t="shared" si="4"/>
        <v>0.433</v>
      </c>
    </row>
    <row r="235">
      <c r="A235" s="4" t="s">
        <v>6246</v>
      </c>
      <c r="B235" s="6" t="str">
        <f t="shared" si="1"/>
        <v>139.179</v>
      </c>
      <c r="C235" s="6" t="str">
        <f t="shared" si="2"/>
        <v>139,179</v>
      </c>
      <c r="D235" s="6">
        <f t="shared" si="3"/>
        <v>139.179</v>
      </c>
      <c r="E235" s="6">
        <f t="shared" si="4"/>
        <v>0.541</v>
      </c>
    </row>
    <row r="236">
      <c r="A236" s="4" t="s">
        <v>6247</v>
      </c>
      <c r="B236" s="6" t="str">
        <f t="shared" si="1"/>
        <v>139.727</v>
      </c>
      <c r="C236" s="6" t="str">
        <f t="shared" si="2"/>
        <v>139,727</v>
      </c>
      <c r="D236" s="6">
        <f t="shared" si="3"/>
        <v>139.727</v>
      </c>
      <c r="E236" s="6">
        <f t="shared" si="4"/>
        <v>0.548</v>
      </c>
    </row>
    <row r="237">
      <c r="A237" s="4" t="s">
        <v>6248</v>
      </c>
      <c r="B237" s="6" t="str">
        <f t="shared" si="1"/>
        <v>140.160</v>
      </c>
      <c r="C237" s="6" t="str">
        <f t="shared" si="2"/>
        <v>140,160</v>
      </c>
      <c r="D237" s="6">
        <f t="shared" si="3"/>
        <v>140.16</v>
      </c>
      <c r="E237" s="6">
        <f t="shared" si="4"/>
        <v>0.433</v>
      </c>
    </row>
    <row r="238">
      <c r="A238" s="4" t="s">
        <v>6249</v>
      </c>
      <c r="B238" s="6" t="str">
        <f t="shared" si="1"/>
        <v>140.704</v>
      </c>
      <c r="C238" s="6" t="str">
        <f t="shared" si="2"/>
        <v>140,704</v>
      </c>
      <c r="D238" s="6">
        <f t="shared" si="3"/>
        <v>140.704</v>
      </c>
      <c r="E238" s="6">
        <f t="shared" si="4"/>
        <v>0.544</v>
      </c>
    </row>
    <row r="239">
      <c r="A239" s="4" t="s">
        <v>6250</v>
      </c>
      <c r="B239" s="6" t="str">
        <f t="shared" si="1"/>
        <v>141.257</v>
      </c>
      <c r="C239" s="6" t="str">
        <f t="shared" si="2"/>
        <v>141,257</v>
      </c>
      <c r="D239" s="6">
        <f t="shared" si="3"/>
        <v>141.257</v>
      </c>
      <c r="E239" s="6">
        <f t="shared" si="4"/>
        <v>0.553</v>
      </c>
    </row>
    <row r="240">
      <c r="A240" s="4" t="s">
        <v>6251</v>
      </c>
      <c r="B240" s="6" t="str">
        <f t="shared" si="1"/>
        <v>141.687</v>
      </c>
      <c r="C240" s="6" t="str">
        <f t="shared" si="2"/>
        <v>141,687</v>
      </c>
      <c r="D240" s="6">
        <f t="shared" si="3"/>
        <v>141.687</v>
      </c>
      <c r="E240" s="6">
        <f t="shared" si="4"/>
        <v>0.43</v>
      </c>
    </row>
    <row r="241">
      <c r="A241" s="4" t="s">
        <v>6252</v>
      </c>
      <c r="B241" s="6" t="str">
        <f t="shared" si="1"/>
        <v>142.230</v>
      </c>
      <c r="C241" s="6" t="str">
        <f t="shared" si="2"/>
        <v>142,230</v>
      </c>
      <c r="D241" s="6">
        <f t="shared" si="3"/>
        <v>142.23</v>
      </c>
      <c r="E241" s="6">
        <f t="shared" si="4"/>
        <v>0.543</v>
      </c>
    </row>
    <row r="242">
      <c r="A242" s="4" t="s">
        <v>6253</v>
      </c>
      <c r="B242" s="6" t="str">
        <f t="shared" si="1"/>
        <v>142.663</v>
      </c>
      <c r="C242" s="6" t="str">
        <f t="shared" si="2"/>
        <v>142,663</v>
      </c>
      <c r="D242" s="6">
        <f t="shared" si="3"/>
        <v>142.663</v>
      </c>
      <c r="E242" s="6">
        <f t="shared" si="4"/>
        <v>0.433</v>
      </c>
    </row>
    <row r="243">
      <c r="A243" s="4" t="s">
        <v>6254</v>
      </c>
      <c r="B243" s="6" t="str">
        <f t="shared" si="1"/>
        <v>143.208</v>
      </c>
      <c r="C243" s="6" t="str">
        <f t="shared" si="2"/>
        <v>143,208</v>
      </c>
      <c r="D243" s="6">
        <f t="shared" si="3"/>
        <v>143.208</v>
      </c>
      <c r="E243" s="6">
        <f t="shared" si="4"/>
        <v>0.545</v>
      </c>
    </row>
    <row r="244">
      <c r="A244" s="4" t="s">
        <v>6255</v>
      </c>
      <c r="B244" s="6" t="str">
        <f t="shared" si="1"/>
        <v>143.761</v>
      </c>
      <c r="C244" s="6" t="str">
        <f t="shared" si="2"/>
        <v>143,761</v>
      </c>
      <c r="D244" s="6">
        <f t="shared" si="3"/>
        <v>143.761</v>
      </c>
      <c r="E244" s="6">
        <f t="shared" si="4"/>
        <v>0.553</v>
      </c>
    </row>
    <row r="245">
      <c r="A245" s="4" t="s">
        <v>6256</v>
      </c>
      <c r="B245" s="6" t="str">
        <f t="shared" si="1"/>
        <v>144.190</v>
      </c>
      <c r="C245" s="6" t="str">
        <f t="shared" si="2"/>
        <v>144,190</v>
      </c>
      <c r="D245" s="6">
        <f t="shared" si="3"/>
        <v>144.19</v>
      </c>
      <c r="E245" s="6">
        <f t="shared" si="4"/>
        <v>0.429</v>
      </c>
    </row>
    <row r="246">
      <c r="A246" s="4" t="s">
        <v>6257</v>
      </c>
      <c r="B246" s="6" t="str">
        <f t="shared" si="1"/>
        <v>144.735</v>
      </c>
      <c r="C246" s="6" t="str">
        <f t="shared" si="2"/>
        <v>144,735</v>
      </c>
      <c r="D246" s="6">
        <f t="shared" si="3"/>
        <v>144.735</v>
      </c>
      <c r="E246" s="6">
        <f t="shared" si="4"/>
        <v>0.545</v>
      </c>
    </row>
    <row r="247">
      <c r="A247" s="4" t="s">
        <v>6258</v>
      </c>
      <c r="B247" s="6" t="str">
        <f t="shared" si="1"/>
        <v>145.281</v>
      </c>
      <c r="C247" s="6" t="str">
        <f t="shared" si="2"/>
        <v>145,281</v>
      </c>
      <c r="D247" s="6">
        <f t="shared" si="3"/>
        <v>145.281</v>
      </c>
      <c r="E247" s="6">
        <f t="shared" si="4"/>
        <v>0.546</v>
      </c>
    </row>
    <row r="248">
      <c r="A248" s="4" t="s">
        <v>6259</v>
      </c>
      <c r="B248" s="6" t="str">
        <f t="shared" si="1"/>
        <v>145.716</v>
      </c>
      <c r="C248" s="6" t="str">
        <f t="shared" si="2"/>
        <v>145,716</v>
      </c>
      <c r="D248" s="6">
        <f t="shared" si="3"/>
        <v>145.716</v>
      </c>
      <c r="E248" s="6">
        <f t="shared" si="4"/>
        <v>0.435</v>
      </c>
    </row>
    <row r="249">
      <c r="A249" s="4" t="s">
        <v>6260</v>
      </c>
      <c r="B249" s="6" t="str">
        <f t="shared" si="1"/>
        <v>146.264</v>
      </c>
      <c r="C249" s="6" t="str">
        <f t="shared" si="2"/>
        <v>146,264</v>
      </c>
      <c r="D249" s="6">
        <f t="shared" si="3"/>
        <v>146.264</v>
      </c>
      <c r="E249" s="6">
        <f t="shared" si="4"/>
        <v>0.548</v>
      </c>
    </row>
    <row r="250">
      <c r="A250" s="4" t="s">
        <v>6261</v>
      </c>
      <c r="B250" s="6" t="str">
        <f t="shared" si="1"/>
        <v>146.806</v>
      </c>
      <c r="C250" s="6" t="str">
        <f t="shared" si="2"/>
        <v>146,806</v>
      </c>
      <c r="D250" s="6">
        <f t="shared" si="3"/>
        <v>146.806</v>
      </c>
      <c r="E250" s="6">
        <f t="shared" si="4"/>
        <v>0.542</v>
      </c>
    </row>
    <row r="251">
      <c r="A251" s="4" t="s">
        <v>6262</v>
      </c>
      <c r="B251" s="6" t="str">
        <f t="shared" si="1"/>
        <v>147.244</v>
      </c>
      <c r="C251" s="6" t="str">
        <f t="shared" si="2"/>
        <v>147,244</v>
      </c>
      <c r="D251" s="6">
        <f t="shared" si="3"/>
        <v>147.244</v>
      </c>
      <c r="E251" s="6">
        <f t="shared" si="4"/>
        <v>0.438</v>
      </c>
    </row>
    <row r="252">
      <c r="A252" s="4" t="s">
        <v>6263</v>
      </c>
      <c r="B252" s="6" t="str">
        <f t="shared" si="1"/>
        <v>147.789</v>
      </c>
      <c r="C252" s="6" t="str">
        <f t="shared" si="2"/>
        <v>147,789</v>
      </c>
      <c r="D252" s="6">
        <f t="shared" si="3"/>
        <v>147.789</v>
      </c>
      <c r="E252" s="6">
        <f t="shared" si="4"/>
        <v>0.545</v>
      </c>
    </row>
    <row r="253">
      <c r="A253" s="4" t="s">
        <v>6264</v>
      </c>
      <c r="B253" s="6" t="str">
        <f t="shared" si="1"/>
        <v>148.328</v>
      </c>
      <c r="C253" s="6" t="str">
        <f t="shared" si="2"/>
        <v>148,328</v>
      </c>
      <c r="D253" s="6">
        <f t="shared" si="3"/>
        <v>148.328</v>
      </c>
      <c r="E253" s="6">
        <f t="shared" si="4"/>
        <v>0.539</v>
      </c>
    </row>
    <row r="254">
      <c r="A254" s="4" t="s">
        <v>6265</v>
      </c>
      <c r="B254" s="6" t="str">
        <f t="shared" si="1"/>
        <v>148.762</v>
      </c>
      <c r="C254" s="6" t="str">
        <f t="shared" si="2"/>
        <v>148,762</v>
      </c>
      <c r="D254" s="6">
        <f t="shared" si="3"/>
        <v>148.762</v>
      </c>
      <c r="E254" s="6">
        <f t="shared" si="4"/>
        <v>0.434</v>
      </c>
    </row>
    <row r="255">
      <c r="A255" s="4" t="s">
        <v>6266</v>
      </c>
      <c r="B255" s="6" t="str">
        <f t="shared" si="1"/>
        <v>149.306</v>
      </c>
      <c r="C255" s="6" t="str">
        <f t="shared" si="2"/>
        <v>149,306</v>
      </c>
      <c r="D255" s="6">
        <f t="shared" si="3"/>
        <v>149.306</v>
      </c>
      <c r="E255" s="6">
        <f t="shared" si="4"/>
        <v>0.544</v>
      </c>
    </row>
    <row r="256">
      <c r="A256" s="4" t="s">
        <v>6267</v>
      </c>
      <c r="B256" s="6" t="str">
        <f t="shared" si="1"/>
        <v>149.848</v>
      </c>
      <c r="C256" s="6" t="str">
        <f t="shared" si="2"/>
        <v>149,848</v>
      </c>
      <c r="D256" s="6">
        <f t="shared" si="3"/>
        <v>149.848</v>
      </c>
      <c r="E256" s="6">
        <f t="shared" si="4"/>
        <v>0.542</v>
      </c>
    </row>
    <row r="257">
      <c r="A257" s="4" t="s">
        <v>6268</v>
      </c>
      <c r="B257" s="6" t="str">
        <f t="shared" si="1"/>
        <v>150.295</v>
      </c>
      <c r="C257" s="6" t="str">
        <f t="shared" si="2"/>
        <v>150,295</v>
      </c>
      <c r="D257" s="6">
        <f t="shared" si="3"/>
        <v>150.295</v>
      </c>
      <c r="E257" s="6">
        <f t="shared" si="4"/>
        <v>0.447</v>
      </c>
    </row>
    <row r="258">
      <c r="A258" s="4" t="s">
        <v>6269</v>
      </c>
      <c r="B258" s="6" t="str">
        <f t="shared" si="1"/>
        <v>150.830</v>
      </c>
      <c r="C258" s="6" t="str">
        <f t="shared" si="2"/>
        <v>150,830</v>
      </c>
      <c r="D258" s="6">
        <f t="shared" si="3"/>
        <v>150.83</v>
      </c>
      <c r="E258" s="6">
        <f t="shared" si="4"/>
        <v>0.535</v>
      </c>
    </row>
    <row r="259">
      <c r="A259" s="4" t="s">
        <v>6270</v>
      </c>
      <c r="B259" s="6" t="str">
        <f t="shared" si="1"/>
        <v>151.265</v>
      </c>
      <c r="C259" s="6" t="str">
        <f t="shared" si="2"/>
        <v>151,265</v>
      </c>
      <c r="D259" s="6">
        <f t="shared" si="3"/>
        <v>151.265</v>
      </c>
      <c r="E259" s="6">
        <f t="shared" si="4"/>
        <v>0.435</v>
      </c>
    </row>
    <row r="260">
      <c r="A260" s="4" t="s">
        <v>6271</v>
      </c>
      <c r="B260" s="6" t="str">
        <f t="shared" si="1"/>
        <v>151.809</v>
      </c>
      <c r="C260" s="6" t="str">
        <f t="shared" si="2"/>
        <v>151,809</v>
      </c>
      <c r="D260" s="6">
        <f t="shared" si="3"/>
        <v>151.809</v>
      </c>
      <c r="E260" s="6">
        <f t="shared" si="4"/>
        <v>0.544</v>
      </c>
    </row>
    <row r="261">
      <c r="A261" s="4" t="s">
        <v>6272</v>
      </c>
      <c r="B261" s="6" t="str">
        <f t="shared" si="1"/>
        <v>152.353</v>
      </c>
      <c r="C261" s="6" t="str">
        <f t="shared" si="2"/>
        <v>152,353</v>
      </c>
      <c r="D261" s="6">
        <f t="shared" si="3"/>
        <v>152.353</v>
      </c>
      <c r="E261" s="6">
        <f t="shared" si="4"/>
        <v>0.544</v>
      </c>
    </row>
    <row r="262">
      <c r="A262" s="4" t="s">
        <v>6273</v>
      </c>
      <c r="B262" s="6" t="str">
        <f t="shared" si="1"/>
        <v>152.790</v>
      </c>
      <c r="C262" s="6" t="str">
        <f t="shared" si="2"/>
        <v>152,790</v>
      </c>
      <c r="D262" s="6">
        <f t="shared" si="3"/>
        <v>152.79</v>
      </c>
      <c r="E262" s="6">
        <f t="shared" si="4"/>
        <v>0.437</v>
      </c>
    </row>
    <row r="263">
      <c r="A263" s="4" t="s">
        <v>6274</v>
      </c>
      <c r="B263" s="6" t="str">
        <f t="shared" si="1"/>
        <v>153.334</v>
      </c>
      <c r="C263" s="6" t="str">
        <f t="shared" si="2"/>
        <v>153,334</v>
      </c>
      <c r="D263" s="6">
        <f t="shared" si="3"/>
        <v>153.334</v>
      </c>
      <c r="E263" s="6">
        <f t="shared" si="4"/>
        <v>0.544</v>
      </c>
    </row>
    <row r="264">
      <c r="A264" s="4" t="s">
        <v>6275</v>
      </c>
      <c r="B264" s="6" t="str">
        <f t="shared" si="1"/>
        <v>153.879</v>
      </c>
      <c r="C264" s="6" t="str">
        <f t="shared" si="2"/>
        <v>153,879</v>
      </c>
      <c r="D264" s="6">
        <f t="shared" si="3"/>
        <v>153.879</v>
      </c>
      <c r="E264" s="6">
        <f t="shared" si="4"/>
        <v>0.545</v>
      </c>
    </row>
    <row r="265">
      <c r="A265" s="4" t="s">
        <v>6276</v>
      </c>
      <c r="B265" s="6" t="str">
        <f t="shared" si="1"/>
        <v>154.314</v>
      </c>
      <c r="C265" s="6" t="str">
        <f t="shared" si="2"/>
        <v>154,314</v>
      </c>
      <c r="D265" s="6">
        <f t="shared" si="3"/>
        <v>154.314</v>
      </c>
      <c r="E265" s="6">
        <f t="shared" si="4"/>
        <v>0.435</v>
      </c>
    </row>
    <row r="266">
      <c r="A266" s="4" t="s">
        <v>6277</v>
      </c>
      <c r="B266" s="6" t="str">
        <f t="shared" si="1"/>
        <v>154.854</v>
      </c>
      <c r="C266" s="6" t="str">
        <f t="shared" si="2"/>
        <v>154,854</v>
      </c>
      <c r="D266" s="6">
        <f t="shared" si="3"/>
        <v>154.854</v>
      </c>
      <c r="E266" s="6">
        <f t="shared" si="4"/>
        <v>0.54</v>
      </c>
    </row>
    <row r="267">
      <c r="A267" s="4" t="s">
        <v>6278</v>
      </c>
      <c r="B267" s="6" t="str">
        <f t="shared" si="1"/>
        <v>155.398</v>
      </c>
      <c r="C267" s="6" t="str">
        <f t="shared" si="2"/>
        <v>155,398</v>
      </c>
      <c r="D267" s="6">
        <f t="shared" si="3"/>
        <v>155.398</v>
      </c>
      <c r="E267" s="6">
        <f t="shared" si="4"/>
        <v>0.544</v>
      </c>
    </row>
    <row r="268">
      <c r="A268" s="4" t="s">
        <v>6279</v>
      </c>
      <c r="B268" s="6" t="str">
        <f t="shared" si="1"/>
        <v>155.834</v>
      </c>
      <c r="C268" s="6" t="str">
        <f t="shared" si="2"/>
        <v>155,834</v>
      </c>
      <c r="D268" s="6">
        <f t="shared" si="3"/>
        <v>155.834</v>
      </c>
      <c r="E268" s="6">
        <f t="shared" si="4"/>
        <v>0.436</v>
      </c>
    </row>
    <row r="269">
      <c r="A269" s="4" t="s">
        <v>6280</v>
      </c>
      <c r="B269" s="6" t="str">
        <f t="shared" si="1"/>
        <v>156.380</v>
      </c>
      <c r="C269" s="6" t="str">
        <f t="shared" si="2"/>
        <v>156,380</v>
      </c>
      <c r="D269" s="6">
        <f t="shared" si="3"/>
        <v>156.38</v>
      </c>
      <c r="E269" s="6">
        <f t="shared" si="4"/>
        <v>0.546</v>
      </c>
    </row>
    <row r="270">
      <c r="A270" s="4" t="s">
        <v>6281</v>
      </c>
      <c r="B270" s="6" t="str">
        <f t="shared" si="1"/>
        <v>156.817</v>
      </c>
      <c r="C270" s="6" t="str">
        <f t="shared" si="2"/>
        <v>156,817</v>
      </c>
      <c r="D270" s="6">
        <f t="shared" si="3"/>
        <v>156.817</v>
      </c>
      <c r="E270" s="6">
        <f t="shared" si="4"/>
        <v>0.437</v>
      </c>
    </row>
    <row r="271">
      <c r="A271" s="4" t="s">
        <v>6282</v>
      </c>
      <c r="B271" s="6" t="str">
        <f t="shared" si="1"/>
        <v>157.358</v>
      </c>
      <c r="C271" s="6" t="str">
        <f t="shared" si="2"/>
        <v>157,358</v>
      </c>
      <c r="D271" s="6">
        <f t="shared" si="3"/>
        <v>157.358</v>
      </c>
      <c r="E271" s="6">
        <f t="shared" si="4"/>
        <v>0.541</v>
      </c>
    </row>
    <row r="272">
      <c r="A272" s="4" t="s">
        <v>6283</v>
      </c>
      <c r="B272" s="6" t="str">
        <f t="shared" si="1"/>
        <v>157.917</v>
      </c>
      <c r="C272" s="6" t="str">
        <f t="shared" si="2"/>
        <v>157,917</v>
      </c>
      <c r="D272" s="6">
        <f t="shared" si="3"/>
        <v>157.917</v>
      </c>
      <c r="E272" s="6">
        <f t="shared" si="4"/>
        <v>0.559</v>
      </c>
    </row>
    <row r="273">
      <c r="A273" s="4" t="s">
        <v>6284</v>
      </c>
      <c r="B273" s="6" t="str">
        <f t="shared" si="1"/>
        <v>158.445</v>
      </c>
      <c r="C273" s="6" t="str">
        <f t="shared" si="2"/>
        <v>158,445</v>
      </c>
      <c r="D273" s="6">
        <f t="shared" si="3"/>
        <v>158.445</v>
      </c>
      <c r="E273" s="6">
        <f t="shared" si="4"/>
        <v>0.528</v>
      </c>
    </row>
    <row r="274">
      <c r="A274" s="4" t="s">
        <v>6285</v>
      </c>
      <c r="B274" s="6" t="str">
        <f t="shared" si="1"/>
        <v>159.169</v>
      </c>
      <c r="C274" s="6" t="str">
        <f t="shared" si="2"/>
        <v>159,169</v>
      </c>
      <c r="D274" s="6">
        <f t="shared" si="3"/>
        <v>159.169</v>
      </c>
      <c r="E274" s="6">
        <f t="shared" si="4"/>
        <v>0.724</v>
      </c>
    </row>
    <row r="275">
      <c r="A275" s="4" t="s">
        <v>6286</v>
      </c>
      <c r="B275" s="6" t="str">
        <f t="shared" si="1"/>
        <v>159.422</v>
      </c>
      <c r="C275" s="6" t="str">
        <f t="shared" si="2"/>
        <v>159,422</v>
      </c>
      <c r="D275" s="6">
        <f t="shared" si="3"/>
        <v>159.422</v>
      </c>
      <c r="E275" s="6">
        <f t="shared" si="4"/>
        <v>0.253</v>
      </c>
    </row>
    <row r="276">
      <c r="A276" s="4" t="s">
        <v>6287</v>
      </c>
      <c r="B276" s="6" t="str">
        <f t="shared" si="1"/>
        <v>159.964</v>
      </c>
      <c r="C276" s="6" t="str">
        <f t="shared" si="2"/>
        <v>159,964</v>
      </c>
      <c r="D276" s="6">
        <f t="shared" si="3"/>
        <v>159.964</v>
      </c>
      <c r="E276" s="6">
        <f t="shared" si="4"/>
        <v>0.542</v>
      </c>
    </row>
    <row r="277">
      <c r="A277" s="4" t="s">
        <v>6288</v>
      </c>
      <c r="B277" s="6" t="str">
        <f t="shared" si="1"/>
        <v>160.401</v>
      </c>
      <c r="C277" s="6" t="str">
        <f t="shared" si="2"/>
        <v>160,401</v>
      </c>
      <c r="D277" s="6">
        <f t="shared" si="3"/>
        <v>160.401</v>
      </c>
      <c r="E277" s="6">
        <f t="shared" si="4"/>
        <v>0.437</v>
      </c>
    </row>
    <row r="278">
      <c r="A278" s="4" t="s">
        <v>6289</v>
      </c>
      <c r="B278" s="6" t="str">
        <f t="shared" si="1"/>
        <v>160.942</v>
      </c>
      <c r="C278" s="6" t="str">
        <f t="shared" si="2"/>
        <v>160,942</v>
      </c>
      <c r="D278" s="6">
        <f t="shared" si="3"/>
        <v>160.942</v>
      </c>
      <c r="E278" s="6">
        <f t="shared" si="4"/>
        <v>0.541</v>
      </c>
    </row>
    <row r="279">
      <c r="A279" s="4" t="s">
        <v>6290</v>
      </c>
      <c r="B279" s="6" t="str">
        <f t="shared" si="1"/>
        <v>161.502</v>
      </c>
      <c r="C279" s="6" t="str">
        <f t="shared" si="2"/>
        <v>161,502</v>
      </c>
      <c r="D279" s="6">
        <f t="shared" si="3"/>
        <v>161.502</v>
      </c>
      <c r="E279" s="6">
        <f t="shared" si="4"/>
        <v>0.56</v>
      </c>
    </row>
    <row r="280">
      <c r="A280" s="4" t="s">
        <v>6291</v>
      </c>
      <c r="B280" s="6" t="str">
        <f t="shared" si="1"/>
        <v>161.917</v>
      </c>
      <c r="C280" s="6" t="str">
        <f t="shared" si="2"/>
        <v>161,917</v>
      </c>
      <c r="D280" s="6">
        <f t="shared" si="3"/>
        <v>161.917</v>
      </c>
      <c r="E280" s="6">
        <f t="shared" si="4"/>
        <v>0.415</v>
      </c>
    </row>
    <row r="281">
      <c r="A281" s="4" t="s">
        <v>6292</v>
      </c>
      <c r="B281" s="6" t="str">
        <f t="shared" si="1"/>
        <v>162.463</v>
      </c>
      <c r="C281" s="6" t="str">
        <f t="shared" si="2"/>
        <v>162,463</v>
      </c>
      <c r="D281" s="6">
        <f t="shared" si="3"/>
        <v>162.463</v>
      </c>
      <c r="E281" s="6">
        <f t="shared" si="4"/>
        <v>0.546</v>
      </c>
    </row>
    <row r="282">
      <c r="A282" s="4" t="s">
        <v>6293</v>
      </c>
      <c r="B282" s="6" t="str">
        <f t="shared" si="1"/>
        <v>162.899</v>
      </c>
      <c r="C282" s="6" t="str">
        <f t="shared" si="2"/>
        <v>162,899</v>
      </c>
      <c r="D282" s="6">
        <f t="shared" si="3"/>
        <v>162.899</v>
      </c>
      <c r="E282" s="6">
        <f t="shared" si="4"/>
        <v>0.436</v>
      </c>
    </row>
    <row r="283">
      <c r="A283" s="4" t="s">
        <v>6294</v>
      </c>
      <c r="B283" s="6" t="str">
        <f t="shared" si="1"/>
        <v>163.444</v>
      </c>
      <c r="C283" s="6" t="str">
        <f t="shared" si="2"/>
        <v>163,444</v>
      </c>
      <c r="D283" s="6">
        <f t="shared" si="3"/>
        <v>163.444</v>
      </c>
      <c r="E283" s="6">
        <f t="shared" si="4"/>
        <v>0.545</v>
      </c>
    </row>
    <row r="284">
      <c r="A284" s="4" t="s">
        <v>6295</v>
      </c>
      <c r="B284" s="6" t="str">
        <f t="shared" si="1"/>
        <v>163.988</v>
      </c>
      <c r="C284" s="6" t="str">
        <f t="shared" si="2"/>
        <v>163,988</v>
      </c>
      <c r="D284" s="6">
        <f t="shared" si="3"/>
        <v>163.988</v>
      </c>
      <c r="E284" s="6">
        <f t="shared" si="4"/>
        <v>0.544</v>
      </c>
    </row>
    <row r="285">
      <c r="A285" s="4" t="s">
        <v>6296</v>
      </c>
      <c r="B285" s="6" t="str">
        <f t="shared" si="1"/>
        <v>164.438</v>
      </c>
      <c r="C285" s="6" t="str">
        <f t="shared" si="2"/>
        <v>164,438</v>
      </c>
      <c r="D285" s="6">
        <f t="shared" si="3"/>
        <v>164.438</v>
      </c>
      <c r="E285" s="6">
        <f t="shared" si="4"/>
        <v>0.45</v>
      </c>
    </row>
    <row r="286">
      <c r="A286" s="4" t="s">
        <v>6297</v>
      </c>
      <c r="B286" s="6" t="str">
        <f t="shared" si="1"/>
        <v>165.017</v>
      </c>
      <c r="C286" s="6" t="str">
        <f t="shared" si="2"/>
        <v>165,017</v>
      </c>
      <c r="D286" s="6">
        <f t="shared" si="3"/>
        <v>165.017</v>
      </c>
      <c r="E286" s="6">
        <f t="shared" si="4"/>
        <v>0.579</v>
      </c>
    </row>
    <row r="287">
      <c r="A287" s="4" t="s">
        <v>6298</v>
      </c>
      <c r="B287" s="6" t="str">
        <f t="shared" si="1"/>
        <v>165.505</v>
      </c>
      <c r="C287" s="6" t="str">
        <f t="shared" si="2"/>
        <v>165,505</v>
      </c>
      <c r="D287" s="6">
        <f t="shared" si="3"/>
        <v>165.505</v>
      </c>
      <c r="E287" s="6">
        <f t="shared" si="4"/>
        <v>0.488</v>
      </c>
    </row>
    <row r="288">
      <c r="A288" s="4" t="s">
        <v>6299</v>
      </c>
      <c r="B288" s="6" t="str">
        <f t="shared" si="1"/>
        <v>165.944</v>
      </c>
      <c r="C288" s="6" t="str">
        <f t="shared" si="2"/>
        <v>165,944</v>
      </c>
      <c r="D288" s="6">
        <f t="shared" si="3"/>
        <v>165.944</v>
      </c>
      <c r="E288" s="6">
        <f t="shared" si="4"/>
        <v>0.439</v>
      </c>
    </row>
    <row r="289">
      <c r="A289" s="4" t="s">
        <v>6300</v>
      </c>
      <c r="B289" s="6" t="str">
        <f t="shared" si="1"/>
        <v>166.488</v>
      </c>
      <c r="C289" s="6" t="str">
        <f t="shared" si="2"/>
        <v>166,488</v>
      </c>
      <c r="D289" s="6">
        <f t="shared" si="3"/>
        <v>166.488</v>
      </c>
      <c r="E289" s="6">
        <f t="shared" si="4"/>
        <v>0.544</v>
      </c>
    </row>
    <row r="290">
      <c r="A290" s="4" t="s">
        <v>6301</v>
      </c>
      <c r="B290" s="6" t="str">
        <f t="shared" si="1"/>
        <v>167.035</v>
      </c>
      <c r="C290" s="6" t="str">
        <f t="shared" si="2"/>
        <v>167,035</v>
      </c>
      <c r="D290" s="6">
        <f t="shared" si="3"/>
        <v>167.035</v>
      </c>
      <c r="E290" s="6">
        <f t="shared" si="4"/>
        <v>0.547</v>
      </c>
    </row>
    <row r="291">
      <c r="A291" s="4" t="s">
        <v>6302</v>
      </c>
      <c r="B291" s="6" t="str">
        <f t="shared" si="1"/>
        <v>167.470</v>
      </c>
      <c r="C291" s="6" t="str">
        <f t="shared" si="2"/>
        <v>167,470</v>
      </c>
      <c r="D291" s="6">
        <f t="shared" si="3"/>
        <v>167.47</v>
      </c>
      <c r="E291" s="6">
        <f t="shared" si="4"/>
        <v>0.435</v>
      </c>
    </row>
    <row r="292">
      <c r="A292" s="4" t="s">
        <v>6303</v>
      </c>
      <c r="B292" s="6" t="str">
        <f t="shared" si="1"/>
        <v>168.017</v>
      </c>
      <c r="C292" s="6" t="str">
        <f t="shared" si="2"/>
        <v>168,017</v>
      </c>
      <c r="D292" s="6">
        <f t="shared" si="3"/>
        <v>168.017</v>
      </c>
      <c r="E292" s="6">
        <f t="shared" si="4"/>
        <v>0.547</v>
      </c>
    </row>
    <row r="293">
      <c r="A293" s="4" t="s">
        <v>6304</v>
      </c>
      <c r="B293" s="6" t="str">
        <f t="shared" si="1"/>
        <v>168.562</v>
      </c>
      <c r="C293" s="6" t="str">
        <f t="shared" si="2"/>
        <v>168,562</v>
      </c>
      <c r="D293" s="6">
        <f t="shared" si="3"/>
        <v>168.562</v>
      </c>
      <c r="E293" s="6">
        <f t="shared" si="4"/>
        <v>0.545</v>
      </c>
    </row>
    <row r="294">
      <c r="A294" s="4" t="s">
        <v>6305</v>
      </c>
      <c r="B294" s="6" t="str">
        <f t="shared" si="1"/>
        <v>168.996</v>
      </c>
      <c r="C294" s="6" t="str">
        <f t="shared" si="2"/>
        <v>168,996</v>
      </c>
      <c r="D294" s="6">
        <f t="shared" si="3"/>
        <v>168.996</v>
      </c>
      <c r="E294" s="6">
        <f t="shared" si="4"/>
        <v>0.434</v>
      </c>
    </row>
    <row r="295">
      <c r="A295" s="4" t="s">
        <v>6306</v>
      </c>
      <c r="B295" s="6" t="str">
        <f t="shared" si="1"/>
        <v>169.541</v>
      </c>
      <c r="C295" s="6" t="str">
        <f t="shared" si="2"/>
        <v>169,541</v>
      </c>
      <c r="D295" s="6">
        <f t="shared" si="3"/>
        <v>169.541</v>
      </c>
      <c r="E295" s="6">
        <f t="shared" si="4"/>
        <v>0.545</v>
      </c>
    </row>
    <row r="296">
      <c r="A296" s="4" t="s">
        <v>6307</v>
      </c>
      <c r="B296" s="6" t="str">
        <f t="shared" si="1"/>
        <v>169.978</v>
      </c>
      <c r="C296" s="6" t="str">
        <f t="shared" si="2"/>
        <v>169,978</v>
      </c>
      <c r="D296" s="6">
        <f t="shared" si="3"/>
        <v>169.978</v>
      </c>
      <c r="E296" s="6">
        <f t="shared" si="4"/>
        <v>0.437</v>
      </c>
    </row>
    <row r="297">
      <c r="A297" s="4" t="s">
        <v>6308</v>
      </c>
      <c r="B297" s="6" t="str">
        <f t="shared" si="1"/>
        <v>170.519</v>
      </c>
      <c r="C297" s="6" t="str">
        <f t="shared" si="2"/>
        <v>170,519</v>
      </c>
      <c r="D297" s="6">
        <f t="shared" si="3"/>
        <v>170.519</v>
      </c>
      <c r="E297" s="6">
        <f t="shared" si="4"/>
        <v>0.541</v>
      </c>
    </row>
    <row r="298">
      <c r="A298" s="4" t="s">
        <v>6309</v>
      </c>
      <c r="B298" s="6" t="str">
        <f t="shared" si="1"/>
        <v>171.062</v>
      </c>
      <c r="C298" s="6" t="str">
        <f t="shared" si="2"/>
        <v>171,062</v>
      </c>
      <c r="D298" s="6">
        <f t="shared" si="3"/>
        <v>171.062</v>
      </c>
      <c r="E298" s="6">
        <f t="shared" si="4"/>
        <v>0.543</v>
      </c>
    </row>
    <row r="299">
      <c r="A299" s="4" t="s">
        <v>6310</v>
      </c>
      <c r="B299" s="6" t="str">
        <f t="shared" si="1"/>
        <v>171.498</v>
      </c>
      <c r="C299" s="6" t="str">
        <f t="shared" si="2"/>
        <v>171,498</v>
      </c>
      <c r="D299" s="6">
        <f t="shared" si="3"/>
        <v>171.498</v>
      </c>
      <c r="E299" s="6">
        <f t="shared" si="4"/>
        <v>0.436</v>
      </c>
    </row>
    <row r="300">
      <c r="A300" s="4" t="s">
        <v>6311</v>
      </c>
      <c r="B300" s="6" t="str">
        <f t="shared" si="1"/>
        <v>172.044</v>
      </c>
      <c r="C300" s="6" t="str">
        <f t="shared" si="2"/>
        <v>172,044</v>
      </c>
      <c r="D300" s="6">
        <f t="shared" si="3"/>
        <v>172.044</v>
      </c>
      <c r="E300" s="6">
        <f t="shared" si="4"/>
        <v>0.546</v>
      </c>
    </row>
    <row r="301">
      <c r="A301" s="4" t="s">
        <v>6312</v>
      </c>
      <c r="B301" s="6" t="str">
        <f t="shared" si="1"/>
        <v>172.590</v>
      </c>
      <c r="C301" s="6" t="str">
        <f t="shared" si="2"/>
        <v>172,590</v>
      </c>
      <c r="D301" s="6">
        <f t="shared" si="3"/>
        <v>172.59</v>
      </c>
      <c r="E301" s="6">
        <f t="shared" si="4"/>
        <v>0.546</v>
      </c>
    </row>
    <row r="302">
      <c r="A302" s="4" t="s">
        <v>6313</v>
      </c>
      <c r="B302" s="6" t="str">
        <f t="shared" si="1"/>
        <v>173.027</v>
      </c>
      <c r="C302" s="6" t="str">
        <f t="shared" si="2"/>
        <v>173,027</v>
      </c>
      <c r="D302" s="6">
        <f t="shared" si="3"/>
        <v>173.027</v>
      </c>
      <c r="E302" s="6">
        <f t="shared" si="4"/>
        <v>0.437</v>
      </c>
    </row>
    <row r="303">
      <c r="A303" s="4" t="s">
        <v>6314</v>
      </c>
      <c r="B303" s="6" t="str">
        <f t="shared" si="1"/>
        <v>173.568</v>
      </c>
      <c r="C303" s="6" t="str">
        <f t="shared" si="2"/>
        <v>173,568</v>
      </c>
      <c r="D303" s="6">
        <f t="shared" si="3"/>
        <v>173.568</v>
      </c>
      <c r="E303" s="6">
        <f t="shared" si="4"/>
        <v>0.541</v>
      </c>
    </row>
    <row r="304">
      <c r="A304" s="4" t="s">
        <v>6315</v>
      </c>
      <c r="B304" s="6" t="str">
        <f t="shared" si="1"/>
        <v>174.112</v>
      </c>
      <c r="C304" s="6" t="str">
        <f t="shared" si="2"/>
        <v>174,112</v>
      </c>
      <c r="D304" s="6">
        <f t="shared" si="3"/>
        <v>174.112</v>
      </c>
      <c r="E304" s="6">
        <f t="shared" si="4"/>
        <v>0.544</v>
      </c>
    </row>
    <row r="305">
      <c r="A305" s="4" t="s">
        <v>6316</v>
      </c>
      <c r="B305" s="6" t="str">
        <f t="shared" si="1"/>
        <v>174.547</v>
      </c>
      <c r="C305" s="6" t="str">
        <f t="shared" si="2"/>
        <v>174,547</v>
      </c>
      <c r="D305" s="6">
        <f t="shared" si="3"/>
        <v>174.547</v>
      </c>
      <c r="E305" s="6">
        <f t="shared" si="4"/>
        <v>0.435</v>
      </c>
    </row>
    <row r="306">
      <c r="A306" s="4" t="s">
        <v>6317</v>
      </c>
      <c r="B306" s="6" t="str">
        <f t="shared" si="1"/>
        <v>175.094</v>
      </c>
      <c r="C306" s="6" t="str">
        <f t="shared" si="2"/>
        <v>175,094</v>
      </c>
      <c r="D306" s="6">
        <f t="shared" si="3"/>
        <v>175.094</v>
      </c>
      <c r="E306" s="6">
        <f t="shared" si="4"/>
        <v>0.547</v>
      </c>
    </row>
    <row r="307">
      <c r="A307" s="4" t="s">
        <v>6318</v>
      </c>
      <c r="B307" s="6" t="str">
        <f t="shared" si="1"/>
        <v>175.639</v>
      </c>
      <c r="C307" s="6" t="str">
        <f t="shared" si="2"/>
        <v>175,639</v>
      </c>
      <c r="D307" s="6">
        <f t="shared" si="3"/>
        <v>175.639</v>
      </c>
      <c r="E307" s="6">
        <f t="shared" si="4"/>
        <v>0.545</v>
      </c>
    </row>
    <row r="308">
      <c r="A308" s="4" t="s">
        <v>6319</v>
      </c>
      <c r="B308" s="6" t="str">
        <f t="shared" si="1"/>
        <v>176.081</v>
      </c>
      <c r="C308" s="6" t="str">
        <f t="shared" si="2"/>
        <v>176,081</v>
      </c>
      <c r="D308" s="6">
        <f t="shared" si="3"/>
        <v>176.081</v>
      </c>
      <c r="E308" s="6">
        <f t="shared" si="4"/>
        <v>0.442</v>
      </c>
    </row>
    <row r="309">
      <c r="A309" s="4" t="s">
        <v>6320</v>
      </c>
      <c r="B309" s="6" t="str">
        <f t="shared" si="1"/>
        <v>176.615</v>
      </c>
      <c r="C309" s="6" t="str">
        <f t="shared" si="2"/>
        <v>176,615</v>
      </c>
      <c r="D309" s="6">
        <f t="shared" si="3"/>
        <v>176.615</v>
      </c>
      <c r="E309" s="6">
        <f t="shared" si="4"/>
        <v>0.534</v>
      </c>
    </row>
    <row r="310">
      <c r="A310" s="4" t="s">
        <v>6321</v>
      </c>
      <c r="B310" s="6" t="str">
        <f t="shared" si="1"/>
        <v>177.156</v>
      </c>
      <c r="C310" s="6" t="str">
        <f t="shared" si="2"/>
        <v>177,156</v>
      </c>
      <c r="D310" s="6">
        <f t="shared" si="3"/>
        <v>177.156</v>
      </c>
      <c r="E310" s="6">
        <f t="shared" si="4"/>
        <v>0.541</v>
      </c>
    </row>
    <row r="311">
      <c r="A311" s="4" t="s">
        <v>6322</v>
      </c>
      <c r="B311" s="6" t="str">
        <f t="shared" si="1"/>
        <v>177.592</v>
      </c>
      <c r="C311" s="6" t="str">
        <f t="shared" si="2"/>
        <v>177,592</v>
      </c>
      <c r="D311" s="6">
        <f t="shared" si="3"/>
        <v>177.592</v>
      </c>
      <c r="E311" s="6">
        <f t="shared" si="4"/>
        <v>0.436</v>
      </c>
    </row>
    <row r="312">
      <c r="A312" s="4" t="s">
        <v>6323</v>
      </c>
      <c r="B312" s="6" t="str">
        <f t="shared" si="1"/>
        <v>178.136</v>
      </c>
      <c r="C312" s="6" t="str">
        <f t="shared" si="2"/>
        <v>178,136</v>
      </c>
      <c r="D312" s="6">
        <f t="shared" si="3"/>
        <v>178.136</v>
      </c>
      <c r="E312" s="6">
        <f t="shared" si="4"/>
        <v>0.544</v>
      </c>
    </row>
    <row r="313">
      <c r="A313" s="4" t="s">
        <v>6324</v>
      </c>
      <c r="B313" s="6" t="str">
        <f t="shared" si="1"/>
        <v>178.678</v>
      </c>
      <c r="C313" s="6" t="str">
        <f t="shared" si="2"/>
        <v>178,678</v>
      </c>
      <c r="D313" s="6">
        <f t="shared" si="3"/>
        <v>178.678</v>
      </c>
      <c r="E313" s="6">
        <f t="shared" si="4"/>
        <v>0.542</v>
      </c>
    </row>
    <row r="314">
      <c r="A314" s="4" t="s">
        <v>6325</v>
      </c>
      <c r="B314" s="6" t="str">
        <f t="shared" si="1"/>
        <v>179.114</v>
      </c>
      <c r="C314" s="6" t="str">
        <f t="shared" si="2"/>
        <v>179,114</v>
      </c>
      <c r="D314" s="6">
        <f t="shared" si="3"/>
        <v>179.114</v>
      </c>
      <c r="E314" s="6">
        <f t="shared" si="4"/>
        <v>0.436</v>
      </c>
    </row>
    <row r="315">
      <c r="A315" s="4" t="s">
        <v>6326</v>
      </c>
      <c r="B315" s="6" t="str">
        <f t="shared" si="1"/>
        <v>179.658</v>
      </c>
      <c r="C315" s="6" t="str">
        <f t="shared" si="2"/>
        <v>179,658</v>
      </c>
      <c r="D315" s="6">
        <f t="shared" si="3"/>
        <v>179.658</v>
      </c>
      <c r="E315" s="6">
        <f t="shared" si="4"/>
        <v>0.544</v>
      </c>
    </row>
    <row r="316">
      <c r="A316" s="4" t="s">
        <v>6327</v>
      </c>
      <c r="B316" s="6" t="str">
        <f t="shared" si="1"/>
        <v>180.093</v>
      </c>
      <c r="C316" s="6" t="str">
        <f t="shared" si="2"/>
        <v>180,093</v>
      </c>
      <c r="D316" s="6">
        <f t="shared" si="3"/>
        <v>180.093</v>
      </c>
      <c r="E316" s="6">
        <f t="shared" si="4"/>
        <v>0.435</v>
      </c>
    </row>
    <row r="317">
      <c r="A317" s="4" t="s">
        <v>6328</v>
      </c>
      <c r="B317" s="6" t="str">
        <f t="shared" si="1"/>
        <v>180.639</v>
      </c>
      <c r="C317" s="6" t="str">
        <f t="shared" si="2"/>
        <v>180,639</v>
      </c>
      <c r="D317" s="6">
        <f t="shared" si="3"/>
        <v>180.639</v>
      </c>
      <c r="E317" s="6">
        <f t="shared" si="4"/>
        <v>0.546</v>
      </c>
    </row>
    <row r="318">
      <c r="A318" s="4" t="s">
        <v>6329</v>
      </c>
      <c r="B318" s="6" t="str">
        <f t="shared" si="1"/>
        <v>181.180</v>
      </c>
      <c r="C318" s="6" t="str">
        <f t="shared" si="2"/>
        <v>181,180</v>
      </c>
      <c r="D318" s="6">
        <f t="shared" si="3"/>
        <v>181.18</v>
      </c>
      <c r="E318" s="6">
        <f t="shared" si="4"/>
        <v>0.541</v>
      </c>
    </row>
    <row r="319">
      <c r="A319" s="4" t="s">
        <v>6330</v>
      </c>
      <c r="B319" s="6" t="str">
        <f t="shared" si="1"/>
        <v>181.616</v>
      </c>
      <c r="C319" s="6" t="str">
        <f t="shared" si="2"/>
        <v>181,616</v>
      </c>
      <c r="D319" s="6">
        <f t="shared" si="3"/>
        <v>181.616</v>
      </c>
      <c r="E319" s="6">
        <f t="shared" si="4"/>
        <v>0.436</v>
      </c>
    </row>
    <row r="320">
      <c r="A320" s="4" t="s">
        <v>6331</v>
      </c>
      <c r="B320" s="6" t="str">
        <f t="shared" si="1"/>
        <v>182.168</v>
      </c>
      <c r="C320" s="6" t="str">
        <f t="shared" si="2"/>
        <v>182,168</v>
      </c>
      <c r="D320" s="6">
        <f t="shared" si="3"/>
        <v>182.168</v>
      </c>
      <c r="E320" s="6">
        <f t="shared" si="4"/>
        <v>0.552</v>
      </c>
    </row>
    <row r="321">
      <c r="A321" s="4" t="s">
        <v>6332</v>
      </c>
      <c r="B321" s="6" t="str">
        <f t="shared" si="1"/>
        <v>182.711</v>
      </c>
      <c r="C321" s="6" t="str">
        <f t="shared" si="2"/>
        <v>182,711</v>
      </c>
      <c r="D321" s="6">
        <f t="shared" si="3"/>
        <v>182.711</v>
      </c>
      <c r="E321" s="6">
        <f t="shared" si="4"/>
        <v>0.543</v>
      </c>
    </row>
    <row r="322">
      <c r="A322" s="4" t="s">
        <v>6333</v>
      </c>
      <c r="B322" s="6" t="str">
        <f t="shared" si="1"/>
        <v>183.245</v>
      </c>
      <c r="C322" s="6" t="str">
        <f t="shared" si="2"/>
        <v>183,245</v>
      </c>
      <c r="D322" s="6">
        <f t="shared" si="3"/>
        <v>183.245</v>
      </c>
      <c r="E322" s="6">
        <f t="shared" si="4"/>
        <v>0.534</v>
      </c>
    </row>
    <row r="323">
      <c r="A323" s="4" t="s">
        <v>6334</v>
      </c>
      <c r="B323" s="6" t="str">
        <f t="shared" si="1"/>
        <v>183.687</v>
      </c>
      <c r="C323" s="6" t="str">
        <f t="shared" si="2"/>
        <v>183,687</v>
      </c>
      <c r="D323" s="6">
        <f t="shared" si="3"/>
        <v>183.687</v>
      </c>
      <c r="E323" s="6">
        <f t="shared" si="4"/>
        <v>0.442</v>
      </c>
    </row>
    <row r="324">
      <c r="A324" s="4" t="s">
        <v>6335</v>
      </c>
      <c r="B324" s="6" t="str">
        <f t="shared" si="1"/>
        <v>184.231</v>
      </c>
      <c r="C324" s="6" t="str">
        <f t="shared" si="2"/>
        <v>184,231</v>
      </c>
      <c r="D324" s="6">
        <f t="shared" si="3"/>
        <v>184.231</v>
      </c>
      <c r="E324" s="6">
        <f t="shared" si="4"/>
        <v>0.544</v>
      </c>
    </row>
    <row r="325">
      <c r="A325" s="4" t="s">
        <v>6336</v>
      </c>
      <c r="B325" s="6" t="str">
        <f t="shared" si="1"/>
        <v>184.666</v>
      </c>
      <c r="C325" s="6" t="str">
        <f t="shared" si="2"/>
        <v>184,666</v>
      </c>
      <c r="D325" s="6">
        <f t="shared" si="3"/>
        <v>184.666</v>
      </c>
      <c r="E325" s="6">
        <f t="shared" si="4"/>
        <v>0.435</v>
      </c>
    </row>
    <row r="326">
      <c r="A326" s="4" t="s">
        <v>6337</v>
      </c>
      <c r="B326" s="6" t="str">
        <f t="shared" si="1"/>
        <v>185.209</v>
      </c>
      <c r="C326" s="6" t="str">
        <f t="shared" si="2"/>
        <v>185,209</v>
      </c>
      <c r="D326" s="6">
        <f t="shared" si="3"/>
        <v>185.209</v>
      </c>
      <c r="E326" s="6">
        <f t="shared" si="4"/>
        <v>0.543</v>
      </c>
    </row>
    <row r="327">
      <c r="A327" s="4" t="s">
        <v>6338</v>
      </c>
      <c r="B327" s="6" t="str">
        <f t="shared" si="1"/>
        <v>185.756</v>
      </c>
      <c r="C327" s="6" t="str">
        <f t="shared" si="2"/>
        <v>185,756</v>
      </c>
      <c r="D327" s="6">
        <f t="shared" si="3"/>
        <v>185.756</v>
      </c>
      <c r="E327" s="6">
        <f t="shared" si="4"/>
        <v>0.547</v>
      </c>
    </row>
    <row r="328">
      <c r="A328" s="4" t="s">
        <v>6339</v>
      </c>
      <c r="B328" s="6" t="str">
        <f t="shared" si="1"/>
        <v>186.194</v>
      </c>
      <c r="C328" s="6" t="str">
        <f t="shared" si="2"/>
        <v>186,194</v>
      </c>
      <c r="D328" s="6">
        <f t="shared" si="3"/>
        <v>186.194</v>
      </c>
      <c r="E328" s="6">
        <f t="shared" si="4"/>
        <v>0.438</v>
      </c>
    </row>
    <row r="329">
      <c r="A329" s="4" t="s">
        <v>6340</v>
      </c>
      <c r="B329" s="6" t="str">
        <f t="shared" si="1"/>
        <v>186.734</v>
      </c>
      <c r="C329" s="6" t="str">
        <f t="shared" si="2"/>
        <v>186,734</v>
      </c>
      <c r="D329" s="6">
        <f t="shared" si="3"/>
        <v>186.734</v>
      </c>
      <c r="E329" s="6">
        <f t="shared" si="4"/>
        <v>0.54</v>
      </c>
    </row>
    <row r="330">
      <c r="A330" s="4" t="s">
        <v>6341</v>
      </c>
      <c r="B330" s="6" t="str">
        <f t="shared" si="1"/>
        <v>187.171</v>
      </c>
      <c r="C330" s="6" t="str">
        <f t="shared" si="2"/>
        <v>187,171</v>
      </c>
      <c r="D330" s="6">
        <f t="shared" si="3"/>
        <v>187.171</v>
      </c>
      <c r="E330" s="6">
        <f t="shared" si="4"/>
        <v>0.437</v>
      </c>
    </row>
    <row r="331">
      <c r="A331" s="4" t="s">
        <v>6342</v>
      </c>
      <c r="B331" s="6" t="str">
        <f t="shared" si="1"/>
        <v>187.718</v>
      </c>
      <c r="C331" s="6" t="str">
        <f t="shared" si="2"/>
        <v>187,718</v>
      </c>
      <c r="D331" s="6">
        <f t="shared" si="3"/>
        <v>187.718</v>
      </c>
      <c r="E331" s="6">
        <f t="shared" si="4"/>
        <v>0.547</v>
      </c>
    </row>
    <row r="332">
      <c r="A332" s="4" t="s">
        <v>6343</v>
      </c>
      <c r="B332" s="6" t="str">
        <f t="shared" si="1"/>
        <v>188.259</v>
      </c>
      <c r="C332" s="6" t="str">
        <f t="shared" si="2"/>
        <v>188,259</v>
      </c>
      <c r="D332" s="6">
        <f t="shared" si="3"/>
        <v>188.259</v>
      </c>
      <c r="E332" s="6">
        <f t="shared" si="4"/>
        <v>0.541</v>
      </c>
    </row>
    <row r="333">
      <c r="A333" s="4" t="s">
        <v>6344</v>
      </c>
      <c r="B333" s="6" t="str">
        <f t="shared" si="1"/>
        <v>188.696</v>
      </c>
      <c r="C333" s="6" t="str">
        <f t="shared" si="2"/>
        <v>188,696</v>
      </c>
      <c r="D333" s="6">
        <f t="shared" si="3"/>
        <v>188.696</v>
      </c>
      <c r="E333" s="6">
        <f t="shared" si="4"/>
        <v>0.437</v>
      </c>
    </row>
    <row r="334">
      <c r="A334" s="4" t="s">
        <v>6345</v>
      </c>
      <c r="B334" s="6" t="str">
        <f t="shared" si="1"/>
        <v>189.238</v>
      </c>
      <c r="C334" s="6" t="str">
        <f t="shared" si="2"/>
        <v>189,238</v>
      </c>
      <c r="D334" s="6">
        <f t="shared" si="3"/>
        <v>189.238</v>
      </c>
      <c r="E334" s="6">
        <f t="shared" si="4"/>
        <v>0.542</v>
      </c>
    </row>
    <row r="335">
      <c r="A335" s="4" t="s">
        <v>6346</v>
      </c>
      <c r="B335" s="6" t="str">
        <f t="shared" si="1"/>
        <v>189.789</v>
      </c>
      <c r="C335" s="6" t="str">
        <f t="shared" si="2"/>
        <v>189,789</v>
      </c>
      <c r="D335" s="6">
        <f t="shared" si="3"/>
        <v>189.789</v>
      </c>
      <c r="E335" s="6">
        <f t="shared" si="4"/>
        <v>0.551</v>
      </c>
    </row>
    <row r="336">
      <c r="A336" s="4" t="s">
        <v>6347</v>
      </c>
      <c r="B336" s="6" t="str">
        <f t="shared" si="1"/>
        <v>190.218</v>
      </c>
      <c r="C336" s="6" t="str">
        <f t="shared" si="2"/>
        <v>190,218</v>
      </c>
      <c r="D336" s="6">
        <f t="shared" si="3"/>
        <v>190.218</v>
      </c>
      <c r="E336" s="6">
        <f t="shared" si="4"/>
        <v>0.429</v>
      </c>
    </row>
    <row r="337">
      <c r="A337" s="4" t="s">
        <v>6348</v>
      </c>
      <c r="B337" s="6" t="str">
        <f t="shared" si="1"/>
        <v>190.768</v>
      </c>
      <c r="C337" s="6" t="str">
        <f t="shared" si="2"/>
        <v>190,768</v>
      </c>
      <c r="D337" s="6">
        <f t="shared" si="3"/>
        <v>190.768</v>
      </c>
      <c r="E337" s="6">
        <f t="shared" si="4"/>
        <v>0.55</v>
      </c>
    </row>
    <row r="338">
      <c r="A338" s="4" t="s">
        <v>6349</v>
      </c>
      <c r="B338" s="6" t="str">
        <f t="shared" si="1"/>
        <v>191.312</v>
      </c>
      <c r="C338" s="6" t="str">
        <f t="shared" si="2"/>
        <v>191,312</v>
      </c>
      <c r="D338" s="6">
        <f t="shared" si="3"/>
        <v>191.312</v>
      </c>
      <c r="E338" s="6">
        <f t="shared" si="4"/>
        <v>0.544</v>
      </c>
    </row>
    <row r="339">
      <c r="A339" s="4" t="s">
        <v>6350</v>
      </c>
      <c r="B339" s="6" t="str">
        <f t="shared" si="1"/>
        <v>191.754</v>
      </c>
      <c r="C339" s="6" t="str">
        <f t="shared" si="2"/>
        <v>191,754</v>
      </c>
      <c r="D339" s="6">
        <f t="shared" si="3"/>
        <v>191.754</v>
      </c>
      <c r="E339" s="6">
        <f t="shared" si="4"/>
        <v>0.442</v>
      </c>
    </row>
    <row r="340">
      <c r="A340" s="4" t="s">
        <v>6351</v>
      </c>
      <c r="B340" s="6" t="str">
        <f t="shared" si="1"/>
        <v>192.296</v>
      </c>
      <c r="C340" s="6" t="str">
        <f t="shared" si="2"/>
        <v>192,296</v>
      </c>
      <c r="D340" s="6">
        <f t="shared" si="3"/>
        <v>192.296</v>
      </c>
      <c r="E340" s="6">
        <f t="shared" si="4"/>
        <v>0.542</v>
      </c>
    </row>
    <row r="341">
      <c r="A341" s="4" t="s">
        <v>6352</v>
      </c>
      <c r="B341" s="6" t="str">
        <f t="shared" si="1"/>
        <v>192.730</v>
      </c>
      <c r="C341" s="6" t="str">
        <f t="shared" si="2"/>
        <v>192,730</v>
      </c>
      <c r="D341" s="6">
        <f t="shared" si="3"/>
        <v>192.73</v>
      </c>
      <c r="E341" s="6">
        <f t="shared" si="4"/>
        <v>0.434</v>
      </c>
    </row>
    <row r="342">
      <c r="A342" s="4" t="s">
        <v>6353</v>
      </c>
      <c r="B342" s="6" t="str">
        <f t="shared" si="1"/>
        <v>193.272</v>
      </c>
      <c r="C342" s="6" t="str">
        <f t="shared" si="2"/>
        <v>193,272</v>
      </c>
      <c r="D342" s="6">
        <f t="shared" si="3"/>
        <v>193.272</v>
      </c>
      <c r="E342" s="6">
        <f t="shared" si="4"/>
        <v>0.542</v>
      </c>
    </row>
    <row r="343">
      <c r="A343" s="4" t="s">
        <v>6354</v>
      </c>
      <c r="B343" s="6" t="str">
        <f t="shared" si="1"/>
        <v>193.815</v>
      </c>
      <c r="C343" s="6" t="str">
        <f t="shared" si="2"/>
        <v>193,815</v>
      </c>
      <c r="D343" s="6">
        <f t="shared" si="3"/>
        <v>193.815</v>
      </c>
      <c r="E343" s="6">
        <f t="shared" si="4"/>
        <v>0.543</v>
      </c>
    </row>
    <row r="344">
      <c r="A344" s="4" t="s">
        <v>6355</v>
      </c>
      <c r="B344" s="6" t="str">
        <f t="shared" si="1"/>
        <v>194.250</v>
      </c>
      <c r="C344" s="6" t="str">
        <f t="shared" si="2"/>
        <v>194,250</v>
      </c>
      <c r="D344" s="6">
        <f t="shared" si="3"/>
        <v>194.25</v>
      </c>
      <c r="E344" s="6">
        <f t="shared" si="4"/>
        <v>0.435</v>
      </c>
    </row>
    <row r="345">
      <c r="A345" s="4" t="s">
        <v>6356</v>
      </c>
      <c r="B345" s="6" t="str">
        <f t="shared" si="1"/>
        <v>194.802</v>
      </c>
      <c r="C345" s="6" t="str">
        <f t="shared" si="2"/>
        <v>194,802</v>
      </c>
      <c r="D345" s="6">
        <f t="shared" si="3"/>
        <v>194.802</v>
      </c>
      <c r="E345" s="6">
        <f t="shared" si="4"/>
        <v>0.552</v>
      </c>
    </row>
    <row r="346">
      <c r="A346" s="4" t="s">
        <v>6357</v>
      </c>
      <c r="B346" s="6" t="str">
        <f t="shared" si="1"/>
        <v>195.339</v>
      </c>
      <c r="C346" s="6" t="str">
        <f t="shared" si="2"/>
        <v>195,339</v>
      </c>
      <c r="D346" s="6">
        <f t="shared" si="3"/>
        <v>195.339</v>
      </c>
      <c r="E346" s="6">
        <f t="shared" si="4"/>
        <v>0.537</v>
      </c>
    </row>
    <row r="347">
      <c r="A347" s="4" t="s">
        <v>6358</v>
      </c>
      <c r="B347" s="6" t="str">
        <f t="shared" si="1"/>
        <v>195.771</v>
      </c>
      <c r="C347" s="6" t="str">
        <f t="shared" si="2"/>
        <v>195,771</v>
      </c>
      <c r="D347" s="6">
        <f t="shared" si="3"/>
        <v>195.771</v>
      </c>
      <c r="E347" s="6">
        <f t="shared" si="4"/>
        <v>0.432</v>
      </c>
    </row>
    <row r="348">
      <c r="A348" s="4" t="s">
        <v>6359</v>
      </c>
      <c r="B348" s="6" t="str">
        <f t="shared" si="1"/>
        <v>196.313</v>
      </c>
      <c r="C348" s="6" t="str">
        <f t="shared" si="2"/>
        <v>196,313</v>
      </c>
      <c r="D348" s="6">
        <f t="shared" si="3"/>
        <v>196.313</v>
      </c>
      <c r="E348" s="6">
        <f t="shared" si="4"/>
        <v>0.542</v>
      </c>
    </row>
    <row r="349">
      <c r="A349" s="4" t="s">
        <v>6360</v>
      </c>
      <c r="B349" s="6" t="str">
        <f t="shared" si="1"/>
        <v>196.854</v>
      </c>
      <c r="C349" s="6" t="str">
        <f t="shared" si="2"/>
        <v>196,854</v>
      </c>
      <c r="D349" s="6">
        <f t="shared" si="3"/>
        <v>196.854</v>
      </c>
      <c r="E349" s="6">
        <f t="shared" si="4"/>
        <v>0.541</v>
      </c>
    </row>
    <row r="350">
      <c r="A350" s="4" t="s">
        <v>6361</v>
      </c>
      <c r="B350" s="6" t="str">
        <f t="shared" si="1"/>
        <v>197.288</v>
      </c>
      <c r="C350" s="6" t="str">
        <f t="shared" si="2"/>
        <v>197,288</v>
      </c>
      <c r="D350" s="6">
        <f t="shared" si="3"/>
        <v>197.288</v>
      </c>
      <c r="E350" s="6">
        <f t="shared" si="4"/>
        <v>0.434</v>
      </c>
    </row>
    <row r="351">
      <c r="A351" s="4" t="s">
        <v>6362</v>
      </c>
      <c r="B351" s="6" t="str">
        <f t="shared" si="1"/>
        <v>197.834</v>
      </c>
      <c r="C351" s="6" t="str">
        <f t="shared" si="2"/>
        <v>197,834</v>
      </c>
      <c r="D351" s="6">
        <f t="shared" si="3"/>
        <v>197.834</v>
      </c>
      <c r="E351" s="6">
        <f t="shared" si="4"/>
        <v>0.546</v>
      </c>
    </row>
    <row r="352">
      <c r="A352" s="4" t="s">
        <v>6363</v>
      </c>
      <c r="B352" s="6" t="str">
        <f t="shared" si="1"/>
        <v>198.383</v>
      </c>
      <c r="C352" s="6" t="str">
        <f t="shared" si="2"/>
        <v>198,383</v>
      </c>
      <c r="D352" s="6">
        <f t="shared" si="3"/>
        <v>198.383</v>
      </c>
      <c r="E352" s="6">
        <f t="shared" si="4"/>
        <v>0.549</v>
      </c>
    </row>
    <row r="353">
      <c r="A353" s="4" t="s">
        <v>6364</v>
      </c>
      <c r="B353" s="6" t="str">
        <f t="shared" si="1"/>
        <v>198.811</v>
      </c>
      <c r="C353" s="6" t="str">
        <f t="shared" si="2"/>
        <v>198,811</v>
      </c>
      <c r="D353" s="6">
        <f t="shared" si="3"/>
        <v>198.811</v>
      </c>
      <c r="E353" s="6">
        <f t="shared" si="4"/>
        <v>0.428</v>
      </c>
    </row>
    <row r="354">
      <c r="A354" s="4" t="s">
        <v>6365</v>
      </c>
      <c r="B354" s="6" t="str">
        <f t="shared" si="1"/>
        <v>199.359</v>
      </c>
      <c r="C354" s="6" t="str">
        <f t="shared" si="2"/>
        <v>199,359</v>
      </c>
      <c r="D354" s="6">
        <f t="shared" si="3"/>
        <v>199.359</v>
      </c>
      <c r="E354" s="6">
        <f t="shared" si="4"/>
        <v>0.548</v>
      </c>
    </row>
    <row r="355">
      <c r="A355" s="4" t="s">
        <v>6366</v>
      </c>
      <c r="B355" s="6" t="str">
        <f t="shared" si="1"/>
        <v>199.903</v>
      </c>
      <c r="C355" s="6" t="str">
        <f t="shared" si="2"/>
        <v>199,903</v>
      </c>
      <c r="D355" s="6">
        <f t="shared" si="3"/>
        <v>199.903</v>
      </c>
      <c r="E355" s="6">
        <f t="shared" si="4"/>
        <v>0.544</v>
      </c>
    </row>
    <row r="356">
      <c r="A356" s="4" t="s">
        <v>6367</v>
      </c>
      <c r="B356" s="6" t="str">
        <f t="shared" si="1"/>
        <v>200.338</v>
      </c>
      <c r="C356" s="6" t="str">
        <f t="shared" si="2"/>
        <v>200,338</v>
      </c>
      <c r="D356" s="6">
        <f t="shared" si="3"/>
        <v>200.338</v>
      </c>
      <c r="E356" s="6">
        <f t="shared" si="4"/>
        <v>0.435</v>
      </c>
    </row>
    <row r="357">
      <c r="A357" s="4" t="s">
        <v>6368</v>
      </c>
      <c r="B357" s="6" t="str">
        <f t="shared" si="1"/>
        <v>200.885</v>
      </c>
      <c r="C357" s="6" t="str">
        <f t="shared" si="2"/>
        <v>200,885</v>
      </c>
      <c r="D357" s="6">
        <f t="shared" si="3"/>
        <v>200.885</v>
      </c>
      <c r="E357" s="6">
        <f t="shared" si="4"/>
        <v>0.547</v>
      </c>
    </row>
    <row r="358">
      <c r="A358" s="4" t="s">
        <v>6369</v>
      </c>
      <c r="B358" s="6" t="str">
        <f t="shared" si="1"/>
        <v>201.317</v>
      </c>
      <c r="C358" s="6" t="str">
        <f t="shared" si="2"/>
        <v>201,317</v>
      </c>
      <c r="D358" s="6">
        <f t="shared" si="3"/>
        <v>201.317</v>
      </c>
      <c r="E358" s="6">
        <f t="shared" si="4"/>
        <v>0.432</v>
      </c>
    </row>
    <row r="359">
      <c r="A359" s="4" t="s">
        <v>6370</v>
      </c>
      <c r="B359" s="6" t="str">
        <f t="shared" si="1"/>
        <v>201.860</v>
      </c>
      <c r="C359" s="6" t="str">
        <f t="shared" si="2"/>
        <v>201,860</v>
      </c>
      <c r="D359" s="6">
        <f t="shared" si="3"/>
        <v>201.86</v>
      </c>
      <c r="E359" s="6">
        <f t="shared" si="4"/>
        <v>0.543</v>
      </c>
    </row>
    <row r="360">
      <c r="A360" s="4" t="s">
        <v>6371</v>
      </c>
      <c r="B360" s="6" t="str">
        <f t="shared" si="1"/>
        <v>202.405</v>
      </c>
      <c r="C360" s="6" t="str">
        <f t="shared" si="2"/>
        <v>202,405</v>
      </c>
      <c r="D360" s="6">
        <f t="shared" si="3"/>
        <v>202.405</v>
      </c>
      <c r="E360" s="6">
        <f t="shared" si="4"/>
        <v>0.545</v>
      </c>
    </row>
    <row r="361">
      <c r="A361" s="4" t="s">
        <v>6372</v>
      </c>
      <c r="B361" s="6" t="str">
        <f t="shared" si="1"/>
        <v>202.839</v>
      </c>
      <c r="C361" s="6" t="str">
        <f t="shared" si="2"/>
        <v>202,839</v>
      </c>
      <c r="D361" s="6">
        <f t="shared" si="3"/>
        <v>202.839</v>
      </c>
      <c r="E361" s="6">
        <f t="shared" si="4"/>
        <v>0.434</v>
      </c>
    </row>
    <row r="362">
      <c r="A362" s="4" t="s">
        <v>6373</v>
      </c>
      <c r="B362" s="6" t="str">
        <f t="shared" si="1"/>
        <v>203.392</v>
      </c>
      <c r="C362" s="6" t="str">
        <f t="shared" si="2"/>
        <v>203,392</v>
      </c>
      <c r="D362" s="6">
        <f t="shared" si="3"/>
        <v>203.392</v>
      </c>
      <c r="E362" s="6">
        <f t="shared" si="4"/>
        <v>0.553</v>
      </c>
    </row>
    <row r="363">
      <c r="A363" s="4" t="s">
        <v>6374</v>
      </c>
      <c r="B363" s="6" t="str">
        <f t="shared" si="1"/>
        <v>203.930</v>
      </c>
      <c r="C363" s="6" t="str">
        <f t="shared" si="2"/>
        <v>203,930</v>
      </c>
      <c r="D363" s="6">
        <f t="shared" si="3"/>
        <v>203.93</v>
      </c>
      <c r="E363" s="6">
        <f t="shared" si="4"/>
        <v>0.538</v>
      </c>
    </row>
    <row r="364">
      <c r="A364" s="4" t="s">
        <v>6375</v>
      </c>
      <c r="B364" s="6" t="str">
        <f t="shared" si="1"/>
        <v>204.365</v>
      </c>
      <c r="C364" s="6" t="str">
        <f t="shared" si="2"/>
        <v>204,365</v>
      </c>
      <c r="D364" s="6">
        <f t="shared" si="3"/>
        <v>204.365</v>
      </c>
      <c r="E364" s="6">
        <f t="shared" si="4"/>
        <v>0.435</v>
      </c>
    </row>
    <row r="365">
      <c r="A365" s="4" t="s">
        <v>6376</v>
      </c>
      <c r="B365" s="6" t="str">
        <f t="shared" si="1"/>
        <v>204.911</v>
      </c>
      <c r="C365" s="6" t="str">
        <f t="shared" si="2"/>
        <v>204,911</v>
      </c>
      <c r="D365" s="6">
        <f t="shared" si="3"/>
        <v>204.911</v>
      </c>
      <c r="E365" s="6">
        <f t="shared" si="4"/>
        <v>0.546</v>
      </c>
    </row>
    <row r="366">
      <c r="A366" s="4" t="s">
        <v>6377</v>
      </c>
      <c r="B366" s="6" t="str">
        <f t="shared" si="1"/>
        <v>205.453</v>
      </c>
      <c r="C366" s="6" t="str">
        <f t="shared" si="2"/>
        <v>205,453</v>
      </c>
      <c r="D366" s="6">
        <f t="shared" si="3"/>
        <v>205.453</v>
      </c>
      <c r="E366" s="6">
        <f t="shared" si="4"/>
        <v>0.542</v>
      </c>
    </row>
    <row r="367">
      <c r="A367" s="4" t="s">
        <v>6378</v>
      </c>
      <c r="B367" s="6" t="str">
        <f t="shared" si="1"/>
        <v>205.887</v>
      </c>
      <c r="C367" s="6" t="str">
        <f t="shared" si="2"/>
        <v>205,887</v>
      </c>
      <c r="D367" s="6">
        <f t="shared" si="3"/>
        <v>205.887</v>
      </c>
      <c r="E367" s="6">
        <f t="shared" si="4"/>
        <v>0.434</v>
      </c>
    </row>
    <row r="368">
      <c r="A368" s="4" t="s">
        <v>6379</v>
      </c>
      <c r="B368" s="6" t="str">
        <f t="shared" si="1"/>
        <v>206.428</v>
      </c>
      <c r="C368" s="6" t="str">
        <f t="shared" si="2"/>
        <v>206,428</v>
      </c>
      <c r="D368" s="6">
        <f t="shared" si="3"/>
        <v>206.428</v>
      </c>
      <c r="E368" s="6">
        <f t="shared" si="4"/>
        <v>0.541</v>
      </c>
    </row>
    <row r="369">
      <c r="A369" s="4" t="s">
        <v>6380</v>
      </c>
      <c r="B369" s="6" t="str">
        <f t="shared" si="1"/>
        <v>206.967</v>
      </c>
      <c r="C369" s="6" t="str">
        <f t="shared" si="2"/>
        <v>206,967</v>
      </c>
      <c r="D369" s="6">
        <f t="shared" si="3"/>
        <v>206.967</v>
      </c>
      <c r="E369" s="6">
        <f t="shared" si="4"/>
        <v>0.539</v>
      </c>
    </row>
    <row r="370">
      <c r="A370" s="4" t="s">
        <v>6381</v>
      </c>
      <c r="B370" s="6" t="str">
        <f t="shared" si="1"/>
        <v>207.404</v>
      </c>
      <c r="C370" s="6" t="str">
        <f t="shared" si="2"/>
        <v>207,404</v>
      </c>
      <c r="D370" s="6">
        <f t="shared" si="3"/>
        <v>207.404</v>
      </c>
      <c r="E370" s="6">
        <f t="shared" si="4"/>
        <v>0.437</v>
      </c>
    </row>
    <row r="371">
      <c r="A371" s="4" t="s">
        <v>6382</v>
      </c>
      <c r="B371" s="6" t="str">
        <f t="shared" si="1"/>
        <v>207.944</v>
      </c>
      <c r="C371" s="6" t="str">
        <f t="shared" si="2"/>
        <v>207,944</v>
      </c>
      <c r="D371" s="6">
        <f t="shared" si="3"/>
        <v>207.944</v>
      </c>
      <c r="E371" s="6">
        <f t="shared" si="4"/>
        <v>0.54</v>
      </c>
    </row>
    <row r="372">
      <c r="A372" s="4" t="s">
        <v>6383</v>
      </c>
      <c r="B372" s="6" t="str">
        <f t="shared" si="1"/>
        <v>208.489</v>
      </c>
      <c r="C372" s="6" t="str">
        <f t="shared" si="2"/>
        <v>208,489</v>
      </c>
      <c r="D372" s="6">
        <f t="shared" si="3"/>
        <v>208.489</v>
      </c>
      <c r="E372" s="6">
        <f t="shared" si="4"/>
        <v>0.545</v>
      </c>
    </row>
    <row r="373">
      <c r="A373" s="4" t="s">
        <v>6384</v>
      </c>
      <c r="B373" s="6" t="str">
        <f t="shared" si="1"/>
        <v>208.922</v>
      </c>
      <c r="C373" s="6" t="str">
        <f t="shared" si="2"/>
        <v>208,922</v>
      </c>
      <c r="D373" s="6">
        <f t="shared" si="3"/>
        <v>208.922</v>
      </c>
      <c r="E373" s="6">
        <f t="shared" si="4"/>
        <v>0.433</v>
      </c>
    </row>
    <row r="374">
      <c r="A374" s="4" t="s">
        <v>6385</v>
      </c>
      <c r="B374" s="6" t="str">
        <f t="shared" si="1"/>
        <v>209.468</v>
      </c>
      <c r="C374" s="6" t="str">
        <f t="shared" si="2"/>
        <v>209,468</v>
      </c>
      <c r="D374" s="6">
        <f t="shared" si="3"/>
        <v>209.468</v>
      </c>
      <c r="E374" s="6">
        <f t="shared" si="4"/>
        <v>0.546</v>
      </c>
    </row>
    <row r="375">
      <c r="A375" s="4" t="s">
        <v>6386</v>
      </c>
      <c r="B375" s="6" t="str">
        <f t="shared" si="1"/>
        <v>210.011</v>
      </c>
      <c r="C375" s="6" t="str">
        <f t="shared" si="2"/>
        <v>210,011</v>
      </c>
      <c r="D375" s="6">
        <f t="shared" si="3"/>
        <v>210.011</v>
      </c>
      <c r="E375" s="6">
        <f t="shared" si="4"/>
        <v>0.543</v>
      </c>
    </row>
    <row r="376">
      <c r="A376" s="4" t="s">
        <v>6387</v>
      </c>
      <c r="B376" s="6" t="str">
        <f t="shared" si="1"/>
        <v>210.442</v>
      </c>
      <c r="C376" s="6" t="str">
        <f t="shared" si="2"/>
        <v>210,442</v>
      </c>
      <c r="D376" s="6">
        <f t="shared" si="3"/>
        <v>210.442</v>
      </c>
      <c r="E376" s="6">
        <f t="shared" si="4"/>
        <v>0.431</v>
      </c>
    </row>
    <row r="377">
      <c r="A377" s="4" t="s">
        <v>6388</v>
      </c>
      <c r="B377" s="6" t="str">
        <f t="shared" si="1"/>
        <v>210.986</v>
      </c>
      <c r="C377" s="6" t="str">
        <f t="shared" si="2"/>
        <v>210,986</v>
      </c>
      <c r="D377" s="6">
        <f t="shared" si="3"/>
        <v>210.986</v>
      </c>
      <c r="E377" s="6">
        <f t="shared" si="4"/>
        <v>0.544</v>
      </c>
    </row>
    <row r="378">
      <c r="A378" s="4" t="s">
        <v>6389</v>
      </c>
      <c r="B378" s="6" t="str">
        <f t="shared" si="1"/>
        <v>211.531</v>
      </c>
      <c r="C378" s="6" t="str">
        <f t="shared" si="2"/>
        <v>211,531</v>
      </c>
      <c r="D378" s="6">
        <f t="shared" si="3"/>
        <v>211.531</v>
      </c>
      <c r="E378" s="6">
        <f t="shared" si="4"/>
        <v>0.545</v>
      </c>
    </row>
    <row r="379">
      <c r="A379" s="4" t="s">
        <v>6390</v>
      </c>
      <c r="B379" s="6" t="str">
        <f t="shared" si="1"/>
        <v>211.964</v>
      </c>
      <c r="C379" s="6" t="str">
        <f t="shared" si="2"/>
        <v>211,964</v>
      </c>
      <c r="D379" s="6">
        <f t="shared" si="3"/>
        <v>211.964</v>
      </c>
      <c r="E379" s="6">
        <f t="shared" si="4"/>
        <v>0.433</v>
      </c>
    </row>
    <row r="380">
      <c r="A380" s="4" t="s">
        <v>6391</v>
      </c>
      <c r="B380" s="6" t="str">
        <f t="shared" si="1"/>
        <v>212.508</v>
      </c>
      <c r="C380" s="6" t="str">
        <f t="shared" si="2"/>
        <v>212,508</v>
      </c>
      <c r="D380" s="6">
        <f t="shared" si="3"/>
        <v>212.508</v>
      </c>
      <c r="E380" s="6">
        <f t="shared" si="4"/>
        <v>0.544</v>
      </c>
    </row>
    <row r="381">
      <c r="A381" s="4" t="s">
        <v>6392</v>
      </c>
      <c r="B381" s="6" t="str">
        <f t="shared" si="1"/>
        <v>213.053</v>
      </c>
      <c r="C381" s="6" t="str">
        <f t="shared" si="2"/>
        <v>213,053</v>
      </c>
      <c r="D381" s="6">
        <f t="shared" si="3"/>
        <v>213.053</v>
      </c>
      <c r="E381" s="6">
        <f t="shared" si="4"/>
        <v>0.545</v>
      </c>
    </row>
    <row r="382">
      <c r="A382" s="4" t="s">
        <v>6393</v>
      </c>
      <c r="B382" s="6" t="str">
        <f t="shared" si="1"/>
        <v>213.486</v>
      </c>
      <c r="C382" s="6" t="str">
        <f t="shared" si="2"/>
        <v>213,486</v>
      </c>
      <c r="D382" s="6">
        <f t="shared" si="3"/>
        <v>213.486</v>
      </c>
      <c r="E382" s="6">
        <f t="shared" si="4"/>
        <v>0.433</v>
      </c>
    </row>
    <row r="383">
      <c r="A383" s="4" t="s">
        <v>6394</v>
      </c>
      <c r="B383" s="6" t="str">
        <f t="shared" si="1"/>
        <v>214.027</v>
      </c>
      <c r="C383" s="6" t="str">
        <f t="shared" si="2"/>
        <v>214,027</v>
      </c>
      <c r="D383" s="6">
        <f t="shared" si="3"/>
        <v>214.027</v>
      </c>
      <c r="E383" s="6">
        <f t="shared" si="4"/>
        <v>0.541</v>
      </c>
    </row>
    <row r="384">
      <c r="A384" s="4" t="s">
        <v>6395</v>
      </c>
      <c r="B384" s="6" t="str">
        <f t="shared" si="1"/>
        <v>214.463</v>
      </c>
      <c r="C384" s="6" t="str">
        <f t="shared" si="2"/>
        <v>214,463</v>
      </c>
      <c r="D384" s="6">
        <f t="shared" si="3"/>
        <v>214.463</v>
      </c>
      <c r="E384" s="6">
        <f t="shared" si="4"/>
        <v>0.436</v>
      </c>
    </row>
    <row r="385">
      <c r="A385" s="4" t="s">
        <v>6396</v>
      </c>
      <c r="B385" s="6" t="str">
        <f t="shared" si="1"/>
        <v>215.010</v>
      </c>
      <c r="C385" s="6" t="str">
        <f t="shared" si="2"/>
        <v>215,010</v>
      </c>
      <c r="D385" s="6">
        <f t="shared" si="3"/>
        <v>215.01</v>
      </c>
      <c r="E385" s="6">
        <f t="shared" si="4"/>
        <v>0.547</v>
      </c>
    </row>
    <row r="386">
      <c r="A386" s="4" t="s">
        <v>6397</v>
      </c>
      <c r="B386" s="6" t="str">
        <f t="shared" si="1"/>
        <v>215.564</v>
      </c>
      <c r="C386" s="6" t="str">
        <f t="shared" si="2"/>
        <v>215,564</v>
      </c>
      <c r="D386" s="6">
        <f t="shared" si="3"/>
        <v>215.564</v>
      </c>
      <c r="E386" s="6">
        <f t="shared" si="4"/>
        <v>0.554</v>
      </c>
    </row>
    <row r="387">
      <c r="A387" s="4" t="s">
        <v>6398</v>
      </c>
      <c r="B387" s="6" t="str">
        <f t="shared" si="1"/>
        <v>215.988</v>
      </c>
      <c r="C387" s="6" t="str">
        <f t="shared" si="2"/>
        <v>215,988</v>
      </c>
      <c r="D387" s="6">
        <f t="shared" si="3"/>
        <v>215.988</v>
      </c>
      <c r="E387" s="6">
        <f t="shared" si="4"/>
        <v>0.424</v>
      </c>
    </row>
    <row r="388">
      <c r="A388" s="4" t="s">
        <v>6399</v>
      </c>
      <c r="B388" s="6" t="str">
        <f t="shared" si="1"/>
        <v>216.532</v>
      </c>
      <c r="C388" s="6" t="str">
        <f t="shared" si="2"/>
        <v>216,532</v>
      </c>
      <c r="D388" s="6">
        <f t="shared" si="3"/>
        <v>216.532</v>
      </c>
      <c r="E388" s="6">
        <f t="shared" si="4"/>
        <v>0.544</v>
      </c>
    </row>
    <row r="389">
      <c r="A389" s="4" t="s">
        <v>6400</v>
      </c>
      <c r="B389" s="6" t="str">
        <f t="shared" si="1"/>
        <v>217.075</v>
      </c>
      <c r="C389" s="6" t="str">
        <f t="shared" si="2"/>
        <v>217,075</v>
      </c>
      <c r="D389" s="6">
        <f t="shared" si="3"/>
        <v>217.075</v>
      </c>
      <c r="E389" s="6">
        <f t="shared" si="4"/>
        <v>0.543</v>
      </c>
    </row>
    <row r="390">
      <c r="A390" s="4" t="s">
        <v>6401</v>
      </c>
      <c r="B390" s="6" t="str">
        <f t="shared" si="1"/>
        <v>217.517</v>
      </c>
      <c r="C390" s="6" t="str">
        <f t="shared" si="2"/>
        <v>217,517</v>
      </c>
      <c r="D390" s="6">
        <f t="shared" si="3"/>
        <v>217.517</v>
      </c>
      <c r="E390" s="6">
        <f t="shared" si="4"/>
        <v>0.442</v>
      </c>
    </row>
    <row r="391">
      <c r="A391" s="4" t="s">
        <v>6402</v>
      </c>
      <c r="B391" s="6" t="str">
        <f t="shared" si="1"/>
        <v>218.057</v>
      </c>
      <c r="C391" s="6" t="str">
        <f t="shared" si="2"/>
        <v>218,057</v>
      </c>
      <c r="D391" s="6">
        <f t="shared" si="3"/>
        <v>218.057</v>
      </c>
      <c r="E391" s="6">
        <f t="shared" si="4"/>
        <v>0.54</v>
      </c>
    </row>
    <row r="392">
      <c r="A392" s="4" t="s">
        <v>6403</v>
      </c>
      <c r="B392" s="6" t="str">
        <f t="shared" si="1"/>
        <v>218.599</v>
      </c>
      <c r="C392" s="6" t="str">
        <f t="shared" si="2"/>
        <v>218,599</v>
      </c>
      <c r="D392" s="6">
        <f t="shared" si="3"/>
        <v>218.599</v>
      </c>
      <c r="E392" s="6">
        <f t="shared" si="4"/>
        <v>0.542</v>
      </c>
    </row>
    <row r="393">
      <c r="A393" s="4" t="s">
        <v>6404</v>
      </c>
      <c r="B393" s="6" t="str">
        <f t="shared" si="1"/>
        <v>219.030</v>
      </c>
      <c r="C393" s="6" t="str">
        <f t="shared" si="2"/>
        <v>219,030</v>
      </c>
      <c r="D393" s="6">
        <f t="shared" si="3"/>
        <v>219.03</v>
      </c>
      <c r="E393" s="6">
        <f t="shared" si="4"/>
        <v>0.431</v>
      </c>
    </row>
    <row r="394">
      <c r="A394" s="4" t="s">
        <v>6405</v>
      </c>
      <c r="B394" s="6" t="str">
        <f t="shared" si="1"/>
        <v>219.569</v>
      </c>
      <c r="C394" s="6" t="str">
        <f t="shared" si="2"/>
        <v>219,569</v>
      </c>
      <c r="D394" s="6">
        <f t="shared" si="3"/>
        <v>219.569</v>
      </c>
      <c r="E394" s="6">
        <f t="shared" si="4"/>
        <v>0.539</v>
      </c>
    </row>
    <row r="395">
      <c r="A395" s="4" t="s">
        <v>6406</v>
      </c>
      <c r="B395" s="6" t="str">
        <f t="shared" si="1"/>
        <v>220.117</v>
      </c>
      <c r="C395" s="6" t="str">
        <f t="shared" si="2"/>
        <v>220,117</v>
      </c>
      <c r="D395" s="6">
        <f t="shared" si="3"/>
        <v>220.117</v>
      </c>
      <c r="E395" s="6">
        <f t="shared" si="4"/>
        <v>0.548</v>
      </c>
    </row>
    <row r="396">
      <c r="A396" s="4" t="s">
        <v>6407</v>
      </c>
      <c r="B396" s="6" t="str">
        <f t="shared" si="1"/>
        <v>220.552</v>
      </c>
      <c r="C396" s="6" t="str">
        <f t="shared" si="2"/>
        <v>220,552</v>
      </c>
      <c r="D396" s="6">
        <f t="shared" si="3"/>
        <v>220.552</v>
      </c>
      <c r="E396" s="6">
        <f t="shared" si="4"/>
        <v>0.435</v>
      </c>
    </row>
    <row r="397">
      <c r="A397" s="4" t="s">
        <v>6408</v>
      </c>
      <c r="B397" s="6" t="str">
        <f t="shared" si="1"/>
        <v>221.095</v>
      </c>
      <c r="C397" s="6" t="str">
        <f t="shared" si="2"/>
        <v>221,095</v>
      </c>
      <c r="D397" s="6">
        <f t="shared" si="3"/>
        <v>221.095</v>
      </c>
      <c r="E397" s="6">
        <f t="shared" si="4"/>
        <v>0.543</v>
      </c>
    </row>
    <row r="398">
      <c r="A398" s="4" t="s">
        <v>6409</v>
      </c>
      <c r="B398" s="6" t="str">
        <f t="shared" si="1"/>
        <v>221.644</v>
      </c>
      <c r="C398" s="6" t="str">
        <f t="shared" si="2"/>
        <v>221,644</v>
      </c>
      <c r="D398" s="6">
        <f t="shared" si="3"/>
        <v>221.644</v>
      </c>
      <c r="E398" s="6">
        <f t="shared" si="4"/>
        <v>0.549</v>
      </c>
    </row>
    <row r="399">
      <c r="A399" s="4" t="s">
        <v>6410</v>
      </c>
      <c r="B399" s="6" t="str">
        <f t="shared" si="1"/>
        <v>222.073</v>
      </c>
      <c r="C399" s="6" t="str">
        <f t="shared" si="2"/>
        <v>222,073</v>
      </c>
      <c r="D399" s="6">
        <f t="shared" si="3"/>
        <v>222.073</v>
      </c>
      <c r="E399" s="6">
        <f t="shared" si="4"/>
        <v>0.429</v>
      </c>
    </row>
    <row r="400">
      <c r="A400" s="4" t="s">
        <v>6411</v>
      </c>
      <c r="B400" s="6" t="str">
        <f t="shared" si="1"/>
        <v>222.616</v>
      </c>
      <c r="C400" s="6" t="str">
        <f t="shared" si="2"/>
        <v>222,616</v>
      </c>
      <c r="D400" s="6">
        <f t="shared" si="3"/>
        <v>222.616</v>
      </c>
      <c r="E400" s="6">
        <f t="shared" si="4"/>
        <v>0.543</v>
      </c>
    </row>
    <row r="401">
      <c r="A401" s="4" t="s">
        <v>6412</v>
      </c>
      <c r="B401" s="6" t="str">
        <f t="shared" si="1"/>
        <v>223.050</v>
      </c>
      <c r="C401" s="6" t="str">
        <f t="shared" si="2"/>
        <v>223,050</v>
      </c>
      <c r="D401" s="6">
        <f t="shared" si="3"/>
        <v>223.05</v>
      </c>
      <c r="E401" s="6">
        <f t="shared" si="4"/>
        <v>0.434</v>
      </c>
    </row>
    <row r="402">
      <c r="A402" s="4" t="s">
        <v>6413</v>
      </c>
      <c r="B402" s="6" t="str">
        <f t="shared" si="1"/>
        <v>223.592</v>
      </c>
      <c r="C402" s="6" t="str">
        <f t="shared" si="2"/>
        <v>223,592</v>
      </c>
      <c r="D402" s="6">
        <f t="shared" si="3"/>
        <v>223.592</v>
      </c>
      <c r="E402" s="6">
        <f t="shared" si="4"/>
        <v>0.542</v>
      </c>
    </row>
    <row r="403">
      <c r="A403" s="4" t="s">
        <v>6414</v>
      </c>
      <c r="B403" s="6" t="str">
        <f t="shared" si="1"/>
        <v>224.136</v>
      </c>
      <c r="C403" s="6" t="str">
        <f t="shared" si="2"/>
        <v>224,136</v>
      </c>
      <c r="D403" s="6">
        <f t="shared" si="3"/>
        <v>224.136</v>
      </c>
      <c r="E403" s="6">
        <f t="shared" si="4"/>
        <v>0.544</v>
      </c>
    </row>
    <row r="404">
      <c r="A404" s="4" t="s">
        <v>6415</v>
      </c>
      <c r="B404" s="6" t="str">
        <f t="shared" si="1"/>
        <v>224.576</v>
      </c>
      <c r="C404" s="6" t="str">
        <f t="shared" si="2"/>
        <v>224,576</v>
      </c>
      <c r="D404" s="6">
        <f t="shared" si="3"/>
        <v>224.576</v>
      </c>
      <c r="E404" s="6">
        <f t="shared" si="4"/>
        <v>0.44</v>
      </c>
    </row>
    <row r="405">
      <c r="A405" s="4" t="s">
        <v>6416</v>
      </c>
      <c r="B405" s="6" t="str">
        <f t="shared" si="1"/>
        <v>225.117</v>
      </c>
      <c r="C405" s="6" t="str">
        <f t="shared" si="2"/>
        <v>225,117</v>
      </c>
      <c r="D405" s="6">
        <f t="shared" si="3"/>
        <v>225.117</v>
      </c>
      <c r="E405" s="6">
        <f t="shared" si="4"/>
        <v>0.541</v>
      </c>
    </row>
    <row r="406">
      <c r="A406" s="4" t="s">
        <v>6417</v>
      </c>
      <c r="B406" s="6" t="str">
        <f t="shared" si="1"/>
        <v>225.657</v>
      </c>
      <c r="C406" s="6" t="str">
        <f t="shared" si="2"/>
        <v>225,657</v>
      </c>
      <c r="D406" s="6">
        <f t="shared" si="3"/>
        <v>225.657</v>
      </c>
      <c r="E406" s="6">
        <f t="shared" si="4"/>
        <v>0.54</v>
      </c>
    </row>
    <row r="407">
      <c r="A407" s="4" t="s">
        <v>6418</v>
      </c>
      <c r="B407" s="6" t="str">
        <f t="shared" si="1"/>
        <v>226.095</v>
      </c>
      <c r="C407" s="6" t="str">
        <f t="shared" si="2"/>
        <v>226,095</v>
      </c>
      <c r="D407" s="6">
        <f t="shared" si="3"/>
        <v>226.095</v>
      </c>
      <c r="E407" s="6">
        <f t="shared" si="4"/>
        <v>0.438</v>
      </c>
    </row>
    <row r="408">
      <c r="A408" s="4" t="s">
        <v>6419</v>
      </c>
      <c r="B408" s="6" t="str">
        <f t="shared" si="1"/>
        <v>226.631</v>
      </c>
      <c r="C408" s="6" t="str">
        <f t="shared" si="2"/>
        <v>226,631</v>
      </c>
      <c r="D408" s="6">
        <f t="shared" si="3"/>
        <v>226.631</v>
      </c>
      <c r="E408" s="6">
        <f t="shared" si="4"/>
        <v>0.536</v>
      </c>
    </row>
    <row r="409">
      <c r="A409" s="4" t="s">
        <v>6420</v>
      </c>
      <c r="B409" s="6" t="str">
        <f t="shared" si="1"/>
        <v>227.172</v>
      </c>
      <c r="C409" s="6" t="str">
        <f t="shared" si="2"/>
        <v>227,172</v>
      </c>
      <c r="D409" s="6">
        <f t="shared" si="3"/>
        <v>227.172</v>
      </c>
      <c r="E409" s="6">
        <f t="shared" si="4"/>
        <v>0.541</v>
      </c>
    </row>
    <row r="410">
      <c r="A410" s="4" t="s">
        <v>6421</v>
      </c>
      <c r="B410" s="6" t="str">
        <f t="shared" si="1"/>
        <v>227.606</v>
      </c>
      <c r="C410" s="6" t="str">
        <f t="shared" si="2"/>
        <v>227,606</v>
      </c>
      <c r="D410" s="6">
        <f t="shared" si="3"/>
        <v>227.606</v>
      </c>
      <c r="E410" s="6">
        <f t="shared" si="4"/>
        <v>0.434</v>
      </c>
    </row>
    <row r="411">
      <c r="A411" s="4" t="s">
        <v>6422</v>
      </c>
      <c r="B411" s="6" t="str">
        <f t="shared" si="1"/>
        <v>228.149</v>
      </c>
      <c r="C411" s="6" t="str">
        <f t="shared" si="2"/>
        <v>228,149</v>
      </c>
      <c r="D411" s="6">
        <f t="shared" si="3"/>
        <v>228.149</v>
      </c>
      <c r="E411" s="6">
        <f t="shared" si="4"/>
        <v>0.543</v>
      </c>
    </row>
    <row r="412">
      <c r="A412" s="4" t="s">
        <v>6423</v>
      </c>
      <c r="B412" s="6" t="str">
        <f t="shared" si="1"/>
        <v>228.689</v>
      </c>
      <c r="C412" s="6" t="str">
        <f t="shared" si="2"/>
        <v>228,689</v>
      </c>
      <c r="D412" s="6">
        <f t="shared" si="3"/>
        <v>228.689</v>
      </c>
      <c r="E412" s="6">
        <f t="shared" si="4"/>
        <v>0.54</v>
      </c>
    </row>
    <row r="413">
      <c r="A413" s="4" t="s">
        <v>6424</v>
      </c>
      <c r="B413" s="6" t="str">
        <f t="shared" si="1"/>
        <v>229.128</v>
      </c>
      <c r="C413" s="6" t="str">
        <f t="shared" si="2"/>
        <v>229,128</v>
      </c>
      <c r="D413" s="6">
        <f t="shared" si="3"/>
        <v>229.128</v>
      </c>
      <c r="E413" s="6">
        <f t="shared" si="4"/>
        <v>0.439</v>
      </c>
    </row>
    <row r="414">
      <c r="A414" s="4" t="s">
        <v>6425</v>
      </c>
      <c r="B414" s="6" t="str">
        <f t="shared" si="1"/>
        <v>229.672</v>
      </c>
      <c r="C414" s="6" t="str">
        <f t="shared" si="2"/>
        <v>229,672</v>
      </c>
      <c r="D414" s="6">
        <f t="shared" si="3"/>
        <v>229.672</v>
      </c>
      <c r="E414" s="6">
        <f t="shared" si="4"/>
        <v>0.544</v>
      </c>
    </row>
    <row r="415">
      <c r="A415" s="4" t="s">
        <v>6426</v>
      </c>
      <c r="B415" s="6" t="str">
        <f t="shared" si="1"/>
        <v>230.215</v>
      </c>
      <c r="C415" s="6" t="str">
        <f t="shared" si="2"/>
        <v>230,215</v>
      </c>
      <c r="D415" s="6">
        <f t="shared" si="3"/>
        <v>230.215</v>
      </c>
      <c r="E415" s="6">
        <f t="shared" si="4"/>
        <v>0.543</v>
      </c>
    </row>
    <row r="416">
      <c r="A416" s="4" t="s">
        <v>6427</v>
      </c>
      <c r="B416" s="6" t="str">
        <f t="shared" si="1"/>
        <v>230.645</v>
      </c>
      <c r="C416" s="6" t="str">
        <f t="shared" si="2"/>
        <v>230,645</v>
      </c>
      <c r="D416" s="6">
        <f t="shared" si="3"/>
        <v>230.645</v>
      </c>
      <c r="E416" s="6">
        <f t="shared" si="4"/>
        <v>0.43</v>
      </c>
    </row>
    <row r="417">
      <c r="A417" s="4" t="s">
        <v>6428</v>
      </c>
      <c r="B417" s="6" t="str">
        <f t="shared" si="1"/>
        <v>231.194</v>
      </c>
      <c r="C417" s="6" t="str">
        <f t="shared" si="2"/>
        <v>231,194</v>
      </c>
      <c r="D417" s="6">
        <f t="shared" si="3"/>
        <v>231.194</v>
      </c>
      <c r="E417" s="6">
        <f t="shared" si="4"/>
        <v>0.549</v>
      </c>
    </row>
    <row r="418">
      <c r="A418" s="4" t="s">
        <v>6429</v>
      </c>
      <c r="B418" s="6" t="str">
        <f t="shared" si="1"/>
        <v>231.732</v>
      </c>
      <c r="C418" s="6" t="str">
        <f t="shared" si="2"/>
        <v>231,732</v>
      </c>
      <c r="D418" s="6">
        <f t="shared" si="3"/>
        <v>231.732</v>
      </c>
      <c r="E418" s="6">
        <f t="shared" si="4"/>
        <v>0.538</v>
      </c>
    </row>
    <row r="419">
      <c r="A419" s="4" t="s">
        <v>6430</v>
      </c>
      <c r="B419" s="6" t="str">
        <f t="shared" si="1"/>
        <v>232.166</v>
      </c>
      <c r="C419" s="6" t="str">
        <f t="shared" si="2"/>
        <v>232,166</v>
      </c>
      <c r="D419" s="6">
        <f t="shared" si="3"/>
        <v>232.166</v>
      </c>
      <c r="E419" s="6">
        <f t="shared" si="4"/>
        <v>0.434</v>
      </c>
    </row>
    <row r="420">
      <c r="A420" s="4" t="s">
        <v>6431</v>
      </c>
      <c r="B420" s="6" t="str">
        <f t="shared" si="1"/>
        <v>232.713</v>
      </c>
      <c r="C420" s="6" t="str">
        <f t="shared" si="2"/>
        <v>232,713</v>
      </c>
      <c r="D420" s="6">
        <f t="shared" si="3"/>
        <v>232.713</v>
      </c>
      <c r="E420" s="6">
        <f t="shared" si="4"/>
        <v>0.547</v>
      </c>
    </row>
    <row r="421">
      <c r="A421" s="4" t="s">
        <v>6432</v>
      </c>
      <c r="B421" s="6" t="str">
        <f t="shared" si="1"/>
        <v>233.262</v>
      </c>
      <c r="C421" s="6" t="str">
        <f t="shared" si="2"/>
        <v>233,262</v>
      </c>
      <c r="D421" s="6">
        <f t="shared" si="3"/>
        <v>233.262</v>
      </c>
      <c r="E421" s="6">
        <f t="shared" si="4"/>
        <v>0.549</v>
      </c>
    </row>
    <row r="422">
      <c r="A422" s="4" t="s">
        <v>6433</v>
      </c>
      <c r="B422" s="6" t="str">
        <f t="shared" si="1"/>
        <v>233.688</v>
      </c>
      <c r="C422" s="6" t="str">
        <f t="shared" si="2"/>
        <v>233,688</v>
      </c>
      <c r="D422" s="6">
        <f t="shared" si="3"/>
        <v>233.688</v>
      </c>
      <c r="E422" s="6">
        <f t="shared" si="4"/>
        <v>0.426</v>
      </c>
    </row>
    <row r="423">
      <c r="A423" s="4" t="s">
        <v>6434</v>
      </c>
      <c r="B423" s="6" t="str">
        <f t="shared" si="1"/>
        <v>234.234</v>
      </c>
      <c r="C423" s="6" t="str">
        <f t="shared" si="2"/>
        <v>234,234</v>
      </c>
      <c r="D423" s="6">
        <f t="shared" si="3"/>
        <v>234.234</v>
      </c>
      <c r="E423" s="6">
        <f t="shared" si="4"/>
        <v>0.546</v>
      </c>
    </row>
    <row r="424">
      <c r="A424" s="4" t="s">
        <v>6435</v>
      </c>
      <c r="B424" s="6" t="str">
        <f t="shared" si="1"/>
        <v>234.775</v>
      </c>
      <c r="C424" s="6" t="str">
        <f t="shared" si="2"/>
        <v>234,775</v>
      </c>
      <c r="D424" s="6">
        <f t="shared" si="3"/>
        <v>234.775</v>
      </c>
      <c r="E424" s="6">
        <f t="shared" si="4"/>
        <v>0.541</v>
      </c>
    </row>
    <row r="425">
      <c r="A425" s="4" t="s">
        <v>6436</v>
      </c>
      <c r="B425" s="6" t="str">
        <f t="shared" si="1"/>
        <v>235.212</v>
      </c>
      <c r="C425" s="6" t="str">
        <f t="shared" si="2"/>
        <v>235,212</v>
      </c>
      <c r="D425" s="6">
        <f t="shared" si="3"/>
        <v>235.212</v>
      </c>
      <c r="E425" s="6">
        <f t="shared" si="4"/>
        <v>0.437</v>
      </c>
    </row>
    <row r="426">
      <c r="A426" s="4" t="s">
        <v>6437</v>
      </c>
      <c r="B426" s="6" t="str">
        <f t="shared" si="1"/>
        <v>235.751</v>
      </c>
      <c r="C426" s="6" t="str">
        <f t="shared" si="2"/>
        <v>235,751</v>
      </c>
      <c r="D426" s="6">
        <f t="shared" si="3"/>
        <v>235.751</v>
      </c>
      <c r="E426" s="6">
        <f t="shared" si="4"/>
        <v>0.539</v>
      </c>
    </row>
    <row r="427">
      <c r="A427" s="4" t="s">
        <v>6438</v>
      </c>
      <c r="B427" s="6" t="str">
        <f t="shared" si="1"/>
        <v>236.305</v>
      </c>
      <c r="C427" s="6" t="str">
        <f t="shared" si="2"/>
        <v>236,305</v>
      </c>
      <c r="D427" s="6">
        <f t="shared" si="3"/>
        <v>236.305</v>
      </c>
      <c r="E427" s="6">
        <f t="shared" si="4"/>
        <v>0.554</v>
      </c>
    </row>
    <row r="428">
      <c r="A428" s="4" t="s">
        <v>6439</v>
      </c>
      <c r="B428" s="6" t="str">
        <f t="shared" si="1"/>
        <v>238.251</v>
      </c>
      <c r="C428" s="6" t="str">
        <f t="shared" si="2"/>
        <v>238,251</v>
      </c>
      <c r="D428" s="6">
        <f t="shared" si="3"/>
        <v>238.251</v>
      </c>
      <c r="E428" s="6">
        <f t="shared" si="4"/>
        <v>1.946</v>
      </c>
    </row>
    <row r="429">
      <c r="A429" s="4" t="s">
        <v>6440</v>
      </c>
      <c r="B429" s="6" t="str">
        <f t="shared" si="1"/>
        <v>238.684</v>
      </c>
      <c r="C429" s="6" t="str">
        <f t="shared" si="2"/>
        <v>238,684</v>
      </c>
      <c r="D429" s="6">
        <f t="shared" si="3"/>
        <v>238.684</v>
      </c>
      <c r="E429" s="6">
        <f t="shared" si="4"/>
        <v>0.433</v>
      </c>
    </row>
    <row r="430">
      <c r="A430" s="4" t="s">
        <v>6441</v>
      </c>
      <c r="B430" s="6" t="str">
        <f t="shared" si="1"/>
        <v>239.227</v>
      </c>
      <c r="C430" s="6" t="str">
        <f t="shared" si="2"/>
        <v>239,227</v>
      </c>
      <c r="D430" s="6">
        <f t="shared" si="3"/>
        <v>239.227</v>
      </c>
      <c r="E430" s="6">
        <f t="shared" si="4"/>
        <v>0.543</v>
      </c>
    </row>
    <row r="431">
      <c r="A431" s="4" t="s">
        <v>6442</v>
      </c>
      <c r="B431" s="6" t="str">
        <f t="shared" si="1"/>
        <v>239.767</v>
      </c>
      <c r="C431" s="6" t="str">
        <f t="shared" si="2"/>
        <v>239,767</v>
      </c>
      <c r="D431" s="6">
        <f t="shared" si="3"/>
        <v>239.767</v>
      </c>
      <c r="E431" s="6">
        <f t="shared" si="4"/>
        <v>0.54</v>
      </c>
    </row>
    <row r="432">
      <c r="A432" s="4" t="s">
        <v>6443</v>
      </c>
      <c r="B432" s="6" t="str">
        <f t="shared" si="1"/>
        <v>240.208</v>
      </c>
      <c r="C432" s="6" t="str">
        <f t="shared" si="2"/>
        <v>240,208</v>
      </c>
      <c r="D432" s="6">
        <f t="shared" si="3"/>
        <v>240.208</v>
      </c>
      <c r="E432" s="6">
        <f t="shared" si="4"/>
        <v>0.441</v>
      </c>
    </row>
    <row r="433">
      <c r="A433" s="4" t="s">
        <v>6444</v>
      </c>
      <c r="B433" s="6" t="str">
        <f t="shared" si="1"/>
        <v>240.753</v>
      </c>
      <c r="C433" s="6" t="str">
        <f t="shared" si="2"/>
        <v>240,753</v>
      </c>
      <c r="D433" s="6">
        <f t="shared" si="3"/>
        <v>240.753</v>
      </c>
      <c r="E433" s="6">
        <f t="shared" si="4"/>
        <v>0.545</v>
      </c>
    </row>
    <row r="434">
      <c r="A434" s="4" t="s">
        <v>6445</v>
      </c>
      <c r="B434" s="6" t="str">
        <f t="shared" si="1"/>
        <v>241.297</v>
      </c>
      <c r="C434" s="6" t="str">
        <f t="shared" si="2"/>
        <v>241,297</v>
      </c>
      <c r="D434" s="6">
        <f t="shared" si="3"/>
        <v>241.297</v>
      </c>
      <c r="E434" s="6">
        <f t="shared" si="4"/>
        <v>0.544</v>
      </c>
    </row>
    <row r="435">
      <c r="A435" s="4" t="s">
        <v>6446</v>
      </c>
      <c r="B435" s="6" t="str">
        <f t="shared" si="1"/>
        <v>241.725</v>
      </c>
      <c r="C435" s="6" t="str">
        <f t="shared" si="2"/>
        <v>241,725</v>
      </c>
      <c r="D435" s="6">
        <f t="shared" si="3"/>
        <v>241.725</v>
      </c>
      <c r="E435" s="6">
        <f t="shared" si="4"/>
        <v>0.428</v>
      </c>
    </row>
    <row r="436">
      <c r="A436" s="4" t="s">
        <v>6447</v>
      </c>
      <c r="B436" s="6" t="str">
        <f t="shared" si="1"/>
        <v>242.265</v>
      </c>
      <c r="C436" s="6" t="str">
        <f t="shared" si="2"/>
        <v>242,265</v>
      </c>
      <c r="D436" s="6">
        <f t="shared" si="3"/>
        <v>242.265</v>
      </c>
      <c r="E436" s="6">
        <f t="shared" si="4"/>
        <v>0.54</v>
      </c>
    </row>
    <row r="437">
      <c r="A437" s="4" t="s">
        <v>6448</v>
      </c>
      <c r="B437" s="6" t="str">
        <f t="shared" si="1"/>
        <v>242.807</v>
      </c>
      <c r="C437" s="6" t="str">
        <f t="shared" si="2"/>
        <v>242,807</v>
      </c>
      <c r="D437" s="6">
        <f t="shared" si="3"/>
        <v>242.807</v>
      </c>
      <c r="E437" s="6">
        <f t="shared" si="4"/>
        <v>0.542</v>
      </c>
    </row>
    <row r="438">
      <c r="A438" s="4" t="s">
        <v>6449</v>
      </c>
      <c r="B438" s="6" t="str">
        <f t="shared" si="1"/>
        <v>243.241</v>
      </c>
      <c r="C438" s="6" t="str">
        <f t="shared" si="2"/>
        <v>243,241</v>
      </c>
      <c r="D438" s="6">
        <f t="shared" si="3"/>
        <v>243.241</v>
      </c>
      <c r="E438" s="6">
        <f t="shared" si="4"/>
        <v>0.434</v>
      </c>
    </row>
    <row r="439">
      <c r="A439" s="4" t="s">
        <v>6450</v>
      </c>
      <c r="B439" s="6" t="str">
        <f t="shared" si="1"/>
        <v>243.783</v>
      </c>
      <c r="C439" s="6" t="str">
        <f t="shared" si="2"/>
        <v>243,783</v>
      </c>
      <c r="D439" s="6">
        <f t="shared" si="3"/>
        <v>243.783</v>
      </c>
      <c r="E439" s="6">
        <f t="shared" si="4"/>
        <v>0.542</v>
      </c>
    </row>
    <row r="440">
      <c r="A440" s="4" t="s">
        <v>6451</v>
      </c>
      <c r="B440" s="6" t="str">
        <f t="shared" si="1"/>
        <v>244.323</v>
      </c>
      <c r="C440" s="6" t="str">
        <f t="shared" si="2"/>
        <v>244,323</v>
      </c>
      <c r="D440" s="6">
        <f t="shared" si="3"/>
        <v>244.323</v>
      </c>
      <c r="E440" s="6">
        <f t="shared" si="4"/>
        <v>0.54</v>
      </c>
    </row>
    <row r="441">
      <c r="A441" s="4" t="s">
        <v>6452</v>
      </c>
      <c r="B441" s="6" t="str">
        <f t="shared" si="1"/>
        <v>244.757</v>
      </c>
      <c r="C441" s="6" t="str">
        <f t="shared" si="2"/>
        <v>244,757</v>
      </c>
      <c r="D441" s="6">
        <f t="shared" si="3"/>
        <v>244.757</v>
      </c>
      <c r="E441" s="6">
        <f t="shared" si="4"/>
        <v>0.434</v>
      </c>
    </row>
    <row r="442">
      <c r="A442" s="4" t="s">
        <v>6453</v>
      </c>
      <c r="B442" s="6" t="str">
        <f t="shared" si="1"/>
        <v>245.303</v>
      </c>
      <c r="C442" s="6" t="str">
        <f t="shared" si="2"/>
        <v>245,303</v>
      </c>
      <c r="D442" s="6">
        <f t="shared" si="3"/>
        <v>245.303</v>
      </c>
      <c r="E442" s="6">
        <f t="shared" si="4"/>
        <v>0.546</v>
      </c>
    </row>
    <row r="443">
      <c r="A443" s="4" t="s">
        <v>6454</v>
      </c>
      <c r="B443" s="6" t="str">
        <f t="shared" si="1"/>
        <v>245.849</v>
      </c>
      <c r="C443" s="6" t="str">
        <f t="shared" si="2"/>
        <v>245,849</v>
      </c>
      <c r="D443" s="6">
        <f t="shared" si="3"/>
        <v>245.849</v>
      </c>
      <c r="E443" s="6">
        <f t="shared" si="4"/>
        <v>0.546</v>
      </c>
    </row>
    <row r="444">
      <c r="A444" s="4" t="s">
        <v>6455</v>
      </c>
      <c r="B444" s="6" t="str">
        <f t="shared" si="1"/>
        <v>246.287</v>
      </c>
      <c r="C444" s="6" t="str">
        <f t="shared" si="2"/>
        <v>246,287</v>
      </c>
      <c r="D444" s="6">
        <f t="shared" si="3"/>
        <v>246.287</v>
      </c>
      <c r="E444" s="6">
        <f t="shared" si="4"/>
        <v>0.438</v>
      </c>
    </row>
    <row r="445">
      <c r="A445" s="4" t="s">
        <v>6456</v>
      </c>
      <c r="B445" s="6" t="str">
        <f t="shared" si="1"/>
        <v>246.827</v>
      </c>
      <c r="C445" s="6" t="str">
        <f t="shared" si="2"/>
        <v>246,827</v>
      </c>
      <c r="D445" s="6">
        <f t="shared" si="3"/>
        <v>246.827</v>
      </c>
      <c r="E445" s="6">
        <f t="shared" si="4"/>
        <v>0.54</v>
      </c>
    </row>
    <row r="446">
      <c r="A446" s="4" t="s">
        <v>6457</v>
      </c>
      <c r="B446" s="6" t="str">
        <f t="shared" si="1"/>
        <v>247.261</v>
      </c>
      <c r="C446" s="6" t="str">
        <f t="shared" si="2"/>
        <v>247,261</v>
      </c>
      <c r="D446" s="6">
        <f t="shared" si="3"/>
        <v>247.261</v>
      </c>
      <c r="E446" s="6">
        <f t="shared" si="4"/>
        <v>0.434</v>
      </c>
    </row>
    <row r="447">
      <c r="A447" s="4" t="s">
        <v>6458</v>
      </c>
      <c r="B447" s="6" t="str">
        <f t="shared" si="1"/>
        <v>247.803</v>
      </c>
      <c r="C447" s="6" t="str">
        <f t="shared" si="2"/>
        <v>247,803</v>
      </c>
      <c r="D447" s="6">
        <f t="shared" si="3"/>
        <v>247.803</v>
      </c>
      <c r="E447" s="6">
        <f t="shared" si="4"/>
        <v>0.542</v>
      </c>
    </row>
    <row r="448">
      <c r="A448" s="4" t="s">
        <v>6459</v>
      </c>
      <c r="B448" s="6" t="str">
        <f t="shared" si="1"/>
        <v>248.348</v>
      </c>
      <c r="C448" s="6" t="str">
        <f t="shared" si="2"/>
        <v>248,348</v>
      </c>
      <c r="D448" s="6">
        <f t="shared" si="3"/>
        <v>248.348</v>
      </c>
      <c r="E448" s="6">
        <f t="shared" si="4"/>
        <v>0.545</v>
      </c>
    </row>
    <row r="449">
      <c r="A449" s="4" t="s">
        <v>6460</v>
      </c>
      <c r="B449" s="6" t="str">
        <f t="shared" si="1"/>
        <v>249.812</v>
      </c>
      <c r="C449" s="6" t="str">
        <f t="shared" si="2"/>
        <v>249,812</v>
      </c>
      <c r="D449" s="6">
        <f t="shared" si="3"/>
        <v>249.812</v>
      </c>
      <c r="E449" s="6">
        <f t="shared" si="4"/>
        <v>1.464</v>
      </c>
    </row>
    <row r="450">
      <c r="A450" s="4" t="s">
        <v>6461</v>
      </c>
      <c r="B450" s="6" t="str">
        <f t="shared" si="1"/>
        <v>249.908</v>
      </c>
      <c r="C450" s="6" t="str">
        <f t="shared" si="2"/>
        <v>249,908</v>
      </c>
      <c r="D450" s="6">
        <f t="shared" si="3"/>
        <v>249.908</v>
      </c>
      <c r="E450" s="6">
        <f t="shared" si="4"/>
        <v>0.096</v>
      </c>
    </row>
    <row r="451">
      <c r="A451" s="4" t="s">
        <v>6462</v>
      </c>
      <c r="B451" s="6" t="str">
        <f t="shared" si="1"/>
        <v>250.008</v>
      </c>
      <c r="C451" s="6" t="str">
        <f t="shared" si="2"/>
        <v>250,008</v>
      </c>
      <c r="D451" s="6">
        <f t="shared" si="3"/>
        <v>250.008</v>
      </c>
      <c r="E451" s="6">
        <f t="shared" si="4"/>
        <v>0.1</v>
      </c>
    </row>
    <row r="452">
      <c r="A452" s="4" t="s">
        <v>6463</v>
      </c>
      <c r="B452" s="6" t="str">
        <f t="shared" si="1"/>
        <v>250.306</v>
      </c>
      <c r="C452" s="6" t="str">
        <f t="shared" si="2"/>
        <v>250,306</v>
      </c>
      <c r="D452" s="6">
        <f t="shared" si="3"/>
        <v>250.306</v>
      </c>
      <c r="E452" s="6">
        <f t="shared" si="4"/>
        <v>0.298</v>
      </c>
    </row>
    <row r="453">
      <c r="A453" s="4" t="s">
        <v>6464</v>
      </c>
      <c r="B453" s="6" t="str">
        <f t="shared" si="1"/>
        <v>250.845</v>
      </c>
      <c r="C453" s="6" t="str">
        <f t="shared" si="2"/>
        <v>250,845</v>
      </c>
      <c r="D453" s="6">
        <f t="shared" si="3"/>
        <v>250.845</v>
      </c>
      <c r="E453" s="6">
        <f t="shared" si="4"/>
        <v>0.539</v>
      </c>
    </row>
    <row r="454">
      <c r="A454" s="4" t="s">
        <v>6465</v>
      </c>
      <c r="B454" s="6" t="str">
        <f t="shared" si="1"/>
        <v>251.386</v>
      </c>
      <c r="C454" s="6" t="str">
        <f t="shared" si="2"/>
        <v>251,386</v>
      </c>
      <c r="D454" s="6">
        <f t="shared" si="3"/>
        <v>251.386</v>
      </c>
      <c r="E454" s="6">
        <f t="shared" si="4"/>
        <v>0.541</v>
      </c>
    </row>
    <row r="455">
      <c r="A455" s="4" t="s">
        <v>6466</v>
      </c>
      <c r="B455" s="6" t="str">
        <f t="shared" si="1"/>
        <v>251.822</v>
      </c>
      <c r="C455" s="6" t="str">
        <f t="shared" si="2"/>
        <v>251,822</v>
      </c>
      <c r="D455" s="6">
        <f t="shared" si="3"/>
        <v>251.822</v>
      </c>
      <c r="E455" s="6">
        <f t="shared" si="4"/>
        <v>0.436</v>
      </c>
    </row>
    <row r="456">
      <c r="A456" s="4" t="s">
        <v>6467</v>
      </c>
      <c r="B456" s="6" t="str">
        <f t="shared" si="1"/>
        <v>252.361</v>
      </c>
      <c r="C456" s="6" t="str">
        <f t="shared" si="2"/>
        <v>252,361</v>
      </c>
      <c r="D456" s="6">
        <f t="shared" si="3"/>
        <v>252.361</v>
      </c>
      <c r="E456" s="6">
        <f t="shared" si="4"/>
        <v>0.539</v>
      </c>
    </row>
    <row r="457">
      <c r="A457" s="4" t="s">
        <v>6468</v>
      </c>
      <c r="B457" s="6" t="str">
        <f t="shared" si="1"/>
        <v>252.904</v>
      </c>
      <c r="C457" s="6" t="str">
        <f t="shared" si="2"/>
        <v>252,904</v>
      </c>
      <c r="D457" s="6">
        <f t="shared" si="3"/>
        <v>252.904</v>
      </c>
      <c r="E457" s="6">
        <f t="shared" si="4"/>
        <v>0.543</v>
      </c>
    </row>
    <row r="458">
      <c r="A458" s="4" t="s">
        <v>6469</v>
      </c>
      <c r="B458" s="6" t="str">
        <f t="shared" si="1"/>
        <v>253.341</v>
      </c>
      <c r="C458" s="6" t="str">
        <f t="shared" si="2"/>
        <v>253,341</v>
      </c>
      <c r="D458" s="6">
        <f t="shared" si="3"/>
        <v>253.341</v>
      </c>
      <c r="E458" s="6">
        <f t="shared" si="4"/>
        <v>0.437</v>
      </c>
    </row>
    <row r="459">
      <c r="A459" s="4" t="s">
        <v>6470</v>
      </c>
      <c r="B459" s="6" t="str">
        <f t="shared" si="1"/>
        <v>253.884</v>
      </c>
      <c r="C459" s="6" t="str">
        <f t="shared" si="2"/>
        <v>253,884</v>
      </c>
      <c r="D459" s="6">
        <f t="shared" si="3"/>
        <v>253.884</v>
      </c>
      <c r="E459" s="6">
        <f t="shared" si="4"/>
        <v>0.543</v>
      </c>
    </row>
    <row r="460">
      <c r="A460" s="4" t="s">
        <v>6471</v>
      </c>
      <c r="B460" s="6" t="str">
        <f t="shared" si="1"/>
        <v>254.427</v>
      </c>
      <c r="C460" s="6" t="str">
        <f t="shared" si="2"/>
        <v>254,427</v>
      </c>
      <c r="D460" s="6">
        <f t="shared" si="3"/>
        <v>254.427</v>
      </c>
      <c r="E460" s="6">
        <f t="shared" si="4"/>
        <v>0.543</v>
      </c>
    </row>
    <row r="461">
      <c r="A461" s="4" t="s">
        <v>6472</v>
      </c>
      <c r="B461" s="6" t="str">
        <f t="shared" si="1"/>
        <v>254.865</v>
      </c>
      <c r="C461" s="6" t="str">
        <f t="shared" si="2"/>
        <v>254,865</v>
      </c>
      <c r="D461" s="6">
        <f t="shared" si="3"/>
        <v>254.865</v>
      </c>
      <c r="E461" s="6">
        <f t="shared" si="4"/>
        <v>0.438</v>
      </c>
    </row>
    <row r="462">
      <c r="A462" s="4" t="s">
        <v>6473</v>
      </c>
      <c r="B462" s="6" t="str">
        <f t="shared" si="1"/>
        <v>255.406</v>
      </c>
      <c r="C462" s="6" t="str">
        <f t="shared" si="2"/>
        <v>255,406</v>
      </c>
      <c r="D462" s="6">
        <f t="shared" si="3"/>
        <v>255.406</v>
      </c>
      <c r="E462" s="6">
        <f t="shared" si="4"/>
        <v>0.541</v>
      </c>
    </row>
    <row r="463">
      <c r="A463" s="4" t="s">
        <v>6474</v>
      </c>
      <c r="B463" s="6" t="str">
        <f t="shared" si="1"/>
        <v>255.946</v>
      </c>
      <c r="C463" s="6" t="str">
        <f t="shared" si="2"/>
        <v>255,946</v>
      </c>
      <c r="D463" s="6">
        <f t="shared" si="3"/>
        <v>255.946</v>
      </c>
      <c r="E463" s="6">
        <f t="shared" si="4"/>
        <v>0.54</v>
      </c>
    </row>
    <row r="464">
      <c r="A464" s="4" t="s">
        <v>6475</v>
      </c>
      <c r="B464" s="6" t="str">
        <f t="shared" si="1"/>
        <v>256.380</v>
      </c>
      <c r="C464" s="6" t="str">
        <f t="shared" si="2"/>
        <v>256,380</v>
      </c>
      <c r="D464" s="6">
        <f t="shared" si="3"/>
        <v>256.38</v>
      </c>
      <c r="E464" s="6">
        <f t="shared" si="4"/>
        <v>0.434</v>
      </c>
    </row>
    <row r="465">
      <c r="A465" s="4" t="s">
        <v>6476</v>
      </c>
      <c r="B465" s="6" t="str">
        <f t="shared" si="1"/>
        <v>256.927</v>
      </c>
      <c r="C465" s="6" t="str">
        <f t="shared" si="2"/>
        <v>256,927</v>
      </c>
      <c r="D465" s="6">
        <f t="shared" si="3"/>
        <v>256.927</v>
      </c>
      <c r="E465" s="6">
        <f t="shared" si="4"/>
        <v>0.547</v>
      </c>
    </row>
    <row r="466">
      <c r="A466" s="4" t="s">
        <v>6477</v>
      </c>
      <c r="B466" s="6" t="str">
        <f t="shared" si="1"/>
        <v>257.467</v>
      </c>
      <c r="C466" s="6" t="str">
        <f t="shared" si="2"/>
        <v>257,467</v>
      </c>
      <c r="D466" s="6">
        <f t="shared" si="3"/>
        <v>257.467</v>
      </c>
      <c r="E466" s="6">
        <f t="shared" si="4"/>
        <v>0.54</v>
      </c>
    </row>
    <row r="467">
      <c r="A467" s="4" t="s">
        <v>6478</v>
      </c>
      <c r="B467" s="6" t="str">
        <f t="shared" si="1"/>
        <v>257.901</v>
      </c>
      <c r="C467" s="6" t="str">
        <f t="shared" si="2"/>
        <v>257,901</v>
      </c>
      <c r="D467" s="6">
        <f t="shared" si="3"/>
        <v>257.901</v>
      </c>
      <c r="E467" s="6">
        <f t="shared" si="4"/>
        <v>0.434</v>
      </c>
    </row>
    <row r="468">
      <c r="A468" s="4" t="s">
        <v>6479</v>
      </c>
      <c r="B468" s="6" t="str">
        <f t="shared" si="1"/>
        <v>258.445</v>
      </c>
      <c r="C468" s="6" t="str">
        <f t="shared" si="2"/>
        <v>258,445</v>
      </c>
      <c r="D468" s="6">
        <f t="shared" si="3"/>
        <v>258.445</v>
      </c>
      <c r="E468" s="6">
        <f t="shared" si="4"/>
        <v>0.544</v>
      </c>
    </row>
    <row r="469">
      <c r="A469" s="4" t="s">
        <v>6480</v>
      </c>
      <c r="B469" s="6" t="str">
        <f t="shared" si="1"/>
        <v>258.879</v>
      </c>
      <c r="C469" s="6" t="str">
        <f t="shared" si="2"/>
        <v>258,879</v>
      </c>
      <c r="D469" s="6">
        <f t="shared" si="3"/>
        <v>258.879</v>
      </c>
      <c r="E469" s="6">
        <f t="shared" si="4"/>
        <v>0.434</v>
      </c>
    </row>
    <row r="470">
      <c r="A470" s="4" t="s">
        <v>6481</v>
      </c>
      <c r="B470" s="6" t="str">
        <f t="shared" si="1"/>
        <v>259.420</v>
      </c>
      <c r="C470" s="6" t="str">
        <f t="shared" si="2"/>
        <v>259,420</v>
      </c>
      <c r="D470" s="6">
        <f t="shared" si="3"/>
        <v>259.42</v>
      </c>
      <c r="E470" s="6">
        <f t="shared" si="4"/>
        <v>0.541</v>
      </c>
    </row>
    <row r="471">
      <c r="A471" s="4" t="s">
        <v>6482</v>
      </c>
      <c r="B471" s="6" t="str">
        <f t="shared" si="1"/>
        <v>259.963</v>
      </c>
      <c r="C471" s="6" t="str">
        <f t="shared" si="2"/>
        <v>259,963</v>
      </c>
      <c r="D471" s="6">
        <f t="shared" si="3"/>
        <v>259.963</v>
      </c>
      <c r="E471" s="6">
        <f t="shared" si="4"/>
        <v>0.543</v>
      </c>
    </row>
    <row r="472">
      <c r="A472" s="4" t="s">
        <v>6483</v>
      </c>
      <c r="B472" s="6" t="str">
        <f t="shared" si="1"/>
        <v>260.395</v>
      </c>
      <c r="C472" s="6" t="str">
        <f t="shared" si="2"/>
        <v>260,395</v>
      </c>
      <c r="D472" s="6">
        <f t="shared" si="3"/>
        <v>260.395</v>
      </c>
      <c r="E472" s="6">
        <f t="shared" si="4"/>
        <v>0.432</v>
      </c>
    </row>
    <row r="473">
      <c r="A473" s="4" t="s">
        <v>6484</v>
      </c>
      <c r="B473" s="6" t="str">
        <f t="shared" si="1"/>
        <v>260.939</v>
      </c>
      <c r="C473" s="6" t="str">
        <f t="shared" si="2"/>
        <v>260,939</v>
      </c>
      <c r="D473" s="6">
        <f t="shared" si="3"/>
        <v>260.939</v>
      </c>
      <c r="E473" s="6">
        <f t="shared" si="4"/>
        <v>0.544</v>
      </c>
    </row>
    <row r="474">
      <c r="A474" s="4" t="s">
        <v>6485</v>
      </c>
      <c r="B474" s="6" t="str">
        <f t="shared" si="1"/>
        <v>261.488</v>
      </c>
      <c r="C474" s="6" t="str">
        <f t="shared" si="2"/>
        <v>261,488</v>
      </c>
      <c r="D474" s="6">
        <f t="shared" si="3"/>
        <v>261.488</v>
      </c>
      <c r="E474" s="6">
        <f t="shared" si="4"/>
        <v>0.549</v>
      </c>
    </row>
    <row r="475">
      <c r="A475" s="4" t="s">
        <v>6486</v>
      </c>
      <c r="B475" s="6" t="str">
        <f t="shared" si="1"/>
        <v>261.922</v>
      </c>
      <c r="C475" s="6" t="str">
        <f t="shared" si="2"/>
        <v>261,922</v>
      </c>
      <c r="D475" s="6">
        <f t="shared" si="3"/>
        <v>261.922</v>
      </c>
      <c r="E475" s="6">
        <f t="shared" si="4"/>
        <v>0.434</v>
      </c>
    </row>
    <row r="476">
      <c r="A476" s="4" t="s">
        <v>6487</v>
      </c>
      <c r="B476" s="6" t="str">
        <f t="shared" si="1"/>
        <v>262.461</v>
      </c>
      <c r="C476" s="6" t="str">
        <f t="shared" si="2"/>
        <v>262,461</v>
      </c>
      <c r="D476" s="6">
        <f t="shared" si="3"/>
        <v>262.461</v>
      </c>
      <c r="E476" s="6">
        <f t="shared" si="4"/>
        <v>0.539</v>
      </c>
    </row>
    <row r="477">
      <c r="A477" s="4" t="s">
        <v>6488</v>
      </c>
      <c r="B477" s="6" t="str">
        <f t="shared" si="1"/>
        <v>263.007</v>
      </c>
      <c r="C477" s="6" t="str">
        <f t="shared" si="2"/>
        <v>263,007</v>
      </c>
      <c r="D477" s="6">
        <f t="shared" si="3"/>
        <v>263.007</v>
      </c>
      <c r="E477" s="6">
        <f t="shared" si="4"/>
        <v>0.546</v>
      </c>
    </row>
    <row r="478">
      <c r="A478" s="4" t="s">
        <v>6489</v>
      </c>
      <c r="B478" s="6" t="str">
        <f t="shared" si="1"/>
        <v>263.443</v>
      </c>
      <c r="C478" s="6" t="str">
        <f t="shared" si="2"/>
        <v>263,443</v>
      </c>
      <c r="D478" s="6">
        <f t="shared" si="3"/>
        <v>263.443</v>
      </c>
      <c r="E478" s="6">
        <f t="shared" si="4"/>
        <v>0.436</v>
      </c>
    </row>
    <row r="479">
      <c r="A479" s="4" t="s">
        <v>6490</v>
      </c>
      <c r="B479" s="6" t="str">
        <f t="shared" si="1"/>
        <v>263.981</v>
      </c>
      <c r="C479" s="6" t="str">
        <f t="shared" si="2"/>
        <v>263,981</v>
      </c>
      <c r="D479" s="6">
        <f t="shared" si="3"/>
        <v>263.981</v>
      </c>
      <c r="E479" s="6">
        <f t="shared" si="4"/>
        <v>0.538</v>
      </c>
    </row>
    <row r="480">
      <c r="A480" s="4" t="s">
        <v>6491</v>
      </c>
      <c r="B480" s="6" t="str">
        <f t="shared" si="1"/>
        <v>264.527</v>
      </c>
      <c r="C480" s="6" t="str">
        <f t="shared" si="2"/>
        <v>264,527</v>
      </c>
      <c r="D480" s="6">
        <f t="shared" si="3"/>
        <v>264.527</v>
      </c>
      <c r="E480" s="6">
        <f t="shared" si="4"/>
        <v>0.546</v>
      </c>
    </row>
    <row r="481">
      <c r="A481" s="4" t="s">
        <v>6492</v>
      </c>
      <c r="B481" s="6" t="str">
        <f t="shared" si="1"/>
        <v>264.962</v>
      </c>
      <c r="C481" s="6" t="str">
        <f t="shared" si="2"/>
        <v>264,962</v>
      </c>
      <c r="D481" s="6">
        <f t="shared" si="3"/>
        <v>264.962</v>
      </c>
      <c r="E481" s="6">
        <f t="shared" si="4"/>
        <v>0.435</v>
      </c>
    </row>
    <row r="482">
      <c r="A482" s="4" t="s">
        <v>6493</v>
      </c>
      <c r="B482" s="6" t="str">
        <f t="shared" si="1"/>
        <v>265.511</v>
      </c>
      <c r="C482" s="6" t="str">
        <f t="shared" si="2"/>
        <v>265,511</v>
      </c>
      <c r="D482" s="6">
        <f t="shared" si="3"/>
        <v>265.511</v>
      </c>
      <c r="E482" s="6">
        <f t="shared" si="4"/>
        <v>0.549</v>
      </c>
    </row>
    <row r="483">
      <c r="A483" s="4" t="s">
        <v>6494</v>
      </c>
      <c r="B483" s="6" t="str">
        <f t="shared" si="1"/>
        <v>266.049</v>
      </c>
      <c r="C483" s="6" t="str">
        <f t="shared" si="2"/>
        <v>266,049</v>
      </c>
      <c r="D483" s="6">
        <f t="shared" si="3"/>
        <v>266.049</v>
      </c>
      <c r="E483" s="6">
        <f t="shared" si="4"/>
        <v>0.538</v>
      </c>
    </row>
    <row r="484">
      <c r="A484" s="4" t="s">
        <v>6495</v>
      </c>
      <c r="B484" s="6" t="str">
        <f t="shared" si="1"/>
        <v>266.481</v>
      </c>
      <c r="C484" s="6" t="str">
        <f t="shared" si="2"/>
        <v>266,481</v>
      </c>
      <c r="D484" s="6">
        <f t="shared" si="3"/>
        <v>266.481</v>
      </c>
      <c r="E484" s="6">
        <f t="shared" si="4"/>
        <v>0.432</v>
      </c>
    </row>
    <row r="485">
      <c r="A485" s="4" t="s">
        <v>6496</v>
      </c>
      <c r="B485" s="6" t="str">
        <f t="shared" si="1"/>
        <v>267.033</v>
      </c>
      <c r="C485" s="6" t="str">
        <f t="shared" si="2"/>
        <v>267,033</v>
      </c>
      <c r="D485" s="6">
        <f t="shared" si="3"/>
        <v>267.033</v>
      </c>
      <c r="E485" s="6">
        <f t="shared" si="4"/>
        <v>0.552</v>
      </c>
    </row>
    <row r="486">
      <c r="A486" s="4" t="s">
        <v>6497</v>
      </c>
      <c r="B486" s="6" t="str">
        <f t="shared" si="1"/>
        <v>267.465</v>
      </c>
      <c r="C486" s="6" t="str">
        <f t="shared" si="2"/>
        <v>267,465</v>
      </c>
      <c r="D486" s="6">
        <f t="shared" si="3"/>
        <v>267.465</v>
      </c>
      <c r="E486" s="6">
        <f t="shared" si="4"/>
        <v>0.432</v>
      </c>
    </row>
    <row r="487">
      <c r="A487" s="4" t="s">
        <v>6498</v>
      </c>
      <c r="B487" s="6" t="str">
        <f t="shared" si="1"/>
        <v>268.010</v>
      </c>
      <c r="C487" s="6" t="str">
        <f t="shared" si="2"/>
        <v>268,010</v>
      </c>
      <c r="D487" s="6">
        <f t="shared" si="3"/>
        <v>268.01</v>
      </c>
      <c r="E487" s="6">
        <f t="shared" si="4"/>
        <v>0.545</v>
      </c>
    </row>
    <row r="488">
      <c r="A488" s="4" t="s">
        <v>6499</v>
      </c>
      <c r="B488" s="6" t="str">
        <f t="shared" si="1"/>
        <v>268.547</v>
      </c>
      <c r="C488" s="6" t="str">
        <f t="shared" si="2"/>
        <v>268,547</v>
      </c>
      <c r="D488" s="6">
        <f t="shared" si="3"/>
        <v>268.547</v>
      </c>
      <c r="E488" s="6">
        <f t="shared" si="4"/>
        <v>0.537</v>
      </c>
    </row>
    <row r="489">
      <c r="A489" s="4" t="s">
        <v>6500</v>
      </c>
      <c r="B489" s="6" t="str">
        <f t="shared" si="1"/>
        <v>268.989</v>
      </c>
      <c r="C489" s="6" t="str">
        <f t="shared" si="2"/>
        <v>268,989</v>
      </c>
      <c r="D489" s="6">
        <f t="shared" si="3"/>
        <v>268.989</v>
      </c>
      <c r="E489" s="6">
        <f t="shared" si="4"/>
        <v>0.442</v>
      </c>
    </row>
    <row r="490">
      <c r="A490" s="4" t="s">
        <v>6501</v>
      </c>
      <c r="B490" s="6" t="str">
        <f t="shared" si="1"/>
        <v>269.526</v>
      </c>
      <c r="C490" s="6" t="str">
        <f t="shared" si="2"/>
        <v>269,526</v>
      </c>
      <c r="D490" s="6">
        <f t="shared" si="3"/>
        <v>269.526</v>
      </c>
      <c r="E490" s="6">
        <f t="shared" si="4"/>
        <v>0.537</v>
      </c>
    </row>
    <row r="491">
      <c r="A491" s="4" t="s">
        <v>6502</v>
      </c>
      <c r="B491" s="6" t="str">
        <f t="shared" si="1"/>
        <v>270.071</v>
      </c>
      <c r="C491" s="6" t="str">
        <f t="shared" si="2"/>
        <v>270,071</v>
      </c>
      <c r="D491" s="6">
        <f t="shared" si="3"/>
        <v>270.071</v>
      </c>
      <c r="E491" s="6">
        <f t="shared" si="4"/>
        <v>0.545</v>
      </c>
    </row>
    <row r="492">
      <c r="A492" s="4" t="s">
        <v>6503</v>
      </c>
      <c r="B492" s="6" t="str">
        <f t="shared" si="1"/>
        <v>270.609</v>
      </c>
      <c r="C492" s="6" t="str">
        <f t="shared" si="2"/>
        <v>270,609</v>
      </c>
      <c r="D492" s="6">
        <f t="shared" si="3"/>
        <v>270.609</v>
      </c>
      <c r="E492" s="6">
        <f t="shared" si="4"/>
        <v>0.538</v>
      </c>
    </row>
    <row r="493">
      <c r="A493" s="4" t="s">
        <v>6504</v>
      </c>
      <c r="B493" s="6" t="str">
        <f t="shared" si="1"/>
        <v>271.043</v>
      </c>
      <c r="C493" s="6" t="str">
        <f t="shared" si="2"/>
        <v>271,043</v>
      </c>
      <c r="D493" s="6">
        <f t="shared" si="3"/>
        <v>271.043</v>
      </c>
      <c r="E493" s="6">
        <f t="shared" si="4"/>
        <v>0.434</v>
      </c>
    </row>
    <row r="494">
      <c r="A494" s="4" t="s">
        <v>6505</v>
      </c>
      <c r="B494" s="6" t="str">
        <f t="shared" si="1"/>
        <v>271.589</v>
      </c>
      <c r="C494" s="6" t="str">
        <f t="shared" si="2"/>
        <v>271,589</v>
      </c>
      <c r="D494" s="6">
        <f t="shared" si="3"/>
        <v>271.589</v>
      </c>
      <c r="E494" s="6">
        <f t="shared" si="4"/>
        <v>0.546</v>
      </c>
    </row>
    <row r="495">
      <c r="A495" s="4" t="s">
        <v>6506</v>
      </c>
      <c r="B495" s="6" t="str">
        <f t="shared" si="1"/>
        <v>272.021</v>
      </c>
      <c r="C495" s="6" t="str">
        <f t="shared" si="2"/>
        <v>272,021</v>
      </c>
      <c r="D495" s="6">
        <f t="shared" si="3"/>
        <v>272.021</v>
      </c>
      <c r="E495" s="6">
        <f t="shared" si="4"/>
        <v>0.432</v>
      </c>
    </row>
    <row r="496">
      <c r="A496" s="4" t="s">
        <v>6507</v>
      </c>
      <c r="B496" s="6" t="str">
        <f t="shared" si="1"/>
        <v>272.565</v>
      </c>
      <c r="C496" s="6" t="str">
        <f t="shared" si="2"/>
        <v>272,565</v>
      </c>
      <c r="D496" s="6">
        <f t="shared" si="3"/>
        <v>272.565</v>
      </c>
      <c r="E496" s="6">
        <f t="shared" si="4"/>
        <v>0.544</v>
      </c>
    </row>
    <row r="497">
      <c r="A497" s="4" t="s">
        <v>6508</v>
      </c>
      <c r="B497" s="6" t="str">
        <f t="shared" si="1"/>
        <v>273.109</v>
      </c>
      <c r="C497" s="6" t="str">
        <f t="shared" si="2"/>
        <v>273,109</v>
      </c>
      <c r="D497" s="6">
        <f t="shared" si="3"/>
        <v>273.109</v>
      </c>
      <c r="E497" s="6">
        <f t="shared" si="4"/>
        <v>0.544</v>
      </c>
    </row>
    <row r="498">
      <c r="A498" s="4" t="s">
        <v>6509</v>
      </c>
      <c r="B498" s="6" t="str">
        <f t="shared" si="1"/>
        <v>273.546</v>
      </c>
      <c r="C498" s="6" t="str">
        <f t="shared" si="2"/>
        <v>273,546</v>
      </c>
      <c r="D498" s="6">
        <f t="shared" si="3"/>
        <v>273.546</v>
      </c>
      <c r="E498" s="6">
        <f t="shared" si="4"/>
        <v>0.437</v>
      </c>
    </row>
    <row r="499">
      <c r="A499" s="4" t="s">
        <v>6510</v>
      </c>
      <c r="B499" s="6" t="str">
        <f t="shared" si="1"/>
        <v>274.090</v>
      </c>
      <c r="C499" s="6" t="str">
        <f t="shared" si="2"/>
        <v>274,090</v>
      </c>
      <c r="D499" s="6">
        <f t="shared" si="3"/>
        <v>274.09</v>
      </c>
      <c r="E499" s="6">
        <f t="shared" si="4"/>
        <v>0.544</v>
      </c>
    </row>
    <row r="500">
      <c r="A500" s="4" t="s">
        <v>6511</v>
      </c>
      <c r="B500" s="6" t="str">
        <f t="shared" si="1"/>
        <v>274.633</v>
      </c>
      <c r="C500" s="6" t="str">
        <f t="shared" si="2"/>
        <v>274,633</v>
      </c>
      <c r="D500" s="6">
        <f t="shared" si="3"/>
        <v>274.633</v>
      </c>
      <c r="E500" s="6">
        <f t="shared" si="4"/>
        <v>0.543</v>
      </c>
    </row>
    <row r="501">
      <c r="A501" s="4" t="s">
        <v>6512</v>
      </c>
      <c r="B501" s="6" t="str">
        <f t="shared" si="1"/>
        <v>275.068</v>
      </c>
      <c r="C501" s="6" t="str">
        <f t="shared" si="2"/>
        <v>275,068</v>
      </c>
      <c r="D501" s="6">
        <f t="shared" si="3"/>
        <v>275.068</v>
      </c>
      <c r="E501" s="6">
        <f t="shared" si="4"/>
        <v>0.435</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row>
    <row r="2">
      <c r="A2" s="4" t="s">
        <v>2165</v>
      </c>
    </row>
    <row r="3">
      <c r="A3" s="4" t="s">
        <v>1352</v>
      </c>
    </row>
    <row r="4">
      <c r="A4" s="4" t="s">
        <v>1655</v>
      </c>
    </row>
    <row r="5">
      <c r="A5" s="4" t="s">
        <v>2164</v>
      </c>
    </row>
    <row r="6">
      <c r="A6" s="4" t="s">
        <v>2166</v>
      </c>
    </row>
    <row r="7">
      <c r="A7" s="4" t="s">
        <v>1656</v>
      </c>
    </row>
    <row r="8">
      <c r="A8" s="4" t="s">
        <v>2159</v>
      </c>
    </row>
    <row r="9">
      <c r="A9" s="4" t="s">
        <v>1657</v>
      </c>
    </row>
    <row r="10">
      <c r="A10" s="4" t="s">
        <v>2158</v>
      </c>
    </row>
    <row r="11">
      <c r="A11" s="4" t="s">
        <v>2159</v>
      </c>
    </row>
    <row r="12">
      <c r="A12" s="4" t="s">
        <v>2158</v>
      </c>
    </row>
    <row r="13">
      <c r="A13" s="4" t="s">
        <v>869</v>
      </c>
    </row>
    <row r="14">
      <c r="A14" s="4" t="s">
        <v>2165</v>
      </c>
    </row>
    <row r="15">
      <c r="A15" s="4" t="s">
        <v>2166</v>
      </c>
    </row>
    <row r="16">
      <c r="A16" s="4" t="s">
        <v>2159</v>
      </c>
    </row>
    <row r="17">
      <c r="A17" s="4" t="s">
        <v>1657</v>
      </c>
    </row>
    <row r="18">
      <c r="A18" s="4" t="s">
        <v>2166</v>
      </c>
    </row>
    <row r="19">
      <c r="A19" s="4" t="s">
        <v>1656</v>
      </c>
    </row>
    <row r="20">
      <c r="A20" s="4" t="s">
        <v>869</v>
      </c>
    </row>
    <row r="21">
      <c r="A21" s="4" t="s">
        <v>1655</v>
      </c>
    </row>
    <row r="22">
      <c r="A22" s="4" t="s">
        <v>2161</v>
      </c>
    </row>
    <row r="23">
      <c r="A23" s="4" t="s">
        <v>1352</v>
      </c>
    </row>
    <row r="24">
      <c r="A24" s="4" t="s">
        <v>2162</v>
      </c>
    </row>
    <row r="25">
      <c r="A25" s="4" t="s">
        <v>939</v>
      </c>
    </row>
    <row r="26">
      <c r="A26" s="4" t="s">
        <v>2164</v>
      </c>
    </row>
    <row r="27">
      <c r="A27" s="4" t="s">
        <v>1656</v>
      </c>
    </row>
    <row r="28">
      <c r="A28" s="4" t="s">
        <v>2165</v>
      </c>
    </row>
    <row r="29">
      <c r="A29" s="4" t="s">
        <v>2161</v>
      </c>
    </row>
    <row r="30">
      <c r="A30" s="4" t="s">
        <v>2166</v>
      </c>
    </row>
    <row r="31">
      <c r="A31" s="4" t="s">
        <v>2165</v>
      </c>
    </row>
    <row r="32">
      <c r="A32" s="4" t="s">
        <v>2159</v>
      </c>
    </row>
    <row r="33">
      <c r="A33" s="4" t="s">
        <v>2166</v>
      </c>
    </row>
    <row r="34">
      <c r="A34" s="4" t="s">
        <v>1352</v>
      </c>
    </row>
    <row r="35">
      <c r="A35" s="4" t="s">
        <v>1655</v>
      </c>
    </row>
    <row r="36">
      <c r="A36" s="4" t="s">
        <v>2167</v>
      </c>
    </row>
    <row r="37">
      <c r="A37" s="4" t="s">
        <v>1655</v>
      </c>
    </row>
    <row r="38">
      <c r="A38" s="4" t="s">
        <v>2163</v>
      </c>
    </row>
    <row r="39">
      <c r="A39" s="4" t="s">
        <v>2161</v>
      </c>
    </row>
    <row r="40">
      <c r="A40" s="4" t="s">
        <v>1656</v>
      </c>
    </row>
    <row r="41">
      <c r="A41" s="4" t="s">
        <v>952</v>
      </c>
    </row>
    <row r="42">
      <c r="A42" s="4" t="s">
        <v>2168</v>
      </c>
    </row>
    <row r="43">
      <c r="A43" s="4" t="s">
        <v>2166</v>
      </c>
    </row>
    <row r="44">
      <c r="A44" s="4" t="s">
        <v>2163</v>
      </c>
    </row>
    <row r="45">
      <c r="A45" s="4" t="s">
        <v>1656</v>
      </c>
    </row>
    <row r="46">
      <c r="A46" s="4" t="s">
        <v>2160</v>
      </c>
    </row>
    <row r="47">
      <c r="A47" s="4" t="s">
        <v>1352</v>
      </c>
    </row>
    <row r="48">
      <c r="A48" s="4" t="s">
        <v>2169</v>
      </c>
    </row>
    <row r="49">
      <c r="A49" s="4" t="s">
        <v>2158</v>
      </c>
    </row>
    <row r="50">
      <c r="A50" s="4" t="s">
        <v>2168</v>
      </c>
    </row>
    <row r="51">
      <c r="A51" s="4" t="s">
        <v>2158</v>
      </c>
    </row>
    <row r="52">
      <c r="A52" s="4" t="s">
        <v>1656</v>
      </c>
    </row>
    <row r="53">
      <c r="A53" s="4" t="s">
        <v>2159</v>
      </c>
    </row>
    <row r="54">
      <c r="A54" s="4" t="s">
        <v>869</v>
      </c>
    </row>
    <row r="55">
      <c r="A55" s="4" t="s">
        <v>2164</v>
      </c>
    </row>
    <row r="56">
      <c r="A56" s="4" t="s">
        <v>1655</v>
      </c>
    </row>
    <row r="57">
      <c r="A57" s="4" t="s">
        <v>2168</v>
      </c>
    </row>
    <row r="58">
      <c r="A58" s="4" t="s">
        <v>2166</v>
      </c>
    </row>
    <row r="59">
      <c r="A59" s="4" t="s">
        <v>1352</v>
      </c>
    </row>
    <row r="60">
      <c r="A60" s="4" t="s">
        <v>2160</v>
      </c>
    </row>
    <row r="61">
      <c r="A61" s="4" t="s">
        <v>2160</v>
      </c>
    </row>
    <row r="62">
      <c r="A62" s="4" t="s">
        <v>939</v>
      </c>
    </row>
    <row r="63">
      <c r="A63" s="4" t="s">
        <v>939</v>
      </c>
    </row>
    <row r="64">
      <c r="A64" s="4" t="s">
        <v>2166</v>
      </c>
    </row>
    <row r="65">
      <c r="A65" s="4" t="s">
        <v>1352</v>
      </c>
    </row>
    <row r="66">
      <c r="A66" s="4" t="s">
        <v>939</v>
      </c>
    </row>
    <row r="67">
      <c r="A67" s="4" t="s">
        <v>2163</v>
      </c>
    </row>
    <row r="68">
      <c r="A68" s="4" t="s">
        <v>105</v>
      </c>
    </row>
    <row r="69">
      <c r="A69" s="4" t="s">
        <v>2167</v>
      </c>
    </row>
    <row r="70">
      <c r="A70" s="4" t="s">
        <v>105</v>
      </c>
    </row>
    <row r="71">
      <c r="A71" s="4" t="s">
        <v>2163</v>
      </c>
    </row>
    <row r="72">
      <c r="A72" s="4" t="s">
        <v>2162</v>
      </c>
    </row>
    <row r="73">
      <c r="A73" s="4" t="s">
        <v>952</v>
      </c>
    </row>
    <row r="74">
      <c r="A74" s="4" t="s">
        <v>939</v>
      </c>
    </row>
    <row r="75">
      <c r="A75" s="4" t="s">
        <v>2158</v>
      </c>
    </row>
    <row r="76">
      <c r="A76" s="4" t="s">
        <v>2159</v>
      </c>
    </row>
    <row r="77">
      <c r="A77" s="4" t="s">
        <v>2159</v>
      </c>
    </row>
    <row r="78">
      <c r="A78" s="4" t="s">
        <v>105</v>
      </c>
    </row>
    <row r="79">
      <c r="A79" s="4" t="s">
        <v>2160</v>
      </c>
    </row>
    <row r="80">
      <c r="A80" s="4" t="s">
        <v>2163</v>
      </c>
    </row>
    <row r="81">
      <c r="A81" s="4" t="s">
        <v>939</v>
      </c>
    </row>
    <row r="82">
      <c r="A82" s="4" t="s">
        <v>2163</v>
      </c>
    </row>
    <row r="83">
      <c r="A83" s="4" t="s">
        <v>1656</v>
      </c>
    </row>
    <row r="84">
      <c r="A84" s="4" t="s">
        <v>2162</v>
      </c>
    </row>
    <row r="85">
      <c r="A85" s="4" t="s">
        <v>2167</v>
      </c>
    </row>
    <row r="86">
      <c r="A86" s="4" t="s">
        <v>1656</v>
      </c>
    </row>
    <row r="87">
      <c r="A87" s="4" t="s">
        <v>2165</v>
      </c>
    </row>
    <row r="88">
      <c r="A88" s="4" t="s">
        <v>869</v>
      </c>
    </row>
    <row r="89">
      <c r="A89" s="4" t="s">
        <v>939</v>
      </c>
    </row>
    <row r="90">
      <c r="A90" s="4" t="s">
        <v>2162</v>
      </c>
    </row>
    <row r="91">
      <c r="A91" s="4" t="s">
        <v>2159</v>
      </c>
    </row>
    <row r="92">
      <c r="A92" s="4" t="s">
        <v>105</v>
      </c>
    </row>
    <row r="93">
      <c r="A93" s="4" t="s">
        <v>1352</v>
      </c>
    </row>
    <row r="94">
      <c r="A94" s="4" t="s">
        <v>2165</v>
      </c>
    </row>
    <row r="95">
      <c r="A95" s="4" t="s">
        <v>2165</v>
      </c>
    </row>
    <row r="96">
      <c r="A96" s="4" t="s">
        <v>2168</v>
      </c>
    </row>
    <row r="97">
      <c r="A97" s="4" t="s">
        <v>2167</v>
      </c>
    </row>
    <row r="98">
      <c r="A98" s="4" t="s">
        <v>1352</v>
      </c>
    </row>
    <row r="99">
      <c r="A99" s="4" t="s">
        <v>869</v>
      </c>
    </row>
    <row r="100">
      <c r="A100" s="4" t="s">
        <v>2158</v>
      </c>
    </row>
    <row r="101">
      <c r="A101" s="4" t="s">
        <v>105</v>
      </c>
    </row>
    <row r="102">
      <c r="A102" s="4" t="s">
        <v>2160</v>
      </c>
    </row>
    <row r="103">
      <c r="A103" s="4" t="s">
        <v>2161</v>
      </c>
    </row>
    <row r="104">
      <c r="A104" s="4" t="s">
        <v>2166</v>
      </c>
    </row>
    <row r="105">
      <c r="A105" s="4" t="s">
        <v>1655</v>
      </c>
    </row>
    <row r="106">
      <c r="A106" s="4" t="s">
        <v>2162</v>
      </c>
    </row>
    <row r="107">
      <c r="A107" s="4" t="s">
        <v>1657</v>
      </c>
    </row>
    <row r="108">
      <c r="A108" s="4" t="s">
        <v>869</v>
      </c>
    </row>
    <row r="109">
      <c r="A109" s="4" t="s">
        <v>105</v>
      </c>
    </row>
    <row r="110">
      <c r="A110" s="4" t="s">
        <v>2166</v>
      </c>
    </row>
    <row r="111">
      <c r="A111" s="4" t="s">
        <v>1352</v>
      </c>
    </row>
    <row r="112">
      <c r="A112" s="4" t="s">
        <v>939</v>
      </c>
    </row>
    <row r="113">
      <c r="A113" s="4" t="s">
        <v>2165</v>
      </c>
    </row>
    <row r="114">
      <c r="A114" s="4" t="s">
        <v>952</v>
      </c>
    </row>
    <row r="115">
      <c r="A115" s="4" t="s">
        <v>2159</v>
      </c>
    </row>
    <row r="116">
      <c r="A116" s="4" t="s">
        <v>1655</v>
      </c>
    </row>
    <row r="117">
      <c r="A117" s="4" t="s">
        <v>2168</v>
      </c>
    </row>
    <row r="118">
      <c r="A118" s="4" t="s">
        <v>2161</v>
      </c>
    </row>
    <row r="119">
      <c r="A119" s="4" t="s">
        <v>2169</v>
      </c>
    </row>
    <row r="120">
      <c r="A120" s="4" t="s">
        <v>1657</v>
      </c>
    </row>
    <row r="121">
      <c r="A121" s="4" t="s">
        <v>1352</v>
      </c>
    </row>
    <row r="122">
      <c r="A122" s="4" t="s">
        <v>2167</v>
      </c>
    </row>
    <row r="123">
      <c r="A123" s="4" t="s">
        <v>2167</v>
      </c>
    </row>
    <row r="124">
      <c r="A124" s="4" t="s">
        <v>1657</v>
      </c>
    </row>
    <row r="125">
      <c r="A125" s="4" t="s">
        <v>2158</v>
      </c>
    </row>
    <row r="126">
      <c r="A126" s="4" t="s">
        <v>2168</v>
      </c>
    </row>
    <row r="127">
      <c r="A127" s="4" t="s">
        <v>1352</v>
      </c>
    </row>
    <row r="128">
      <c r="A128" s="4" t="s">
        <v>2167</v>
      </c>
    </row>
    <row r="129">
      <c r="A129" s="4" t="s">
        <v>2159</v>
      </c>
    </row>
    <row r="130">
      <c r="A130" s="4" t="s">
        <v>2167</v>
      </c>
    </row>
    <row r="131">
      <c r="A131" s="4" t="s">
        <v>869</v>
      </c>
    </row>
    <row r="132">
      <c r="A132" s="4" t="s">
        <v>952</v>
      </c>
    </row>
    <row r="133">
      <c r="A133" s="4" t="s">
        <v>1656</v>
      </c>
    </row>
    <row r="134">
      <c r="A134" s="4" t="s">
        <v>2166</v>
      </c>
    </row>
    <row r="135">
      <c r="A135" s="4" t="s">
        <v>939</v>
      </c>
    </row>
    <row r="136">
      <c r="A136" s="4" t="s">
        <v>105</v>
      </c>
    </row>
    <row r="137">
      <c r="A137" s="4" t="s">
        <v>2165</v>
      </c>
    </row>
    <row r="138">
      <c r="A138" s="4" t="s">
        <v>1657</v>
      </c>
    </row>
    <row r="139">
      <c r="A139" s="4" t="s">
        <v>2160</v>
      </c>
    </row>
    <row r="140">
      <c r="A140" s="4" t="s">
        <v>939</v>
      </c>
    </row>
    <row r="141">
      <c r="A141" s="4" t="s">
        <v>2164</v>
      </c>
    </row>
    <row r="142">
      <c r="A142" s="4" t="s">
        <v>2159</v>
      </c>
    </row>
    <row r="143">
      <c r="A143" s="4" t="s">
        <v>952</v>
      </c>
    </row>
    <row r="144">
      <c r="A144" s="4" t="s">
        <v>1656</v>
      </c>
    </row>
    <row r="145">
      <c r="A145" s="4" t="s">
        <v>952</v>
      </c>
    </row>
    <row r="146">
      <c r="A146" s="4" t="s">
        <v>2160</v>
      </c>
    </row>
    <row r="147">
      <c r="A147" s="4" t="s">
        <v>1352</v>
      </c>
    </row>
    <row r="148">
      <c r="A148" s="4" t="s">
        <v>2162</v>
      </c>
    </row>
    <row r="149">
      <c r="A149" s="4" t="s">
        <v>2165</v>
      </c>
    </row>
    <row r="150">
      <c r="A150" s="4" t="s">
        <v>869</v>
      </c>
    </row>
    <row r="151">
      <c r="A151" s="4" t="s">
        <v>2158</v>
      </c>
    </row>
    <row r="152">
      <c r="A152" s="4" t="s">
        <v>869</v>
      </c>
    </row>
    <row r="153">
      <c r="A153" s="4" t="s">
        <v>1656</v>
      </c>
    </row>
    <row r="154">
      <c r="A154" s="4" t="s">
        <v>2158</v>
      </c>
    </row>
    <row r="155">
      <c r="A155" s="4" t="s">
        <v>2168</v>
      </c>
    </row>
    <row r="156">
      <c r="A156" s="4" t="s">
        <v>2166</v>
      </c>
    </row>
    <row r="157">
      <c r="A157" s="4" t="s">
        <v>2164</v>
      </c>
    </row>
    <row r="158">
      <c r="A158" s="4" t="s">
        <v>952</v>
      </c>
    </row>
    <row r="159">
      <c r="A159" s="4" t="s">
        <v>2159</v>
      </c>
    </row>
    <row r="160">
      <c r="A160" s="4" t="s">
        <v>1655</v>
      </c>
    </row>
    <row r="161">
      <c r="A161" s="4" t="s">
        <v>1655</v>
      </c>
    </row>
    <row r="162">
      <c r="A162" s="4" t="s">
        <v>2158</v>
      </c>
    </row>
    <row r="163">
      <c r="A163" s="4" t="s">
        <v>939</v>
      </c>
    </row>
    <row r="164">
      <c r="A164" s="4" t="s">
        <v>1352</v>
      </c>
    </row>
    <row r="165">
      <c r="A165" s="4" t="s">
        <v>869</v>
      </c>
    </row>
    <row r="166">
      <c r="A166" s="4" t="s">
        <v>952</v>
      </c>
    </row>
    <row r="167">
      <c r="A167" s="4" t="s">
        <v>2161</v>
      </c>
    </row>
    <row r="168">
      <c r="A168" s="4" t="s">
        <v>2159</v>
      </c>
    </row>
    <row r="169">
      <c r="A169" s="4" t="s">
        <v>2167</v>
      </c>
    </row>
    <row r="170">
      <c r="A170" s="4" t="s">
        <v>2165</v>
      </c>
    </row>
    <row r="171">
      <c r="A171" s="4" t="s">
        <v>1656</v>
      </c>
    </row>
    <row r="172">
      <c r="A172" s="4" t="s">
        <v>869</v>
      </c>
    </row>
    <row r="173">
      <c r="A173" s="4" t="s">
        <v>2159</v>
      </c>
    </row>
    <row r="174">
      <c r="A174" s="4" t="s">
        <v>1352</v>
      </c>
    </row>
    <row r="175">
      <c r="A175" s="4" t="s">
        <v>2168</v>
      </c>
    </row>
    <row r="176">
      <c r="A176" s="4" t="s">
        <v>2161</v>
      </c>
    </row>
    <row r="177">
      <c r="A177" s="4" t="s">
        <v>869</v>
      </c>
    </row>
    <row r="178">
      <c r="A178" s="4" t="s">
        <v>1657</v>
      </c>
    </row>
    <row r="179">
      <c r="A179" s="4" t="s">
        <v>1657</v>
      </c>
    </row>
    <row r="180">
      <c r="A180" s="4" t="s">
        <v>2166</v>
      </c>
    </row>
    <row r="181">
      <c r="A181" s="4" t="s">
        <v>1352</v>
      </c>
    </row>
    <row r="182">
      <c r="A182" s="4" t="s">
        <v>2166</v>
      </c>
    </row>
    <row r="183">
      <c r="A183" s="4" t="s">
        <v>1352</v>
      </c>
    </row>
    <row r="184">
      <c r="A184" s="4" t="s">
        <v>2169</v>
      </c>
    </row>
    <row r="185">
      <c r="A185" s="4" t="s">
        <v>2162</v>
      </c>
    </row>
    <row r="186">
      <c r="A186" s="4" t="s">
        <v>2161</v>
      </c>
    </row>
    <row r="187">
      <c r="A187" s="4" t="s">
        <v>2161</v>
      </c>
    </row>
    <row r="188">
      <c r="A188" s="4" t="s">
        <v>2169</v>
      </c>
    </row>
    <row r="189">
      <c r="A189" s="4" t="s">
        <v>2163</v>
      </c>
    </row>
    <row r="190">
      <c r="A190" s="4" t="s">
        <v>2159</v>
      </c>
    </row>
    <row r="191">
      <c r="A191" s="4" t="s">
        <v>2160</v>
      </c>
    </row>
    <row r="192">
      <c r="A192" s="4" t="s">
        <v>2162</v>
      </c>
    </row>
    <row r="193">
      <c r="A193" s="4" t="s">
        <v>2165</v>
      </c>
    </row>
    <row r="194">
      <c r="A194" s="4" t="s">
        <v>1656</v>
      </c>
    </row>
    <row r="195">
      <c r="A195" s="4" t="s">
        <v>1656</v>
      </c>
    </row>
    <row r="196">
      <c r="A196" s="4" t="s">
        <v>2164</v>
      </c>
    </row>
    <row r="197">
      <c r="A197" s="4" t="s">
        <v>939</v>
      </c>
    </row>
    <row r="198">
      <c r="A198" s="4" t="s">
        <v>2165</v>
      </c>
    </row>
    <row r="199">
      <c r="A199" s="4" t="s">
        <v>1656</v>
      </c>
    </row>
    <row r="200">
      <c r="A200" s="4" t="s">
        <v>2163</v>
      </c>
    </row>
    <row r="201">
      <c r="A201" s="4" t="s">
        <v>1656</v>
      </c>
    </row>
    <row r="202">
      <c r="A202" s="4" t="s">
        <v>105</v>
      </c>
    </row>
    <row r="203">
      <c r="A203" s="4" t="s">
        <v>2165</v>
      </c>
    </row>
    <row r="204">
      <c r="A204" s="4" t="s">
        <v>1655</v>
      </c>
    </row>
    <row r="205">
      <c r="A205" s="4" t="s">
        <v>2166</v>
      </c>
    </row>
    <row r="206">
      <c r="A206" s="4" t="s">
        <v>2158</v>
      </c>
    </row>
    <row r="207">
      <c r="A207" s="4" t="s">
        <v>1352</v>
      </c>
    </row>
    <row r="208">
      <c r="A208" s="4" t="s">
        <v>1656</v>
      </c>
    </row>
    <row r="209">
      <c r="A209" s="4" t="s">
        <v>1352</v>
      </c>
    </row>
    <row r="210">
      <c r="A210" s="4" t="s">
        <v>105</v>
      </c>
    </row>
    <row r="211">
      <c r="A211" s="4" t="s">
        <v>2165</v>
      </c>
    </row>
    <row r="212">
      <c r="A212" s="4" t="s">
        <v>1655</v>
      </c>
    </row>
    <row r="213">
      <c r="A213" s="4" t="s">
        <v>2165</v>
      </c>
    </row>
    <row r="214">
      <c r="A214" s="4" t="s">
        <v>869</v>
      </c>
    </row>
    <row r="215">
      <c r="A215" s="4" t="s">
        <v>2161</v>
      </c>
    </row>
    <row r="216">
      <c r="A216" s="4" t="s">
        <v>1656</v>
      </c>
    </row>
    <row r="217">
      <c r="A217" s="4" t="s">
        <v>1352</v>
      </c>
    </row>
    <row r="218">
      <c r="A218" s="4" t="s">
        <v>2169</v>
      </c>
    </row>
    <row r="219">
      <c r="A219" s="4" t="s">
        <v>2158</v>
      </c>
    </row>
    <row r="220">
      <c r="A220" s="4" t="s">
        <v>2159</v>
      </c>
    </row>
    <row r="221">
      <c r="A221" s="4" t="s">
        <v>2167</v>
      </c>
    </row>
    <row r="222">
      <c r="A222" s="4" t="s">
        <v>1655</v>
      </c>
    </row>
    <row r="223">
      <c r="A223" s="4" t="s">
        <v>2164</v>
      </c>
    </row>
    <row r="224">
      <c r="A224" s="4" t="s">
        <v>1655</v>
      </c>
    </row>
    <row r="225">
      <c r="A225" s="4" t="s">
        <v>2164</v>
      </c>
    </row>
    <row r="226">
      <c r="A226" s="4" t="s">
        <v>2158</v>
      </c>
    </row>
    <row r="227">
      <c r="A227" s="4" t="s">
        <v>2165</v>
      </c>
    </row>
    <row r="228">
      <c r="A228" s="4" t="s">
        <v>1655</v>
      </c>
    </row>
    <row r="229">
      <c r="A229" s="4" t="s">
        <v>939</v>
      </c>
    </row>
    <row r="230">
      <c r="A230" s="4" t="s">
        <v>2166</v>
      </c>
    </row>
    <row r="231">
      <c r="A231" s="4" t="s">
        <v>2161</v>
      </c>
    </row>
    <row r="232">
      <c r="A232" s="4" t="s">
        <v>2164</v>
      </c>
    </row>
    <row r="233">
      <c r="A233" s="4" t="s">
        <v>2169</v>
      </c>
    </row>
    <row r="234">
      <c r="A234" s="4" t="s">
        <v>1655</v>
      </c>
    </row>
    <row r="235">
      <c r="A235" s="4" t="s">
        <v>2163</v>
      </c>
    </row>
    <row r="236">
      <c r="A236" s="4" t="s">
        <v>2161</v>
      </c>
    </row>
    <row r="237">
      <c r="A237" s="4" t="s">
        <v>105</v>
      </c>
    </row>
    <row r="238">
      <c r="A238" s="4" t="s">
        <v>1352</v>
      </c>
    </row>
    <row r="239">
      <c r="A239" s="4" t="s">
        <v>2164</v>
      </c>
    </row>
    <row r="240">
      <c r="A240" s="4" t="s">
        <v>2160</v>
      </c>
    </row>
    <row r="241">
      <c r="A241" s="4" t="s">
        <v>939</v>
      </c>
    </row>
    <row r="242">
      <c r="A242" s="4" t="s">
        <v>2160</v>
      </c>
    </row>
    <row r="243">
      <c r="A243" s="4" t="s">
        <v>2169</v>
      </c>
    </row>
    <row r="244">
      <c r="A244" s="4" t="s">
        <v>2159</v>
      </c>
    </row>
    <row r="245">
      <c r="A245" s="4" t="s">
        <v>1656</v>
      </c>
    </row>
    <row r="246">
      <c r="A246" s="4" t="s">
        <v>1352</v>
      </c>
    </row>
    <row r="247">
      <c r="A247" s="4" t="s">
        <v>2162</v>
      </c>
    </row>
    <row r="248">
      <c r="A248" s="4" t="s">
        <v>2159</v>
      </c>
    </row>
    <row r="249">
      <c r="A249" s="4" t="s">
        <v>869</v>
      </c>
    </row>
    <row r="250">
      <c r="A250" s="4" t="s">
        <v>2167</v>
      </c>
    </row>
    <row r="251">
      <c r="A251" s="4" t="s">
        <v>2159</v>
      </c>
    </row>
    <row r="252">
      <c r="A252" s="4" t="s">
        <v>2168</v>
      </c>
    </row>
    <row r="253">
      <c r="A253" s="4" t="s">
        <v>1655</v>
      </c>
    </row>
    <row r="254">
      <c r="A254" s="4" t="s">
        <v>2162</v>
      </c>
    </row>
    <row r="255">
      <c r="A255" s="4" t="s">
        <v>1352</v>
      </c>
    </row>
    <row r="256">
      <c r="A256" s="4" t="s">
        <v>1656</v>
      </c>
    </row>
    <row r="257">
      <c r="A257" s="4" t="s">
        <v>939</v>
      </c>
    </row>
    <row r="258">
      <c r="A258" s="4" t="s">
        <v>1352</v>
      </c>
    </row>
    <row r="259">
      <c r="A259" s="4" t="s">
        <v>105</v>
      </c>
    </row>
    <row r="260">
      <c r="A260" s="4" t="s">
        <v>105</v>
      </c>
    </row>
    <row r="261">
      <c r="A261" s="4" t="s">
        <v>2161</v>
      </c>
    </row>
    <row r="262">
      <c r="A262" s="4" t="s">
        <v>1655</v>
      </c>
    </row>
    <row r="263">
      <c r="A263" s="4" t="s">
        <v>2158</v>
      </c>
    </row>
    <row r="264">
      <c r="A264" s="4" t="s">
        <v>2160</v>
      </c>
    </row>
    <row r="265">
      <c r="A265" s="4" t="s">
        <v>1657</v>
      </c>
    </row>
    <row r="266">
      <c r="A266" s="4" t="s">
        <v>2167</v>
      </c>
    </row>
    <row r="267">
      <c r="A267" s="4" t="s">
        <v>1655</v>
      </c>
    </row>
    <row r="268">
      <c r="A268" s="4" t="s">
        <v>1352</v>
      </c>
    </row>
    <row r="269">
      <c r="A269" s="4" t="s">
        <v>2160</v>
      </c>
    </row>
    <row r="270">
      <c r="A270" s="4" t="s">
        <v>2166</v>
      </c>
    </row>
    <row r="271">
      <c r="A271" s="4" t="s">
        <v>2166</v>
      </c>
    </row>
    <row r="272">
      <c r="A272" s="4" t="s">
        <v>2163</v>
      </c>
    </row>
    <row r="273">
      <c r="A273" s="4" t="s">
        <v>869</v>
      </c>
    </row>
    <row r="274">
      <c r="A274" s="4" t="s">
        <v>952</v>
      </c>
    </row>
    <row r="275">
      <c r="A275" s="4" t="s">
        <v>2158</v>
      </c>
    </row>
    <row r="276">
      <c r="A276" s="4" t="s">
        <v>2163</v>
      </c>
    </row>
    <row r="277">
      <c r="A277" s="4" t="s">
        <v>105</v>
      </c>
    </row>
    <row r="278">
      <c r="A278" s="4" t="s">
        <v>2158</v>
      </c>
    </row>
    <row r="279">
      <c r="A279" s="4" t="s">
        <v>2166</v>
      </c>
    </row>
    <row r="280">
      <c r="A280" s="4" t="s">
        <v>952</v>
      </c>
    </row>
    <row r="281">
      <c r="A281" s="4" t="s">
        <v>2168</v>
      </c>
    </row>
    <row r="282">
      <c r="A282" s="4" t="s">
        <v>105</v>
      </c>
    </row>
    <row r="283">
      <c r="A283" s="4" t="s">
        <v>2162</v>
      </c>
    </row>
    <row r="284">
      <c r="A284" s="4" t="s">
        <v>2169</v>
      </c>
    </row>
    <row r="285">
      <c r="A285" s="4" t="s">
        <v>1656</v>
      </c>
    </row>
    <row r="286">
      <c r="A286" s="4" t="s">
        <v>1352</v>
      </c>
    </row>
    <row r="287">
      <c r="A287" s="4" t="s">
        <v>2169</v>
      </c>
    </row>
    <row r="288">
      <c r="A288" s="4" t="s">
        <v>105</v>
      </c>
    </row>
    <row r="289">
      <c r="A289" s="4" t="s">
        <v>1656</v>
      </c>
    </row>
    <row r="290">
      <c r="A290" s="4" t="s">
        <v>2160</v>
      </c>
    </row>
    <row r="291">
      <c r="A291" s="4" t="s">
        <v>2162</v>
      </c>
    </row>
    <row r="292">
      <c r="A292" s="4" t="s">
        <v>2161</v>
      </c>
    </row>
    <row r="293">
      <c r="A293" s="4" t="s">
        <v>939</v>
      </c>
    </row>
    <row r="294">
      <c r="A294" s="4" t="s">
        <v>2159</v>
      </c>
    </row>
    <row r="295">
      <c r="A295" s="4" t="s">
        <v>2158</v>
      </c>
    </row>
    <row r="296">
      <c r="A296" s="4" t="s">
        <v>869</v>
      </c>
    </row>
    <row r="297">
      <c r="A297" s="4" t="s">
        <v>2164</v>
      </c>
    </row>
    <row r="298">
      <c r="A298" s="4" t="s">
        <v>952</v>
      </c>
    </row>
    <row r="299">
      <c r="A299" s="4" t="s">
        <v>869</v>
      </c>
    </row>
    <row r="300">
      <c r="A300" s="4" t="s">
        <v>2158</v>
      </c>
    </row>
    <row r="301">
      <c r="A301" s="4" t="s">
        <v>2167</v>
      </c>
    </row>
    <row r="302">
      <c r="A302" s="4" t="s">
        <v>2165</v>
      </c>
    </row>
    <row r="303">
      <c r="A303" s="4" t="s">
        <v>939</v>
      </c>
    </row>
    <row r="304">
      <c r="A304" s="4" t="s">
        <v>2169</v>
      </c>
    </row>
    <row r="305">
      <c r="A305" s="4" t="s">
        <v>2164</v>
      </c>
    </row>
    <row r="306">
      <c r="A306" s="4" t="s">
        <v>105</v>
      </c>
    </row>
    <row r="307">
      <c r="A307" s="4" t="s">
        <v>2163</v>
      </c>
    </row>
    <row r="308">
      <c r="A308" s="4" t="s">
        <v>1656</v>
      </c>
    </row>
    <row r="309">
      <c r="A309" s="4" t="s">
        <v>2169</v>
      </c>
    </row>
    <row r="310">
      <c r="A310" s="4" t="s">
        <v>939</v>
      </c>
    </row>
    <row r="311">
      <c r="A311" s="4" t="s">
        <v>2159</v>
      </c>
    </row>
    <row r="312">
      <c r="A312" s="4" t="s">
        <v>869</v>
      </c>
    </row>
    <row r="313">
      <c r="A313" s="4" t="s">
        <v>939</v>
      </c>
    </row>
    <row r="314">
      <c r="A314" s="4" t="s">
        <v>2161</v>
      </c>
    </row>
    <row r="315">
      <c r="A315" s="4" t="s">
        <v>2167</v>
      </c>
    </row>
    <row r="316">
      <c r="A316" s="4" t="s">
        <v>2159</v>
      </c>
    </row>
    <row r="317">
      <c r="A317" s="4" t="s">
        <v>2158</v>
      </c>
    </row>
    <row r="318">
      <c r="A318" s="4" t="s">
        <v>2163</v>
      </c>
    </row>
    <row r="319">
      <c r="A319" s="4" t="s">
        <v>105</v>
      </c>
    </row>
    <row r="320">
      <c r="A320" s="4" t="s">
        <v>939</v>
      </c>
    </row>
    <row r="321">
      <c r="A321" s="4" t="s">
        <v>2169</v>
      </c>
    </row>
    <row r="322">
      <c r="A322" s="4" t="s">
        <v>2162</v>
      </c>
    </row>
    <row r="323">
      <c r="A323" s="4" t="s">
        <v>2166</v>
      </c>
    </row>
    <row r="324">
      <c r="A324" s="4" t="s">
        <v>2160</v>
      </c>
    </row>
    <row r="325">
      <c r="A325" s="4" t="s">
        <v>1656</v>
      </c>
    </row>
    <row r="326">
      <c r="A326" s="4" t="s">
        <v>952</v>
      </c>
    </row>
    <row r="327">
      <c r="A327" s="4" t="s">
        <v>2164</v>
      </c>
    </row>
    <row r="328">
      <c r="A328" s="4" t="s">
        <v>2158</v>
      </c>
    </row>
    <row r="329">
      <c r="A329" s="4" t="s">
        <v>1656</v>
      </c>
    </row>
    <row r="330">
      <c r="A330" s="4" t="s">
        <v>2164</v>
      </c>
    </row>
    <row r="331">
      <c r="A331" s="4" t="s">
        <v>2169</v>
      </c>
    </row>
    <row r="332">
      <c r="A332" s="4" t="s">
        <v>1655</v>
      </c>
    </row>
    <row r="333">
      <c r="A333" s="4" t="s">
        <v>2162</v>
      </c>
    </row>
    <row r="334">
      <c r="A334" s="4" t="s">
        <v>2165</v>
      </c>
    </row>
    <row r="335">
      <c r="A335" s="4" t="s">
        <v>2162</v>
      </c>
    </row>
    <row r="336">
      <c r="A336" s="4" t="s">
        <v>2164</v>
      </c>
    </row>
    <row r="337">
      <c r="A337" s="4" t="s">
        <v>2167</v>
      </c>
    </row>
    <row r="338">
      <c r="A338" s="4" t="s">
        <v>939</v>
      </c>
    </row>
    <row r="339">
      <c r="A339" s="4" t="s">
        <v>2168</v>
      </c>
    </row>
    <row r="340">
      <c r="A340" s="4" t="s">
        <v>939</v>
      </c>
    </row>
    <row r="341">
      <c r="A341" s="4" t="s">
        <v>2159</v>
      </c>
    </row>
    <row r="342">
      <c r="A342" s="4" t="s">
        <v>1657</v>
      </c>
    </row>
    <row r="343">
      <c r="A343" s="4" t="s">
        <v>2161</v>
      </c>
    </row>
    <row r="344">
      <c r="A344" s="4" t="s">
        <v>2163</v>
      </c>
    </row>
    <row r="345">
      <c r="A345" s="4" t="s">
        <v>2165</v>
      </c>
    </row>
    <row r="346">
      <c r="A346" s="4" t="s">
        <v>2168</v>
      </c>
    </row>
    <row r="347">
      <c r="A347" s="4" t="s">
        <v>2160</v>
      </c>
    </row>
    <row r="348">
      <c r="A348" s="4" t="s">
        <v>1352</v>
      </c>
    </row>
    <row r="349">
      <c r="A349" s="4" t="s">
        <v>1655</v>
      </c>
    </row>
    <row r="350">
      <c r="A350" s="4" t="s">
        <v>1657</v>
      </c>
    </row>
    <row r="351">
      <c r="A351" s="4" t="s">
        <v>1656</v>
      </c>
    </row>
    <row r="352">
      <c r="A352" s="4" t="s">
        <v>2168</v>
      </c>
    </row>
    <row r="353">
      <c r="A353" s="4" t="s">
        <v>2163</v>
      </c>
    </row>
    <row r="354">
      <c r="A354" s="4" t="s">
        <v>2160</v>
      </c>
    </row>
    <row r="355">
      <c r="A355" s="4" t="s">
        <v>2169</v>
      </c>
    </row>
    <row r="356">
      <c r="A356" s="4" t="s">
        <v>1656</v>
      </c>
    </row>
    <row r="357">
      <c r="A357" s="4" t="s">
        <v>1657</v>
      </c>
    </row>
    <row r="358">
      <c r="A358" s="4" t="s">
        <v>2158</v>
      </c>
    </row>
    <row r="359">
      <c r="A359" s="4" t="s">
        <v>2161</v>
      </c>
    </row>
    <row r="360">
      <c r="A360" s="4" t="s">
        <v>939</v>
      </c>
    </row>
    <row r="361">
      <c r="A361" s="4" t="s">
        <v>869</v>
      </c>
    </row>
    <row r="362">
      <c r="A362" s="4" t="s">
        <v>2168</v>
      </c>
    </row>
    <row r="363">
      <c r="A363" s="4" t="s">
        <v>1657</v>
      </c>
    </row>
    <row r="364">
      <c r="A364" s="4" t="s">
        <v>2168</v>
      </c>
    </row>
    <row r="365">
      <c r="A365" s="4" t="s">
        <v>1655</v>
      </c>
    </row>
    <row r="366">
      <c r="A366" s="4" t="s">
        <v>1656</v>
      </c>
    </row>
    <row r="367">
      <c r="A367" s="4" t="s">
        <v>952</v>
      </c>
    </row>
    <row r="368">
      <c r="A368" s="4" t="s">
        <v>2168</v>
      </c>
    </row>
    <row r="369">
      <c r="A369" s="4" t="s">
        <v>2163</v>
      </c>
    </row>
    <row r="370">
      <c r="A370" s="4" t="s">
        <v>1352</v>
      </c>
    </row>
    <row r="371">
      <c r="A371" s="4" t="s">
        <v>2167</v>
      </c>
    </row>
    <row r="372">
      <c r="A372" s="4" t="s">
        <v>1656</v>
      </c>
    </row>
    <row r="373">
      <c r="A373" s="4" t="s">
        <v>869</v>
      </c>
    </row>
    <row r="374">
      <c r="A374" s="4" t="s">
        <v>2165</v>
      </c>
    </row>
    <row r="375">
      <c r="A375" s="4" t="s">
        <v>2158</v>
      </c>
    </row>
    <row r="376">
      <c r="A376" s="4" t="s">
        <v>2159</v>
      </c>
    </row>
    <row r="377">
      <c r="A377" s="4" t="s">
        <v>2168</v>
      </c>
    </row>
    <row r="378">
      <c r="A378" s="4" t="s">
        <v>2159</v>
      </c>
    </row>
    <row r="379">
      <c r="A379" s="4" t="s">
        <v>2160</v>
      </c>
    </row>
    <row r="380">
      <c r="A380" s="4" t="s">
        <v>1352</v>
      </c>
    </row>
    <row r="381">
      <c r="A381" s="4" t="s">
        <v>1657</v>
      </c>
    </row>
    <row r="382">
      <c r="A382" s="4" t="s">
        <v>2168</v>
      </c>
    </row>
    <row r="383">
      <c r="A383" s="4" t="s">
        <v>1352</v>
      </c>
    </row>
    <row r="384">
      <c r="A384" s="4" t="s">
        <v>1656</v>
      </c>
    </row>
    <row r="385">
      <c r="A385" s="4" t="s">
        <v>2163</v>
      </c>
    </row>
    <row r="386">
      <c r="A386" s="4" t="s">
        <v>2168</v>
      </c>
    </row>
    <row r="387">
      <c r="A387" s="4" t="s">
        <v>2162</v>
      </c>
    </row>
    <row r="388">
      <c r="A388" s="4" t="s">
        <v>2160</v>
      </c>
    </row>
    <row r="389">
      <c r="A389" s="4" t="s">
        <v>1655</v>
      </c>
    </row>
    <row r="390">
      <c r="A390" s="4" t="s">
        <v>2165</v>
      </c>
    </row>
    <row r="391">
      <c r="A391" s="4" t="s">
        <v>1657</v>
      </c>
    </row>
    <row r="392">
      <c r="A392" s="4" t="s">
        <v>2160</v>
      </c>
    </row>
    <row r="393">
      <c r="A393" s="4" t="s">
        <v>869</v>
      </c>
    </row>
    <row r="394">
      <c r="A394" s="4" t="s">
        <v>2159</v>
      </c>
    </row>
    <row r="395">
      <c r="A395" s="4" t="s">
        <v>1352</v>
      </c>
    </row>
    <row r="396">
      <c r="A396" s="4" t="s">
        <v>2158</v>
      </c>
    </row>
    <row r="397">
      <c r="A397" s="4" t="s">
        <v>1656</v>
      </c>
    </row>
    <row r="398">
      <c r="A398" s="4" t="s">
        <v>2164</v>
      </c>
    </row>
    <row r="399">
      <c r="A399" s="4" t="s">
        <v>2165</v>
      </c>
    </row>
    <row r="400">
      <c r="A400" s="4" t="s">
        <v>2167</v>
      </c>
    </row>
    <row r="401">
      <c r="A401" s="4" t="s">
        <v>952</v>
      </c>
    </row>
    <row r="402">
      <c r="A402" s="4" t="s">
        <v>2158</v>
      </c>
    </row>
    <row r="403">
      <c r="A403" s="4" t="s">
        <v>1352</v>
      </c>
    </row>
    <row r="404">
      <c r="A404" s="4" t="s">
        <v>2159</v>
      </c>
    </row>
    <row r="405">
      <c r="A405" s="4" t="s">
        <v>2158</v>
      </c>
    </row>
    <row r="406">
      <c r="A406" s="4" t="s">
        <v>939</v>
      </c>
    </row>
    <row r="407">
      <c r="A407" s="4" t="s">
        <v>952</v>
      </c>
    </row>
    <row r="408">
      <c r="A408" s="4" t="s">
        <v>2166</v>
      </c>
    </row>
    <row r="409">
      <c r="A409" s="4" t="s">
        <v>2159</v>
      </c>
    </row>
    <row r="410">
      <c r="A410" s="4" t="s">
        <v>1656</v>
      </c>
    </row>
    <row r="411">
      <c r="A411" s="4" t="s">
        <v>2169</v>
      </c>
    </row>
    <row r="412">
      <c r="A412" s="4" t="s">
        <v>1657</v>
      </c>
    </row>
    <row r="413">
      <c r="A413" s="4" t="s">
        <v>952</v>
      </c>
    </row>
    <row r="414">
      <c r="A414" s="4" t="s">
        <v>2162</v>
      </c>
    </row>
    <row r="415">
      <c r="A415" s="4" t="s">
        <v>869</v>
      </c>
    </row>
    <row r="416">
      <c r="A416" s="4" t="s">
        <v>2163</v>
      </c>
    </row>
    <row r="417">
      <c r="A417" s="4" t="s">
        <v>105</v>
      </c>
    </row>
    <row r="418">
      <c r="A418" s="4" t="s">
        <v>2158</v>
      </c>
    </row>
    <row r="419">
      <c r="A419" s="4" t="s">
        <v>939</v>
      </c>
    </row>
    <row r="420">
      <c r="A420" s="4" t="s">
        <v>2162</v>
      </c>
    </row>
    <row r="421">
      <c r="A421" s="4" t="s">
        <v>1655</v>
      </c>
    </row>
    <row r="422">
      <c r="A422" s="4" t="s">
        <v>105</v>
      </c>
    </row>
    <row r="423">
      <c r="A423" s="4" t="s">
        <v>2161</v>
      </c>
    </row>
    <row r="424">
      <c r="A424" s="4" t="s">
        <v>939</v>
      </c>
    </row>
    <row r="425">
      <c r="A425" s="4" t="s">
        <v>2162</v>
      </c>
    </row>
    <row r="426">
      <c r="A426" s="4" t="s">
        <v>2166</v>
      </c>
    </row>
    <row r="427">
      <c r="A427" s="4" t="s">
        <v>105</v>
      </c>
    </row>
    <row r="428">
      <c r="A428" s="4" t="s">
        <v>1656</v>
      </c>
    </row>
    <row r="429">
      <c r="A429" s="4" t="s">
        <v>2167</v>
      </c>
    </row>
    <row r="430">
      <c r="A430" s="4" t="s">
        <v>952</v>
      </c>
    </row>
    <row r="431">
      <c r="A431" s="4" t="s">
        <v>2167</v>
      </c>
    </row>
    <row r="432">
      <c r="A432" s="4" t="s">
        <v>2163</v>
      </c>
    </row>
    <row r="433">
      <c r="A433" s="4" t="s">
        <v>1655</v>
      </c>
    </row>
    <row r="434">
      <c r="A434" s="4" t="s">
        <v>2166</v>
      </c>
    </row>
    <row r="435">
      <c r="A435" s="4" t="s">
        <v>2165</v>
      </c>
    </row>
    <row r="436">
      <c r="A436" s="4" t="s">
        <v>2168</v>
      </c>
    </row>
    <row r="437">
      <c r="A437" s="4" t="s">
        <v>2169</v>
      </c>
    </row>
    <row r="438">
      <c r="A438" s="4" t="s">
        <v>2163</v>
      </c>
    </row>
    <row r="439">
      <c r="A439" s="4" t="s">
        <v>1655</v>
      </c>
    </row>
    <row r="440">
      <c r="A440" s="4" t="s">
        <v>869</v>
      </c>
    </row>
    <row r="441">
      <c r="A441" s="4" t="s">
        <v>2159</v>
      </c>
    </row>
    <row r="442">
      <c r="A442" s="4" t="s">
        <v>2166</v>
      </c>
    </row>
    <row r="443">
      <c r="A443" s="4" t="s">
        <v>1656</v>
      </c>
    </row>
    <row r="444">
      <c r="A444" s="4" t="s">
        <v>2163</v>
      </c>
    </row>
    <row r="445">
      <c r="A445" s="4" t="s">
        <v>2169</v>
      </c>
    </row>
    <row r="446">
      <c r="A446" s="4" t="s">
        <v>1656</v>
      </c>
    </row>
    <row r="447">
      <c r="A447" s="4" t="s">
        <v>2168</v>
      </c>
    </row>
    <row r="448">
      <c r="A448" s="4" t="s">
        <v>869</v>
      </c>
    </row>
    <row r="449">
      <c r="A449" s="4" t="s">
        <v>2167</v>
      </c>
    </row>
    <row r="450">
      <c r="A450" s="4" t="s">
        <v>2160</v>
      </c>
    </row>
    <row r="451">
      <c r="A451" s="4" t="s">
        <v>952</v>
      </c>
    </row>
    <row r="452">
      <c r="A452" s="4" t="s">
        <v>2163</v>
      </c>
    </row>
    <row r="453">
      <c r="A453" s="4" t="s">
        <v>2160</v>
      </c>
    </row>
    <row r="454">
      <c r="A454" s="4" t="s">
        <v>2158</v>
      </c>
    </row>
    <row r="455">
      <c r="A455" s="4" t="s">
        <v>1352</v>
      </c>
    </row>
    <row r="456">
      <c r="A456" s="4" t="s">
        <v>2163</v>
      </c>
    </row>
    <row r="457">
      <c r="A457" s="4" t="s">
        <v>1657</v>
      </c>
    </row>
    <row r="458">
      <c r="A458" s="4" t="s">
        <v>2159</v>
      </c>
    </row>
    <row r="459">
      <c r="A459" s="4" t="s">
        <v>2161</v>
      </c>
    </row>
    <row r="460">
      <c r="A460" s="4" t="s">
        <v>2168</v>
      </c>
    </row>
    <row r="461">
      <c r="A461" s="4" t="s">
        <v>1656</v>
      </c>
    </row>
    <row r="462">
      <c r="A462" s="4" t="s">
        <v>1657</v>
      </c>
    </row>
    <row r="463">
      <c r="A463" s="4" t="s">
        <v>2167</v>
      </c>
    </row>
    <row r="464">
      <c r="A464" s="4" t="s">
        <v>952</v>
      </c>
    </row>
    <row r="465">
      <c r="A465" s="4" t="s">
        <v>2168</v>
      </c>
    </row>
    <row r="466">
      <c r="A466" s="4" t="s">
        <v>2164</v>
      </c>
    </row>
    <row r="467">
      <c r="A467" s="4" t="s">
        <v>1655</v>
      </c>
    </row>
    <row r="468">
      <c r="A468" s="4" t="s">
        <v>2160</v>
      </c>
    </row>
    <row r="469">
      <c r="A469" s="4" t="s">
        <v>1656</v>
      </c>
    </row>
    <row r="470">
      <c r="A470" s="4" t="s">
        <v>2158</v>
      </c>
    </row>
    <row r="471">
      <c r="A471" s="4" t="s">
        <v>2163</v>
      </c>
    </row>
    <row r="472">
      <c r="A472" s="4" t="s">
        <v>1656</v>
      </c>
    </row>
    <row r="473">
      <c r="A473" s="4" t="s">
        <v>2163</v>
      </c>
    </row>
    <row r="474">
      <c r="A474" s="4" t="s">
        <v>2159</v>
      </c>
    </row>
    <row r="475">
      <c r="A475" s="4" t="s">
        <v>2168</v>
      </c>
    </row>
    <row r="476">
      <c r="A476" s="4" t="s">
        <v>2162</v>
      </c>
    </row>
    <row r="477">
      <c r="A477" s="4" t="s">
        <v>1655</v>
      </c>
    </row>
    <row r="478">
      <c r="A478" s="4" t="s">
        <v>2162</v>
      </c>
    </row>
    <row r="479">
      <c r="A479" s="4" t="s">
        <v>952</v>
      </c>
    </row>
    <row r="480">
      <c r="A480" s="4" t="s">
        <v>2167</v>
      </c>
    </row>
    <row r="481">
      <c r="A481" s="4" t="s">
        <v>2165</v>
      </c>
    </row>
    <row r="482">
      <c r="A482" s="4" t="s">
        <v>2168</v>
      </c>
    </row>
    <row r="483">
      <c r="A483" s="4" t="s">
        <v>2164</v>
      </c>
    </row>
    <row r="484">
      <c r="A484" s="4" t="s">
        <v>2166</v>
      </c>
    </row>
    <row r="485">
      <c r="A485" s="4" t="s">
        <v>2165</v>
      </c>
    </row>
    <row r="486">
      <c r="A486" s="4" t="s">
        <v>1656</v>
      </c>
    </row>
    <row r="487">
      <c r="A487" s="4" t="s">
        <v>2166</v>
      </c>
    </row>
    <row r="488">
      <c r="A488" s="4" t="s">
        <v>1352</v>
      </c>
    </row>
    <row r="489">
      <c r="A489" s="4" t="s">
        <v>2163</v>
      </c>
    </row>
    <row r="490">
      <c r="A490" s="4" t="s">
        <v>2160</v>
      </c>
    </row>
    <row r="491">
      <c r="A491" s="4" t="s">
        <v>2159</v>
      </c>
    </row>
    <row r="492">
      <c r="A492" s="4" t="s">
        <v>1352</v>
      </c>
    </row>
    <row r="493">
      <c r="A493" s="4" t="s">
        <v>2166</v>
      </c>
    </row>
    <row r="494">
      <c r="A494" s="4" t="s">
        <v>1655</v>
      </c>
    </row>
    <row r="495">
      <c r="A495" s="4" t="s">
        <v>939</v>
      </c>
    </row>
    <row r="496">
      <c r="A496" s="4" t="s">
        <v>2166</v>
      </c>
    </row>
    <row r="497">
      <c r="A497" s="4" t="s">
        <v>1352</v>
      </c>
    </row>
    <row r="498">
      <c r="A498" s="4" t="s">
        <v>2168</v>
      </c>
    </row>
    <row r="499">
      <c r="A499" s="4" t="s">
        <v>1655</v>
      </c>
    </row>
    <row r="500">
      <c r="A500" s="4" t="s">
        <v>2168</v>
      </c>
    </row>
    <row r="501">
      <c r="A501" s="4" t="s">
        <v>2160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2217</v>
      </c>
      <c r="D2" s="4" t="str">
        <f t="shared" ref="D2:D501" si="1">C2</f>
        <v>{"valorA":"aspirador","valorB":1}</v>
      </c>
      <c r="E2" s="8" t="str">
        <f t="shared" ref="E2:E501" si="2">SUBSTITUTE(MID(C2,FIND(":",C2)+1,FIND(",",C2)-FIND(":",C2)-1),"""","")</f>
        <v>aspirador</v>
      </c>
      <c r="F2" s="8" t="str">
        <f>IFERROR(__xludf.DUMMYFUNCTION("UNIQUE(E2:E501)"),"aspirador")</f>
        <v>aspirador</v>
      </c>
      <c r="G2" s="8" t="str">
        <f t="shared" ref="G2:G501" si="3">MID(C2,FIND("valorB",C2)+8,FIND("}",C2)-FIND("valorB",C2)-8)</f>
        <v>1</v>
      </c>
      <c r="H2" s="9">
        <f t="shared" ref="H2:H501" si="4">VALUE(SUBSTITUTE(G2,".",","))</f>
        <v>1</v>
      </c>
      <c r="I2" s="10">
        <f>IFERROR(__xludf.DUMMYFUNCTION("MAX(FILTER($H:$H,$E:$E=F2))"),35.0)</f>
        <v>35</v>
      </c>
    </row>
    <row r="3">
      <c r="C3" s="4" t="s">
        <v>1659</v>
      </c>
      <c r="D3" s="4" t="str">
        <f t="shared" si="1"/>
        <v>{"valorA":"freezer","valorB":1}</v>
      </c>
      <c r="E3" s="8" t="str">
        <f t="shared" si="2"/>
        <v>freezer</v>
      </c>
      <c r="F3" s="8" t="str">
        <f>IFERROR(__xludf.DUMMYFUNCTION("""COMPUTED_VALUE"""),"freezer")</f>
        <v>freezer</v>
      </c>
      <c r="G3" s="8" t="str">
        <f t="shared" si="3"/>
        <v>1</v>
      </c>
      <c r="H3" s="9">
        <f t="shared" si="4"/>
        <v>1</v>
      </c>
      <c r="I3" s="10">
        <f>IFERROR(__xludf.DUMMYFUNCTION("MAX(FILTER($H:$H,$E:$E=F3))"),18.0)</f>
        <v>18</v>
      </c>
    </row>
    <row r="4">
      <c r="C4" s="4" t="s">
        <v>2191</v>
      </c>
      <c r="D4" s="4" t="str">
        <f t="shared" si="1"/>
        <v>{"valorA":"carregador de computador","valorB":1}</v>
      </c>
      <c r="E4" s="8" t="str">
        <f t="shared" si="2"/>
        <v>carregador de computador</v>
      </c>
      <c r="F4" s="8" t="str">
        <f>IFERROR(__xludf.DUMMYFUNCTION("""COMPUTED_VALUE"""),"carregador de computador")</f>
        <v>carregador de computador</v>
      </c>
      <c r="G4" s="8" t="str">
        <f t="shared" si="3"/>
        <v>1</v>
      </c>
      <c r="H4" s="9">
        <f t="shared" si="4"/>
        <v>1</v>
      </c>
      <c r="I4" s="10">
        <f>IFERROR(__xludf.DUMMYFUNCTION("MAX(FILTER($H:$H,$E:$E=F4))"),18.0)</f>
        <v>18</v>
      </c>
    </row>
    <row r="5">
      <c r="C5" s="4" t="s">
        <v>2193</v>
      </c>
      <c r="D5" s="4" t="str">
        <f t="shared" si="1"/>
        <v>{"valorA":"filtro de linha","valorB":1}</v>
      </c>
      <c r="E5" s="8" t="str">
        <f t="shared" si="2"/>
        <v>filtro de linha</v>
      </c>
      <c r="F5" s="8" t="str">
        <f>IFERROR(__xludf.DUMMYFUNCTION("""COMPUTED_VALUE"""),"filtro de linha")</f>
        <v>filtro de linha</v>
      </c>
      <c r="G5" s="8" t="str">
        <f t="shared" si="3"/>
        <v>1</v>
      </c>
      <c r="H5" s="9">
        <f t="shared" si="4"/>
        <v>1</v>
      </c>
      <c r="I5" s="10">
        <f>IFERROR(__xludf.DUMMYFUNCTION("MAX(FILTER($H:$H,$E:$E=F5))"),26.0)</f>
        <v>26</v>
      </c>
    </row>
    <row r="6">
      <c r="C6" s="4" t="s">
        <v>1658</v>
      </c>
      <c r="D6" s="4" t="str">
        <f t="shared" si="1"/>
        <v>{"valorA":"ar condicionado","valorB":1}</v>
      </c>
      <c r="E6" s="8" t="str">
        <f t="shared" si="2"/>
        <v>ar condicionado</v>
      </c>
      <c r="F6" s="8" t="str">
        <f>IFERROR(__xludf.DUMMYFUNCTION("""COMPUTED_VALUE"""),"ar condicionado")</f>
        <v>ar condicionado</v>
      </c>
      <c r="G6" s="8" t="str">
        <f t="shared" si="3"/>
        <v>1</v>
      </c>
      <c r="H6" s="9">
        <f t="shared" si="4"/>
        <v>1</v>
      </c>
      <c r="I6" s="10">
        <f>IFERROR(__xludf.DUMMYFUNCTION("MAX(FILTER($H:$H,$E:$E=F6))"),29.0)</f>
        <v>29</v>
      </c>
    </row>
    <row r="7">
      <c r="C7" s="4" t="s">
        <v>1693</v>
      </c>
      <c r="D7" s="4" t="str">
        <f t="shared" si="1"/>
        <v>{"valorA":"microondas","valorB":1}</v>
      </c>
      <c r="E7" s="8" t="str">
        <f t="shared" si="2"/>
        <v>microondas</v>
      </c>
      <c r="F7" s="8" t="str">
        <f>IFERROR(__xludf.DUMMYFUNCTION("""COMPUTED_VALUE"""),"microondas")</f>
        <v>microondas</v>
      </c>
      <c r="G7" s="8" t="str">
        <f t="shared" si="3"/>
        <v>1</v>
      </c>
      <c r="H7" s="9">
        <f t="shared" si="4"/>
        <v>1</v>
      </c>
      <c r="I7" s="10">
        <f>IFERROR(__xludf.DUMMYFUNCTION("MAX(FILTER($H:$H,$E:$E=F7))"),39.0)</f>
        <v>39</v>
      </c>
    </row>
    <row r="8">
      <c r="C8" s="4" t="s">
        <v>2172</v>
      </c>
      <c r="D8" s="4" t="str">
        <f t="shared" si="1"/>
        <v>{"valorA":"ventilador","valorB":1}</v>
      </c>
      <c r="E8" s="8" t="str">
        <f t="shared" si="2"/>
        <v>ventilador</v>
      </c>
      <c r="F8" s="8" t="str">
        <f>IFERROR(__xludf.DUMMYFUNCTION("""COMPUTED_VALUE"""),"ventilador")</f>
        <v>ventilador</v>
      </c>
      <c r="G8" s="8" t="str">
        <f t="shared" si="3"/>
        <v>1</v>
      </c>
      <c r="H8" s="9">
        <f t="shared" si="4"/>
        <v>1</v>
      </c>
      <c r="I8" s="10">
        <f>IFERROR(__xludf.DUMMYFUNCTION("MAX(FILTER($H:$H,$E:$E=F8))"),32.0)</f>
        <v>32</v>
      </c>
    </row>
    <row r="9">
      <c r="C9" s="4" t="s">
        <v>2173</v>
      </c>
      <c r="D9" s="4" t="str">
        <f t="shared" si="1"/>
        <v>{"valorA":"ventilador","valorB":2}</v>
      </c>
      <c r="E9" s="8" t="str">
        <f t="shared" si="2"/>
        <v>ventilador</v>
      </c>
      <c r="F9" s="8" t="str">
        <f>IFERROR(__xludf.DUMMYFUNCTION("""COMPUTED_VALUE"""),"teclado de computador")</f>
        <v>teclado de computador</v>
      </c>
      <c r="G9" s="8" t="str">
        <f t="shared" si="3"/>
        <v>2</v>
      </c>
      <c r="H9" s="9">
        <f t="shared" si="4"/>
        <v>2</v>
      </c>
      <c r="I9" s="10">
        <f>IFERROR(__xludf.DUMMYFUNCTION("MAX(FILTER($H:$H,$E:$E=F9))"),28.0)</f>
        <v>28</v>
      </c>
    </row>
    <row r="10">
      <c r="C10" s="4" t="s">
        <v>2195</v>
      </c>
      <c r="D10" s="4" t="str">
        <f t="shared" si="1"/>
        <v>{"valorA":"teclado de computador","valorB":1}</v>
      </c>
      <c r="E10" s="8" t="str">
        <f t="shared" si="2"/>
        <v>teclado de computador</v>
      </c>
      <c r="F10" s="8" t="str">
        <f>IFERROR(__xludf.DUMMYFUNCTION("""COMPUTED_VALUE"""),"chuveiro elétrico")</f>
        <v>chuveiro elétrico</v>
      </c>
      <c r="G10" s="8" t="str">
        <f t="shared" si="3"/>
        <v>1</v>
      </c>
      <c r="H10" s="9">
        <f t="shared" si="4"/>
        <v>1</v>
      </c>
      <c r="I10" s="10">
        <f>IFERROR(__xludf.DUMMYFUNCTION("MAX(FILTER($H:$H,$E:$E=F10))"),28.0)</f>
        <v>28</v>
      </c>
    </row>
    <row r="11">
      <c r="C11" s="4" t="s">
        <v>2174</v>
      </c>
      <c r="D11" s="4" t="str">
        <f t="shared" si="1"/>
        <v>{"valorA":"chuveiro elétrico","valorB":1}</v>
      </c>
      <c r="E11" s="8" t="str">
        <f t="shared" si="2"/>
        <v>chuveiro elétrico</v>
      </c>
      <c r="F11" s="8" t="str">
        <f>IFERROR(__xludf.DUMMYFUNCTION("""COMPUTED_VALUE"""),"celular")</f>
        <v>celular</v>
      </c>
      <c r="G11" s="8" t="str">
        <f t="shared" si="3"/>
        <v>1</v>
      </c>
      <c r="H11" s="9">
        <f t="shared" si="4"/>
        <v>1</v>
      </c>
      <c r="I11" s="10">
        <f>IFERROR(__xludf.DUMMYFUNCTION("MAX(FILTER($H:$H,$E:$E=F11))"),24.0)</f>
        <v>24</v>
      </c>
    </row>
    <row r="12">
      <c r="C12" s="4" t="s">
        <v>2179</v>
      </c>
      <c r="D12" s="4" t="str">
        <f t="shared" si="1"/>
        <v>{"valorA":"chuveiro elétrico","valorB":2}</v>
      </c>
      <c r="E12" s="8" t="str">
        <f t="shared" si="2"/>
        <v>chuveiro elétrico</v>
      </c>
      <c r="F12" s="8" t="str">
        <f>IFERROR(__xludf.DUMMYFUNCTION("""COMPUTED_VALUE"""),"fone de ouvido")</f>
        <v>fone de ouvido</v>
      </c>
      <c r="G12" s="8" t="str">
        <f t="shared" si="3"/>
        <v>2</v>
      </c>
      <c r="H12" s="9">
        <f t="shared" si="4"/>
        <v>2</v>
      </c>
      <c r="I12" s="10">
        <f>IFERROR(__xludf.DUMMYFUNCTION("MAX(FILTER($H:$H,$E:$E=F12))"),19.0)</f>
        <v>19</v>
      </c>
    </row>
    <row r="13">
      <c r="C13" s="4" t="s">
        <v>2171</v>
      </c>
      <c r="D13" s="4" t="str">
        <f t="shared" si="1"/>
        <v>{"valorA":"celular","valorB":1}</v>
      </c>
      <c r="E13" s="8" t="str">
        <f t="shared" si="2"/>
        <v>celular</v>
      </c>
      <c r="F13" s="8" t="str">
        <f>IFERROR(__xludf.DUMMYFUNCTION("""COMPUTED_VALUE"""),"carregador de celular")</f>
        <v>carregador de celular</v>
      </c>
      <c r="G13" s="8" t="str">
        <f t="shared" si="3"/>
        <v>1</v>
      </c>
      <c r="H13" s="9">
        <f t="shared" si="4"/>
        <v>1</v>
      </c>
      <c r="I13" s="10">
        <f>IFERROR(__xludf.DUMMYFUNCTION("MAX(FILTER($H:$H,$E:$E=F13))"),21.0)</f>
        <v>21</v>
      </c>
    </row>
    <row r="14">
      <c r="C14" s="4" t="s">
        <v>2236</v>
      </c>
      <c r="D14" s="4" t="str">
        <f t="shared" si="1"/>
        <v>{"valorA":"filtro de linha","valorB":2}</v>
      </c>
      <c r="E14" s="8" t="str">
        <f t="shared" si="2"/>
        <v>filtro de linha</v>
      </c>
      <c r="F14" s="8" t="str">
        <f>IFERROR(__xludf.DUMMYFUNCTION("""COMPUTED_VALUE"""),"computador")</f>
        <v>computador</v>
      </c>
      <c r="G14" s="8" t="str">
        <f t="shared" si="3"/>
        <v>2</v>
      </c>
      <c r="H14" s="9">
        <f t="shared" si="4"/>
        <v>2</v>
      </c>
      <c r="I14" s="10">
        <f>IFERROR(__xludf.DUMMYFUNCTION("MAX(FILTER($H:$H,$E:$E=F14))"),27.0)</f>
        <v>27</v>
      </c>
    </row>
    <row r="15">
      <c r="C15" s="4" t="s">
        <v>2209</v>
      </c>
      <c r="D15" s="4" t="str">
        <f t="shared" si="1"/>
        <v>{"valorA":"teclado de computador","valorB":2}</v>
      </c>
      <c r="E15" s="8" t="str">
        <f t="shared" si="2"/>
        <v>teclado de computador</v>
      </c>
      <c r="F15" s="8" t="str">
        <f>IFERROR(__xludf.DUMMYFUNCTION("""COMPUTED_VALUE"""),"roteador")</f>
        <v>roteador</v>
      </c>
      <c r="G15" s="8" t="str">
        <f t="shared" si="3"/>
        <v>2</v>
      </c>
      <c r="H15" s="9">
        <f t="shared" si="4"/>
        <v>2</v>
      </c>
      <c r="I15" s="10">
        <f>IFERROR(__xludf.DUMMYFUNCTION("MAX(FILTER($H:$H,$E:$E=F15))"),22.0)</f>
        <v>22</v>
      </c>
    </row>
    <row r="16">
      <c r="C16" s="4" t="s">
        <v>2199</v>
      </c>
      <c r="D16" s="4" t="str">
        <f t="shared" si="1"/>
        <v>{"valorA":"ventilador","valorB":3}</v>
      </c>
      <c r="E16" s="8" t="str">
        <f t="shared" si="2"/>
        <v>ventilador</v>
      </c>
      <c r="F16" s="8" t="str">
        <f>IFERROR(__xludf.DUMMYFUNCTION("""COMPUTED_VALUE"""),"purificador de água")</f>
        <v>purificador de água</v>
      </c>
      <c r="G16" s="8" t="str">
        <f t="shared" si="3"/>
        <v>3</v>
      </c>
      <c r="H16" s="9">
        <f t="shared" si="4"/>
        <v>3</v>
      </c>
      <c r="I16" s="10">
        <f>IFERROR(__xludf.DUMMYFUNCTION("MAX(FILTER($H:$H,$E:$E=F16))"),26.0)</f>
        <v>26</v>
      </c>
    </row>
    <row r="17">
      <c r="C17" s="4" t="s">
        <v>1660</v>
      </c>
      <c r="D17" s="4" t="str">
        <f t="shared" si="1"/>
        <v>{"valorA":"freezer","valorB":2}</v>
      </c>
      <c r="E17" s="8" t="str">
        <f t="shared" si="2"/>
        <v>freezer</v>
      </c>
      <c r="F17" s="8" t="str">
        <f>IFERROR(__xludf.DUMMYFUNCTION("""COMPUTED_VALUE"""),"fogão")</f>
        <v>fogão</v>
      </c>
      <c r="G17" s="8" t="str">
        <f t="shared" si="3"/>
        <v>2</v>
      </c>
      <c r="H17" s="9">
        <f t="shared" si="4"/>
        <v>2</v>
      </c>
      <c r="I17" s="10">
        <f>IFERROR(__xludf.DUMMYFUNCTION("MAX(FILTER($H:$H,$E:$E=F17))"),20.0)</f>
        <v>20</v>
      </c>
    </row>
    <row r="18">
      <c r="C18" s="4" t="s">
        <v>2214</v>
      </c>
      <c r="D18" s="4" t="str">
        <f t="shared" si="1"/>
        <v>{"valorA":"teclado de computador","valorB":3}</v>
      </c>
      <c r="E18" s="8" t="str">
        <f t="shared" si="2"/>
        <v>teclado de computador</v>
      </c>
      <c r="F18" s="8" t="str">
        <f>IFERROR(__xludf.DUMMYFUNCTION("""COMPUTED_VALUE"""),"lustre")</f>
        <v>lustre</v>
      </c>
      <c r="G18" s="8" t="str">
        <f t="shared" si="3"/>
        <v>3</v>
      </c>
      <c r="H18" s="9">
        <f t="shared" si="4"/>
        <v>3</v>
      </c>
      <c r="I18" s="10">
        <f>IFERROR(__xludf.DUMMYFUNCTION("MAX(FILTER($H:$H,$E:$E=F18))"),27.0)</f>
        <v>27</v>
      </c>
    </row>
    <row r="19">
      <c r="C19" s="4" t="s">
        <v>1694</v>
      </c>
      <c r="D19" s="4" t="str">
        <f t="shared" si="1"/>
        <v>{"valorA":"microondas","valorB":2}</v>
      </c>
      <c r="E19" s="8" t="str">
        <f t="shared" si="2"/>
        <v>microondas</v>
      </c>
      <c r="F19" s="8" t="str">
        <f>IFERROR(__xludf.DUMMYFUNCTION("""COMPUTED_VALUE"""),"liquidificador")</f>
        <v>liquidificador</v>
      </c>
      <c r="G19" s="8" t="str">
        <f t="shared" si="3"/>
        <v>2</v>
      </c>
      <c r="H19" s="9">
        <f t="shared" si="4"/>
        <v>2</v>
      </c>
      <c r="I19" s="10">
        <f>IFERROR(__xludf.DUMMYFUNCTION("MAX(FILTER($H:$H,$E:$E=F19))"),24.0)</f>
        <v>24</v>
      </c>
    </row>
    <row r="20">
      <c r="C20" s="4" t="s">
        <v>2233</v>
      </c>
      <c r="D20" s="4" t="str">
        <f t="shared" si="1"/>
        <v>{"valorA":"celular","valorB":2}</v>
      </c>
      <c r="E20" s="8" t="str">
        <f t="shared" si="2"/>
        <v>celular</v>
      </c>
      <c r="F20" s="8" t="str">
        <f>IFERROR(__xludf.DUMMYFUNCTION("""COMPUTED_VALUE"""),"mouse de computador")</f>
        <v>mouse de computador</v>
      </c>
      <c r="G20" s="8" t="str">
        <f t="shared" si="3"/>
        <v>2</v>
      </c>
      <c r="H20" s="9">
        <f t="shared" si="4"/>
        <v>2</v>
      </c>
      <c r="I20" s="10">
        <f>IFERROR(__xludf.DUMMYFUNCTION("MAX(FILTER($H:$H,$E:$E=F20))"),17.0)</f>
        <v>17</v>
      </c>
    </row>
    <row r="21">
      <c r="C21" s="4" t="s">
        <v>1695</v>
      </c>
      <c r="D21" s="4" t="str">
        <f t="shared" si="1"/>
        <v>{"valorA":"ar condicionado","valorB":2}</v>
      </c>
      <c r="E21" s="8" t="str">
        <f t="shared" si="2"/>
        <v>ar condicionado</v>
      </c>
      <c r="F21" s="8" t="str">
        <f>IFERROR(__xludf.DUMMYFUNCTION("""COMPUTED_VALUE"""),"relógio")</f>
        <v>relógio</v>
      </c>
      <c r="G21" s="8" t="str">
        <f t="shared" si="3"/>
        <v>2</v>
      </c>
      <c r="H21" s="9">
        <f t="shared" si="4"/>
        <v>2</v>
      </c>
      <c r="I21" s="10">
        <f>IFERROR(__xludf.DUMMYFUNCTION("MAX(FILTER($H:$H,$E:$E=F21))"),20.0)</f>
        <v>20</v>
      </c>
    </row>
    <row r="22">
      <c r="C22" s="4" t="s">
        <v>2176</v>
      </c>
      <c r="D22" s="4" t="str">
        <f t="shared" si="1"/>
        <v>{"valorA":"fone de ouvido","valorB":1}</v>
      </c>
      <c r="E22" s="8" t="str">
        <f t="shared" si="2"/>
        <v>fone de ouvido</v>
      </c>
      <c r="F22" s="8"/>
      <c r="G22" s="8" t="str">
        <f t="shared" si="3"/>
        <v>1</v>
      </c>
      <c r="H22" s="9">
        <f t="shared" si="4"/>
        <v>1</v>
      </c>
      <c r="I22" s="6" t="str">
        <f>IFERROR(__xludf.DUMMYFUNCTION("MAX(FILTER($H:$H,$E:$E=F22))"),"#N/A")</f>
        <v>#N/A</v>
      </c>
    </row>
    <row r="23">
      <c r="C23" s="4" t="s">
        <v>2218</v>
      </c>
      <c r="D23" s="4" t="str">
        <f t="shared" si="1"/>
        <v>{"valorA":"aspirador","valorB":2}</v>
      </c>
      <c r="E23" s="8" t="str">
        <f t="shared" si="2"/>
        <v>aspirador</v>
      </c>
      <c r="F23" s="8"/>
      <c r="G23" s="8" t="str">
        <f t="shared" si="3"/>
        <v>2</v>
      </c>
      <c r="H23" s="9">
        <f t="shared" si="4"/>
        <v>2</v>
      </c>
      <c r="I23" s="6" t="str">
        <f>IFERROR(__xludf.DUMMYFUNCTION("MAX(FILTER($H:$H,$E:$E=F23))"),"#N/A")</f>
        <v>#N/A</v>
      </c>
    </row>
    <row r="24">
      <c r="C24" s="4" t="s">
        <v>2185</v>
      </c>
      <c r="D24" s="4" t="str">
        <f t="shared" si="1"/>
        <v>{"valorA":"carregador de celular","valorB":1}</v>
      </c>
      <c r="E24" s="8" t="str">
        <f t="shared" si="2"/>
        <v>carregador de celular</v>
      </c>
      <c r="F24" s="8"/>
      <c r="G24" s="8" t="str">
        <f t="shared" si="3"/>
        <v>1</v>
      </c>
      <c r="H24" s="9">
        <f t="shared" si="4"/>
        <v>1</v>
      </c>
      <c r="I24" s="6" t="str">
        <f>IFERROR(__xludf.DUMMYFUNCTION("MAX(FILTER($H:$H,$E:$E=F24))"),"#N/A")</f>
        <v>#N/A</v>
      </c>
    </row>
    <row r="25">
      <c r="C25" s="4" t="s">
        <v>2180</v>
      </c>
      <c r="D25" s="4" t="str">
        <f t="shared" si="1"/>
        <v>{"valorA":"computador","valorB":1}</v>
      </c>
      <c r="E25" s="8" t="str">
        <f t="shared" si="2"/>
        <v>computador</v>
      </c>
      <c r="F25" s="8"/>
      <c r="G25" s="8" t="str">
        <f t="shared" si="3"/>
        <v>1</v>
      </c>
      <c r="H25" s="9">
        <f t="shared" si="4"/>
        <v>1</v>
      </c>
      <c r="I25" s="6" t="str">
        <f>IFERROR(__xludf.DUMMYFUNCTION("MAX(FILTER($H:$H,$E:$E=F25))"),"#N/A")</f>
        <v>#N/A</v>
      </c>
    </row>
    <row r="26">
      <c r="C26" s="4" t="s">
        <v>2196</v>
      </c>
      <c r="D26" s="4" t="str">
        <f t="shared" si="1"/>
        <v>{"valorA":"carregador de computador","valorB":2}</v>
      </c>
      <c r="E26" s="8" t="str">
        <f t="shared" si="2"/>
        <v>carregador de computador</v>
      </c>
      <c r="F26" s="8"/>
      <c r="G26" s="8" t="str">
        <f t="shared" si="3"/>
        <v>2</v>
      </c>
      <c r="H26" s="9">
        <f t="shared" si="4"/>
        <v>2</v>
      </c>
      <c r="I26" s="6" t="str">
        <f>IFERROR(__xludf.DUMMYFUNCTION("MAX(FILTER($H:$H,$E:$E=F26))"),"#N/A")</f>
        <v>#N/A</v>
      </c>
    </row>
    <row r="27">
      <c r="C27" s="4" t="s">
        <v>1696</v>
      </c>
      <c r="D27" s="4" t="str">
        <f t="shared" si="1"/>
        <v>{"valorA":"microondas","valorB":3}</v>
      </c>
      <c r="E27" s="8" t="str">
        <f t="shared" si="2"/>
        <v>microondas</v>
      </c>
      <c r="F27" s="8"/>
      <c r="G27" s="8" t="str">
        <f t="shared" si="3"/>
        <v>3</v>
      </c>
      <c r="H27" s="9">
        <f t="shared" si="4"/>
        <v>3</v>
      </c>
      <c r="I27" s="6" t="str">
        <f>IFERROR(__xludf.DUMMYFUNCTION("MAX(FILTER($H:$H,$E:$E=F27))"),"#N/A")</f>
        <v>#N/A</v>
      </c>
    </row>
    <row r="28">
      <c r="C28" s="4" t="s">
        <v>2265</v>
      </c>
      <c r="D28" s="4" t="str">
        <f t="shared" si="1"/>
        <v>{"valorA":"filtro de linha","valorB":3}</v>
      </c>
      <c r="E28" s="8" t="str">
        <f t="shared" si="2"/>
        <v>filtro de linha</v>
      </c>
      <c r="F28" s="8"/>
      <c r="G28" s="8" t="str">
        <f t="shared" si="3"/>
        <v>3</v>
      </c>
      <c r="H28" s="9">
        <f t="shared" si="4"/>
        <v>3</v>
      </c>
      <c r="I28" s="6" t="str">
        <f>IFERROR(__xludf.DUMMYFUNCTION("MAX(FILTER($H:$H,$E:$E=F28))"),"#N/A")</f>
        <v>#N/A</v>
      </c>
    </row>
    <row r="29">
      <c r="C29" s="4" t="s">
        <v>2186</v>
      </c>
      <c r="D29" s="4" t="str">
        <f t="shared" si="1"/>
        <v>{"valorA":"fone de ouvido","valorB":2}</v>
      </c>
      <c r="E29" s="8" t="str">
        <f t="shared" si="2"/>
        <v>fone de ouvido</v>
      </c>
      <c r="F29" s="8"/>
      <c r="G29" s="8" t="str">
        <f t="shared" si="3"/>
        <v>2</v>
      </c>
      <c r="H29" s="9">
        <f t="shared" si="4"/>
        <v>2</v>
      </c>
      <c r="I29" s="6" t="str">
        <f>IFERROR(__xludf.DUMMYFUNCTION("MAX(FILTER($H:$H,$E:$E=F29))"),"#N/A")</f>
        <v>#N/A</v>
      </c>
    </row>
    <row r="30">
      <c r="C30" s="4" t="s">
        <v>2251</v>
      </c>
      <c r="D30" s="4" t="str">
        <f t="shared" si="1"/>
        <v>{"valorA":"teclado de computador","valorB":4}</v>
      </c>
      <c r="E30" s="8" t="str">
        <f t="shared" si="2"/>
        <v>teclado de computador</v>
      </c>
      <c r="F30" s="8"/>
      <c r="G30" s="8" t="str">
        <f t="shared" si="3"/>
        <v>4</v>
      </c>
      <c r="H30" s="9">
        <f t="shared" si="4"/>
        <v>4</v>
      </c>
      <c r="I30" s="6" t="str">
        <f>IFERROR(__xludf.DUMMYFUNCTION("MAX(FILTER($H:$H,$E:$E=F30))"),"#N/A")</f>
        <v>#N/A</v>
      </c>
    </row>
    <row r="31">
      <c r="C31" s="4" t="s">
        <v>2267</v>
      </c>
      <c r="D31" s="4" t="str">
        <f t="shared" si="1"/>
        <v>{"valorA":"filtro de linha","valorB":4}</v>
      </c>
      <c r="E31" s="8" t="str">
        <f t="shared" si="2"/>
        <v>filtro de linha</v>
      </c>
      <c r="F31" s="8"/>
      <c r="G31" s="8" t="str">
        <f t="shared" si="3"/>
        <v>4</v>
      </c>
      <c r="H31" s="9">
        <f t="shared" si="4"/>
        <v>4</v>
      </c>
      <c r="I31" s="6" t="str">
        <f>IFERROR(__xludf.DUMMYFUNCTION("MAX(FILTER($H:$H,$E:$E=F31))"),"#N/A")</f>
        <v>#N/A</v>
      </c>
    </row>
    <row r="32">
      <c r="C32" s="4" t="s">
        <v>2207</v>
      </c>
      <c r="D32" s="4" t="str">
        <f t="shared" si="1"/>
        <v>{"valorA":"ventilador","valorB":4}</v>
      </c>
      <c r="E32" s="8" t="str">
        <f t="shared" si="2"/>
        <v>ventilador</v>
      </c>
      <c r="F32" s="8"/>
      <c r="G32" s="8" t="str">
        <f t="shared" si="3"/>
        <v>4</v>
      </c>
      <c r="H32" s="9">
        <f t="shared" si="4"/>
        <v>4</v>
      </c>
      <c r="I32" s="6" t="str">
        <f>IFERROR(__xludf.DUMMYFUNCTION("MAX(FILTER($H:$H,$E:$E=F32))"),"#N/A")</f>
        <v>#N/A</v>
      </c>
    </row>
    <row r="33">
      <c r="C33" s="4" t="s">
        <v>2275</v>
      </c>
      <c r="D33" s="4" t="str">
        <f t="shared" si="1"/>
        <v>{"valorA":"teclado de computador","valorB":5}</v>
      </c>
      <c r="E33" s="8" t="str">
        <f t="shared" si="2"/>
        <v>teclado de computador</v>
      </c>
      <c r="F33" s="8"/>
      <c r="G33" s="8" t="str">
        <f t="shared" si="3"/>
        <v>5</v>
      </c>
      <c r="H33" s="9">
        <f t="shared" si="4"/>
        <v>5</v>
      </c>
      <c r="I33" s="6" t="str">
        <f>IFERROR(__xludf.DUMMYFUNCTION("MAX(FILTER($H:$H,$E:$E=F33))"),"#N/A")</f>
        <v>#N/A</v>
      </c>
    </row>
    <row r="34">
      <c r="C34" s="4" t="s">
        <v>2221</v>
      </c>
      <c r="D34" s="4" t="str">
        <f t="shared" si="1"/>
        <v>{"valorA":"aspirador","valorB":3}</v>
      </c>
      <c r="E34" s="8" t="str">
        <f t="shared" si="2"/>
        <v>aspirador</v>
      </c>
      <c r="F34" s="8"/>
      <c r="G34" s="8" t="str">
        <f t="shared" si="3"/>
        <v>3</v>
      </c>
      <c r="H34" s="9">
        <f t="shared" si="4"/>
        <v>3</v>
      </c>
      <c r="I34" s="6" t="str">
        <f>IFERROR(__xludf.DUMMYFUNCTION("MAX(FILTER($H:$H,$E:$E=F34))"),"#N/A")</f>
        <v>#N/A</v>
      </c>
    </row>
    <row r="35">
      <c r="C35" s="4" t="s">
        <v>1697</v>
      </c>
      <c r="D35" s="4" t="str">
        <f t="shared" si="1"/>
        <v>{"valorA":"ar condicionado","valorB":3}</v>
      </c>
      <c r="E35" s="8" t="str">
        <f t="shared" si="2"/>
        <v>ar condicionado</v>
      </c>
      <c r="F35" s="8"/>
      <c r="G35" s="8" t="str">
        <f t="shared" si="3"/>
        <v>3</v>
      </c>
      <c r="H35" s="9">
        <f t="shared" si="4"/>
        <v>3</v>
      </c>
      <c r="I35" s="6" t="str">
        <f>IFERROR(__xludf.DUMMYFUNCTION("MAX(FILTER($H:$H,$E:$E=F35))"),"#N/A")</f>
        <v>#N/A</v>
      </c>
    </row>
    <row r="36">
      <c r="C36" s="4" t="s">
        <v>2200</v>
      </c>
      <c r="D36" s="4" t="str">
        <f t="shared" si="1"/>
        <v>{"valorA":"roteador","valorB":1}</v>
      </c>
      <c r="E36" s="8" t="str">
        <f t="shared" si="2"/>
        <v>roteador</v>
      </c>
      <c r="F36" s="8"/>
      <c r="G36" s="8" t="str">
        <f t="shared" si="3"/>
        <v>1</v>
      </c>
      <c r="H36" s="9">
        <f t="shared" si="4"/>
        <v>1</v>
      </c>
      <c r="I36" s="6" t="str">
        <f>IFERROR(__xludf.DUMMYFUNCTION("MAX(FILTER($H:$H,$E:$E=F36))"),"#N/A")</f>
        <v>#N/A</v>
      </c>
    </row>
    <row r="37">
      <c r="C37" s="4" t="s">
        <v>1698</v>
      </c>
      <c r="D37" s="4" t="str">
        <f t="shared" si="1"/>
        <v>{"valorA":"ar condicionado","valorB":4}</v>
      </c>
      <c r="E37" s="8" t="str">
        <f t="shared" si="2"/>
        <v>ar condicionado</v>
      </c>
      <c r="F37" s="8"/>
      <c r="G37" s="8" t="str">
        <f t="shared" si="3"/>
        <v>4</v>
      </c>
      <c r="H37" s="9">
        <f t="shared" si="4"/>
        <v>4</v>
      </c>
      <c r="I37" s="6" t="str">
        <f>IFERROR(__xludf.DUMMYFUNCTION("MAX(FILTER($H:$H,$E:$E=F37))"),"#N/A")</f>
        <v>#N/A</v>
      </c>
    </row>
    <row r="38">
      <c r="C38" s="4" t="s">
        <v>2189</v>
      </c>
      <c r="D38" s="4" t="str">
        <f t="shared" si="1"/>
        <v>{"valorA":"purificador de água","valorB":1}</v>
      </c>
      <c r="E38" s="8" t="str">
        <f t="shared" si="2"/>
        <v>purificador de água</v>
      </c>
      <c r="F38" s="8"/>
      <c r="G38" s="8" t="str">
        <f t="shared" si="3"/>
        <v>1</v>
      </c>
      <c r="H38" s="9">
        <f t="shared" si="4"/>
        <v>1</v>
      </c>
      <c r="I38" s="6" t="str">
        <f>IFERROR(__xludf.DUMMYFUNCTION("MAX(FILTER($H:$H,$E:$E=F38))"),"#N/A")</f>
        <v>#N/A</v>
      </c>
    </row>
    <row r="39">
      <c r="C39" s="4" t="s">
        <v>2205</v>
      </c>
      <c r="D39" s="4" t="str">
        <f t="shared" si="1"/>
        <v>{"valorA":"fone de ouvido","valorB":3}</v>
      </c>
      <c r="E39" s="8" t="str">
        <f t="shared" si="2"/>
        <v>fone de ouvido</v>
      </c>
      <c r="F39" s="8"/>
      <c r="G39" s="8" t="str">
        <f t="shared" si="3"/>
        <v>3</v>
      </c>
      <c r="H39" s="9">
        <f t="shared" si="4"/>
        <v>3</v>
      </c>
      <c r="I39" s="6" t="str">
        <f>IFERROR(__xludf.DUMMYFUNCTION("MAX(FILTER($H:$H,$E:$E=F39))"),"#N/A")</f>
        <v>#N/A</v>
      </c>
    </row>
    <row r="40">
      <c r="C40" s="4" t="s">
        <v>1699</v>
      </c>
      <c r="D40" s="4" t="str">
        <f t="shared" si="1"/>
        <v>{"valorA":"microondas","valorB":4}</v>
      </c>
      <c r="E40" s="8" t="str">
        <f t="shared" si="2"/>
        <v>microondas</v>
      </c>
      <c r="F40" s="8"/>
      <c r="G40" s="8" t="str">
        <f t="shared" si="3"/>
        <v>4</v>
      </c>
      <c r="H40" s="9">
        <f t="shared" si="4"/>
        <v>4</v>
      </c>
      <c r="I40" s="6" t="str">
        <f>IFERROR(__xludf.DUMMYFUNCTION("MAX(FILTER($H:$H,$E:$E=F40))"),"#N/A")</f>
        <v>#N/A</v>
      </c>
    </row>
    <row r="41">
      <c r="C41" s="4" t="s">
        <v>2175</v>
      </c>
      <c r="D41" s="4" t="str">
        <f t="shared" si="1"/>
        <v>{"valorA":"fogão","valorB":1}</v>
      </c>
      <c r="E41" s="8" t="str">
        <f t="shared" si="2"/>
        <v>fogão</v>
      </c>
      <c r="F41" s="8"/>
      <c r="G41" s="8" t="str">
        <f t="shared" si="3"/>
        <v>1</v>
      </c>
      <c r="H41" s="9">
        <f t="shared" si="4"/>
        <v>1</v>
      </c>
      <c r="I41" s="6" t="str">
        <f>IFERROR(__xludf.DUMMYFUNCTION("MAX(FILTER($H:$H,$E:$E=F41))"),"#N/A")</f>
        <v>#N/A</v>
      </c>
    </row>
    <row r="42">
      <c r="C42" s="4" t="s">
        <v>2203</v>
      </c>
      <c r="D42" s="4" t="str">
        <f t="shared" si="1"/>
        <v>{"valorA":"lustre","valorB":1}</v>
      </c>
      <c r="E42" s="8" t="str">
        <f t="shared" si="2"/>
        <v>lustre</v>
      </c>
      <c r="F42" s="8"/>
      <c r="G42" s="8" t="str">
        <f t="shared" si="3"/>
        <v>1</v>
      </c>
      <c r="H42" s="9">
        <f t="shared" si="4"/>
        <v>1</v>
      </c>
      <c r="I42" s="6" t="str">
        <f>IFERROR(__xludf.DUMMYFUNCTION("MAX(FILTER($H:$H,$E:$E=F42))"),"#N/A")</f>
        <v>#N/A</v>
      </c>
    </row>
    <row r="43">
      <c r="C43" s="4" t="s">
        <v>2295</v>
      </c>
      <c r="D43" s="4" t="str">
        <f t="shared" si="1"/>
        <v>{"valorA":"teclado de computador","valorB":6}</v>
      </c>
      <c r="E43" s="8" t="str">
        <f t="shared" si="2"/>
        <v>teclado de computador</v>
      </c>
      <c r="F43" s="8"/>
      <c r="G43" s="8" t="str">
        <f t="shared" si="3"/>
        <v>6</v>
      </c>
      <c r="H43" s="9">
        <f t="shared" si="4"/>
        <v>6</v>
      </c>
      <c r="I43" s="6" t="str">
        <f>IFERROR(__xludf.DUMMYFUNCTION("MAX(FILTER($H:$H,$E:$E=F43))"),"#N/A")</f>
        <v>#N/A</v>
      </c>
    </row>
    <row r="44">
      <c r="C44" s="4" t="s">
        <v>2192</v>
      </c>
      <c r="D44" s="4" t="str">
        <f t="shared" si="1"/>
        <v>{"valorA":"purificador de água","valorB":2}</v>
      </c>
      <c r="E44" s="8" t="str">
        <f t="shared" si="2"/>
        <v>purificador de água</v>
      </c>
      <c r="F44" s="8"/>
      <c r="G44" s="8" t="str">
        <f t="shared" si="3"/>
        <v>2</v>
      </c>
      <c r="H44" s="9">
        <f t="shared" si="4"/>
        <v>2</v>
      </c>
      <c r="I44" s="6" t="str">
        <f>IFERROR(__xludf.DUMMYFUNCTION("MAX(FILTER($H:$H,$E:$E=F44))"),"#N/A")</f>
        <v>#N/A</v>
      </c>
    </row>
    <row r="45">
      <c r="C45" s="4" t="s">
        <v>1701</v>
      </c>
      <c r="D45" s="4" t="str">
        <f t="shared" si="1"/>
        <v>{"valorA":"microondas","valorB":5}</v>
      </c>
      <c r="E45" s="8" t="str">
        <f t="shared" si="2"/>
        <v>microondas</v>
      </c>
      <c r="F45" s="8"/>
      <c r="G45" s="8" t="str">
        <f t="shared" si="3"/>
        <v>5</v>
      </c>
      <c r="H45" s="9">
        <f t="shared" si="4"/>
        <v>5</v>
      </c>
      <c r="I45" s="6" t="str">
        <f>IFERROR(__xludf.DUMMYFUNCTION("MAX(FILTER($H:$H,$E:$E=F45))"),"#N/A")</f>
        <v>#N/A</v>
      </c>
    </row>
    <row r="46">
      <c r="C46" s="4" t="s">
        <v>2178</v>
      </c>
      <c r="D46" s="4" t="str">
        <f t="shared" si="1"/>
        <v>{"valorA":"liquidificador","valorB":1}</v>
      </c>
      <c r="E46" s="8" t="str">
        <f t="shared" si="2"/>
        <v>liquidificador</v>
      </c>
      <c r="F46" s="8"/>
      <c r="G46" s="8" t="str">
        <f t="shared" si="3"/>
        <v>1</v>
      </c>
      <c r="H46" s="9">
        <f t="shared" si="4"/>
        <v>1</v>
      </c>
      <c r="I46" s="6" t="str">
        <f>IFERROR(__xludf.DUMMYFUNCTION("MAX(FILTER($H:$H,$E:$E=F46))"),"#N/A")</f>
        <v>#N/A</v>
      </c>
    </row>
    <row r="47">
      <c r="C47" s="4" t="s">
        <v>2228</v>
      </c>
      <c r="D47" s="4" t="str">
        <f t="shared" si="1"/>
        <v>{"valorA":"aspirador","valorB":4}</v>
      </c>
      <c r="E47" s="8" t="str">
        <f t="shared" si="2"/>
        <v>aspirador</v>
      </c>
      <c r="F47" s="8"/>
      <c r="G47" s="8" t="str">
        <f t="shared" si="3"/>
        <v>4</v>
      </c>
      <c r="H47" s="9">
        <f t="shared" si="4"/>
        <v>4</v>
      </c>
      <c r="I47" s="6" t="str">
        <f>IFERROR(__xludf.DUMMYFUNCTION("MAX(FILTER($H:$H,$E:$E=F47))"),"#N/A")</f>
        <v>#N/A</v>
      </c>
    </row>
    <row r="48">
      <c r="C48" s="4" t="s">
        <v>2222</v>
      </c>
      <c r="D48" s="4" t="str">
        <f t="shared" si="1"/>
        <v>{"valorA":"mouse de computador","valorB":1}</v>
      </c>
      <c r="E48" s="8" t="str">
        <f t="shared" si="2"/>
        <v>mouse de computador</v>
      </c>
      <c r="F48" s="8"/>
      <c r="G48" s="8" t="str">
        <f t="shared" si="3"/>
        <v>1</v>
      </c>
      <c r="H48" s="9">
        <f t="shared" si="4"/>
        <v>1</v>
      </c>
      <c r="I48" s="6" t="str">
        <f>IFERROR(__xludf.DUMMYFUNCTION("MAX(FILTER($H:$H,$E:$E=F48))"),"#N/A")</f>
        <v>#N/A</v>
      </c>
    </row>
    <row r="49">
      <c r="C49" s="4" t="s">
        <v>2183</v>
      </c>
      <c r="D49" s="4" t="str">
        <f t="shared" si="1"/>
        <v>{"valorA":"chuveiro elétrico","valorB":3}</v>
      </c>
      <c r="E49" s="8" t="str">
        <f t="shared" si="2"/>
        <v>chuveiro elétrico</v>
      </c>
      <c r="F49" s="8"/>
      <c r="G49" s="8" t="str">
        <f t="shared" si="3"/>
        <v>3</v>
      </c>
      <c r="H49" s="9">
        <f t="shared" si="4"/>
        <v>3</v>
      </c>
      <c r="I49" s="6" t="str">
        <f>IFERROR(__xludf.DUMMYFUNCTION("MAX(FILTER($H:$H,$E:$E=F49))"),"#N/A")</f>
        <v>#N/A</v>
      </c>
    </row>
    <row r="50">
      <c r="C50" s="4" t="s">
        <v>2210</v>
      </c>
      <c r="D50" s="4" t="str">
        <f t="shared" si="1"/>
        <v>{"valorA":"lustre","valorB":2}</v>
      </c>
      <c r="E50" s="8" t="str">
        <f t="shared" si="2"/>
        <v>lustre</v>
      </c>
      <c r="F50" s="8"/>
      <c r="G50" s="8" t="str">
        <f t="shared" si="3"/>
        <v>2</v>
      </c>
      <c r="H50" s="9">
        <f t="shared" si="4"/>
        <v>2</v>
      </c>
      <c r="I50" s="6" t="str">
        <f>IFERROR(__xludf.DUMMYFUNCTION("MAX(FILTER($H:$H,$E:$E=F50))"),"#N/A")</f>
        <v>#N/A</v>
      </c>
    </row>
    <row r="51">
      <c r="C51" s="4" t="s">
        <v>2184</v>
      </c>
      <c r="D51" s="4" t="str">
        <f t="shared" si="1"/>
        <v>{"valorA":"chuveiro elétrico","valorB":4}</v>
      </c>
      <c r="E51" s="8" t="str">
        <f t="shared" si="2"/>
        <v>chuveiro elétrico</v>
      </c>
      <c r="F51" s="8"/>
      <c r="G51" s="8" t="str">
        <f t="shared" si="3"/>
        <v>4</v>
      </c>
      <c r="H51" s="9">
        <f t="shared" si="4"/>
        <v>4</v>
      </c>
      <c r="I51" s="6" t="str">
        <f>IFERROR(__xludf.DUMMYFUNCTION("MAX(FILTER($H:$H,$E:$E=F51))"),"#N/A")</f>
        <v>#N/A</v>
      </c>
    </row>
    <row r="52">
      <c r="C52" s="4" t="s">
        <v>1703</v>
      </c>
      <c r="D52" s="4" t="str">
        <f t="shared" si="1"/>
        <v>{"valorA":"microondas","valorB":6}</v>
      </c>
      <c r="E52" s="8" t="str">
        <f t="shared" si="2"/>
        <v>microondas</v>
      </c>
      <c r="F52" s="8"/>
      <c r="G52" s="8" t="str">
        <f t="shared" si="3"/>
        <v>6</v>
      </c>
      <c r="H52" s="9">
        <f t="shared" si="4"/>
        <v>6</v>
      </c>
      <c r="I52" s="6" t="str">
        <f>IFERROR(__xludf.DUMMYFUNCTION("MAX(FILTER($H:$H,$E:$E=F52))"),"#N/A")</f>
        <v>#N/A</v>
      </c>
    </row>
    <row r="53">
      <c r="C53" s="4" t="s">
        <v>2225</v>
      </c>
      <c r="D53" s="4" t="str">
        <f t="shared" si="1"/>
        <v>{"valorA":"ventilador","valorB":5}</v>
      </c>
      <c r="E53" s="8" t="str">
        <f t="shared" si="2"/>
        <v>ventilador</v>
      </c>
      <c r="F53" s="8"/>
      <c r="G53" s="8" t="str">
        <f t="shared" si="3"/>
        <v>5</v>
      </c>
      <c r="H53" s="9">
        <f t="shared" si="4"/>
        <v>5</v>
      </c>
      <c r="I53" s="6" t="str">
        <f>IFERROR(__xludf.DUMMYFUNCTION("MAX(FILTER($H:$H,$E:$E=F53))"),"#N/A")</f>
        <v>#N/A</v>
      </c>
    </row>
    <row r="54">
      <c r="C54" s="4" t="s">
        <v>2257</v>
      </c>
      <c r="D54" s="4" t="str">
        <f t="shared" si="1"/>
        <v>{"valorA":"celular","valorB":3}</v>
      </c>
      <c r="E54" s="8" t="str">
        <f t="shared" si="2"/>
        <v>celular</v>
      </c>
      <c r="F54" s="8"/>
      <c r="G54" s="8" t="str">
        <f t="shared" si="3"/>
        <v>3</v>
      </c>
      <c r="H54" s="9">
        <f t="shared" si="4"/>
        <v>3</v>
      </c>
      <c r="I54" s="6" t="str">
        <f>IFERROR(__xludf.DUMMYFUNCTION("MAX(FILTER($H:$H,$E:$E=F54))"),"#N/A")</f>
        <v>#N/A</v>
      </c>
    </row>
    <row r="55">
      <c r="C55" s="4" t="s">
        <v>2241</v>
      </c>
      <c r="D55" s="4" t="str">
        <f t="shared" si="1"/>
        <v>{"valorA":"carregador de computador","valorB":3}</v>
      </c>
      <c r="E55" s="8" t="str">
        <f t="shared" si="2"/>
        <v>carregador de computador</v>
      </c>
      <c r="F55" s="8"/>
      <c r="G55" s="8" t="str">
        <f t="shared" si="3"/>
        <v>3</v>
      </c>
      <c r="H55" s="9">
        <f t="shared" si="4"/>
        <v>3</v>
      </c>
      <c r="I55" s="6" t="str">
        <f>IFERROR(__xludf.DUMMYFUNCTION("MAX(FILTER($H:$H,$E:$E=F55))"),"#N/A")</f>
        <v>#N/A</v>
      </c>
    </row>
    <row r="56">
      <c r="C56" s="4" t="s">
        <v>1700</v>
      </c>
      <c r="D56" s="4" t="str">
        <f t="shared" si="1"/>
        <v>{"valorA":"ar condicionado","valorB":5}</v>
      </c>
      <c r="E56" s="8" t="str">
        <f t="shared" si="2"/>
        <v>ar condicionado</v>
      </c>
      <c r="F56" s="8"/>
      <c r="G56" s="8" t="str">
        <f t="shared" si="3"/>
        <v>5</v>
      </c>
      <c r="H56" s="9">
        <f t="shared" si="4"/>
        <v>5</v>
      </c>
      <c r="I56" s="6" t="str">
        <f>IFERROR(__xludf.DUMMYFUNCTION("MAX(FILTER($H:$H,$E:$E=F56))"),"#N/A")</f>
        <v>#N/A</v>
      </c>
    </row>
    <row r="57">
      <c r="C57" s="4" t="s">
        <v>2215</v>
      </c>
      <c r="D57" s="4" t="str">
        <f t="shared" si="1"/>
        <v>{"valorA":"lustre","valorB":3}</v>
      </c>
      <c r="E57" s="8" t="str">
        <f t="shared" si="2"/>
        <v>lustre</v>
      </c>
      <c r="F57" s="8"/>
      <c r="G57" s="8" t="str">
        <f t="shared" si="3"/>
        <v>3</v>
      </c>
      <c r="H57" s="9">
        <f t="shared" si="4"/>
        <v>3</v>
      </c>
      <c r="I57" s="6" t="str">
        <f>IFERROR(__xludf.DUMMYFUNCTION("MAX(FILTER($H:$H,$E:$E=F57))"),"#N/A")</f>
        <v>#N/A</v>
      </c>
    </row>
    <row r="58">
      <c r="C58" s="4" t="s">
        <v>2299</v>
      </c>
      <c r="D58" s="4" t="str">
        <f t="shared" si="1"/>
        <v>{"valorA":"teclado de computador","valorB":7}</v>
      </c>
      <c r="E58" s="8" t="str">
        <f t="shared" si="2"/>
        <v>teclado de computador</v>
      </c>
      <c r="F58" s="8"/>
      <c r="G58" s="8" t="str">
        <f t="shared" si="3"/>
        <v>7</v>
      </c>
      <c r="H58" s="9">
        <f t="shared" si="4"/>
        <v>7</v>
      </c>
      <c r="I58" s="6" t="str">
        <f>IFERROR(__xludf.DUMMYFUNCTION("MAX(FILTER($H:$H,$E:$E=F58))"),"#N/A")</f>
        <v>#N/A</v>
      </c>
    </row>
    <row r="59">
      <c r="C59" s="4" t="s">
        <v>2249</v>
      </c>
      <c r="D59" s="4" t="str">
        <f t="shared" si="1"/>
        <v>{"valorA":"aspirador","valorB":5}</v>
      </c>
      <c r="E59" s="8" t="str">
        <f t="shared" si="2"/>
        <v>aspirador</v>
      </c>
      <c r="F59" s="8"/>
      <c r="G59" s="8" t="str">
        <f t="shared" si="3"/>
        <v>5</v>
      </c>
      <c r="H59" s="9">
        <f t="shared" si="4"/>
        <v>5</v>
      </c>
      <c r="I59" s="6" t="str">
        <f>IFERROR(__xludf.DUMMYFUNCTION("MAX(FILTER($H:$H,$E:$E=F59))"),"#N/A")</f>
        <v>#N/A</v>
      </c>
    </row>
    <row r="60">
      <c r="C60" s="4" t="s">
        <v>2181</v>
      </c>
      <c r="D60" s="4" t="str">
        <f t="shared" si="1"/>
        <v>{"valorA":"liquidificador","valorB":2}</v>
      </c>
      <c r="E60" s="8" t="str">
        <f t="shared" si="2"/>
        <v>liquidificador</v>
      </c>
      <c r="F60" s="8"/>
      <c r="G60" s="8" t="str">
        <f t="shared" si="3"/>
        <v>2</v>
      </c>
      <c r="H60" s="9">
        <f t="shared" si="4"/>
        <v>2</v>
      </c>
      <c r="I60" s="6" t="str">
        <f>IFERROR(__xludf.DUMMYFUNCTION("MAX(FILTER($H:$H,$E:$E=F60))"),"#N/A")</f>
        <v>#N/A</v>
      </c>
    </row>
    <row r="61">
      <c r="C61" s="4" t="s">
        <v>2202</v>
      </c>
      <c r="D61" s="4" t="str">
        <f t="shared" si="1"/>
        <v>{"valorA":"liquidificador","valorB":3}</v>
      </c>
      <c r="E61" s="8" t="str">
        <f t="shared" si="2"/>
        <v>liquidificador</v>
      </c>
      <c r="F61" s="8"/>
      <c r="G61" s="8" t="str">
        <f t="shared" si="3"/>
        <v>3</v>
      </c>
      <c r="H61" s="9">
        <f t="shared" si="4"/>
        <v>3</v>
      </c>
      <c r="I61" s="6" t="str">
        <f>IFERROR(__xludf.DUMMYFUNCTION("MAX(FILTER($H:$H,$E:$E=F61))"),"#N/A")</f>
        <v>#N/A</v>
      </c>
    </row>
    <row r="62">
      <c r="C62" s="4" t="s">
        <v>2198</v>
      </c>
      <c r="D62" s="4" t="str">
        <f t="shared" si="1"/>
        <v>{"valorA":"computador","valorB":2}</v>
      </c>
      <c r="E62" s="8" t="str">
        <f t="shared" si="2"/>
        <v>computador</v>
      </c>
      <c r="F62" s="8"/>
      <c r="G62" s="8" t="str">
        <f t="shared" si="3"/>
        <v>2</v>
      </c>
      <c r="H62" s="9">
        <f t="shared" si="4"/>
        <v>2</v>
      </c>
      <c r="I62" s="6" t="str">
        <f>IFERROR(__xludf.DUMMYFUNCTION("MAX(FILTER($H:$H,$E:$E=F62))"),"#N/A")</f>
        <v>#N/A</v>
      </c>
    </row>
    <row r="63">
      <c r="C63" s="4" t="s">
        <v>2206</v>
      </c>
      <c r="D63" s="4" t="str">
        <f t="shared" si="1"/>
        <v>{"valorA":"computador","valorB":3}</v>
      </c>
      <c r="E63" s="8" t="str">
        <f t="shared" si="2"/>
        <v>computador</v>
      </c>
      <c r="F63" s="8"/>
      <c r="G63" s="8" t="str">
        <f t="shared" si="3"/>
        <v>3</v>
      </c>
      <c r="H63" s="9">
        <f t="shared" si="4"/>
        <v>3</v>
      </c>
      <c r="I63" s="6" t="str">
        <f>IFERROR(__xludf.DUMMYFUNCTION("MAX(FILTER($H:$H,$E:$E=F63))"),"#N/A")</f>
        <v>#N/A</v>
      </c>
    </row>
    <row r="64">
      <c r="C64" s="4" t="s">
        <v>2308</v>
      </c>
      <c r="D64" s="4" t="str">
        <f t="shared" si="1"/>
        <v>{"valorA":"teclado de computador","valorB":8}</v>
      </c>
      <c r="E64" s="8" t="str">
        <f t="shared" si="2"/>
        <v>teclado de computador</v>
      </c>
      <c r="F64" s="8"/>
      <c r="G64" s="8" t="str">
        <f t="shared" si="3"/>
        <v>8</v>
      </c>
      <c r="H64" s="9">
        <f t="shared" si="4"/>
        <v>8</v>
      </c>
      <c r="I64" s="6" t="str">
        <f>IFERROR(__xludf.DUMMYFUNCTION("MAX(FILTER($H:$H,$E:$E=F64))"),"#N/A")</f>
        <v>#N/A</v>
      </c>
    </row>
    <row r="65">
      <c r="C65" s="4" t="s">
        <v>2268</v>
      </c>
      <c r="D65" s="4" t="str">
        <f t="shared" si="1"/>
        <v>{"valorA":"aspirador","valorB":6}</v>
      </c>
      <c r="E65" s="8" t="str">
        <f t="shared" si="2"/>
        <v>aspirador</v>
      </c>
      <c r="F65" s="8"/>
      <c r="G65" s="8" t="str">
        <f t="shared" si="3"/>
        <v>6</v>
      </c>
      <c r="H65" s="9">
        <f t="shared" si="4"/>
        <v>6</v>
      </c>
      <c r="I65" s="6" t="str">
        <f>IFERROR(__xludf.DUMMYFUNCTION("MAX(FILTER($H:$H,$E:$E=F65))"),"#N/A")</f>
        <v>#N/A</v>
      </c>
    </row>
    <row r="66">
      <c r="C66" s="4" t="s">
        <v>2220</v>
      </c>
      <c r="D66" s="4" t="str">
        <f t="shared" si="1"/>
        <v>{"valorA":"computador","valorB":4}</v>
      </c>
      <c r="E66" s="8" t="str">
        <f t="shared" si="2"/>
        <v>computador</v>
      </c>
      <c r="F66" s="8"/>
      <c r="G66" s="8" t="str">
        <f t="shared" si="3"/>
        <v>4</v>
      </c>
      <c r="H66" s="9">
        <f t="shared" si="4"/>
        <v>4</v>
      </c>
      <c r="I66" s="6" t="str">
        <f>IFERROR(__xludf.DUMMYFUNCTION("MAX(FILTER($H:$H,$E:$E=F66))"),"#N/A")</f>
        <v>#N/A</v>
      </c>
    </row>
    <row r="67">
      <c r="C67" s="4" t="s">
        <v>2201</v>
      </c>
      <c r="D67" s="4" t="str">
        <f t="shared" si="1"/>
        <v>{"valorA":"purificador de água","valorB":3}</v>
      </c>
      <c r="E67" s="8" t="str">
        <f t="shared" si="2"/>
        <v>purificador de água</v>
      </c>
      <c r="F67" s="8"/>
      <c r="G67" s="8" t="str">
        <f t="shared" si="3"/>
        <v>3</v>
      </c>
      <c r="H67" s="9">
        <f t="shared" si="4"/>
        <v>3</v>
      </c>
      <c r="I67" s="6" t="str">
        <f>IFERROR(__xludf.DUMMYFUNCTION("MAX(FILTER($H:$H,$E:$E=F67))"),"#N/A")</f>
        <v>#N/A</v>
      </c>
    </row>
    <row r="68">
      <c r="C68" s="4" t="s">
        <v>2177</v>
      </c>
      <c r="D68" s="4" t="str">
        <f t="shared" si="1"/>
        <v>{"valorA":"relógio","valorB":1}</v>
      </c>
      <c r="E68" s="8" t="str">
        <f t="shared" si="2"/>
        <v>relógio</v>
      </c>
      <c r="F68" s="8"/>
      <c r="G68" s="8" t="str">
        <f t="shared" si="3"/>
        <v>1</v>
      </c>
      <c r="H68" s="9">
        <f t="shared" si="4"/>
        <v>1</v>
      </c>
      <c r="I68" s="6" t="str">
        <f>IFERROR(__xludf.DUMMYFUNCTION("MAX(FILTER($H:$H,$E:$E=F68))"),"#N/A")</f>
        <v>#N/A</v>
      </c>
    </row>
    <row r="69">
      <c r="C69" s="4" t="s">
        <v>2223</v>
      </c>
      <c r="D69" s="4" t="str">
        <f t="shared" si="1"/>
        <v>{"valorA":"roteador","valorB":2}</v>
      </c>
      <c r="E69" s="8" t="str">
        <f t="shared" si="2"/>
        <v>roteador</v>
      </c>
      <c r="F69" s="8"/>
      <c r="G69" s="8" t="str">
        <f t="shared" si="3"/>
        <v>2</v>
      </c>
      <c r="H69" s="9">
        <f t="shared" si="4"/>
        <v>2</v>
      </c>
      <c r="I69" s="6" t="str">
        <f>IFERROR(__xludf.DUMMYFUNCTION("MAX(FILTER($H:$H,$E:$E=F69))"),"#N/A")</f>
        <v>#N/A</v>
      </c>
    </row>
    <row r="70">
      <c r="C70" s="4" t="s">
        <v>2182</v>
      </c>
      <c r="D70" s="4" t="str">
        <f t="shared" si="1"/>
        <v>{"valorA":"relógio","valorB":2}</v>
      </c>
      <c r="E70" s="8" t="str">
        <f t="shared" si="2"/>
        <v>relógio</v>
      </c>
      <c r="F70" s="8"/>
      <c r="G70" s="8" t="str">
        <f t="shared" si="3"/>
        <v>2</v>
      </c>
      <c r="H70" s="9">
        <f t="shared" si="4"/>
        <v>2</v>
      </c>
      <c r="I70" s="6" t="str">
        <f>IFERROR(__xludf.DUMMYFUNCTION("MAX(FILTER($H:$H,$E:$E=F70))"),"#N/A")</f>
        <v>#N/A</v>
      </c>
    </row>
    <row r="71">
      <c r="C71" s="4" t="s">
        <v>2216</v>
      </c>
      <c r="D71" s="4" t="str">
        <f t="shared" si="1"/>
        <v>{"valorA":"purificador de água","valorB":4}</v>
      </c>
      <c r="E71" s="8" t="str">
        <f t="shared" si="2"/>
        <v>purificador de água</v>
      </c>
      <c r="F71" s="8"/>
      <c r="G71" s="8" t="str">
        <f t="shared" si="3"/>
        <v>4</v>
      </c>
      <c r="H71" s="9">
        <f t="shared" si="4"/>
        <v>4</v>
      </c>
      <c r="I71" s="6" t="str">
        <f>IFERROR(__xludf.DUMMYFUNCTION("MAX(FILTER($H:$H,$E:$E=F71))"),"#N/A")</f>
        <v>#N/A</v>
      </c>
    </row>
    <row r="72">
      <c r="C72" s="4" t="s">
        <v>2227</v>
      </c>
      <c r="D72" s="4" t="str">
        <f t="shared" si="1"/>
        <v>{"valorA":"carregador de celular","valorB":2}</v>
      </c>
      <c r="E72" s="8" t="str">
        <f t="shared" si="2"/>
        <v>carregador de celular</v>
      </c>
      <c r="F72" s="8"/>
      <c r="G72" s="8" t="str">
        <f t="shared" si="3"/>
        <v>2</v>
      </c>
      <c r="H72" s="9">
        <f t="shared" si="4"/>
        <v>2</v>
      </c>
      <c r="I72" s="6" t="str">
        <f>IFERROR(__xludf.DUMMYFUNCTION("MAX(FILTER($H:$H,$E:$E=F72))"),"#N/A")</f>
        <v>#N/A</v>
      </c>
    </row>
    <row r="73">
      <c r="C73" s="4" t="s">
        <v>2208</v>
      </c>
      <c r="D73" s="4" t="str">
        <f t="shared" si="1"/>
        <v>{"valorA":"fogão","valorB":2}</v>
      </c>
      <c r="E73" s="8" t="str">
        <f t="shared" si="2"/>
        <v>fogão</v>
      </c>
      <c r="F73" s="8"/>
      <c r="G73" s="8" t="str">
        <f t="shared" si="3"/>
        <v>2</v>
      </c>
      <c r="H73" s="9">
        <f t="shared" si="4"/>
        <v>2</v>
      </c>
      <c r="I73" s="6" t="str">
        <f>IFERROR(__xludf.DUMMYFUNCTION("MAX(FILTER($H:$H,$E:$E=F73))"),"#N/A")</f>
        <v>#N/A</v>
      </c>
    </row>
    <row r="74">
      <c r="C74" s="4" t="s">
        <v>2242</v>
      </c>
      <c r="D74" s="4" t="str">
        <f t="shared" si="1"/>
        <v>{"valorA":"computador","valorB":5}</v>
      </c>
      <c r="E74" s="8" t="str">
        <f t="shared" si="2"/>
        <v>computador</v>
      </c>
      <c r="F74" s="8"/>
      <c r="G74" s="8" t="str">
        <f t="shared" si="3"/>
        <v>5</v>
      </c>
      <c r="H74" s="9">
        <f t="shared" si="4"/>
        <v>5</v>
      </c>
      <c r="I74" s="6" t="str">
        <f>IFERROR(__xludf.DUMMYFUNCTION("MAX(FILTER($H:$H,$E:$E=F74))"),"#N/A")</f>
        <v>#N/A</v>
      </c>
    </row>
    <row r="75">
      <c r="C75" s="4" t="s">
        <v>2197</v>
      </c>
      <c r="D75" s="4" t="str">
        <f t="shared" si="1"/>
        <v>{"valorA":"chuveiro elétrico","valorB":5}</v>
      </c>
      <c r="E75" s="8" t="str">
        <f t="shared" si="2"/>
        <v>chuveiro elétrico</v>
      </c>
      <c r="F75" s="8"/>
      <c r="G75" s="8" t="str">
        <f t="shared" si="3"/>
        <v>5</v>
      </c>
      <c r="H75" s="9">
        <f t="shared" si="4"/>
        <v>5</v>
      </c>
      <c r="I75" s="6" t="str">
        <f>IFERROR(__xludf.DUMMYFUNCTION("MAX(FILTER($H:$H,$E:$E=F75))"),"#N/A")</f>
        <v>#N/A</v>
      </c>
    </row>
    <row r="76">
      <c r="C76" s="4" t="s">
        <v>2240</v>
      </c>
      <c r="D76" s="4" t="str">
        <f t="shared" si="1"/>
        <v>{"valorA":"ventilador","valorB":6}</v>
      </c>
      <c r="E76" s="8" t="str">
        <f t="shared" si="2"/>
        <v>ventilador</v>
      </c>
      <c r="F76" s="8"/>
      <c r="G76" s="8" t="str">
        <f t="shared" si="3"/>
        <v>6</v>
      </c>
      <c r="H76" s="9">
        <f t="shared" si="4"/>
        <v>6</v>
      </c>
      <c r="I76" s="6" t="str">
        <f>IFERROR(__xludf.DUMMYFUNCTION("MAX(FILTER($H:$H,$E:$E=F76))"),"#N/A")</f>
        <v>#N/A</v>
      </c>
    </row>
    <row r="77">
      <c r="C77" s="4" t="s">
        <v>2246</v>
      </c>
      <c r="D77" s="4" t="str">
        <f t="shared" si="1"/>
        <v>{"valorA":"ventilador","valorB":7}</v>
      </c>
      <c r="E77" s="8" t="str">
        <f t="shared" si="2"/>
        <v>ventilador</v>
      </c>
      <c r="F77" s="8"/>
      <c r="G77" s="8" t="str">
        <f t="shared" si="3"/>
        <v>7</v>
      </c>
      <c r="H77" s="9">
        <f t="shared" si="4"/>
        <v>7</v>
      </c>
      <c r="I77" s="6" t="str">
        <f>IFERROR(__xludf.DUMMYFUNCTION("MAX(FILTER($H:$H,$E:$E=F77))"),"#N/A")</f>
        <v>#N/A</v>
      </c>
    </row>
    <row r="78">
      <c r="C78" s="4" t="s">
        <v>2187</v>
      </c>
      <c r="D78" s="4" t="str">
        <f t="shared" si="1"/>
        <v>{"valorA":"relógio","valorB":3}</v>
      </c>
      <c r="E78" s="8" t="str">
        <f t="shared" si="2"/>
        <v>relógio</v>
      </c>
      <c r="F78" s="8"/>
      <c r="G78" s="8" t="str">
        <f t="shared" si="3"/>
        <v>3</v>
      </c>
      <c r="H78" s="9">
        <f t="shared" si="4"/>
        <v>3</v>
      </c>
      <c r="I78" s="6" t="str">
        <f>IFERROR(__xludf.DUMMYFUNCTION("MAX(FILTER($H:$H,$E:$E=F78))"),"#N/A")</f>
        <v>#N/A</v>
      </c>
    </row>
    <row r="79">
      <c r="C79" s="4" t="s">
        <v>2211</v>
      </c>
      <c r="D79" s="4" t="str">
        <f t="shared" si="1"/>
        <v>{"valorA":"liquidificador","valorB":4}</v>
      </c>
      <c r="E79" s="8" t="str">
        <f t="shared" si="2"/>
        <v>liquidificador</v>
      </c>
      <c r="F79" s="8"/>
      <c r="G79" s="8" t="str">
        <f t="shared" si="3"/>
        <v>4</v>
      </c>
      <c r="H79" s="9">
        <f t="shared" si="4"/>
        <v>4</v>
      </c>
      <c r="I79" s="6" t="str">
        <f>IFERROR(__xludf.DUMMYFUNCTION("MAX(FILTER($H:$H,$E:$E=F79))"),"#N/A")</f>
        <v>#N/A</v>
      </c>
    </row>
    <row r="80">
      <c r="C80" s="4" t="s">
        <v>2239</v>
      </c>
      <c r="D80" s="4" t="str">
        <f t="shared" si="1"/>
        <v>{"valorA":"purificador de água","valorB":5}</v>
      </c>
      <c r="E80" s="8" t="str">
        <f t="shared" si="2"/>
        <v>purificador de água</v>
      </c>
      <c r="F80" s="8"/>
      <c r="G80" s="8" t="str">
        <f t="shared" si="3"/>
        <v>5</v>
      </c>
      <c r="H80" s="9">
        <f t="shared" si="4"/>
        <v>5</v>
      </c>
      <c r="I80" s="6" t="str">
        <f>IFERROR(__xludf.DUMMYFUNCTION("MAX(FILTER($H:$H,$E:$E=F80))"),"#N/A")</f>
        <v>#N/A</v>
      </c>
    </row>
    <row r="81">
      <c r="C81" s="4" t="s">
        <v>2247</v>
      </c>
      <c r="D81" s="4" t="str">
        <f t="shared" si="1"/>
        <v>{"valorA":"computador","valorB":6}</v>
      </c>
      <c r="E81" s="8" t="str">
        <f t="shared" si="2"/>
        <v>computador</v>
      </c>
      <c r="F81" s="8"/>
      <c r="G81" s="8" t="str">
        <f t="shared" si="3"/>
        <v>6</v>
      </c>
      <c r="H81" s="9">
        <f t="shared" si="4"/>
        <v>6</v>
      </c>
      <c r="I81" s="6" t="str">
        <f>IFERROR(__xludf.DUMMYFUNCTION("MAX(FILTER($H:$H,$E:$E=F81))"),"#N/A")</f>
        <v>#N/A</v>
      </c>
    </row>
    <row r="82">
      <c r="C82" s="4" t="s">
        <v>2253</v>
      </c>
      <c r="D82" s="4" t="str">
        <f t="shared" si="1"/>
        <v>{"valorA":"purificador de água","valorB":6}</v>
      </c>
      <c r="E82" s="8" t="str">
        <f t="shared" si="2"/>
        <v>purificador de água</v>
      </c>
      <c r="F82" s="8"/>
      <c r="G82" s="8" t="str">
        <f t="shared" si="3"/>
        <v>6</v>
      </c>
      <c r="H82" s="9">
        <f t="shared" si="4"/>
        <v>6</v>
      </c>
      <c r="I82" s="6" t="str">
        <f>IFERROR(__xludf.DUMMYFUNCTION("MAX(FILTER($H:$H,$E:$E=F82))"),"#N/A")</f>
        <v>#N/A</v>
      </c>
    </row>
    <row r="83">
      <c r="C83" s="4" t="s">
        <v>1704</v>
      </c>
      <c r="D83" s="4" t="str">
        <f t="shared" si="1"/>
        <v>{"valorA":"microondas","valorB":7}</v>
      </c>
      <c r="E83" s="8" t="str">
        <f t="shared" si="2"/>
        <v>microondas</v>
      </c>
      <c r="F83" s="8"/>
      <c r="G83" s="8" t="str">
        <f t="shared" si="3"/>
        <v>7</v>
      </c>
      <c r="H83" s="9">
        <f t="shared" si="4"/>
        <v>7</v>
      </c>
      <c r="I83" s="6" t="str">
        <f>IFERROR(__xludf.DUMMYFUNCTION("MAX(FILTER($H:$H,$E:$E=F83))"),"#N/A")</f>
        <v>#N/A</v>
      </c>
    </row>
    <row r="84">
      <c r="C84" s="4" t="s">
        <v>2266</v>
      </c>
      <c r="D84" s="4" t="str">
        <f t="shared" si="1"/>
        <v>{"valorA":"carregador de celular","valorB":3}</v>
      </c>
      <c r="E84" s="8" t="str">
        <f t="shared" si="2"/>
        <v>carregador de celular</v>
      </c>
      <c r="F84" s="8"/>
      <c r="G84" s="8" t="str">
        <f t="shared" si="3"/>
        <v>3</v>
      </c>
      <c r="H84" s="9">
        <f t="shared" si="4"/>
        <v>3</v>
      </c>
      <c r="I84" s="6" t="str">
        <f>IFERROR(__xludf.DUMMYFUNCTION("MAX(FILTER($H:$H,$E:$E=F84))"),"#N/A")</f>
        <v>#N/A</v>
      </c>
    </row>
    <row r="85">
      <c r="C85" s="4" t="s">
        <v>2243</v>
      </c>
      <c r="D85" s="4" t="str">
        <f t="shared" si="1"/>
        <v>{"valorA":"roteador","valorB":3}</v>
      </c>
      <c r="E85" s="8" t="str">
        <f t="shared" si="2"/>
        <v>roteador</v>
      </c>
      <c r="F85" s="8"/>
      <c r="G85" s="8" t="str">
        <f t="shared" si="3"/>
        <v>3</v>
      </c>
      <c r="H85" s="9">
        <f t="shared" si="4"/>
        <v>3</v>
      </c>
      <c r="I85" s="6" t="str">
        <f>IFERROR(__xludf.DUMMYFUNCTION("MAX(FILTER($H:$H,$E:$E=F85))"),"#N/A")</f>
        <v>#N/A</v>
      </c>
    </row>
    <row r="86">
      <c r="C86" s="4" t="s">
        <v>1708</v>
      </c>
      <c r="D86" s="4" t="str">
        <f t="shared" si="1"/>
        <v>{"valorA":"microondas","valorB":8}</v>
      </c>
      <c r="E86" s="8" t="str">
        <f t="shared" si="2"/>
        <v>microondas</v>
      </c>
      <c r="F86" s="8"/>
      <c r="G86" s="8" t="str">
        <f t="shared" si="3"/>
        <v>8</v>
      </c>
      <c r="H86" s="9">
        <f t="shared" si="4"/>
        <v>8</v>
      </c>
      <c r="I86" s="6" t="str">
        <f>IFERROR(__xludf.DUMMYFUNCTION("MAX(FILTER($H:$H,$E:$E=F86))"),"#N/A")</f>
        <v>#N/A</v>
      </c>
    </row>
    <row r="87">
      <c r="C87" s="4" t="s">
        <v>2273</v>
      </c>
      <c r="D87" s="4" t="str">
        <f t="shared" si="1"/>
        <v>{"valorA":"filtro de linha","valorB":5}</v>
      </c>
      <c r="E87" s="8" t="str">
        <f t="shared" si="2"/>
        <v>filtro de linha</v>
      </c>
      <c r="F87" s="8"/>
      <c r="G87" s="8" t="str">
        <f t="shared" si="3"/>
        <v>5</v>
      </c>
      <c r="H87" s="9">
        <f t="shared" si="4"/>
        <v>5</v>
      </c>
      <c r="I87" s="6" t="str">
        <f>IFERROR(__xludf.DUMMYFUNCTION("MAX(FILTER($H:$H,$E:$E=F87))"),"#N/A")</f>
        <v>#N/A</v>
      </c>
    </row>
    <row r="88">
      <c r="C88" s="4" t="s">
        <v>2271</v>
      </c>
      <c r="D88" s="4" t="str">
        <f t="shared" si="1"/>
        <v>{"valorA":"celular","valorB":4}</v>
      </c>
      <c r="E88" s="8" t="str">
        <f t="shared" si="2"/>
        <v>celular</v>
      </c>
      <c r="F88" s="8"/>
      <c r="G88" s="8" t="str">
        <f t="shared" si="3"/>
        <v>4</v>
      </c>
      <c r="H88" s="9">
        <f t="shared" si="4"/>
        <v>4</v>
      </c>
      <c r="I88" s="6" t="str">
        <f>IFERROR(__xludf.DUMMYFUNCTION("MAX(FILTER($H:$H,$E:$E=F88))"),"#N/A")</f>
        <v>#N/A</v>
      </c>
    </row>
    <row r="89">
      <c r="C89" s="4" t="s">
        <v>2269</v>
      </c>
      <c r="D89" s="4" t="str">
        <f t="shared" si="1"/>
        <v>{"valorA":"computador","valorB":7}</v>
      </c>
      <c r="E89" s="8" t="str">
        <f t="shared" si="2"/>
        <v>computador</v>
      </c>
      <c r="F89" s="8"/>
      <c r="G89" s="8" t="str">
        <f t="shared" si="3"/>
        <v>7</v>
      </c>
      <c r="H89" s="9">
        <f t="shared" si="4"/>
        <v>7</v>
      </c>
      <c r="I89" s="6" t="str">
        <f>IFERROR(__xludf.DUMMYFUNCTION("MAX(FILTER($H:$H,$E:$E=F89))"),"#N/A")</f>
        <v>#N/A</v>
      </c>
    </row>
    <row r="90">
      <c r="C90" s="4" t="s">
        <v>2270</v>
      </c>
      <c r="D90" s="4" t="str">
        <f t="shared" si="1"/>
        <v>{"valorA":"carregador de celular","valorB":4}</v>
      </c>
      <c r="E90" s="8" t="str">
        <f t="shared" si="2"/>
        <v>carregador de celular</v>
      </c>
      <c r="F90" s="8"/>
      <c r="G90" s="8" t="str">
        <f t="shared" si="3"/>
        <v>4</v>
      </c>
      <c r="H90" s="9">
        <f t="shared" si="4"/>
        <v>4</v>
      </c>
      <c r="I90" s="6" t="str">
        <f>IFERROR(__xludf.DUMMYFUNCTION("MAX(FILTER($H:$H,$E:$E=F90))"),"#N/A")</f>
        <v>#N/A</v>
      </c>
    </row>
    <row r="91">
      <c r="C91" s="4" t="s">
        <v>2292</v>
      </c>
      <c r="D91" s="4" t="str">
        <f t="shared" si="1"/>
        <v>{"valorA":"ventilador","valorB":8}</v>
      </c>
      <c r="E91" s="8" t="str">
        <f t="shared" si="2"/>
        <v>ventilador</v>
      </c>
      <c r="F91" s="8"/>
      <c r="G91" s="8" t="str">
        <f t="shared" si="3"/>
        <v>8</v>
      </c>
      <c r="H91" s="9">
        <f t="shared" si="4"/>
        <v>8</v>
      </c>
      <c r="I91" s="6" t="str">
        <f>IFERROR(__xludf.DUMMYFUNCTION("MAX(FILTER($H:$H,$E:$E=F91))"),"#N/A")</f>
        <v>#N/A</v>
      </c>
    </row>
    <row r="92">
      <c r="C92" s="4" t="s">
        <v>2188</v>
      </c>
      <c r="D92" s="4" t="str">
        <f t="shared" si="1"/>
        <v>{"valorA":"relógio","valorB":4}</v>
      </c>
      <c r="E92" s="8" t="str">
        <f t="shared" si="2"/>
        <v>relógio</v>
      </c>
      <c r="F92" s="8"/>
      <c r="G92" s="8" t="str">
        <f t="shared" si="3"/>
        <v>4</v>
      </c>
      <c r="H92" s="9">
        <f t="shared" si="4"/>
        <v>4</v>
      </c>
      <c r="I92" s="6" t="str">
        <f>IFERROR(__xludf.DUMMYFUNCTION("MAX(FILTER($H:$H,$E:$E=F92))"),"#N/A")</f>
        <v>#N/A</v>
      </c>
    </row>
    <row r="93">
      <c r="C93" s="4" t="s">
        <v>2280</v>
      </c>
      <c r="D93" s="4" t="str">
        <f t="shared" si="1"/>
        <v>{"valorA":"aspirador","valorB":7}</v>
      </c>
      <c r="E93" s="8" t="str">
        <f t="shared" si="2"/>
        <v>aspirador</v>
      </c>
      <c r="F93" s="8"/>
      <c r="G93" s="8" t="str">
        <f t="shared" si="3"/>
        <v>7</v>
      </c>
      <c r="H93" s="9">
        <f t="shared" si="4"/>
        <v>7</v>
      </c>
      <c r="I93" s="6" t="str">
        <f>IFERROR(__xludf.DUMMYFUNCTION("MAX(FILTER($H:$H,$E:$E=F93))"),"#N/A")</f>
        <v>#N/A</v>
      </c>
    </row>
    <row r="94">
      <c r="C94" s="4" t="s">
        <v>2296</v>
      </c>
      <c r="D94" s="4" t="str">
        <f t="shared" si="1"/>
        <v>{"valorA":"filtro de linha","valorB":6}</v>
      </c>
      <c r="E94" s="8" t="str">
        <f t="shared" si="2"/>
        <v>filtro de linha</v>
      </c>
      <c r="F94" s="8"/>
      <c r="G94" s="8" t="str">
        <f t="shared" si="3"/>
        <v>6</v>
      </c>
      <c r="H94" s="9">
        <f t="shared" si="4"/>
        <v>6</v>
      </c>
      <c r="I94" s="6" t="str">
        <f>IFERROR(__xludf.DUMMYFUNCTION("MAX(FILTER($H:$H,$E:$E=F94))"),"#N/A")</f>
        <v>#N/A</v>
      </c>
    </row>
    <row r="95">
      <c r="C95" s="4" t="s">
        <v>2298</v>
      </c>
      <c r="D95" s="4" t="str">
        <f t="shared" si="1"/>
        <v>{"valorA":"filtro de linha","valorB":7}</v>
      </c>
      <c r="E95" s="8" t="str">
        <f t="shared" si="2"/>
        <v>filtro de linha</v>
      </c>
      <c r="F95" s="8"/>
      <c r="G95" s="8" t="str">
        <f t="shared" si="3"/>
        <v>7</v>
      </c>
      <c r="H95" s="9">
        <f t="shared" si="4"/>
        <v>7</v>
      </c>
      <c r="I95" s="6" t="str">
        <f>IFERROR(__xludf.DUMMYFUNCTION("MAX(FILTER($H:$H,$E:$E=F95))"),"#N/A")</f>
        <v>#N/A</v>
      </c>
    </row>
    <row r="96">
      <c r="C96" s="4" t="s">
        <v>2238</v>
      </c>
      <c r="D96" s="4" t="str">
        <f t="shared" si="1"/>
        <v>{"valorA":"lustre","valorB":4}</v>
      </c>
      <c r="E96" s="8" t="str">
        <f t="shared" si="2"/>
        <v>lustre</v>
      </c>
      <c r="F96" s="8"/>
      <c r="G96" s="8" t="str">
        <f t="shared" si="3"/>
        <v>4</v>
      </c>
      <c r="H96" s="9">
        <f t="shared" si="4"/>
        <v>4</v>
      </c>
      <c r="I96" s="6" t="str">
        <f>IFERROR(__xludf.DUMMYFUNCTION("MAX(FILTER($H:$H,$E:$E=F96))"),"#N/A")</f>
        <v>#N/A</v>
      </c>
    </row>
    <row r="97">
      <c r="C97" s="4" t="s">
        <v>2248</v>
      </c>
      <c r="D97" s="4" t="str">
        <f t="shared" si="1"/>
        <v>{"valorA":"roteador","valorB":4}</v>
      </c>
      <c r="E97" s="8" t="str">
        <f t="shared" si="2"/>
        <v>roteador</v>
      </c>
      <c r="F97" s="8"/>
      <c r="G97" s="8" t="str">
        <f t="shared" si="3"/>
        <v>4</v>
      </c>
      <c r="H97" s="9">
        <f t="shared" si="4"/>
        <v>4</v>
      </c>
      <c r="I97" s="6" t="str">
        <f>IFERROR(__xludf.DUMMYFUNCTION("MAX(FILTER($H:$H,$E:$E=F97))"),"#N/A")</f>
        <v>#N/A</v>
      </c>
    </row>
    <row r="98">
      <c r="C98" s="4" t="s">
        <v>2288</v>
      </c>
      <c r="D98" s="4" t="str">
        <f t="shared" si="1"/>
        <v>{"valorA":"aspirador","valorB":8}</v>
      </c>
      <c r="E98" s="8" t="str">
        <f t="shared" si="2"/>
        <v>aspirador</v>
      </c>
      <c r="F98" s="8"/>
      <c r="G98" s="8" t="str">
        <f t="shared" si="3"/>
        <v>8</v>
      </c>
      <c r="H98" s="9">
        <f t="shared" si="4"/>
        <v>8</v>
      </c>
      <c r="I98" s="6" t="str">
        <f>IFERROR(__xludf.DUMMYFUNCTION("MAX(FILTER($H:$H,$E:$E=F98))"),"#N/A")</f>
        <v>#N/A</v>
      </c>
    </row>
    <row r="99">
      <c r="C99" s="4" t="s">
        <v>2293</v>
      </c>
      <c r="D99" s="4" t="str">
        <f t="shared" si="1"/>
        <v>{"valorA":"celular","valorB":5}</v>
      </c>
      <c r="E99" s="8" t="str">
        <f t="shared" si="2"/>
        <v>celular</v>
      </c>
      <c r="F99" s="8"/>
      <c r="G99" s="8" t="str">
        <f t="shared" si="3"/>
        <v>5</v>
      </c>
      <c r="H99" s="9">
        <f t="shared" si="4"/>
        <v>5</v>
      </c>
      <c r="I99" s="6" t="str">
        <f>IFERROR(__xludf.DUMMYFUNCTION("MAX(FILTER($H:$H,$E:$E=F99))"),"#N/A")</f>
        <v>#N/A</v>
      </c>
    </row>
    <row r="100">
      <c r="C100" s="4" t="s">
        <v>2204</v>
      </c>
      <c r="D100" s="4" t="str">
        <f t="shared" si="1"/>
        <v>{"valorA":"chuveiro elétrico","valorB":6}</v>
      </c>
      <c r="E100" s="8" t="str">
        <f t="shared" si="2"/>
        <v>chuveiro elétrico</v>
      </c>
      <c r="F100" s="8"/>
      <c r="G100" s="8" t="str">
        <f t="shared" si="3"/>
        <v>6</v>
      </c>
      <c r="H100" s="9">
        <f t="shared" si="4"/>
        <v>6</v>
      </c>
      <c r="I100" s="6" t="str">
        <f>IFERROR(__xludf.DUMMYFUNCTION("MAX(FILTER($H:$H,$E:$E=F100))"),"#N/A")</f>
        <v>#N/A</v>
      </c>
    </row>
    <row r="101">
      <c r="C101" s="4" t="s">
        <v>2190</v>
      </c>
      <c r="D101" s="4" t="str">
        <f t="shared" si="1"/>
        <v>{"valorA":"relógio","valorB":5}</v>
      </c>
      <c r="E101" s="8" t="str">
        <f t="shared" si="2"/>
        <v>relógio</v>
      </c>
      <c r="F101" s="8"/>
      <c r="G101" s="8" t="str">
        <f t="shared" si="3"/>
        <v>5</v>
      </c>
      <c r="H101" s="9">
        <f t="shared" si="4"/>
        <v>5</v>
      </c>
      <c r="I101" s="6" t="str">
        <f>IFERROR(__xludf.DUMMYFUNCTION("MAX(FILTER($H:$H,$E:$E=F101))"),"#N/A")</f>
        <v>#N/A</v>
      </c>
    </row>
    <row r="102">
      <c r="C102" s="4" t="s">
        <v>2224</v>
      </c>
      <c r="D102" s="4" t="str">
        <f t="shared" si="1"/>
        <v>{"valorA":"liquidificador","valorB":5}</v>
      </c>
      <c r="E102" s="8" t="str">
        <f t="shared" si="2"/>
        <v>liquidificador</v>
      </c>
      <c r="F102" s="8"/>
      <c r="G102" s="8" t="str">
        <f t="shared" si="3"/>
        <v>5</v>
      </c>
      <c r="H102" s="9">
        <f t="shared" si="4"/>
        <v>5</v>
      </c>
      <c r="I102" s="6" t="str">
        <f>IFERROR(__xludf.DUMMYFUNCTION("MAX(FILTER($H:$H,$E:$E=F102))"),"#N/A")</f>
        <v>#N/A</v>
      </c>
    </row>
    <row r="103">
      <c r="C103" s="4" t="s">
        <v>2213</v>
      </c>
      <c r="D103" s="4" t="str">
        <f t="shared" si="1"/>
        <v>{"valorA":"fone de ouvido","valorB":4}</v>
      </c>
      <c r="E103" s="8" t="str">
        <f t="shared" si="2"/>
        <v>fone de ouvido</v>
      </c>
      <c r="F103" s="8"/>
      <c r="G103" s="8" t="str">
        <f t="shared" si="3"/>
        <v>4</v>
      </c>
      <c r="H103" s="9">
        <f t="shared" si="4"/>
        <v>4</v>
      </c>
      <c r="I103" s="6" t="str">
        <f>IFERROR(__xludf.DUMMYFUNCTION("MAX(FILTER($H:$H,$E:$E=F103))"),"#N/A")</f>
        <v>#N/A</v>
      </c>
    </row>
    <row r="104">
      <c r="C104" s="4" t="s">
        <v>2321</v>
      </c>
      <c r="D104" s="4" t="str">
        <f t="shared" si="1"/>
        <v>{"valorA":"teclado de computador","valorB":9}</v>
      </c>
      <c r="E104" s="8" t="str">
        <f t="shared" si="2"/>
        <v>teclado de computador</v>
      </c>
      <c r="F104" s="8"/>
      <c r="G104" s="8" t="str">
        <f t="shared" si="3"/>
        <v>9</v>
      </c>
      <c r="H104" s="9">
        <f t="shared" si="4"/>
        <v>9</v>
      </c>
      <c r="I104" s="6" t="str">
        <f>IFERROR(__xludf.DUMMYFUNCTION("MAX(FILTER($H:$H,$E:$E=F104))"),"#N/A")</f>
        <v>#N/A</v>
      </c>
    </row>
    <row r="105">
      <c r="C105" s="4" t="s">
        <v>1702</v>
      </c>
      <c r="D105" s="4" t="str">
        <f t="shared" si="1"/>
        <v>{"valorA":"ar condicionado","valorB":6}</v>
      </c>
      <c r="E105" s="8" t="str">
        <f t="shared" si="2"/>
        <v>ar condicionado</v>
      </c>
      <c r="F105" s="8"/>
      <c r="G105" s="8" t="str">
        <f t="shared" si="3"/>
        <v>6</v>
      </c>
      <c r="H105" s="9">
        <f t="shared" si="4"/>
        <v>6</v>
      </c>
      <c r="I105" s="6" t="str">
        <f>IFERROR(__xludf.DUMMYFUNCTION("MAX(FILTER($H:$H,$E:$E=F105))"),"#N/A")</f>
        <v>#N/A</v>
      </c>
    </row>
    <row r="106">
      <c r="C106" s="4" t="s">
        <v>2274</v>
      </c>
      <c r="D106" s="4" t="str">
        <f t="shared" si="1"/>
        <v>{"valorA":"carregador de celular","valorB":5}</v>
      </c>
      <c r="E106" s="8" t="str">
        <f t="shared" si="2"/>
        <v>carregador de celular</v>
      </c>
      <c r="F106" s="8"/>
      <c r="G106" s="8" t="str">
        <f t="shared" si="3"/>
        <v>5</v>
      </c>
      <c r="H106" s="9">
        <f t="shared" si="4"/>
        <v>5</v>
      </c>
      <c r="I106" s="6" t="str">
        <f>IFERROR(__xludf.DUMMYFUNCTION("MAX(FILTER($H:$H,$E:$E=F106))"),"#N/A")</f>
        <v>#N/A</v>
      </c>
    </row>
    <row r="107">
      <c r="C107" s="4" t="s">
        <v>1661</v>
      </c>
      <c r="D107" s="4" t="str">
        <f t="shared" si="1"/>
        <v>{"valorA":"freezer","valorB":3}</v>
      </c>
      <c r="E107" s="8" t="str">
        <f t="shared" si="2"/>
        <v>freezer</v>
      </c>
      <c r="F107" s="8"/>
      <c r="G107" s="8" t="str">
        <f t="shared" si="3"/>
        <v>3</v>
      </c>
      <c r="H107" s="9">
        <f t="shared" si="4"/>
        <v>3</v>
      </c>
      <c r="I107" s="6" t="str">
        <f>IFERROR(__xludf.DUMMYFUNCTION("MAX(FILTER($H:$H,$E:$E=F107))"),"#N/A")</f>
        <v>#N/A</v>
      </c>
    </row>
    <row r="108">
      <c r="C108" s="4" t="s">
        <v>2315</v>
      </c>
      <c r="D108" s="4" t="str">
        <f t="shared" si="1"/>
        <v>{"valorA":"celular","valorB":6}</v>
      </c>
      <c r="E108" s="8" t="str">
        <f t="shared" si="2"/>
        <v>celular</v>
      </c>
      <c r="F108" s="8"/>
      <c r="G108" s="8" t="str">
        <f t="shared" si="3"/>
        <v>6</v>
      </c>
      <c r="H108" s="9">
        <f t="shared" si="4"/>
        <v>6</v>
      </c>
      <c r="I108" s="6" t="str">
        <f>IFERROR(__xludf.DUMMYFUNCTION("MAX(FILTER($H:$H,$E:$E=F108))"),"#N/A")</f>
        <v>#N/A</v>
      </c>
    </row>
    <row r="109">
      <c r="C109" s="4" t="s">
        <v>2194</v>
      </c>
      <c r="D109" s="4" t="str">
        <f t="shared" si="1"/>
        <v>{"valorA":"relógio","valorB":6}</v>
      </c>
      <c r="E109" s="8" t="str">
        <f t="shared" si="2"/>
        <v>relógio</v>
      </c>
      <c r="F109" s="8"/>
      <c r="G109" s="8" t="str">
        <f t="shared" si="3"/>
        <v>6</v>
      </c>
      <c r="H109" s="9">
        <f t="shared" si="4"/>
        <v>6</v>
      </c>
      <c r="I109" s="6" t="str">
        <f>IFERROR(__xludf.DUMMYFUNCTION("MAX(FILTER($H:$H,$E:$E=F109))"),"#N/A")</f>
        <v>#N/A</v>
      </c>
    </row>
    <row r="110">
      <c r="C110" s="4" t="s">
        <v>2327</v>
      </c>
      <c r="D110" s="4" t="str">
        <f t="shared" si="1"/>
        <v>{"valorA":"teclado de computador","valorB":10}</v>
      </c>
      <c r="E110" s="8" t="str">
        <f t="shared" si="2"/>
        <v>teclado de computador</v>
      </c>
      <c r="F110" s="8"/>
      <c r="G110" s="8" t="str">
        <f t="shared" si="3"/>
        <v>10</v>
      </c>
      <c r="H110" s="9">
        <f t="shared" si="4"/>
        <v>10</v>
      </c>
      <c r="I110" s="6" t="str">
        <f>IFERROR(__xludf.DUMMYFUNCTION("MAX(FILTER($H:$H,$E:$E=F110))"),"#N/A")</f>
        <v>#N/A</v>
      </c>
    </row>
    <row r="111">
      <c r="C111" s="4" t="s">
        <v>2289</v>
      </c>
      <c r="D111" s="4" t="str">
        <f t="shared" si="1"/>
        <v>{"valorA":"aspirador","valorB":9}</v>
      </c>
      <c r="E111" s="8" t="str">
        <f t="shared" si="2"/>
        <v>aspirador</v>
      </c>
      <c r="F111" s="8"/>
      <c r="G111" s="8" t="str">
        <f t="shared" si="3"/>
        <v>9</v>
      </c>
      <c r="H111" s="9">
        <f t="shared" si="4"/>
        <v>9</v>
      </c>
      <c r="I111" s="6" t="str">
        <f>IFERROR(__xludf.DUMMYFUNCTION("MAX(FILTER($H:$H,$E:$E=F111))"),"#N/A")</f>
        <v>#N/A</v>
      </c>
    </row>
    <row r="112">
      <c r="C112" s="4" t="s">
        <v>2272</v>
      </c>
      <c r="D112" s="4" t="str">
        <f t="shared" si="1"/>
        <v>{"valorA":"computador","valorB":8}</v>
      </c>
      <c r="E112" s="8" t="str">
        <f t="shared" si="2"/>
        <v>computador</v>
      </c>
      <c r="F112" s="8"/>
      <c r="G112" s="8" t="str">
        <f t="shared" si="3"/>
        <v>8</v>
      </c>
      <c r="H112" s="9">
        <f t="shared" si="4"/>
        <v>8</v>
      </c>
      <c r="I112" s="6" t="str">
        <f>IFERROR(__xludf.DUMMYFUNCTION("MAX(FILTER($H:$H,$E:$E=F112))"),"#N/A")</f>
        <v>#N/A</v>
      </c>
    </row>
    <row r="113">
      <c r="C113" s="4" t="s">
        <v>2306</v>
      </c>
      <c r="D113" s="4" t="str">
        <f t="shared" si="1"/>
        <v>{"valorA":"filtro de linha","valorB":8}</v>
      </c>
      <c r="E113" s="8" t="str">
        <f t="shared" si="2"/>
        <v>filtro de linha</v>
      </c>
      <c r="F113" s="8"/>
      <c r="G113" s="8" t="str">
        <f t="shared" si="3"/>
        <v>8</v>
      </c>
      <c r="H113" s="9">
        <f t="shared" si="4"/>
        <v>8</v>
      </c>
      <c r="I113" s="6" t="str">
        <f>IFERROR(__xludf.DUMMYFUNCTION("MAX(FILTER($H:$H,$E:$E=F113))"),"#N/A")</f>
        <v>#N/A</v>
      </c>
    </row>
    <row r="114">
      <c r="C114" s="4" t="s">
        <v>2212</v>
      </c>
      <c r="D114" s="4" t="str">
        <f t="shared" si="1"/>
        <v>{"valorA":"fogão","valorB":3}</v>
      </c>
      <c r="E114" s="8" t="str">
        <f t="shared" si="2"/>
        <v>fogão</v>
      </c>
      <c r="F114" s="8"/>
      <c r="G114" s="8" t="str">
        <f t="shared" si="3"/>
        <v>3</v>
      </c>
      <c r="H114" s="9">
        <f t="shared" si="4"/>
        <v>3</v>
      </c>
      <c r="I114" s="6" t="str">
        <f>IFERROR(__xludf.DUMMYFUNCTION("MAX(FILTER($H:$H,$E:$E=F114))"),"#N/A")</f>
        <v>#N/A</v>
      </c>
    </row>
    <row r="115">
      <c r="C115" s="4" t="s">
        <v>2330</v>
      </c>
      <c r="D115" s="4" t="str">
        <f t="shared" si="1"/>
        <v>{"valorA":"ventilador","valorB":9}</v>
      </c>
      <c r="E115" s="8" t="str">
        <f t="shared" si="2"/>
        <v>ventilador</v>
      </c>
      <c r="F115" s="8"/>
      <c r="G115" s="8" t="str">
        <f t="shared" si="3"/>
        <v>9</v>
      </c>
      <c r="H115" s="9">
        <f t="shared" si="4"/>
        <v>9</v>
      </c>
      <c r="I115" s="6" t="str">
        <f>IFERROR(__xludf.DUMMYFUNCTION("MAX(FILTER($H:$H,$E:$E=F115))"),"#N/A")</f>
        <v>#N/A</v>
      </c>
    </row>
    <row r="116">
      <c r="C116" s="4" t="s">
        <v>1705</v>
      </c>
      <c r="D116" s="4" t="str">
        <f t="shared" si="1"/>
        <v>{"valorA":"ar condicionado","valorB":7}</v>
      </c>
      <c r="E116" s="8" t="str">
        <f t="shared" si="2"/>
        <v>ar condicionado</v>
      </c>
      <c r="F116" s="8"/>
      <c r="G116" s="8" t="str">
        <f t="shared" si="3"/>
        <v>7</v>
      </c>
      <c r="H116" s="9">
        <f t="shared" si="4"/>
        <v>7</v>
      </c>
      <c r="I116" s="6" t="str">
        <f>IFERROR(__xludf.DUMMYFUNCTION("MAX(FILTER($H:$H,$E:$E=F116))"),"#N/A")</f>
        <v>#N/A</v>
      </c>
    </row>
    <row r="117">
      <c r="C117" s="4" t="s">
        <v>2264</v>
      </c>
      <c r="D117" s="4" t="str">
        <f t="shared" si="1"/>
        <v>{"valorA":"lustre","valorB":5}</v>
      </c>
      <c r="E117" s="8" t="str">
        <f t="shared" si="2"/>
        <v>lustre</v>
      </c>
      <c r="F117" s="8"/>
      <c r="G117" s="8" t="str">
        <f t="shared" si="3"/>
        <v>5</v>
      </c>
      <c r="H117" s="9">
        <f t="shared" si="4"/>
        <v>5</v>
      </c>
      <c r="I117" s="6" t="str">
        <f>IFERROR(__xludf.DUMMYFUNCTION("MAX(FILTER($H:$H,$E:$E=F117))"),"#N/A")</f>
        <v>#N/A</v>
      </c>
    </row>
    <row r="118">
      <c r="C118" s="4" t="s">
        <v>2230</v>
      </c>
      <c r="D118" s="4" t="str">
        <f t="shared" si="1"/>
        <v>{"valorA":"fone de ouvido","valorB":5}</v>
      </c>
      <c r="E118" s="8" t="str">
        <f t="shared" si="2"/>
        <v>fone de ouvido</v>
      </c>
      <c r="F118" s="8"/>
      <c r="G118" s="8" t="str">
        <f t="shared" si="3"/>
        <v>5</v>
      </c>
      <c r="H118" s="9">
        <f t="shared" si="4"/>
        <v>5</v>
      </c>
      <c r="I118" s="6" t="str">
        <f>IFERROR(__xludf.DUMMYFUNCTION("MAX(FILTER($H:$H,$E:$E=F118))"),"#N/A")</f>
        <v>#N/A</v>
      </c>
    </row>
    <row r="119">
      <c r="C119" s="4" t="s">
        <v>2226</v>
      </c>
      <c r="D119" s="4" t="str">
        <f t="shared" si="1"/>
        <v>{"valorA":"mouse de computador","valorB":2}</v>
      </c>
      <c r="E119" s="8" t="str">
        <f t="shared" si="2"/>
        <v>mouse de computador</v>
      </c>
      <c r="F119" s="8"/>
      <c r="G119" s="8" t="str">
        <f t="shared" si="3"/>
        <v>2</v>
      </c>
      <c r="H119" s="9">
        <f t="shared" si="4"/>
        <v>2</v>
      </c>
      <c r="I119" s="6" t="str">
        <f>IFERROR(__xludf.DUMMYFUNCTION("MAX(FILTER($H:$H,$E:$E=F119))"),"#N/A")</f>
        <v>#N/A</v>
      </c>
    </row>
    <row r="120">
      <c r="C120" s="4" t="s">
        <v>1662</v>
      </c>
      <c r="D120" s="4" t="str">
        <f t="shared" si="1"/>
        <v>{"valorA":"freezer","valorB":4}</v>
      </c>
      <c r="E120" s="8" t="str">
        <f t="shared" si="2"/>
        <v>freezer</v>
      </c>
      <c r="F120" s="8"/>
      <c r="G120" s="8" t="str">
        <f t="shared" si="3"/>
        <v>4</v>
      </c>
      <c r="H120" s="9">
        <f t="shared" si="4"/>
        <v>4</v>
      </c>
      <c r="I120" s="6" t="str">
        <f>IFERROR(__xludf.DUMMYFUNCTION("MAX(FILTER($H:$H,$E:$E=F120))"),"#N/A")</f>
        <v>#N/A</v>
      </c>
    </row>
    <row r="121">
      <c r="C121" s="4" t="s">
        <v>2290</v>
      </c>
      <c r="D121" s="4" t="str">
        <f t="shared" si="1"/>
        <v>{"valorA":"aspirador","valorB":10}</v>
      </c>
      <c r="E121" s="8" t="str">
        <f t="shared" si="2"/>
        <v>aspirador</v>
      </c>
      <c r="F121" s="8"/>
      <c r="G121" s="8" t="str">
        <f t="shared" si="3"/>
        <v>10</v>
      </c>
      <c r="H121" s="9">
        <f t="shared" si="4"/>
        <v>10</v>
      </c>
      <c r="I121" s="6" t="str">
        <f>IFERROR(__xludf.DUMMYFUNCTION("MAX(FILTER($H:$H,$E:$E=F121))"),"#N/A")</f>
        <v>#N/A</v>
      </c>
    </row>
    <row r="122">
      <c r="C122" s="4" t="s">
        <v>2301</v>
      </c>
      <c r="D122" s="4" t="str">
        <f t="shared" si="1"/>
        <v>{"valorA":"roteador","valorB":5}</v>
      </c>
      <c r="E122" s="8" t="str">
        <f t="shared" si="2"/>
        <v>roteador</v>
      </c>
      <c r="F122" s="8"/>
      <c r="G122" s="8" t="str">
        <f t="shared" si="3"/>
        <v>5</v>
      </c>
      <c r="H122" s="9">
        <f t="shared" si="4"/>
        <v>5</v>
      </c>
      <c r="I122" s="6" t="str">
        <f>IFERROR(__xludf.DUMMYFUNCTION("MAX(FILTER($H:$H,$E:$E=F122))"),"#N/A")</f>
        <v>#N/A</v>
      </c>
    </row>
    <row r="123">
      <c r="C123" s="4" t="s">
        <v>2304</v>
      </c>
      <c r="D123" s="4" t="str">
        <f t="shared" si="1"/>
        <v>{"valorA":"roteador","valorB":6}</v>
      </c>
      <c r="E123" s="8" t="str">
        <f t="shared" si="2"/>
        <v>roteador</v>
      </c>
      <c r="F123" s="8"/>
      <c r="G123" s="8" t="str">
        <f t="shared" si="3"/>
        <v>6</v>
      </c>
      <c r="H123" s="9">
        <f t="shared" si="4"/>
        <v>6</v>
      </c>
      <c r="I123" s="6" t="str">
        <f>IFERROR(__xludf.DUMMYFUNCTION("MAX(FILTER($H:$H,$E:$E=F123))"),"#N/A")</f>
        <v>#N/A</v>
      </c>
    </row>
    <row r="124">
      <c r="C124" s="4" t="s">
        <v>1663</v>
      </c>
      <c r="D124" s="4" t="str">
        <f t="shared" si="1"/>
        <v>{"valorA":"freezer","valorB":5}</v>
      </c>
      <c r="E124" s="8" t="str">
        <f t="shared" si="2"/>
        <v>freezer</v>
      </c>
      <c r="F124" s="8"/>
      <c r="G124" s="8" t="str">
        <f t="shared" si="3"/>
        <v>5</v>
      </c>
      <c r="H124" s="9">
        <f t="shared" si="4"/>
        <v>5</v>
      </c>
      <c r="I124" s="6" t="str">
        <f>IFERROR(__xludf.DUMMYFUNCTION("MAX(FILTER($H:$H,$E:$E=F124))"),"#N/A")</f>
        <v>#N/A</v>
      </c>
    </row>
    <row r="125">
      <c r="C125" s="4" t="s">
        <v>2219</v>
      </c>
      <c r="D125" s="4" t="str">
        <f t="shared" si="1"/>
        <v>{"valorA":"chuveiro elétrico","valorB":7}</v>
      </c>
      <c r="E125" s="8" t="str">
        <f t="shared" si="2"/>
        <v>chuveiro elétrico</v>
      </c>
      <c r="F125" s="8"/>
      <c r="G125" s="8" t="str">
        <f t="shared" si="3"/>
        <v>7</v>
      </c>
      <c r="H125" s="9">
        <f t="shared" si="4"/>
        <v>7</v>
      </c>
      <c r="I125" s="6" t="str">
        <f>IFERROR(__xludf.DUMMYFUNCTION("MAX(FILTER($H:$H,$E:$E=F125))"),"#N/A")</f>
        <v>#N/A</v>
      </c>
    </row>
    <row r="126">
      <c r="C126" s="4" t="s">
        <v>2316</v>
      </c>
      <c r="D126" s="4" t="str">
        <f t="shared" si="1"/>
        <v>{"valorA":"lustre","valorB":6}</v>
      </c>
      <c r="E126" s="8" t="str">
        <f t="shared" si="2"/>
        <v>lustre</v>
      </c>
      <c r="F126" s="8"/>
      <c r="G126" s="8" t="str">
        <f t="shared" si="3"/>
        <v>6</v>
      </c>
      <c r="H126" s="9">
        <f t="shared" si="4"/>
        <v>6</v>
      </c>
      <c r="I126" s="6" t="str">
        <f>IFERROR(__xludf.DUMMYFUNCTION("MAX(FILTER($H:$H,$E:$E=F126))"),"#N/A")</f>
        <v>#N/A</v>
      </c>
    </row>
    <row r="127">
      <c r="C127" s="4" t="s">
        <v>2297</v>
      </c>
      <c r="D127" s="4" t="str">
        <f t="shared" si="1"/>
        <v>{"valorA":"aspirador","valorB":11}</v>
      </c>
      <c r="E127" s="8" t="str">
        <f t="shared" si="2"/>
        <v>aspirador</v>
      </c>
      <c r="F127" s="8"/>
      <c r="G127" s="8" t="str">
        <f t="shared" si="3"/>
        <v>11</v>
      </c>
      <c r="H127" s="9">
        <f t="shared" si="4"/>
        <v>11</v>
      </c>
      <c r="I127" s="6" t="str">
        <f>IFERROR(__xludf.DUMMYFUNCTION("MAX(FILTER($H:$H,$E:$E=F127))"),"#N/A")</f>
        <v>#N/A</v>
      </c>
    </row>
    <row r="128">
      <c r="C128" s="4" t="s">
        <v>2318</v>
      </c>
      <c r="D128" s="4" t="str">
        <f t="shared" si="1"/>
        <v>{"valorA":"roteador","valorB":7}</v>
      </c>
      <c r="E128" s="8" t="str">
        <f t="shared" si="2"/>
        <v>roteador</v>
      </c>
      <c r="F128" s="8"/>
      <c r="G128" s="8" t="str">
        <f t="shared" si="3"/>
        <v>7</v>
      </c>
      <c r="H128" s="9">
        <f t="shared" si="4"/>
        <v>7</v>
      </c>
      <c r="I128" s="6" t="str">
        <f>IFERROR(__xludf.DUMMYFUNCTION("MAX(FILTER($H:$H,$E:$E=F128))"),"#N/A")</f>
        <v>#N/A</v>
      </c>
    </row>
    <row r="129">
      <c r="C129" s="4" t="s">
        <v>2351</v>
      </c>
      <c r="D129" s="4" t="str">
        <f t="shared" si="1"/>
        <v>{"valorA":"ventilador","valorB":10}</v>
      </c>
      <c r="E129" s="8" t="str">
        <f t="shared" si="2"/>
        <v>ventilador</v>
      </c>
      <c r="F129" s="8"/>
      <c r="G129" s="8" t="str">
        <f t="shared" si="3"/>
        <v>10</v>
      </c>
      <c r="H129" s="9">
        <f t="shared" si="4"/>
        <v>10</v>
      </c>
      <c r="I129" s="6" t="str">
        <f>IFERROR(__xludf.DUMMYFUNCTION("MAX(FILTER($H:$H,$E:$E=F129))"),"#N/A")</f>
        <v>#N/A</v>
      </c>
    </row>
    <row r="130">
      <c r="C130" s="4" t="s">
        <v>2329</v>
      </c>
      <c r="D130" s="4" t="str">
        <f t="shared" si="1"/>
        <v>{"valorA":"roteador","valorB":8}</v>
      </c>
      <c r="E130" s="8" t="str">
        <f t="shared" si="2"/>
        <v>roteador</v>
      </c>
      <c r="F130" s="8"/>
      <c r="G130" s="8" t="str">
        <f t="shared" si="3"/>
        <v>8</v>
      </c>
      <c r="H130" s="9">
        <f t="shared" si="4"/>
        <v>8</v>
      </c>
      <c r="I130" s="6" t="str">
        <f>IFERROR(__xludf.DUMMYFUNCTION("MAX(FILTER($H:$H,$E:$E=F130))"),"#N/A")</f>
        <v>#N/A</v>
      </c>
    </row>
    <row r="131">
      <c r="C131" s="4" t="s">
        <v>2322</v>
      </c>
      <c r="D131" s="4" t="str">
        <f t="shared" si="1"/>
        <v>{"valorA":"celular","valorB":7}</v>
      </c>
      <c r="E131" s="8" t="str">
        <f t="shared" si="2"/>
        <v>celular</v>
      </c>
      <c r="F131" s="8"/>
      <c r="G131" s="8" t="str">
        <f t="shared" si="3"/>
        <v>7</v>
      </c>
      <c r="H131" s="9">
        <f t="shared" si="4"/>
        <v>7</v>
      </c>
      <c r="I131" s="6" t="str">
        <f>IFERROR(__xludf.DUMMYFUNCTION("MAX(FILTER($H:$H,$E:$E=F131))"),"#N/A")</f>
        <v>#N/A</v>
      </c>
    </row>
    <row r="132">
      <c r="C132" s="4" t="s">
        <v>2234</v>
      </c>
      <c r="D132" s="4" t="str">
        <f t="shared" si="1"/>
        <v>{"valorA":"fogão","valorB":4}</v>
      </c>
      <c r="E132" s="8" t="str">
        <f t="shared" si="2"/>
        <v>fogão</v>
      </c>
      <c r="F132" s="8"/>
      <c r="G132" s="8" t="str">
        <f t="shared" si="3"/>
        <v>4</v>
      </c>
      <c r="H132" s="9">
        <f t="shared" si="4"/>
        <v>4</v>
      </c>
      <c r="I132" s="6" t="str">
        <f>IFERROR(__xludf.DUMMYFUNCTION("MAX(FILTER($H:$H,$E:$E=F132))"),"#N/A")</f>
        <v>#N/A</v>
      </c>
    </row>
    <row r="133">
      <c r="C133" s="4" t="s">
        <v>1712</v>
      </c>
      <c r="D133" s="4" t="str">
        <f t="shared" si="1"/>
        <v>{"valorA":"microondas","valorB":9}</v>
      </c>
      <c r="E133" s="8" t="str">
        <f t="shared" si="2"/>
        <v>microondas</v>
      </c>
      <c r="F133" s="8"/>
      <c r="G133" s="8" t="str">
        <f t="shared" si="3"/>
        <v>9</v>
      </c>
      <c r="H133" s="9">
        <f t="shared" si="4"/>
        <v>9</v>
      </c>
      <c r="I133" s="6" t="str">
        <f>IFERROR(__xludf.DUMMYFUNCTION("MAX(FILTER($H:$H,$E:$E=F133))"),"#N/A")</f>
        <v>#N/A</v>
      </c>
    </row>
    <row r="134">
      <c r="C134" s="4" t="s">
        <v>2334</v>
      </c>
      <c r="D134" s="4" t="str">
        <f t="shared" si="1"/>
        <v>{"valorA":"teclado de computador","valorB":11}</v>
      </c>
      <c r="E134" s="8" t="str">
        <f t="shared" si="2"/>
        <v>teclado de computador</v>
      </c>
      <c r="F134" s="8"/>
      <c r="G134" s="8" t="str">
        <f t="shared" si="3"/>
        <v>11</v>
      </c>
      <c r="H134" s="9">
        <f t="shared" si="4"/>
        <v>11</v>
      </c>
      <c r="I134" s="6" t="str">
        <f>IFERROR(__xludf.DUMMYFUNCTION("MAX(FILTER($H:$H,$E:$E=F134))"),"#N/A")</f>
        <v>#N/A</v>
      </c>
    </row>
    <row r="135">
      <c r="C135" s="4" t="s">
        <v>2279</v>
      </c>
      <c r="D135" s="4" t="str">
        <f t="shared" si="1"/>
        <v>{"valorA":"computador","valorB":9}</v>
      </c>
      <c r="E135" s="8" t="str">
        <f t="shared" si="2"/>
        <v>computador</v>
      </c>
      <c r="F135" s="8"/>
      <c r="G135" s="8" t="str">
        <f t="shared" si="3"/>
        <v>9</v>
      </c>
      <c r="H135" s="9">
        <f t="shared" si="4"/>
        <v>9</v>
      </c>
      <c r="I135" s="6" t="str">
        <f>IFERROR(__xludf.DUMMYFUNCTION("MAX(FILTER($H:$H,$E:$E=F135))"),"#N/A")</f>
        <v>#N/A</v>
      </c>
    </row>
    <row r="136">
      <c r="C136" s="4" t="s">
        <v>2244</v>
      </c>
      <c r="D136" s="4" t="str">
        <f t="shared" si="1"/>
        <v>{"valorA":"relógio","valorB":7}</v>
      </c>
      <c r="E136" s="8" t="str">
        <f t="shared" si="2"/>
        <v>relógio</v>
      </c>
      <c r="F136" s="8"/>
      <c r="G136" s="8" t="str">
        <f t="shared" si="3"/>
        <v>7</v>
      </c>
      <c r="H136" s="9">
        <f t="shared" si="4"/>
        <v>7</v>
      </c>
      <c r="I136" s="6" t="str">
        <f>IFERROR(__xludf.DUMMYFUNCTION("MAX(FILTER($H:$H,$E:$E=F136))"),"#N/A")</f>
        <v>#N/A</v>
      </c>
    </row>
    <row r="137">
      <c r="C137" s="4" t="s">
        <v>2313</v>
      </c>
      <c r="D137" s="4" t="str">
        <f t="shared" si="1"/>
        <v>{"valorA":"filtro de linha","valorB":9}</v>
      </c>
      <c r="E137" s="8" t="str">
        <f t="shared" si="2"/>
        <v>filtro de linha</v>
      </c>
      <c r="F137" s="8"/>
      <c r="G137" s="8" t="str">
        <f t="shared" si="3"/>
        <v>9</v>
      </c>
      <c r="H137" s="9">
        <f t="shared" si="4"/>
        <v>9</v>
      </c>
      <c r="I137" s="6" t="str">
        <f>IFERROR(__xludf.DUMMYFUNCTION("MAX(FILTER($H:$H,$E:$E=F137))"),"#N/A")</f>
        <v>#N/A</v>
      </c>
    </row>
    <row r="138">
      <c r="C138" s="4" t="s">
        <v>1664</v>
      </c>
      <c r="D138" s="4" t="str">
        <f t="shared" si="1"/>
        <v>{"valorA":"freezer","valorB":6}</v>
      </c>
      <c r="E138" s="8" t="str">
        <f t="shared" si="2"/>
        <v>freezer</v>
      </c>
      <c r="F138" s="8"/>
      <c r="G138" s="8" t="str">
        <f t="shared" si="3"/>
        <v>6</v>
      </c>
      <c r="H138" s="9">
        <f t="shared" si="4"/>
        <v>6</v>
      </c>
      <c r="I138" s="6" t="str">
        <f>IFERROR(__xludf.DUMMYFUNCTION("MAX(FILTER($H:$H,$E:$E=F138))"),"#N/A")</f>
        <v>#N/A</v>
      </c>
    </row>
    <row r="139">
      <c r="C139" s="4" t="s">
        <v>2229</v>
      </c>
      <c r="D139" s="4" t="str">
        <f t="shared" si="1"/>
        <v>{"valorA":"liquidificador","valorB":6}</v>
      </c>
      <c r="E139" s="8" t="str">
        <f t="shared" si="2"/>
        <v>liquidificador</v>
      </c>
      <c r="F139" s="8"/>
      <c r="G139" s="8" t="str">
        <f t="shared" si="3"/>
        <v>6</v>
      </c>
      <c r="H139" s="9">
        <f t="shared" si="4"/>
        <v>6</v>
      </c>
      <c r="I139" s="6" t="str">
        <f>IFERROR(__xludf.DUMMYFUNCTION("MAX(FILTER($H:$H,$E:$E=F139))"),"#N/A")</f>
        <v>#N/A</v>
      </c>
    </row>
    <row r="140">
      <c r="C140" s="4" t="s">
        <v>2302</v>
      </c>
      <c r="D140" s="4" t="str">
        <f t="shared" si="1"/>
        <v>{"valorA":"computador","valorB":10}</v>
      </c>
      <c r="E140" s="8" t="str">
        <f t="shared" si="2"/>
        <v>computador</v>
      </c>
      <c r="F140" s="8"/>
      <c r="G140" s="8" t="str">
        <f t="shared" si="3"/>
        <v>10</v>
      </c>
      <c r="H140" s="9">
        <f t="shared" si="4"/>
        <v>10</v>
      </c>
      <c r="I140" s="6" t="str">
        <f>IFERROR(__xludf.DUMMYFUNCTION("MAX(FILTER($H:$H,$E:$E=F140))"),"#N/A")</f>
        <v>#N/A</v>
      </c>
    </row>
    <row r="141">
      <c r="C141" s="4" t="s">
        <v>2256</v>
      </c>
      <c r="D141" s="4" t="str">
        <f t="shared" si="1"/>
        <v>{"valorA":"carregador de computador","valorB":4}</v>
      </c>
      <c r="E141" s="8" t="str">
        <f t="shared" si="2"/>
        <v>carregador de computador</v>
      </c>
      <c r="F141" s="8"/>
      <c r="G141" s="8" t="str">
        <f t="shared" si="3"/>
        <v>4</v>
      </c>
      <c r="H141" s="9">
        <f t="shared" si="4"/>
        <v>4</v>
      </c>
      <c r="I141" s="6" t="str">
        <f>IFERROR(__xludf.DUMMYFUNCTION("MAX(FILTER($H:$H,$E:$E=F141))"),"#N/A")</f>
        <v>#N/A</v>
      </c>
    </row>
    <row r="142">
      <c r="C142" s="4" t="s">
        <v>2355</v>
      </c>
      <c r="D142" s="4" t="str">
        <f t="shared" si="1"/>
        <v>{"valorA":"ventilador","valorB":11}</v>
      </c>
      <c r="E142" s="8" t="str">
        <f t="shared" si="2"/>
        <v>ventilador</v>
      </c>
      <c r="F142" s="8"/>
      <c r="G142" s="8" t="str">
        <f t="shared" si="3"/>
        <v>11</v>
      </c>
      <c r="H142" s="9">
        <f t="shared" si="4"/>
        <v>11</v>
      </c>
      <c r="I142" s="6" t="str">
        <f>IFERROR(__xludf.DUMMYFUNCTION("MAX(FILTER($H:$H,$E:$E=F142))"),"#N/A")</f>
        <v>#N/A</v>
      </c>
    </row>
    <row r="143">
      <c r="C143" s="4" t="s">
        <v>2254</v>
      </c>
      <c r="D143" s="4" t="str">
        <f t="shared" si="1"/>
        <v>{"valorA":"fogão","valorB":5}</v>
      </c>
      <c r="E143" s="8" t="str">
        <f t="shared" si="2"/>
        <v>fogão</v>
      </c>
      <c r="F143" s="8"/>
      <c r="G143" s="8" t="str">
        <f t="shared" si="3"/>
        <v>5</v>
      </c>
      <c r="H143" s="9">
        <f t="shared" si="4"/>
        <v>5</v>
      </c>
      <c r="I143" s="6" t="str">
        <f>IFERROR(__xludf.DUMMYFUNCTION("MAX(FILTER($H:$H,$E:$E=F143))"),"#N/A")</f>
        <v>#N/A</v>
      </c>
    </row>
    <row r="144">
      <c r="C144" s="4" t="s">
        <v>1713</v>
      </c>
      <c r="D144" s="4" t="str">
        <f t="shared" si="1"/>
        <v>{"valorA":"microondas","valorB":10}</v>
      </c>
      <c r="E144" s="8" t="str">
        <f t="shared" si="2"/>
        <v>microondas</v>
      </c>
      <c r="F144" s="8"/>
      <c r="G144" s="8" t="str">
        <f t="shared" si="3"/>
        <v>10</v>
      </c>
      <c r="H144" s="9">
        <f t="shared" si="4"/>
        <v>10</v>
      </c>
      <c r="I144" s="6" t="str">
        <f>IFERROR(__xludf.DUMMYFUNCTION("MAX(FILTER($H:$H,$E:$E=F144))"),"#N/A")</f>
        <v>#N/A</v>
      </c>
    </row>
    <row r="145">
      <c r="C145" s="4" t="s">
        <v>2261</v>
      </c>
      <c r="D145" s="4" t="str">
        <f t="shared" si="1"/>
        <v>{"valorA":"fogão","valorB":6}</v>
      </c>
      <c r="E145" s="8" t="str">
        <f t="shared" si="2"/>
        <v>fogão</v>
      </c>
      <c r="F145" s="8"/>
      <c r="G145" s="8" t="str">
        <f t="shared" si="3"/>
        <v>6</v>
      </c>
      <c r="H145" s="9">
        <f t="shared" si="4"/>
        <v>6</v>
      </c>
      <c r="I145" s="6" t="str">
        <f>IFERROR(__xludf.DUMMYFUNCTION("MAX(FILTER($H:$H,$E:$E=F145))"),"#N/A")</f>
        <v>#N/A</v>
      </c>
    </row>
    <row r="146">
      <c r="C146" s="4" t="s">
        <v>2231</v>
      </c>
      <c r="D146" s="4" t="str">
        <f t="shared" si="1"/>
        <v>{"valorA":"liquidificador","valorB":7}</v>
      </c>
      <c r="E146" s="8" t="str">
        <f t="shared" si="2"/>
        <v>liquidificador</v>
      </c>
      <c r="F146" s="8"/>
      <c r="G146" s="8" t="str">
        <f t="shared" si="3"/>
        <v>7</v>
      </c>
      <c r="H146" s="9">
        <f t="shared" si="4"/>
        <v>7</v>
      </c>
      <c r="I146" s="6" t="str">
        <f>IFERROR(__xludf.DUMMYFUNCTION("MAX(FILTER($H:$H,$E:$E=F146))"),"#N/A")</f>
        <v>#N/A</v>
      </c>
    </row>
    <row r="147">
      <c r="C147" s="4" t="s">
        <v>2305</v>
      </c>
      <c r="D147" s="4" t="str">
        <f t="shared" si="1"/>
        <v>{"valorA":"aspirador","valorB":12}</v>
      </c>
      <c r="E147" s="8" t="str">
        <f t="shared" si="2"/>
        <v>aspirador</v>
      </c>
      <c r="F147" s="8"/>
      <c r="G147" s="8" t="str">
        <f t="shared" si="3"/>
        <v>12</v>
      </c>
      <c r="H147" s="9">
        <f t="shared" si="4"/>
        <v>12</v>
      </c>
      <c r="I147" s="6" t="str">
        <f>IFERROR(__xludf.DUMMYFUNCTION("MAX(FILTER($H:$H,$E:$E=F147))"),"#N/A")</f>
        <v>#N/A</v>
      </c>
    </row>
    <row r="148">
      <c r="C148" s="4" t="s">
        <v>2276</v>
      </c>
      <c r="D148" s="4" t="str">
        <f t="shared" si="1"/>
        <v>{"valorA":"carregador de celular","valorB":6}</v>
      </c>
      <c r="E148" s="8" t="str">
        <f t="shared" si="2"/>
        <v>carregador de celular</v>
      </c>
      <c r="F148" s="8"/>
      <c r="G148" s="8" t="str">
        <f t="shared" si="3"/>
        <v>6</v>
      </c>
      <c r="H148" s="9">
        <f t="shared" si="4"/>
        <v>6</v>
      </c>
      <c r="I148" s="6" t="str">
        <f>IFERROR(__xludf.DUMMYFUNCTION("MAX(FILTER($H:$H,$E:$E=F148))"),"#N/A")</f>
        <v>#N/A</v>
      </c>
    </row>
    <row r="149">
      <c r="C149" s="4" t="s">
        <v>2338</v>
      </c>
      <c r="D149" s="4" t="str">
        <f t="shared" si="1"/>
        <v>{"valorA":"filtro de linha","valorB":10}</v>
      </c>
      <c r="E149" s="8" t="str">
        <f t="shared" si="2"/>
        <v>filtro de linha</v>
      </c>
      <c r="F149" s="8"/>
      <c r="G149" s="8" t="str">
        <f t="shared" si="3"/>
        <v>10</v>
      </c>
      <c r="H149" s="9">
        <f t="shared" si="4"/>
        <v>10</v>
      </c>
      <c r="I149" s="6" t="str">
        <f>IFERROR(__xludf.DUMMYFUNCTION("MAX(FILTER($H:$H,$E:$E=F149))"),"#N/A")</f>
        <v>#N/A</v>
      </c>
    </row>
    <row r="150">
      <c r="C150" s="4" t="s">
        <v>2346</v>
      </c>
      <c r="D150" s="4" t="str">
        <f t="shared" si="1"/>
        <v>{"valorA":"celular","valorB":8}</v>
      </c>
      <c r="E150" s="8" t="str">
        <f t="shared" si="2"/>
        <v>celular</v>
      </c>
      <c r="F150" s="8"/>
      <c r="G150" s="8" t="str">
        <f t="shared" si="3"/>
        <v>8</v>
      </c>
      <c r="H150" s="9">
        <f t="shared" si="4"/>
        <v>8</v>
      </c>
      <c r="I150" s="6" t="str">
        <f>IFERROR(__xludf.DUMMYFUNCTION("MAX(FILTER($H:$H,$E:$E=F150))"),"#N/A")</f>
        <v>#N/A</v>
      </c>
    </row>
    <row r="151">
      <c r="C151" s="4" t="s">
        <v>2232</v>
      </c>
      <c r="D151" s="4" t="str">
        <f t="shared" si="1"/>
        <v>{"valorA":"chuveiro elétrico","valorB":8}</v>
      </c>
      <c r="E151" s="8" t="str">
        <f t="shared" si="2"/>
        <v>chuveiro elétrico</v>
      </c>
      <c r="F151" s="8"/>
      <c r="G151" s="8" t="str">
        <f t="shared" si="3"/>
        <v>8</v>
      </c>
      <c r="H151" s="9">
        <f t="shared" si="4"/>
        <v>8</v>
      </c>
      <c r="I151" s="6" t="str">
        <f>IFERROR(__xludf.DUMMYFUNCTION("MAX(FILTER($H:$H,$E:$E=F151))"),"#N/A")</f>
        <v>#N/A</v>
      </c>
    </row>
    <row r="152">
      <c r="C152" s="4" t="s">
        <v>2347</v>
      </c>
      <c r="D152" s="4" t="str">
        <f t="shared" si="1"/>
        <v>{"valorA":"celular","valorB":9}</v>
      </c>
      <c r="E152" s="8" t="str">
        <f t="shared" si="2"/>
        <v>celular</v>
      </c>
      <c r="F152" s="8"/>
      <c r="G152" s="8" t="str">
        <f t="shared" si="3"/>
        <v>9</v>
      </c>
      <c r="H152" s="9">
        <f t="shared" si="4"/>
        <v>9</v>
      </c>
      <c r="I152" s="6" t="str">
        <f>IFERROR(__xludf.DUMMYFUNCTION("MAX(FILTER($H:$H,$E:$E=F152))"),"#N/A")</f>
        <v>#N/A</v>
      </c>
    </row>
    <row r="153">
      <c r="C153" s="4" t="s">
        <v>1714</v>
      </c>
      <c r="D153" s="4" t="str">
        <f t="shared" si="1"/>
        <v>{"valorA":"microondas","valorB":11}</v>
      </c>
      <c r="E153" s="8" t="str">
        <f t="shared" si="2"/>
        <v>microondas</v>
      </c>
      <c r="F153" s="8"/>
      <c r="G153" s="8" t="str">
        <f t="shared" si="3"/>
        <v>11</v>
      </c>
      <c r="H153" s="9">
        <f t="shared" si="4"/>
        <v>11</v>
      </c>
      <c r="I153" s="6" t="str">
        <f>IFERROR(__xludf.DUMMYFUNCTION("MAX(FILTER($H:$H,$E:$E=F153))"),"#N/A")</f>
        <v>#N/A</v>
      </c>
    </row>
    <row r="154">
      <c r="C154" s="4" t="s">
        <v>2255</v>
      </c>
      <c r="D154" s="4" t="str">
        <f t="shared" si="1"/>
        <v>{"valorA":"chuveiro elétrico","valorB":9}</v>
      </c>
      <c r="E154" s="8" t="str">
        <f t="shared" si="2"/>
        <v>chuveiro elétrico</v>
      </c>
      <c r="F154" s="8"/>
      <c r="G154" s="8" t="str">
        <f t="shared" si="3"/>
        <v>9</v>
      </c>
      <c r="H154" s="9">
        <f t="shared" si="4"/>
        <v>9</v>
      </c>
      <c r="I154" s="6" t="str">
        <f>IFERROR(__xludf.DUMMYFUNCTION("MAX(FILTER($H:$H,$E:$E=F154))"),"#N/A")</f>
        <v>#N/A</v>
      </c>
    </row>
    <row r="155">
      <c r="C155" s="4" t="s">
        <v>2352</v>
      </c>
      <c r="D155" s="4" t="str">
        <f t="shared" si="1"/>
        <v>{"valorA":"lustre","valorB":7}</v>
      </c>
      <c r="E155" s="8" t="str">
        <f t="shared" si="2"/>
        <v>lustre</v>
      </c>
      <c r="F155" s="8"/>
      <c r="G155" s="8" t="str">
        <f t="shared" si="3"/>
        <v>7</v>
      </c>
      <c r="H155" s="9">
        <f t="shared" si="4"/>
        <v>7</v>
      </c>
      <c r="I155" s="6" t="str">
        <f>IFERROR(__xludf.DUMMYFUNCTION("MAX(FILTER($H:$H,$E:$E=F155))"),"#N/A")</f>
        <v>#N/A</v>
      </c>
    </row>
    <row r="156">
      <c r="C156" s="4" t="s">
        <v>2336</v>
      </c>
      <c r="D156" s="4" t="str">
        <f t="shared" si="1"/>
        <v>{"valorA":"teclado de computador","valorB":12}</v>
      </c>
      <c r="E156" s="8" t="str">
        <f t="shared" si="2"/>
        <v>teclado de computador</v>
      </c>
      <c r="F156" s="8"/>
      <c r="G156" s="8" t="str">
        <f t="shared" si="3"/>
        <v>12</v>
      </c>
      <c r="H156" s="9">
        <f t="shared" si="4"/>
        <v>12</v>
      </c>
      <c r="I156" s="6" t="str">
        <f>IFERROR(__xludf.DUMMYFUNCTION("MAX(FILTER($H:$H,$E:$E=F156))"),"#N/A")</f>
        <v>#N/A</v>
      </c>
    </row>
    <row r="157">
      <c r="C157" s="4" t="s">
        <v>2260</v>
      </c>
      <c r="D157" s="4" t="str">
        <f t="shared" si="1"/>
        <v>{"valorA":"carregador de computador","valorB":5}</v>
      </c>
      <c r="E157" s="8" t="str">
        <f t="shared" si="2"/>
        <v>carregador de computador</v>
      </c>
      <c r="F157" s="8"/>
      <c r="G157" s="8" t="str">
        <f t="shared" si="3"/>
        <v>5</v>
      </c>
      <c r="H157" s="9">
        <f t="shared" si="4"/>
        <v>5</v>
      </c>
      <c r="I157" s="6" t="str">
        <f>IFERROR(__xludf.DUMMYFUNCTION("MAX(FILTER($H:$H,$E:$E=F157))"),"#N/A")</f>
        <v>#N/A</v>
      </c>
    </row>
    <row r="158">
      <c r="C158" s="4" t="s">
        <v>2291</v>
      </c>
      <c r="D158" s="4" t="str">
        <f t="shared" si="1"/>
        <v>{"valorA":"fogão","valorB":7}</v>
      </c>
      <c r="E158" s="8" t="str">
        <f t="shared" si="2"/>
        <v>fogão</v>
      </c>
      <c r="F158" s="8"/>
      <c r="G158" s="8" t="str">
        <f t="shared" si="3"/>
        <v>7</v>
      </c>
      <c r="H158" s="9">
        <f t="shared" si="4"/>
        <v>7</v>
      </c>
      <c r="I158" s="6" t="str">
        <f>IFERROR(__xludf.DUMMYFUNCTION("MAX(FILTER($H:$H,$E:$E=F158))"),"#N/A")</f>
        <v>#N/A</v>
      </c>
    </row>
    <row r="159">
      <c r="C159" s="4" t="s">
        <v>2367</v>
      </c>
      <c r="D159" s="4" t="str">
        <f t="shared" si="1"/>
        <v>{"valorA":"ventilador","valorB":12}</v>
      </c>
      <c r="E159" s="8" t="str">
        <f t="shared" si="2"/>
        <v>ventilador</v>
      </c>
      <c r="F159" s="8"/>
      <c r="G159" s="8" t="str">
        <f t="shared" si="3"/>
        <v>12</v>
      </c>
      <c r="H159" s="9">
        <f t="shared" si="4"/>
        <v>12</v>
      </c>
      <c r="I159" s="6" t="str">
        <f>IFERROR(__xludf.DUMMYFUNCTION("MAX(FILTER($H:$H,$E:$E=F159))"),"#N/A")</f>
        <v>#N/A</v>
      </c>
    </row>
    <row r="160">
      <c r="C160" s="4" t="s">
        <v>1706</v>
      </c>
      <c r="D160" s="4" t="str">
        <f t="shared" si="1"/>
        <v>{"valorA":"ar condicionado","valorB":8}</v>
      </c>
      <c r="E160" s="8" t="str">
        <f t="shared" si="2"/>
        <v>ar condicionado</v>
      </c>
      <c r="F160" s="8"/>
      <c r="G160" s="8" t="str">
        <f t="shared" si="3"/>
        <v>8</v>
      </c>
      <c r="H160" s="9">
        <f t="shared" si="4"/>
        <v>8</v>
      </c>
      <c r="I160" s="6" t="str">
        <f>IFERROR(__xludf.DUMMYFUNCTION("MAX(FILTER($H:$H,$E:$E=F160))"),"#N/A")</f>
        <v>#N/A</v>
      </c>
    </row>
    <row r="161">
      <c r="C161" s="4" t="s">
        <v>1707</v>
      </c>
      <c r="D161" s="4" t="str">
        <f t="shared" si="1"/>
        <v>{"valorA":"ar condicionado","valorB":9}</v>
      </c>
      <c r="E161" s="8" t="str">
        <f t="shared" si="2"/>
        <v>ar condicionado</v>
      </c>
      <c r="F161" s="8"/>
      <c r="G161" s="8" t="str">
        <f t="shared" si="3"/>
        <v>9</v>
      </c>
      <c r="H161" s="9">
        <f t="shared" si="4"/>
        <v>9</v>
      </c>
      <c r="I161" s="6" t="str">
        <f>IFERROR(__xludf.DUMMYFUNCTION("MAX(FILTER($H:$H,$E:$E=F161))"),"#N/A")</f>
        <v>#N/A</v>
      </c>
    </row>
    <row r="162">
      <c r="C162" s="4" t="s">
        <v>2258</v>
      </c>
      <c r="D162" s="4" t="str">
        <f t="shared" si="1"/>
        <v>{"valorA":"chuveiro elétrico","valorB":10}</v>
      </c>
      <c r="E162" s="8" t="str">
        <f t="shared" si="2"/>
        <v>chuveiro elétrico</v>
      </c>
      <c r="F162" s="8"/>
      <c r="G162" s="8" t="str">
        <f t="shared" si="3"/>
        <v>10</v>
      </c>
      <c r="H162" s="9">
        <f t="shared" si="4"/>
        <v>10</v>
      </c>
      <c r="I162" s="6" t="str">
        <f>IFERROR(__xludf.DUMMYFUNCTION("MAX(FILTER($H:$H,$E:$E=F162))"),"#N/A")</f>
        <v>#N/A</v>
      </c>
    </row>
    <row r="163">
      <c r="C163" s="4" t="s">
        <v>2335</v>
      </c>
      <c r="D163" s="4" t="str">
        <f t="shared" si="1"/>
        <v>{"valorA":"computador","valorB":11}</v>
      </c>
      <c r="E163" s="8" t="str">
        <f t="shared" si="2"/>
        <v>computador</v>
      </c>
      <c r="F163" s="8"/>
      <c r="G163" s="8" t="str">
        <f t="shared" si="3"/>
        <v>11</v>
      </c>
      <c r="H163" s="9">
        <f t="shared" si="4"/>
        <v>11</v>
      </c>
      <c r="I163" s="6" t="str">
        <f>IFERROR(__xludf.DUMMYFUNCTION("MAX(FILTER($H:$H,$E:$E=F163))"),"#N/A")</f>
        <v>#N/A</v>
      </c>
    </row>
    <row r="164">
      <c r="C164" s="4" t="s">
        <v>2311</v>
      </c>
      <c r="D164" s="4" t="str">
        <f t="shared" si="1"/>
        <v>{"valorA":"aspirador","valorB":13}</v>
      </c>
      <c r="E164" s="8" t="str">
        <f t="shared" si="2"/>
        <v>aspirador</v>
      </c>
      <c r="F164" s="8"/>
      <c r="G164" s="8" t="str">
        <f t="shared" si="3"/>
        <v>13</v>
      </c>
      <c r="H164" s="9">
        <f t="shared" si="4"/>
        <v>13</v>
      </c>
      <c r="I164" s="6" t="str">
        <f>IFERROR(__xludf.DUMMYFUNCTION("MAX(FILTER($H:$H,$E:$E=F164))"),"#N/A")</f>
        <v>#N/A</v>
      </c>
    </row>
    <row r="165">
      <c r="C165" s="4" t="s">
        <v>2370</v>
      </c>
      <c r="D165" s="4" t="str">
        <f t="shared" si="1"/>
        <v>{"valorA":"celular","valorB":10}</v>
      </c>
      <c r="E165" s="8" t="str">
        <f t="shared" si="2"/>
        <v>celular</v>
      </c>
      <c r="F165" s="8"/>
      <c r="G165" s="8" t="str">
        <f t="shared" si="3"/>
        <v>10</v>
      </c>
      <c r="H165" s="9">
        <f t="shared" si="4"/>
        <v>10</v>
      </c>
      <c r="I165" s="6" t="str">
        <f>IFERROR(__xludf.DUMMYFUNCTION("MAX(FILTER($H:$H,$E:$E=F165))"),"#N/A")</f>
        <v>#N/A</v>
      </c>
    </row>
    <row r="166">
      <c r="C166" s="4" t="s">
        <v>2307</v>
      </c>
      <c r="D166" s="4" t="str">
        <f t="shared" si="1"/>
        <v>{"valorA":"fogão","valorB":8}</v>
      </c>
      <c r="E166" s="8" t="str">
        <f t="shared" si="2"/>
        <v>fogão</v>
      </c>
      <c r="F166" s="8"/>
      <c r="G166" s="8" t="str">
        <f t="shared" si="3"/>
        <v>8</v>
      </c>
      <c r="H166" s="9">
        <f t="shared" si="4"/>
        <v>8</v>
      </c>
      <c r="I166" s="6" t="str">
        <f>IFERROR(__xludf.DUMMYFUNCTION("MAX(FILTER($H:$H,$E:$E=F166))"),"#N/A")</f>
        <v>#N/A</v>
      </c>
    </row>
    <row r="167">
      <c r="C167" s="4" t="s">
        <v>2252</v>
      </c>
      <c r="D167" s="4" t="str">
        <f t="shared" si="1"/>
        <v>{"valorA":"fone de ouvido","valorB":6}</v>
      </c>
      <c r="E167" s="8" t="str">
        <f t="shared" si="2"/>
        <v>fone de ouvido</v>
      </c>
      <c r="F167" s="8"/>
      <c r="G167" s="8" t="str">
        <f t="shared" si="3"/>
        <v>6</v>
      </c>
      <c r="H167" s="9">
        <f t="shared" si="4"/>
        <v>6</v>
      </c>
      <c r="I167" s="6" t="str">
        <f>IFERROR(__xludf.DUMMYFUNCTION("MAX(FILTER($H:$H,$E:$E=F167))"),"#N/A")</f>
        <v>#N/A</v>
      </c>
    </row>
    <row r="168">
      <c r="C168" s="4" t="s">
        <v>2371</v>
      </c>
      <c r="D168" s="4" t="str">
        <f t="shared" si="1"/>
        <v>{"valorA":"ventilador","valorB":13}</v>
      </c>
      <c r="E168" s="8" t="str">
        <f t="shared" si="2"/>
        <v>ventilador</v>
      </c>
      <c r="F168" s="8"/>
      <c r="G168" s="8" t="str">
        <f t="shared" si="3"/>
        <v>13</v>
      </c>
      <c r="H168" s="9">
        <f t="shared" si="4"/>
        <v>13</v>
      </c>
      <c r="I168" s="6" t="str">
        <f>IFERROR(__xludf.DUMMYFUNCTION("MAX(FILTER($H:$H,$E:$E=F168))"),"#N/A")</f>
        <v>#N/A</v>
      </c>
    </row>
    <row r="169">
      <c r="C169" s="4" t="s">
        <v>2332</v>
      </c>
      <c r="D169" s="4" t="str">
        <f t="shared" si="1"/>
        <v>{"valorA":"roteador","valorB":9}</v>
      </c>
      <c r="E169" s="8" t="str">
        <f t="shared" si="2"/>
        <v>roteador</v>
      </c>
      <c r="F169" s="8"/>
      <c r="G169" s="8" t="str">
        <f t="shared" si="3"/>
        <v>9</v>
      </c>
      <c r="H169" s="9">
        <f t="shared" si="4"/>
        <v>9</v>
      </c>
      <c r="I169" s="6" t="str">
        <f>IFERROR(__xludf.DUMMYFUNCTION("MAX(FILTER($H:$H,$E:$E=F169))"),"#N/A")</f>
        <v>#N/A</v>
      </c>
    </row>
    <row r="170">
      <c r="C170" s="4" t="s">
        <v>2348</v>
      </c>
      <c r="D170" s="4" t="str">
        <f t="shared" si="1"/>
        <v>{"valorA":"filtro de linha","valorB":11}</v>
      </c>
      <c r="E170" s="8" t="str">
        <f t="shared" si="2"/>
        <v>filtro de linha</v>
      </c>
      <c r="F170" s="8"/>
      <c r="G170" s="8" t="str">
        <f t="shared" si="3"/>
        <v>11</v>
      </c>
      <c r="H170" s="9">
        <f t="shared" si="4"/>
        <v>11</v>
      </c>
      <c r="I170" s="6" t="str">
        <f>IFERROR(__xludf.DUMMYFUNCTION("MAX(FILTER($H:$H,$E:$E=F170))"),"#N/A")</f>
        <v>#N/A</v>
      </c>
    </row>
    <row r="171">
      <c r="C171" s="4" t="s">
        <v>1716</v>
      </c>
      <c r="D171" s="4" t="str">
        <f t="shared" si="1"/>
        <v>{"valorA":"microondas","valorB":12}</v>
      </c>
      <c r="E171" s="8" t="str">
        <f t="shared" si="2"/>
        <v>microondas</v>
      </c>
      <c r="F171" s="8"/>
      <c r="G171" s="8" t="str">
        <f t="shared" si="3"/>
        <v>12</v>
      </c>
      <c r="H171" s="9">
        <f t="shared" si="4"/>
        <v>12</v>
      </c>
      <c r="I171" s="6" t="str">
        <f>IFERROR(__xludf.DUMMYFUNCTION("MAX(FILTER($H:$H,$E:$E=F171))"),"#N/A")</f>
        <v>#N/A</v>
      </c>
    </row>
    <row r="172">
      <c r="C172" s="4" t="s">
        <v>2382</v>
      </c>
      <c r="D172" s="4" t="str">
        <f t="shared" si="1"/>
        <v>{"valorA":"celular","valorB":11}</v>
      </c>
      <c r="E172" s="8" t="str">
        <f t="shared" si="2"/>
        <v>celular</v>
      </c>
      <c r="F172" s="8"/>
      <c r="G172" s="8" t="str">
        <f t="shared" si="3"/>
        <v>11</v>
      </c>
      <c r="H172" s="9">
        <f t="shared" si="4"/>
        <v>11</v>
      </c>
      <c r="I172" s="6" t="str">
        <f>IFERROR(__xludf.DUMMYFUNCTION("MAX(FILTER($H:$H,$E:$E=F172))"),"#N/A")</f>
        <v>#N/A</v>
      </c>
    </row>
    <row r="173">
      <c r="C173" s="4" t="s">
        <v>2410</v>
      </c>
      <c r="D173" s="4" t="str">
        <f t="shared" si="1"/>
        <v>{"valorA":"ventilador","valorB":14}</v>
      </c>
      <c r="E173" s="8" t="str">
        <f t="shared" si="2"/>
        <v>ventilador</v>
      </c>
      <c r="F173" s="8"/>
      <c r="G173" s="8" t="str">
        <f t="shared" si="3"/>
        <v>14</v>
      </c>
      <c r="H173" s="9">
        <f t="shared" si="4"/>
        <v>14</v>
      </c>
      <c r="I173" s="6" t="str">
        <f>IFERROR(__xludf.DUMMYFUNCTION("MAX(FILTER($H:$H,$E:$E=F173))"),"#N/A")</f>
        <v>#N/A</v>
      </c>
    </row>
    <row r="174">
      <c r="C174" s="4" t="s">
        <v>2344</v>
      </c>
      <c r="D174" s="4" t="str">
        <f t="shared" si="1"/>
        <v>{"valorA":"aspirador","valorB":14}</v>
      </c>
      <c r="E174" s="8" t="str">
        <f t="shared" si="2"/>
        <v>aspirador</v>
      </c>
      <c r="F174" s="8"/>
      <c r="G174" s="8" t="str">
        <f t="shared" si="3"/>
        <v>14</v>
      </c>
      <c r="H174" s="9">
        <f t="shared" si="4"/>
        <v>14</v>
      </c>
      <c r="I174" s="6" t="str">
        <f>IFERROR(__xludf.DUMMYFUNCTION("MAX(FILTER($H:$H,$E:$E=F174))"),"#N/A")</f>
        <v>#N/A</v>
      </c>
    </row>
    <row r="175">
      <c r="C175" s="4" t="s">
        <v>2381</v>
      </c>
      <c r="D175" s="4" t="str">
        <f t="shared" si="1"/>
        <v>{"valorA":"lustre","valorB":8}</v>
      </c>
      <c r="E175" s="8" t="str">
        <f t="shared" si="2"/>
        <v>lustre</v>
      </c>
      <c r="F175" s="8"/>
      <c r="G175" s="8" t="str">
        <f t="shared" si="3"/>
        <v>8</v>
      </c>
      <c r="H175" s="9">
        <f t="shared" si="4"/>
        <v>8</v>
      </c>
      <c r="I175" s="6" t="str">
        <f>IFERROR(__xludf.DUMMYFUNCTION("MAX(FILTER($H:$H,$E:$E=F175))"),"#N/A")</f>
        <v>#N/A</v>
      </c>
    </row>
    <row r="176">
      <c r="C176" s="4" t="s">
        <v>2262</v>
      </c>
      <c r="D176" s="4" t="str">
        <f t="shared" si="1"/>
        <v>{"valorA":"fone de ouvido","valorB":7}</v>
      </c>
      <c r="E176" s="8" t="str">
        <f t="shared" si="2"/>
        <v>fone de ouvido</v>
      </c>
      <c r="F176" s="8"/>
      <c r="G176" s="8" t="str">
        <f t="shared" si="3"/>
        <v>7</v>
      </c>
      <c r="H176" s="9">
        <f t="shared" si="4"/>
        <v>7</v>
      </c>
      <c r="I176" s="6" t="str">
        <f>IFERROR(__xludf.DUMMYFUNCTION("MAX(FILTER($H:$H,$E:$E=F176))"),"#N/A")</f>
        <v>#N/A</v>
      </c>
    </row>
    <row r="177">
      <c r="C177" s="4" t="s">
        <v>2391</v>
      </c>
      <c r="D177" s="4" t="str">
        <f t="shared" si="1"/>
        <v>{"valorA":"celular","valorB":12}</v>
      </c>
      <c r="E177" s="8" t="str">
        <f t="shared" si="2"/>
        <v>celular</v>
      </c>
      <c r="F177" s="8"/>
      <c r="G177" s="8" t="str">
        <f t="shared" si="3"/>
        <v>12</v>
      </c>
      <c r="H177" s="9">
        <f t="shared" si="4"/>
        <v>12</v>
      </c>
      <c r="I177" s="6" t="str">
        <f>IFERROR(__xludf.DUMMYFUNCTION("MAX(FILTER($H:$H,$E:$E=F177))"),"#N/A")</f>
        <v>#N/A</v>
      </c>
    </row>
    <row r="178">
      <c r="C178" s="4" t="s">
        <v>1665</v>
      </c>
      <c r="D178" s="4" t="str">
        <f t="shared" si="1"/>
        <v>{"valorA":"freezer","valorB":7}</v>
      </c>
      <c r="E178" s="8" t="str">
        <f t="shared" si="2"/>
        <v>freezer</v>
      </c>
      <c r="F178" s="8"/>
      <c r="G178" s="8" t="str">
        <f t="shared" si="3"/>
        <v>7</v>
      </c>
      <c r="H178" s="9">
        <f t="shared" si="4"/>
        <v>7</v>
      </c>
      <c r="I178" s="6" t="str">
        <f>IFERROR(__xludf.DUMMYFUNCTION("MAX(FILTER($H:$H,$E:$E=F178))"),"#N/A")</f>
        <v>#N/A</v>
      </c>
    </row>
    <row r="179">
      <c r="C179" s="4" t="s">
        <v>1666</v>
      </c>
      <c r="D179" s="4" t="str">
        <f t="shared" si="1"/>
        <v>{"valorA":"freezer","valorB":8}</v>
      </c>
      <c r="E179" s="8" t="str">
        <f t="shared" si="2"/>
        <v>freezer</v>
      </c>
      <c r="F179" s="8"/>
      <c r="G179" s="8" t="str">
        <f t="shared" si="3"/>
        <v>8</v>
      </c>
      <c r="H179" s="9">
        <f t="shared" si="4"/>
        <v>8</v>
      </c>
      <c r="I179" s="6" t="str">
        <f>IFERROR(__xludf.DUMMYFUNCTION("MAX(FILTER($H:$H,$E:$E=F179))"),"#N/A")</f>
        <v>#N/A</v>
      </c>
    </row>
    <row r="180">
      <c r="C180" s="4" t="s">
        <v>2337</v>
      </c>
      <c r="D180" s="4" t="str">
        <f t="shared" si="1"/>
        <v>{"valorA":"teclado de computador","valorB":13}</v>
      </c>
      <c r="E180" s="8" t="str">
        <f t="shared" si="2"/>
        <v>teclado de computador</v>
      </c>
      <c r="F180" s="8"/>
      <c r="G180" s="8" t="str">
        <f t="shared" si="3"/>
        <v>13</v>
      </c>
      <c r="H180" s="9">
        <f t="shared" si="4"/>
        <v>13</v>
      </c>
      <c r="I180" s="6" t="str">
        <f>IFERROR(__xludf.DUMMYFUNCTION("MAX(FILTER($H:$H,$E:$E=F180))"),"#N/A")</f>
        <v>#N/A</v>
      </c>
    </row>
    <row r="181">
      <c r="C181" s="4" t="s">
        <v>2375</v>
      </c>
      <c r="D181" s="4" t="str">
        <f t="shared" si="1"/>
        <v>{"valorA":"aspirador","valorB":15}</v>
      </c>
      <c r="E181" s="8" t="str">
        <f t="shared" si="2"/>
        <v>aspirador</v>
      </c>
      <c r="F181" s="8"/>
      <c r="G181" s="8" t="str">
        <f t="shared" si="3"/>
        <v>15</v>
      </c>
      <c r="H181" s="9">
        <f t="shared" si="4"/>
        <v>15</v>
      </c>
      <c r="I181" s="6" t="str">
        <f>IFERROR(__xludf.DUMMYFUNCTION("MAX(FILTER($H:$H,$E:$E=F181))"),"#N/A")</f>
        <v>#N/A</v>
      </c>
    </row>
    <row r="182">
      <c r="C182" s="4" t="s">
        <v>2340</v>
      </c>
      <c r="D182" s="4" t="str">
        <f t="shared" si="1"/>
        <v>{"valorA":"teclado de computador","valorB":14}</v>
      </c>
      <c r="E182" s="8" t="str">
        <f t="shared" si="2"/>
        <v>teclado de computador</v>
      </c>
      <c r="F182" s="8"/>
      <c r="G182" s="8" t="str">
        <f t="shared" si="3"/>
        <v>14</v>
      </c>
      <c r="H182" s="9">
        <f t="shared" si="4"/>
        <v>14</v>
      </c>
      <c r="I182" s="6" t="str">
        <f>IFERROR(__xludf.DUMMYFUNCTION("MAX(FILTER($H:$H,$E:$E=F182))"),"#N/A")</f>
        <v>#N/A</v>
      </c>
    </row>
    <row r="183">
      <c r="C183" s="4" t="s">
        <v>2428</v>
      </c>
      <c r="D183" s="4" t="str">
        <f t="shared" si="1"/>
        <v>{"valorA":"aspirador","valorB":16}</v>
      </c>
      <c r="E183" s="8" t="str">
        <f t="shared" si="2"/>
        <v>aspirador</v>
      </c>
      <c r="F183" s="8"/>
      <c r="G183" s="8" t="str">
        <f t="shared" si="3"/>
        <v>16</v>
      </c>
      <c r="H183" s="9">
        <f t="shared" si="4"/>
        <v>16</v>
      </c>
      <c r="I183" s="6" t="str">
        <f>IFERROR(__xludf.DUMMYFUNCTION("MAX(FILTER($H:$H,$E:$E=F183))"),"#N/A")</f>
        <v>#N/A</v>
      </c>
    </row>
    <row r="184">
      <c r="C184" s="4" t="s">
        <v>2235</v>
      </c>
      <c r="D184" s="4" t="str">
        <f t="shared" si="1"/>
        <v>{"valorA":"mouse de computador","valorB":3}</v>
      </c>
      <c r="E184" s="8" t="str">
        <f t="shared" si="2"/>
        <v>mouse de computador</v>
      </c>
      <c r="F184" s="8"/>
      <c r="G184" s="8" t="str">
        <f t="shared" si="3"/>
        <v>3</v>
      </c>
      <c r="H184" s="9">
        <f t="shared" si="4"/>
        <v>3</v>
      </c>
      <c r="I184" s="6" t="str">
        <f>IFERROR(__xludf.DUMMYFUNCTION("MAX(FILTER($H:$H,$E:$E=F184))"),"#N/A")</f>
        <v>#N/A</v>
      </c>
    </row>
    <row r="185">
      <c r="C185" s="4" t="s">
        <v>2300</v>
      </c>
      <c r="D185" s="4" t="str">
        <f t="shared" si="1"/>
        <v>{"valorA":"carregador de celular","valorB":7}</v>
      </c>
      <c r="E185" s="8" t="str">
        <f t="shared" si="2"/>
        <v>carregador de celular</v>
      </c>
      <c r="F185" s="8"/>
      <c r="G185" s="8" t="str">
        <f t="shared" si="3"/>
        <v>7</v>
      </c>
      <c r="H185" s="9">
        <f t="shared" si="4"/>
        <v>7</v>
      </c>
      <c r="I185" s="6" t="str">
        <f>IFERROR(__xludf.DUMMYFUNCTION("MAX(FILTER($H:$H,$E:$E=F185))"),"#N/A")</f>
        <v>#N/A</v>
      </c>
    </row>
    <row r="186">
      <c r="C186" s="4" t="s">
        <v>2263</v>
      </c>
      <c r="D186" s="4" t="str">
        <f t="shared" si="1"/>
        <v>{"valorA":"fone de ouvido","valorB":8}</v>
      </c>
      <c r="E186" s="8" t="str">
        <f t="shared" si="2"/>
        <v>fone de ouvido</v>
      </c>
      <c r="F186" s="8"/>
      <c r="G186" s="8" t="str">
        <f t="shared" si="3"/>
        <v>8</v>
      </c>
      <c r="H186" s="9">
        <f t="shared" si="4"/>
        <v>8</v>
      </c>
      <c r="I186" s="6" t="str">
        <f>IFERROR(__xludf.DUMMYFUNCTION("MAX(FILTER($H:$H,$E:$E=F186))"),"#N/A")</f>
        <v>#N/A</v>
      </c>
    </row>
    <row r="187">
      <c r="C187" s="4" t="s">
        <v>2303</v>
      </c>
      <c r="D187" s="4" t="str">
        <f t="shared" si="1"/>
        <v>{"valorA":"fone de ouvido","valorB":9}</v>
      </c>
      <c r="E187" s="8" t="str">
        <f t="shared" si="2"/>
        <v>fone de ouvido</v>
      </c>
      <c r="F187" s="8"/>
      <c r="G187" s="8" t="str">
        <f t="shared" si="3"/>
        <v>9</v>
      </c>
      <c r="H187" s="9">
        <f t="shared" si="4"/>
        <v>9</v>
      </c>
      <c r="I187" s="6" t="str">
        <f>IFERROR(__xludf.DUMMYFUNCTION("MAX(FILTER($H:$H,$E:$E=F187))"),"#N/A")</f>
        <v>#N/A</v>
      </c>
    </row>
    <row r="188">
      <c r="C188" s="4" t="s">
        <v>2277</v>
      </c>
      <c r="D188" s="4" t="str">
        <f t="shared" si="1"/>
        <v>{"valorA":"mouse de computador","valorB":4}</v>
      </c>
      <c r="E188" s="8" t="str">
        <f t="shared" si="2"/>
        <v>mouse de computador</v>
      </c>
      <c r="F188" s="8"/>
      <c r="G188" s="8" t="str">
        <f t="shared" si="3"/>
        <v>4</v>
      </c>
      <c r="H188" s="9">
        <f t="shared" si="4"/>
        <v>4</v>
      </c>
      <c r="I188" s="6" t="str">
        <f>IFERROR(__xludf.DUMMYFUNCTION("MAX(FILTER($H:$H,$E:$E=F188))"),"#N/A")</f>
        <v>#N/A</v>
      </c>
    </row>
    <row r="189">
      <c r="C189" s="4" t="s">
        <v>2284</v>
      </c>
      <c r="D189" s="4" t="str">
        <f t="shared" si="1"/>
        <v>{"valorA":"purificador de água","valorB":7}</v>
      </c>
      <c r="E189" s="8" t="str">
        <f t="shared" si="2"/>
        <v>purificador de água</v>
      </c>
      <c r="F189" s="8"/>
      <c r="G189" s="8" t="str">
        <f t="shared" si="3"/>
        <v>7</v>
      </c>
      <c r="H189" s="9">
        <f t="shared" si="4"/>
        <v>7</v>
      </c>
      <c r="I189" s="6" t="str">
        <f>IFERROR(__xludf.DUMMYFUNCTION("MAX(FILTER($H:$H,$E:$E=F189))"),"#N/A")</f>
        <v>#N/A</v>
      </c>
    </row>
    <row r="190">
      <c r="C190" s="4" t="s">
        <v>2430</v>
      </c>
      <c r="D190" s="4" t="str">
        <f t="shared" si="1"/>
        <v>{"valorA":"ventilador","valorB":15}</v>
      </c>
      <c r="E190" s="8" t="str">
        <f t="shared" si="2"/>
        <v>ventilador</v>
      </c>
      <c r="F190" s="8"/>
      <c r="G190" s="8" t="str">
        <f t="shared" si="3"/>
        <v>15</v>
      </c>
      <c r="H190" s="9">
        <f t="shared" si="4"/>
        <v>15</v>
      </c>
      <c r="I190" s="6" t="str">
        <f>IFERROR(__xludf.DUMMYFUNCTION("MAX(FILTER($H:$H,$E:$E=F190))"),"#N/A")</f>
        <v>#N/A</v>
      </c>
    </row>
    <row r="191">
      <c r="C191" s="4" t="s">
        <v>2237</v>
      </c>
      <c r="D191" s="4" t="str">
        <f t="shared" si="1"/>
        <v>{"valorA":"liquidificador","valorB":8}</v>
      </c>
      <c r="E191" s="8" t="str">
        <f t="shared" si="2"/>
        <v>liquidificador</v>
      </c>
      <c r="F191" s="8"/>
      <c r="G191" s="8" t="str">
        <f t="shared" si="3"/>
        <v>8</v>
      </c>
      <c r="H191" s="9">
        <f t="shared" si="4"/>
        <v>8</v>
      </c>
      <c r="I191" s="6" t="str">
        <f>IFERROR(__xludf.DUMMYFUNCTION("MAX(FILTER($H:$H,$E:$E=F191))"),"#N/A")</f>
        <v>#N/A</v>
      </c>
    </row>
    <row r="192">
      <c r="C192" s="4" t="s">
        <v>2342</v>
      </c>
      <c r="D192" s="4" t="str">
        <f t="shared" si="1"/>
        <v>{"valorA":"carregador de celular","valorB":8}</v>
      </c>
      <c r="E192" s="8" t="str">
        <f t="shared" si="2"/>
        <v>carregador de celular</v>
      </c>
      <c r="F192" s="8"/>
      <c r="G192" s="8" t="str">
        <f t="shared" si="3"/>
        <v>8</v>
      </c>
      <c r="H192" s="9">
        <f t="shared" si="4"/>
        <v>8</v>
      </c>
      <c r="I192" s="6" t="str">
        <f>IFERROR(__xludf.DUMMYFUNCTION("MAX(FILTER($H:$H,$E:$E=F192))"),"#N/A")</f>
        <v>#N/A</v>
      </c>
    </row>
    <row r="193">
      <c r="C193" s="4" t="s">
        <v>2354</v>
      </c>
      <c r="D193" s="4" t="str">
        <f t="shared" si="1"/>
        <v>{"valorA":"filtro de linha","valorB":12}</v>
      </c>
      <c r="E193" s="8" t="str">
        <f t="shared" si="2"/>
        <v>filtro de linha</v>
      </c>
      <c r="F193" s="8"/>
      <c r="G193" s="8" t="str">
        <f t="shared" si="3"/>
        <v>12</v>
      </c>
      <c r="H193" s="9">
        <f t="shared" si="4"/>
        <v>12</v>
      </c>
      <c r="I193" s="6" t="str">
        <f>IFERROR(__xludf.DUMMYFUNCTION("MAX(FILTER($H:$H,$E:$E=F193))"),"#N/A")</f>
        <v>#N/A</v>
      </c>
    </row>
    <row r="194">
      <c r="C194" s="4" t="s">
        <v>1720</v>
      </c>
      <c r="D194" s="4" t="str">
        <f t="shared" si="1"/>
        <v>{"valorA":"microondas","valorB":13}</v>
      </c>
      <c r="E194" s="8" t="str">
        <f t="shared" si="2"/>
        <v>microondas</v>
      </c>
      <c r="F194" s="8"/>
      <c r="G194" s="8" t="str">
        <f t="shared" si="3"/>
        <v>13</v>
      </c>
      <c r="H194" s="9">
        <f t="shared" si="4"/>
        <v>13</v>
      </c>
      <c r="I194" s="6" t="str">
        <f>IFERROR(__xludf.DUMMYFUNCTION("MAX(FILTER($H:$H,$E:$E=F194))"),"#N/A")</f>
        <v>#N/A</v>
      </c>
    </row>
    <row r="195">
      <c r="C195" s="4" t="s">
        <v>1721</v>
      </c>
      <c r="D195" s="4" t="str">
        <f t="shared" si="1"/>
        <v>{"valorA":"microondas","valorB":14}</v>
      </c>
      <c r="E195" s="8" t="str">
        <f t="shared" si="2"/>
        <v>microondas</v>
      </c>
      <c r="F195" s="8"/>
      <c r="G195" s="8" t="str">
        <f t="shared" si="3"/>
        <v>14</v>
      </c>
      <c r="H195" s="9">
        <f t="shared" si="4"/>
        <v>14</v>
      </c>
      <c r="I195" s="6" t="str">
        <f>IFERROR(__xludf.DUMMYFUNCTION("MAX(FILTER($H:$H,$E:$E=F195))"),"#N/A")</f>
        <v>#N/A</v>
      </c>
    </row>
    <row r="196">
      <c r="C196" s="4" t="s">
        <v>2285</v>
      </c>
      <c r="D196" s="4" t="str">
        <f t="shared" si="1"/>
        <v>{"valorA":"carregador de computador","valorB":6}</v>
      </c>
      <c r="E196" s="8" t="str">
        <f t="shared" si="2"/>
        <v>carregador de computador</v>
      </c>
      <c r="F196" s="8"/>
      <c r="G196" s="8" t="str">
        <f t="shared" si="3"/>
        <v>6</v>
      </c>
      <c r="H196" s="9">
        <f t="shared" si="4"/>
        <v>6</v>
      </c>
      <c r="I196" s="6" t="str">
        <f>IFERROR(__xludf.DUMMYFUNCTION("MAX(FILTER($H:$H,$E:$E=F196))"),"#N/A")</f>
        <v>#N/A</v>
      </c>
    </row>
    <row r="197">
      <c r="C197" s="4" t="s">
        <v>2343</v>
      </c>
      <c r="D197" s="4" t="str">
        <f t="shared" si="1"/>
        <v>{"valorA":"computador","valorB":12}</v>
      </c>
      <c r="E197" s="8" t="str">
        <f t="shared" si="2"/>
        <v>computador</v>
      </c>
      <c r="F197" s="8"/>
      <c r="G197" s="8" t="str">
        <f t="shared" si="3"/>
        <v>12</v>
      </c>
      <c r="H197" s="9">
        <f t="shared" si="4"/>
        <v>12</v>
      </c>
      <c r="I197" s="6" t="str">
        <f>IFERROR(__xludf.DUMMYFUNCTION("MAX(FILTER($H:$H,$E:$E=F197))"),"#N/A")</f>
        <v>#N/A</v>
      </c>
    </row>
    <row r="198">
      <c r="C198" s="4" t="s">
        <v>2376</v>
      </c>
      <c r="D198" s="4" t="str">
        <f t="shared" si="1"/>
        <v>{"valorA":"filtro de linha","valorB":13}</v>
      </c>
      <c r="E198" s="8" t="str">
        <f t="shared" si="2"/>
        <v>filtro de linha</v>
      </c>
      <c r="F198" s="8"/>
      <c r="G198" s="8" t="str">
        <f t="shared" si="3"/>
        <v>13</v>
      </c>
      <c r="H198" s="9">
        <f t="shared" si="4"/>
        <v>13</v>
      </c>
      <c r="I198" s="6" t="str">
        <f>IFERROR(__xludf.DUMMYFUNCTION("MAX(FILTER($H:$H,$E:$E=F198))"),"#N/A")</f>
        <v>#N/A</v>
      </c>
    </row>
    <row r="199">
      <c r="C199" s="4" t="s">
        <v>1722</v>
      </c>
      <c r="D199" s="4" t="str">
        <f t="shared" si="1"/>
        <v>{"valorA":"microondas","valorB":15}</v>
      </c>
      <c r="E199" s="8" t="str">
        <f t="shared" si="2"/>
        <v>microondas</v>
      </c>
      <c r="F199" s="8"/>
      <c r="G199" s="8" t="str">
        <f t="shared" si="3"/>
        <v>15</v>
      </c>
      <c r="H199" s="9">
        <f t="shared" si="4"/>
        <v>15</v>
      </c>
      <c r="I199" s="6" t="str">
        <f>IFERROR(__xludf.DUMMYFUNCTION("MAX(FILTER($H:$H,$E:$E=F199))"),"#N/A")</f>
        <v>#N/A</v>
      </c>
    </row>
    <row r="200">
      <c r="C200" s="4" t="s">
        <v>2326</v>
      </c>
      <c r="D200" s="4" t="str">
        <f t="shared" si="1"/>
        <v>{"valorA":"purificador de água","valorB":8}</v>
      </c>
      <c r="E200" s="8" t="str">
        <f t="shared" si="2"/>
        <v>purificador de água</v>
      </c>
      <c r="F200" s="8"/>
      <c r="G200" s="8" t="str">
        <f t="shared" si="3"/>
        <v>8</v>
      </c>
      <c r="H200" s="9">
        <f t="shared" si="4"/>
        <v>8</v>
      </c>
      <c r="I200" s="6" t="str">
        <f>IFERROR(__xludf.DUMMYFUNCTION("MAX(FILTER($H:$H,$E:$E=F200))"),"#N/A")</f>
        <v>#N/A</v>
      </c>
    </row>
    <row r="201">
      <c r="C201" s="4" t="s">
        <v>1725</v>
      </c>
      <c r="D201" s="4" t="str">
        <f t="shared" si="1"/>
        <v>{"valorA":"microondas","valorB":16}</v>
      </c>
      <c r="E201" s="8" t="str">
        <f t="shared" si="2"/>
        <v>microondas</v>
      </c>
      <c r="F201" s="8"/>
      <c r="G201" s="8" t="str">
        <f t="shared" si="3"/>
        <v>16</v>
      </c>
      <c r="H201" s="9">
        <f t="shared" si="4"/>
        <v>16</v>
      </c>
      <c r="I201" s="6" t="str">
        <f>IFERROR(__xludf.DUMMYFUNCTION("MAX(FILTER($H:$H,$E:$E=F201))"),"#N/A")</f>
        <v>#N/A</v>
      </c>
    </row>
    <row r="202">
      <c r="C202" s="4" t="s">
        <v>2245</v>
      </c>
      <c r="D202" s="4" t="str">
        <f t="shared" si="1"/>
        <v>{"valorA":"relógio","valorB":8}</v>
      </c>
      <c r="E202" s="8" t="str">
        <f t="shared" si="2"/>
        <v>relógio</v>
      </c>
      <c r="F202" s="8"/>
      <c r="G202" s="8" t="str">
        <f t="shared" si="3"/>
        <v>8</v>
      </c>
      <c r="H202" s="9">
        <f t="shared" si="4"/>
        <v>8</v>
      </c>
      <c r="I202" s="6" t="str">
        <f>IFERROR(__xludf.DUMMYFUNCTION("MAX(FILTER($H:$H,$E:$E=F202))"),"#N/A")</f>
        <v>#N/A</v>
      </c>
    </row>
    <row r="203">
      <c r="C203" s="4" t="s">
        <v>2394</v>
      </c>
      <c r="D203" s="4" t="str">
        <f t="shared" si="1"/>
        <v>{"valorA":"filtro de linha","valorB":14}</v>
      </c>
      <c r="E203" s="8" t="str">
        <f t="shared" si="2"/>
        <v>filtro de linha</v>
      </c>
      <c r="F203" s="8"/>
      <c r="G203" s="8" t="str">
        <f t="shared" si="3"/>
        <v>14</v>
      </c>
      <c r="H203" s="9">
        <f t="shared" si="4"/>
        <v>14</v>
      </c>
      <c r="I203" s="6" t="str">
        <f>IFERROR(__xludf.DUMMYFUNCTION("MAX(FILTER($H:$H,$E:$E=F203))"),"#N/A")</f>
        <v>#N/A</v>
      </c>
    </row>
    <row r="204">
      <c r="C204" s="4" t="s">
        <v>1709</v>
      </c>
      <c r="D204" s="4" t="str">
        <f t="shared" si="1"/>
        <v>{"valorA":"ar condicionado","valorB":10}</v>
      </c>
      <c r="E204" s="8" t="str">
        <f t="shared" si="2"/>
        <v>ar condicionado</v>
      </c>
      <c r="F204" s="8"/>
      <c r="G204" s="8" t="str">
        <f t="shared" si="3"/>
        <v>10</v>
      </c>
      <c r="H204" s="9">
        <f t="shared" si="4"/>
        <v>10</v>
      </c>
      <c r="I204" s="6" t="str">
        <f>IFERROR(__xludf.DUMMYFUNCTION("MAX(FILTER($H:$H,$E:$E=F204))"),"#N/A")</f>
        <v>#N/A</v>
      </c>
    </row>
    <row r="205">
      <c r="C205" s="4" t="s">
        <v>2363</v>
      </c>
      <c r="D205" s="4" t="str">
        <f t="shared" si="1"/>
        <v>{"valorA":"teclado de computador","valorB":15}</v>
      </c>
      <c r="E205" s="8" t="str">
        <f t="shared" si="2"/>
        <v>teclado de computador</v>
      </c>
      <c r="F205" s="8"/>
      <c r="G205" s="8" t="str">
        <f t="shared" si="3"/>
        <v>15</v>
      </c>
      <c r="H205" s="9">
        <f t="shared" si="4"/>
        <v>15</v>
      </c>
      <c r="I205" s="6" t="str">
        <f>IFERROR(__xludf.DUMMYFUNCTION("MAX(FILTER($H:$H,$E:$E=F205))"),"#N/A")</f>
        <v>#N/A</v>
      </c>
    </row>
    <row r="206">
      <c r="C206" s="4" t="s">
        <v>2278</v>
      </c>
      <c r="D206" s="4" t="str">
        <f t="shared" si="1"/>
        <v>{"valorA":"chuveiro elétrico","valorB":11}</v>
      </c>
      <c r="E206" s="8" t="str">
        <f t="shared" si="2"/>
        <v>chuveiro elétrico</v>
      </c>
      <c r="F206" s="8"/>
      <c r="G206" s="8" t="str">
        <f t="shared" si="3"/>
        <v>11</v>
      </c>
      <c r="H206" s="9">
        <f t="shared" si="4"/>
        <v>11</v>
      </c>
      <c r="I206" s="6" t="str">
        <f>IFERROR(__xludf.DUMMYFUNCTION("MAX(FILTER($H:$H,$E:$E=F206))"),"#N/A")</f>
        <v>#N/A</v>
      </c>
    </row>
    <row r="207">
      <c r="C207" s="4" t="s">
        <v>2452</v>
      </c>
      <c r="D207" s="4" t="str">
        <f t="shared" si="1"/>
        <v>{"valorA":"aspirador","valorB":17}</v>
      </c>
      <c r="E207" s="8" t="str">
        <f t="shared" si="2"/>
        <v>aspirador</v>
      </c>
      <c r="F207" s="8"/>
      <c r="G207" s="8" t="str">
        <f t="shared" si="3"/>
        <v>17</v>
      </c>
      <c r="H207" s="9">
        <f t="shared" si="4"/>
        <v>17</v>
      </c>
      <c r="I207" s="6" t="str">
        <f>IFERROR(__xludf.DUMMYFUNCTION("MAX(FILTER($H:$H,$E:$E=F207))"),"#N/A")</f>
        <v>#N/A</v>
      </c>
    </row>
    <row r="208">
      <c r="C208" s="4" t="s">
        <v>1727</v>
      </c>
      <c r="D208" s="4" t="str">
        <f t="shared" si="1"/>
        <v>{"valorA":"microondas","valorB":17}</v>
      </c>
      <c r="E208" s="8" t="str">
        <f t="shared" si="2"/>
        <v>microondas</v>
      </c>
      <c r="F208" s="8"/>
      <c r="G208" s="8" t="str">
        <f t="shared" si="3"/>
        <v>17</v>
      </c>
      <c r="H208" s="9">
        <f t="shared" si="4"/>
        <v>17</v>
      </c>
      <c r="I208" s="6" t="str">
        <f>IFERROR(__xludf.DUMMYFUNCTION("MAX(FILTER($H:$H,$E:$E=F208))"),"#N/A")</f>
        <v>#N/A</v>
      </c>
    </row>
    <row r="209">
      <c r="C209" s="4" t="s">
        <v>2463</v>
      </c>
      <c r="D209" s="4" t="str">
        <f t="shared" si="1"/>
        <v>{"valorA":"aspirador","valorB":18}</v>
      </c>
      <c r="E209" s="8" t="str">
        <f t="shared" si="2"/>
        <v>aspirador</v>
      </c>
      <c r="F209" s="8"/>
      <c r="G209" s="8" t="str">
        <f t="shared" si="3"/>
        <v>18</v>
      </c>
      <c r="H209" s="9">
        <f t="shared" si="4"/>
        <v>18</v>
      </c>
      <c r="I209" s="6" t="str">
        <f>IFERROR(__xludf.DUMMYFUNCTION("MAX(FILTER($H:$H,$E:$E=F209))"),"#N/A")</f>
        <v>#N/A</v>
      </c>
    </row>
    <row r="210">
      <c r="C210" s="4" t="s">
        <v>2283</v>
      </c>
      <c r="D210" s="4" t="str">
        <f t="shared" si="1"/>
        <v>{"valorA":"relógio","valorB":9}</v>
      </c>
      <c r="E210" s="8" t="str">
        <f t="shared" si="2"/>
        <v>relógio</v>
      </c>
      <c r="F210" s="8"/>
      <c r="G210" s="8" t="str">
        <f t="shared" si="3"/>
        <v>9</v>
      </c>
      <c r="H210" s="9">
        <f t="shared" si="4"/>
        <v>9</v>
      </c>
      <c r="I210" s="6" t="str">
        <f>IFERROR(__xludf.DUMMYFUNCTION("MAX(FILTER($H:$H,$E:$E=F210))"),"#N/A")</f>
        <v>#N/A</v>
      </c>
    </row>
    <row r="211">
      <c r="C211" s="4" t="s">
        <v>2425</v>
      </c>
      <c r="D211" s="4" t="str">
        <f t="shared" si="1"/>
        <v>{"valorA":"filtro de linha","valorB":15}</v>
      </c>
      <c r="E211" s="8" t="str">
        <f t="shared" si="2"/>
        <v>filtro de linha</v>
      </c>
      <c r="F211" s="8"/>
      <c r="G211" s="8" t="str">
        <f t="shared" si="3"/>
        <v>15</v>
      </c>
      <c r="H211" s="9">
        <f t="shared" si="4"/>
        <v>15</v>
      </c>
      <c r="I211" s="6" t="str">
        <f>IFERROR(__xludf.DUMMYFUNCTION("MAX(FILTER($H:$H,$E:$E=F211))"),"#N/A")</f>
        <v>#N/A</v>
      </c>
    </row>
    <row r="212">
      <c r="C212" s="4" t="s">
        <v>1710</v>
      </c>
      <c r="D212" s="4" t="str">
        <f t="shared" si="1"/>
        <v>{"valorA":"ar condicionado","valorB":11}</v>
      </c>
      <c r="E212" s="8" t="str">
        <f t="shared" si="2"/>
        <v>ar condicionado</v>
      </c>
      <c r="F212" s="8"/>
      <c r="G212" s="8" t="str">
        <f t="shared" si="3"/>
        <v>11</v>
      </c>
      <c r="H212" s="9">
        <f t="shared" si="4"/>
        <v>11</v>
      </c>
      <c r="I212" s="6" t="str">
        <f>IFERROR(__xludf.DUMMYFUNCTION("MAX(FILTER($H:$H,$E:$E=F212))"),"#N/A")</f>
        <v>#N/A</v>
      </c>
    </row>
    <row r="213">
      <c r="C213" s="4" t="s">
        <v>2436</v>
      </c>
      <c r="D213" s="4" t="str">
        <f t="shared" si="1"/>
        <v>{"valorA":"filtro de linha","valorB":16}</v>
      </c>
      <c r="E213" s="8" t="str">
        <f t="shared" si="2"/>
        <v>filtro de linha</v>
      </c>
      <c r="F213" s="8"/>
      <c r="G213" s="8" t="str">
        <f t="shared" si="3"/>
        <v>16</v>
      </c>
      <c r="H213" s="9">
        <f t="shared" si="4"/>
        <v>16</v>
      </c>
      <c r="I213" s="6" t="str">
        <f>IFERROR(__xludf.DUMMYFUNCTION("MAX(FILTER($H:$H,$E:$E=F213))"),"#N/A")</f>
        <v>#N/A</v>
      </c>
    </row>
    <row r="214">
      <c r="C214" s="4" t="s">
        <v>2432</v>
      </c>
      <c r="D214" s="4" t="str">
        <f t="shared" si="1"/>
        <v>{"valorA":"celular","valorB":13}</v>
      </c>
      <c r="E214" s="8" t="str">
        <f t="shared" si="2"/>
        <v>celular</v>
      </c>
      <c r="F214" s="8"/>
      <c r="G214" s="8" t="str">
        <f t="shared" si="3"/>
        <v>13</v>
      </c>
      <c r="H214" s="9">
        <f t="shared" si="4"/>
        <v>13</v>
      </c>
      <c r="I214" s="6" t="str">
        <f>IFERROR(__xludf.DUMMYFUNCTION("MAX(FILTER($H:$H,$E:$E=F214))"),"#N/A")</f>
        <v>#N/A</v>
      </c>
    </row>
    <row r="215">
      <c r="C215" s="4" t="s">
        <v>2379</v>
      </c>
      <c r="D215" s="4" t="str">
        <f t="shared" si="1"/>
        <v>{"valorA":"fone de ouvido","valorB":10}</v>
      </c>
      <c r="E215" s="8" t="str">
        <f t="shared" si="2"/>
        <v>fone de ouvido</v>
      </c>
      <c r="F215" s="8"/>
      <c r="G215" s="8" t="str">
        <f t="shared" si="3"/>
        <v>10</v>
      </c>
      <c r="H215" s="9">
        <f t="shared" si="4"/>
        <v>10</v>
      </c>
      <c r="I215" s="6" t="str">
        <f>IFERROR(__xludf.DUMMYFUNCTION("MAX(FILTER($H:$H,$E:$E=F215))"),"#N/A")</f>
        <v>#N/A</v>
      </c>
    </row>
    <row r="216">
      <c r="C216" s="4" t="s">
        <v>1728</v>
      </c>
      <c r="D216" s="4" t="str">
        <f t="shared" si="1"/>
        <v>{"valorA":"microondas","valorB":18}</v>
      </c>
      <c r="E216" s="8" t="str">
        <f t="shared" si="2"/>
        <v>microondas</v>
      </c>
      <c r="F216" s="8"/>
      <c r="G216" s="8" t="str">
        <f t="shared" si="3"/>
        <v>18</v>
      </c>
      <c r="H216" s="9">
        <f t="shared" si="4"/>
        <v>18</v>
      </c>
      <c r="I216" s="6" t="str">
        <f>IFERROR(__xludf.DUMMYFUNCTION("MAX(FILTER($H:$H,$E:$E=F216))"),"#N/A")</f>
        <v>#N/A</v>
      </c>
    </row>
    <row r="217">
      <c r="C217" s="4" t="s">
        <v>2476</v>
      </c>
      <c r="D217" s="4" t="str">
        <f t="shared" si="1"/>
        <v>{"valorA":"aspirador","valorB":19}</v>
      </c>
      <c r="E217" s="8" t="str">
        <f t="shared" si="2"/>
        <v>aspirador</v>
      </c>
      <c r="F217" s="8"/>
      <c r="G217" s="8" t="str">
        <f t="shared" si="3"/>
        <v>19</v>
      </c>
      <c r="H217" s="9">
        <f t="shared" si="4"/>
        <v>19</v>
      </c>
      <c r="I217" s="6" t="str">
        <f>IFERROR(__xludf.DUMMYFUNCTION("MAX(FILTER($H:$H,$E:$E=F217))"),"#N/A")</f>
        <v>#N/A</v>
      </c>
    </row>
    <row r="218">
      <c r="C218" s="4" t="s">
        <v>2281</v>
      </c>
      <c r="D218" s="4" t="str">
        <f t="shared" si="1"/>
        <v>{"valorA":"mouse de computador","valorB":5}</v>
      </c>
      <c r="E218" s="8" t="str">
        <f t="shared" si="2"/>
        <v>mouse de computador</v>
      </c>
      <c r="F218" s="8"/>
      <c r="G218" s="8" t="str">
        <f t="shared" si="3"/>
        <v>5</v>
      </c>
      <c r="H218" s="9">
        <f t="shared" si="4"/>
        <v>5</v>
      </c>
      <c r="I218" s="6" t="str">
        <f>IFERROR(__xludf.DUMMYFUNCTION("MAX(FILTER($H:$H,$E:$E=F218))"),"#N/A")</f>
        <v>#N/A</v>
      </c>
    </row>
    <row r="219">
      <c r="C219" s="4" t="s">
        <v>2282</v>
      </c>
      <c r="D219" s="4" t="str">
        <f t="shared" si="1"/>
        <v>{"valorA":"chuveiro elétrico","valorB":12}</v>
      </c>
      <c r="E219" s="8" t="str">
        <f t="shared" si="2"/>
        <v>chuveiro elétrico</v>
      </c>
      <c r="F219" s="8"/>
      <c r="G219" s="8" t="str">
        <f t="shared" si="3"/>
        <v>12</v>
      </c>
      <c r="H219" s="9">
        <f t="shared" si="4"/>
        <v>12</v>
      </c>
      <c r="I219" s="6" t="str">
        <f>IFERROR(__xludf.DUMMYFUNCTION("MAX(FILTER($H:$H,$E:$E=F219))"),"#N/A")</f>
        <v>#N/A</v>
      </c>
    </row>
    <row r="220">
      <c r="C220" s="4" t="s">
        <v>2431</v>
      </c>
      <c r="D220" s="4" t="str">
        <f t="shared" si="1"/>
        <v>{"valorA":"ventilador","valorB":16}</v>
      </c>
      <c r="E220" s="8" t="str">
        <f t="shared" si="2"/>
        <v>ventilador</v>
      </c>
      <c r="F220" s="8"/>
      <c r="G220" s="8" t="str">
        <f t="shared" si="3"/>
        <v>16</v>
      </c>
      <c r="H220" s="9">
        <f t="shared" si="4"/>
        <v>16</v>
      </c>
      <c r="I220" s="6" t="str">
        <f>IFERROR(__xludf.DUMMYFUNCTION("MAX(FILTER($H:$H,$E:$E=F220))"),"#N/A")</f>
        <v>#N/A</v>
      </c>
    </row>
    <row r="221">
      <c r="C221" s="4" t="s">
        <v>2350</v>
      </c>
      <c r="D221" s="4" t="str">
        <f t="shared" si="1"/>
        <v>{"valorA":"roteador","valorB":10}</v>
      </c>
      <c r="E221" s="8" t="str">
        <f t="shared" si="2"/>
        <v>roteador</v>
      </c>
      <c r="F221" s="8"/>
      <c r="G221" s="8" t="str">
        <f t="shared" si="3"/>
        <v>10</v>
      </c>
      <c r="H221" s="9">
        <f t="shared" si="4"/>
        <v>10</v>
      </c>
      <c r="I221" s="6" t="str">
        <f>IFERROR(__xludf.DUMMYFUNCTION("MAX(FILTER($H:$H,$E:$E=F221))"),"#N/A")</f>
        <v>#N/A</v>
      </c>
    </row>
    <row r="222">
      <c r="C222" s="4" t="s">
        <v>1711</v>
      </c>
      <c r="D222" s="4" t="str">
        <f t="shared" si="1"/>
        <v>{"valorA":"ar condicionado","valorB":12}</v>
      </c>
      <c r="E222" s="8" t="str">
        <f t="shared" si="2"/>
        <v>ar condicionado</v>
      </c>
      <c r="F222" s="8"/>
      <c r="G222" s="8" t="str">
        <f t="shared" si="3"/>
        <v>12</v>
      </c>
      <c r="H222" s="9">
        <f t="shared" si="4"/>
        <v>12</v>
      </c>
      <c r="I222" s="6" t="str">
        <f>IFERROR(__xludf.DUMMYFUNCTION("MAX(FILTER($H:$H,$E:$E=F222))"),"#N/A")</f>
        <v>#N/A</v>
      </c>
    </row>
    <row r="223">
      <c r="C223" s="4" t="s">
        <v>2286</v>
      </c>
      <c r="D223" s="4" t="str">
        <f t="shared" si="1"/>
        <v>{"valorA":"carregador de computador","valorB":7}</v>
      </c>
      <c r="E223" s="8" t="str">
        <f t="shared" si="2"/>
        <v>carregador de computador</v>
      </c>
      <c r="F223" s="8"/>
      <c r="G223" s="8" t="str">
        <f t="shared" si="3"/>
        <v>7</v>
      </c>
      <c r="H223" s="9">
        <f t="shared" si="4"/>
        <v>7</v>
      </c>
      <c r="I223" s="6" t="str">
        <f>IFERROR(__xludf.DUMMYFUNCTION("MAX(FILTER($H:$H,$E:$E=F223))"),"#N/A")</f>
        <v>#N/A</v>
      </c>
    </row>
    <row r="224">
      <c r="C224" s="4" t="s">
        <v>1715</v>
      </c>
      <c r="D224" s="4" t="str">
        <f t="shared" si="1"/>
        <v>{"valorA":"ar condicionado","valorB":13}</v>
      </c>
      <c r="E224" s="8" t="str">
        <f t="shared" si="2"/>
        <v>ar condicionado</v>
      </c>
      <c r="F224" s="8"/>
      <c r="G224" s="8" t="str">
        <f t="shared" si="3"/>
        <v>13</v>
      </c>
      <c r="H224" s="9">
        <f t="shared" si="4"/>
        <v>13</v>
      </c>
      <c r="I224" s="6" t="str">
        <f>IFERROR(__xludf.DUMMYFUNCTION("MAX(FILTER($H:$H,$E:$E=F224))"),"#N/A")</f>
        <v>#N/A</v>
      </c>
    </row>
    <row r="225">
      <c r="C225" s="4" t="s">
        <v>2310</v>
      </c>
      <c r="D225" s="4" t="str">
        <f t="shared" si="1"/>
        <v>{"valorA":"carregador de computador","valorB":8}</v>
      </c>
      <c r="E225" s="8" t="str">
        <f t="shared" si="2"/>
        <v>carregador de computador</v>
      </c>
      <c r="F225" s="8"/>
      <c r="G225" s="8" t="str">
        <f t="shared" si="3"/>
        <v>8</v>
      </c>
      <c r="H225" s="9">
        <f t="shared" si="4"/>
        <v>8</v>
      </c>
      <c r="I225" s="6" t="str">
        <f>IFERROR(__xludf.DUMMYFUNCTION("MAX(FILTER($H:$H,$E:$E=F225))"),"#N/A")</f>
        <v>#N/A</v>
      </c>
    </row>
    <row r="226">
      <c r="C226" s="4" t="s">
        <v>2294</v>
      </c>
      <c r="D226" s="4" t="str">
        <f t="shared" si="1"/>
        <v>{"valorA":"chuveiro elétrico","valorB":13}</v>
      </c>
      <c r="E226" s="8" t="str">
        <f t="shared" si="2"/>
        <v>chuveiro elétrico</v>
      </c>
      <c r="F226" s="8"/>
      <c r="G226" s="8" t="str">
        <f t="shared" si="3"/>
        <v>13</v>
      </c>
      <c r="H226" s="9">
        <f t="shared" si="4"/>
        <v>13</v>
      </c>
      <c r="I226" s="6" t="str">
        <f>IFERROR(__xludf.DUMMYFUNCTION("MAX(FILTER($H:$H,$E:$E=F226))"),"#N/A")</f>
        <v>#N/A</v>
      </c>
    </row>
    <row r="227">
      <c r="C227" s="4" t="s">
        <v>2448</v>
      </c>
      <c r="D227" s="4" t="str">
        <f t="shared" si="1"/>
        <v>{"valorA":"filtro de linha","valorB":17}</v>
      </c>
      <c r="E227" s="8" t="str">
        <f t="shared" si="2"/>
        <v>filtro de linha</v>
      </c>
      <c r="F227" s="8"/>
      <c r="G227" s="8" t="str">
        <f t="shared" si="3"/>
        <v>17</v>
      </c>
      <c r="H227" s="9">
        <f t="shared" si="4"/>
        <v>17</v>
      </c>
      <c r="I227" s="6" t="str">
        <f>IFERROR(__xludf.DUMMYFUNCTION("MAX(FILTER($H:$H,$E:$E=F227))"),"#N/A")</f>
        <v>#N/A</v>
      </c>
    </row>
    <row r="228">
      <c r="C228" s="4" t="s">
        <v>1717</v>
      </c>
      <c r="D228" s="4" t="str">
        <f t="shared" si="1"/>
        <v>{"valorA":"ar condicionado","valorB":14}</v>
      </c>
      <c r="E228" s="8" t="str">
        <f t="shared" si="2"/>
        <v>ar condicionado</v>
      </c>
      <c r="F228" s="8"/>
      <c r="G228" s="8" t="str">
        <f t="shared" si="3"/>
        <v>14</v>
      </c>
      <c r="H228" s="9">
        <f t="shared" si="4"/>
        <v>14</v>
      </c>
      <c r="I228" s="6" t="str">
        <f>IFERROR(__xludf.DUMMYFUNCTION("MAX(FILTER($H:$H,$E:$E=F228))"),"#N/A")</f>
        <v>#N/A</v>
      </c>
    </row>
    <row r="229">
      <c r="C229" s="4" t="s">
        <v>2362</v>
      </c>
      <c r="D229" s="4" t="str">
        <f t="shared" si="1"/>
        <v>{"valorA":"computador","valorB":13}</v>
      </c>
      <c r="E229" s="8" t="str">
        <f t="shared" si="2"/>
        <v>computador</v>
      </c>
      <c r="F229" s="8"/>
      <c r="G229" s="8" t="str">
        <f t="shared" si="3"/>
        <v>13</v>
      </c>
      <c r="H229" s="9">
        <f t="shared" si="4"/>
        <v>13</v>
      </c>
      <c r="I229" s="6" t="str">
        <f>IFERROR(__xludf.DUMMYFUNCTION("MAX(FILTER($H:$H,$E:$E=F229))"),"#N/A")</f>
        <v>#N/A</v>
      </c>
    </row>
    <row r="230">
      <c r="C230" s="4" t="s">
        <v>2368</v>
      </c>
      <c r="D230" s="4" t="str">
        <f t="shared" si="1"/>
        <v>{"valorA":"teclado de computador","valorB":16}</v>
      </c>
      <c r="E230" s="8" t="str">
        <f t="shared" si="2"/>
        <v>teclado de computador</v>
      </c>
      <c r="F230" s="8"/>
      <c r="G230" s="8" t="str">
        <f t="shared" si="3"/>
        <v>16</v>
      </c>
      <c r="H230" s="9">
        <f t="shared" si="4"/>
        <v>16</v>
      </c>
      <c r="I230" s="6" t="str">
        <f>IFERROR(__xludf.DUMMYFUNCTION("MAX(FILTER($H:$H,$E:$E=F230))"),"#N/A")</f>
        <v>#N/A</v>
      </c>
    </row>
    <row r="231">
      <c r="C231" s="4" t="s">
        <v>2383</v>
      </c>
      <c r="D231" s="4" t="str">
        <f t="shared" si="1"/>
        <v>{"valorA":"fone de ouvido","valorB":11}</v>
      </c>
      <c r="E231" s="8" t="str">
        <f t="shared" si="2"/>
        <v>fone de ouvido</v>
      </c>
      <c r="F231" s="8"/>
      <c r="G231" s="8" t="str">
        <f t="shared" si="3"/>
        <v>11</v>
      </c>
      <c r="H231" s="9">
        <f t="shared" si="4"/>
        <v>11</v>
      </c>
      <c r="I231" s="6" t="str">
        <f>IFERROR(__xludf.DUMMYFUNCTION("MAX(FILTER($H:$H,$E:$E=F231))"),"#N/A")</f>
        <v>#N/A</v>
      </c>
    </row>
    <row r="232">
      <c r="C232" s="4" t="s">
        <v>2339</v>
      </c>
      <c r="D232" s="4" t="str">
        <f t="shared" si="1"/>
        <v>{"valorA":"carregador de computador","valorB":9}</v>
      </c>
      <c r="E232" s="8" t="str">
        <f t="shared" si="2"/>
        <v>carregador de computador</v>
      </c>
      <c r="F232" s="8"/>
      <c r="G232" s="8" t="str">
        <f t="shared" si="3"/>
        <v>9</v>
      </c>
      <c r="H232" s="9">
        <f t="shared" si="4"/>
        <v>9</v>
      </c>
      <c r="I232" s="6" t="str">
        <f>IFERROR(__xludf.DUMMYFUNCTION("MAX(FILTER($H:$H,$E:$E=F232))"),"#N/A")</f>
        <v>#N/A</v>
      </c>
    </row>
    <row r="233">
      <c r="C233" s="4" t="s">
        <v>2309</v>
      </c>
      <c r="D233" s="4" t="str">
        <f t="shared" si="1"/>
        <v>{"valorA":"mouse de computador","valorB":6}</v>
      </c>
      <c r="E233" s="8" t="str">
        <f t="shared" si="2"/>
        <v>mouse de computador</v>
      </c>
      <c r="F233" s="8"/>
      <c r="G233" s="8" t="str">
        <f t="shared" si="3"/>
        <v>6</v>
      </c>
      <c r="H233" s="9">
        <f t="shared" si="4"/>
        <v>6</v>
      </c>
      <c r="I233" s="6" t="str">
        <f>IFERROR(__xludf.DUMMYFUNCTION("MAX(FILTER($H:$H,$E:$E=F233))"),"#N/A")</f>
        <v>#N/A</v>
      </c>
    </row>
    <row r="234">
      <c r="C234" s="4" t="s">
        <v>1718</v>
      </c>
      <c r="D234" s="4" t="str">
        <f t="shared" si="1"/>
        <v>{"valorA":"ar condicionado","valorB":15}</v>
      </c>
      <c r="E234" s="8" t="str">
        <f t="shared" si="2"/>
        <v>ar condicionado</v>
      </c>
      <c r="F234" s="8"/>
      <c r="G234" s="8" t="str">
        <f t="shared" si="3"/>
        <v>15</v>
      </c>
      <c r="H234" s="9">
        <f t="shared" si="4"/>
        <v>15</v>
      </c>
      <c r="I234" s="6" t="str">
        <f>IFERROR(__xludf.DUMMYFUNCTION("MAX(FILTER($H:$H,$E:$E=F234))"),"#N/A")</f>
        <v>#N/A</v>
      </c>
    </row>
    <row r="235">
      <c r="C235" s="4" t="s">
        <v>2341</v>
      </c>
      <c r="D235" s="4" t="str">
        <f t="shared" si="1"/>
        <v>{"valorA":"purificador de água","valorB":9}</v>
      </c>
      <c r="E235" s="8" t="str">
        <f t="shared" si="2"/>
        <v>purificador de água</v>
      </c>
      <c r="F235" s="8"/>
      <c r="G235" s="8" t="str">
        <f t="shared" si="3"/>
        <v>9</v>
      </c>
      <c r="H235" s="9">
        <f t="shared" si="4"/>
        <v>9</v>
      </c>
      <c r="I235" s="6" t="str">
        <f>IFERROR(__xludf.DUMMYFUNCTION("MAX(FILTER($H:$H,$E:$E=F235))"),"#N/A")</f>
        <v>#N/A</v>
      </c>
    </row>
    <row r="236">
      <c r="C236" s="4" t="s">
        <v>2395</v>
      </c>
      <c r="D236" s="4" t="str">
        <f t="shared" si="1"/>
        <v>{"valorA":"fone de ouvido","valorB":12}</v>
      </c>
      <c r="E236" s="8" t="str">
        <f t="shared" si="2"/>
        <v>fone de ouvido</v>
      </c>
      <c r="F236" s="8"/>
      <c r="G236" s="8" t="str">
        <f t="shared" si="3"/>
        <v>12</v>
      </c>
      <c r="H236" s="9">
        <f t="shared" si="4"/>
        <v>12</v>
      </c>
      <c r="I236" s="6" t="str">
        <f>IFERROR(__xludf.DUMMYFUNCTION("MAX(FILTER($H:$H,$E:$E=F236))"),"#N/A")</f>
        <v>#N/A</v>
      </c>
    </row>
    <row r="237">
      <c r="C237" s="4" t="s">
        <v>2314</v>
      </c>
      <c r="D237" s="4" t="str">
        <f t="shared" si="1"/>
        <v>{"valorA":"relógio","valorB":10}</v>
      </c>
      <c r="E237" s="8" t="str">
        <f t="shared" si="2"/>
        <v>relógio</v>
      </c>
      <c r="F237" s="8"/>
      <c r="G237" s="8" t="str">
        <f t="shared" si="3"/>
        <v>10</v>
      </c>
      <c r="H237" s="9">
        <f t="shared" si="4"/>
        <v>10</v>
      </c>
      <c r="I237" s="6" t="str">
        <f>IFERROR(__xludf.DUMMYFUNCTION("MAX(FILTER($H:$H,$E:$E=F237))"),"#N/A")</f>
        <v>#N/A</v>
      </c>
    </row>
    <row r="238">
      <c r="C238" s="4" t="s">
        <v>2490</v>
      </c>
      <c r="D238" s="4" t="str">
        <f t="shared" si="1"/>
        <v>{"valorA":"aspirador","valorB":20}</v>
      </c>
      <c r="E238" s="8" t="str">
        <f t="shared" si="2"/>
        <v>aspirador</v>
      </c>
      <c r="F238" s="8"/>
      <c r="G238" s="8" t="str">
        <f t="shared" si="3"/>
        <v>20</v>
      </c>
      <c r="H238" s="9">
        <f t="shared" si="4"/>
        <v>20</v>
      </c>
      <c r="I238" s="6" t="str">
        <f>IFERROR(__xludf.DUMMYFUNCTION("MAX(FILTER($H:$H,$E:$E=F238))"),"#N/A")</f>
        <v>#N/A</v>
      </c>
    </row>
    <row r="239">
      <c r="C239" s="4" t="s">
        <v>2345</v>
      </c>
      <c r="D239" s="4" t="str">
        <f t="shared" si="1"/>
        <v>{"valorA":"carregador de computador","valorB":10}</v>
      </c>
      <c r="E239" s="8" t="str">
        <f t="shared" si="2"/>
        <v>carregador de computador</v>
      </c>
      <c r="F239" s="8"/>
      <c r="G239" s="8" t="str">
        <f t="shared" si="3"/>
        <v>10</v>
      </c>
      <c r="H239" s="9">
        <f t="shared" si="4"/>
        <v>10</v>
      </c>
      <c r="I239" s="6" t="str">
        <f>IFERROR(__xludf.DUMMYFUNCTION("MAX(FILTER($H:$H,$E:$E=F239))"),"#N/A")</f>
        <v>#N/A</v>
      </c>
    </row>
    <row r="240">
      <c r="C240" s="4" t="s">
        <v>2250</v>
      </c>
      <c r="D240" s="4" t="str">
        <f t="shared" si="1"/>
        <v>{"valorA":"liquidificador","valorB":9}</v>
      </c>
      <c r="E240" s="8" t="str">
        <f t="shared" si="2"/>
        <v>liquidificador</v>
      </c>
      <c r="F240" s="8"/>
      <c r="G240" s="8" t="str">
        <f t="shared" si="3"/>
        <v>9</v>
      </c>
      <c r="H240" s="9">
        <f t="shared" si="4"/>
        <v>9</v>
      </c>
      <c r="I240" s="6" t="str">
        <f>IFERROR(__xludf.DUMMYFUNCTION("MAX(FILTER($H:$H,$E:$E=F240))"),"#N/A")</f>
        <v>#N/A</v>
      </c>
    </row>
    <row r="241">
      <c r="C241" s="4" t="s">
        <v>2409</v>
      </c>
      <c r="D241" s="4" t="str">
        <f t="shared" si="1"/>
        <v>{"valorA":"computador","valorB":14}</v>
      </c>
      <c r="E241" s="8" t="str">
        <f t="shared" si="2"/>
        <v>computador</v>
      </c>
      <c r="F241" s="8"/>
      <c r="G241" s="8" t="str">
        <f t="shared" si="3"/>
        <v>14</v>
      </c>
      <c r="H241" s="9">
        <f t="shared" si="4"/>
        <v>14</v>
      </c>
      <c r="I241" s="6" t="str">
        <f>IFERROR(__xludf.DUMMYFUNCTION("MAX(FILTER($H:$H,$E:$E=F241))"),"#N/A")</f>
        <v>#N/A</v>
      </c>
    </row>
    <row r="242">
      <c r="C242" s="4" t="s">
        <v>2259</v>
      </c>
      <c r="D242" s="4" t="str">
        <f t="shared" si="1"/>
        <v>{"valorA":"liquidificador","valorB":10}</v>
      </c>
      <c r="E242" s="8" t="str">
        <f t="shared" si="2"/>
        <v>liquidificador</v>
      </c>
      <c r="F242" s="8"/>
      <c r="G242" s="8" t="str">
        <f t="shared" si="3"/>
        <v>10</v>
      </c>
      <c r="H242" s="9">
        <f t="shared" si="4"/>
        <v>10</v>
      </c>
      <c r="I242" s="6" t="str">
        <f>IFERROR(__xludf.DUMMYFUNCTION("MAX(FILTER($H:$H,$E:$E=F242))"),"#N/A")</f>
        <v>#N/A</v>
      </c>
    </row>
    <row r="243">
      <c r="C243" s="4" t="s">
        <v>2353</v>
      </c>
      <c r="D243" s="4" t="str">
        <f t="shared" si="1"/>
        <v>{"valorA":"mouse de computador","valorB":7}</v>
      </c>
      <c r="E243" s="8" t="str">
        <f t="shared" si="2"/>
        <v>mouse de computador</v>
      </c>
      <c r="F243" s="8"/>
      <c r="G243" s="8" t="str">
        <f t="shared" si="3"/>
        <v>7</v>
      </c>
      <c r="H243" s="9">
        <f t="shared" si="4"/>
        <v>7</v>
      </c>
      <c r="I243" s="6" t="str">
        <f>IFERROR(__xludf.DUMMYFUNCTION("MAX(FILTER($H:$H,$E:$E=F243))"),"#N/A")</f>
        <v>#N/A</v>
      </c>
    </row>
    <row r="244">
      <c r="C244" s="4" t="s">
        <v>2437</v>
      </c>
      <c r="D244" s="4" t="str">
        <f t="shared" si="1"/>
        <v>{"valorA":"ventilador","valorB":17}</v>
      </c>
      <c r="E244" s="8" t="str">
        <f t="shared" si="2"/>
        <v>ventilador</v>
      </c>
      <c r="F244" s="8"/>
      <c r="G244" s="8" t="str">
        <f t="shared" si="3"/>
        <v>17</v>
      </c>
      <c r="H244" s="9">
        <f t="shared" si="4"/>
        <v>17</v>
      </c>
      <c r="I244" s="6" t="str">
        <f>IFERROR(__xludf.DUMMYFUNCTION("MAX(FILTER($H:$H,$E:$E=F244))"),"#N/A")</f>
        <v>#N/A</v>
      </c>
    </row>
    <row r="245">
      <c r="C245" s="4" t="s">
        <v>1730</v>
      </c>
      <c r="D245" s="4" t="str">
        <f t="shared" si="1"/>
        <v>{"valorA":"microondas","valorB":19}</v>
      </c>
      <c r="E245" s="8" t="str">
        <f t="shared" si="2"/>
        <v>microondas</v>
      </c>
      <c r="F245" s="8"/>
      <c r="G245" s="8" t="str">
        <f t="shared" si="3"/>
        <v>19</v>
      </c>
      <c r="H245" s="9">
        <f t="shared" si="4"/>
        <v>19</v>
      </c>
      <c r="I245" s="6" t="str">
        <f>IFERROR(__xludf.DUMMYFUNCTION("MAX(FILTER($H:$H,$E:$E=F245))"),"#N/A")</f>
        <v>#N/A</v>
      </c>
    </row>
    <row r="246">
      <c r="C246" s="4" t="s">
        <v>2496</v>
      </c>
      <c r="D246" s="4" t="str">
        <f t="shared" si="1"/>
        <v>{"valorA":"aspirador","valorB":21}</v>
      </c>
      <c r="E246" s="8" t="str">
        <f t="shared" si="2"/>
        <v>aspirador</v>
      </c>
      <c r="F246" s="8"/>
      <c r="G246" s="8" t="str">
        <f t="shared" si="3"/>
        <v>21</v>
      </c>
      <c r="H246" s="9">
        <f t="shared" si="4"/>
        <v>21</v>
      </c>
      <c r="I246" s="6" t="str">
        <f>IFERROR(__xludf.DUMMYFUNCTION("MAX(FILTER($H:$H,$E:$E=F246))"),"#N/A")</f>
        <v>#N/A</v>
      </c>
    </row>
    <row r="247">
      <c r="C247" s="4" t="s">
        <v>2364</v>
      </c>
      <c r="D247" s="4" t="str">
        <f t="shared" si="1"/>
        <v>{"valorA":"carregador de celular","valorB":9}</v>
      </c>
      <c r="E247" s="8" t="str">
        <f t="shared" si="2"/>
        <v>carregador de celular</v>
      </c>
      <c r="F247" s="8"/>
      <c r="G247" s="8" t="str">
        <f t="shared" si="3"/>
        <v>9</v>
      </c>
      <c r="H247" s="9">
        <f t="shared" si="4"/>
        <v>9</v>
      </c>
      <c r="I247" s="6" t="str">
        <f>IFERROR(__xludf.DUMMYFUNCTION("MAX(FILTER($H:$H,$E:$E=F247))"),"#N/A")</f>
        <v>#N/A</v>
      </c>
    </row>
    <row r="248">
      <c r="C248" s="4" t="s">
        <v>2445</v>
      </c>
      <c r="D248" s="4" t="str">
        <f t="shared" si="1"/>
        <v>{"valorA":"ventilador","valorB":18}</v>
      </c>
      <c r="E248" s="8" t="str">
        <f t="shared" si="2"/>
        <v>ventilador</v>
      </c>
      <c r="F248" s="8"/>
      <c r="G248" s="8" t="str">
        <f t="shared" si="3"/>
        <v>18</v>
      </c>
      <c r="H248" s="9">
        <f t="shared" si="4"/>
        <v>18</v>
      </c>
      <c r="I248" s="6" t="str">
        <f>IFERROR(__xludf.DUMMYFUNCTION("MAX(FILTER($H:$H,$E:$E=F248))"),"#N/A")</f>
        <v>#N/A</v>
      </c>
    </row>
    <row r="249">
      <c r="C249" s="4" t="s">
        <v>2483</v>
      </c>
      <c r="D249" s="4" t="str">
        <f t="shared" si="1"/>
        <v>{"valorA":"celular","valorB":14}</v>
      </c>
      <c r="E249" s="8" t="str">
        <f t="shared" si="2"/>
        <v>celular</v>
      </c>
      <c r="F249" s="8"/>
      <c r="G249" s="8" t="str">
        <f t="shared" si="3"/>
        <v>14</v>
      </c>
      <c r="H249" s="9">
        <f t="shared" si="4"/>
        <v>14</v>
      </c>
      <c r="I249" s="6" t="str">
        <f>IFERROR(__xludf.DUMMYFUNCTION("MAX(FILTER($H:$H,$E:$E=F249))"),"#N/A")</f>
        <v>#N/A</v>
      </c>
    </row>
    <row r="250">
      <c r="C250" s="4" t="s">
        <v>2357</v>
      </c>
      <c r="D250" s="4" t="str">
        <f t="shared" si="1"/>
        <v>{"valorA":"roteador","valorB":11}</v>
      </c>
      <c r="E250" s="8" t="str">
        <f t="shared" si="2"/>
        <v>roteador</v>
      </c>
      <c r="F250" s="8"/>
      <c r="G250" s="8" t="str">
        <f t="shared" si="3"/>
        <v>11</v>
      </c>
      <c r="H250" s="9">
        <f t="shared" si="4"/>
        <v>11</v>
      </c>
      <c r="I250" s="6" t="str">
        <f>IFERROR(__xludf.DUMMYFUNCTION("MAX(FILTER($H:$H,$E:$E=F250))"),"#N/A")</f>
        <v>#N/A</v>
      </c>
    </row>
    <row r="251">
      <c r="C251" s="4" t="s">
        <v>2456</v>
      </c>
      <c r="D251" s="4" t="str">
        <f t="shared" si="1"/>
        <v>{"valorA":"ventilador","valorB":19}</v>
      </c>
      <c r="E251" s="8" t="str">
        <f t="shared" si="2"/>
        <v>ventilador</v>
      </c>
      <c r="F251" s="8"/>
      <c r="G251" s="8" t="str">
        <f t="shared" si="3"/>
        <v>19</v>
      </c>
      <c r="H251" s="9">
        <f t="shared" si="4"/>
        <v>19</v>
      </c>
      <c r="I251" s="6" t="str">
        <f>IFERROR(__xludf.DUMMYFUNCTION("MAX(FILTER($H:$H,$E:$E=F251))"),"#N/A")</f>
        <v>#N/A</v>
      </c>
    </row>
    <row r="252">
      <c r="C252" s="4" t="s">
        <v>2387</v>
      </c>
      <c r="D252" s="4" t="str">
        <f t="shared" si="1"/>
        <v>{"valorA":"lustre","valorB":9}</v>
      </c>
      <c r="E252" s="8" t="str">
        <f t="shared" si="2"/>
        <v>lustre</v>
      </c>
      <c r="F252" s="8"/>
      <c r="G252" s="8" t="str">
        <f t="shared" si="3"/>
        <v>9</v>
      </c>
      <c r="H252" s="9">
        <f t="shared" si="4"/>
        <v>9</v>
      </c>
      <c r="I252" s="6" t="str">
        <f>IFERROR(__xludf.DUMMYFUNCTION("MAX(FILTER($H:$H,$E:$E=F252))"),"#N/A")</f>
        <v>#N/A</v>
      </c>
    </row>
    <row r="253">
      <c r="C253" s="4" t="s">
        <v>1719</v>
      </c>
      <c r="D253" s="4" t="str">
        <f t="shared" si="1"/>
        <v>{"valorA":"ar condicionado","valorB":16}</v>
      </c>
      <c r="E253" s="8" t="str">
        <f t="shared" si="2"/>
        <v>ar condicionado</v>
      </c>
      <c r="F253" s="8"/>
      <c r="G253" s="8" t="str">
        <f t="shared" si="3"/>
        <v>16</v>
      </c>
      <c r="H253" s="9">
        <f t="shared" si="4"/>
        <v>16</v>
      </c>
      <c r="I253" s="6" t="str">
        <f>IFERROR(__xludf.DUMMYFUNCTION("MAX(FILTER($H:$H,$E:$E=F253))"),"#N/A")</f>
        <v>#N/A</v>
      </c>
    </row>
    <row r="254">
      <c r="C254" s="4" t="s">
        <v>2390</v>
      </c>
      <c r="D254" s="4" t="str">
        <f t="shared" si="1"/>
        <v>{"valorA":"carregador de celular","valorB":10}</v>
      </c>
      <c r="E254" s="8" t="str">
        <f t="shared" si="2"/>
        <v>carregador de celular</v>
      </c>
      <c r="F254" s="8"/>
      <c r="G254" s="8" t="str">
        <f t="shared" si="3"/>
        <v>10</v>
      </c>
      <c r="H254" s="9">
        <f t="shared" si="4"/>
        <v>10</v>
      </c>
      <c r="I254" s="6" t="str">
        <f>IFERROR(__xludf.DUMMYFUNCTION("MAX(FILTER($H:$H,$E:$E=F254))"),"#N/A")</f>
        <v>#N/A</v>
      </c>
    </row>
    <row r="255">
      <c r="C255" s="4" t="s">
        <v>2519</v>
      </c>
      <c r="D255" s="4" t="str">
        <f t="shared" si="1"/>
        <v>{"valorA":"aspirador","valorB":22}</v>
      </c>
      <c r="E255" s="8" t="str">
        <f t="shared" si="2"/>
        <v>aspirador</v>
      </c>
      <c r="F255" s="8"/>
      <c r="G255" s="8" t="str">
        <f t="shared" si="3"/>
        <v>22</v>
      </c>
      <c r="H255" s="9">
        <f t="shared" si="4"/>
        <v>22</v>
      </c>
      <c r="I255" s="6" t="str">
        <f>IFERROR(__xludf.DUMMYFUNCTION("MAX(FILTER($H:$H,$E:$E=F255))"),"#N/A")</f>
        <v>#N/A</v>
      </c>
    </row>
    <row r="256">
      <c r="C256" s="4" t="s">
        <v>1734</v>
      </c>
      <c r="D256" s="4" t="str">
        <f t="shared" si="1"/>
        <v>{"valorA":"microondas","valorB":20}</v>
      </c>
      <c r="E256" s="8" t="str">
        <f t="shared" si="2"/>
        <v>microondas</v>
      </c>
      <c r="F256" s="8"/>
      <c r="G256" s="8" t="str">
        <f t="shared" si="3"/>
        <v>20</v>
      </c>
      <c r="H256" s="9">
        <f t="shared" si="4"/>
        <v>20</v>
      </c>
      <c r="I256" s="6" t="str">
        <f>IFERROR(__xludf.DUMMYFUNCTION("MAX(FILTER($H:$H,$E:$E=F256))"),"#N/A")</f>
        <v>#N/A</v>
      </c>
    </row>
    <row r="257">
      <c r="C257" s="4" t="s">
        <v>2414</v>
      </c>
      <c r="D257" s="4" t="str">
        <f t="shared" si="1"/>
        <v>{"valorA":"computador","valorB":15}</v>
      </c>
      <c r="E257" s="8" t="str">
        <f t="shared" si="2"/>
        <v>computador</v>
      </c>
      <c r="F257" s="8"/>
      <c r="G257" s="8" t="str">
        <f t="shared" si="3"/>
        <v>15</v>
      </c>
      <c r="H257" s="9">
        <f t="shared" si="4"/>
        <v>15</v>
      </c>
      <c r="I257" s="6" t="str">
        <f>IFERROR(__xludf.DUMMYFUNCTION("MAX(FILTER($H:$H,$E:$E=F257))"),"#N/A")</f>
        <v>#N/A</v>
      </c>
    </row>
    <row r="258">
      <c r="C258" s="4" t="s">
        <v>2539</v>
      </c>
      <c r="D258" s="4" t="str">
        <f t="shared" si="1"/>
        <v>{"valorA":"aspirador","valorB":23}</v>
      </c>
      <c r="E258" s="8" t="str">
        <f t="shared" si="2"/>
        <v>aspirador</v>
      </c>
      <c r="F258" s="8"/>
      <c r="G258" s="8" t="str">
        <f t="shared" si="3"/>
        <v>23</v>
      </c>
      <c r="H258" s="9">
        <f t="shared" si="4"/>
        <v>23</v>
      </c>
      <c r="I258" s="6" t="str">
        <f>IFERROR(__xludf.DUMMYFUNCTION("MAX(FILTER($H:$H,$E:$E=F258))"),"#N/A")</f>
        <v>#N/A</v>
      </c>
    </row>
    <row r="259">
      <c r="C259" s="4" t="s">
        <v>2317</v>
      </c>
      <c r="D259" s="4" t="str">
        <f t="shared" si="1"/>
        <v>{"valorA":"relógio","valorB":11}</v>
      </c>
      <c r="E259" s="8" t="str">
        <f t="shared" si="2"/>
        <v>relógio</v>
      </c>
      <c r="F259" s="8"/>
      <c r="G259" s="8" t="str">
        <f t="shared" si="3"/>
        <v>11</v>
      </c>
      <c r="H259" s="9">
        <f t="shared" si="4"/>
        <v>11</v>
      </c>
      <c r="I259" s="6" t="str">
        <f>IFERROR(__xludf.DUMMYFUNCTION("MAX(FILTER($H:$H,$E:$E=F259))"),"#N/A")</f>
        <v>#N/A</v>
      </c>
    </row>
    <row r="260">
      <c r="C260" s="4" t="s">
        <v>2325</v>
      </c>
      <c r="D260" s="4" t="str">
        <f t="shared" si="1"/>
        <v>{"valorA":"relógio","valorB":12}</v>
      </c>
      <c r="E260" s="8" t="str">
        <f t="shared" si="2"/>
        <v>relógio</v>
      </c>
      <c r="F260" s="8"/>
      <c r="G260" s="8" t="str">
        <f t="shared" si="3"/>
        <v>12</v>
      </c>
      <c r="H260" s="9">
        <f t="shared" si="4"/>
        <v>12</v>
      </c>
      <c r="I260" s="6" t="str">
        <f>IFERROR(__xludf.DUMMYFUNCTION("MAX(FILTER($H:$H,$E:$E=F260))"),"#N/A")</f>
        <v>#N/A</v>
      </c>
    </row>
    <row r="261">
      <c r="C261" s="4" t="s">
        <v>2403</v>
      </c>
      <c r="D261" s="4" t="str">
        <f t="shared" si="1"/>
        <v>{"valorA":"fone de ouvido","valorB":13}</v>
      </c>
      <c r="E261" s="8" t="str">
        <f t="shared" si="2"/>
        <v>fone de ouvido</v>
      </c>
      <c r="F261" s="8"/>
      <c r="G261" s="8" t="str">
        <f t="shared" si="3"/>
        <v>13</v>
      </c>
      <c r="H261" s="9">
        <f t="shared" si="4"/>
        <v>13</v>
      </c>
      <c r="I261" s="6" t="str">
        <f>IFERROR(__xludf.DUMMYFUNCTION("MAX(FILTER($H:$H,$E:$E=F261))"),"#N/A")</f>
        <v>#N/A</v>
      </c>
    </row>
    <row r="262">
      <c r="C262" s="4" t="s">
        <v>1723</v>
      </c>
      <c r="D262" s="4" t="str">
        <f t="shared" si="1"/>
        <v>{"valorA":"ar condicionado","valorB":17}</v>
      </c>
      <c r="E262" s="8" t="str">
        <f t="shared" si="2"/>
        <v>ar condicionado</v>
      </c>
      <c r="F262" s="8"/>
      <c r="G262" s="8" t="str">
        <f t="shared" si="3"/>
        <v>17</v>
      </c>
      <c r="H262" s="9">
        <f t="shared" si="4"/>
        <v>17</v>
      </c>
      <c r="I262" s="6" t="str">
        <f>IFERROR(__xludf.DUMMYFUNCTION("MAX(FILTER($H:$H,$E:$E=F262))"),"#N/A")</f>
        <v>#N/A</v>
      </c>
    </row>
    <row r="263">
      <c r="C263" s="4" t="s">
        <v>2331</v>
      </c>
      <c r="D263" s="4" t="str">
        <f t="shared" si="1"/>
        <v>{"valorA":"chuveiro elétrico","valorB":14}</v>
      </c>
      <c r="E263" s="8" t="str">
        <f t="shared" si="2"/>
        <v>chuveiro elétrico</v>
      </c>
      <c r="F263" s="8"/>
      <c r="G263" s="8" t="str">
        <f t="shared" si="3"/>
        <v>14</v>
      </c>
      <c r="H263" s="9">
        <f t="shared" si="4"/>
        <v>14</v>
      </c>
      <c r="I263" s="6" t="str">
        <f>IFERROR(__xludf.DUMMYFUNCTION("MAX(FILTER($H:$H,$E:$E=F263))"),"#N/A")</f>
        <v>#N/A</v>
      </c>
    </row>
    <row r="264">
      <c r="C264" s="4" t="s">
        <v>2287</v>
      </c>
      <c r="D264" s="4" t="str">
        <f t="shared" si="1"/>
        <v>{"valorA":"liquidificador","valorB":11}</v>
      </c>
      <c r="E264" s="8" t="str">
        <f t="shared" si="2"/>
        <v>liquidificador</v>
      </c>
      <c r="F264" s="8"/>
      <c r="G264" s="8" t="str">
        <f t="shared" si="3"/>
        <v>11</v>
      </c>
      <c r="H264" s="9">
        <f t="shared" si="4"/>
        <v>11</v>
      </c>
      <c r="I264" s="6" t="str">
        <f>IFERROR(__xludf.DUMMYFUNCTION("MAX(FILTER($H:$H,$E:$E=F264))"),"#N/A")</f>
        <v>#N/A</v>
      </c>
    </row>
    <row r="265">
      <c r="C265" s="4" t="s">
        <v>1667</v>
      </c>
      <c r="D265" s="4" t="str">
        <f t="shared" si="1"/>
        <v>{"valorA":"freezer","valorB":9}</v>
      </c>
      <c r="E265" s="8" t="str">
        <f t="shared" si="2"/>
        <v>freezer</v>
      </c>
      <c r="F265" s="8"/>
      <c r="G265" s="8" t="str">
        <f t="shared" si="3"/>
        <v>9</v>
      </c>
      <c r="H265" s="9">
        <f t="shared" si="4"/>
        <v>9</v>
      </c>
      <c r="I265" s="6" t="str">
        <f>IFERROR(__xludf.DUMMYFUNCTION("MAX(FILTER($H:$H,$E:$E=F265))"),"#N/A")</f>
        <v>#N/A</v>
      </c>
    </row>
    <row r="266">
      <c r="C266" s="4" t="s">
        <v>2358</v>
      </c>
      <c r="D266" s="4" t="str">
        <f t="shared" si="1"/>
        <v>{"valorA":"roteador","valorB":12}</v>
      </c>
      <c r="E266" s="8" t="str">
        <f t="shared" si="2"/>
        <v>roteador</v>
      </c>
      <c r="F266" s="8"/>
      <c r="G266" s="8" t="str">
        <f t="shared" si="3"/>
        <v>12</v>
      </c>
      <c r="H266" s="9">
        <f t="shared" si="4"/>
        <v>12</v>
      </c>
      <c r="I266" s="6" t="str">
        <f>IFERROR(__xludf.DUMMYFUNCTION("MAX(FILTER($H:$H,$E:$E=F266))"),"#N/A")</f>
        <v>#N/A</v>
      </c>
    </row>
    <row r="267">
      <c r="C267" s="4" t="s">
        <v>1724</v>
      </c>
      <c r="D267" s="4" t="str">
        <f t="shared" si="1"/>
        <v>{"valorA":"ar condicionado","valorB":18}</v>
      </c>
      <c r="E267" s="8" t="str">
        <f t="shared" si="2"/>
        <v>ar condicionado</v>
      </c>
      <c r="F267" s="8"/>
      <c r="G267" s="8" t="str">
        <f t="shared" si="3"/>
        <v>18</v>
      </c>
      <c r="H267" s="9">
        <f t="shared" si="4"/>
        <v>18</v>
      </c>
      <c r="I267" s="6" t="str">
        <f>IFERROR(__xludf.DUMMYFUNCTION("MAX(FILTER($H:$H,$E:$E=F267))"),"#N/A")</f>
        <v>#N/A</v>
      </c>
    </row>
    <row r="268">
      <c r="C268" s="4" t="s">
        <v>2544</v>
      </c>
      <c r="D268" s="4" t="str">
        <f t="shared" si="1"/>
        <v>{"valorA":"aspirador","valorB":24}</v>
      </c>
      <c r="E268" s="8" t="str">
        <f t="shared" si="2"/>
        <v>aspirador</v>
      </c>
      <c r="F268" s="8"/>
      <c r="G268" s="8" t="str">
        <f t="shared" si="3"/>
        <v>24</v>
      </c>
      <c r="H268" s="9">
        <f t="shared" si="4"/>
        <v>24</v>
      </c>
      <c r="I268" s="6" t="str">
        <f>IFERROR(__xludf.DUMMYFUNCTION("MAX(FILTER($H:$H,$E:$E=F268))"),"#N/A")</f>
        <v>#N/A</v>
      </c>
    </row>
    <row r="269">
      <c r="C269" s="4" t="s">
        <v>2320</v>
      </c>
      <c r="D269" s="4" t="str">
        <f t="shared" si="1"/>
        <v>{"valorA":"liquidificador","valorB":12}</v>
      </c>
      <c r="E269" s="8" t="str">
        <f t="shared" si="2"/>
        <v>liquidificador</v>
      </c>
      <c r="F269" s="8"/>
      <c r="G269" s="8" t="str">
        <f t="shared" si="3"/>
        <v>12</v>
      </c>
      <c r="H269" s="9">
        <f t="shared" si="4"/>
        <v>12</v>
      </c>
      <c r="I269" s="6" t="str">
        <f>IFERROR(__xludf.DUMMYFUNCTION("MAX(FILTER($H:$H,$E:$E=F269))"),"#N/A")</f>
        <v>#N/A</v>
      </c>
    </row>
    <row r="270">
      <c r="C270" s="4" t="s">
        <v>2369</v>
      </c>
      <c r="D270" s="4" t="str">
        <f t="shared" si="1"/>
        <v>{"valorA":"teclado de computador","valorB":17}</v>
      </c>
      <c r="E270" s="8" t="str">
        <f t="shared" si="2"/>
        <v>teclado de computador</v>
      </c>
      <c r="F270" s="8"/>
      <c r="G270" s="8" t="str">
        <f t="shared" si="3"/>
        <v>17</v>
      </c>
      <c r="H270" s="9">
        <f t="shared" si="4"/>
        <v>17</v>
      </c>
      <c r="I270" s="6" t="str">
        <f>IFERROR(__xludf.DUMMYFUNCTION("MAX(FILTER($H:$H,$E:$E=F270))"),"#N/A")</f>
        <v>#N/A</v>
      </c>
    </row>
    <row r="271">
      <c r="C271" s="4" t="s">
        <v>2396</v>
      </c>
      <c r="D271" s="4" t="str">
        <f t="shared" si="1"/>
        <v>{"valorA":"teclado de computador","valorB":18}</v>
      </c>
      <c r="E271" s="8" t="str">
        <f t="shared" si="2"/>
        <v>teclado de computador</v>
      </c>
      <c r="F271" s="8"/>
      <c r="G271" s="8" t="str">
        <f t="shared" si="3"/>
        <v>18</v>
      </c>
      <c r="H271" s="9">
        <f t="shared" si="4"/>
        <v>18</v>
      </c>
      <c r="I271" s="6" t="str">
        <f>IFERROR(__xludf.DUMMYFUNCTION("MAX(FILTER($H:$H,$E:$E=F271))"),"#N/A")</f>
        <v>#N/A</v>
      </c>
    </row>
    <row r="272">
      <c r="C272" s="4" t="s">
        <v>2374</v>
      </c>
      <c r="D272" s="4" t="str">
        <f t="shared" si="1"/>
        <v>{"valorA":"purificador de água","valorB":10}</v>
      </c>
      <c r="E272" s="8" t="str">
        <f t="shared" si="2"/>
        <v>purificador de água</v>
      </c>
      <c r="F272" s="8"/>
      <c r="G272" s="8" t="str">
        <f t="shared" si="3"/>
        <v>10</v>
      </c>
      <c r="H272" s="9">
        <f t="shared" si="4"/>
        <v>10</v>
      </c>
      <c r="I272" s="6" t="str">
        <f>IFERROR(__xludf.DUMMYFUNCTION("MAX(FILTER($H:$H,$E:$E=F272))"),"#N/A")</f>
        <v>#N/A</v>
      </c>
    </row>
    <row r="273">
      <c r="C273" s="4" t="s">
        <v>2493</v>
      </c>
      <c r="D273" s="4" t="str">
        <f t="shared" si="1"/>
        <v>{"valorA":"celular","valorB":15}</v>
      </c>
      <c r="E273" s="8" t="str">
        <f t="shared" si="2"/>
        <v>celular</v>
      </c>
      <c r="F273" s="8"/>
      <c r="G273" s="8" t="str">
        <f t="shared" si="3"/>
        <v>15</v>
      </c>
      <c r="H273" s="9">
        <f t="shared" si="4"/>
        <v>15</v>
      </c>
      <c r="I273" s="6" t="str">
        <f>IFERROR(__xludf.DUMMYFUNCTION("MAX(FILTER($H:$H,$E:$E=F273))"),"#N/A")</f>
        <v>#N/A</v>
      </c>
    </row>
    <row r="274">
      <c r="C274" s="4" t="s">
        <v>2312</v>
      </c>
      <c r="D274" s="4" t="str">
        <f t="shared" si="1"/>
        <v>{"valorA":"fogão","valorB":9}</v>
      </c>
      <c r="E274" s="8" t="str">
        <f t="shared" si="2"/>
        <v>fogão</v>
      </c>
      <c r="F274" s="8"/>
      <c r="G274" s="8" t="str">
        <f t="shared" si="3"/>
        <v>9</v>
      </c>
      <c r="H274" s="9">
        <f t="shared" si="4"/>
        <v>9</v>
      </c>
      <c r="I274" s="6" t="str">
        <f>IFERROR(__xludf.DUMMYFUNCTION("MAX(FILTER($H:$H,$E:$E=F274))"),"#N/A")</f>
        <v>#N/A</v>
      </c>
    </row>
    <row r="275">
      <c r="C275" s="4" t="s">
        <v>2359</v>
      </c>
      <c r="D275" s="4" t="str">
        <f t="shared" si="1"/>
        <v>{"valorA":"chuveiro elétrico","valorB":15}</v>
      </c>
      <c r="E275" s="8" t="str">
        <f t="shared" si="2"/>
        <v>chuveiro elétrico</v>
      </c>
      <c r="F275" s="8"/>
      <c r="G275" s="8" t="str">
        <f t="shared" si="3"/>
        <v>15</v>
      </c>
      <c r="H275" s="9">
        <f t="shared" si="4"/>
        <v>15</v>
      </c>
      <c r="I275" s="6" t="str">
        <f>IFERROR(__xludf.DUMMYFUNCTION("MAX(FILTER($H:$H,$E:$E=F275))"),"#N/A")</f>
        <v>#N/A</v>
      </c>
    </row>
    <row r="276">
      <c r="C276" s="4" t="s">
        <v>2386</v>
      </c>
      <c r="D276" s="4" t="str">
        <f t="shared" si="1"/>
        <v>{"valorA":"purificador de água","valorB":11}</v>
      </c>
      <c r="E276" s="8" t="str">
        <f t="shared" si="2"/>
        <v>purificador de água</v>
      </c>
      <c r="F276" s="8"/>
      <c r="G276" s="8" t="str">
        <f t="shared" si="3"/>
        <v>11</v>
      </c>
      <c r="H276" s="9">
        <f t="shared" si="4"/>
        <v>11</v>
      </c>
      <c r="I276" s="6" t="str">
        <f>IFERROR(__xludf.DUMMYFUNCTION("MAX(FILTER($H:$H,$E:$E=F276))"),"#N/A")</f>
        <v>#N/A</v>
      </c>
    </row>
    <row r="277">
      <c r="C277" s="4" t="s">
        <v>2399</v>
      </c>
      <c r="D277" s="4" t="str">
        <f t="shared" si="1"/>
        <v>{"valorA":"relógio","valorB":13}</v>
      </c>
      <c r="E277" s="8" t="str">
        <f t="shared" si="2"/>
        <v>relógio</v>
      </c>
      <c r="F277" s="8"/>
      <c r="G277" s="8" t="str">
        <f t="shared" si="3"/>
        <v>13</v>
      </c>
      <c r="H277" s="9">
        <f t="shared" si="4"/>
        <v>13</v>
      </c>
      <c r="I277" s="6" t="str">
        <f>IFERROR(__xludf.DUMMYFUNCTION("MAX(FILTER($H:$H,$E:$E=F277))"),"#N/A")</f>
        <v>#N/A</v>
      </c>
    </row>
    <row r="278">
      <c r="C278" s="4" t="s">
        <v>2361</v>
      </c>
      <c r="D278" s="4" t="str">
        <f t="shared" si="1"/>
        <v>{"valorA":"chuveiro elétrico","valorB":16}</v>
      </c>
      <c r="E278" s="8" t="str">
        <f t="shared" si="2"/>
        <v>chuveiro elétrico</v>
      </c>
      <c r="F278" s="8"/>
      <c r="G278" s="8" t="str">
        <f t="shared" si="3"/>
        <v>16</v>
      </c>
      <c r="H278" s="9">
        <f t="shared" si="4"/>
        <v>16</v>
      </c>
      <c r="I278" s="6" t="str">
        <f>IFERROR(__xludf.DUMMYFUNCTION("MAX(FILTER($H:$H,$E:$E=F278))"),"#N/A")</f>
        <v>#N/A</v>
      </c>
    </row>
    <row r="279">
      <c r="C279" s="4" t="s">
        <v>2401</v>
      </c>
      <c r="D279" s="4" t="str">
        <f t="shared" si="1"/>
        <v>{"valorA":"teclado de computador","valorB":19}</v>
      </c>
      <c r="E279" s="8" t="str">
        <f t="shared" si="2"/>
        <v>teclado de computador</v>
      </c>
      <c r="F279" s="8"/>
      <c r="G279" s="8" t="str">
        <f t="shared" si="3"/>
        <v>19</v>
      </c>
      <c r="H279" s="9">
        <f t="shared" si="4"/>
        <v>19</v>
      </c>
      <c r="I279" s="6" t="str">
        <f>IFERROR(__xludf.DUMMYFUNCTION("MAX(FILTER($H:$H,$E:$E=F279))"),"#N/A")</f>
        <v>#N/A</v>
      </c>
    </row>
    <row r="280">
      <c r="C280" s="4" t="s">
        <v>2319</v>
      </c>
      <c r="D280" s="4" t="str">
        <f t="shared" si="1"/>
        <v>{"valorA":"fogão","valorB":10}</v>
      </c>
      <c r="E280" s="8" t="str">
        <f t="shared" si="2"/>
        <v>fogão</v>
      </c>
      <c r="F280" s="8"/>
      <c r="G280" s="8" t="str">
        <f t="shared" si="3"/>
        <v>10</v>
      </c>
      <c r="H280" s="9">
        <f t="shared" si="4"/>
        <v>10</v>
      </c>
      <c r="I280" s="6" t="str">
        <f>IFERROR(__xludf.DUMMYFUNCTION("MAX(FILTER($H:$H,$E:$E=F280))"),"#N/A")</f>
        <v>#N/A</v>
      </c>
    </row>
    <row r="281">
      <c r="C281" s="4" t="s">
        <v>2389</v>
      </c>
      <c r="D281" s="4" t="str">
        <f t="shared" si="1"/>
        <v>{"valorA":"lustre","valorB":10}</v>
      </c>
      <c r="E281" s="8" t="str">
        <f t="shared" si="2"/>
        <v>lustre</v>
      </c>
      <c r="F281" s="8"/>
      <c r="G281" s="8" t="str">
        <f t="shared" si="3"/>
        <v>10</v>
      </c>
      <c r="H281" s="9">
        <f t="shared" si="4"/>
        <v>10</v>
      </c>
      <c r="I281" s="6" t="str">
        <f>IFERROR(__xludf.DUMMYFUNCTION("MAX(FILTER($H:$H,$E:$E=F281))"),"#N/A")</f>
        <v>#N/A</v>
      </c>
    </row>
    <row r="282">
      <c r="C282" s="4" t="s">
        <v>2402</v>
      </c>
      <c r="D282" s="4" t="str">
        <f t="shared" si="1"/>
        <v>{"valorA":"relógio","valorB":14}</v>
      </c>
      <c r="E282" s="8" t="str">
        <f t="shared" si="2"/>
        <v>relógio</v>
      </c>
      <c r="F282" s="8"/>
      <c r="G282" s="8" t="str">
        <f t="shared" si="3"/>
        <v>14</v>
      </c>
      <c r="H282" s="9">
        <f t="shared" si="4"/>
        <v>14</v>
      </c>
      <c r="I282" s="6" t="str">
        <f>IFERROR(__xludf.DUMMYFUNCTION("MAX(FILTER($H:$H,$E:$E=F282))"),"#N/A")</f>
        <v>#N/A</v>
      </c>
    </row>
    <row r="283">
      <c r="C283" s="4" t="s">
        <v>2398</v>
      </c>
      <c r="D283" s="4" t="str">
        <f t="shared" si="1"/>
        <v>{"valorA":"carregador de celular","valorB":11}</v>
      </c>
      <c r="E283" s="8" t="str">
        <f t="shared" si="2"/>
        <v>carregador de celular</v>
      </c>
      <c r="F283" s="8"/>
      <c r="G283" s="8" t="str">
        <f t="shared" si="3"/>
        <v>11</v>
      </c>
      <c r="H283" s="9">
        <f t="shared" si="4"/>
        <v>11</v>
      </c>
      <c r="I283" s="6" t="str">
        <f>IFERROR(__xludf.DUMMYFUNCTION("MAX(FILTER($H:$H,$E:$E=F283))"),"#N/A")</f>
        <v>#N/A</v>
      </c>
    </row>
    <row r="284">
      <c r="C284" s="4" t="s">
        <v>2372</v>
      </c>
      <c r="D284" s="4" t="str">
        <f t="shared" si="1"/>
        <v>{"valorA":"mouse de computador","valorB":8}</v>
      </c>
      <c r="E284" s="8" t="str">
        <f t="shared" si="2"/>
        <v>mouse de computador</v>
      </c>
      <c r="F284" s="8"/>
      <c r="G284" s="8" t="str">
        <f t="shared" si="3"/>
        <v>8</v>
      </c>
      <c r="H284" s="9">
        <f t="shared" si="4"/>
        <v>8</v>
      </c>
      <c r="I284" s="6" t="str">
        <f>IFERROR(__xludf.DUMMYFUNCTION("MAX(FILTER($H:$H,$E:$E=F284))"),"#N/A")</f>
        <v>#N/A</v>
      </c>
    </row>
    <row r="285">
      <c r="C285" s="4" t="s">
        <v>1735</v>
      </c>
      <c r="D285" s="4" t="str">
        <f t="shared" si="1"/>
        <v>{"valorA":"microondas","valorB":21}</v>
      </c>
      <c r="E285" s="8" t="str">
        <f t="shared" si="2"/>
        <v>microondas</v>
      </c>
      <c r="F285" s="8"/>
      <c r="G285" s="8" t="str">
        <f t="shared" si="3"/>
        <v>21</v>
      </c>
      <c r="H285" s="9">
        <f t="shared" si="4"/>
        <v>21</v>
      </c>
      <c r="I285" s="6" t="str">
        <f>IFERROR(__xludf.DUMMYFUNCTION("MAX(FILTER($H:$H,$E:$E=F285))"),"#N/A")</f>
        <v>#N/A</v>
      </c>
    </row>
    <row r="286">
      <c r="C286" s="4" t="s">
        <v>2547</v>
      </c>
      <c r="D286" s="4" t="str">
        <f t="shared" si="1"/>
        <v>{"valorA":"aspirador","valorB":25}</v>
      </c>
      <c r="E286" s="8" t="str">
        <f t="shared" si="2"/>
        <v>aspirador</v>
      </c>
      <c r="F286" s="8"/>
      <c r="G286" s="8" t="str">
        <f t="shared" si="3"/>
        <v>25</v>
      </c>
      <c r="H286" s="9">
        <f t="shared" si="4"/>
        <v>25</v>
      </c>
      <c r="I286" s="6" t="str">
        <f>IFERROR(__xludf.DUMMYFUNCTION("MAX(FILTER($H:$H,$E:$E=F286))"),"#N/A")</f>
        <v>#N/A</v>
      </c>
    </row>
    <row r="287">
      <c r="C287" s="4" t="s">
        <v>2373</v>
      </c>
      <c r="D287" s="4" t="str">
        <f t="shared" si="1"/>
        <v>{"valorA":"mouse de computador","valorB":9}</v>
      </c>
      <c r="E287" s="8" t="str">
        <f t="shared" si="2"/>
        <v>mouse de computador</v>
      </c>
      <c r="F287" s="8"/>
      <c r="G287" s="8" t="str">
        <f t="shared" si="3"/>
        <v>9</v>
      </c>
      <c r="H287" s="9">
        <f t="shared" si="4"/>
        <v>9</v>
      </c>
      <c r="I287" s="6" t="str">
        <f>IFERROR(__xludf.DUMMYFUNCTION("MAX(FILTER($H:$H,$E:$E=F287))"),"#N/A")</f>
        <v>#N/A</v>
      </c>
    </row>
    <row r="288">
      <c r="C288" s="4" t="s">
        <v>2404</v>
      </c>
      <c r="D288" s="4" t="str">
        <f t="shared" si="1"/>
        <v>{"valorA":"relógio","valorB":15}</v>
      </c>
      <c r="E288" s="8" t="str">
        <f t="shared" si="2"/>
        <v>relógio</v>
      </c>
      <c r="F288" s="8"/>
      <c r="G288" s="8" t="str">
        <f t="shared" si="3"/>
        <v>15</v>
      </c>
      <c r="H288" s="9">
        <f t="shared" si="4"/>
        <v>15</v>
      </c>
      <c r="I288" s="6" t="str">
        <f>IFERROR(__xludf.DUMMYFUNCTION("MAX(FILTER($H:$H,$E:$E=F288))"),"#N/A")</f>
        <v>#N/A</v>
      </c>
    </row>
    <row r="289">
      <c r="C289" s="4" t="s">
        <v>1737</v>
      </c>
      <c r="D289" s="4" t="str">
        <f t="shared" si="1"/>
        <v>{"valorA":"microondas","valorB":22}</v>
      </c>
      <c r="E289" s="8" t="str">
        <f t="shared" si="2"/>
        <v>microondas</v>
      </c>
      <c r="F289" s="8"/>
      <c r="G289" s="8" t="str">
        <f t="shared" si="3"/>
        <v>22</v>
      </c>
      <c r="H289" s="9">
        <f t="shared" si="4"/>
        <v>22</v>
      </c>
      <c r="I289" s="6" t="str">
        <f>IFERROR(__xludf.DUMMYFUNCTION("MAX(FILTER($H:$H,$E:$E=F289))"),"#N/A")</f>
        <v>#N/A</v>
      </c>
    </row>
    <row r="290">
      <c r="C290" s="4" t="s">
        <v>2324</v>
      </c>
      <c r="D290" s="4" t="str">
        <f t="shared" si="1"/>
        <v>{"valorA":"liquidificador","valorB":13}</v>
      </c>
      <c r="E290" s="8" t="str">
        <f t="shared" si="2"/>
        <v>liquidificador</v>
      </c>
      <c r="F290" s="8"/>
      <c r="G290" s="8" t="str">
        <f t="shared" si="3"/>
        <v>13</v>
      </c>
      <c r="H290" s="9">
        <f t="shared" si="4"/>
        <v>13</v>
      </c>
      <c r="I290" s="6" t="str">
        <f>IFERROR(__xludf.DUMMYFUNCTION("MAX(FILTER($H:$H,$E:$E=F290))"),"#N/A")</f>
        <v>#N/A</v>
      </c>
    </row>
    <row r="291">
      <c r="C291" s="4" t="s">
        <v>2412</v>
      </c>
      <c r="D291" s="4" t="str">
        <f t="shared" si="1"/>
        <v>{"valorA":"carregador de celular","valorB":12}</v>
      </c>
      <c r="E291" s="8" t="str">
        <f t="shared" si="2"/>
        <v>carregador de celular</v>
      </c>
      <c r="F291" s="8"/>
      <c r="G291" s="8" t="str">
        <f t="shared" si="3"/>
        <v>12</v>
      </c>
      <c r="H291" s="9">
        <f t="shared" si="4"/>
        <v>12</v>
      </c>
      <c r="I291" s="6" t="str">
        <f>IFERROR(__xludf.DUMMYFUNCTION("MAX(FILTER($H:$H,$E:$E=F291))"),"#N/A")</f>
        <v>#N/A</v>
      </c>
    </row>
    <row r="292">
      <c r="C292" s="4" t="s">
        <v>2411</v>
      </c>
      <c r="D292" s="4" t="str">
        <f t="shared" si="1"/>
        <v>{"valorA":"fone de ouvido","valorB":14}</v>
      </c>
      <c r="E292" s="8" t="str">
        <f t="shared" si="2"/>
        <v>fone de ouvido</v>
      </c>
      <c r="F292" s="8"/>
      <c r="G292" s="8" t="str">
        <f t="shared" si="3"/>
        <v>14</v>
      </c>
      <c r="H292" s="9">
        <f t="shared" si="4"/>
        <v>14</v>
      </c>
      <c r="I292" s="6" t="str">
        <f>IFERROR(__xludf.DUMMYFUNCTION("MAX(FILTER($H:$H,$E:$E=F292))"),"#N/A")</f>
        <v>#N/A</v>
      </c>
    </row>
    <row r="293">
      <c r="C293" s="4" t="s">
        <v>2418</v>
      </c>
      <c r="D293" s="4" t="str">
        <f t="shared" si="1"/>
        <v>{"valorA":"computador","valorB":16}</v>
      </c>
      <c r="E293" s="8" t="str">
        <f t="shared" si="2"/>
        <v>computador</v>
      </c>
      <c r="F293" s="8"/>
      <c r="G293" s="8" t="str">
        <f t="shared" si="3"/>
        <v>16</v>
      </c>
      <c r="H293" s="9">
        <f t="shared" si="4"/>
        <v>16</v>
      </c>
      <c r="I293" s="6" t="str">
        <f>IFERROR(__xludf.DUMMYFUNCTION("MAX(FILTER($H:$H,$E:$E=F293))"),"#N/A")</f>
        <v>#N/A</v>
      </c>
    </row>
    <row r="294">
      <c r="C294" s="4" t="s">
        <v>2479</v>
      </c>
      <c r="D294" s="4" t="str">
        <f t="shared" si="1"/>
        <v>{"valorA":"ventilador","valorB":20}</v>
      </c>
      <c r="E294" s="8" t="str">
        <f t="shared" si="2"/>
        <v>ventilador</v>
      </c>
      <c r="F294" s="8"/>
      <c r="G294" s="8" t="str">
        <f t="shared" si="3"/>
        <v>20</v>
      </c>
      <c r="H294" s="9">
        <f t="shared" si="4"/>
        <v>20</v>
      </c>
      <c r="I294" s="6" t="str">
        <f>IFERROR(__xludf.DUMMYFUNCTION("MAX(FILTER($H:$H,$E:$E=F294))"),"#N/A")</f>
        <v>#N/A</v>
      </c>
    </row>
    <row r="295">
      <c r="C295" s="4" t="s">
        <v>2380</v>
      </c>
      <c r="D295" s="4" t="str">
        <f t="shared" si="1"/>
        <v>{"valorA":"chuveiro elétrico","valorB":17}</v>
      </c>
      <c r="E295" s="8" t="str">
        <f t="shared" si="2"/>
        <v>chuveiro elétrico</v>
      </c>
      <c r="F295" s="8"/>
      <c r="G295" s="8" t="str">
        <f t="shared" si="3"/>
        <v>17</v>
      </c>
      <c r="H295" s="9">
        <f t="shared" si="4"/>
        <v>17</v>
      </c>
      <c r="I295" s="6" t="str">
        <f>IFERROR(__xludf.DUMMYFUNCTION("MAX(FILTER($H:$H,$E:$E=F295))"),"#N/A")</f>
        <v>#N/A</v>
      </c>
    </row>
    <row r="296">
      <c r="C296" s="4" t="s">
        <v>2512</v>
      </c>
      <c r="D296" s="4" t="str">
        <f t="shared" si="1"/>
        <v>{"valorA":"celular","valorB":16}</v>
      </c>
      <c r="E296" s="8" t="str">
        <f t="shared" si="2"/>
        <v>celular</v>
      </c>
      <c r="F296" s="8"/>
      <c r="G296" s="8" t="str">
        <f t="shared" si="3"/>
        <v>16</v>
      </c>
      <c r="H296" s="9">
        <f t="shared" si="4"/>
        <v>16</v>
      </c>
      <c r="I296" s="6" t="str">
        <f>IFERROR(__xludf.DUMMYFUNCTION("MAX(FILTER($H:$H,$E:$E=F296))"),"#N/A")</f>
        <v>#N/A</v>
      </c>
    </row>
    <row r="297">
      <c r="C297" s="4" t="s">
        <v>2349</v>
      </c>
      <c r="D297" s="4" t="str">
        <f t="shared" si="1"/>
        <v>{"valorA":"carregador de computador","valorB":11}</v>
      </c>
      <c r="E297" s="8" t="str">
        <f t="shared" si="2"/>
        <v>carregador de computador</v>
      </c>
      <c r="F297" s="8"/>
      <c r="G297" s="8" t="str">
        <f t="shared" si="3"/>
        <v>11</v>
      </c>
      <c r="H297" s="9">
        <f t="shared" si="4"/>
        <v>11</v>
      </c>
      <c r="I297" s="6" t="str">
        <f>IFERROR(__xludf.DUMMYFUNCTION("MAX(FILTER($H:$H,$E:$E=F297))"),"#N/A")</f>
        <v>#N/A</v>
      </c>
    </row>
    <row r="298">
      <c r="C298" s="4" t="s">
        <v>2323</v>
      </c>
      <c r="D298" s="4" t="str">
        <f t="shared" si="1"/>
        <v>{"valorA":"fogão","valorB":11}</v>
      </c>
      <c r="E298" s="8" t="str">
        <f t="shared" si="2"/>
        <v>fogão</v>
      </c>
      <c r="F298" s="8"/>
      <c r="G298" s="8" t="str">
        <f t="shared" si="3"/>
        <v>11</v>
      </c>
      <c r="H298" s="9">
        <f t="shared" si="4"/>
        <v>11</v>
      </c>
      <c r="I298" s="6" t="str">
        <f>IFERROR(__xludf.DUMMYFUNCTION("MAX(FILTER($H:$H,$E:$E=F298))"),"#N/A")</f>
        <v>#N/A</v>
      </c>
    </row>
    <row r="299">
      <c r="C299" s="4" t="s">
        <v>2558</v>
      </c>
      <c r="D299" s="4" t="str">
        <f t="shared" si="1"/>
        <v>{"valorA":"celular","valorB":17}</v>
      </c>
      <c r="E299" s="8" t="str">
        <f t="shared" si="2"/>
        <v>celular</v>
      </c>
      <c r="F299" s="8"/>
      <c r="G299" s="8" t="str">
        <f t="shared" si="3"/>
        <v>17</v>
      </c>
      <c r="H299" s="9">
        <f t="shared" si="4"/>
        <v>17</v>
      </c>
      <c r="I299" s="6" t="str">
        <f>IFERROR(__xludf.DUMMYFUNCTION("MAX(FILTER($H:$H,$E:$E=F299))"),"#N/A")</f>
        <v>#N/A</v>
      </c>
    </row>
    <row r="300">
      <c r="C300" s="4" t="s">
        <v>2393</v>
      </c>
      <c r="D300" s="4" t="str">
        <f t="shared" si="1"/>
        <v>{"valorA":"chuveiro elétrico","valorB":18}</v>
      </c>
      <c r="E300" s="8" t="str">
        <f t="shared" si="2"/>
        <v>chuveiro elétrico</v>
      </c>
      <c r="F300" s="8"/>
      <c r="G300" s="8" t="str">
        <f t="shared" si="3"/>
        <v>18</v>
      </c>
      <c r="H300" s="9">
        <f t="shared" si="4"/>
        <v>18</v>
      </c>
      <c r="I300" s="6" t="str">
        <f>IFERROR(__xludf.DUMMYFUNCTION("MAX(FILTER($H:$H,$E:$E=F300))"),"#N/A")</f>
        <v>#N/A</v>
      </c>
    </row>
    <row r="301">
      <c r="C301" s="4" t="s">
        <v>2360</v>
      </c>
      <c r="D301" s="4" t="str">
        <f t="shared" si="1"/>
        <v>{"valorA":"roteador","valorB":13}</v>
      </c>
      <c r="E301" s="8" t="str">
        <f t="shared" si="2"/>
        <v>roteador</v>
      </c>
      <c r="F301" s="8"/>
      <c r="G301" s="8" t="str">
        <f t="shared" si="3"/>
        <v>13</v>
      </c>
      <c r="H301" s="9">
        <f t="shared" si="4"/>
        <v>13</v>
      </c>
      <c r="I301" s="6" t="str">
        <f>IFERROR(__xludf.DUMMYFUNCTION("MAX(FILTER($H:$H,$E:$E=F301))"),"#N/A")</f>
        <v>#N/A</v>
      </c>
    </row>
    <row r="302">
      <c r="C302" s="4" t="s">
        <v>2454</v>
      </c>
      <c r="D302" s="4" t="str">
        <f t="shared" si="1"/>
        <v>{"valorA":"filtro de linha","valorB":18}</v>
      </c>
      <c r="E302" s="8" t="str">
        <f t="shared" si="2"/>
        <v>filtro de linha</v>
      </c>
      <c r="F302" s="8"/>
      <c r="G302" s="8" t="str">
        <f t="shared" si="3"/>
        <v>18</v>
      </c>
      <c r="H302" s="9">
        <f t="shared" si="4"/>
        <v>18</v>
      </c>
      <c r="I302" s="6" t="str">
        <f>IFERROR(__xludf.DUMMYFUNCTION("MAX(FILTER($H:$H,$E:$E=F302))"),"#N/A")</f>
        <v>#N/A</v>
      </c>
    </row>
    <row r="303">
      <c r="C303" s="4" t="s">
        <v>2426</v>
      </c>
      <c r="D303" s="4" t="str">
        <f t="shared" si="1"/>
        <v>{"valorA":"computador","valorB":17}</v>
      </c>
      <c r="E303" s="8" t="str">
        <f t="shared" si="2"/>
        <v>computador</v>
      </c>
      <c r="F303" s="8"/>
      <c r="G303" s="8" t="str">
        <f t="shared" si="3"/>
        <v>17</v>
      </c>
      <c r="H303" s="9">
        <f t="shared" si="4"/>
        <v>17</v>
      </c>
      <c r="I303" s="6" t="str">
        <f>IFERROR(__xludf.DUMMYFUNCTION("MAX(FILTER($H:$H,$E:$E=F303))"),"#N/A")</f>
        <v>#N/A</v>
      </c>
    </row>
    <row r="304">
      <c r="C304" s="4" t="s">
        <v>2384</v>
      </c>
      <c r="D304" s="4" t="str">
        <f t="shared" si="1"/>
        <v>{"valorA":"mouse de computador","valorB":10}</v>
      </c>
      <c r="E304" s="8" t="str">
        <f t="shared" si="2"/>
        <v>mouse de computador</v>
      </c>
      <c r="F304" s="8"/>
      <c r="G304" s="8" t="str">
        <f t="shared" si="3"/>
        <v>10</v>
      </c>
      <c r="H304" s="9">
        <f t="shared" si="4"/>
        <v>10</v>
      </c>
      <c r="I304" s="6" t="str">
        <f>IFERROR(__xludf.DUMMYFUNCTION("MAX(FILTER($H:$H,$E:$E=F304))"),"#N/A")</f>
        <v>#N/A</v>
      </c>
    </row>
    <row r="305">
      <c r="C305" s="4" t="s">
        <v>2366</v>
      </c>
      <c r="D305" s="4" t="str">
        <f t="shared" si="1"/>
        <v>{"valorA":"carregador de computador","valorB":12}</v>
      </c>
      <c r="E305" s="8" t="str">
        <f t="shared" si="2"/>
        <v>carregador de computador</v>
      </c>
      <c r="F305" s="8"/>
      <c r="G305" s="8" t="str">
        <f t="shared" si="3"/>
        <v>12</v>
      </c>
      <c r="H305" s="9">
        <f t="shared" si="4"/>
        <v>12</v>
      </c>
      <c r="I305" s="6" t="str">
        <f>IFERROR(__xludf.DUMMYFUNCTION("MAX(FILTER($H:$H,$E:$E=F305))"),"#N/A")</f>
        <v>#N/A</v>
      </c>
    </row>
    <row r="306">
      <c r="C306" s="4" t="s">
        <v>2455</v>
      </c>
      <c r="D306" s="4" t="str">
        <f t="shared" si="1"/>
        <v>{"valorA":"relógio","valorB":16}</v>
      </c>
      <c r="E306" s="8" t="str">
        <f t="shared" si="2"/>
        <v>relógio</v>
      </c>
      <c r="F306" s="8"/>
      <c r="G306" s="8" t="str">
        <f t="shared" si="3"/>
        <v>16</v>
      </c>
      <c r="H306" s="9">
        <f t="shared" si="4"/>
        <v>16</v>
      </c>
      <c r="I306" s="6" t="str">
        <f>IFERROR(__xludf.DUMMYFUNCTION("MAX(FILTER($H:$H,$E:$E=F306))"),"#N/A")</f>
        <v>#N/A</v>
      </c>
    </row>
    <row r="307">
      <c r="C307" s="4" t="s">
        <v>2407</v>
      </c>
      <c r="D307" s="4" t="str">
        <f t="shared" si="1"/>
        <v>{"valorA":"purificador de água","valorB":12}</v>
      </c>
      <c r="E307" s="8" t="str">
        <f t="shared" si="2"/>
        <v>purificador de água</v>
      </c>
      <c r="F307" s="8"/>
      <c r="G307" s="8" t="str">
        <f t="shared" si="3"/>
        <v>12</v>
      </c>
      <c r="H307" s="9">
        <f t="shared" si="4"/>
        <v>12</v>
      </c>
      <c r="I307" s="6" t="str">
        <f>IFERROR(__xludf.DUMMYFUNCTION("MAX(FILTER($H:$H,$E:$E=F307))"),"#N/A")</f>
        <v>#N/A</v>
      </c>
    </row>
    <row r="308">
      <c r="C308" s="4" t="s">
        <v>1738</v>
      </c>
      <c r="D308" s="4" t="str">
        <f t="shared" si="1"/>
        <v>{"valorA":"microondas","valorB":23}</v>
      </c>
      <c r="E308" s="8" t="str">
        <f t="shared" si="2"/>
        <v>microondas</v>
      </c>
      <c r="F308" s="8"/>
      <c r="G308" s="8" t="str">
        <f t="shared" si="3"/>
        <v>23</v>
      </c>
      <c r="H308" s="9">
        <f t="shared" si="4"/>
        <v>23</v>
      </c>
      <c r="I308" s="6" t="str">
        <f>IFERROR(__xludf.DUMMYFUNCTION("MAX(FILTER($H:$H,$E:$E=F308))"),"#N/A")</f>
        <v>#N/A</v>
      </c>
    </row>
    <row r="309">
      <c r="C309" s="4" t="s">
        <v>2388</v>
      </c>
      <c r="D309" s="4" t="str">
        <f t="shared" si="1"/>
        <v>{"valorA":"mouse de computador","valorB":11}</v>
      </c>
      <c r="E309" s="8" t="str">
        <f t="shared" si="2"/>
        <v>mouse de computador</v>
      </c>
      <c r="F309" s="8"/>
      <c r="G309" s="8" t="str">
        <f t="shared" si="3"/>
        <v>11</v>
      </c>
      <c r="H309" s="9">
        <f t="shared" si="4"/>
        <v>11</v>
      </c>
      <c r="I309" s="6" t="str">
        <f>IFERROR(__xludf.DUMMYFUNCTION("MAX(FILTER($H:$H,$E:$E=F309))"),"#N/A")</f>
        <v>#N/A</v>
      </c>
    </row>
    <row r="310">
      <c r="C310" s="4" t="s">
        <v>2434</v>
      </c>
      <c r="D310" s="4" t="str">
        <f t="shared" si="1"/>
        <v>{"valorA":"computador","valorB":18}</v>
      </c>
      <c r="E310" s="8" t="str">
        <f t="shared" si="2"/>
        <v>computador</v>
      </c>
      <c r="F310" s="8"/>
      <c r="G310" s="8" t="str">
        <f t="shared" si="3"/>
        <v>18</v>
      </c>
      <c r="H310" s="9">
        <f t="shared" si="4"/>
        <v>18</v>
      </c>
      <c r="I310" s="6" t="str">
        <f>IFERROR(__xludf.DUMMYFUNCTION("MAX(FILTER($H:$H,$E:$E=F310))"),"#N/A")</f>
        <v>#N/A</v>
      </c>
    </row>
    <row r="311">
      <c r="C311" s="4" t="s">
        <v>2489</v>
      </c>
      <c r="D311" s="4" t="str">
        <f t="shared" si="1"/>
        <v>{"valorA":"ventilador","valorB":21}</v>
      </c>
      <c r="E311" s="8" t="str">
        <f t="shared" si="2"/>
        <v>ventilador</v>
      </c>
      <c r="F311" s="8"/>
      <c r="G311" s="8" t="str">
        <f t="shared" si="3"/>
        <v>21</v>
      </c>
      <c r="H311" s="9">
        <f t="shared" si="4"/>
        <v>21</v>
      </c>
      <c r="I311" s="6" t="str">
        <f>IFERROR(__xludf.DUMMYFUNCTION("MAX(FILTER($H:$H,$E:$E=F311))"),"#N/A")</f>
        <v>#N/A</v>
      </c>
    </row>
    <row r="312">
      <c r="C312" s="4" t="s">
        <v>2563</v>
      </c>
      <c r="D312" s="4" t="str">
        <f t="shared" si="1"/>
        <v>{"valorA":"celular","valorB":18}</v>
      </c>
      <c r="E312" s="8" t="str">
        <f t="shared" si="2"/>
        <v>celular</v>
      </c>
      <c r="F312" s="8"/>
      <c r="G312" s="8" t="str">
        <f t="shared" si="3"/>
        <v>18</v>
      </c>
      <c r="H312" s="9">
        <f t="shared" si="4"/>
        <v>18</v>
      </c>
      <c r="I312" s="6" t="str">
        <f>IFERROR(__xludf.DUMMYFUNCTION("MAX(FILTER($H:$H,$E:$E=F312))"),"#N/A")</f>
        <v>#N/A</v>
      </c>
    </row>
    <row r="313">
      <c r="C313" s="4" t="s">
        <v>2471</v>
      </c>
      <c r="D313" s="4" t="str">
        <f t="shared" si="1"/>
        <v>{"valorA":"computador","valorB":19}</v>
      </c>
      <c r="E313" s="8" t="str">
        <f t="shared" si="2"/>
        <v>computador</v>
      </c>
      <c r="F313" s="8"/>
      <c r="G313" s="8" t="str">
        <f t="shared" si="3"/>
        <v>19</v>
      </c>
      <c r="H313" s="9">
        <f t="shared" si="4"/>
        <v>19</v>
      </c>
      <c r="I313" s="6" t="str">
        <f>IFERROR(__xludf.DUMMYFUNCTION("MAX(FILTER($H:$H,$E:$E=F313))"),"#N/A")</f>
        <v>#N/A</v>
      </c>
    </row>
    <row r="314">
      <c r="C314" s="4" t="s">
        <v>2435</v>
      </c>
      <c r="D314" s="4" t="str">
        <f t="shared" si="1"/>
        <v>{"valorA":"fone de ouvido","valorB":15}</v>
      </c>
      <c r="E314" s="8" t="str">
        <f t="shared" si="2"/>
        <v>fone de ouvido</v>
      </c>
      <c r="F314" s="8"/>
      <c r="G314" s="8" t="str">
        <f t="shared" si="3"/>
        <v>15</v>
      </c>
      <c r="H314" s="9">
        <f t="shared" si="4"/>
        <v>15</v>
      </c>
      <c r="I314" s="6" t="str">
        <f>IFERROR(__xludf.DUMMYFUNCTION("MAX(FILTER($H:$H,$E:$E=F314))"),"#N/A")</f>
        <v>#N/A</v>
      </c>
    </row>
    <row r="315">
      <c r="C315" s="4" t="s">
        <v>2365</v>
      </c>
      <c r="D315" s="4" t="str">
        <f t="shared" si="1"/>
        <v>{"valorA":"roteador","valorB":14}</v>
      </c>
      <c r="E315" s="8" t="str">
        <f t="shared" si="2"/>
        <v>roteador</v>
      </c>
      <c r="F315" s="8"/>
      <c r="G315" s="8" t="str">
        <f t="shared" si="3"/>
        <v>14</v>
      </c>
      <c r="H315" s="9">
        <f t="shared" si="4"/>
        <v>14</v>
      </c>
      <c r="I315" s="6" t="str">
        <f>IFERROR(__xludf.DUMMYFUNCTION("MAX(FILTER($H:$H,$E:$E=F315))"),"#N/A")</f>
        <v>#N/A</v>
      </c>
    </row>
    <row r="316">
      <c r="C316" s="4" t="s">
        <v>2495</v>
      </c>
      <c r="D316" s="4" t="str">
        <f t="shared" si="1"/>
        <v>{"valorA":"ventilador","valorB":22}</v>
      </c>
      <c r="E316" s="8" t="str">
        <f t="shared" si="2"/>
        <v>ventilador</v>
      </c>
      <c r="F316" s="8"/>
      <c r="G316" s="8" t="str">
        <f t="shared" si="3"/>
        <v>22</v>
      </c>
      <c r="H316" s="9">
        <f t="shared" si="4"/>
        <v>22</v>
      </c>
      <c r="I316" s="6" t="str">
        <f>IFERROR(__xludf.DUMMYFUNCTION("MAX(FILTER($H:$H,$E:$E=F316))"),"#N/A")</f>
        <v>#N/A</v>
      </c>
    </row>
    <row r="317">
      <c r="C317" s="4" t="s">
        <v>2400</v>
      </c>
      <c r="D317" s="4" t="str">
        <f t="shared" si="1"/>
        <v>{"valorA":"chuveiro elétrico","valorB":19}</v>
      </c>
      <c r="E317" s="8" t="str">
        <f t="shared" si="2"/>
        <v>chuveiro elétrico</v>
      </c>
      <c r="F317" s="8"/>
      <c r="G317" s="8" t="str">
        <f t="shared" si="3"/>
        <v>19</v>
      </c>
      <c r="H317" s="9">
        <f t="shared" si="4"/>
        <v>19</v>
      </c>
      <c r="I317" s="6" t="str">
        <f>IFERROR(__xludf.DUMMYFUNCTION("MAX(FILTER($H:$H,$E:$E=F317))"),"#N/A")</f>
        <v>#N/A</v>
      </c>
    </row>
    <row r="318">
      <c r="C318" s="4" t="s">
        <v>2417</v>
      </c>
      <c r="D318" s="4" t="str">
        <f t="shared" si="1"/>
        <v>{"valorA":"purificador de água","valorB":13}</v>
      </c>
      <c r="E318" s="8" t="str">
        <f t="shared" si="2"/>
        <v>purificador de água</v>
      </c>
      <c r="F318" s="8"/>
      <c r="G318" s="8" t="str">
        <f t="shared" si="3"/>
        <v>13</v>
      </c>
      <c r="H318" s="9">
        <f t="shared" si="4"/>
        <v>13</v>
      </c>
      <c r="I318" s="6" t="str">
        <f>IFERROR(__xludf.DUMMYFUNCTION("MAX(FILTER($H:$H,$E:$E=F318))"),"#N/A")</f>
        <v>#N/A</v>
      </c>
    </row>
    <row r="319">
      <c r="C319" s="4" t="s">
        <v>2482</v>
      </c>
      <c r="D319" s="4" t="str">
        <f t="shared" si="1"/>
        <v>{"valorA":"relógio","valorB":17}</v>
      </c>
      <c r="E319" s="8" t="str">
        <f t="shared" si="2"/>
        <v>relógio</v>
      </c>
      <c r="F319" s="8"/>
      <c r="G319" s="8" t="str">
        <f t="shared" si="3"/>
        <v>17</v>
      </c>
      <c r="H319" s="9">
        <f t="shared" si="4"/>
        <v>17</v>
      </c>
      <c r="I319" s="6" t="str">
        <f>IFERROR(__xludf.DUMMYFUNCTION("MAX(FILTER($H:$H,$E:$E=F319))"),"#N/A")</f>
        <v>#N/A</v>
      </c>
    </row>
    <row r="320">
      <c r="C320" s="4" t="s">
        <v>2481</v>
      </c>
      <c r="D320" s="4" t="str">
        <f t="shared" si="1"/>
        <v>{"valorA":"computador","valorB":20}</v>
      </c>
      <c r="E320" s="8" t="str">
        <f t="shared" si="2"/>
        <v>computador</v>
      </c>
      <c r="F320" s="8"/>
      <c r="G320" s="8" t="str">
        <f t="shared" si="3"/>
        <v>20</v>
      </c>
      <c r="H320" s="9">
        <f t="shared" si="4"/>
        <v>20</v>
      </c>
      <c r="I320" s="6" t="str">
        <f>IFERROR(__xludf.DUMMYFUNCTION("MAX(FILTER($H:$H,$E:$E=F320))"),"#N/A")</f>
        <v>#N/A</v>
      </c>
    </row>
    <row r="321">
      <c r="C321" s="4" t="s">
        <v>2413</v>
      </c>
      <c r="D321" s="4" t="str">
        <f t="shared" si="1"/>
        <v>{"valorA":"mouse de computador","valorB":12}</v>
      </c>
      <c r="E321" s="8" t="str">
        <f t="shared" si="2"/>
        <v>mouse de computador</v>
      </c>
      <c r="F321" s="8"/>
      <c r="G321" s="8" t="str">
        <f t="shared" si="3"/>
        <v>12</v>
      </c>
      <c r="H321" s="9">
        <f t="shared" si="4"/>
        <v>12</v>
      </c>
      <c r="I321" s="6" t="str">
        <f>IFERROR(__xludf.DUMMYFUNCTION("MAX(FILTER($H:$H,$E:$E=F321))"),"#N/A")</f>
        <v>#N/A</v>
      </c>
    </row>
    <row r="322">
      <c r="C322" s="4" t="s">
        <v>2421</v>
      </c>
      <c r="D322" s="4" t="str">
        <f t="shared" si="1"/>
        <v>{"valorA":"carregador de celular","valorB":13}</v>
      </c>
      <c r="E322" s="8" t="str">
        <f t="shared" si="2"/>
        <v>carregador de celular</v>
      </c>
      <c r="F322" s="8"/>
      <c r="G322" s="8" t="str">
        <f t="shared" si="3"/>
        <v>13</v>
      </c>
      <c r="H322" s="9">
        <f t="shared" si="4"/>
        <v>13</v>
      </c>
      <c r="I322" s="6" t="str">
        <f>IFERROR(__xludf.DUMMYFUNCTION("MAX(FILTER($H:$H,$E:$E=F322))"),"#N/A")</f>
        <v>#N/A</v>
      </c>
    </row>
    <row r="323">
      <c r="C323" s="4" t="s">
        <v>2420</v>
      </c>
      <c r="D323" s="4" t="str">
        <f t="shared" si="1"/>
        <v>{"valorA":"teclado de computador","valorB":20}</v>
      </c>
      <c r="E323" s="8" t="str">
        <f t="shared" si="2"/>
        <v>teclado de computador</v>
      </c>
      <c r="F323" s="8"/>
      <c r="G323" s="8" t="str">
        <f t="shared" si="3"/>
        <v>20</v>
      </c>
      <c r="H323" s="9">
        <f t="shared" si="4"/>
        <v>20</v>
      </c>
      <c r="I323" s="6" t="str">
        <f>IFERROR(__xludf.DUMMYFUNCTION("MAX(FILTER($H:$H,$E:$E=F323))"),"#N/A")</f>
        <v>#N/A</v>
      </c>
    </row>
    <row r="324">
      <c r="C324" s="4" t="s">
        <v>2333</v>
      </c>
      <c r="D324" s="4" t="str">
        <f t="shared" si="1"/>
        <v>{"valorA":"liquidificador","valorB":14}</v>
      </c>
      <c r="E324" s="8" t="str">
        <f t="shared" si="2"/>
        <v>liquidificador</v>
      </c>
      <c r="F324" s="8"/>
      <c r="G324" s="8" t="str">
        <f t="shared" si="3"/>
        <v>14</v>
      </c>
      <c r="H324" s="9">
        <f t="shared" si="4"/>
        <v>14</v>
      </c>
      <c r="I324" s="6" t="str">
        <f>IFERROR(__xludf.DUMMYFUNCTION("MAX(FILTER($H:$H,$E:$E=F324))"),"#N/A")</f>
        <v>#N/A</v>
      </c>
    </row>
    <row r="325">
      <c r="C325" s="4" t="s">
        <v>1740</v>
      </c>
      <c r="D325" s="4" t="str">
        <f t="shared" si="1"/>
        <v>{"valorA":"microondas","valorB":24}</v>
      </c>
      <c r="E325" s="8" t="str">
        <f t="shared" si="2"/>
        <v>microondas</v>
      </c>
      <c r="F325" s="8"/>
      <c r="G325" s="8" t="str">
        <f t="shared" si="3"/>
        <v>24</v>
      </c>
      <c r="H325" s="9">
        <f t="shared" si="4"/>
        <v>24</v>
      </c>
      <c r="I325" s="6" t="str">
        <f>IFERROR(__xludf.DUMMYFUNCTION("MAX(FILTER($H:$H,$E:$E=F325))"),"#N/A")</f>
        <v>#N/A</v>
      </c>
    </row>
    <row r="326">
      <c r="C326" s="4" t="s">
        <v>2328</v>
      </c>
      <c r="D326" s="4" t="str">
        <f t="shared" si="1"/>
        <v>{"valorA":"fogão","valorB":12}</v>
      </c>
      <c r="E326" s="8" t="str">
        <f t="shared" si="2"/>
        <v>fogão</v>
      </c>
      <c r="F326" s="8"/>
      <c r="G326" s="8" t="str">
        <f t="shared" si="3"/>
        <v>12</v>
      </c>
      <c r="H326" s="9">
        <f t="shared" si="4"/>
        <v>12</v>
      </c>
      <c r="I326" s="6" t="str">
        <f>IFERROR(__xludf.DUMMYFUNCTION("MAX(FILTER($H:$H,$E:$E=F326))"),"#N/A")</f>
        <v>#N/A</v>
      </c>
    </row>
    <row r="327">
      <c r="C327" s="4" t="s">
        <v>2405</v>
      </c>
      <c r="D327" s="4" t="str">
        <f t="shared" si="1"/>
        <v>{"valorA":"carregador de computador","valorB":13}</v>
      </c>
      <c r="E327" s="8" t="str">
        <f t="shared" si="2"/>
        <v>carregador de computador</v>
      </c>
      <c r="F327" s="8"/>
      <c r="G327" s="8" t="str">
        <f t="shared" si="3"/>
        <v>13</v>
      </c>
      <c r="H327" s="9">
        <f t="shared" si="4"/>
        <v>13</v>
      </c>
      <c r="I327" s="6" t="str">
        <f>IFERROR(__xludf.DUMMYFUNCTION("MAX(FILTER($H:$H,$E:$E=F327))"),"#N/A")</f>
        <v>#N/A</v>
      </c>
    </row>
    <row r="328">
      <c r="C328" s="4" t="s">
        <v>2424</v>
      </c>
      <c r="D328" s="4" t="str">
        <f t="shared" si="1"/>
        <v>{"valorA":"chuveiro elétrico","valorB":20}</v>
      </c>
      <c r="E328" s="8" t="str">
        <f t="shared" si="2"/>
        <v>chuveiro elétrico</v>
      </c>
      <c r="F328" s="8"/>
      <c r="G328" s="8" t="str">
        <f t="shared" si="3"/>
        <v>20</v>
      </c>
      <c r="H328" s="9">
        <f t="shared" si="4"/>
        <v>20</v>
      </c>
      <c r="I328" s="6" t="str">
        <f>IFERROR(__xludf.DUMMYFUNCTION("MAX(FILTER($H:$H,$E:$E=F328))"),"#N/A")</f>
        <v>#N/A</v>
      </c>
    </row>
    <row r="329">
      <c r="C329" s="4" t="s">
        <v>1743</v>
      </c>
      <c r="D329" s="4" t="str">
        <f t="shared" si="1"/>
        <v>{"valorA":"microondas","valorB":25}</v>
      </c>
      <c r="E329" s="8" t="str">
        <f t="shared" si="2"/>
        <v>microondas</v>
      </c>
      <c r="F329" s="8"/>
      <c r="G329" s="8" t="str">
        <f t="shared" si="3"/>
        <v>25</v>
      </c>
      <c r="H329" s="9">
        <f t="shared" si="4"/>
        <v>25</v>
      </c>
      <c r="I329" s="6" t="str">
        <f>IFERROR(__xludf.DUMMYFUNCTION("MAX(FILTER($H:$H,$E:$E=F329))"),"#N/A")</f>
        <v>#N/A</v>
      </c>
    </row>
    <row r="330">
      <c r="C330" s="4" t="s">
        <v>2408</v>
      </c>
      <c r="D330" s="4" t="str">
        <f t="shared" si="1"/>
        <v>{"valorA":"carregador de computador","valorB":14}</v>
      </c>
      <c r="E330" s="8" t="str">
        <f t="shared" si="2"/>
        <v>carregador de computador</v>
      </c>
      <c r="F330" s="8"/>
      <c r="G330" s="8" t="str">
        <f t="shared" si="3"/>
        <v>14</v>
      </c>
      <c r="H330" s="9">
        <f t="shared" si="4"/>
        <v>14</v>
      </c>
      <c r="I330" s="6" t="str">
        <f>IFERROR(__xludf.DUMMYFUNCTION("MAX(FILTER($H:$H,$E:$E=F330))"),"#N/A")</f>
        <v>#N/A</v>
      </c>
    </row>
    <row r="331">
      <c r="C331" s="4" t="s">
        <v>2485</v>
      </c>
      <c r="D331" s="4" t="str">
        <f t="shared" si="1"/>
        <v>{"valorA":"mouse de computador","valorB":13}</v>
      </c>
      <c r="E331" s="8" t="str">
        <f t="shared" si="2"/>
        <v>mouse de computador</v>
      </c>
      <c r="F331" s="8"/>
      <c r="G331" s="8" t="str">
        <f t="shared" si="3"/>
        <v>13</v>
      </c>
      <c r="H331" s="9">
        <f t="shared" si="4"/>
        <v>13</v>
      </c>
      <c r="I331" s="6" t="str">
        <f>IFERROR(__xludf.DUMMYFUNCTION("MAX(FILTER($H:$H,$E:$E=F331))"),"#N/A")</f>
        <v>#N/A</v>
      </c>
    </row>
    <row r="332">
      <c r="C332" s="4" t="s">
        <v>1726</v>
      </c>
      <c r="D332" s="4" t="str">
        <f t="shared" si="1"/>
        <v>{"valorA":"ar condicionado","valorB":19}</v>
      </c>
      <c r="E332" s="8" t="str">
        <f t="shared" si="2"/>
        <v>ar condicionado</v>
      </c>
      <c r="F332" s="8"/>
      <c r="G332" s="8" t="str">
        <f t="shared" si="3"/>
        <v>19</v>
      </c>
      <c r="H332" s="9">
        <f t="shared" si="4"/>
        <v>19</v>
      </c>
      <c r="I332" s="6" t="str">
        <f>IFERROR(__xludf.DUMMYFUNCTION("MAX(FILTER($H:$H,$E:$E=F332))"),"#N/A")</f>
        <v>#N/A</v>
      </c>
    </row>
    <row r="333">
      <c r="C333" s="4" t="s">
        <v>2433</v>
      </c>
      <c r="D333" s="4" t="str">
        <f t="shared" si="1"/>
        <v>{"valorA":"carregador de celular","valorB":14}</v>
      </c>
      <c r="E333" s="8" t="str">
        <f t="shared" si="2"/>
        <v>carregador de celular</v>
      </c>
      <c r="F333" s="8"/>
      <c r="G333" s="8" t="str">
        <f t="shared" si="3"/>
        <v>14</v>
      </c>
      <c r="H333" s="9">
        <f t="shared" si="4"/>
        <v>14</v>
      </c>
      <c r="I333" s="6" t="str">
        <f>IFERROR(__xludf.DUMMYFUNCTION("MAX(FILTER($H:$H,$E:$E=F333))"),"#N/A")</f>
        <v>#N/A</v>
      </c>
    </row>
    <row r="334">
      <c r="C334" s="4" t="s">
        <v>2459</v>
      </c>
      <c r="D334" s="4" t="str">
        <f t="shared" si="1"/>
        <v>{"valorA":"filtro de linha","valorB":19}</v>
      </c>
      <c r="E334" s="8" t="str">
        <f t="shared" si="2"/>
        <v>filtro de linha</v>
      </c>
      <c r="F334" s="8"/>
      <c r="G334" s="8" t="str">
        <f t="shared" si="3"/>
        <v>19</v>
      </c>
      <c r="H334" s="9">
        <f t="shared" si="4"/>
        <v>19</v>
      </c>
      <c r="I334" s="6" t="str">
        <f>IFERROR(__xludf.DUMMYFUNCTION("MAX(FILTER($H:$H,$E:$E=F334))"),"#N/A")</f>
        <v>#N/A</v>
      </c>
    </row>
    <row r="335">
      <c r="C335" s="4" t="s">
        <v>2458</v>
      </c>
      <c r="D335" s="4" t="str">
        <f t="shared" si="1"/>
        <v>{"valorA":"carregador de celular","valorB":15}</v>
      </c>
      <c r="E335" s="8" t="str">
        <f t="shared" si="2"/>
        <v>carregador de celular</v>
      </c>
      <c r="F335" s="8"/>
      <c r="G335" s="8" t="str">
        <f t="shared" si="3"/>
        <v>15</v>
      </c>
      <c r="H335" s="9">
        <f t="shared" si="4"/>
        <v>15</v>
      </c>
      <c r="I335" s="6" t="str">
        <f>IFERROR(__xludf.DUMMYFUNCTION("MAX(FILTER($H:$H,$E:$E=F335))"),"#N/A")</f>
        <v>#N/A</v>
      </c>
    </row>
    <row r="336">
      <c r="C336" s="4" t="s">
        <v>2422</v>
      </c>
      <c r="D336" s="4" t="str">
        <f t="shared" si="1"/>
        <v>{"valorA":"carregador de computador","valorB":15}</v>
      </c>
      <c r="E336" s="8" t="str">
        <f t="shared" si="2"/>
        <v>carregador de computador</v>
      </c>
      <c r="F336" s="8"/>
      <c r="G336" s="8" t="str">
        <f t="shared" si="3"/>
        <v>15</v>
      </c>
      <c r="H336" s="9">
        <f t="shared" si="4"/>
        <v>15</v>
      </c>
      <c r="I336" s="6" t="str">
        <f>IFERROR(__xludf.DUMMYFUNCTION("MAX(FILTER($H:$H,$E:$E=F336))"),"#N/A")</f>
        <v>#N/A</v>
      </c>
    </row>
    <row r="337">
      <c r="C337" s="4" t="s">
        <v>2377</v>
      </c>
      <c r="D337" s="4" t="str">
        <f t="shared" si="1"/>
        <v>{"valorA":"roteador","valorB":15}</v>
      </c>
      <c r="E337" s="8" t="str">
        <f t="shared" si="2"/>
        <v>roteador</v>
      </c>
      <c r="F337" s="8"/>
      <c r="G337" s="8" t="str">
        <f t="shared" si="3"/>
        <v>15</v>
      </c>
      <c r="H337" s="9">
        <f t="shared" si="4"/>
        <v>15</v>
      </c>
      <c r="I337" s="6" t="str">
        <f>IFERROR(__xludf.DUMMYFUNCTION("MAX(FILTER($H:$H,$E:$E=F337))"),"#N/A")</f>
        <v>#N/A</v>
      </c>
    </row>
    <row r="338">
      <c r="C338" s="4" t="s">
        <v>2488</v>
      </c>
      <c r="D338" s="4" t="str">
        <f t="shared" si="1"/>
        <v>{"valorA":"computador","valorB":21}</v>
      </c>
      <c r="E338" s="8" t="str">
        <f t="shared" si="2"/>
        <v>computador</v>
      </c>
      <c r="F338" s="8"/>
      <c r="G338" s="8" t="str">
        <f t="shared" si="3"/>
        <v>21</v>
      </c>
      <c r="H338" s="9">
        <f t="shared" si="4"/>
        <v>21</v>
      </c>
      <c r="I338" s="6" t="str">
        <f>IFERROR(__xludf.DUMMYFUNCTION("MAX(FILTER($H:$H,$E:$E=F338))"),"#N/A")</f>
        <v>#N/A</v>
      </c>
    </row>
    <row r="339">
      <c r="C339" s="4" t="s">
        <v>2406</v>
      </c>
      <c r="D339" s="4" t="str">
        <f t="shared" si="1"/>
        <v>{"valorA":"lustre","valorB":11}</v>
      </c>
      <c r="E339" s="8" t="str">
        <f t="shared" si="2"/>
        <v>lustre</v>
      </c>
      <c r="F339" s="8"/>
      <c r="G339" s="8" t="str">
        <f t="shared" si="3"/>
        <v>11</v>
      </c>
      <c r="H339" s="9">
        <f t="shared" si="4"/>
        <v>11</v>
      </c>
      <c r="I339" s="6" t="str">
        <f>IFERROR(__xludf.DUMMYFUNCTION("MAX(FILTER($H:$H,$E:$E=F339))"),"#N/A")</f>
        <v>#N/A</v>
      </c>
    </row>
    <row r="340">
      <c r="C340" s="4" t="s">
        <v>2513</v>
      </c>
      <c r="D340" s="4" t="str">
        <f t="shared" si="1"/>
        <v>{"valorA":"computador","valorB":22}</v>
      </c>
      <c r="E340" s="8" t="str">
        <f t="shared" si="2"/>
        <v>computador</v>
      </c>
      <c r="F340" s="8"/>
      <c r="G340" s="8" t="str">
        <f t="shared" si="3"/>
        <v>22</v>
      </c>
      <c r="H340" s="9">
        <f t="shared" si="4"/>
        <v>22</v>
      </c>
      <c r="I340" s="6" t="str">
        <f>IFERROR(__xludf.DUMMYFUNCTION("MAX(FILTER($H:$H,$E:$E=F340))"),"#N/A")</f>
        <v>#N/A</v>
      </c>
    </row>
    <row r="341">
      <c r="C341" s="4" t="s">
        <v>2498</v>
      </c>
      <c r="D341" s="4" t="str">
        <f t="shared" si="1"/>
        <v>{"valorA":"ventilador","valorB":23}</v>
      </c>
      <c r="E341" s="8" t="str">
        <f t="shared" si="2"/>
        <v>ventilador</v>
      </c>
      <c r="F341" s="8"/>
      <c r="G341" s="8" t="str">
        <f t="shared" si="3"/>
        <v>23</v>
      </c>
      <c r="H341" s="9">
        <f t="shared" si="4"/>
        <v>23</v>
      </c>
      <c r="I341" s="6" t="str">
        <f>IFERROR(__xludf.DUMMYFUNCTION("MAX(FILTER($H:$H,$E:$E=F341))"),"#N/A")</f>
        <v>#N/A</v>
      </c>
    </row>
    <row r="342">
      <c r="C342" s="4" t="s">
        <v>1668</v>
      </c>
      <c r="D342" s="4" t="str">
        <f t="shared" si="1"/>
        <v>{"valorA":"freezer","valorB":10}</v>
      </c>
      <c r="E342" s="8" t="str">
        <f t="shared" si="2"/>
        <v>freezer</v>
      </c>
      <c r="F342" s="8"/>
      <c r="G342" s="8" t="str">
        <f t="shared" si="3"/>
        <v>10</v>
      </c>
      <c r="H342" s="9">
        <f t="shared" si="4"/>
        <v>10</v>
      </c>
      <c r="I342" s="6" t="str">
        <f>IFERROR(__xludf.DUMMYFUNCTION("MAX(FILTER($H:$H,$E:$E=F342))"),"#N/A")</f>
        <v>#N/A</v>
      </c>
    </row>
    <row r="343">
      <c r="C343" s="4" t="s">
        <v>2464</v>
      </c>
      <c r="D343" s="4" t="str">
        <f t="shared" si="1"/>
        <v>{"valorA":"fone de ouvido","valorB":16}</v>
      </c>
      <c r="E343" s="8" t="str">
        <f t="shared" si="2"/>
        <v>fone de ouvido</v>
      </c>
      <c r="F343" s="8"/>
      <c r="G343" s="8" t="str">
        <f t="shared" si="3"/>
        <v>16</v>
      </c>
      <c r="H343" s="9">
        <f t="shared" si="4"/>
        <v>16</v>
      </c>
      <c r="I343" s="6" t="str">
        <f>IFERROR(__xludf.DUMMYFUNCTION("MAX(FILTER($H:$H,$E:$E=F343))"),"#N/A")</f>
        <v>#N/A</v>
      </c>
    </row>
    <row r="344">
      <c r="C344" s="4" t="s">
        <v>2469</v>
      </c>
      <c r="D344" s="4" t="str">
        <f t="shared" si="1"/>
        <v>{"valorA":"purificador de água","valorB":14}</v>
      </c>
      <c r="E344" s="8" t="str">
        <f t="shared" si="2"/>
        <v>purificador de água</v>
      </c>
      <c r="F344" s="8"/>
      <c r="G344" s="8" t="str">
        <f t="shared" si="3"/>
        <v>14</v>
      </c>
      <c r="H344" s="9">
        <f t="shared" si="4"/>
        <v>14</v>
      </c>
      <c r="I344" s="6" t="str">
        <f>IFERROR(__xludf.DUMMYFUNCTION("MAX(FILTER($H:$H,$E:$E=F344))"),"#N/A")</f>
        <v>#N/A</v>
      </c>
    </row>
    <row r="345">
      <c r="C345" s="4" t="s">
        <v>2491</v>
      </c>
      <c r="D345" s="4" t="str">
        <f t="shared" si="1"/>
        <v>{"valorA":"filtro de linha","valorB":20}</v>
      </c>
      <c r="E345" s="8" t="str">
        <f t="shared" si="2"/>
        <v>filtro de linha</v>
      </c>
      <c r="F345" s="8"/>
      <c r="G345" s="8" t="str">
        <f t="shared" si="3"/>
        <v>20</v>
      </c>
      <c r="H345" s="9">
        <f t="shared" si="4"/>
        <v>20</v>
      </c>
      <c r="I345" s="6" t="str">
        <f>IFERROR(__xludf.DUMMYFUNCTION("MAX(FILTER($H:$H,$E:$E=F345))"),"#N/A")</f>
        <v>#N/A</v>
      </c>
    </row>
    <row r="346">
      <c r="C346" s="4" t="s">
        <v>2447</v>
      </c>
      <c r="D346" s="4" t="str">
        <f t="shared" si="1"/>
        <v>{"valorA":"lustre","valorB":12}</v>
      </c>
      <c r="E346" s="8" t="str">
        <f t="shared" si="2"/>
        <v>lustre</v>
      </c>
      <c r="F346" s="8"/>
      <c r="G346" s="8" t="str">
        <f t="shared" si="3"/>
        <v>12</v>
      </c>
      <c r="H346" s="9">
        <f t="shared" si="4"/>
        <v>12</v>
      </c>
      <c r="I346" s="6" t="str">
        <f>IFERROR(__xludf.DUMMYFUNCTION("MAX(FILTER($H:$H,$E:$E=F346))"),"#N/A")</f>
        <v>#N/A</v>
      </c>
    </row>
    <row r="347">
      <c r="C347" s="4" t="s">
        <v>2378</v>
      </c>
      <c r="D347" s="4" t="str">
        <f t="shared" si="1"/>
        <v>{"valorA":"liquidificador","valorB":15}</v>
      </c>
      <c r="E347" s="8" t="str">
        <f t="shared" si="2"/>
        <v>liquidificador</v>
      </c>
      <c r="F347" s="8"/>
      <c r="G347" s="8" t="str">
        <f t="shared" si="3"/>
        <v>15</v>
      </c>
      <c r="H347" s="9">
        <f t="shared" si="4"/>
        <v>15</v>
      </c>
      <c r="I347" s="6" t="str">
        <f>IFERROR(__xludf.DUMMYFUNCTION("MAX(FILTER($H:$H,$E:$E=F347))"),"#N/A")</f>
        <v>#N/A</v>
      </c>
    </row>
    <row r="348">
      <c r="C348" s="4" t="s">
        <v>2552</v>
      </c>
      <c r="D348" s="4" t="str">
        <f t="shared" si="1"/>
        <v>{"valorA":"aspirador","valorB":26}</v>
      </c>
      <c r="E348" s="8" t="str">
        <f t="shared" si="2"/>
        <v>aspirador</v>
      </c>
      <c r="F348" s="8"/>
      <c r="G348" s="8" t="str">
        <f t="shared" si="3"/>
        <v>26</v>
      </c>
      <c r="H348" s="9">
        <f t="shared" si="4"/>
        <v>26</v>
      </c>
      <c r="I348" s="6" t="str">
        <f>IFERROR(__xludf.DUMMYFUNCTION("MAX(FILTER($H:$H,$E:$E=F348))"),"#N/A")</f>
        <v>#N/A</v>
      </c>
    </row>
    <row r="349">
      <c r="C349" s="4" t="s">
        <v>1729</v>
      </c>
      <c r="D349" s="4" t="str">
        <f t="shared" si="1"/>
        <v>{"valorA":"ar condicionado","valorB":20}</v>
      </c>
      <c r="E349" s="8" t="str">
        <f t="shared" si="2"/>
        <v>ar condicionado</v>
      </c>
      <c r="F349" s="8"/>
      <c r="G349" s="8" t="str">
        <f t="shared" si="3"/>
        <v>20</v>
      </c>
      <c r="H349" s="9">
        <f t="shared" si="4"/>
        <v>20</v>
      </c>
      <c r="I349" s="6" t="str">
        <f>IFERROR(__xludf.DUMMYFUNCTION("MAX(FILTER($H:$H,$E:$E=F349))"),"#N/A")</f>
        <v>#N/A</v>
      </c>
    </row>
    <row r="350">
      <c r="C350" s="4" t="s">
        <v>1669</v>
      </c>
      <c r="D350" s="4" t="str">
        <f t="shared" si="1"/>
        <v>{"valorA":"freezer","valorB":11}</v>
      </c>
      <c r="E350" s="8" t="str">
        <f t="shared" si="2"/>
        <v>freezer</v>
      </c>
      <c r="F350" s="8"/>
      <c r="G350" s="8" t="str">
        <f t="shared" si="3"/>
        <v>11</v>
      </c>
      <c r="H350" s="9">
        <f t="shared" si="4"/>
        <v>11</v>
      </c>
      <c r="I350" s="6" t="str">
        <f>IFERROR(__xludf.DUMMYFUNCTION("MAX(FILTER($H:$H,$E:$E=F350))"),"#N/A")</f>
        <v>#N/A</v>
      </c>
    </row>
    <row r="351">
      <c r="C351" s="4" t="s">
        <v>1746</v>
      </c>
      <c r="D351" s="4" t="str">
        <f t="shared" si="1"/>
        <v>{"valorA":"microondas","valorB":26}</v>
      </c>
      <c r="E351" s="8" t="str">
        <f t="shared" si="2"/>
        <v>microondas</v>
      </c>
      <c r="F351" s="8"/>
      <c r="G351" s="8" t="str">
        <f t="shared" si="3"/>
        <v>26</v>
      </c>
      <c r="H351" s="9">
        <f t="shared" si="4"/>
        <v>26</v>
      </c>
      <c r="I351" s="6" t="str">
        <f>IFERROR(__xludf.DUMMYFUNCTION("MAX(FILTER($H:$H,$E:$E=F351))"),"#N/A")</f>
        <v>#N/A</v>
      </c>
    </row>
    <row r="352">
      <c r="C352" s="4" t="s">
        <v>2451</v>
      </c>
      <c r="D352" s="4" t="str">
        <f t="shared" si="1"/>
        <v>{"valorA":"lustre","valorB":13}</v>
      </c>
      <c r="E352" s="8" t="str">
        <f t="shared" si="2"/>
        <v>lustre</v>
      </c>
      <c r="F352" s="8"/>
      <c r="G352" s="8" t="str">
        <f t="shared" si="3"/>
        <v>13</v>
      </c>
      <c r="H352" s="9">
        <f t="shared" si="4"/>
        <v>13</v>
      </c>
      <c r="I352" s="6" t="str">
        <f>IFERROR(__xludf.DUMMYFUNCTION("MAX(FILTER($H:$H,$E:$E=F352))"),"#N/A")</f>
        <v>#N/A</v>
      </c>
    </row>
    <row r="353">
      <c r="C353" s="4" t="s">
        <v>2492</v>
      </c>
      <c r="D353" s="4" t="str">
        <f t="shared" si="1"/>
        <v>{"valorA":"purificador de água","valorB":15}</v>
      </c>
      <c r="E353" s="8" t="str">
        <f t="shared" si="2"/>
        <v>purificador de água</v>
      </c>
      <c r="F353" s="8"/>
      <c r="G353" s="8" t="str">
        <f t="shared" si="3"/>
        <v>15</v>
      </c>
      <c r="H353" s="9">
        <f t="shared" si="4"/>
        <v>15</v>
      </c>
      <c r="I353" s="6" t="str">
        <f>IFERROR(__xludf.DUMMYFUNCTION("MAX(FILTER($H:$H,$E:$E=F353))"),"#N/A")</f>
        <v>#N/A</v>
      </c>
    </row>
    <row r="354">
      <c r="C354" s="4" t="s">
        <v>2385</v>
      </c>
      <c r="D354" s="4" t="str">
        <f t="shared" si="1"/>
        <v>{"valorA":"liquidificador","valorB":16}</v>
      </c>
      <c r="E354" s="8" t="str">
        <f t="shared" si="2"/>
        <v>liquidificador</v>
      </c>
      <c r="F354" s="8"/>
      <c r="G354" s="8" t="str">
        <f t="shared" si="3"/>
        <v>16</v>
      </c>
      <c r="H354" s="9">
        <f t="shared" si="4"/>
        <v>16</v>
      </c>
      <c r="I354" s="6" t="str">
        <f>IFERROR(__xludf.DUMMYFUNCTION("MAX(FILTER($H:$H,$E:$E=F354))"),"#N/A")</f>
        <v>#N/A</v>
      </c>
    </row>
    <row r="355">
      <c r="C355" s="4" t="s">
        <v>2531</v>
      </c>
      <c r="D355" s="4" t="str">
        <f t="shared" si="1"/>
        <v>{"valorA":"mouse de computador","valorB":14}</v>
      </c>
      <c r="E355" s="8" t="str">
        <f t="shared" si="2"/>
        <v>mouse de computador</v>
      </c>
      <c r="F355" s="8"/>
      <c r="G355" s="8" t="str">
        <f t="shared" si="3"/>
        <v>14</v>
      </c>
      <c r="H355" s="9">
        <f t="shared" si="4"/>
        <v>14</v>
      </c>
      <c r="I355" s="6" t="str">
        <f>IFERROR(__xludf.DUMMYFUNCTION("MAX(FILTER($H:$H,$E:$E=F355))"),"#N/A")</f>
        <v>#N/A</v>
      </c>
    </row>
    <row r="356">
      <c r="C356" s="4" t="s">
        <v>1748</v>
      </c>
      <c r="D356" s="4" t="str">
        <f t="shared" si="1"/>
        <v>{"valorA":"microondas","valorB":27}</v>
      </c>
      <c r="E356" s="8" t="str">
        <f t="shared" si="2"/>
        <v>microondas</v>
      </c>
      <c r="F356" s="8"/>
      <c r="G356" s="8" t="str">
        <f t="shared" si="3"/>
        <v>27</v>
      </c>
      <c r="H356" s="9">
        <f t="shared" si="4"/>
        <v>27</v>
      </c>
      <c r="I356" s="6" t="str">
        <f>IFERROR(__xludf.DUMMYFUNCTION("MAX(FILTER($H:$H,$E:$E=F356))"),"#N/A")</f>
        <v>#N/A</v>
      </c>
    </row>
    <row r="357">
      <c r="C357" s="4" t="s">
        <v>1670</v>
      </c>
      <c r="D357" s="4" t="str">
        <f t="shared" si="1"/>
        <v>{"valorA":"freezer","valorB":12}</v>
      </c>
      <c r="E357" s="8" t="str">
        <f t="shared" si="2"/>
        <v>freezer</v>
      </c>
      <c r="F357" s="8"/>
      <c r="G357" s="8" t="str">
        <f t="shared" si="3"/>
        <v>12</v>
      </c>
      <c r="H357" s="9">
        <f t="shared" si="4"/>
        <v>12</v>
      </c>
      <c r="I357" s="6" t="str">
        <f>IFERROR(__xludf.DUMMYFUNCTION("MAX(FILTER($H:$H,$E:$E=F357))"),"#N/A")</f>
        <v>#N/A</v>
      </c>
    </row>
    <row r="358">
      <c r="C358" s="4" t="s">
        <v>2427</v>
      </c>
      <c r="D358" s="4" t="str">
        <f t="shared" si="1"/>
        <v>{"valorA":"chuveiro elétrico","valorB":21}</v>
      </c>
      <c r="E358" s="8" t="str">
        <f t="shared" si="2"/>
        <v>chuveiro elétrico</v>
      </c>
      <c r="F358" s="8"/>
      <c r="G358" s="8" t="str">
        <f t="shared" si="3"/>
        <v>21</v>
      </c>
      <c r="H358" s="9">
        <f t="shared" si="4"/>
        <v>21</v>
      </c>
      <c r="I358" s="6" t="str">
        <f>IFERROR(__xludf.DUMMYFUNCTION("MAX(FILTER($H:$H,$E:$E=F358))"),"#N/A")</f>
        <v>#N/A</v>
      </c>
    </row>
    <row r="359">
      <c r="C359" s="4" t="s">
        <v>2474</v>
      </c>
      <c r="D359" s="4" t="str">
        <f t="shared" si="1"/>
        <v>{"valorA":"fone de ouvido","valorB":17}</v>
      </c>
      <c r="E359" s="8" t="str">
        <f t="shared" si="2"/>
        <v>fone de ouvido</v>
      </c>
      <c r="F359" s="8"/>
      <c r="G359" s="8" t="str">
        <f t="shared" si="3"/>
        <v>17</v>
      </c>
      <c r="H359" s="9">
        <f t="shared" si="4"/>
        <v>17</v>
      </c>
      <c r="I359" s="6" t="str">
        <f>IFERROR(__xludf.DUMMYFUNCTION("MAX(FILTER($H:$H,$E:$E=F359))"),"#N/A")</f>
        <v>#N/A</v>
      </c>
    </row>
    <row r="360">
      <c r="C360" s="4" t="s">
        <v>2546</v>
      </c>
      <c r="D360" s="4" t="str">
        <f t="shared" si="1"/>
        <v>{"valorA":"computador","valorB":23}</v>
      </c>
      <c r="E360" s="8" t="str">
        <f t="shared" si="2"/>
        <v>computador</v>
      </c>
      <c r="F360" s="8"/>
      <c r="G360" s="8" t="str">
        <f t="shared" si="3"/>
        <v>23</v>
      </c>
      <c r="H360" s="9">
        <f t="shared" si="4"/>
        <v>23</v>
      </c>
      <c r="I360" s="6" t="str">
        <f>IFERROR(__xludf.DUMMYFUNCTION("MAX(FILTER($H:$H,$E:$E=F360))"),"#N/A")</f>
        <v>#N/A</v>
      </c>
    </row>
    <row r="361">
      <c r="C361" s="4" t="s">
        <v>2570</v>
      </c>
      <c r="D361" s="4" t="str">
        <f t="shared" si="1"/>
        <v>{"valorA":"celular","valorB":19}</v>
      </c>
      <c r="E361" s="8" t="str">
        <f t="shared" si="2"/>
        <v>celular</v>
      </c>
      <c r="F361" s="8"/>
      <c r="G361" s="8" t="str">
        <f t="shared" si="3"/>
        <v>19</v>
      </c>
      <c r="H361" s="9">
        <f t="shared" si="4"/>
        <v>19</v>
      </c>
      <c r="I361" s="6" t="str">
        <f>IFERROR(__xludf.DUMMYFUNCTION("MAX(FILTER($H:$H,$E:$E=F361))"),"#N/A")</f>
        <v>#N/A</v>
      </c>
    </row>
    <row r="362">
      <c r="C362" s="4" t="s">
        <v>2473</v>
      </c>
      <c r="D362" s="4" t="str">
        <f t="shared" si="1"/>
        <v>{"valorA":"lustre","valorB":14}</v>
      </c>
      <c r="E362" s="8" t="str">
        <f t="shared" si="2"/>
        <v>lustre</v>
      </c>
      <c r="F362" s="8"/>
      <c r="G362" s="8" t="str">
        <f t="shared" si="3"/>
        <v>14</v>
      </c>
      <c r="H362" s="9">
        <f t="shared" si="4"/>
        <v>14</v>
      </c>
      <c r="I362" s="6" t="str">
        <f>IFERROR(__xludf.DUMMYFUNCTION("MAX(FILTER($H:$H,$E:$E=F362))"),"#N/A")</f>
        <v>#N/A</v>
      </c>
    </row>
    <row r="363">
      <c r="C363" s="4" t="s">
        <v>1671</v>
      </c>
      <c r="D363" s="4" t="str">
        <f t="shared" si="1"/>
        <v>{"valorA":"freezer","valorB":13}</v>
      </c>
      <c r="E363" s="8" t="str">
        <f t="shared" si="2"/>
        <v>freezer</v>
      </c>
      <c r="F363" s="8"/>
      <c r="G363" s="8" t="str">
        <f t="shared" si="3"/>
        <v>13</v>
      </c>
      <c r="H363" s="9">
        <f t="shared" si="4"/>
        <v>13</v>
      </c>
      <c r="I363" s="6" t="str">
        <f>IFERROR(__xludf.DUMMYFUNCTION("MAX(FILTER($H:$H,$E:$E=F363))"),"#N/A")</f>
        <v>#N/A</v>
      </c>
    </row>
    <row r="364">
      <c r="C364" s="4" t="s">
        <v>2502</v>
      </c>
      <c r="D364" s="4" t="str">
        <f t="shared" si="1"/>
        <v>{"valorA":"lustre","valorB":15}</v>
      </c>
      <c r="E364" s="8" t="str">
        <f t="shared" si="2"/>
        <v>lustre</v>
      </c>
      <c r="F364" s="8"/>
      <c r="G364" s="8" t="str">
        <f t="shared" si="3"/>
        <v>15</v>
      </c>
      <c r="H364" s="9">
        <f t="shared" si="4"/>
        <v>15</v>
      </c>
      <c r="I364" s="6" t="str">
        <f>IFERROR(__xludf.DUMMYFUNCTION("MAX(FILTER($H:$H,$E:$E=F364))"),"#N/A")</f>
        <v>#N/A</v>
      </c>
    </row>
    <row r="365">
      <c r="C365" s="4" t="s">
        <v>1731</v>
      </c>
      <c r="D365" s="4" t="str">
        <f t="shared" si="1"/>
        <v>{"valorA":"ar condicionado","valorB":21}</v>
      </c>
      <c r="E365" s="8" t="str">
        <f t="shared" si="2"/>
        <v>ar condicionado</v>
      </c>
      <c r="F365" s="8"/>
      <c r="G365" s="8" t="str">
        <f t="shared" si="3"/>
        <v>21</v>
      </c>
      <c r="H365" s="9">
        <f t="shared" si="4"/>
        <v>21</v>
      </c>
      <c r="I365" s="6" t="str">
        <f>IFERROR(__xludf.DUMMYFUNCTION("MAX(FILTER($H:$H,$E:$E=F365))"),"#N/A")</f>
        <v>#N/A</v>
      </c>
    </row>
    <row r="366">
      <c r="C366" s="4" t="s">
        <v>1750</v>
      </c>
      <c r="D366" s="4" t="str">
        <f t="shared" si="1"/>
        <v>{"valorA":"microondas","valorB":28}</v>
      </c>
      <c r="E366" s="8" t="str">
        <f t="shared" si="2"/>
        <v>microondas</v>
      </c>
      <c r="F366" s="8"/>
      <c r="G366" s="8" t="str">
        <f t="shared" si="3"/>
        <v>28</v>
      </c>
      <c r="H366" s="9">
        <f t="shared" si="4"/>
        <v>28</v>
      </c>
      <c r="I366" s="6" t="str">
        <f>IFERROR(__xludf.DUMMYFUNCTION("MAX(FILTER($H:$H,$E:$E=F366))"),"#N/A")</f>
        <v>#N/A</v>
      </c>
    </row>
    <row r="367">
      <c r="C367" s="4" t="s">
        <v>2356</v>
      </c>
      <c r="D367" s="4" t="str">
        <f t="shared" si="1"/>
        <v>{"valorA":"fogão","valorB":13}</v>
      </c>
      <c r="E367" s="8" t="str">
        <f t="shared" si="2"/>
        <v>fogão</v>
      </c>
      <c r="F367" s="8"/>
      <c r="G367" s="8" t="str">
        <f t="shared" si="3"/>
        <v>13</v>
      </c>
      <c r="H367" s="9">
        <f t="shared" si="4"/>
        <v>13</v>
      </c>
      <c r="I367" s="6" t="str">
        <f>IFERROR(__xludf.DUMMYFUNCTION("MAX(FILTER($H:$H,$E:$E=F367))"),"#N/A")</f>
        <v>#N/A</v>
      </c>
    </row>
    <row r="368">
      <c r="C368" s="4" t="s">
        <v>2504</v>
      </c>
      <c r="D368" s="4" t="str">
        <f t="shared" si="1"/>
        <v>{"valorA":"lustre","valorB":16}</v>
      </c>
      <c r="E368" s="8" t="str">
        <f t="shared" si="2"/>
        <v>lustre</v>
      </c>
      <c r="F368" s="8"/>
      <c r="G368" s="8" t="str">
        <f t="shared" si="3"/>
        <v>16</v>
      </c>
      <c r="H368" s="9">
        <f t="shared" si="4"/>
        <v>16</v>
      </c>
      <c r="I368" s="6" t="str">
        <f>IFERROR(__xludf.DUMMYFUNCTION("MAX(FILTER($H:$H,$E:$E=F368))"),"#N/A")</f>
        <v>#N/A</v>
      </c>
    </row>
    <row r="369">
      <c r="C369" s="4" t="s">
        <v>2500</v>
      </c>
      <c r="D369" s="4" t="str">
        <f t="shared" si="1"/>
        <v>{"valorA":"purificador de água","valorB":16}</v>
      </c>
      <c r="E369" s="8" t="str">
        <f t="shared" si="2"/>
        <v>purificador de água</v>
      </c>
      <c r="F369" s="8"/>
      <c r="G369" s="8" t="str">
        <f t="shared" si="3"/>
        <v>16</v>
      </c>
      <c r="H369" s="9">
        <f t="shared" si="4"/>
        <v>16</v>
      </c>
      <c r="I369" s="6" t="str">
        <f>IFERROR(__xludf.DUMMYFUNCTION("MAX(FILTER($H:$H,$E:$E=F369))"),"#N/A")</f>
        <v>#N/A</v>
      </c>
    </row>
    <row r="370">
      <c r="C370" s="4" t="s">
        <v>2577</v>
      </c>
      <c r="D370" s="4" t="str">
        <f t="shared" si="1"/>
        <v>{"valorA":"aspirador","valorB":27}</v>
      </c>
      <c r="E370" s="8" t="str">
        <f t="shared" si="2"/>
        <v>aspirador</v>
      </c>
      <c r="F370" s="8"/>
      <c r="G370" s="8" t="str">
        <f t="shared" si="3"/>
        <v>27</v>
      </c>
      <c r="H370" s="9">
        <f t="shared" si="4"/>
        <v>27</v>
      </c>
      <c r="I370" s="6" t="str">
        <f>IFERROR(__xludf.DUMMYFUNCTION("MAX(FILTER($H:$H,$E:$E=F370))"),"#N/A")</f>
        <v>#N/A</v>
      </c>
    </row>
    <row r="371">
      <c r="C371" s="4" t="s">
        <v>2392</v>
      </c>
      <c r="D371" s="4" t="str">
        <f t="shared" si="1"/>
        <v>{"valorA":"roteador","valorB":16}</v>
      </c>
      <c r="E371" s="8" t="str">
        <f t="shared" si="2"/>
        <v>roteador</v>
      </c>
      <c r="F371" s="8"/>
      <c r="G371" s="8" t="str">
        <f t="shared" si="3"/>
        <v>16</v>
      </c>
      <c r="H371" s="9">
        <f t="shared" si="4"/>
        <v>16</v>
      </c>
      <c r="I371" s="6" t="str">
        <f>IFERROR(__xludf.DUMMYFUNCTION("MAX(FILTER($H:$H,$E:$E=F371))"),"#N/A")</f>
        <v>#N/A</v>
      </c>
    </row>
    <row r="372">
      <c r="C372" s="4" t="s">
        <v>1751</v>
      </c>
      <c r="D372" s="4" t="str">
        <f t="shared" si="1"/>
        <v>{"valorA":"microondas","valorB":29}</v>
      </c>
      <c r="E372" s="8" t="str">
        <f t="shared" si="2"/>
        <v>microondas</v>
      </c>
      <c r="F372" s="8"/>
      <c r="G372" s="8" t="str">
        <f t="shared" si="3"/>
        <v>29</v>
      </c>
      <c r="H372" s="9">
        <f t="shared" si="4"/>
        <v>29</v>
      </c>
      <c r="I372" s="6" t="str">
        <f>IFERROR(__xludf.DUMMYFUNCTION("MAX(FILTER($H:$H,$E:$E=F372))"),"#N/A")</f>
        <v>#N/A</v>
      </c>
    </row>
    <row r="373">
      <c r="C373" s="4" t="s">
        <v>2582</v>
      </c>
      <c r="D373" s="4" t="str">
        <f t="shared" si="1"/>
        <v>{"valorA":"celular","valorB":20}</v>
      </c>
      <c r="E373" s="8" t="str">
        <f t="shared" si="2"/>
        <v>celular</v>
      </c>
      <c r="F373" s="8"/>
      <c r="G373" s="8" t="str">
        <f t="shared" si="3"/>
        <v>20</v>
      </c>
      <c r="H373" s="9">
        <f t="shared" si="4"/>
        <v>20</v>
      </c>
      <c r="I373" s="6" t="str">
        <f>IFERROR(__xludf.DUMMYFUNCTION("MAX(FILTER($H:$H,$E:$E=F373))"),"#N/A")</f>
        <v>#N/A</v>
      </c>
    </row>
    <row r="374">
      <c r="C374" s="4" t="s">
        <v>2497</v>
      </c>
      <c r="D374" s="4" t="str">
        <f t="shared" si="1"/>
        <v>{"valorA":"filtro de linha","valorB":21}</v>
      </c>
      <c r="E374" s="8" t="str">
        <f t="shared" si="2"/>
        <v>filtro de linha</v>
      </c>
      <c r="F374" s="8"/>
      <c r="G374" s="8" t="str">
        <f t="shared" si="3"/>
        <v>21</v>
      </c>
      <c r="H374" s="9">
        <f t="shared" si="4"/>
        <v>21</v>
      </c>
      <c r="I374" s="6" t="str">
        <f>IFERROR(__xludf.DUMMYFUNCTION("MAX(FILTER($H:$H,$E:$E=F374))"),"#N/A")</f>
        <v>#N/A</v>
      </c>
    </row>
    <row r="375">
      <c r="C375" s="4" t="s">
        <v>2438</v>
      </c>
      <c r="D375" s="4" t="str">
        <f t="shared" si="1"/>
        <v>{"valorA":"chuveiro elétrico","valorB":22}</v>
      </c>
      <c r="E375" s="8" t="str">
        <f t="shared" si="2"/>
        <v>chuveiro elétrico</v>
      </c>
      <c r="F375" s="8"/>
      <c r="G375" s="8" t="str">
        <f t="shared" si="3"/>
        <v>22</v>
      </c>
      <c r="H375" s="9">
        <f t="shared" si="4"/>
        <v>22</v>
      </c>
      <c r="I375" s="6" t="str">
        <f>IFERROR(__xludf.DUMMYFUNCTION("MAX(FILTER($H:$H,$E:$E=F375))"),"#N/A")</f>
        <v>#N/A</v>
      </c>
    </row>
    <row r="376">
      <c r="C376" s="4" t="s">
        <v>2511</v>
      </c>
      <c r="D376" s="4" t="str">
        <f t="shared" si="1"/>
        <v>{"valorA":"ventilador","valorB":24}</v>
      </c>
      <c r="E376" s="8" t="str">
        <f t="shared" si="2"/>
        <v>ventilador</v>
      </c>
      <c r="F376" s="8"/>
      <c r="G376" s="8" t="str">
        <f t="shared" si="3"/>
        <v>24</v>
      </c>
      <c r="H376" s="9">
        <f t="shared" si="4"/>
        <v>24</v>
      </c>
      <c r="I376" s="6" t="str">
        <f>IFERROR(__xludf.DUMMYFUNCTION("MAX(FILTER($H:$H,$E:$E=F376))"),"#N/A")</f>
        <v>#N/A</v>
      </c>
    </row>
    <row r="377">
      <c r="C377" s="4" t="s">
        <v>2514</v>
      </c>
      <c r="D377" s="4" t="str">
        <f t="shared" si="1"/>
        <v>{"valorA":"lustre","valorB":17}</v>
      </c>
      <c r="E377" s="8" t="str">
        <f t="shared" si="2"/>
        <v>lustre</v>
      </c>
      <c r="F377" s="8"/>
      <c r="G377" s="8" t="str">
        <f t="shared" si="3"/>
        <v>17</v>
      </c>
      <c r="H377" s="9">
        <f t="shared" si="4"/>
        <v>17</v>
      </c>
      <c r="I377" s="6" t="str">
        <f>IFERROR(__xludf.DUMMYFUNCTION("MAX(FILTER($H:$H,$E:$E=F377))"),"#N/A")</f>
        <v>#N/A</v>
      </c>
    </row>
    <row r="378">
      <c r="C378" s="4" t="s">
        <v>2517</v>
      </c>
      <c r="D378" s="4" t="str">
        <f t="shared" si="1"/>
        <v>{"valorA":"ventilador","valorB":25}</v>
      </c>
      <c r="E378" s="8" t="str">
        <f t="shared" si="2"/>
        <v>ventilador</v>
      </c>
      <c r="F378" s="8"/>
      <c r="G378" s="8" t="str">
        <f t="shared" si="3"/>
        <v>25</v>
      </c>
      <c r="H378" s="9">
        <f t="shared" si="4"/>
        <v>25</v>
      </c>
      <c r="I378" s="6" t="str">
        <f>IFERROR(__xludf.DUMMYFUNCTION("MAX(FILTER($H:$H,$E:$E=F378))"),"#N/A")</f>
        <v>#N/A</v>
      </c>
    </row>
    <row r="379">
      <c r="C379" s="4" t="s">
        <v>2397</v>
      </c>
      <c r="D379" s="4" t="str">
        <f t="shared" si="1"/>
        <v>{"valorA":"liquidificador","valorB":17}</v>
      </c>
      <c r="E379" s="8" t="str">
        <f t="shared" si="2"/>
        <v>liquidificador</v>
      </c>
      <c r="F379" s="8"/>
      <c r="G379" s="8" t="str">
        <f t="shared" si="3"/>
        <v>17</v>
      </c>
      <c r="H379" s="9">
        <f t="shared" si="4"/>
        <v>17</v>
      </c>
      <c r="I379" s="6" t="str">
        <f>IFERROR(__xludf.DUMMYFUNCTION("MAX(FILTER($H:$H,$E:$E=F379))"),"#N/A")</f>
        <v>#N/A</v>
      </c>
    </row>
    <row r="380">
      <c r="C380" s="4" t="s">
        <v>2580</v>
      </c>
      <c r="D380" s="4" t="str">
        <f t="shared" si="1"/>
        <v>{"valorA":"aspirador","valorB":28}</v>
      </c>
      <c r="E380" s="8" t="str">
        <f t="shared" si="2"/>
        <v>aspirador</v>
      </c>
      <c r="F380" s="8"/>
      <c r="G380" s="8" t="str">
        <f t="shared" si="3"/>
        <v>28</v>
      </c>
      <c r="H380" s="9">
        <f t="shared" si="4"/>
        <v>28</v>
      </c>
      <c r="I380" s="6" t="str">
        <f>IFERROR(__xludf.DUMMYFUNCTION("MAX(FILTER($H:$H,$E:$E=F380))"),"#N/A")</f>
        <v>#N/A</v>
      </c>
    </row>
    <row r="381">
      <c r="C381" s="4" t="s">
        <v>1672</v>
      </c>
      <c r="D381" s="4" t="str">
        <f t="shared" si="1"/>
        <v>{"valorA":"freezer","valorB":14}</v>
      </c>
      <c r="E381" s="8" t="str">
        <f t="shared" si="2"/>
        <v>freezer</v>
      </c>
      <c r="F381" s="8"/>
      <c r="G381" s="8" t="str">
        <f t="shared" si="3"/>
        <v>14</v>
      </c>
      <c r="H381" s="9">
        <f t="shared" si="4"/>
        <v>14</v>
      </c>
      <c r="I381" s="6" t="str">
        <f>IFERROR(__xludf.DUMMYFUNCTION("MAX(FILTER($H:$H,$E:$E=F381))"),"#N/A")</f>
        <v>#N/A</v>
      </c>
    </row>
    <row r="382">
      <c r="C382" s="4" t="s">
        <v>2522</v>
      </c>
      <c r="D382" s="4" t="str">
        <f t="shared" si="1"/>
        <v>{"valorA":"lustre","valorB":18}</v>
      </c>
      <c r="E382" s="8" t="str">
        <f t="shared" si="2"/>
        <v>lustre</v>
      </c>
      <c r="F382" s="8"/>
      <c r="G382" s="8" t="str">
        <f t="shared" si="3"/>
        <v>18</v>
      </c>
      <c r="H382" s="9">
        <f t="shared" si="4"/>
        <v>18</v>
      </c>
      <c r="I382" s="6" t="str">
        <f>IFERROR(__xludf.DUMMYFUNCTION("MAX(FILTER($H:$H,$E:$E=F382))"),"#N/A")</f>
        <v>#N/A</v>
      </c>
    </row>
    <row r="383">
      <c r="C383" s="4" t="s">
        <v>2589</v>
      </c>
      <c r="D383" s="4" t="str">
        <f t="shared" si="1"/>
        <v>{"valorA":"aspirador","valorB":29}</v>
      </c>
      <c r="E383" s="8" t="str">
        <f t="shared" si="2"/>
        <v>aspirador</v>
      </c>
      <c r="F383" s="8"/>
      <c r="G383" s="8" t="str">
        <f t="shared" si="3"/>
        <v>29</v>
      </c>
      <c r="H383" s="9">
        <f t="shared" si="4"/>
        <v>29</v>
      </c>
      <c r="I383" s="6" t="str">
        <f>IFERROR(__xludf.DUMMYFUNCTION("MAX(FILTER($H:$H,$E:$E=F383))"),"#N/A")</f>
        <v>#N/A</v>
      </c>
    </row>
    <row r="384">
      <c r="C384" s="4" t="s">
        <v>1752</v>
      </c>
      <c r="D384" s="4" t="str">
        <f t="shared" si="1"/>
        <v>{"valorA":"microondas","valorB":30}</v>
      </c>
      <c r="E384" s="8" t="str">
        <f t="shared" si="2"/>
        <v>microondas</v>
      </c>
      <c r="F384" s="8"/>
      <c r="G384" s="8" t="str">
        <f t="shared" si="3"/>
        <v>30</v>
      </c>
      <c r="H384" s="9">
        <f t="shared" si="4"/>
        <v>30</v>
      </c>
      <c r="I384" s="6" t="str">
        <f>IFERROR(__xludf.DUMMYFUNCTION("MAX(FILTER($H:$H,$E:$E=F384))"),"#N/A")</f>
        <v>#N/A</v>
      </c>
    </row>
    <row r="385">
      <c r="C385" s="4" t="s">
        <v>2528</v>
      </c>
      <c r="D385" s="4" t="str">
        <f t="shared" si="1"/>
        <v>{"valorA":"purificador de água","valorB":17}</v>
      </c>
      <c r="E385" s="8" t="str">
        <f t="shared" si="2"/>
        <v>purificador de água</v>
      </c>
      <c r="F385" s="8"/>
      <c r="G385" s="8" t="str">
        <f t="shared" si="3"/>
        <v>17</v>
      </c>
      <c r="H385" s="9">
        <f t="shared" si="4"/>
        <v>17</v>
      </c>
      <c r="I385" s="6" t="str">
        <f>IFERROR(__xludf.DUMMYFUNCTION("MAX(FILTER($H:$H,$E:$E=F385))"),"#N/A")</f>
        <v>#N/A</v>
      </c>
    </row>
    <row r="386">
      <c r="C386" s="4" t="s">
        <v>2551</v>
      </c>
      <c r="D386" s="4" t="str">
        <f t="shared" si="1"/>
        <v>{"valorA":"lustre","valorB":19}</v>
      </c>
      <c r="E386" s="8" t="str">
        <f t="shared" si="2"/>
        <v>lustre</v>
      </c>
      <c r="F386" s="8"/>
      <c r="G386" s="8" t="str">
        <f t="shared" si="3"/>
        <v>19</v>
      </c>
      <c r="H386" s="9">
        <f t="shared" si="4"/>
        <v>19</v>
      </c>
      <c r="I386" s="6" t="str">
        <f>IFERROR(__xludf.DUMMYFUNCTION("MAX(FILTER($H:$H,$E:$E=F386))"),"#N/A")</f>
        <v>#N/A</v>
      </c>
    </row>
    <row r="387">
      <c r="C387" s="4" t="s">
        <v>2478</v>
      </c>
      <c r="D387" s="4" t="str">
        <f t="shared" si="1"/>
        <v>{"valorA":"carregador de celular","valorB":16}</v>
      </c>
      <c r="E387" s="8" t="str">
        <f t="shared" si="2"/>
        <v>carregador de celular</v>
      </c>
      <c r="F387" s="8"/>
      <c r="G387" s="8" t="str">
        <f t="shared" si="3"/>
        <v>16</v>
      </c>
      <c r="H387" s="9">
        <f t="shared" si="4"/>
        <v>16</v>
      </c>
      <c r="I387" s="6" t="str">
        <f>IFERROR(__xludf.DUMMYFUNCTION("MAX(FILTER($H:$H,$E:$E=F387))"),"#N/A")</f>
        <v>#N/A</v>
      </c>
    </row>
    <row r="388">
      <c r="C388" s="4" t="s">
        <v>2415</v>
      </c>
      <c r="D388" s="4" t="str">
        <f t="shared" si="1"/>
        <v>{"valorA":"liquidificador","valorB":18}</v>
      </c>
      <c r="E388" s="8" t="str">
        <f t="shared" si="2"/>
        <v>liquidificador</v>
      </c>
      <c r="F388" s="8"/>
      <c r="G388" s="8" t="str">
        <f t="shared" si="3"/>
        <v>18</v>
      </c>
      <c r="H388" s="9">
        <f t="shared" si="4"/>
        <v>18</v>
      </c>
      <c r="I388" s="6" t="str">
        <f>IFERROR(__xludf.DUMMYFUNCTION("MAX(FILTER($H:$H,$E:$E=F388))"),"#N/A")</f>
        <v>#N/A</v>
      </c>
    </row>
    <row r="389">
      <c r="C389" s="4" t="s">
        <v>1732</v>
      </c>
      <c r="D389" s="4" t="str">
        <f t="shared" si="1"/>
        <v>{"valorA":"ar condicionado","valorB":22}</v>
      </c>
      <c r="E389" s="8" t="str">
        <f t="shared" si="2"/>
        <v>ar condicionado</v>
      </c>
      <c r="F389" s="8"/>
      <c r="G389" s="8" t="str">
        <f t="shared" si="3"/>
        <v>22</v>
      </c>
      <c r="H389" s="9">
        <f t="shared" si="4"/>
        <v>22</v>
      </c>
      <c r="I389" s="6" t="str">
        <f>IFERROR(__xludf.DUMMYFUNCTION("MAX(FILTER($H:$H,$E:$E=F389))"),"#N/A")</f>
        <v>#N/A</v>
      </c>
    </row>
    <row r="390">
      <c r="C390" s="4" t="s">
        <v>2499</v>
      </c>
      <c r="D390" s="4" t="str">
        <f t="shared" si="1"/>
        <v>{"valorA":"filtro de linha","valorB":22}</v>
      </c>
      <c r="E390" s="8" t="str">
        <f t="shared" si="2"/>
        <v>filtro de linha</v>
      </c>
      <c r="F390" s="8"/>
      <c r="G390" s="8" t="str">
        <f t="shared" si="3"/>
        <v>22</v>
      </c>
      <c r="H390" s="9">
        <f t="shared" si="4"/>
        <v>22</v>
      </c>
      <c r="I390" s="6" t="str">
        <f>IFERROR(__xludf.DUMMYFUNCTION("MAX(FILTER($H:$H,$E:$E=F390))"),"#N/A")</f>
        <v>#N/A</v>
      </c>
    </row>
    <row r="391">
      <c r="C391" s="4" t="s">
        <v>1673</v>
      </c>
      <c r="D391" s="4" t="str">
        <f t="shared" si="1"/>
        <v>{"valorA":"freezer","valorB":15}</v>
      </c>
      <c r="E391" s="8" t="str">
        <f t="shared" si="2"/>
        <v>freezer</v>
      </c>
      <c r="F391" s="8"/>
      <c r="G391" s="8" t="str">
        <f t="shared" si="3"/>
        <v>15</v>
      </c>
      <c r="H391" s="9">
        <f t="shared" si="4"/>
        <v>15</v>
      </c>
      <c r="I391" s="6" t="str">
        <f>IFERROR(__xludf.DUMMYFUNCTION("MAX(FILTER($H:$H,$E:$E=F391))"),"#N/A")</f>
        <v>#N/A</v>
      </c>
    </row>
    <row r="392">
      <c r="C392" s="4" t="s">
        <v>2442</v>
      </c>
      <c r="D392" s="4" t="str">
        <f t="shared" si="1"/>
        <v>{"valorA":"liquidificador","valorB":19}</v>
      </c>
      <c r="E392" s="8" t="str">
        <f t="shared" si="2"/>
        <v>liquidificador</v>
      </c>
      <c r="F392" s="8"/>
      <c r="G392" s="8" t="str">
        <f t="shared" si="3"/>
        <v>19</v>
      </c>
      <c r="H392" s="9">
        <f t="shared" si="4"/>
        <v>19</v>
      </c>
      <c r="I392" s="6" t="str">
        <f>IFERROR(__xludf.DUMMYFUNCTION("MAX(FILTER($H:$H,$E:$E=F392))"),"#N/A")</f>
        <v>#N/A</v>
      </c>
    </row>
    <row r="393">
      <c r="C393" s="4" t="s">
        <v>3520</v>
      </c>
      <c r="D393" s="4" t="str">
        <f t="shared" si="1"/>
        <v>{"valorA":"celular","valorB":21}</v>
      </c>
      <c r="E393" s="8" t="str">
        <f t="shared" si="2"/>
        <v>celular</v>
      </c>
      <c r="F393" s="8"/>
      <c r="G393" s="8" t="str">
        <f t="shared" si="3"/>
        <v>21</v>
      </c>
      <c r="H393" s="9">
        <f t="shared" si="4"/>
        <v>21</v>
      </c>
      <c r="I393" s="6" t="str">
        <f>IFERROR(__xludf.DUMMYFUNCTION("MAX(FILTER($H:$H,$E:$E=F393))"),"#N/A")</f>
        <v>#N/A</v>
      </c>
    </row>
    <row r="394">
      <c r="C394" s="4" t="s">
        <v>2527</v>
      </c>
      <c r="D394" s="4" t="str">
        <f t="shared" si="1"/>
        <v>{"valorA":"ventilador","valorB":26}</v>
      </c>
      <c r="E394" s="8" t="str">
        <f t="shared" si="2"/>
        <v>ventilador</v>
      </c>
      <c r="F394" s="8"/>
      <c r="G394" s="8" t="str">
        <f t="shared" si="3"/>
        <v>26</v>
      </c>
      <c r="H394" s="9">
        <f t="shared" si="4"/>
        <v>26</v>
      </c>
      <c r="I394" s="6" t="str">
        <f>IFERROR(__xludf.DUMMYFUNCTION("MAX(FILTER($H:$H,$E:$E=F394))"),"#N/A")</f>
        <v>#N/A</v>
      </c>
    </row>
    <row r="395">
      <c r="C395" s="4" t="s">
        <v>2592</v>
      </c>
      <c r="D395" s="4" t="str">
        <f t="shared" si="1"/>
        <v>{"valorA":"aspirador","valorB":30}</v>
      </c>
      <c r="E395" s="8" t="str">
        <f t="shared" si="2"/>
        <v>aspirador</v>
      </c>
      <c r="F395" s="8"/>
      <c r="G395" s="8" t="str">
        <f t="shared" si="3"/>
        <v>30</v>
      </c>
      <c r="H395" s="9">
        <f t="shared" si="4"/>
        <v>30</v>
      </c>
      <c r="I395" s="6" t="str">
        <f>IFERROR(__xludf.DUMMYFUNCTION("MAX(FILTER($H:$H,$E:$E=F395))"),"#N/A")</f>
        <v>#N/A</v>
      </c>
    </row>
    <row r="396">
      <c r="C396" s="4" t="s">
        <v>2457</v>
      </c>
      <c r="D396" s="4" t="str">
        <f t="shared" si="1"/>
        <v>{"valorA":"chuveiro elétrico","valorB":23}</v>
      </c>
      <c r="E396" s="8" t="str">
        <f t="shared" si="2"/>
        <v>chuveiro elétrico</v>
      </c>
      <c r="F396" s="8"/>
      <c r="G396" s="8" t="str">
        <f t="shared" si="3"/>
        <v>23</v>
      </c>
      <c r="H396" s="9">
        <f t="shared" si="4"/>
        <v>23</v>
      </c>
      <c r="I396" s="6" t="str">
        <f>IFERROR(__xludf.DUMMYFUNCTION("MAX(FILTER($H:$H,$E:$E=F396))"),"#N/A")</f>
        <v>#N/A</v>
      </c>
    </row>
    <row r="397">
      <c r="C397" s="4" t="s">
        <v>1753</v>
      </c>
      <c r="D397" s="4" t="str">
        <f t="shared" si="1"/>
        <v>{"valorA":"microondas","valorB":31}</v>
      </c>
      <c r="E397" s="8" t="str">
        <f t="shared" si="2"/>
        <v>microondas</v>
      </c>
      <c r="F397" s="8"/>
      <c r="G397" s="8" t="str">
        <f t="shared" si="3"/>
        <v>31</v>
      </c>
      <c r="H397" s="9">
        <f t="shared" si="4"/>
        <v>31</v>
      </c>
      <c r="I397" s="6" t="str">
        <f>IFERROR(__xludf.DUMMYFUNCTION("MAX(FILTER($H:$H,$E:$E=F397))"),"#N/A")</f>
        <v>#N/A</v>
      </c>
    </row>
    <row r="398">
      <c r="C398" s="4" t="s">
        <v>2423</v>
      </c>
      <c r="D398" s="4" t="str">
        <f t="shared" si="1"/>
        <v>{"valorA":"carregador de computador","valorB":16}</v>
      </c>
      <c r="E398" s="8" t="str">
        <f t="shared" si="2"/>
        <v>carregador de computador</v>
      </c>
      <c r="F398" s="8"/>
      <c r="G398" s="8" t="str">
        <f t="shared" si="3"/>
        <v>16</v>
      </c>
      <c r="H398" s="9">
        <f t="shared" si="4"/>
        <v>16</v>
      </c>
      <c r="I398" s="6" t="str">
        <f>IFERROR(__xludf.DUMMYFUNCTION("MAX(FILTER($H:$H,$E:$E=F398))"),"#N/A")</f>
        <v>#N/A</v>
      </c>
    </row>
    <row r="399">
      <c r="C399" s="4" t="s">
        <v>2509</v>
      </c>
      <c r="D399" s="4" t="str">
        <f t="shared" si="1"/>
        <v>{"valorA":"filtro de linha","valorB":23}</v>
      </c>
      <c r="E399" s="8" t="str">
        <f t="shared" si="2"/>
        <v>filtro de linha</v>
      </c>
      <c r="F399" s="8"/>
      <c r="G399" s="8" t="str">
        <f t="shared" si="3"/>
        <v>23</v>
      </c>
      <c r="H399" s="9">
        <f t="shared" si="4"/>
        <v>23</v>
      </c>
      <c r="I399" s="6" t="str">
        <f>IFERROR(__xludf.DUMMYFUNCTION("MAX(FILTER($H:$H,$E:$E=F399))"),"#N/A")</f>
        <v>#N/A</v>
      </c>
    </row>
    <row r="400">
      <c r="C400" s="4" t="s">
        <v>2429</v>
      </c>
      <c r="D400" s="4" t="str">
        <f t="shared" si="1"/>
        <v>{"valorA":"roteador","valorB":17}</v>
      </c>
      <c r="E400" s="8" t="str">
        <f t="shared" si="2"/>
        <v>roteador</v>
      </c>
      <c r="F400" s="8"/>
      <c r="G400" s="8" t="str">
        <f t="shared" si="3"/>
        <v>17</v>
      </c>
      <c r="H400" s="9">
        <f t="shared" si="4"/>
        <v>17</v>
      </c>
      <c r="I400" s="6" t="str">
        <f>IFERROR(__xludf.DUMMYFUNCTION("MAX(FILTER($H:$H,$E:$E=F400))"),"#N/A")</f>
        <v>#N/A</v>
      </c>
    </row>
    <row r="401">
      <c r="C401" s="4" t="s">
        <v>2416</v>
      </c>
      <c r="D401" s="4" t="str">
        <f t="shared" si="1"/>
        <v>{"valorA":"fogão","valorB":14}</v>
      </c>
      <c r="E401" s="8" t="str">
        <f t="shared" si="2"/>
        <v>fogão</v>
      </c>
      <c r="F401" s="8"/>
      <c r="G401" s="8" t="str">
        <f t="shared" si="3"/>
        <v>14</v>
      </c>
      <c r="H401" s="9">
        <f t="shared" si="4"/>
        <v>14</v>
      </c>
      <c r="I401" s="6" t="str">
        <f>IFERROR(__xludf.DUMMYFUNCTION("MAX(FILTER($H:$H,$E:$E=F401))"),"#N/A")</f>
        <v>#N/A</v>
      </c>
    </row>
    <row r="402">
      <c r="C402" s="4" t="s">
        <v>2467</v>
      </c>
      <c r="D402" s="4" t="str">
        <f t="shared" si="1"/>
        <v>{"valorA":"chuveiro elétrico","valorB":24}</v>
      </c>
      <c r="E402" s="8" t="str">
        <f t="shared" si="2"/>
        <v>chuveiro elétrico</v>
      </c>
      <c r="F402" s="8"/>
      <c r="G402" s="8" t="str">
        <f t="shared" si="3"/>
        <v>24</v>
      </c>
      <c r="H402" s="9">
        <f t="shared" si="4"/>
        <v>24</v>
      </c>
      <c r="I402" s="6" t="str">
        <f>IFERROR(__xludf.DUMMYFUNCTION("MAX(FILTER($H:$H,$E:$E=F402))"),"#N/A")</f>
        <v>#N/A</v>
      </c>
    </row>
    <row r="403">
      <c r="C403" s="4" t="s">
        <v>2593</v>
      </c>
      <c r="D403" s="4" t="str">
        <f t="shared" si="1"/>
        <v>{"valorA":"aspirador","valorB":31}</v>
      </c>
      <c r="E403" s="8" t="str">
        <f t="shared" si="2"/>
        <v>aspirador</v>
      </c>
      <c r="F403" s="8"/>
      <c r="G403" s="8" t="str">
        <f t="shared" si="3"/>
        <v>31</v>
      </c>
      <c r="H403" s="9">
        <f t="shared" si="4"/>
        <v>31</v>
      </c>
      <c r="I403" s="6" t="str">
        <f>IFERROR(__xludf.DUMMYFUNCTION("MAX(FILTER($H:$H,$E:$E=F403))"),"#N/A")</f>
        <v>#N/A</v>
      </c>
    </row>
    <row r="404">
      <c r="C404" s="4" t="s">
        <v>2572</v>
      </c>
      <c r="D404" s="4" t="str">
        <f t="shared" si="1"/>
        <v>{"valorA":"ventilador","valorB":27}</v>
      </c>
      <c r="E404" s="8" t="str">
        <f t="shared" si="2"/>
        <v>ventilador</v>
      </c>
      <c r="F404" s="8"/>
      <c r="G404" s="8" t="str">
        <f t="shared" si="3"/>
        <v>27</v>
      </c>
      <c r="H404" s="9">
        <f t="shared" si="4"/>
        <v>27</v>
      </c>
      <c r="I404" s="6" t="str">
        <f>IFERROR(__xludf.DUMMYFUNCTION("MAX(FILTER($H:$H,$E:$E=F404))"),"#N/A")</f>
        <v>#N/A</v>
      </c>
    </row>
    <row r="405">
      <c r="C405" s="4" t="s">
        <v>2501</v>
      </c>
      <c r="D405" s="4" t="str">
        <f t="shared" si="1"/>
        <v>{"valorA":"chuveiro elétrico","valorB":25}</v>
      </c>
      <c r="E405" s="8" t="str">
        <f t="shared" si="2"/>
        <v>chuveiro elétrico</v>
      </c>
      <c r="F405" s="8"/>
      <c r="G405" s="8" t="str">
        <f t="shared" si="3"/>
        <v>25</v>
      </c>
      <c r="H405" s="9">
        <f t="shared" si="4"/>
        <v>25</v>
      </c>
      <c r="I405" s="6" t="str">
        <f>IFERROR(__xludf.DUMMYFUNCTION("MAX(FILTER($H:$H,$E:$E=F405))"),"#N/A")</f>
        <v>#N/A</v>
      </c>
    </row>
    <row r="406">
      <c r="C406" s="4" t="s">
        <v>2548</v>
      </c>
      <c r="D406" s="4" t="str">
        <f t="shared" si="1"/>
        <v>{"valorA":"computador","valorB":24}</v>
      </c>
      <c r="E406" s="8" t="str">
        <f t="shared" si="2"/>
        <v>computador</v>
      </c>
      <c r="F406" s="8"/>
      <c r="G406" s="8" t="str">
        <f t="shared" si="3"/>
        <v>24</v>
      </c>
      <c r="H406" s="9">
        <f t="shared" si="4"/>
        <v>24</v>
      </c>
      <c r="I406" s="6" t="str">
        <f>IFERROR(__xludf.DUMMYFUNCTION("MAX(FILTER($H:$H,$E:$E=F406))"),"#N/A")</f>
        <v>#N/A</v>
      </c>
    </row>
    <row r="407">
      <c r="C407" s="4" t="s">
        <v>2419</v>
      </c>
      <c r="D407" s="4" t="str">
        <f t="shared" si="1"/>
        <v>{"valorA":"fogão","valorB":15}</v>
      </c>
      <c r="E407" s="8" t="str">
        <f t="shared" si="2"/>
        <v>fogão</v>
      </c>
      <c r="F407" s="8"/>
      <c r="G407" s="8" t="str">
        <f t="shared" si="3"/>
        <v>15</v>
      </c>
      <c r="H407" s="9">
        <f t="shared" si="4"/>
        <v>15</v>
      </c>
      <c r="I407" s="6" t="str">
        <f>IFERROR(__xludf.DUMMYFUNCTION("MAX(FILTER($H:$H,$E:$E=F407))"),"#N/A")</f>
        <v>#N/A</v>
      </c>
    </row>
    <row r="408">
      <c r="C408" s="4" t="s">
        <v>2449</v>
      </c>
      <c r="D408" s="4" t="str">
        <f t="shared" si="1"/>
        <v>{"valorA":"teclado de computador","valorB":21}</v>
      </c>
      <c r="E408" s="8" t="str">
        <f t="shared" si="2"/>
        <v>teclado de computador</v>
      </c>
      <c r="F408" s="8"/>
      <c r="G408" s="8" t="str">
        <f t="shared" si="3"/>
        <v>21</v>
      </c>
      <c r="H408" s="9">
        <f t="shared" si="4"/>
        <v>21</v>
      </c>
      <c r="I408" s="6" t="str">
        <f>IFERROR(__xludf.DUMMYFUNCTION("MAX(FILTER($H:$H,$E:$E=F408))"),"#N/A")</f>
        <v>#N/A</v>
      </c>
    </row>
    <row r="409">
      <c r="C409" s="4" t="s">
        <v>2587</v>
      </c>
      <c r="D409" s="4" t="str">
        <f t="shared" si="1"/>
        <v>{"valorA":"ventilador","valorB":28}</v>
      </c>
      <c r="E409" s="8" t="str">
        <f t="shared" si="2"/>
        <v>ventilador</v>
      </c>
      <c r="F409" s="8"/>
      <c r="G409" s="8" t="str">
        <f t="shared" si="3"/>
        <v>28</v>
      </c>
      <c r="H409" s="9">
        <f t="shared" si="4"/>
        <v>28</v>
      </c>
      <c r="I409" s="6" t="str">
        <f>IFERROR(__xludf.DUMMYFUNCTION("MAX(FILTER($H:$H,$E:$E=F409))"),"#N/A")</f>
        <v>#N/A</v>
      </c>
    </row>
    <row r="410">
      <c r="C410" s="4" t="s">
        <v>1756</v>
      </c>
      <c r="D410" s="4" t="str">
        <f t="shared" si="1"/>
        <v>{"valorA":"microondas","valorB":32}</v>
      </c>
      <c r="E410" s="8" t="str">
        <f t="shared" si="2"/>
        <v>microondas</v>
      </c>
      <c r="F410" s="8"/>
      <c r="G410" s="8" t="str">
        <f t="shared" si="3"/>
        <v>32</v>
      </c>
      <c r="H410" s="9">
        <f t="shared" si="4"/>
        <v>32</v>
      </c>
      <c r="I410" s="6" t="str">
        <f>IFERROR(__xludf.DUMMYFUNCTION("MAX(FILTER($H:$H,$E:$E=F410))"),"#N/A")</f>
        <v>#N/A</v>
      </c>
    </row>
    <row r="411">
      <c r="C411" s="4" t="s">
        <v>2532</v>
      </c>
      <c r="D411" s="4" t="str">
        <f t="shared" si="1"/>
        <v>{"valorA":"mouse de computador","valorB":15}</v>
      </c>
      <c r="E411" s="8" t="str">
        <f t="shared" si="2"/>
        <v>mouse de computador</v>
      </c>
      <c r="F411" s="8"/>
      <c r="G411" s="8" t="str">
        <f t="shared" si="3"/>
        <v>15</v>
      </c>
      <c r="H411" s="9">
        <f t="shared" si="4"/>
        <v>15</v>
      </c>
      <c r="I411" s="6" t="str">
        <f>IFERROR(__xludf.DUMMYFUNCTION("MAX(FILTER($H:$H,$E:$E=F411))"),"#N/A")</f>
        <v>#N/A</v>
      </c>
    </row>
    <row r="412">
      <c r="C412" s="4" t="s">
        <v>1674</v>
      </c>
      <c r="D412" s="4" t="str">
        <f t="shared" si="1"/>
        <v>{"valorA":"freezer","valorB":16}</v>
      </c>
      <c r="E412" s="8" t="str">
        <f t="shared" si="2"/>
        <v>freezer</v>
      </c>
      <c r="F412" s="8"/>
      <c r="G412" s="8" t="str">
        <f t="shared" si="3"/>
        <v>16</v>
      </c>
      <c r="H412" s="9">
        <f t="shared" si="4"/>
        <v>16</v>
      </c>
      <c r="I412" s="6" t="str">
        <f>IFERROR(__xludf.DUMMYFUNCTION("MAX(FILTER($H:$H,$E:$E=F412))"),"#N/A")</f>
        <v>#N/A</v>
      </c>
    </row>
    <row r="413">
      <c r="C413" s="4" t="s">
        <v>2441</v>
      </c>
      <c r="D413" s="4" t="str">
        <f t="shared" si="1"/>
        <v>{"valorA":"fogão","valorB":16}</v>
      </c>
      <c r="E413" s="8" t="str">
        <f t="shared" si="2"/>
        <v>fogão</v>
      </c>
      <c r="F413" s="8"/>
      <c r="G413" s="8" t="str">
        <f t="shared" si="3"/>
        <v>16</v>
      </c>
      <c r="H413" s="9">
        <f t="shared" si="4"/>
        <v>16</v>
      </c>
      <c r="I413" s="6" t="str">
        <f>IFERROR(__xludf.DUMMYFUNCTION("MAX(FILTER($H:$H,$E:$E=F413))"),"#N/A")</f>
        <v>#N/A</v>
      </c>
    </row>
    <row r="414">
      <c r="C414" s="4" t="s">
        <v>2541</v>
      </c>
      <c r="D414" s="4" t="str">
        <f t="shared" si="1"/>
        <v>{"valorA":"carregador de celular","valorB":17}</v>
      </c>
      <c r="E414" s="8" t="str">
        <f t="shared" si="2"/>
        <v>carregador de celular</v>
      </c>
      <c r="F414" s="8"/>
      <c r="G414" s="8" t="str">
        <f t="shared" si="3"/>
        <v>17</v>
      </c>
      <c r="H414" s="9">
        <f t="shared" si="4"/>
        <v>17</v>
      </c>
      <c r="I414" s="6" t="str">
        <f>IFERROR(__xludf.DUMMYFUNCTION("MAX(FILTER($H:$H,$E:$E=F414))"),"#N/A")</f>
        <v>#N/A</v>
      </c>
    </row>
    <row r="415">
      <c r="C415" s="4" t="s">
        <v>3523</v>
      </c>
      <c r="D415" s="4" t="str">
        <f t="shared" si="1"/>
        <v>{"valorA":"celular","valorB":22}</v>
      </c>
      <c r="E415" s="8" t="str">
        <f t="shared" si="2"/>
        <v>celular</v>
      </c>
      <c r="F415" s="8"/>
      <c r="G415" s="8" t="str">
        <f t="shared" si="3"/>
        <v>22</v>
      </c>
      <c r="H415" s="9">
        <f t="shared" si="4"/>
        <v>22</v>
      </c>
      <c r="I415" s="6" t="str">
        <f>IFERROR(__xludf.DUMMYFUNCTION("MAX(FILTER($H:$H,$E:$E=F415))"),"#N/A")</f>
        <v>#N/A</v>
      </c>
    </row>
    <row r="416">
      <c r="C416" s="4" t="s">
        <v>2530</v>
      </c>
      <c r="D416" s="4" t="str">
        <f t="shared" si="1"/>
        <v>{"valorA":"purificador de água","valorB":18}</v>
      </c>
      <c r="E416" s="8" t="str">
        <f t="shared" si="2"/>
        <v>purificador de água</v>
      </c>
      <c r="F416" s="8"/>
      <c r="G416" s="8" t="str">
        <f t="shared" si="3"/>
        <v>18</v>
      </c>
      <c r="H416" s="9">
        <f t="shared" si="4"/>
        <v>18</v>
      </c>
      <c r="I416" s="6" t="str">
        <f>IFERROR(__xludf.DUMMYFUNCTION("MAX(FILTER($H:$H,$E:$E=F416))"),"#N/A")</f>
        <v>#N/A</v>
      </c>
    </row>
    <row r="417">
      <c r="C417" s="4" t="s">
        <v>2487</v>
      </c>
      <c r="D417" s="4" t="str">
        <f t="shared" si="1"/>
        <v>{"valorA":"relógio","valorB":18}</v>
      </c>
      <c r="E417" s="8" t="str">
        <f t="shared" si="2"/>
        <v>relógio</v>
      </c>
      <c r="F417" s="8"/>
      <c r="G417" s="8" t="str">
        <f t="shared" si="3"/>
        <v>18</v>
      </c>
      <c r="H417" s="9">
        <f t="shared" si="4"/>
        <v>18</v>
      </c>
      <c r="I417" s="6" t="str">
        <f>IFERROR(__xludf.DUMMYFUNCTION("MAX(FILTER($H:$H,$E:$E=F417))"),"#N/A")</f>
        <v>#N/A</v>
      </c>
    </row>
    <row r="418">
      <c r="C418" s="4" t="s">
        <v>2525</v>
      </c>
      <c r="D418" s="4" t="str">
        <f t="shared" si="1"/>
        <v>{"valorA":"chuveiro elétrico","valorB":26}</v>
      </c>
      <c r="E418" s="8" t="str">
        <f t="shared" si="2"/>
        <v>chuveiro elétrico</v>
      </c>
      <c r="F418" s="8"/>
      <c r="G418" s="8" t="str">
        <f t="shared" si="3"/>
        <v>26</v>
      </c>
      <c r="H418" s="9">
        <f t="shared" si="4"/>
        <v>26</v>
      </c>
      <c r="I418" s="6" t="str">
        <f>IFERROR(__xludf.DUMMYFUNCTION("MAX(FILTER($H:$H,$E:$E=F418))"),"#N/A")</f>
        <v>#N/A</v>
      </c>
    </row>
    <row r="419">
      <c r="C419" s="4" t="s">
        <v>2555</v>
      </c>
      <c r="D419" s="4" t="str">
        <f t="shared" si="1"/>
        <v>{"valorA":"computador","valorB":25}</v>
      </c>
      <c r="E419" s="8" t="str">
        <f t="shared" si="2"/>
        <v>computador</v>
      </c>
      <c r="F419" s="8"/>
      <c r="G419" s="8" t="str">
        <f t="shared" si="3"/>
        <v>25</v>
      </c>
      <c r="H419" s="9">
        <f t="shared" si="4"/>
        <v>25</v>
      </c>
      <c r="I419" s="6" t="str">
        <f>IFERROR(__xludf.DUMMYFUNCTION("MAX(FILTER($H:$H,$E:$E=F419))"),"#N/A")</f>
        <v>#N/A</v>
      </c>
    </row>
    <row r="420">
      <c r="C420" s="4" t="s">
        <v>2591</v>
      </c>
      <c r="D420" s="4" t="str">
        <f t="shared" si="1"/>
        <v>{"valorA":"carregador de celular","valorB":18}</v>
      </c>
      <c r="E420" s="8" t="str">
        <f t="shared" si="2"/>
        <v>carregador de celular</v>
      </c>
      <c r="F420" s="8"/>
      <c r="G420" s="8" t="str">
        <f t="shared" si="3"/>
        <v>18</v>
      </c>
      <c r="H420" s="9">
        <f t="shared" si="4"/>
        <v>18</v>
      </c>
      <c r="I420" s="6" t="str">
        <f>IFERROR(__xludf.DUMMYFUNCTION("MAX(FILTER($H:$H,$E:$E=F420))"),"#N/A")</f>
        <v>#N/A</v>
      </c>
    </row>
    <row r="421">
      <c r="C421" s="4" t="s">
        <v>1733</v>
      </c>
      <c r="D421" s="4" t="str">
        <f t="shared" si="1"/>
        <v>{"valorA":"ar condicionado","valorB":23}</v>
      </c>
      <c r="E421" s="8" t="str">
        <f t="shared" si="2"/>
        <v>ar condicionado</v>
      </c>
      <c r="F421" s="8"/>
      <c r="G421" s="8" t="str">
        <f t="shared" si="3"/>
        <v>23</v>
      </c>
      <c r="H421" s="9">
        <f t="shared" si="4"/>
        <v>23</v>
      </c>
      <c r="I421" s="6" t="str">
        <f>IFERROR(__xludf.DUMMYFUNCTION("MAX(FILTER($H:$H,$E:$E=F421))"),"#N/A")</f>
        <v>#N/A</v>
      </c>
    </row>
    <row r="422">
      <c r="C422" s="4" t="s">
        <v>2508</v>
      </c>
      <c r="D422" s="4" t="str">
        <f t="shared" si="1"/>
        <v>{"valorA":"relógio","valorB":19}</v>
      </c>
      <c r="E422" s="8" t="str">
        <f t="shared" si="2"/>
        <v>relógio</v>
      </c>
      <c r="F422" s="8"/>
      <c r="G422" s="8" t="str">
        <f t="shared" si="3"/>
        <v>19</v>
      </c>
      <c r="H422" s="9">
        <f t="shared" si="4"/>
        <v>19</v>
      </c>
      <c r="I422" s="6" t="str">
        <f>IFERROR(__xludf.DUMMYFUNCTION("MAX(FILTER($H:$H,$E:$E=F422))"),"#N/A")</f>
        <v>#N/A</v>
      </c>
    </row>
    <row r="423">
      <c r="C423" s="4" t="s">
        <v>2480</v>
      </c>
      <c r="D423" s="4" t="str">
        <f t="shared" si="1"/>
        <v>{"valorA":"fone de ouvido","valorB":18}</v>
      </c>
      <c r="E423" s="8" t="str">
        <f t="shared" si="2"/>
        <v>fone de ouvido</v>
      </c>
      <c r="F423" s="8"/>
      <c r="G423" s="8" t="str">
        <f t="shared" si="3"/>
        <v>18</v>
      </c>
      <c r="H423" s="9">
        <f t="shared" si="4"/>
        <v>18</v>
      </c>
      <c r="I423" s="6" t="str">
        <f>IFERROR(__xludf.DUMMYFUNCTION("MAX(FILTER($H:$H,$E:$E=F423))"),"#N/A")</f>
        <v>#N/A</v>
      </c>
    </row>
    <row r="424">
      <c r="C424" s="4" t="s">
        <v>2560</v>
      </c>
      <c r="D424" s="4" t="str">
        <f t="shared" si="1"/>
        <v>{"valorA":"computador","valorB":26}</v>
      </c>
      <c r="E424" s="8" t="str">
        <f t="shared" si="2"/>
        <v>computador</v>
      </c>
      <c r="F424" s="8"/>
      <c r="G424" s="8" t="str">
        <f t="shared" si="3"/>
        <v>26</v>
      </c>
      <c r="H424" s="9">
        <f t="shared" si="4"/>
        <v>26</v>
      </c>
      <c r="I424" s="6" t="str">
        <f>IFERROR(__xludf.DUMMYFUNCTION("MAX(FILTER($H:$H,$E:$E=F424))"),"#N/A")</f>
        <v>#N/A</v>
      </c>
    </row>
    <row r="425">
      <c r="C425" s="4" t="s">
        <v>3517</v>
      </c>
      <c r="D425" s="4" t="str">
        <f t="shared" si="1"/>
        <v>{"valorA":"carregador de celular","valorB":19}</v>
      </c>
      <c r="E425" s="8" t="str">
        <f t="shared" si="2"/>
        <v>carregador de celular</v>
      </c>
      <c r="F425" s="8"/>
      <c r="G425" s="8" t="str">
        <f t="shared" si="3"/>
        <v>19</v>
      </c>
      <c r="H425" s="9">
        <f t="shared" si="4"/>
        <v>19</v>
      </c>
      <c r="I425" s="6" t="str">
        <f>IFERROR(__xludf.DUMMYFUNCTION("MAX(FILTER($H:$H,$E:$E=F425))"),"#N/A")</f>
        <v>#N/A</v>
      </c>
    </row>
    <row r="426">
      <c r="C426" s="4" t="s">
        <v>2453</v>
      </c>
      <c r="D426" s="4" t="str">
        <f t="shared" si="1"/>
        <v>{"valorA":"teclado de computador","valorB":22}</v>
      </c>
      <c r="E426" s="8" t="str">
        <f t="shared" si="2"/>
        <v>teclado de computador</v>
      </c>
      <c r="F426" s="8"/>
      <c r="G426" s="8" t="str">
        <f t="shared" si="3"/>
        <v>22</v>
      </c>
      <c r="H426" s="9">
        <f t="shared" si="4"/>
        <v>22</v>
      </c>
      <c r="I426" s="6" t="str">
        <f>IFERROR(__xludf.DUMMYFUNCTION("MAX(FILTER($H:$H,$E:$E=F426))"),"#N/A")</f>
        <v>#N/A</v>
      </c>
    </row>
    <row r="427">
      <c r="C427" s="4" t="s">
        <v>2520</v>
      </c>
      <c r="D427" s="4" t="str">
        <f t="shared" si="1"/>
        <v>{"valorA":"relógio","valorB":20}</v>
      </c>
      <c r="E427" s="8" t="str">
        <f t="shared" si="2"/>
        <v>relógio</v>
      </c>
      <c r="F427" s="8"/>
      <c r="G427" s="8" t="str">
        <f t="shared" si="3"/>
        <v>20</v>
      </c>
      <c r="H427" s="9">
        <f t="shared" si="4"/>
        <v>20</v>
      </c>
      <c r="I427" s="6" t="str">
        <f>IFERROR(__xludf.DUMMYFUNCTION("MAX(FILTER($H:$H,$E:$E=F427))"),"#N/A")</f>
        <v>#N/A</v>
      </c>
    </row>
    <row r="428">
      <c r="C428" s="4" t="s">
        <v>1758</v>
      </c>
      <c r="D428" s="4" t="str">
        <f t="shared" si="1"/>
        <v>{"valorA":"microondas","valorB":33}</v>
      </c>
      <c r="E428" s="8" t="str">
        <f t="shared" si="2"/>
        <v>microondas</v>
      </c>
      <c r="F428" s="8"/>
      <c r="G428" s="8" t="str">
        <f t="shared" si="3"/>
        <v>33</v>
      </c>
      <c r="H428" s="9">
        <f t="shared" si="4"/>
        <v>33</v>
      </c>
      <c r="I428" s="6" t="str">
        <f>IFERROR(__xludf.DUMMYFUNCTION("MAX(FILTER($H:$H,$E:$E=F428))"),"#N/A")</f>
        <v>#N/A</v>
      </c>
    </row>
    <row r="429">
      <c r="C429" s="4" t="s">
        <v>2450</v>
      </c>
      <c r="D429" s="4" t="str">
        <f t="shared" si="1"/>
        <v>{"valorA":"roteador","valorB":18}</v>
      </c>
      <c r="E429" s="8" t="str">
        <f t="shared" si="2"/>
        <v>roteador</v>
      </c>
      <c r="F429" s="8"/>
      <c r="G429" s="8" t="str">
        <f t="shared" si="3"/>
        <v>18</v>
      </c>
      <c r="H429" s="9">
        <f t="shared" si="4"/>
        <v>18</v>
      </c>
      <c r="I429" s="6" t="str">
        <f>IFERROR(__xludf.DUMMYFUNCTION("MAX(FILTER($H:$H,$E:$E=F429))"),"#N/A")</f>
        <v>#N/A</v>
      </c>
    </row>
    <row r="430">
      <c r="C430" s="4" t="s">
        <v>2444</v>
      </c>
      <c r="D430" s="4" t="str">
        <f t="shared" si="1"/>
        <v>{"valorA":"fogão","valorB":17}</v>
      </c>
      <c r="E430" s="8" t="str">
        <f t="shared" si="2"/>
        <v>fogão</v>
      </c>
      <c r="F430" s="8"/>
      <c r="G430" s="8" t="str">
        <f t="shared" si="3"/>
        <v>17</v>
      </c>
      <c r="H430" s="9">
        <f t="shared" si="4"/>
        <v>17</v>
      </c>
      <c r="I430" s="6" t="str">
        <f>IFERROR(__xludf.DUMMYFUNCTION("MAX(FILTER($H:$H,$E:$E=F430))"),"#N/A")</f>
        <v>#N/A</v>
      </c>
    </row>
    <row r="431">
      <c r="C431" s="4" t="s">
        <v>2475</v>
      </c>
      <c r="D431" s="4" t="str">
        <f t="shared" si="1"/>
        <v>{"valorA":"roteador","valorB":19}</v>
      </c>
      <c r="E431" s="8" t="str">
        <f t="shared" si="2"/>
        <v>roteador</v>
      </c>
      <c r="F431" s="8"/>
      <c r="G431" s="8" t="str">
        <f t="shared" si="3"/>
        <v>19</v>
      </c>
      <c r="H431" s="9">
        <f t="shared" si="4"/>
        <v>19</v>
      </c>
      <c r="I431" s="6" t="str">
        <f>IFERROR(__xludf.DUMMYFUNCTION("MAX(FILTER($H:$H,$E:$E=F431))"),"#N/A")</f>
        <v>#N/A</v>
      </c>
    </row>
    <row r="432">
      <c r="C432" s="4" t="s">
        <v>2537</v>
      </c>
      <c r="D432" s="4" t="str">
        <f t="shared" si="1"/>
        <v>{"valorA":"purificador de água","valorB":19}</v>
      </c>
      <c r="E432" s="8" t="str">
        <f t="shared" si="2"/>
        <v>purificador de água</v>
      </c>
      <c r="F432" s="8"/>
      <c r="G432" s="8" t="str">
        <f t="shared" si="3"/>
        <v>19</v>
      </c>
      <c r="H432" s="9">
        <f t="shared" si="4"/>
        <v>19</v>
      </c>
      <c r="I432" s="6" t="str">
        <f>IFERROR(__xludf.DUMMYFUNCTION("MAX(FILTER($H:$H,$E:$E=F432))"),"#N/A")</f>
        <v>#N/A</v>
      </c>
    </row>
    <row r="433">
      <c r="C433" s="4" t="s">
        <v>1736</v>
      </c>
      <c r="D433" s="4" t="str">
        <f t="shared" si="1"/>
        <v>{"valorA":"ar condicionado","valorB":24}</v>
      </c>
      <c r="E433" s="8" t="str">
        <f t="shared" si="2"/>
        <v>ar condicionado</v>
      </c>
      <c r="F433" s="8"/>
      <c r="G433" s="8" t="str">
        <f t="shared" si="3"/>
        <v>24</v>
      </c>
      <c r="H433" s="9">
        <f t="shared" si="4"/>
        <v>24</v>
      </c>
      <c r="I433" s="6" t="str">
        <f>IFERROR(__xludf.DUMMYFUNCTION("MAX(FILTER($H:$H,$E:$E=F433))"),"#N/A")</f>
        <v>#N/A</v>
      </c>
    </row>
    <row r="434">
      <c r="C434" s="4" t="s">
        <v>2472</v>
      </c>
      <c r="D434" s="4" t="str">
        <f t="shared" si="1"/>
        <v>{"valorA":"teclado de computador","valorB":23}</v>
      </c>
      <c r="E434" s="8" t="str">
        <f t="shared" si="2"/>
        <v>teclado de computador</v>
      </c>
      <c r="F434" s="8"/>
      <c r="G434" s="8" t="str">
        <f t="shared" si="3"/>
        <v>23</v>
      </c>
      <c r="H434" s="9">
        <f t="shared" si="4"/>
        <v>23</v>
      </c>
      <c r="I434" s="6" t="str">
        <f>IFERROR(__xludf.DUMMYFUNCTION("MAX(FILTER($H:$H,$E:$E=F434))"),"#N/A")</f>
        <v>#N/A</v>
      </c>
    </row>
    <row r="435">
      <c r="C435" s="4" t="s">
        <v>2554</v>
      </c>
      <c r="D435" s="4" t="str">
        <f t="shared" si="1"/>
        <v>{"valorA":"filtro de linha","valorB":24}</v>
      </c>
      <c r="E435" s="8" t="str">
        <f t="shared" si="2"/>
        <v>filtro de linha</v>
      </c>
      <c r="F435" s="8"/>
      <c r="G435" s="8" t="str">
        <f t="shared" si="3"/>
        <v>24</v>
      </c>
      <c r="H435" s="9">
        <f t="shared" si="4"/>
        <v>24</v>
      </c>
      <c r="I435" s="6" t="str">
        <f>IFERROR(__xludf.DUMMYFUNCTION("MAX(FILTER($H:$H,$E:$E=F435))"),"#N/A")</f>
        <v>#N/A</v>
      </c>
    </row>
    <row r="436">
      <c r="C436" s="4" t="s">
        <v>2578</v>
      </c>
      <c r="D436" s="4" t="str">
        <f t="shared" si="1"/>
        <v>{"valorA":"lustre","valorB":20}</v>
      </c>
      <c r="E436" s="8" t="str">
        <f t="shared" si="2"/>
        <v>lustre</v>
      </c>
      <c r="F436" s="8"/>
      <c r="G436" s="8" t="str">
        <f t="shared" si="3"/>
        <v>20</v>
      </c>
      <c r="H436" s="9">
        <f t="shared" si="4"/>
        <v>20</v>
      </c>
      <c r="I436" s="6" t="str">
        <f>IFERROR(__xludf.DUMMYFUNCTION("MAX(FILTER($H:$H,$E:$E=F436))"),"#N/A")</f>
        <v>#N/A</v>
      </c>
    </row>
    <row r="437">
      <c r="C437" s="4" t="s">
        <v>2538</v>
      </c>
      <c r="D437" s="4" t="str">
        <f t="shared" si="1"/>
        <v>{"valorA":"mouse de computador","valorB":16}</v>
      </c>
      <c r="E437" s="8" t="str">
        <f t="shared" si="2"/>
        <v>mouse de computador</v>
      </c>
      <c r="F437" s="8"/>
      <c r="G437" s="8" t="str">
        <f t="shared" si="3"/>
        <v>16</v>
      </c>
      <c r="H437" s="9">
        <f t="shared" si="4"/>
        <v>16</v>
      </c>
      <c r="I437" s="6" t="str">
        <f>IFERROR(__xludf.DUMMYFUNCTION("MAX(FILTER($H:$H,$E:$E=F437))"),"#N/A")</f>
        <v>#N/A</v>
      </c>
    </row>
    <row r="438">
      <c r="C438" s="4" t="s">
        <v>2562</v>
      </c>
      <c r="D438" s="4" t="str">
        <f t="shared" si="1"/>
        <v>{"valorA":"purificador de água","valorB":20}</v>
      </c>
      <c r="E438" s="8" t="str">
        <f t="shared" si="2"/>
        <v>purificador de água</v>
      </c>
      <c r="F438" s="8"/>
      <c r="G438" s="8" t="str">
        <f t="shared" si="3"/>
        <v>20</v>
      </c>
      <c r="H438" s="9">
        <f t="shared" si="4"/>
        <v>20</v>
      </c>
      <c r="I438" s="6" t="str">
        <f>IFERROR(__xludf.DUMMYFUNCTION("MAX(FILTER($H:$H,$E:$E=F438))"),"#N/A")</f>
        <v>#N/A</v>
      </c>
    </row>
    <row r="439">
      <c r="C439" s="4" t="s">
        <v>1739</v>
      </c>
      <c r="D439" s="4" t="str">
        <f t="shared" si="1"/>
        <v>{"valorA":"ar condicionado","valorB":25}</v>
      </c>
      <c r="E439" s="8" t="str">
        <f t="shared" si="2"/>
        <v>ar condicionado</v>
      </c>
      <c r="F439" s="8"/>
      <c r="G439" s="8" t="str">
        <f t="shared" si="3"/>
        <v>25</v>
      </c>
      <c r="H439" s="9">
        <f t="shared" si="4"/>
        <v>25</v>
      </c>
      <c r="I439" s="6" t="str">
        <f>IFERROR(__xludf.DUMMYFUNCTION("MAX(FILTER($H:$H,$E:$E=F439))"),"#N/A")</f>
        <v>#N/A</v>
      </c>
    </row>
    <row r="440">
      <c r="C440" s="4" t="s">
        <v>3527</v>
      </c>
      <c r="D440" s="4" t="str">
        <f t="shared" si="1"/>
        <v>{"valorA":"celular","valorB":23}</v>
      </c>
      <c r="E440" s="8" t="str">
        <f t="shared" si="2"/>
        <v>celular</v>
      </c>
      <c r="F440" s="8"/>
      <c r="G440" s="8" t="str">
        <f t="shared" si="3"/>
        <v>23</v>
      </c>
      <c r="H440" s="9">
        <f t="shared" si="4"/>
        <v>23</v>
      </c>
      <c r="I440" s="6" t="str">
        <f>IFERROR(__xludf.DUMMYFUNCTION("MAX(FILTER($H:$H,$E:$E=F440))"),"#N/A")</f>
        <v>#N/A</v>
      </c>
    </row>
    <row r="441">
      <c r="C441" s="4" t="s">
        <v>6513</v>
      </c>
      <c r="D441" s="4" t="str">
        <f t="shared" si="1"/>
        <v>{"valorA":"ventilador","valorB":29}</v>
      </c>
      <c r="E441" s="8" t="str">
        <f t="shared" si="2"/>
        <v>ventilador</v>
      </c>
      <c r="F441" s="8"/>
      <c r="G441" s="8" t="str">
        <f t="shared" si="3"/>
        <v>29</v>
      </c>
      <c r="H441" s="9">
        <f t="shared" si="4"/>
        <v>29</v>
      </c>
      <c r="I441" s="6" t="str">
        <f>IFERROR(__xludf.DUMMYFUNCTION("MAX(FILTER($H:$H,$E:$E=F441))"),"#N/A")</f>
        <v>#N/A</v>
      </c>
    </row>
    <row r="442">
      <c r="C442" s="4" t="s">
        <v>2484</v>
      </c>
      <c r="D442" s="4" t="str">
        <f t="shared" si="1"/>
        <v>{"valorA":"teclado de computador","valorB":24}</v>
      </c>
      <c r="E442" s="8" t="str">
        <f t="shared" si="2"/>
        <v>teclado de computador</v>
      </c>
      <c r="F442" s="8"/>
      <c r="G442" s="8" t="str">
        <f t="shared" si="3"/>
        <v>24</v>
      </c>
      <c r="H442" s="9">
        <f t="shared" si="4"/>
        <v>24</v>
      </c>
      <c r="I442" s="6" t="str">
        <f>IFERROR(__xludf.DUMMYFUNCTION("MAX(FILTER($H:$H,$E:$E=F442))"),"#N/A")</f>
        <v>#N/A</v>
      </c>
    </row>
    <row r="443">
      <c r="C443" s="4" t="s">
        <v>1759</v>
      </c>
      <c r="D443" s="4" t="str">
        <f t="shared" si="1"/>
        <v>{"valorA":"microondas","valorB":34}</v>
      </c>
      <c r="E443" s="8" t="str">
        <f t="shared" si="2"/>
        <v>microondas</v>
      </c>
      <c r="F443" s="8"/>
      <c r="G443" s="8" t="str">
        <f t="shared" si="3"/>
        <v>34</v>
      </c>
      <c r="H443" s="9">
        <f t="shared" si="4"/>
        <v>34</v>
      </c>
      <c r="I443" s="6" t="str">
        <f>IFERROR(__xludf.DUMMYFUNCTION("MAX(FILTER($H:$H,$E:$E=F443))"),"#N/A")</f>
        <v>#N/A</v>
      </c>
    </row>
    <row r="444">
      <c r="C444" s="4" t="s">
        <v>2566</v>
      </c>
      <c r="D444" s="4" t="str">
        <f t="shared" si="1"/>
        <v>{"valorA":"purificador de água","valorB":21}</v>
      </c>
      <c r="E444" s="8" t="str">
        <f t="shared" si="2"/>
        <v>purificador de água</v>
      </c>
      <c r="F444" s="8"/>
      <c r="G444" s="8" t="str">
        <f t="shared" si="3"/>
        <v>21</v>
      </c>
      <c r="H444" s="9">
        <f t="shared" si="4"/>
        <v>21</v>
      </c>
      <c r="I444" s="6" t="str">
        <f>IFERROR(__xludf.DUMMYFUNCTION("MAX(FILTER($H:$H,$E:$E=F444))"),"#N/A")</f>
        <v>#N/A</v>
      </c>
    </row>
    <row r="445">
      <c r="C445" s="4" t="s">
        <v>2545</v>
      </c>
      <c r="D445" s="4" t="str">
        <f t="shared" si="1"/>
        <v>{"valorA":"mouse de computador","valorB":17}</v>
      </c>
      <c r="E445" s="8" t="str">
        <f t="shared" si="2"/>
        <v>mouse de computador</v>
      </c>
      <c r="F445" s="8"/>
      <c r="G445" s="8" t="str">
        <f t="shared" si="3"/>
        <v>17</v>
      </c>
      <c r="H445" s="9">
        <f t="shared" si="4"/>
        <v>17</v>
      </c>
      <c r="I445" s="6" t="str">
        <f>IFERROR(__xludf.DUMMYFUNCTION("MAX(FILTER($H:$H,$E:$E=F445))"),"#N/A")</f>
        <v>#N/A</v>
      </c>
    </row>
    <row r="446">
      <c r="C446" s="4" t="s">
        <v>1762</v>
      </c>
      <c r="D446" s="4" t="str">
        <f t="shared" si="1"/>
        <v>{"valorA":"microondas","valorB":35}</v>
      </c>
      <c r="E446" s="8" t="str">
        <f t="shared" si="2"/>
        <v>microondas</v>
      </c>
      <c r="F446" s="8"/>
      <c r="G446" s="8" t="str">
        <f t="shared" si="3"/>
        <v>35</v>
      </c>
      <c r="H446" s="9">
        <f t="shared" si="4"/>
        <v>35</v>
      </c>
      <c r="I446" s="6" t="str">
        <f>IFERROR(__xludf.DUMMYFUNCTION("MAX(FILTER($H:$H,$E:$E=F446))"),"#N/A")</f>
        <v>#N/A</v>
      </c>
    </row>
    <row r="447">
      <c r="C447" s="4" t="s">
        <v>3531</v>
      </c>
      <c r="D447" s="4" t="str">
        <f t="shared" si="1"/>
        <v>{"valorA":"lustre","valorB":21}</v>
      </c>
      <c r="E447" s="8" t="str">
        <f t="shared" si="2"/>
        <v>lustre</v>
      </c>
      <c r="F447" s="8"/>
      <c r="G447" s="8" t="str">
        <f t="shared" si="3"/>
        <v>21</v>
      </c>
      <c r="H447" s="9">
        <f t="shared" si="4"/>
        <v>21</v>
      </c>
      <c r="I447" s="6" t="str">
        <f>IFERROR(__xludf.DUMMYFUNCTION("MAX(FILTER($H:$H,$E:$E=F447))"),"#N/A")</f>
        <v>#N/A</v>
      </c>
    </row>
    <row r="448">
      <c r="C448" s="4" t="s">
        <v>3529</v>
      </c>
      <c r="D448" s="4" t="str">
        <f t="shared" si="1"/>
        <v>{"valorA":"celular","valorB":24}</v>
      </c>
      <c r="E448" s="8" t="str">
        <f t="shared" si="2"/>
        <v>celular</v>
      </c>
      <c r="F448" s="8"/>
      <c r="G448" s="8" t="str">
        <f t="shared" si="3"/>
        <v>24</v>
      </c>
      <c r="H448" s="9">
        <f t="shared" si="4"/>
        <v>24</v>
      </c>
      <c r="I448" s="6" t="str">
        <f>IFERROR(__xludf.DUMMYFUNCTION("MAX(FILTER($H:$H,$E:$E=F448))"),"#N/A")</f>
        <v>#N/A</v>
      </c>
    </row>
    <row r="449">
      <c r="C449" s="4" t="s">
        <v>2477</v>
      </c>
      <c r="D449" s="4" t="str">
        <f t="shared" si="1"/>
        <v>{"valorA":"roteador","valorB":20}</v>
      </c>
      <c r="E449" s="8" t="str">
        <f t="shared" si="2"/>
        <v>roteador</v>
      </c>
      <c r="F449" s="8"/>
      <c r="G449" s="8" t="str">
        <f t="shared" si="3"/>
        <v>20</v>
      </c>
      <c r="H449" s="9">
        <f t="shared" si="4"/>
        <v>20</v>
      </c>
      <c r="I449" s="6" t="str">
        <f>IFERROR(__xludf.DUMMYFUNCTION("MAX(FILTER($H:$H,$E:$E=F449))"),"#N/A")</f>
        <v>#N/A</v>
      </c>
    </row>
    <row r="450">
      <c r="C450" s="4" t="s">
        <v>2446</v>
      </c>
      <c r="D450" s="4" t="str">
        <f t="shared" si="1"/>
        <v>{"valorA":"liquidificador","valorB":20}</v>
      </c>
      <c r="E450" s="8" t="str">
        <f t="shared" si="2"/>
        <v>liquidificador</v>
      </c>
      <c r="F450" s="8"/>
      <c r="G450" s="8" t="str">
        <f t="shared" si="3"/>
        <v>20</v>
      </c>
      <c r="H450" s="9">
        <f t="shared" si="4"/>
        <v>20</v>
      </c>
      <c r="I450" s="6" t="str">
        <f>IFERROR(__xludf.DUMMYFUNCTION("MAX(FILTER($H:$H,$E:$E=F450))"),"#N/A")</f>
        <v>#N/A</v>
      </c>
    </row>
    <row r="451">
      <c r="C451" s="4" t="s">
        <v>2460</v>
      </c>
      <c r="D451" s="4" t="str">
        <f t="shared" si="1"/>
        <v>{"valorA":"fogão","valorB":18}</v>
      </c>
      <c r="E451" s="8" t="str">
        <f t="shared" si="2"/>
        <v>fogão</v>
      </c>
      <c r="F451" s="8"/>
      <c r="G451" s="8" t="str">
        <f t="shared" si="3"/>
        <v>18</v>
      </c>
      <c r="H451" s="9">
        <f t="shared" si="4"/>
        <v>18</v>
      </c>
      <c r="I451" s="6" t="str">
        <f>IFERROR(__xludf.DUMMYFUNCTION("MAX(FILTER($H:$H,$E:$E=F451))"),"#N/A")</f>
        <v>#N/A</v>
      </c>
    </row>
    <row r="452">
      <c r="C452" s="4" t="s">
        <v>3524</v>
      </c>
      <c r="D452" s="4" t="str">
        <f t="shared" si="1"/>
        <v>{"valorA":"purificador de água","valorB":22}</v>
      </c>
      <c r="E452" s="8" t="str">
        <f t="shared" si="2"/>
        <v>purificador de água</v>
      </c>
      <c r="F452" s="8"/>
      <c r="G452" s="8" t="str">
        <f t="shared" si="3"/>
        <v>22</v>
      </c>
      <c r="H452" s="9">
        <f t="shared" si="4"/>
        <v>22</v>
      </c>
      <c r="I452" s="6" t="str">
        <f>IFERROR(__xludf.DUMMYFUNCTION("MAX(FILTER($H:$H,$E:$E=F452))"),"#N/A")</f>
        <v>#N/A</v>
      </c>
    </row>
    <row r="453">
      <c r="C453" s="4" t="s">
        <v>2466</v>
      </c>
      <c r="D453" s="4" t="str">
        <f t="shared" si="1"/>
        <v>{"valorA":"liquidificador","valorB":21}</v>
      </c>
      <c r="E453" s="8" t="str">
        <f t="shared" si="2"/>
        <v>liquidificador</v>
      </c>
      <c r="F453" s="8"/>
      <c r="G453" s="8" t="str">
        <f t="shared" si="3"/>
        <v>21</v>
      </c>
      <c r="H453" s="9">
        <f t="shared" si="4"/>
        <v>21</v>
      </c>
      <c r="I453" s="6" t="str">
        <f>IFERROR(__xludf.DUMMYFUNCTION("MAX(FILTER($H:$H,$E:$E=F453))"),"#N/A")</f>
        <v>#N/A</v>
      </c>
    </row>
    <row r="454">
      <c r="C454" s="4" t="s">
        <v>2529</v>
      </c>
      <c r="D454" s="4" t="str">
        <f t="shared" si="1"/>
        <v>{"valorA":"chuveiro elétrico","valorB":27}</v>
      </c>
      <c r="E454" s="8" t="str">
        <f t="shared" si="2"/>
        <v>chuveiro elétrico</v>
      </c>
      <c r="F454" s="8"/>
      <c r="G454" s="8" t="str">
        <f t="shared" si="3"/>
        <v>27</v>
      </c>
      <c r="H454" s="9">
        <f t="shared" si="4"/>
        <v>27</v>
      </c>
      <c r="I454" s="6" t="str">
        <f>IFERROR(__xludf.DUMMYFUNCTION("MAX(FILTER($H:$H,$E:$E=F454))"),"#N/A")</f>
        <v>#N/A</v>
      </c>
    </row>
    <row r="455">
      <c r="C455" s="4" t="s">
        <v>6514</v>
      </c>
      <c r="D455" s="4" t="str">
        <f t="shared" si="1"/>
        <v>{"valorA":"aspirador","valorB":32}</v>
      </c>
      <c r="E455" s="8" t="str">
        <f t="shared" si="2"/>
        <v>aspirador</v>
      </c>
      <c r="F455" s="8"/>
      <c r="G455" s="8" t="str">
        <f t="shared" si="3"/>
        <v>32</v>
      </c>
      <c r="H455" s="9">
        <f t="shared" si="4"/>
        <v>32</v>
      </c>
      <c r="I455" s="6" t="str">
        <f>IFERROR(__xludf.DUMMYFUNCTION("MAX(FILTER($H:$H,$E:$E=F455))"),"#N/A")</f>
        <v>#N/A</v>
      </c>
    </row>
    <row r="456">
      <c r="C456" s="4" t="s">
        <v>3526</v>
      </c>
      <c r="D456" s="4" t="str">
        <f t="shared" si="1"/>
        <v>{"valorA":"purificador de água","valorB":23}</v>
      </c>
      <c r="E456" s="8" t="str">
        <f t="shared" si="2"/>
        <v>purificador de água</v>
      </c>
      <c r="F456" s="8"/>
      <c r="G456" s="8" t="str">
        <f t="shared" si="3"/>
        <v>23</v>
      </c>
      <c r="H456" s="9">
        <f t="shared" si="4"/>
        <v>23</v>
      </c>
      <c r="I456" s="6" t="str">
        <f>IFERROR(__xludf.DUMMYFUNCTION("MAX(FILTER($H:$H,$E:$E=F456))"),"#N/A")</f>
        <v>#N/A</v>
      </c>
    </row>
    <row r="457">
      <c r="C457" s="4" t="s">
        <v>1675</v>
      </c>
      <c r="D457" s="4" t="str">
        <f t="shared" si="1"/>
        <v>{"valorA":"freezer","valorB":17}</v>
      </c>
      <c r="E457" s="8" t="str">
        <f t="shared" si="2"/>
        <v>freezer</v>
      </c>
      <c r="F457" s="8"/>
      <c r="G457" s="8" t="str">
        <f t="shared" si="3"/>
        <v>17</v>
      </c>
      <c r="H457" s="9">
        <f t="shared" si="4"/>
        <v>17</v>
      </c>
      <c r="I457" s="6" t="str">
        <f>IFERROR(__xludf.DUMMYFUNCTION("MAX(FILTER($H:$H,$E:$E=F457))"),"#N/A")</f>
        <v>#N/A</v>
      </c>
    </row>
    <row r="458">
      <c r="C458" s="4" t="s">
        <v>6515</v>
      </c>
      <c r="D458" s="4" t="str">
        <f t="shared" si="1"/>
        <v>{"valorA":"ventilador","valorB":30}</v>
      </c>
      <c r="E458" s="8" t="str">
        <f t="shared" si="2"/>
        <v>ventilador</v>
      </c>
      <c r="F458" s="8"/>
      <c r="G458" s="8" t="str">
        <f t="shared" si="3"/>
        <v>30</v>
      </c>
      <c r="H458" s="9">
        <f t="shared" si="4"/>
        <v>30</v>
      </c>
      <c r="I458" s="6" t="str">
        <f>IFERROR(__xludf.DUMMYFUNCTION("MAX(FILTER($H:$H,$E:$E=F458))"),"#N/A")</f>
        <v>#N/A</v>
      </c>
    </row>
    <row r="459">
      <c r="C459" s="4" t="s">
        <v>2518</v>
      </c>
      <c r="D459" s="4" t="str">
        <f t="shared" si="1"/>
        <v>{"valorA":"fone de ouvido","valorB":19}</v>
      </c>
      <c r="E459" s="8" t="str">
        <f t="shared" si="2"/>
        <v>fone de ouvido</v>
      </c>
      <c r="F459" s="8"/>
      <c r="G459" s="8" t="str">
        <f t="shared" si="3"/>
        <v>19</v>
      </c>
      <c r="H459" s="9">
        <f t="shared" si="4"/>
        <v>19</v>
      </c>
      <c r="I459" s="6" t="str">
        <f>IFERROR(__xludf.DUMMYFUNCTION("MAX(FILTER($H:$H,$E:$E=F459))"),"#N/A")</f>
        <v>#N/A</v>
      </c>
    </row>
    <row r="460">
      <c r="C460" s="4" t="s">
        <v>3532</v>
      </c>
      <c r="D460" s="4" t="str">
        <f t="shared" si="1"/>
        <v>{"valorA":"lustre","valorB":22}</v>
      </c>
      <c r="E460" s="8" t="str">
        <f t="shared" si="2"/>
        <v>lustre</v>
      </c>
      <c r="F460" s="8"/>
      <c r="G460" s="8" t="str">
        <f t="shared" si="3"/>
        <v>22</v>
      </c>
      <c r="H460" s="9">
        <f t="shared" si="4"/>
        <v>22</v>
      </c>
      <c r="I460" s="6" t="str">
        <f>IFERROR(__xludf.DUMMYFUNCTION("MAX(FILTER($H:$H,$E:$E=F460))"),"#N/A")</f>
        <v>#N/A</v>
      </c>
    </row>
    <row r="461">
      <c r="C461" s="4" t="s">
        <v>1766</v>
      </c>
      <c r="D461" s="4" t="str">
        <f t="shared" si="1"/>
        <v>{"valorA":"microondas","valorB":36}</v>
      </c>
      <c r="E461" s="8" t="str">
        <f t="shared" si="2"/>
        <v>microondas</v>
      </c>
      <c r="F461" s="8"/>
      <c r="G461" s="8" t="str">
        <f t="shared" si="3"/>
        <v>36</v>
      </c>
      <c r="H461" s="9">
        <f t="shared" si="4"/>
        <v>36</v>
      </c>
      <c r="I461" s="6" t="str">
        <f>IFERROR(__xludf.DUMMYFUNCTION("MAX(FILTER($H:$H,$E:$E=F461))"),"#N/A")</f>
        <v>#N/A</v>
      </c>
    </row>
    <row r="462">
      <c r="C462" s="4" t="s">
        <v>1676</v>
      </c>
      <c r="D462" s="4" t="str">
        <f t="shared" si="1"/>
        <v>{"valorA":"freezer","valorB":18}</v>
      </c>
      <c r="E462" s="8" t="str">
        <f t="shared" si="2"/>
        <v>freezer</v>
      </c>
      <c r="F462" s="8"/>
      <c r="G462" s="8" t="str">
        <f t="shared" si="3"/>
        <v>18</v>
      </c>
      <c r="H462" s="9">
        <f t="shared" si="4"/>
        <v>18</v>
      </c>
      <c r="I462" s="6" t="str">
        <f>IFERROR(__xludf.DUMMYFUNCTION("MAX(FILTER($H:$H,$E:$E=F462))"),"#N/A")</f>
        <v>#N/A</v>
      </c>
    </row>
    <row r="463">
      <c r="C463" s="4" t="s">
        <v>2486</v>
      </c>
      <c r="D463" s="4" t="str">
        <f t="shared" si="1"/>
        <v>{"valorA":"roteador","valorB":21}</v>
      </c>
      <c r="E463" s="8" t="str">
        <f t="shared" si="2"/>
        <v>roteador</v>
      </c>
      <c r="F463" s="8"/>
      <c r="G463" s="8" t="str">
        <f t="shared" si="3"/>
        <v>21</v>
      </c>
      <c r="H463" s="9">
        <f t="shared" si="4"/>
        <v>21</v>
      </c>
      <c r="I463" s="6" t="str">
        <f>IFERROR(__xludf.DUMMYFUNCTION("MAX(FILTER($H:$H,$E:$E=F463))"),"#N/A")</f>
        <v>#N/A</v>
      </c>
    </row>
    <row r="464">
      <c r="C464" s="4" t="s">
        <v>2462</v>
      </c>
      <c r="D464" s="4" t="str">
        <f t="shared" si="1"/>
        <v>{"valorA":"fogão","valorB":19}</v>
      </c>
      <c r="E464" s="8" t="str">
        <f t="shared" si="2"/>
        <v>fogão</v>
      </c>
      <c r="F464" s="8"/>
      <c r="G464" s="8" t="str">
        <f t="shared" si="3"/>
        <v>19</v>
      </c>
      <c r="H464" s="9">
        <f t="shared" si="4"/>
        <v>19</v>
      </c>
      <c r="I464" s="6" t="str">
        <f>IFERROR(__xludf.DUMMYFUNCTION("MAX(FILTER($H:$H,$E:$E=F464))"),"#N/A")</f>
        <v>#N/A</v>
      </c>
    </row>
    <row r="465">
      <c r="C465" s="4" t="s">
        <v>3538</v>
      </c>
      <c r="D465" s="4" t="str">
        <f t="shared" si="1"/>
        <v>{"valorA":"lustre","valorB":23}</v>
      </c>
      <c r="E465" s="8" t="str">
        <f t="shared" si="2"/>
        <v>lustre</v>
      </c>
      <c r="F465" s="8"/>
      <c r="G465" s="8" t="str">
        <f t="shared" si="3"/>
        <v>23</v>
      </c>
      <c r="H465" s="9">
        <f t="shared" si="4"/>
        <v>23</v>
      </c>
      <c r="I465" s="6" t="str">
        <f>IFERROR(__xludf.DUMMYFUNCTION("MAX(FILTER($H:$H,$E:$E=F465))"),"#N/A")</f>
        <v>#N/A</v>
      </c>
    </row>
    <row r="466">
      <c r="C466" s="4" t="s">
        <v>2439</v>
      </c>
      <c r="D466" s="4" t="str">
        <f t="shared" si="1"/>
        <v>{"valorA":"carregador de computador","valorB":17}</v>
      </c>
      <c r="E466" s="8" t="str">
        <f t="shared" si="2"/>
        <v>carregador de computador</v>
      </c>
      <c r="F466" s="8"/>
      <c r="G466" s="8" t="str">
        <f t="shared" si="3"/>
        <v>17</v>
      </c>
      <c r="H466" s="9">
        <f t="shared" si="4"/>
        <v>17</v>
      </c>
      <c r="I466" s="6" t="str">
        <f>IFERROR(__xludf.DUMMYFUNCTION("MAX(FILTER($H:$H,$E:$E=F466))"),"#N/A")</f>
        <v>#N/A</v>
      </c>
    </row>
    <row r="467">
      <c r="C467" s="4" t="s">
        <v>1741</v>
      </c>
      <c r="D467" s="4" t="str">
        <f t="shared" si="1"/>
        <v>{"valorA":"ar condicionado","valorB":26}</v>
      </c>
      <c r="E467" s="8" t="str">
        <f t="shared" si="2"/>
        <v>ar condicionado</v>
      </c>
      <c r="F467" s="8"/>
      <c r="G467" s="8" t="str">
        <f t="shared" si="3"/>
        <v>26</v>
      </c>
      <c r="H467" s="9">
        <f t="shared" si="4"/>
        <v>26</v>
      </c>
      <c r="I467" s="6" t="str">
        <f>IFERROR(__xludf.DUMMYFUNCTION("MAX(FILTER($H:$H,$E:$E=F467))"),"#N/A")</f>
        <v>#N/A</v>
      </c>
    </row>
    <row r="468">
      <c r="C468" s="4" t="s">
        <v>2494</v>
      </c>
      <c r="D468" s="4" t="str">
        <f t="shared" si="1"/>
        <v>{"valorA":"liquidificador","valorB":22}</v>
      </c>
      <c r="E468" s="8" t="str">
        <f t="shared" si="2"/>
        <v>liquidificador</v>
      </c>
      <c r="F468" s="8"/>
      <c r="G468" s="8" t="str">
        <f t="shared" si="3"/>
        <v>22</v>
      </c>
      <c r="H468" s="9">
        <f t="shared" si="4"/>
        <v>22</v>
      </c>
      <c r="I468" s="6" t="str">
        <f>IFERROR(__xludf.DUMMYFUNCTION("MAX(FILTER($H:$H,$E:$E=F468))"),"#N/A")</f>
        <v>#N/A</v>
      </c>
    </row>
    <row r="469">
      <c r="C469" s="4" t="s">
        <v>1768</v>
      </c>
      <c r="D469" s="4" t="str">
        <f t="shared" si="1"/>
        <v>{"valorA":"microondas","valorB":37}</v>
      </c>
      <c r="E469" s="8" t="str">
        <f t="shared" si="2"/>
        <v>microondas</v>
      </c>
      <c r="F469" s="8"/>
      <c r="G469" s="8" t="str">
        <f t="shared" si="3"/>
        <v>37</v>
      </c>
      <c r="H469" s="9">
        <f t="shared" si="4"/>
        <v>37</v>
      </c>
      <c r="I469" s="6" t="str">
        <f>IFERROR(__xludf.DUMMYFUNCTION("MAX(FILTER($H:$H,$E:$E=F469))"),"#N/A")</f>
        <v>#N/A</v>
      </c>
    </row>
    <row r="470">
      <c r="C470" s="4" t="s">
        <v>2533</v>
      </c>
      <c r="D470" s="4" t="str">
        <f t="shared" si="1"/>
        <v>{"valorA":"chuveiro elétrico","valorB":28}</v>
      </c>
      <c r="E470" s="8" t="str">
        <f t="shared" si="2"/>
        <v>chuveiro elétrico</v>
      </c>
      <c r="F470" s="8"/>
      <c r="G470" s="8" t="str">
        <f t="shared" si="3"/>
        <v>28</v>
      </c>
      <c r="H470" s="9">
        <f t="shared" si="4"/>
        <v>28</v>
      </c>
      <c r="I470" s="6" t="str">
        <f>IFERROR(__xludf.DUMMYFUNCTION("MAX(FILTER($H:$H,$E:$E=F470))"),"#N/A")</f>
        <v>#N/A</v>
      </c>
    </row>
    <row r="471">
      <c r="C471" s="4" t="s">
        <v>3533</v>
      </c>
      <c r="D471" s="4" t="str">
        <f t="shared" si="1"/>
        <v>{"valorA":"purificador de água","valorB":24}</v>
      </c>
      <c r="E471" s="8" t="str">
        <f t="shared" si="2"/>
        <v>purificador de água</v>
      </c>
      <c r="F471" s="8"/>
      <c r="G471" s="8" t="str">
        <f t="shared" si="3"/>
        <v>24</v>
      </c>
      <c r="H471" s="9">
        <f t="shared" si="4"/>
        <v>24</v>
      </c>
      <c r="I471" s="6" t="str">
        <f>IFERROR(__xludf.DUMMYFUNCTION("MAX(FILTER($H:$H,$E:$E=F471))"),"#N/A")</f>
        <v>#N/A</v>
      </c>
    </row>
    <row r="472">
      <c r="C472" s="4" t="s">
        <v>1770</v>
      </c>
      <c r="D472" s="4" t="str">
        <f t="shared" si="1"/>
        <v>{"valorA":"microondas","valorB":38}</v>
      </c>
      <c r="E472" s="8" t="str">
        <f t="shared" si="2"/>
        <v>microondas</v>
      </c>
      <c r="F472" s="8"/>
      <c r="G472" s="8" t="str">
        <f t="shared" si="3"/>
        <v>38</v>
      </c>
      <c r="H472" s="9">
        <f t="shared" si="4"/>
        <v>38</v>
      </c>
      <c r="I472" s="6" t="str">
        <f>IFERROR(__xludf.DUMMYFUNCTION("MAX(FILTER($H:$H,$E:$E=F472))"),"#N/A")</f>
        <v>#N/A</v>
      </c>
    </row>
    <row r="473">
      <c r="C473" s="4" t="s">
        <v>3536</v>
      </c>
      <c r="D473" s="4" t="str">
        <f t="shared" si="1"/>
        <v>{"valorA":"purificador de água","valorB":25}</v>
      </c>
      <c r="E473" s="8" t="str">
        <f t="shared" si="2"/>
        <v>purificador de água</v>
      </c>
      <c r="F473" s="8"/>
      <c r="G473" s="8" t="str">
        <f t="shared" si="3"/>
        <v>25</v>
      </c>
      <c r="H473" s="9">
        <f t="shared" si="4"/>
        <v>25</v>
      </c>
      <c r="I473" s="6" t="str">
        <f>IFERROR(__xludf.DUMMYFUNCTION("MAX(FILTER($H:$H,$E:$E=F473))"),"#N/A")</f>
        <v>#N/A</v>
      </c>
    </row>
    <row r="474">
      <c r="C474" s="4" t="s">
        <v>6516</v>
      </c>
      <c r="D474" s="4" t="str">
        <f t="shared" si="1"/>
        <v>{"valorA":"ventilador","valorB":31}</v>
      </c>
      <c r="E474" s="8" t="str">
        <f t="shared" si="2"/>
        <v>ventilador</v>
      </c>
      <c r="F474" s="8"/>
      <c r="G474" s="8" t="str">
        <f t="shared" si="3"/>
        <v>31</v>
      </c>
      <c r="H474" s="9">
        <f t="shared" si="4"/>
        <v>31</v>
      </c>
      <c r="I474" s="6" t="str">
        <f>IFERROR(__xludf.DUMMYFUNCTION("MAX(FILTER($H:$H,$E:$E=F474))"),"#N/A")</f>
        <v>#N/A</v>
      </c>
    </row>
    <row r="475">
      <c r="C475" s="4" t="s">
        <v>3541</v>
      </c>
      <c r="D475" s="4" t="str">
        <f t="shared" si="1"/>
        <v>{"valorA":"lustre","valorB":24}</v>
      </c>
      <c r="E475" s="8" t="str">
        <f t="shared" si="2"/>
        <v>lustre</v>
      </c>
      <c r="F475" s="8"/>
      <c r="G475" s="8" t="str">
        <f t="shared" si="3"/>
        <v>24</v>
      </c>
      <c r="H475" s="9">
        <f t="shared" si="4"/>
        <v>24</v>
      </c>
      <c r="I475" s="6" t="str">
        <f>IFERROR(__xludf.DUMMYFUNCTION("MAX(FILTER($H:$H,$E:$E=F475))"),"#N/A")</f>
        <v>#N/A</v>
      </c>
    </row>
    <row r="476">
      <c r="C476" s="4" t="s">
        <v>3518</v>
      </c>
      <c r="D476" s="4" t="str">
        <f t="shared" si="1"/>
        <v>{"valorA":"carregador de celular","valorB":20}</v>
      </c>
      <c r="E476" s="8" t="str">
        <f t="shared" si="2"/>
        <v>carregador de celular</v>
      </c>
      <c r="F476" s="8"/>
      <c r="G476" s="8" t="str">
        <f t="shared" si="3"/>
        <v>20</v>
      </c>
      <c r="H476" s="9">
        <f t="shared" si="4"/>
        <v>20</v>
      </c>
      <c r="I476" s="6" t="str">
        <f>IFERROR(__xludf.DUMMYFUNCTION("MAX(FILTER($H:$H,$E:$E=F476))"),"#N/A")</f>
        <v>#N/A</v>
      </c>
    </row>
    <row r="477">
      <c r="C477" s="4" t="s">
        <v>1742</v>
      </c>
      <c r="D477" s="4" t="str">
        <f t="shared" si="1"/>
        <v>{"valorA":"ar condicionado","valorB":27}</v>
      </c>
      <c r="E477" s="8" t="str">
        <f t="shared" si="2"/>
        <v>ar condicionado</v>
      </c>
      <c r="F477" s="8"/>
      <c r="G477" s="8" t="str">
        <f t="shared" si="3"/>
        <v>27</v>
      </c>
      <c r="H477" s="9">
        <f t="shared" si="4"/>
        <v>27</v>
      </c>
      <c r="I477" s="6" t="str">
        <f>IFERROR(__xludf.DUMMYFUNCTION("MAX(FILTER($H:$H,$E:$E=F477))"),"#N/A")</f>
        <v>#N/A</v>
      </c>
    </row>
    <row r="478">
      <c r="C478" s="4" t="s">
        <v>3519</v>
      </c>
      <c r="D478" s="4" t="str">
        <f t="shared" si="1"/>
        <v>{"valorA":"carregador de celular","valorB":21}</v>
      </c>
      <c r="E478" s="8" t="str">
        <f t="shared" si="2"/>
        <v>carregador de celular</v>
      </c>
      <c r="F478" s="8"/>
      <c r="G478" s="8" t="str">
        <f t="shared" si="3"/>
        <v>21</v>
      </c>
      <c r="H478" s="9">
        <f t="shared" si="4"/>
        <v>21</v>
      </c>
      <c r="I478" s="6" t="str">
        <f>IFERROR(__xludf.DUMMYFUNCTION("MAX(FILTER($H:$H,$E:$E=F478))"),"#N/A")</f>
        <v>#N/A</v>
      </c>
    </row>
    <row r="479">
      <c r="C479" s="4" t="s">
        <v>2465</v>
      </c>
      <c r="D479" s="4" t="str">
        <f t="shared" si="1"/>
        <v>{"valorA":"fogão","valorB":20}</v>
      </c>
      <c r="E479" s="8" t="str">
        <f t="shared" si="2"/>
        <v>fogão</v>
      </c>
      <c r="F479" s="8"/>
      <c r="G479" s="8" t="str">
        <f t="shared" si="3"/>
        <v>20</v>
      </c>
      <c r="H479" s="9">
        <f t="shared" si="4"/>
        <v>20</v>
      </c>
      <c r="I479" s="6" t="str">
        <f>IFERROR(__xludf.DUMMYFUNCTION("MAX(FILTER($H:$H,$E:$E=F479))"),"#N/A")</f>
        <v>#N/A</v>
      </c>
    </row>
    <row r="480">
      <c r="C480" s="4" t="s">
        <v>2506</v>
      </c>
      <c r="D480" s="4" t="str">
        <f t="shared" si="1"/>
        <v>{"valorA":"roteador","valorB":22}</v>
      </c>
      <c r="E480" s="8" t="str">
        <f t="shared" si="2"/>
        <v>roteador</v>
      </c>
      <c r="F480" s="8"/>
      <c r="G480" s="8" t="str">
        <f t="shared" si="3"/>
        <v>22</v>
      </c>
      <c r="H480" s="9">
        <f t="shared" si="4"/>
        <v>22</v>
      </c>
      <c r="I480" s="6" t="str">
        <f>IFERROR(__xludf.DUMMYFUNCTION("MAX(FILTER($H:$H,$E:$E=F480))"),"#N/A")</f>
        <v>#N/A</v>
      </c>
    </row>
    <row r="481">
      <c r="C481" s="4" t="s">
        <v>2575</v>
      </c>
      <c r="D481" s="4" t="str">
        <f t="shared" si="1"/>
        <v>{"valorA":"filtro de linha","valorB":25}</v>
      </c>
      <c r="E481" s="8" t="str">
        <f t="shared" si="2"/>
        <v>filtro de linha</v>
      </c>
      <c r="F481" s="8"/>
      <c r="G481" s="8" t="str">
        <f t="shared" si="3"/>
        <v>25</v>
      </c>
      <c r="H481" s="9">
        <f t="shared" si="4"/>
        <v>25</v>
      </c>
      <c r="I481" s="6" t="str">
        <f>IFERROR(__xludf.DUMMYFUNCTION("MAX(FILTER($H:$H,$E:$E=F481))"),"#N/A")</f>
        <v>#N/A</v>
      </c>
    </row>
    <row r="482">
      <c r="C482" s="4" t="s">
        <v>3547</v>
      </c>
      <c r="D482" s="4" t="str">
        <f t="shared" si="1"/>
        <v>{"valorA":"lustre","valorB":25}</v>
      </c>
      <c r="E482" s="8" t="str">
        <f t="shared" si="2"/>
        <v>lustre</v>
      </c>
      <c r="F482" s="8"/>
      <c r="G482" s="8" t="str">
        <f t="shared" si="3"/>
        <v>25</v>
      </c>
      <c r="H482" s="9">
        <f t="shared" si="4"/>
        <v>25</v>
      </c>
      <c r="I482" s="6" t="str">
        <f>IFERROR(__xludf.DUMMYFUNCTION("MAX(FILTER($H:$H,$E:$E=F482))"),"#N/A")</f>
        <v>#N/A</v>
      </c>
    </row>
    <row r="483">
      <c r="C483" s="4" t="s">
        <v>2440</v>
      </c>
      <c r="D483" s="4" t="str">
        <f t="shared" si="1"/>
        <v>{"valorA":"carregador de computador","valorB":18}</v>
      </c>
      <c r="E483" s="8" t="str">
        <f t="shared" si="2"/>
        <v>carregador de computador</v>
      </c>
      <c r="F483" s="8"/>
      <c r="G483" s="8" t="str">
        <f t="shared" si="3"/>
        <v>18</v>
      </c>
      <c r="H483" s="9">
        <f t="shared" si="4"/>
        <v>18</v>
      </c>
      <c r="I483" s="6" t="str">
        <f>IFERROR(__xludf.DUMMYFUNCTION("MAX(FILTER($H:$H,$E:$E=F483))"),"#N/A")</f>
        <v>#N/A</v>
      </c>
    </row>
    <row r="484">
      <c r="C484" s="4" t="s">
        <v>2503</v>
      </c>
      <c r="D484" s="4" t="str">
        <f t="shared" si="1"/>
        <v>{"valorA":"teclado de computador","valorB":25}</v>
      </c>
      <c r="E484" s="8" t="str">
        <f t="shared" si="2"/>
        <v>teclado de computador</v>
      </c>
      <c r="F484" s="8"/>
      <c r="G484" s="8" t="str">
        <f t="shared" si="3"/>
        <v>25</v>
      </c>
      <c r="H484" s="9">
        <f t="shared" si="4"/>
        <v>25</v>
      </c>
      <c r="I484" s="6" t="str">
        <f>IFERROR(__xludf.DUMMYFUNCTION("MAX(FILTER($H:$H,$E:$E=F484))"),"#N/A")</f>
        <v>#N/A</v>
      </c>
    </row>
    <row r="485">
      <c r="C485" s="4" t="s">
        <v>6517</v>
      </c>
      <c r="D485" s="4" t="str">
        <f t="shared" si="1"/>
        <v>{"valorA":"filtro de linha","valorB":26}</v>
      </c>
      <c r="E485" s="8" t="str">
        <f t="shared" si="2"/>
        <v>filtro de linha</v>
      </c>
      <c r="F485" s="8"/>
      <c r="G485" s="8" t="str">
        <f t="shared" si="3"/>
        <v>26</v>
      </c>
      <c r="H485" s="9">
        <f t="shared" si="4"/>
        <v>26</v>
      </c>
      <c r="I485" s="6" t="str">
        <f>IFERROR(__xludf.DUMMYFUNCTION("MAX(FILTER($H:$H,$E:$E=F485))"),"#N/A")</f>
        <v>#N/A</v>
      </c>
    </row>
    <row r="486">
      <c r="C486" s="4" t="s">
        <v>1773</v>
      </c>
      <c r="D486" s="4" t="str">
        <f t="shared" si="1"/>
        <v>{"valorA":"microondas","valorB":39}</v>
      </c>
      <c r="E486" s="8" t="str">
        <f t="shared" si="2"/>
        <v>microondas</v>
      </c>
      <c r="F486" s="8"/>
      <c r="G486" s="8" t="str">
        <f t="shared" si="3"/>
        <v>39</v>
      </c>
      <c r="H486" s="9">
        <f t="shared" si="4"/>
        <v>39</v>
      </c>
      <c r="I486" s="6" t="str">
        <f>IFERROR(__xludf.DUMMYFUNCTION("MAX(FILTER($H:$H,$E:$E=F486))"),"#N/A")</f>
        <v>#N/A</v>
      </c>
    </row>
    <row r="487">
      <c r="C487" s="4" t="s">
        <v>2505</v>
      </c>
      <c r="D487" s="4" t="str">
        <f t="shared" si="1"/>
        <v>{"valorA":"teclado de computador","valorB":26}</v>
      </c>
      <c r="E487" s="8" t="str">
        <f t="shared" si="2"/>
        <v>teclado de computador</v>
      </c>
      <c r="F487" s="8"/>
      <c r="G487" s="8" t="str">
        <f t="shared" si="3"/>
        <v>26</v>
      </c>
      <c r="H487" s="9">
        <f t="shared" si="4"/>
        <v>26</v>
      </c>
      <c r="I487" s="6" t="str">
        <f>IFERROR(__xludf.DUMMYFUNCTION("MAX(FILTER($H:$H,$E:$E=F487))"),"#N/A")</f>
        <v>#N/A</v>
      </c>
    </row>
    <row r="488">
      <c r="C488" s="4" t="s">
        <v>6518</v>
      </c>
      <c r="D488" s="4" t="str">
        <f t="shared" si="1"/>
        <v>{"valorA":"aspirador","valorB":33}</v>
      </c>
      <c r="E488" s="8" t="str">
        <f t="shared" si="2"/>
        <v>aspirador</v>
      </c>
      <c r="F488" s="8"/>
      <c r="G488" s="8" t="str">
        <f t="shared" si="3"/>
        <v>33</v>
      </c>
      <c r="H488" s="9">
        <f t="shared" si="4"/>
        <v>33</v>
      </c>
      <c r="I488" s="6" t="str">
        <f>IFERROR(__xludf.DUMMYFUNCTION("MAX(FILTER($H:$H,$E:$E=F488))"),"#N/A")</f>
        <v>#N/A</v>
      </c>
    </row>
    <row r="489">
      <c r="C489" s="4" t="s">
        <v>3540</v>
      </c>
      <c r="D489" s="4" t="str">
        <f t="shared" si="1"/>
        <v>{"valorA":"purificador de água","valorB":26}</v>
      </c>
      <c r="E489" s="8" t="str">
        <f t="shared" si="2"/>
        <v>purificador de água</v>
      </c>
      <c r="F489" s="8"/>
      <c r="G489" s="8" t="str">
        <f t="shared" si="3"/>
        <v>26</v>
      </c>
      <c r="H489" s="9">
        <f t="shared" si="4"/>
        <v>26</v>
      </c>
      <c r="I489" s="6" t="str">
        <f>IFERROR(__xludf.DUMMYFUNCTION("MAX(FILTER($H:$H,$E:$E=F489))"),"#N/A")</f>
        <v>#N/A</v>
      </c>
    </row>
    <row r="490">
      <c r="C490" s="4" t="s">
        <v>2521</v>
      </c>
      <c r="D490" s="4" t="str">
        <f t="shared" si="1"/>
        <v>{"valorA":"liquidificador","valorB":23}</v>
      </c>
      <c r="E490" s="8" t="str">
        <f t="shared" si="2"/>
        <v>liquidificador</v>
      </c>
      <c r="F490" s="8"/>
      <c r="G490" s="8" t="str">
        <f t="shared" si="3"/>
        <v>23</v>
      </c>
      <c r="H490" s="9">
        <f t="shared" si="4"/>
        <v>23</v>
      </c>
      <c r="I490" s="6" t="str">
        <f>IFERROR(__xludf.DUMMYFUNCTION("MAX(FILTER($H:$H,$E:$E=F490))"),"#N/A")</f>
        <v>#N/A</v>
      </c>
    </row>
    <row r="491">
      <c r="C491" s="4" t="s">
        <v>6519</v>
      </c>
      <c r="D491" s="4" t="str">
        <f t="shared" si="1"/>
        <v>{"valorA":"ventilador","valorB":32}</v>
      </c>
      <c r="E491" s="8" t="str">
        <f t="shared" si="2"/>
        <v>ventilador</v>
      </c>
      <c r="F491" s="8"/>
      <c r="G491" s="8" t="str">
        <f t="shared" si="3"/>
        <v>32</v>
      </c>
      <c r="H491" s="9">
        <f t="shared" si="4"/>
        <v>32</v>
      </c>
      <c r="I491" s="6" t="str">
        <f>IFERROR(__xludf.DUMMYFUNCTION("MAX(FILTER($H:$H,$E:$E=F491))"),"#N/A")</f>
        <v>#N/A</v>
      </c>
    </row>
    <row r="492">
      <c r="C492" s="4" t="s">
        <v>6520</v>
      </c>
      <c r="D492" s="4" t="str">
        <f t="shared" si="1"/>
        <v>{"valorA":"aspirador","valorB":34}</v>
      </c>
      <c r="E492" s="8" t="str">
        <f t="shared" si="2"/>
        <v>aspirador</v>
      </c>
      <c r="F492" s="8"/>
      <c r="G492" s="8" t="str">
        <f t="shared" si="3"/>
        <v>34</v>
      </c>
      <c r="H492" s="9">
        <f t="shared" si="4"/>
        <v>34</v>
      </c>
      <c r="I492" s="6" t="str">
        <f>IFERROR(__xludf.DUMMYFUNCTION("MAX(FILTER($H:$H,$E:$E=F492))"),"#N/A")</f>
        <v>#N/A</v>
      </c>
    </row>
    <row r="493">
      <c r="C493" s="4" t="s">
        <v>2543</v>
      </c>
      <c r="D493" s="4" t="str">
        <f t="shared" si="1"/>
        <v>{"valorA":"teclado de computador","valorB":27}</v>
      </c>
      <c r="E493" s="8" t="str">
        <f t="shared" si="2"/>
        <v>teclado de computador</v>
      </c>
      <c r="F493" s="8"/>
      <c r="G493" s="8" t="str">
        <f t="shared" si="3"/>
        <v>27</v>
      </c>
      <c r="H493" s="9">
        <f t="shared" si="4"/>
        <v>27</v>
      </c>
      <c r="I493" s="6" t="str">
        <f>IFERROR(__xludf.DUMMYFUNCTION("MAX(FILTER($H:$H,$E:$E=F493))"),"#N/A")</f>
        <v>#N/A</v>
      </c>
    </row>
    <row r="494">
      <c r="C494" s="4" t="s">
        <v>1744</v>
      </c>
      <c r="D494" s="4" t="str">
        <f t="shared" si="1"/>
        <v>{"valorA":"ar condicionado","valorB":28}</v>
      </c>
      <c r="E494" s="8" t="str">
        <f t="shared" si="2"/>
        <v>ar condicionado</v>
      </c>
      <c r="F494" s="8"/>
      <c r="G494" s="8" t="str">
        <f t="shared" si="3"/>
        <v>28</v>
      </c>
      <c r="H494" s="9">
        <f t="shared" si="4"/>
        <v>28</v>
      </c>
      <c r="I494" s="6" t="str">
        <f>IFERROR(__xludf.DUMMYFUNCTION("MAX(FILTER($H:$H,$E:$E=F494))"),"#N/A")</f>
        <v>#N/A</v>
      </c>
    </row>
    <row r="495">
      <c r="C495" s="4" t="s">
        <v>2584</v>
      </c>
      <c r="D495" s="4" t="str">
        <f t="shared" si="1"/>
        <v>{"valorA":"computador","valorB":27}</v>
      </c>
      <c r="E495" s="8" t="str">
        <f t="shared" si="2"/>
        <v>computador</v>
      </c>
      <c r="F495" s="8"/>
      <c r="G495" s="8" t="str">
        <f t="shared" si="3"/>
        <v>27</v>
      </c>
      <c r="H495" s="9">
        <f t="shared" si="4"/>
        <v>27</v>
      </c>
      <c r="I495" s="6" t="str">
        <f>IFERROR(__xludf.DUMMYFUNCTION("MAX(FILTER($H:$H,$E:$E=F495))"),"#N/A")</f>
        <v>#N/A</v>
      </c>
    </row>
    <row r="496">
      <c r="C496" s="4" t="s">
        <v>2561</v>
      </c>
      <c r="D496" s="4" t="str">
        <f t="shared" si="1"/>
        <v>{"valorA":"teclado de computador","valorB":28}</v>
      </c>
      <c r="E496" s="8" t="str">
        <f t="shared" si="2"/>
        <v>teclado de computador</v>
      </c>
      <c r="F496" s="8"/>
      <c r="G496" s="8" t="str">
        <f t="shared" si="3"/>
        <v>28</v>
      </c>
      <c r="H496" s="9">
        <f t="shared" si="4"/>
        <v>28</v>
      </c>
      <c r="I496" s="6" t="str">
        <f>IFERROR(__xludf.DUMMYFUNCTION("MAX(FILTER($H:$H,$E:$E=F496))"),"#N/A")</f>
        <v>#N/A</v>
      </c>
    </row>
    <row r="497">
      <c r="C497" s="4" t="s">
        <v>6521</v>
      </c>
      <c r="D497" s="4" t="str">
        <f t="shared" si="1"/>
        <v>{"valorA":"aspirador","valorB":35}</v>
      </c>
      <c r="E497" s="8" t="str">
        <f t="shared" si="2"/>
        <v>aspirador</v>
      </c>
      <c r="F497" s="8"/>
      <c r="G497" s="8" t="str">
        <f t="shared" si="3"/>
        <v>35</v>
      </c>
      <c r="H497" s="9">
        <f t="shared" si="4"/>
        <v>35</v>
      </c>
      <c r="I497" s="6" t="str">
        <f>IFERROR(__xludf.DUMMYFUNCTION("MAX(FILTER($H:$H,$E:$E=F497))"),"#N/A")</f>
        <v>#N/A</v>
      </c>
    </row>
    <row r="498">
      <c r="C498" s="4" t="s">
        <v>3548</v>
      </c>
      <c r="D498" s="4" t="str">
        <f t="shared" si="1"/>
        <v>{"valorA":"lustre","valorB":26}</v>
      </c>
      <c r="E498" s="8" t="str">
        <f t="shared" si="2"/>
        <v>lustre</v>
      </c>
      <c r="F498" s="8"/>
      <c r="G498" s="8" t="str">
        <f t="shared" si="3"/>
        <v>26</v>
      </c>
      <c r="H498" s="9">
        <f t="shared" si="4"/>
        <v>26</v>
      </c>
      <c r="I498" s="6" t="str">
        <f>IFERROR(__xludf.DUMMYFUNCTION("MAX(FILTER($H:$H,$E:$E=F498))"),"#N/A")</f>
        <v>#N/A</v>
      </c>
    </row>
    <row r="499">
      <c r="C499" s="4" t="s">
        <v>1745</v>
      </c>
      <c r="D499" s="4" t="str">
        <f t="shared" si="1"/>
        <v>{"valorA":"ar condicionado","valorB":29}</v>
      </c>
      <c r="E499" s="8" t="str">
        <f t="shared" si="2"/>
        <v>ar condicionado</v>
      </c>
      <c r="F499" s="8"/>
      <c r="G499" s="8" t="str">
        <f t="shared" si="3"/>
        <v>29</v>
      </c>
      <c r="H499" s="9">
        <f t="shared" si="4"/>
        <v>29</v>
      </c>
      <c r="I499" s="6" t="str">
        <f>IFERROR(__xludf.DUMMYFUNCTION("MAX(FILTER($H:$H,$E:$E=F499))"),"#N/A")</f>
        <v>#N/A</v>
      </c>
    </row>
    <row r="500">
      <c r="C500" s="4" t="s">
        <v>3551</v>
      </c>
      <c r="D500" s="4" t="str">
        <f t="shared" si="1"/>
        <v>{"valorA":"lustre","valorB":27}</v>
      </c>
      <c r="E500" s="8" t="str">
        <f t="shared" si="2"/>
        <v>lustre</v>
      </c>
      <c r="F500" s="8"/>
      <c r="G500" s="8" t="str">
        <f t="shared" si="3"/>
        <v>27</v>
      </c>
      <c r="H500" s="9">
        <f t="shared" si="4"/>
        <v>27</v>
      </c>
      <c r="I500" s="6" t="str">
        <f>IFERROR(__xludf.DUMMYFUNCTION("MAX(FILTER($H:$H,$E:$E=F500))"),"#N/A")</f>
        <v>#N/A</v>
      </c>
    </row>
    <row r="501">
      <c r="C501" s="4" t="s">
        <v>2542</v>
      </c>
      <c r="D501" s="4" t="str">
        <f t="shared" si="1"/>
        <v>{"valorA":"liquidificador","valorB":24}</v>
      </c>
      <c r="E501" s="8" t="str">
        <f t="shared" si="2"/>
        <v>liquidificador</v>
      </c>
      <c r="F501" s="8"/>
      <c r="G501" s="8" t="str">
        <f t="shared" si="3"/>
        <v>24</v>
      </c>
      <c r="H501" s="9">
        <f t="shared" si="4"/>
        <v>24</v>
      </c>
      <c r="I501" s="6" t="str">
        <f>IFERROR(__xludf.DUMMYFUNCTION("MAX(FILTER($H:$H,$E:$E=F501))"),"#N/A")</f>
        <v>#N/A</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4246</v>
      </c>
      <c r="D1" s="5">
        <v>0.0</v>
      </c>
      <c r="F1" s="5"/>
      <c r="G1" s="19" t="s">
        <v>4013</v>
      </c>
      <c r="H1" s="19" t="s">
        <v>4247</v>
      </c>
    </row>
    <row r="2">
      <c r="A2" s="4" t="s">
        <v>6522</v>
      </c>
      <c r="B2" s="6" t="str">
        <f t="shared" ref="B2:B501" si="1">MID(A2,FIND(":",A2)+1,LEN(A2)-FIND("segundos",A2))</f>
        <v>143.192</v>
      </c>
      <c r="C2" s="6" t="str">
        <f t="shared" ref="C2:C501" si="2">SUBSTITUTE(B2,".",",")</f>
        <v>143,192</v>
      </c>
      <c r="D2" s="6">
        <f t="shared" ref="D2:D501" si="3">VALUE(C2)</f>
        <v>143.192</v>
      </c>
      <c r="E2" s="6">
        <f t="shared" ref="E2:E501" si="4">D2-D1</f>
        <v>143.192</v>
      </c>
      <c r="G2" s="20">
        <f>AVERAGE(E2:E501)</f>
        <v>0.783062</v>
      </c>
      <c r="H2" s="20">
        <f>STDEV(E2:E501)</f>
        <v>6.382475868</v>
      </c>
    </row>
    <row r="3">
      <c r="A3" s="4" t="s">
        <v>6523</v>
      </c>
      <c r="B3" s="6" t="str">
        <f t="shared" si="1"/>
        <v>143.313</v>
      </c>
      <c r="C3" s="6" t="str">
        <f t="shared" si="2"/>
        <v>143,313</v>
      </c>
      <c r="D3" s="6">
        <f t="shared" si="3"/>
        <v>143.313</v>
      </c>
      <c r="E3" s="6">
        <f t="shared" si="4"/>
        <v>0.121</v>
      </c>
    </row>
    <row r="4">
      <c r="A4" s="4" t="s">
        <v>6524</v>
      </c>
      <c r="B4" s="6" t="str">
        <f t="shared" si="1"/>
        <v>143.409</v>
      </c>
      <c r="C4" s="6" t="str">
        <f t="shared" si="2"/>
        <v>143,409</v>
      </c>
      <c r="D4" s="6">
        <f t="shared" si="3"/>
        <v>143.409</v>
      </c>
      <c r="E4" s="6">
        <f t="shared" si="4"/>
        <v>0.096</v>
      </c>
    </row>
    <row r="5">
      <c r="A5" s="4" t="s">
        <v>6525</v>
      </c>
      <c r="B5" s="6" t="str">
        <f t="shared" si="1"/>
        <v>143.508</v>
      </c>
      <c r="C5" s="6" t="str">
        <f t="shared" si="2"/>
        <v>143,508</v>
      </c>
      <c r="D5" s="6">
        <f t="shared" si="3"/>
        <v>143.508</v>
      </c>
      <c r="E5" s="6">
        <f t="shared" si="4"/>
        <v>0.099</v>
      </c>
    </row>
    <row r="6">
      <c r="A6" s="4" t="s">
        <v>6526</v>
      </c>
      <c r="B6" s="6" t="str">
        <f t="shared" si="1"/>
        <v>143.623</v>
      </c>
      <c r="C6" s="6" t="str">
        <f t="shared" si="2"/>
        <v>143,623</v>
      </c>
      <c r="D6" s="6">
        <f t="shared" si="3"/>
        <v>143.623</v>
      </c>
      <c r="E6" s="6">
        <f t="shared" si="4"/>
        <v>0.115</v>
      </c>
    </row>
    <row r="7">
      <c r="A7" s="4" t="s">
        <v>6527</v>
      </c>
      <c r="B7" s="6" t="str">
        <f t="shared" si="1"/>
        <v>143.769</v>
      </c>
      <c r="C7" s="6" t="str">
        <f t="shared" si="2"/>
        <v>143,769</v>
      </c>
      <c r="D7" s="6">
        <f t="shared" si="3"/>
        <v>143.769</v>
      </c>
      <c r="E7" s="6">
        <f t="shared" si="4"/>
        <v>0.146</v>
      </c>
    </row>
    <row r="8">
      <c r="A8" s="4" t="s">
        <v>6528</v>
      </c>
      <c r="B8" s="6" t="str">
        <f t="shared" si="1"/>
        <v>143.879</v>
      </c>
      <c r="C8" s="6" t="str">
        <f t="shared" si="2"/>
        <v>143,879</v>
      </c>
      <c r="D8" s="6">
        <f t="shared" si="3"/>
        <v>143.879</v>
      </c>
      <c r="E8" s="6">
        <f t="shared" si="4"/>
        <v>0.11</v>
      </c>
    </row>
    <row r="9">
      <c r="A9" s="4" t="s">
        <v>6529</v>
      </c>
      <c r="B9" s="6" t="str">
        <f t="shared" si="1"/>
        <v>143.998</v>
      </c>
      <c r="C9" s="6" t="str">
        <f t="shared" si="2"/>
        <v>143,998</v>
      </c>
      <c r="D9" s="6">
        <f t="shared" si="3"/>
        <v>143.998</v>
      </c>
      <c r="E9" s="6">
        <f t="shared" si="4"/>
        <v>0.119</v>
      </c>
    </row>
    <row r="10">
      <c r="A10" s="4" t="s">
        <v>6530</v>
      </c>
      <c r="B10" s="6" t="str">
        <f t="shared" si="1"/>
        <v>144.137</v>
      </c>
      <c r="C10" s="6" t="str">
        <f t="shared" si="2"/>
        <v>144,137</v>
      </c>
      <c r="D10" s="6">
        <f t="shared" si="3"/>
        <v>144.137</v>
      </c>
      <c r="E10" s="6">
        <f t="shared" si="4"/>
        <v>0.139</v>
      </c>
    </row>
    <row r="11">
      <c r="A11" s="4" t="s">
        <v>6531</v>
      </c>
      <c r="B11" s="6" t="str">
        <f t="shared" si="1"/>
        <v>144.286</v>
      </c>
      <c r="C11" s="6" t="str">
        <f t="shared" si="2"/>
        <v>144,286</v>
      </c>
      <c r="D11" s="6">
        <f t="shared" si="3"/>
        <v>144.286</v>
      </c>
      <c r="E11" s="6">
        <f t="shared" si="4"/>
        <v>0.149</v>
      </c>
    </row>
    <row r="12">
      <c r="A12" s="4" t="s">
        <v>6532</v>
      </c>
      <c r="B12" s="6" t="str">
        <f t="shared" si="1"/>
        <v>144.439</v>
      </c>
      <c r="C12" s="6" t="str">
        <f t="shared" si="2"/>
        <v>144,439</v>
      </c>
      <c r="D12" s="6">
        <f t="shared" si="3"/>
        <v>144.439</v>
      </c>
      <c r="E12" s="6">
        <f t="shared" si="4"/>
        <v>0.153</v>
      </c>
    </row>
    <row r="13">
      <c r="A13" s="4" t="s">
        <v>6533</v>
      </c>
      <c r="B13" s="6" t="str">
        <f t="shared" si="1"/>
        <v>144.580</v>
      </c>
      <c r="C13" s="6" t="str">
        <f t="shared" si="2"/>
        <v>144,580</v>
      </c>
      <c r="D13" s="6">
        <f t="shared" si="3"/>
        <v>144.58</v>
      </c>
      <c r="E13" s="6">
        <f t="shared" si="4"/>
        <v>0.141</v>
      </c>
    </row>
    <row r="14">
      <c r="A14" s="4" t="s">
        <v>6534</v>
      </c>
      <c r="B14" s="6" t="str">
        <f t="shared" si="1"/>
        <v>144.728</v>
      </c>
      <c r="C14" s="6" t="str">
        <f t="shared" si="2"/>
        <v>144,728</v>
      </c>
      <c r="D14" s="6">
        <f t="shared" si="3"/>
        <v>144.728</v>
      </c>
      <c r="E14" s="6">
        <f t="shared" si="4"/>
        <v>0.148</v>
      </c>
    </row>
    <row r="15">
      <c r="A15" s="4" t="s">
        <v>6535</v>
      </c>
      <c r="B15" s="6" t="str">
        <f t="shared" si="1"/>
        <v>144.867</v>
      </c>
      <c r="C15" s="6" t="str">
        <f t="shared" si="2"/>
        <v>144,867</v>
      </c>
      <c r="D15" s="6">
        <f t="shared" si="3"/>
        <v>144.867</v>
      </c>
      <c r="E15" s="6">
        <f t="shared" si="4"/>
        <v>0.139</v>
      </c>
    </row>
    <row r="16">
      <c r="A16" s="4" t="s">
        <v>6536</v>
      </c>
      <c r="B16" s="6" t="str">
        <f t="shared" si="1"/>
        <v>145.014</v>
      </c>
      <c r="C16" s="6" t="str">
        <f t="shared" si="2"/>
        <v>145,014</v>
      </c>
      <c r="D16" s="6">
        <f t="shared" si="3"/>
        <v>145.014</v>
      </c>
      <c r="E16" s="6">
        <f t="shared" si="4"/>
        <v>0.147</v>
      </c>
    </row>
    <row r="17">
      <c r="A17" s="4" t="s">
        <v>6537</v>
      </c>
      <c r="B17" s="6" t="str">
        <f t="shared" si="1"/>
        <v>145.494</v>
      </c>
      <c r="C17" s="6" t="str">
        <f t="shared" si="2"/>
        <v>145,494</v>
      </c>
      <c r="D17" s="6">
        <f t="shared" si="3"/>
        <v>145.494</v>
      </c>
      <c r="E17" s="6">
        <f t="shared" si="4"/>
        <v>0.48</v>
      </c>
    </row>
    <row r="18">
      <c r="A18" s="4" t="s">
        <v>6538</v>
      </c>
      <c r="B18" s="6" t="str">
        <f t="shared" si="1"/>
        <v>146.038</v>
      </c>
      <c r="C18" s="6" t="str">
        <f t="shared" si="2"/>
        <v>146,038</v>
      </c>
      <c r="D18" s="6">
        <f t="shared" si="3"/>
        <v>146.038</v>
      </c>
      <c r="E18" s="6">
        <f t="shared" si="4"/>
        <v>0.544</v>
      </c>
    </row>
    <row r="19">
      <c r="A19" s="4" t="s">
        <v>6539</v>
      </c>
      <c r="B19" s="6" t="str">
        <f t="shared" si="1"/>
        <v>146.578</v>
      </c>
      <c r="C19" s="6" t="str">
        <f t="shared" si="2"/>
        <v>146,578</v>
      </c>
      <c r="D19" s="6">
        <f t="shared" si="3"/>
        <v>146.578</v>
      </c>
      <c r="E19" s="6">
        <f t="shared" si="4"/>
        <v>0.54</v>
      </c>
    </row>
    <row r="20">
      <c r="A20" s="4" t="s">
        <v>6540</v>
      </c>
      <c r="B20" s="6" t="str">
        <f t="shared" si="1"/>
        <v>147.121</v>
      </c>
      <c r="C20" s="6" t="str">
        <f t="shared" si="2"/>
        <v>147,121</v>
      </c>
      <c r="D20" s="6">
        <f t="shared" si="3"/>
        <v>147.121</v>
      </c>
      <c r="E20" s="6">
        <f t="shared" si="4"/>
        <v>0.543</v>
      </c>
    </row>
    <row r="21">
      <c r="A21" s="4" t="s">
        <v>6541</v>
      </c>
      <c r="B21" s="6" t="str">
        <f t="shared" si="1"/>
        <v>147.560</v>
      </c>
      <c r="C21" s="6" t="str">
        <f t="shared" si="2"/>
        <v>147,560</v>
      </c>
      <c r="D21" s="6">
        <f t="shared" si="3"/>
        <v>147.56</v>
      </c>
      <c r="E21" s="6">
        <f t="shared" si="4"/>
        <v>0.439</v>
      </c>
    </row>
    <row r="22">
      <c r="A22" s="4" t="s">
        <v>6542</v>
      </c>
      <c r="B22" s="6" t="str">
        <f t="shared" si="1"/>
        <v>148.126</v>
      </c>
      <c r="C22" s="6" t="str">
        <f t="shared" si="2"/>
        <v>148,126</v>
      </c>
      <c r="D22" s="6">
        <f t="shared" si="3"/>
        <v>148.126</v>
      </c>
      <c r="E22" s="6">
        <f t="shared" si="4"/>
        <v>0.566</v>
      </c>
    </row>
    <row r="23">
      <c r="A23" s="4" t="s">
        <v>6543</v>
      </c>
      <c r="B23" s="6" t="str">
        <f t="shared" si="1"/>
        <v>148.534</v>
      </c>
      <c r="C23" s="6" t="str">
        <f t="shared" si="2"/>
        <v>148,534</v>
      </c>
      <c r="D23" s="6">
        <f t="shared" si="3"/>
        <v>148.534</v>
      </c>
      <c r="E23" s="6">
        <f t="shared" si="4"/>
        <v>0.408</v>
      </c>
    </row>
    <row r="24">
      <c r="A24" s="4" t="s">
        <v>6544</v>
      </c>
      <c r="B24" s="6" t="str">
        <f t="shared" si="1"/>
        <v>149.184</v>
      </c>
      <c r="C24" s="6" t="str">
        <f t="shared" si="2"/>
        <v>149,184</v>
      </c>
      <c r="D24" s="6">
        <f t="shared" si="3"/>
        <v>149.184</v>
      </c>
      <c r="E24" s="6">
        <f t="shared" si="4"/>
        <v>0.65</v>
      </c>
    </row>
    <row r="25">
      <c r="A25" s="4" t="s">
        <v>6545</v>
      </c>
      <c r="B25" s="6" t="str">
        <f t="shared" si="1"/>
        <v>149.516</v>
      </c>
      <c r="C25" s="6" t="str">
        <f t="shared" si="2"/>
        <v>149,516</v>
      </c>
      <c r="D25" s="6">
        <f t="shared" si="3"/>
        <v>149.516</v>
      </c>
      <c r="E25" s="6">
        <f t="shared" si="4"/>
        <v>0.332</v>
      </c>
    </row>
    <row r="26">
      <c r="A26" s="4" t="s">
        <v>6546</v>
      </c>
      <c r="B26" s="6" t="str">
        <f t="shared" si="1"/>
        <v>150.058</v>
      </c>
      <c r="C26" s="6" t="str">
        <f t="shared" si="2"/>
        <v>150,058</v>
      </c>
      <c r="D26" s="6">
        <f t="shared" si="3"/>
        <v>150.058</v>
      </c>
      <c r="E26" s="6">
        <f t="shared" si="4"/>
        <v>0.542</v>
      </c>
    </row>
    <row r="27">
      <c r="A27" s="4" t="s">
        <v>6547</v>
      </c>
      <c r="B27" s="6" t="str">
        <f t="shared" si="1"/>
        <v>150.601</v>
      </c>
      <c r="C27" s="6" t="str">
        <f t="shared" si="2"/>
        <v>150,601</v>
      </c>
      <c r="D27" s="6">
        <f t="shared" si="3"/>
        <v>150.601</v>
      </c>
      <c r="E27" s="6">
        <f t="shared" si="4"/>
        <v>0.543</v>
      </c>
    </row>
    <row r="28">
      <c r="A28" s="4" t="s">
        <v>6548</v>
      </c>
      <c r="B28" s="6" t="str">
        <f t="shared" si="1"/>
        <v>151.156</v>
      </c>
      <c r="C28" s="6" t="str">
        <f t="shared" si="2"/>
        <v>151,156</v>
      </c>
      <c r="D28" s="6">
        <f t="shared" si="3"/>
        <v>151.156</v>
      </c>
      <c r="E28" s="6">
        <f t="shared" si="4"/>
        <v>0.555</v>
      </c>
    </row>
    <row r="29">
      <c r="A29" s="4" t="s">
        <v>6549</v>
      </c>
      <c r="B29" s="6" t="str">
        <f t="shared" si="1"/>
        <v>151.581</v>
      </c>
      <c r="C29" s="6" t="str">
        <f t="shared" si="2"/>
        <v>151,581</v>
      </c>
      <c r="D29" s="6">
        <f t="shared" si="3"/>
        <v>151.581</v>
      </c>
      <c r="E29" s="6">
        <f t="shared" si="4"/>
        <v>0.425</v>
      </c>
    </row>
    <row r="30">
      <c r="A30" s="4" t="s">
        <v>6550</v>
      </c>
      <c r="B30" s="6" t="str">
        <f t="shared" si="1"/>
        <v>152.120</v>
      </c>
      <c r="C30" s="6" t="str">
        <f t="shared" si="2"/>
        <v>152,120</v>
      </c>
      <c r="D30" s="6">
        <f t="shared" si="3"/>
        <v>152.12</v>
      </c>
      <c r="E30" s="6">
        <f t="shared" si="4"/>
        <v>0.539</v>
      </c>
    </row>
    <row r="31">
      <c r="A31" s="4" t="s">
        <v>6551</v>
      </c>
      <c r="B31" s="6" t="str">
        <f t="shared" si="1"/>
        <v>152.556</v>
      </c>
      <c r="C31" s="6" t="str">
        <f t="shared" si="2"/>
        <v>152,556</v>
      </c>
      <c r="D31" s="6">
        <f t="shared" si="3"/>
        <v>152.556</v>
      </c>
      <c r="E31" s="6">
        <f t="shared" si="4"/>
        <v>0.436</v>
      </c>
    </row>
    <row r="32">
      <c r="A32" s="4" t="s">
        <v>6552</v>
      </c>
      <c r="B32" s="6" t="str">
        <f t="shared" si="1"/>
        <v>153.099</v>
      </c>
      <c r="C32" s="6" t="str">
        <f t="shared" si="2"/>
        <v>153,099</v>
      </c>
      <c r="D32" s="6">
        <f t="shared" si="3"/>
        <v>153.099</v>
      </c>
      <c r="E32" s="6">
        <f t="shared" si="4"/>
        <v>0.543</v>
      </c>
    </row>
    <row r="33">
      <c r="A33" s="4" t="s">
        <v>6553</v>
      </c>
      <c r="B33" s="6" t="str">
        <f t="shared" si="1"/>
        <v>153.639</v>
      </c>
      <c r="C33" s="6" t="str">
        <f t="shared" si="2"/>
        <v>153,639</v>
      </c>
      <c r="D33" s="6">
        <f t="shared" si="3"/>
        <v>153.639</v>
      </c>
      <c r="E33" s="6">
        <f t="shared" si="4"/>
        <v>0.54</v>
      </c>
    </row>
    <row r="34">
      <c r="A34" s="4" t="s">
        <v>6554</v>
      </c>
      <c r="B34" s="6" t="str">
        <f t="shared" si="1"/>
        <v>154.177</v>
      </c>
      <c r="C34" s="6" t="str">
        <f t="shared" si="2"/>
        <v>154,177</v>
      </c>
      <c r="D34" s="6">
        <f t="shared" si="3"/>
        <v>154.177</v>
      </c>
      <c r="E34" s="6">
        <f t="shared" si="4"/>
        <v>0.538</v>
      </c>
    </row>
    <row r="35">
      <c r="A35" s="4" t="s">
        <v>6555</v>
      </c>
      <c r="B35" s="6" t="str">
        <f t="shared" si="1"/>
        <v>154.617</v>
      </c>
      <c r="C35" s="6" t="str">
        <f t="shared" si="2"/>
        <v>154,617</v>
      </c>
      <c r="D35" s="6">
        <f t="shared" si="3"/>
        <v>154.617</v>
      </c>
      <c r="E35" s="6">
        <f t="shared" si="4"/>
        <v>0.44</v>
      </c>
    </row>
    <row r="36">
      <c r="A36" s="4" t="s">
        <v>6556</v>
      </c>
      <c r="B36" s="6" t="str">
        <f t="shared" si="1"/>
        <v>155.193</v>
      </c>
      <c r="C36" s="6" t="str">
        <f t="shared" si="2"/>
        <v>155,193</v>
      </c>
      <c r="D36" s="6">
        <f t="shared" si="3"/>
        <v>155.193</v>
      </c>
      <c r="E36" s="6">
        <f t="shared" si="4"/>
        <v>0.576</v>
      </c>
    </row>
    <row r="37">
      <c r="A37" s="4" t="s">
        <v>6557</v>
      </c>
      <c r="B37" s="6" t="str">
        <f t="shared" si="1"/>
        <v>155.593</v>
      </c>
      <c r="C37" s="6" t="str">
        <f t="shared" si="2"/>
        <v>155,593</v>
      </c>
      <c r="D37" s="6">
        <f t="shared" si="3"/>
        <v>155.593</v>
      </c>
      <c r="E37" s="6">
        <f t="shared" si="4"/>
        <v>0.4</v>
      </c>
    </row>
    <row r="38">
      <c r="A38" s="4" t="s">
        <v>6558</v>
      </c>
      <c r="B38" s="6" t="str">
        <f t="shared" si="1"/>
        <v>156.166</v>
      </c>
      <c r="C38" s="6" t="str">
        <f t="shared" si="2"/>
        <v>156,166</v>
      </c>
      <c r="D38" s="6">
        <f t="shared" si="3"/>
        <v>156.166</v>
      </c>
      <c r="E38" s="6">
        <f t="shared" si="4"/>
        <v>0.573</v>
      </c>
    </row>
    <row r="39">
      <c r="A39" s="4" t="s">
        <v>6559</v>
      </c>
      <c r="B39" s="6" t="str">
        <f t="shared" si="1"/>
        <v>156.679</v>
      </c>
      <c r="C39" s="6" t="str">
        <f t="shared" si="2"/>
        <v>156,679</v>
      </c>
      <c r="D39" s="6">
        <f t="shared" si="3"/>
        <v>156.679</v>
      </c>
      <c r="E39" s="6">
        <f t="shared" si="4"/>
        <v>0.513</v>
      </c>
    </row>
    <row r="40">
      <c r="A40" s="4" t="s">
        <v>6560</v>
      </c>
      <c r="B40" s="6" t="str">
        <f t="shared" si="1"/>
        <v>157.216</v>
      </c>
      <c r="C40" s="6" t="str">
        <f t="shared" si="2"/>
        <v>157,216</v>
      </c>
      <c r="D40" s="6">
        <f t="shared" si="3"/>
        <v>157.216</v>
      </c>
      <c r="E40" s="6">
        <f t="shared" si="4"/>
        <v>0.537</v>
      </c>
    </row>
    <row r="41">
      <c r="A41" s="4" t="s">
        <v>6561</v>
      </c>
      <c r="B41" s="6" t="str">
        <f t="shared" si="1"/>
        <v>157.685</v>
      </c>
      <c r="C41" s="6" t="str">
        <f t="shared" si="2"/>
        <v>157,685</v>
      </c>
      <c r="D41" s="6">
        <f t="shared" si="3"/>
        <v>157.685</v>
      </c>
      <c r="E41" s="6">
        <f t="shared" si="4"/>
        <v>0.469</v>
      </c>
    </row>
    <row r="42">
      <c r="A42" s="4" t="s">
        <v>6562</v>
      </c>
      <c r="B42" s="6" t="str">
        <f t="shared" si="1"/>
        <v>158.096</v>
      </c>
      <c r="C42" s="6" t="str">
        <f t="shared" si="2"/>
        <v>158,096</v>
      </c>
      <c r="D42" s="6">
        <f t="shared" si="3"/>
        <v>158.096</v>
      </c>
      <c r="E42" s="6">
        <f t="shared" si="4"/>
        <v>0.411</v>
      </c>
    </row>
    <row r="43">
      <c r="A43" s="4" t="s">
        <v>6563</v>
      </c>
      <c r="B43" s="6" t="str">
        <f t="shared" si="1"/>
        <v>158.643</v>
      </c>
      <c r="C43" s="6" t="str">
        <f t="shared" si="2"/>
        <v>158,643</v>
      </c>
      <c r="D43" s="6">
        <f t="shared" si="3"/>
        <v>158.643</v>
      </c>
      <c r="E43" s="6">
        <f t="shared" si="4"/>
        <v>0.547</v>
      </c>
    </row>
    <row r="44">
      <c r="A44" s="4" t="s">
        <v>6564</v>
      </c>
      <c r="B44" s="6" t="str">
        <f t="shared" si="1"/>
        <v>159.183</v>
      </c>
      <c r="C44" s="6" t="str">
        <f t="shared" si="2"/>
        <v>159,183</v>
      </c>
      <c r="D44" s="6">
        <f t="shared" si="3"/>
        <v>159.183</v>
      </c>
      <c r="E44" s="6">
        <f t="shared" si="4"/>
        <v>0.54</v>
      </c>
    </row>
    <row r="45">
      <c r="A45" s="4" t="s">
        <v>6565</v>
      </c>
      <c r="B45" s="6" t="str">
        <f t="shared" si="1"/>
        <v>159.618</v>
      </c>
      <c r="C45" s="6" t="str">
        <f t="shared" si="2"/>
        <v>159,618</v>
      </c>
      <c r="D45" s="6">
        <f t="shared" si="3"/>
        <v>159.618</v>
      </c>
      <c r="E45" s="6">
        <f t="shared" si="4"/>
        <v>0.435</v>
      </c>
    </row>
    <row r="46">
      <c r="A46" s="4" t="s">
        <v>6566</v>
      </c>
      <c r="B46" s="6" t="str">
        <f t="shared" si="1"/>
        <v>160.190</v>
      </c>
      <c r="C46" s="6" t="str">
        <f t="shared" si="2"/>
        <v>160,190</v>
      </c>
      <c r="D46" s="6">
        <f t="shared" si="3"/>
        <v>160.19</v>
      </c>
      <c r="E46" s="6">
        <f t="shared" si="4"/>
        <v>0.572</v>
      </c>
    </row>
    <row r="47">
      <c r="A47" s="4" t="s">
        <v>6567</v>
      </c>
      <c r="B47" s="6" t="str">
        <f t="shared" si="1"/>
        <v>160.825</v>
      </c>
      <c r="C47" s="6" t="str">
        <f t="shared" si="2"/>
        <v>160,825</v>
      </c>
      <c r="D47" s="6">
        <f t="shared" si="3"/>
        <v>160.825</v>
      </c>
      <c r="E47" s="6">
        <f t="shared" si="4"/>
        <v>0.635</v>
      </c>
    </row>
    <row r="48">
      <c r="A48" s="4" t="s">
        <v>6568</v>
      </c>
      <c r="B48" s="6" t="str">
        <f t="shared" si="1"/>
        <v>161.141</v>
      </c>
      <c r="C48" s="6" t="str">
        <f t="shared" si="2"/>
        <v>161,141</v>
      </c>
      <c r="D48" s="6">
        <f t="shared" si="3"/>
        <v>161.141</v>
      </c>
      <c r="E48" s="6">
        <f t="shared" si="4"/>
        <v>0.316</v>
      </c>
    </row>
    <row r="49">
      <c r="A49" s="4" t="s">
        <v>6569</v>
      </c>
      <c r="B49" s="6" t="str">
        <f t="shared" si="1"/>
        <v>161.683</v>
      </c>
      <c r="C49" s="6" t="str">
        <f t="shared" si="2"/>
        <v>161,683</v>
      </c>
      <c r="D49" s="6">
        <f t="shared" si="3"/>
        <v>161.683</v>
      </c>
      <c r="E49" s="6">
        <f t="shared" si="4"/>
        <v>0.542</v>
      </c>
    </row>
    <row r="50">
      <c r="A50" s="4" t="s">
        <v>6570</v>
      </c>
      <c r="B50" s="6" t="str">
        <f t="shared" si="1"/>
        <v>162.226</v>
      </c>
      <c r="C50" s="6" t="str">
        <f t="shared" si="2"/>
        <v>162,226</v>
      </c>
      <c r="D50" s="6">
        <f t="shared" si="3"/>
        <v>162.226</v>
      </c>
      <c r="E50" s="6">
        <f t="shared" si="4"/>
        <v>0.543</v>
      </c>
    </row>
    <row r="51">
      <c r="A51" s="4" t="s">
        <v>6571</v>
      </c>
      <c r="B51" s="6" t="str">
        <f t="shared" si="1"/>
        <v>162.768</v>
      </c>
      <c r="C51" s="6" t="str">
        <f t="shared" si="2"/>
        <v>162,768</v>
      </c>
      <c r="D51" s="6">
        <f t="shared" si="3"/>
        <v>162.768</v>
      </c>
      <c r="E51" s="6">
        <f t="shared" si="4"/>
        <v>0.542</v>
      </c>
    </row>
    <row r="52">
      <c r="A52" s="4" t="s">
        <v>6572</v>
      </c>
      <c r="B52" s="6" t="str">
        <f t="shared" si="1"/>
        <v>163.210</v>
      </c>
      <c r="C52" s="6" t="str">
        <f t="shared" si="2"/>
        <v>163,210</v>
      </c>
      <c r="D52" s="6">
        <f t="shared" si="3"/>
        <v>163.21</v>
      </c>
      <c r="E52" s="6">
        <f t="shared" si="4"/>
        <v>0.442</v>
      </c>
    </row>
    <row r="53">
      <c r="A53" s="4" t="s">
        <v>6573</v>
      </c>
      <c r="B53" s="6" t="str">
        <f t="shared" si="1"/>
        <v>163.747</v>
      </c>
      <c r="C53" s="6" t="str">
        <f t="shared" si="2"/>
        <v>163,747</v>
      </c>
      <c r="D53" s="6">
        <f t="shared" si="3"/>
        <v>163.747</v>
      </c>
      <c r="E53" s="6">
        <f t="shared" si="4"/>
        <v>0.537</v>
      </c>
    </row>
    <row r="54">
      <c r="A54" s="4" t="s">
        <v>6574</v>
      </c>
      <c r="B54" s="6" t="str">
        <f t="shared" si="1"/>
        <v>164.185</v>
      </c>
      <c r="C54" s="6" t="str">
        <f t="shared" si="2"/>
        <v>164,185</v>
      </c>
      <c r="D54" s="6">
        <f t="shared" si="3"/>
        <v>164.185</v>
      </c>
      <c r="E54" s="6">
        <f t="shared" si="4"/>
        <v>0.438</v>
      </c>
    </row>
    <row r="55">
      <c r="A55" s="4" t="s">
        <v>6575</v>
      </c>
      <c r="B55" s="6" t="str">
        <f t="shared" si="1"/>
        <v>164.727</v>
      </c>
      <c r="C55" s="6" t="str">
        <f t="shared" si="2"/>
        <v>164,727</v>
      </c>
      <c r="D55" s="6">
        <f t="shared" si="3"/>
        <v>164.727</v>
      </c>
      <c r="E55" s="6">
        <f t="shared" si="4"/>
        <v>0.542</v>
      </c>
    </row>
    <row r="56">
      <c r="A56" s="4" t="s">
        <v>6576</v>
      </c>
      <c r="B56" s="6" t="str">
        <f t="shared" si="1"/>
        <v>165.164</v>
      </c>
      <c r="C56" s="6" t="str">
        <f t="shared" si="2"/>
        <v>165,164</v>
      </c>
      <c r="D56" s="6">
        <f t="shared" si="3"/>
        <v>165.164</v>
      </c>
      <c r="E56" s="6">
        <f t="shared" si="4"/>
        <v>0.437</v>
      </c>
    </row>
    <row r="57">
      <c r="A57" s="4" t="s">
        <v>6577</v>
      </c>
      <c r="B57" s="6" t="str">
        <f t="shared" si="1"/>
        <v>165.706</v>
      </c>
      <c r="C57" s="6" t="str">
        <f t="shared" si="2"/>
        <v>165,706</v>
      </c>
      <c r="D57" s="6">
        <f t="shared" si="3"/>
        <v>165.706</v>
      </c>
      <c r="E57" s="6">
        <f t="shared" si="4"/>
        <v>0.542</v>
      </c>
    </row>
    <row r="58">
      <c r="A58" s="4" t="s">
        <v>6578</v>
      </c>
      <c r="B58" s="6" t="str">
        <f t="shared" si="1"/>
        <v>166.352</v>
      </c>
      <c r="C58" s="6" t="str">
        <f t="shared" si="2"/>
        <v>166,352</v>
      </c>
      <c r="D58" s="6">
        <f t="shared" si="3"/>
        <v>166.352</v>
      </c>
      <c r="E58" s="6">
        <f t="shared" si="4"/>
        <v>0.646</v>
      </c>
    </row>
    <row r="59">
      <c r="A59" s="4" t="s">
        <v>6579</v>
      </c>
      <c r="B59" s="6" t="str">
        <f t="shared" si="1"/>
        <v>166.684</v>
      </c>
      <c r="C59" s="6" t="str">
        <f t="shared" si="2"/>
        <v>166,684</v>
      </c>
      <c r="D59" s="6">
        <f t="shared" si="3"/>
        <v>166.684</v>
      </c>
      <c r="E59" s="6">
        <f t="shared" si="4"/>
        <v>0.332</v>
      </c>
    </row>
    <row r="60">
      <c r="A60" s="4" t="s">
        <v>6580</v>
      </c>
      <c r="B60" s="6" t="str">
        <f t="shared" si="1"/>
        <v>167.223</v>
      </c>
      <c r="C60" s="6" t="str">
        <f t="shared" si="2"/>
        <v>167,223</v>
      </c>
      <c r="D60" s="6">
        <f t="shared" si="3"/>
        <v>167.223</v>
      </c>
      <c r="E60" s="6">
        <f t="shared" si="4"/>
        <v>0.539</v>
      </c>
    </row>
    <row r="61">
      <c r="A61" s="4" t="s">
        <v>6581</v>
      </c>
      <c r="B61" s="6" t="str">
        <f t="shared" si="1"/>
        <v>167.868</v>
      </c>
      <c r="C61" s="6" t="str">
        <f t="shared" si="2"/>
        <v>167,868</v>
      </c>
      <c r="D61" s="6">
        <f t="shared" si="3"/>
        <v>167.868</v>
      </c>
      <c r="E61" s="6">
        <f t="shared" si="4"/>
        <v>0.645</v>
      </c>
    </row>
    <row r="62">
      <c r="A62" s="4" t="s">
        <v>6582</v>
      </c>
      <c r="B62" s="6" t="str">
        <f t="shared" si="1"/>
        <v>168.198</v>
      </c>
      <c r="C62" s="6" t="str">
        <f t="shared" si="2"/>
        <v>168,198</v>
      </c>
      <c r="D62" s="6">
        <f t="shared" si="3"/>
        <v>168.198</v>
      </c>
      <c r="E62" s="6">
        <f t="shared" si="4"/>
        <v>0.33</v>
      </c>
    </row>
    <row r="63">
      <c r="A63" s="4" t="s">
        <v>6583</v>
      </c>
      <c r="B63" s="6" t="str">
        <f t="shared" si="1"/>
        <v>168.736</v>
      </c>
      <c r="C63" s="6" t="str">
        <f t="shared" si="2"/>
        <v>168,736</v>
      </c>
      <c r="D63" s="6">
        <f t="shared" si="3"/>
        <v>168.736</v>
      </c>
      <c r="E63" s="6">
        <f t="shared" si="4"/>
        <v>0.538</v>
      </c>
    </row>
    <row r="64">
      <c r="A64" s="4" t="s">
        <v>6584</v>
      </c>
      <c r="B64" s="6" t="str">
        <f t="shared" si="1"/>
        <v>169.280</v>
      </c>
      <c r="C64" s="6" t="str">
        <f t="shared" si="2"/>
        <v>169,280</v>
      </c>
      <c r="D64" s="6">
        <f t="shared" si="3"/>
        <v>169.28</v>
      </c>
      <c r="E64" s="6">
        <f t="shared" si="4"/>
        <v>0.544</v>
      </c>
    </row>
    <row r="65">
      <c r="A65" s="4" t="s">
        <v>6585</v>
      </c>
      <c r="B65" s="6" t="str">
        <f t="shared" si="1"/>
        <v>169.816</v>
      </c>
      <c r="C65" s="6" t="str">
        <f t="shared" si="2"/>
        <v>169,816</v>
      </c>
      <c r="D65" s="6">
        <f t="shared" si="3"/>
        <v>169.816</v>
      </c>
      <c r="E65" s="6">
        <f t="shared" si="4"/>
        <v>0.536</v>
      </c>
    </row>
    <row r="66">
      <c r="A66" s="4" t="s">
        <v>6586</v>
      </c>
      <c r="B66" s="6" t="str">
        <f t="shared" si="1"/>
        <v>170.357</v>
      </c>
      <c r="C66" s="6" t="str">
        <f t="shared" si="2"/>
        <v>170,357</v>
      </c>
      <c r="D66" s="6">
        <f t="shared" si="3"/>
        <v>170.357</v>
      </c>
      <c r="E66" s="6">
        <f t="shared" si="4"/>
        <v>0.541</v>
      </c>
    </row>
    <row r="67">
      <c r="A67" s="4" t="s">
        <v>6587</v>
      </c>
      <c r="B67" s="6" t="str">
        <f t="shared" si="1"/>
        <v>170.798</v>
      </c>
      <c r="C67" s="6" t="str">
        <f t="shared" si="2"/>
        <v>170,798</v>
      </c>
      <c r="D67" s="6">
        <f t="shared" si="3"/>
        <v>170.798</v>
      </c>
      <c r="E67" s="6">
        <f t="shared" si="4"/>
        <v>0.441</v>
      </c>
    </row>
    <row r="68">
      <c r="A68" s="4" t="s">
        <v>6588</v>
      </c>
      <c r="B68" s="6" t="str">
        <f t="shared" si="1"/>
        <v>171.228</v>
      </c>
      <c r="C68" s="6" t="str">
        <f t="shared" si="2"/>
        <v>171,228</v>
      </c>
      <c r="D68" s="6">
        <f t="shared" si="3"/>
        <v>171.228</v>
      </c>
      <c r="E68" s="6">
        <f t="shared" si="4"/>
        <v>0.43</v>
      </c>
    </row>
    <row r="69">
      <c r="A69" s="4" t="s">
        <v>6589</v>
      </c>
      <c r="B69" s="6" t="str">
        <f t="shared" si="1"/>
        <v>171.771</v>
      </c>
      <c r="C69" s="6" t="str">
        <f t="shared" si="2"/>
        <v>171,771</v>
      </c>
      <c r="D69" s="6">
        <f t="shared" si="3"/>
        <v>171.771</v>
      </c>
      <c r="E69" s="6">
        <f t="shared" si="4"/>
        <v>0.543</v>
      </c>
    </row>
    <row r="70">
      <c r="A70" s="4" t="s">
        <v>6590</v>
      </c>
      <c r="B70" s="6" t="str">
        <f t="shared" si="1"/>
        <v>172.417</v>
      </c>
      <c r="C70" s="6" t="str">
        <f t="shared" si="2"/>
        <v>172,417</v>
      </c>
      <c r="D70" s="6">
        <f t="shared" si="3"/>
        <v>172.417</v>
      </c>
      <c r="E70" s="6">
        <f t="shared" si="4"/>
        <v>0.646</v>
      </c>
    </row>
    <row r="71">
      <c r="A71" s="4" t="s">
        <v>6591</v>
      </c>
      <c r="B71" s="6" t="str">
        <f t="shared" si="1"/>
        <v>172.852</v>
      </c>
      <c r="C71" s="6" t="str">
        <f t="shared" si="2"/>
        <v>172,852</v>
      </c>
      <c r="D71" s="6">
        <f t="shared" si="3"/>
        <v>172.852</v>
      </c>
      <c r="E71" s="6">
        <f t="shared" si="4"/>
        <v>0.435</v>
      </c>
    </row>
    <row r="72">
      <c r="A72" s="4" t="s">
        <v>6592</v>
      </c>
      <c r="B72" s="6" t="str">
        <f t="shared" si="1"/>
        <v>173.292</v>
      </c>
      <c r="C72" s="6" t="str">
        <f t="shared" si="2"/>
        <v>173,292</v>
      </c>
      <c r="D72" s="6">
        <f t="shared" si="3"/>
        <v>173.292</v>
      </c>
      <c r="E72" s="6">
        <f t="shared" si="4"/>
        <v>0.44</v>
      </c>
    </row>
    <row r="73">
      <c r="A73" s="4" t="s">
        <v>6593</v>
      </c>
      <c r="B73" s="6" t="str">
        <f t="shared" si="1"/>
        <v>173.836</v>
      </c>
      <c r="C73" s="6" t="str">
        <f t="shared" si="2"/>
        <v>173,836</v>
      </c>
      <c r="D73" s="6">
        <f t="shared" si="3"/>
        <v>173.836</v>
      </c>
      <c r="E73" s="6">
        <f t="shared" si="4"/>
        <v>0.544</v>
      </c>
    </row>
    <row r="74">
      <c r="A74" s="4" t="s">
        <v>6594</v>
      </c>
      <c r="B74" s="6" t="str">
        <f t="shared" si="1"/>
        <v>174.267</v>
      </c>
      <c r="C74" s="6" t="str">
        <f t="shared" si="2"/>
        <v>174,267</v>
      </c>
      <c r="D74" s="6">
        <f t="shared" si="3"/>
        <v>174.267</v>
      </c>
      <c r="E74" s="6">
        <f t="shared" si="4"/>
        <v>0.431</v>
      </c>
    </row>
    <row r="75">
      <c r="A75" s="4" t="s">
        <v>6595</v>
      </c>
      <c r="B75" s="6" t="str">
        <f t="shared" si="1"/>
        <v>174.815</v>
      </c>
      <c r="C75" s="6" t="str">
        <f t="shared" si="2"/>
        <v>174,815</v>
      </c>
      <c r="D75" s="6">
        <f t="shared" si="3"/>
        <v>174.815</v>
      </c>
      <c r="E75" s="6">
        <f t="shared" si="4"/>
        <v>0.548</v>
      </c>
    </row>
    <row r="76">
      <c r="A76" s="4" t="s">
        <v>6596</v>
      </c>
      <c r="B76" s="6" t="str">
        <f t="shared" si="1"/>
        <v>175.351</v>
      </c>
      <c r="C76" s="6" t="str">
        <f t="shared" si="2"/>
        <v>175,351</v>
      </c>
      <c r="D76" s="6">
        <f t="shared" si="3"/>
        <v>175.351</v>
      </c>
      <c r="E76" s="6">
        <f t="shared" si="4"/>
        <v>0.536</v>
      </c>
    </row>
    <row r="77">
      <c r="A77" s="4" t="s">
        <v>6597</v>
      </c>
      <c r="B77" s="6" t="str">
        <f t="shared" si="1"/>
        <v>175.889</v>
      </c>
      <c r="C77" s="6" t="str">
        <f t="shared" si="2"/>
        <v>175,889</v>
      </c>
      <c r="D77" s="6">
        <f t="shared" si="3"/>
        <v>175.889</v>
      </c>
      <c r="E77" s="6">
        <f t="shared" si="4"/>
        <v>0.538</v>
      </c>
    </row>
    <row r="78">
      <c r="A78" s="4" t="s">
        <v>6598</v>
      </c>
      <c r="B78" s="6" t="str">
        <f t="shared" si="1"/>
        <v>176.327</v>
      </c>
      <c r="C78" s="6" t="str">
        <f t="shared" si="2"/>
        <v>176,327</v>
      </c>
      <c r="D78" s="6">
        <f t="shared" si="3"/>
        <v>176.327</v>
      </c>
      <c r="E78" s="6">
        <f t="shared" si="4"/>
        <v>0.438</v>
      </c>
    </row>
    <row r="79">
      <c r="A79" s="4" t="s">
        <v>6599</v>
      </c>
      <c r="B79" s="6" t="str">
        <f t="shared" si="1"/>
        <v>176.868</v>
      </c>
      <c r="C79" s="6" t="str">
        <f t="shared" si="2"/>
        <v>176,868</v>
      </c>
      <c r="D79" s="6">
        <f t="shared" si="3"/>
        <v>176.868</v>
      </c>
      <c r="E79" s="6">
        <f t="shared" si="4"/>
        <v>0.541</v>
      </c>
    </row>
    <row r="80">
      <c r="A80" s="4" t="s">
        <v>6600</v>
      </c>
      <c r="B80" s="6" t="str">
        <f t="shared" si="1"/>
        <v>177.404</v>
      </c>
      <c r="C80" s="6" t="str">
        <f t="shared" si="2"/>
        <v>177,404</v>
      </c>
      <c r="D80" s="6">
        <f t="shared" si="3"/>
        <v>177.404</v>
      </c>
      <c r="E80" s="6">
        <f t="shared" si="4"/>
        <v>0.536</v>
      </c>
    </row>
    <row r="81">
      <c r="A81" s="4" t="s">
        <v>6601</v>
      </c>
      <c r="B81" s="6" t="str">
        <f t="shared" si="1"/>
        <v>177.947</v>
      </c>
      <c r="C81" s="6" t="str">
        <f t="shared" si="2"/>
        <v>177,947</v>
      </c>
      <c r="D81" s="6">
        <f t="shared" si="3"/>
        <v>177.947</v>
      </c>
      <c r="E81" s="6">
        <f t="shared" si="4"/>
        <v>0.543</v>
      </c>
    </row>
    <row r="82">
      <c r="A82" s="4" t="s">
        <v>6602</v>
      </c>
      <c r="B82" s="6" t="str">
        <f t="shared" si="1"/>
        <v>178.390</v>
      </c>
      <c r="C82" s="6" t="str">
        <f t="shared" si="2"/>
        <v>178,390</v>
      </c>
      <c r="D82" s="6">
        <f t="shared" si="3"/>
        <v>178.39</v>
      </c>
      <c r="E82" s="6">
        <f t="shared" si="4"/>
        <v>0.443</v>
      </c>
    </row>
    <row r="83">
      <c r="A83" s="4" t="s">
        <v>6603</v>
      </c>
      <c r="B83" s="6" t="str">
        <f t="shared" si="1"/>
        <v>178.823</v>
      </c>
      <c r="C83" s="6" t="str">
        <f t="shared" si="2"/>
        <v>178,823</v>
      </c>
      <c r="D83" s="6">
        <f t="shared" si="3"/>
        <v>178.823</v>
      </c>
      <c r="E83" s="6">
        <f t="shared" si="4"/>
        <v>0.433</v>
      </c>
    </row>
    <row r="84">
      <c r="A84" s="4" t="s">
        <v>6604</v>
      </c>
      <c r="B84" s="6" t="str">
        <f t="shared" si="1"/>
        <v>179.364</v>
      </c>
      <c r="C84" s="6" t="str">
        <f t="shared" si="2"/>
        <v>179,364</v>
      </c>
      <c r="D84" s="6">
        <f t="shared" si="3"/>
        <v>179.364</v>
      </c>
      <c r="E84" s="6">
        <f t="shared" si="4"/>
        <v>0.541</v>
      </c>
    </row>
    <row r="85">
      <c r="A85" s="4" t="s">
        <v>6605</v>
      </c>
      <c r="B85" s="6" t="str">
        <f t="shared" si="1"/>
        <v>179.797</v>
      </c>
      <c r="C85" s="6" t="str">
        <f t="shared" si="2"/>
        <v>179,797</v>
      </c>
      <c r="D85" s="6">
        <f t="shared" si="3"/>
        <v>179.797</v>
      </c>
      <c r="E85" s="6">
        <f t="shared" si="4"/>
        <v>0.433</v>
      </c>
    </row>
    <row r="86">
      <c r="A86" s="4" t="s">
        <v>6606</v>
      </c>
      <c r="B86" s="6" t="str">
        <f t="shared" si="1"/>
        <v>180.339</v>
      </c>
      <c r="C86" s="6" t="str">
        <f t="shared" si="2"/>
        <v>180,339</v>
      </c>
      <c r="D86" s="6">
        <f t="shared" si="3"/>
        <v>180.339</v>
      </c>
      <c r="E86" s="6">
        <f t="shared" si="4"/>
        <v>0.542</v>
      </c>
    </row>
    <row r="87">
      <c r="A87" s="4" t="s">
        <v>6607</v>
      </c>
      <c r="B87" s="6" t="str">
        <f t="shared" si="1"/>
        <v>180.882</v>
      </c>
      <c r="C87" s="6" t="str">
        <f t="shared" si="2"/>
        <v>180,882</v>
      </c>
      <c r="D87" s="6">
        <f t="shared" si="3"/>
        <v>180.882</v>
      </c>
      <c r="E87" s="6">
        <f t="shared" si="4"/>
        <v>0.543</v>
      </c>
    </row>
    <row r="88">
      <c r="A88" s="4" t="s">
        <v>6608</v>
      </c>
      <c r="B88" s="6" t="str">
        <f t="shared" si="1"/>
        <v>181.417</v>
      </c>
      <c r="C88" s="6" t="str">
        <f t="shared" si="2"/>
        <v>181,417</v>
      </c>
      <c r="D88" s="6">
        <f t="shared" si="3"/>
        <v>181.417</v>
      </c>
      <c r="E88" s="6">
        <f t="shared" si="4"/>
        <v>0.535</v>
      </c>
    </row>
    <row r="89">
      <c r="A89" s="4" t="s">
        <v>6609</v>
      </c>
      <c r="B89" s="6" t="str">
        <f t="shared" si="1"/>
        <v>181.857</v>
      </c>
      <c r="C89" s="6" t="str">
        <f t="shared" si="2"/>
        <v>181,857</v>
      </c>
      <c r="D89" s="6">
        <f t="shared" si="3"/>
        <v>181.857</v>
      </c>
      <c r="E89" s="6">
        <f t="shared" si="4"/>
        <v>0.44</v>
      </c>
    </row>
    <row r="90">
      <c r="A90" s="4" t="s">
        <v>6610</v>
      </c>
      <c r="B90" s="6" t="str">
        <f t="shared" si="1"/>
        <v>182.400</v>
      </c>
      <c r="C90" s="6" t="str">
        <f t="shared" si="2"/>
        <v>182,400</v>
      </c>
      <c r="D90" s="6">
        <f t="shared" si="3"/>
        <v>182.4</v>
      </c>
      <c r="E90" s="6">
        <f t="shared" si="4"/>
        <v>0.543</v>
      </c>
    </row>
    <row r="91">
      <c r="A91" s="4" t="s">
        <v>6611</v>
      </c>
      <c r="B91" s="6" t="str">
        <f t="shared" si="1"/>
        <v>182.836</v>
      </c>
      <c r="C91" s="6" t="str">
        <f t="shared" si="2"/>
        <v>182,836</v>
      </c>
      <c r="D91" s="6">
        <f t="shared" si="3"/>
        <v>182.836</v>
      </c>
      <c r="E91" s="6">
        <f t="shared" si="4"/>
        <v>0.436</v>
      </c>
    </row>
    <row r="92">
      <c r="A92" s="4" t="s">
        <v>6612</v>
      </c>
      <c r="B92" s="6" t="str">
        <f t="shared" si="1"/>
        <v>183.380</v>
      </c>
      <c r="C92" s="6" t="str">
        <f t="shared" si="2"/>
        <v>183,380</v>
      </c>
      <c r="D92" s="6">
        <f t="shared" si="3"/>
        <v>183.38</v>
      </c>
      <c r="E92" s="6">
        <f t="shared" si="4"/>
        <v>0.544</v>
      </c>
    </row>
    <row r="93">
      <c r="A93" s="4" t="s">
        <v>6613</v>
      </c>
      <c r="B93" s="6" t="str">
        <f t="shared" si="1"/>
        <v>183.924</v>
      </c>
      <c r="C93" s="6" t="str">
        <f t="shared" si="2"/>
        <v>183,924</v>
      </c>
      <c r="D93" s="6">
        <f t="shared" si="3"/>
        <v>183.924</v>
      </c>
      <c r="E93" s="6">
        <f t="shared" si="4"/>
        <v>0.544</v>
      </c>
    </row>
    <row r="94">
      <c r="A94" s="4" t="s">
        <v>6614</v>
      </c>
      <c r="B94" s="6" t="str">
        <f t="shared" si="1"/>
        <v>184.353</v>
      </c>
      <c r="C94" s="6" t="str">
        <f t="shared" si="2"/>
        <v>184,353</v>
      </c>
      <c r="D94" s="6">
        <f t="shared" si="3"/>
        <v>184.353</v>
      </c>
      <c r="E94" s="6">
        <f t="shared" si="4"/>
        <v>0.429</v>
      </c>
    </row>
    <row r="95">
      <c r="A95" s="4" t="s">
        <v>6615</v>
      </c>
      <c r="B95" s="6" t="str">
        <f t="shared" si="1"/>
        <v>184.898</v>
      </c>
      <c r="C95" s="6" t="str">
        <f t="shared" si="2"/>
        <v>184,898</v>
      </c>
      <c r="D95" s="6">
        <f t="shared" si="3"/>
        <v>184.898</v>
      </c>
      <c r="E95" s="6">
        <f t="shared" si="4"/>
        <v>0.545</v>
      </c>
    </row>
    <row r="96">
      <c r="A96" s="4" t="s">
        <v>6616</v>
      </c>
      <c r="B96" s="6" t="str">
        <f t="shared" si="1"/>
        <v>185.544</v>
      </c>
      <c r="C96" s="6" t="str">
        <f t="shared" si="2"/>
        <v>185,544</v>
      </c>
      <c r="D96" s="6">
        <f t="shared" si="3"/>
        <v>185.544</v>
      </c>
      <c r="E96" s="6">
        <f t="shared" si="4"/>
        <v>0.646</v>
      </c>
    </row>
    <row r="97">
      <c r="A97" s="4" t="s">
        <v>6617</v>
      </c>
      <c r="B97" s="6" t="str">
        <f t="shared" si="1"/>
        <v>185.979</v>
      </c>
      <c r="C97" s="6" t="str">
        <f t="shared" si="2"/>
        <v>185,979</v>
      </c>
      <c r="D97" s="6">
        <f t="shared" si="3"/>
        <v>185.979</v>
      </c>
      <c r="E97" s="6">
        <f t="shared" si="4"/>
        <v>0.435</v>
      </c>
    </row>
    <row r="98">
      <c r="A98" s="4" t="s">
        <v>6618</v>
      </c>
      <c r="B98" s="6" t="str">
        <f t="shared" si="1"/>
        <v>186.420</v>
      </c>
      <c r="C98" s="6" t="str">
        <f t="shared" si="2"/>
        <v>186,420</v>
      </c>
      <c r="D98" s="6">
        <f t="shared" si="3"/>
        <v>186.42</v>
      </c>
      <c r="E98" s="6">
        <f t="shared" si="4"/>
        <v>0.441</v>
      </c>
    </row>
    <row r="99">
      <c r="A99" s="4" t="s">
        <v>6619</v>
      </c>
      <c r="B99" s="6" t="str">
        <f t="shared" si="1"/>
        <v>186.960</v>
      </c>
      <c r="C99" s="6" t="str">
        <f t="shared" si="2"/>
        <v>186,960</v>
      </c>
      <c r="D99" s="6">
        <f t="shared" si="3"/>
        <v>186.96</v>
      </c>
      <c r="E99" s="6">
        <f t="shared" si="4"/>
        <v>0.54</v>
      </c>
    </row>
    <row r="100">
      <c r="A100" s="4" t="s">
        <v>6620</v>
      </c>
      <c r="B100" s="6" t="str">
        <f t="shared" si="1"/>
        <v>187.394</v>
      </c>
      <c r="C100" s="6" t="str">
        <f t="shared" si="2"/>
        <v>187,394</v>
      </c>
      <c r="D100" s="6">
        <f t="shared" si="3"/>
        <v>187.394</v>
      </c>
      <c r="E100" s="6">
        <f t="shared" si="4"/>
        <v>0.434</v>
      </c>
    </row>
    <row r="101">
      <c r="A101" s="4" t="s">
        <v>6621</v>
      </c>
      <c r="B101" s="6" t="str">
        <f t="shared" si="1"/>
        <v>187.937</v>
      </c>
      <c r="C101" s="6" t="str">
        <f t="shared" si="2"/>
        <v>187,937</v>
      </c>
      <c r="D101" s="6">
        <f t="shared" si="3"/>
        <v>187.937</v>
      </c>
      <c r="E101" s="6">
        <f t="shared" si="4"/>
        <v>0.543</v>
      </c>
    </row>
    <row r="102">
      <c r="A102" s="4" t="s">
        <v>6622</v>
      </c>
      <c r="B102" s="6" t="str">
        <f t="shared" si="1"/>
        <v>188.478</v>
      </c>
      <c r="C102" s="6" t="str">
        <f t="shared" si="2"/>
        <v>188,478</v>
      </c>
      <c r="D102" s="6">
        <f t="shared" si="3"/>
        <v>188.478</v>
      </c>
      <c r="E102" s="6">
        <f t="shared" si="4"/>
        <v>0.541</v>
      </c>
    </row>
    <row r="103">
      <c r="A103" s="4" t="s">
        <v>6623</v>
      </c>
      <c r="B103" s="6" t="str">
        <f t="shared" si="1"/>
        <v>188.916</v>
      </c>
      <c r="C103" s="6" t="str">
        <f t="shared" si="2"/>
        <v>188,916</v>
      </c>
      <c r="D103" s="6">
        <f t="shared" si="3"/>
        <v>188.916</v>
      </c>
      <c r="E103" s="6">
        <f t="shared" si="4"/>
        <v>0.438</v>
      </c>
    </row>
    <row r="104">
      <c r="A104" s="4" t="s">
        <v>6624</v>
      </c>
      <c r="B104" s="6" t="str">
        <f t="shared" si="1"/>
        <v>189.456</v>
      </c>
      <c r="C104" s="6" t="str">
        <f t="shared" si="2"/>
        <v>189,456</v>
      </c>
      <c r="D104" s="6">
        <f t="shared" si="3"/>
        <v>189.456</v>
      </c>
      <c r="E104" s="6">
        <f t="shared" si="4"/>
        <v>0.54</v>
      </c>
    </row>
    <row r="105">
      <c r="A105" s="4" t="s">
        <v>6625</v>
      </c>
      <c r="B105" s="6" t="str">
        <f t="shared" si="1"/>
        <v>189.997</v>
      </c>
      <c r="C105" s="6" t="str">
        <f t="shared" si="2"/>
        <v>189,997</v>
      </c>
      <c r="D105" s="6">
        <f t="shared" si="3"/>
        <v>189.997</v>
      </c>
      <c r="E105" s="6">
        <f t="shared" si="4"/>
        <v>0.541</v>
      </c>
    </row>
    <row r="106">
      <c r="A106" s="4" t="s">
        <v>6626</v>
      </c>
      <c r="B106" s="6" t="str">
        <f t="shared" si="1"/>
        <v>190.535</v>
      </c>
      <c r="C106" s="6" t="str">
        <f t="shared" si="2"/>
        <v>190,535</v>
      </c>
      <c r="D106" s="6">
        <f t="shared" si="3"/>
        <v>190.535</v>
      </c>
      <c r="E106" s="6">
        <f t="shared" si="4"/>
        <v>0.538</v>
      </c>
    </row>
    <row r="107">
      <c r="A107" s="4" t="s">
        <v>6627</v>
      </c>
      <c r="B107" s="6" t="str">
        <f t="shared" si="1"/>
        <v>190.973</v>
      </c>
      <c r="C107" s="6" t="str">
        <f t="shared" si="2"/>
        <v>190,973</v>
      </c>
      <c r="D107" s="6">
        <f t="shared" si="3"/>
        <v>190.973</v>
      </c>
      <c r="E107" s="6">
        <f t="shared" si="4"/>
        <v>0.438</v>
      </c>
    </row>
    <row r="108">
      <c r="A108" s="4" t="s">
        <v>6628</v>
      </c>
      <c r="B108" s="6" t="str">
        <f t="shared" si="1"/>
        <v>191.508</v>
      </c>
      <c r="C108" s="6" t="str">
        <f t="shared" si="2"/>
        <v>191,508</v>
      </c>
      <c r="D108" s="6">
        <f t="shared" si="3"/>
        <v>191.508</v>
      </c>
      <c r="E108" s="6">
        <f t="shared" si="4"/>
        <v>0.535</v>
      </c>
    </row>
    <row r="109">
      <c r="A109" s="4" t="s">
        <v>6629</v>
      </c>
      <c r="B109" s="6" t="str">
        <f t="shared" si="1"/>
        <v>192.048</v>
      </c>
      <c r="C109" s="6" t="str">
        <f t="shared" si="2"/>
        <v>192,048</v>
      </c>
      <c r="D109" s="6">
        <f t="shared" si="3"/>
        <v>192.048</v>
      </c>
      <c r="E109" s="6">
        <f t="shared" si="4"/>
        <v>0.54</v>
      </c>
    </row>
    <row r="110">
      <c r="A110" s="4" t="s">
        <v>6630</v>
      </c>
      <c r="B110" s="6" t="str">
        <f t="shared" si="1"/>
        <v>192.492</v>
      </c>
      <c r="C110" s="6" t="str">
        <f t="shared" si="2"/>
        <v>192,492</v>
      </c>
      <c r="D110" s="6">
        <f t="shared" si="3"/>
        <v>192.492</v>
      </c>
      <c r="E110" s="6">
        <f t="shared" si="4"/>
        <v>0.444</v>
      </c>
    </row>
    <row r="111">
      <c r="A111" s="4" t="s">
        <v>6631</v>
      </c>
      <c r="B111" s="6" t="str">
        <f t="shared" si="1"/>
        <v>193.030</v>
      </c>
      <c r="C111" s="6" t="str">
        <f t="shared" si="2"/>
        <v>193,030</v>
      </c>
      <c r="D111" s="6">
        <f t="shared" si="3"/>
        <v>193.03</v>
      </c>
      <c r="E111" s="6">
        <f t="shared" si="4"/>
        <v>0.538</v>
      </c>
    </row>
    <row r="112">
      <c r="A112" s="4" t="s">
        <v>6632</v>
      </c>
      <c r="B112" s="6" t="str">
        <f t="shared" si="1"/>
        <v>193.565</v>
      </c>
      <c r="C112" s="6" t="str">
        <f t="shared" si="2"/>
        <v>193,565</v>
      </c>
      <c r="D112" s="6">
        <f t="shared" si="3"/>
        <v>193.565</v>
      </c>
      <c r="E112" s="6">
        <f t="shared" si="4"/>
        <v>0.535</v>
      </c>
    </row>
    <row r="113">
      <c r="A113" s="4" t="s">
        <v>6633</v>
      </c>
      <c r="B113" s="6" t="str">
        <f t="shared" si="1"/>
        <v>194.105</v>
      </c>
      <c r="C113" s="6" t="str">
        <f t="shared" si="2"/>
        <v>194,105</v>
      </c>
      <c r="D113" s="6">
        <f t="shared" si="3"/>
        <v>194.105</v>
      </c>
      <c r="E113" s="6">
        <f t="shared" si="4"/>
        <v>0.54</v>
      </c>
    </row>
    <row r="114">
      <c r="A114" s="4" t="s">
        <v>6634</v>
      </c>
      <c r="B114" s="6" t="str">
        <f t="shared" si="1"/>
        <v>194.543</v>
      </c>
      <c r="C114" s="6" t="str">
        <f t="shared" si="2"/>
        <v>194,543</v>
      </c>
      <c r="D114" s="6">
        <f t="shared" si="3"/>
        <v>194.543</v>
      </c>
      <c r="E114" s="6">
        <f t="shared" si="4"/>
        <v>0.438</v>
      </c>
    </row>
    <row r="115">
      <c r="A115" s="4" t="s">
        <v>6635</v>
      </c>
      <c r="B115" s="6" t="str">
        <f t="shared" si="1"/>
        <v>195.081</v>
      </c>
      <c r="C115" s="6" t="str">
        <f t="shared" si="2"/>
        <v>195,081</v>
      </c>
      <c r="D115" s="6">
        <f t="shared" si="3"/>
        <v>195.081</v>
      </c>
      <c r="E115" s="6">
        <f t="shared" si="4"/>
        <v>0.538</v>
      </c>
    </row>
    <row r="116">
      <c r="A116" s="4" t="s">
        <v>6636</v>
      </c>
      <c r="B116" s="6" t="str">
        <f t="shared" si="1"/>
        <v>195.620</v>
      </c>
      <c r="C116" s="6" t="str">
        <f t="shared" si="2"/>
        <v>195,620</v>
      </c>
      <c r="D116" s="6">
        <f t="shared" si="3"/>
        <v>195.62</v>
      </c>
      <c r="E116" s="6">
        <f t="shared" si="4"/>
        <v>0.539</v>
      </c>
    </row>
    <row r="117">
      <c r="A117" s="4" t="s">
        <v>6637</v>
      </c>
      <c r="B117" s="6" t="str">
        <f t="shared" si="1"/>
        <v>196.058</v>
      </c>
      <c r="C117" s="6" t="str">
        <f t="shared" si="2"/>
        <v>196,058</v>
      </c>
      <c r="D117" s="6">
        <f t="shared" si="3"/>
        <v>196.058</v>
      </c>
      <c r="E117" s="6">
        <f t="shared" si="4"/>
        <v>0.438</v>
      </c>
    </row>
    <row r="118">
      <c r="A118" s="4" t="s">
        <v>6638</v>
      </c>
      <c r="B118" s="6" t="str">
        <f t="shared" si="1"/>
        <v>196.491</v>
      </c>
      <c r="C118" s="6" t="str">
        <f t="shared" si="2"/>
        <v>196,491</v>
      </c>
      <c r="D118" s="6">
        <f t="shared" si="3"/>
        <v>196.491</v>
      </c>
      <c r="E118" s="6">
        <f t="shared" si="4"/>
        <v>0.433</v>
      </c>
    </row>
    <row r="119">
      <c r="A119" s="4" t="s">
        <v>6639</v>
      </c>
      <c r="B119" s="6" t="str">
        <f t="shared" si="1"/>
        <v>197.032</v>
      </c>
      <c r="C119" s="6" t="str">
        <f t="shared" si="2"/>
        <v>197,032</v>
      </c>
      <c r="D119" s="6">
        <f t="shared" si="3"/>
        <v>197.032</v>
      </c>
      <c r="E119" s="6">
        <f t="shared" si="4"/>
        <v>0.541</v>
      </c>
    </row>
    <row r="120">
      <c r="A120" s="4" t="s">
        <v>6640</v>
      </c>
      <c r="B120" s="6" t="str">
        <f t="shared" si="1"/>
        <v>197.570</v>
      </c>
      <c r="C120" s="6" t="str">
        <f t="shared" si="2"/>
        <v>197,570</v>
      </c>
      <c r="D120" s="6">
        <f t="shared" si="3"/>
        <v>197.57</v>
      </c>
      <c r="E120" s="6">
        <f t="shared" si="4"/>
        <v>0.538</v>
      </c>
    </row>
    <row r="121">
      <c r="A121" s="4" t="s">
        <v>6641</v>
      </c>
      <c r="B121" s="6" t="str">
        <f t="shared" si="1"/>
        <v>198.011</v>
      </c>
      <c r="C121" s="6" t="str">
        <f t="shared" si="2"/>
        <v>198,011</v>
      </c>
      <c r="D121" s="6">
        <f t="shared" si="3"/>
        <v>198.011</v>
      </c>
      <c r="E121" s="6">
        <f t="shared" si="4"/>
        <v>0.441</v>
      </c>
    </row>
    <row r="122">
      <c r="A122" s="4" t="s">
        <v>6642</v>
      </c>
      <c r="B122" s="6" t="str">
        <f t="shared" si="1"/>
        <v>198.558</v>
      </c>
      <c r="C122" s="6" t="str">
        <f t="shared" si="2"/>
        <v>198,558</v>
      </c>
      <c r="D122" s="6">
        <f t="shared" si="3"/>
        <v>198.558</v>
      </c>
      <c r="E122" s="6">
        <f t="shared" si="4"/>
        <v>0.547</v>
      </c>
    </row>
    <row r="123">
      <c r="A123" s="4" t="s">
        <v>6643</v>
      </c>
      <c r="B123" s="6" t="str">
        <f t="shared" si="1"/>
        <v>198.987</v>
      </c>
      <c r="C123" s="6" t="str">
        <f t="shared" si="2"/>
        <v>198,987</v>
      </c>
      <c r="D123" s="6">
        <f t="shared" si="3"/>
        <v>198.987</v>
      </c>
      <c r="E123" s="6">
        <f t="shared" si="4"/>
        <v>0.429</v>
      </c>
    </row>
    <row r="124">
      <c r="A124" s="4" t="s">
        <v>6644</v>
      </c>
      <c r="B124" s="6" t="str">
        <f t="shared" si="1"/>
        <v>199.530</v>
      </c>
      <c r="C124" s="6" t="str">
        <f t="shared" si="2"/>
        <v>199,530</v>
      </c>
      <c r="D124" s="6">
        <f t="shared" si="3"/>
        <v>199.53</v>
      </c>
      <c r="E124" s="6">
        <f t="shared" si="4"/>
        <v>0.543</v>
      </c>
    </row>
    <row r="125">
      <c r="A125" s="4" t="s">
        <v>6645</v>
      </c>
      <c r="B125" s="6" t="str">
        <f t="shared" si="1"/>
        <v>200.174</v>
      </c>
      <c r="C125" s="6" t="str">
        <f t="shared" si="2"/>
        <v>200,174</v>
      </c>
      <c r="D125" s="6">
        <f t="shared" si="3"/>
        <v>200.174</v>
      </c>
      <c r="E125" s="6">
        <f t="shared" si="4"/>
        <v>0.644</v>
      </c>
    </row>
    <row r="126">
      <c r="A126" s="4" t="s">
        <v>6646</v>
      </c>
      <c r="B126" s="6" t="str">
        <f t="shared" si="1"/>
        <v>200.506</v>
      </c>
      <c r="C126" s="6" t="str">
        <f t="shared" si="2"/>
        <v>200,506</v>
      </c>
      <c r="D126" s="6">
        <f t="shared" si="3"/>
        <v>200.506</v>
      </c>
      <c r="E126" s="6">
        <f t="shared" si="4"/>
        <v>0.332</v>
      </c>
    </row>
    <row r="127">
      <c r="A127" s="4" t="s">
        <v>6647</v>
      </c>
      <c r="B127" s="6" t="str">
        <f t="shared" si="1"/>
        <v>201.050</v>
      </c>
      <c r="C127" s="6" t="str">
        <f t="shared" si="2"/>
        <v>201,050</v>
      </c>
      <c r="D127" s="6">
        <f t="shared" si="3"/>
        <v>201.05</v>
      </c>
      <c r="E127" s="6">
        <f t="shared" si="4"/>
        <v>0.544</v>
      </c>
    </row>
    <row r="128">
      <c r="A128" s="4" t="s">
        <v>6648</v>
      </c>
      <c r="B128" s="6" t="str">
        <f t="shared" si="1"/>
        <v>201.594</v>
      </c>
      <c r="C128" s="6" t="str">
        <f t="shared" si="2"/>
        <v>201,594</v>
      </c>
      <c r="D128" s="6">
        <f t="shared" si="3"/>
        <v>201.594</v>
      </c>
      <c r="E128" s="6">
        <f t="shared" si="4"/>
        <v>0.544</v>
      </c>
    </row>
    <row r="129">
      <c r="A129" s="4" t="s">
        <v>6649</v>
      </c>
      <c r="B129" s="6" t="str">
        <f t="shared" si="1"/>
        <v>202.028</v>
      </c>
      <c r="C129" s="6" t="str">
        <f t="shared" si="2"/>
        <v>202,028</v>
      </c>
      <c r="D129" s="6">
        <f t="shared" si="3"/>
        <v>202.028</v>
      </c>
      <c r="E129" s="6">
        <f t="shared" si="4"/>
        <v>0.434</v>
      </c>
    </row>
    <row r="130">
      <c r="A130" s="4" t="s">
        <v>6650</v>
      </c>
      <c r="B130" s="6" t="str">
        <f t="shared" si="1"/>
        <v>202.567</v>
      </c>
      <c r="C130" s="6" t="str">
        <f t="shared" si="2"/>
        <v>202,567</v>
      </c>
      <c r="D130" s="6">
        <f t="shared" si="3"/>
        <v>202.567</v>
      </c>
      <c r="E130" s="6">
        <f t="shared" si="4"/>
        <v>0.539</v>
      </c>
    </row>
    <row r="131">
      <c r="A131" s="4" t="s">
        <v>6651</v>
      </c>
      <c r="B131" s="6" t="str">
        <f t="shared" si="1"/>
        <v>203.213</v>
      </c>
      <c r="C131" s="6" t="str">
        <f t="shared" si="2"/>
        <v>203,213</v>
      </c>
      <c r="D131" s="6">
        <f t="shared" si="3"/>
        <v>203.213</v>
      </c>
      <c r="E131" s="6">
        <f t="shared" si="4"/>
        <v>0.646</v>
      </c>
    </row>
    <row r="132">
      <c r="A132" s="4" t="s">
        <v>6652</v>
      </c>
      <c r="B132" s="6" t="str">
        <f t="shared" si="1"/>
        <v>203.546</v>
      </c>
      <c r="C132" s="6" t="str">
        <f t="shared" si="2"/>
        <v>203,546</v>
      </c>
      <c r="D132" s="6">
        <f t="shared" si="3"/>
        <v>203.546</v>
      </c>
      <c r="E132" s="6">
        <f t="shared" si="4"/>
        <v>0.333</v>
      </c>
    </row>
    <row r="133">
      <c r="A133" s="4" t="s">
        <v>6653</v>
      </c>
      <c r="B133" s="6" t="str">
        <f t="shared" si="1"/>
        <v>204.088</v>
      </c>
      <c r="C133" s="6" t="str">
        <f t="shared" si="2"/>
        <v>204,088</v>
      </c>
      <c r="D133" s="6">
        <f t="shared" si="3"/>
        <v>204.088</v>
      </c>
      <c r="E133" s="6">
        <f t="shared" si="4"/>
        <v>0.542</v>
      </c>
    </row>
    <row r="134">
      <c r="A134" s="4" t="s">
        <v>6654</v>
      </c>
      <c r="B134" s="6" t="str">
        <f t="shared" si="1"/>
        <v>204.734</v>
      </c>
      <c r="C134" s="6" t="str">
        <f t="shared" si="2"/>
        <v>204,734</v>
      </c>
      <c r="D134" s="6">
        <f t="shared" si="3"/>
        <v>204.734</v>
      </c>
      <c r="E134" s="6">
        <f t="shared" si="4"/>
        <v>0.646</v>
      </c>
    </row>
    <row r="135">
      <c r="A135" s="4" t="s">
        <v>6655</v>
      </c>
      <c r="B135" s="6" t="str">
        <f t="shared" si="1"/>
        <v>205.168</v>
      </c>
      <c r="C135" s="6" t="str">
        <f t="shared" si="2"/>
        <v>205,168</v>
      </c>
      <c r="D135" s="6">
        <f t="shared" si="3"/>
        <v>205.168</v>
      </c>
      <c r="E135" s="6">
        <f t="shared" si="4"/>
        <v>0.434</v>
      </c>
    </row>
    <row r="136">
      <c r="A136" s="4" t="s">
        <v>6656</v>
      </c>
      <c r="B136" s="6" t="str">
        <f t="shared" si="1"/>
        <v>205.608</v>
      </c>
      <c r="C136" s="6" t="str">
        <f t="shared" si="2"/>
        <v>205,608</v>
      </c>
      <c r="D136" s="6">
        <f t="shared" si="3"/>
        <v>205.608</v>
      </c>
      <c r="E136" s="6">
        <f t="shared" si="4"/>
        <v>0.44</v>
      </c>
    </row>
    <row r="137">
      <c r="A137" s="4" t="s">
        <v>6657</v>
      </c>
      <c r="B137" s="6" t="str">
        <f t="shared" si="1"/>
        <v>206.253</v>
      </c>
      <c r="C137" s="6" t="str">
        <f t="shared" si="2"/>
        <v>206,253</v>
      </c>
      <c r="D137" s="6">
        <f t="shared" si="3"/>
        <v>206.253</v>
      </c>
      <c r="E137" s="6">
        <f t="shared" si="4"/>
        <v>0.645</v>
      </c>
    </row>
    <row r="138">
      <c r="A138" s="4" t="s">
        <v>6658</v>
      </c>
      <c r="B138" s="6" t="str">
        <f t="shared" si="1"/>
        <v>206.687</v>
      </c>
      <c r="C138" s="6" t="str">
        <f t="shared" si="2"/>
        <v>206,687</v>
      </c>
      <c r="D138" s="6">
        <f t="shared" si="3"/>
        <v>206.687</v>
      </c>
      <c r="E138" s="6">
        <f t="shared" si="4"/>
        <v>0.434</v>
      </c>
    </row>
    <row r="139">
      <c r="A139" s="4" t="s">
        <v>6659</v>
      </c>
      <c r="B139" s="6" t="str">
        <f t="shared" si="1"/>
        <v>207.231</v>
      </c>
      <c r="C139" s="6" t="str">
        <f t="shared" si="2"/>
        <v>207,231</v>
      </c>
      <c r="D139" s="6">
        <f t="shared" si="3"/>
        <v>207.231</v>
      </c>
      <c r="E139" s="6">
        <f t="shared" si="4"/>
        <v>0.544</v>
      </c>
    </row>
    <row r="140">
      <c r="A140" s="4" t="s">
        <v>6660</v>
      </c>
      <c r="B140" s="6" t="str">
        <f t="shared" si="1"/>
        <v>207.670</v>
      </c>
      <c r="C140" s="6" t="str">
        <f t="shared" si="2"/>
        <v>207,670</v>
      </c>
      <c r="D140" s="6">
        <f t="shared" si="3"/>
        <v>207.67</v>
      </c>
      <c r="E140" s="6">
        <f t="shared" si="4"/>
        <v>0.439</v>
      </c>
    </row>
    <row r="141">
      <c r="A141" s="4" t="s">
        <v>6661</v>
      </c>
      <c r="B141" s="6" t="str">
        <f t="shared" si="1"/>
        <v>208.206</v>
      </c>
      <c r="C141" s="6" t="str">
        <f t="shared" si="2"/>
        <v>208,206</v>
      </c>
      <c r="D141" s="6">
        <f t="shared" si="3"/>
        <v>208.206</v>
      </c>
      <c r="E141" s="6">
        <f t="shared" si="4"/>
        <v>0.536</v>
      </c>
    </row>
    <row r="142">
      <c r="A142" s="4" t="s">
        <v>6662</v>
      </c>
      <c r="B142" s="6" t="str">
        <f t="shared" si="1"/>
        <v>208.748</v>
      </c>
      <c r="C142" s="6" t="str">
        <f t="shared" si="2"/>
        <v>208,748</v>
      </c>
      <c r="D142" s="6">
        <f t="shared" si="3"/>
        <v>208.748</v>
      </c>
      <c r="E142" s="6">
        <f t="shared" si="4"/>
        <v>0.542</v>
      </c>
    </row>
    <row r="143">
      <c r="A143" s="4" t="s">
        <v>6663</v>
      </c>
      <c r="B143" s="6" t="str">
        <f t="shared" si="1"/>
        <v>209.190</v>
      </c>
      <c r="C143" s="6" t="str">
        <f t="shared" si="2"/>
        <v>209,190</v>
      </c>
      <c r="D143" s="6">
        <f t="shared" si="3"/>
        <v>209.19</v>
      </c>
      <c r="E143" s="6">
        <f t="shared" si="4"/>
        <v>0.442</v>
      </c>
    </row>
    <row r="144">
      <c r="A144" s="4" t="s">
        <v>6664</v>
      </c>
      <c r="B144" s="6" t="str">
        <f t="shared" si="1"/>
        <v>209.622</v>
      </c>
      <c r="C144" s="6" t="str">
        <f t="shared" si="2"/>
        <v>209,622</v>
      </c>
      <c r="D144" s="6">
        <f t="shared" si="3"/>
        <v>209.622</v>
      </c>
      <c r="E144" s="6">
        <f t="shared" si="4"/>
        <v>0.432</v>
      </c>
    </row>
    <row r="145">
      <c r="A145" s="4" t="s">
        <v>6665</v>
      </c>
      <c r="B145" s="6" t="str">
        <f t="shared" si="1"/>
        <v>210.270</v>
      </c>
      <c r="C145" s="6" t="str">
        <f t="shared" si="2"/>
        <v>210,270</v>
      </c>
      <c r="D145" s="6">
        <f t="shared" si="3"/>
        <v>210.27</v>
      </c>
      <c r="E145" s="6">
        <f t="shared" si="4"/>
        <v>0.648</v>
      </c>
    </row>
    <row r="146">
      <c r="A146" s="4" t="s">
        <v>6666</v>
      </c>
      <c r="B146" s="6" t="str">
        <f t="shared" si="1"/>
        <v>210.600</v>
      </c>
      <c r="C146" s="6" t="str">
        <f t="shared" si="2"/>
        <v>210,600</v>
      </c>
      <c r="D146" s="6">
        <f t="shared" si="3"/>
        <v>210.6</v>
      </c>
      <c r="E146" s="6">
        <f t="shared" si="4"/>
        <v>0.33</v>
      </c>
    </row>
    <row r="147">
      <c r="A147" s="4" t="s">
        <v>6667</v>
      </c>
      <c r="B147" s="6" t="str">
        <f t="shared" si="1"/>
        <v>211.142</v>
      </c>
      <c r="C147" s="6" t="str">
        <f t="shared" si="2"/>
        <v>211,142</v>
      </c>
      <c r="D147" s="6">
        <f t="shared" si="3"/>
        <v>211.142</v>
      </c>
      <c r="E147" s="6">
        <f t="shared" si="4"/>
        <v>0.542</v>
      </c>
    </row>
    <row r="148">
      <c r="A148" s="4" t="s">
        <v>6668</v>
      </c>
      <c r="B148" s="6" t="str">
        <f t="shared" si="1"/>
        <v>211.788</v>
      </c>
      <c r="C148" s="6" t="str">
        <f t="shared" si="2"/>
        <v>211,788</v>
      </c>
      <c r="D148" s="6">
        <f t="shared" si="3"/>
        <v>211.788</v>
      </c>
      <c r="E148" s="6">
        <f t="shared" si="4"/>
        <v>0.646</v>
      </c>
    </row>
    <row r="149">
      <c r="A149" s="4" t="s">
        <v>6669</v>
      </c>
      <c r="B149" s="6" t="str">
        <f t="shared" si="1"/>
        <v>212.118</v>
      </c>
      <c r="C149" s="6" t="str">
        <f t="shared" si="2"/>
        <v>212,118</v>
      </c>
      <c r="D149" s="6">
        <f t="shared" si="3"/>
        <v>212.118</v>
      </c>
      <c r="E149" s="6">
        <f t="shared" si="4"/>
        <v>0.33</v>
      </c>
    </row>
    <row r="150">
      <c r="A150" s="4" t="s">
        <v>6670</v>
      </c>
      <c r="B150" s="6" t="str">
        <f t="shared" si="1"/>
        <v>212.659</v>
      </c>
      <c r="C150" s="6" t="str">
        <f t="shared" si="2"/>
        <v>212,659</v>
      </c>
      <c r="D150" s="6">
        <f t="shared" si="3"/>
        <v>212.659</v>
      </c>
      <c r="E150" s="6">
        <f t="shared" si="4"/>
        <v>0.541</v>
      </c>
    </row>
    <row r="151">
      <c r="A151" s="4" t="s">
        <v>6671</v>
      </c>
      <c r="B151" s="6" t="str">
        <f t="shared" si="1"/>
        <v>213.305</v>
      </c>
      <c r="C151" s="6" t="str">
        <f t="shared" si="2"/>
        <v>213,305</v>
      </c>
      <c r="D151" s="6">
        <f t="shared" si="3"/>
        <v>213.305</v>
      </c>
      <c r="E151" s="6">
        <f t="shared" si="4"/>
        <v>0.646</v>
      </c>
    </row>
    <row r="152">
      <c r="A152" s="4" t="s">
        <v>6672</v>
      </c>
      <c r="B152" s="6" t="str">
        <f t="shared" si="1"/>
        <v>213.739</v>
      </c>
      <c r="C152" s="6" t="str">
        <f t="shared" si="2"/>
        <v>213,739</v>
      </c>
      <c r="D152" s="6">
        <f t="shared" si="3"/>
        <v>213.739</v>
      </c>
      <c r="E152" s="6">
        <f t="shared" si="4"/>
        <v>0.434</v>
      </c>
    </row>
    <row r="153">
      <c r="A153" s="4" t="s">
        <v>6673</v>
      </c>
      <c r="B153" s="6" t="str">
        <f t="shared" si="1"/>
        <v>214.179</v>
      </c>
      <c r="C153" s="6" t="str">
        <f t="shared" si="2"/>
        <v>214,179</v>
      </c>
      <c r="D153" s="6">
        <f t="shared" si="3"/>
        <v>214.179</v>
      </c>
      <c r="E153" s="6">
        <f t="shared" si="4"/>
        <v>0.44</v>
      </c>
    </row>
    <row r="154">
      <c r="A154" s="4" t="s">
        <v>6674</v>
      </c>
      <c r="B154" s="6" t="str">
        <f t="shared" si="1"/>
        <v>214.722</v>
      </c>
      <c r="C154" s="6" t="str">
        <f t="shared" si="2"/>
        <v>214,722</v>
      </c>
      <c r="D154" s="6">
        <f t="shared" si="3"/>
        <v>214.722</v>
      </c>
      <c r="E154" s="6">
        <f t="shared" si="4"/>
        <v>0.543</v>
      </c>
    </row>
    <row r="155">
      <c r="A155" s="4" t="s">
        <v>6675</v>
      </c>
      <c r="B155" s="6" t="str">
        <f t="shared" si="1"/>
        <v>215.259</v>
      </c>
      <c r="C155" s="6" t="str">
        <f t="shared" si="2"/>
        <v>215,259</v>
      </c>
      <c r="D155" s="6">
        <f t="shared" si="3"/>
        <v>215.259</v>
      </c>
      <c r="E155" s="6">
        <f t="shared" si="4"/>
        <v>0.537</v>
      </c>
    </row>
    <row r="156">
      <c r="A156" s="4" t="s">
        <v>6676</v>
      </c>
      <c r="B156" s="6" t="str">
        <f t="shared" si="1"/>
        <v>215.701</v>
      </c>
      <c r="C156" s="6" t="str">
        <f t="shared" si="2"/>
        <v>215,701</v>
      </c>
      <c r="D156" s="6">
        <f t="shared" si="3"/>
        <v>215.701</v>
      </c>
      <c r="E156" s="6">
        <f t="shared" si="4"/>
        <v>0.442</v>
      </c>
    </row>
    <row r="157">
      <c r="A157" s="4" t="s">
        <v>6677</v>
      </c>
      <c r="B157" s="6" t="str">
        <f t="shared" si="1"/>
        <v>216.242</v>
      </c>
      <c r="C157" s="6" t="str">
        <f t="shared" si="2"/>
        <v>216,242</v>
      </c>
      <c r="D157" s="6">
        <f t="shared" si="3"/>
        <v>216.242</v>
      </c>
      <c r="E157" s="6">
        <f t="shared" si="4"/>
        <v>0.541</v>
      </c>
    </row>
    <row r="158">
      <c r="A158" s="4" t="s">
        <v>6678</v>
      </c>
      <c r="B158" s="6" t="str">
        <f t="shared" si="1"/>
        <v>216.780</v>
      </c>
      <c r="C158" s="6" t="str">
        <f t="shared" si="2"/>
        <v>216,780</v>
      </c>
      <c r="D158" s="6">
        <f t="shared" si="3"/>
        <v>216.78</v>
      </c>
      <c r="E158" s="6">
        <f t="shared" si="4"/>
        <v>0.538</v>
      </c>
    </row>
    <row r="159">
      <c r="A159" s="4" t="s">
        <v>6679</v>
      </c>
      <c r="B159" s="6" t="str">
        <f t="shared" si="1"/>
        <v>217.220</v>
      </c>
      <c r="C159" s="6" t="str">
        <f t="shared" si="2"/>
        <v>217,220</v>
      </c>
      <c r="D159" s="6">
        <f t="shared" si="3"/>
        <v>217.22</v>
      </c>
      <c r="E159" s="6">
        <f t="shared" si="4"/>
        <v>0.44</v>
      </c>
    </row>
    <row r="160">
      <c r="A160" s="4" t="s">
        <v>6680</v>
      </c>
      <c r="B160" s="6" t="str">
        <f t="shared" si="1"/>
        <v>217.761</v>
      </c>
      <c r="C160" s="6" t="str">
        <f t="shared" si="2"/>
        <v>217,761</v>
      </c>
      <c r="D160" s="6">
        <f t="shared" si="3"/>
        <v>217.761</v>
      </c>
      <c r="E160" s="6">
        <f t="shared" si="4"/>
        <v>0.541</v>
      </c>
    </row>
    <row r="161">
      <c r="A161" s="4" t="s">
        <v>6681</v>
      </c>
      <c r="B161" s="6" t="str">
        <f t="shared" si="1"/>
        <v>218.198</v>
      </c>
      <c r="C161" s="6" t="str">
        <f t="shared" si="2"/>
        <v>218,198</v>
      </c>
      <c r="D161" s="6">
        <f t="shared" si="3"/>
        <v>218.198</v>
      </c>
      <c r="E161" s="6">
        <f t="shared" si="4"/>
        <v>0.437</v>
      </c>
    </row>
    <row r="162">
      <c r="A162" s="4" t="s">
        <v>6682</v>
      </c>
      <c r="B162" s="6" t="str">
        <f t="shared" si="1"/>
        <v>218.736</v>
      </c>
      <c r="C162" s="6" t="str">
        <f t="shared" si="2"/>
        <v>218,736</v>
      </c>
      <c r="D162" s="6">
        <f t="shared" si="3"/>
        <v>218.736</v>
      </c>
      <c r="E162" s="6">
        <f t="shared" si="4"/>
        <v>0.538</v>
      </c>
    </row>
    <row r="163">
      <c r="A163" s="4" t="s">
        <v>6683</v>
      </c>
      <c r="B163" s="6" t="str">
        <f t="shared" si="1"/>
        <v>219.287</v>
      </c>
      <c r="C163" s="6" t="str">
        <f t="shared" si="2"/>
        <v>219,287</v>
      </c>
      <c r="D163" s="6">
        <f t="shared" si="3"/>
        <v>219.287</v>
      </c>
      <c r="E163" s="6">
        <f t="shared" si="4"/>
        <v>0.551</v>
      </c>
    </row>
    <row r="164">
      <c r="A164" s="4" t="s">
        <v>6684</v>
      </c>
      <c r="B164" s="6" t="str">
        <f t="shared" si="1"/>
        <v>219.721</v>
      </c>
      <c r="C164" s="6" t="str">
        <f t="shared" si="2"/>
        <v>219,721</v>
      </c>
      <c r="D164" s="6">
        <f t="shared" si="3"/>
        <v>219.721</v>
      </c>
      <c r="E164" s="6">
        <f t="shared" si="4"/>
        <v>0.434</v>
      </c>
    </row>
    <row r="165">
      <c r="A165" s="4" t="s">
        <v>6685</v>
      </c>
      <c r="B165" s="6" t="str">
        <f t="shared" si="1"/>
        <v>220.256</v>
      </c>
      <c r="C165" s="6" t="str">
        <f t="shared" si="2"/>
        <v>220,256</v>
      </c>
      <c r="D165" s="6">
        <f t="shared" si="3"/>
        <v>220.256</v>
      </c>
      <c r="E165" s="6">
        <f t="shared" si="4"/>
        <v>0.535</v>
      </c>
    </row>
    <row r="166">
      <c r="A166" s="4" t="s">
        <v>6686</v>
      </c>
      <c r="B166" s="6" t="str">
        <f t="shared" si="1"/>
        <v>220.800</v>
      </c>
      <c r="C166" s="6" t="str">
        <f t="shared" si="2"/>
        <v>220,800</v>
      </c>
      <c r="D166" s="6">
        <f t="shared" si="3"/>
        <v>220.8</v>
      </c>
      <c r="E166" s="6">
        <f t="shared" si="4"/>
        <v>0.544</v>
      </c>
    </row>
    <row r="167">
      <c r="A167" s="4" t="s">
        <v>6687</v>
      </c>
      <c r="B167" s="6" t="str">
        <f t="shared" si="1"/>
        <v>221.234</v>
      </c>
      <c r="C167" s="6" t="str">
        <f t="shared" si="2"/>
        <v>221,234</v>
      </c>
      <c r="D167" s="6">
        <f t="shared" si="3"/>
        <v>221.234</v>
      </c>
      <c r="E167" s="6">
        <f t="shared" si="4"/>
        <v>0.434</v>
      </c>
    </row>
    <row r="168">
      <c r="A168" s="4" t="s">
        <v>6688</v>
      </c>
      <c r="B168" s="6" t="str">
        <f t="shared" si="1"/>
        <v>221.779</v>
      </c>
      <c r="C168" s="6" t="str">
        <f t="shared" si="2"/>
        <v>221,779</v>
      </c>
      <c r="D168" s="6">
        <f t="shared" si="3"/>
        <v>221.779</v>
      </c>
      <c r="E168" s="6">
        <f t="shared" si="4"/>
        <v>0.545</v>
      </c>
    </row>
    <row r="169">
      <c r="A169" s="4" t="s">
        <v>6689</v>
      </c>
      <c r="B169" s="6" t="str">
        <f t="shared" si="1"/>
        <v>222.322</v>
      </c>
      <c r="C169" s="6" t="str">
        <f t="shared" si="2"/>
        <v>222,322</v>
      </c>
      <c r="D169" s="6">
        <f t="shared" si="3"/>
        <v>222.322</v>
      </c>
      <c r="E169" s="6">
        <f t="shared" si="4"/>
        <v>0.543</v>
      </c>
    </row>
    <row r="170">
      <c r="A170" s="4" t="s">
        <v>6690</v>
      </c>
      <c r="B170" s="6" t="str">
        <f t="shared" si="1"/>
        <v>222.856</v>
      </c>
      <c r="C170" s="6" t="str">
        <f t="shared" si="2"/>
        <v>222,856</v>
      </c>
      <c r="D170" s="6">
        <f t="shared" si="3"/>
        <v>222.856</v>
      </c>
      <c r="E170" s="6">
        <f t="shared" si="4"/>
        <v>0.534</v>
      </c>
    </row>
    <row r="171">
      <c r="A171" s="4" t="s">
        <v>6691</v>
      </c>
      <c r="B171" s="6" t="str">
        <f t="shared" si="1"/>
        <v>223.293</v>
      </c>
      <c r="C171" s="6" t="str">
        <f t="shared" si="2"/>
        <v>223,293</v>
      </c>
      <c r="D171" s="6">
        <f t="shared" si="3"/>
        <v>223.293</v>
      </c>
      <c r="E171" s="6">
        <f t="shared" si="4"/>
        <v>0.437</v>
      </c>
    </row>
    <row r="172">
      <c r="A172" s="4" t="s">
        <v>6692</v>
      </c>
      <c r="B172" s="6" t="str">
        <f t="shared" si="1"/>
        <v>223.838</v>
      </c>
      <c r="C172" s="6" t="str">
        <f t="shared" si="2"/>
        <v>223,838</v>
      </c>
      <c r="D172" s="6">
        <f t="shared" si="3"/>
        <v>223.838</v>
      </c>
      <c r="E172" s="6">
        <f t="shared" si="4"/>
        <v>0.545</v>
      </c>
    </row>
    <row r="173">
      <c r="A173" s="4" t="s">
        <v>6693</v>
      </c>
      <c r="B173" s="6" t="str">
        <f t="shared" si="1"/>
        <v>224.272</v>
      </c>
      <c r="C173" s="6" t="str">
        <f t="shared" si="2"/>
        <v>224,272</v>
      </c>
      <c r="D173" s="6">
        <f t="shared" si="3"/>
        <v>224.272</v>
      </c>
      <c r="E173" s="6">
        <f t="shared" si="4"/>
        <v>0.434</v>
      </c>
    </row>
    <row r="174">
      <c r="A174" s="4" t="s">
        <v>6694</v>
      </c>
      <c r="B174" s="6" t="str">
        <f t="shared" si="1"/>
        <v>224.819</v>
      </c>
      <c r="C174" s="6" t="str">
        <f t="shared" si="2"/>
        <v>224,819</v>
      </c>
      <c r="D174" s="6">
        <f t="shared" si="3"/>
        <v>224.819</v>
      </c>
      <c r="E174" s="6">
        <f t="shared" si="4"/>
        <v>0.547</v>
      </c>
    </row>
    <row r="175">
      <c r="A175" s="4" t="s">
        <v>6695</v>
      </c>
      <c r="B175" s="6" t="str">
        <f t="shared" si="1"/>
        <v>225.253</v>
      </c>
      <c r="C175" s="6" t="str">
        <f t="shared" si="2"/>
        <v>225,253</v>
      </c>
      <c r="D175" s="6">
        <f t="shared" si="3"/>
        <v>225.253</v>
      </c>
      <c r="E175" s="6">
        <f t="shared" si="4"/>
        <v>0.434</v>
      </c>
    </row>
    <row r="176">
      <c r="A176" s="4" t="s">
        <v>6696</v>
      </c>
      <c r="B176" s="6" t="str">
        <f t="shared" si="1"/>
        <v>225.794</v>
      </c>
      <c r="C176" s="6" t="str">
        <f t="shared" si="2"/>
        <v>225,794</v>
      </c>
      <c r="D176" s="6">
        <f t="shared" si="3"/>
        <v>225.794</v>
      </c>
      <c r="E176" s="6">
        <f t="shared" si="4"/>
        <v>0.541</v>
      </c>
    </row>
    <row r="177">
      <c r="A177" s="4" t="s">
        <v>6697</v>
      </c>
      <c r="B177" s="6" t="str">
        <f t="shared" si="1"/>
        <v>226.438</v>
      </c>
      <c r="C177" s="6" t="str">
        <f t="shared" si="2"/>
        <v>226,438</v>
      </c>
      <c r="D177" s="6">
        <f t="shared" si="3"/>
        <v>226.438</v>
      </c>
      <c r="E177" s="6">
        <f t="shared" si="4"/>
        <v>0.644</v>
      </c>
    </row>
    <row r="178">
      <c r="A178" s="4" t="s">
        <v>6698</v>
      </c>
      <c r="B178" s="6" t="str">
        <f t="shared" si="1"/>
        <v>226.982</v>
      </c>
      <c r="C178" s="6" t="str">
        <f t="shared" si="2"/>
        <v>226,982</v>
      </c>
      <c r="D178" s="6">
        <f t="shared" si="3"/>
        <v>226.982</v>
      </c>
      <c r="E178" s="6">
        <f t="shared" si="4"/>
        <v>0.544</v>
      </c>
    </row>
    <row r="179">
      <c r="A179" s="4" t="s">
        <v>6699</v>
      </c>
      <c r="B179" s="6" t="str">
        <f t="shared" si="1"/>
        <v>227.415</v>
      </c>
      <c r="C179" s="6" t="str">
        <f t="shared" si="2"/>
        <v>227,415</v>
      </c>
      <c r="D179" s="6">
        <f t="shared" si="3"/>
        <v>227.415</v>
      </c>
      <c r="E179" s="6">
        <f t="shared" si="4"/>
        <v>0.433</v>
      </c>
    </row>
    <row r="180">
      <c r="A180" s="4" t="s">
        <v>6700</v>
      </c>
      <c r="B180" s="6" t="str">
        <f t="shared" si="1"/>
        <v>227.956</v>
      </c>
      <c r="C180" s="6" t="str">
        <f t="shared" si="2"/>
        <v>227,956</v>
      </c>
      <c r="D180" s="6">
        <f t="shared" si="3"/>
        <v>227.956</v>
      </c>
      <c r="E180" s="6">
        <f t="shared" si="4"/>
        <v>0.541</v>
      </c>
    </row>
    <row r="181">
      <c r="A181" s="4" t="s">
        <v>6701</v>
      </c>
      <c r="B181" s="6" t="str">
        <f t="shared" si="1"/>
        <v>228.290</v>
      </c>
      <c r="C181" s="6" t="str">
        <f t="shared" si="2"/>
        <v>228,290</v>
      </c>
      <c r="D181" s="6">
        <f t="shared" si="3"/>
        <v>228.29</v>
      </c>
      <c r="E181" s="6">
        <f t="shared" si="4"/>
        <v>0.334</v>
      </c>
    </row>
    <row r="182">
      <c r="A182" s="4" t="s">
        <v>6702</v>
      </c>
      <c r="B182" s="6" t="str">
        <f t="shared" si="1"/>
        <v>228.826</v>
      </c>
      <c r="C182" s="6" t="str">
        <f t="shared" si="2"/>
        <v>228,826</v>
      </c>
      <c r="D182" s="6">
        <f t="shared" si="3"/>
        <v>228.826</v>
      </c>
      <c r="E182" s="6">
        <f t="shared" si="4"/>
        <v>0.536</v>
      </c>
    </row>
    <row r="183">
      <c r="A183" s="4" t="s">
        <v>6703</v>
      </c>
      <c r="B183" s="6" t="str">
        <f t="shared" si="1"/>
        <v>229.475</v>
      </c>
      <c r="C183" s="6" t="str">
        <f t="shared" si="2"/>
        <v>229,475</v>
      </c>
      <c r="D183" s="6">
        <f t="shared" si="3"/>
        <v>229.475</v>
      </c>
      <c r="E183" s="6">
        <f t="shared" si="4"/>
        <v>0.649</v>
      </c>
    </row>
    <row r="184">
      <c r="A184" s="4" t="s">
        <v>6704</v>
      </c>
      <c r="B184" s="6" t="str">
        <f t="shared" si="1"/>
        <v>229.808</v>
      </c>
      <c r="C184" s="6" t="str">
        <f t="shared" si="2"/>
        <v>229,808</v>
      </c>
      <c r="D184" s="6">
        <f t="shared" si="3"/>
        <v>229.808</v>
      </c>
      <c r="E184" s="6">
        <f t="shared" si="4"/>
        <v>0.333</v>
      </c>
    </row>
    <row r="185">
      <c r="A185" s="4" t="s">
        <v>6705</v>
      </c>
      <c r="B185" s="6" t="str">
        <f t="shared" si="1"/>
        <v>230.348</v>
      </c>
      <c r="C185" s="6" t="str">
        <f t="shared" si="2"/>
        <v>230,348</v>
      </c>
      <c r="D185" s="6">
        <f t="shared" si="3"/>
        <v>230.348</v>
      </c>
      <c r="E185" s="6">
        <f t="shared" si="4"/>
        <v>0.54</v>
      </c>
    </row>
    <row r="186">
      <c r="A186" s="4" t="s">
        <v>6706</v>
      </c>
      <c r="B186" s="6" t="str">
        <f t="shared" si="1"/>
        <v>230.993</v>
      </c>
      <c r="C186" s="6" t="str">
        <f t="shared" si="2"/>
        <v>230,993</v>
      </c>
      <c r="D186" s="6">
        <f t="shared" si="3"/>
        <v>230.993</v>
      </c>
      <c r="E186" s="6">
        <f t="shared" si="4"/>
        <v>0.645</v>
      </c>
    </row>
    <row r="187">
      <c r="A187" s="4" t="s">
        <v>6707</v>
      </c>
      <c r="B187" s="6" t="str">
        <f t="shared" si="1"/>
        <v>231.325</v>
      </c>
      <c r="C187" s="6" t="str">
        <f t="shared" si="2"/>
        <v>231,325</v>
      </c>
      <c r="D187" s="6">
        <f t="shared" si="3"/>
        <v>231.325</v>
      </c>
      <c r="E187" s="6">
        <f t="shared" si="4"/>
        <v>0.332</v>
      </c>
    </row>
    <row r="188">
      <c r="A188" s="4" t="s">
        <v>6708</v>
      </c>
      <c r="B188" s="6" t="str">
        <f t="shared" si="1"/>
        <v>231.867</v>
      </c>
      <c r="C188" s="6" t="str">
        <f t="shared" si="2"/>
        <v>231,867</v>
      </c>
      <c r="D188" s="6">
        <f t="shared" si="3"/>
        <v>231.867</v>
      </c>
      <c r="E188" s="6">
        <f t="shared" si="4"/>
        <v>0.542</v>
      </c>
    </row>
    <row r="189">
      <c r="A189" s="4" t="s">
        <v>6709</v>
      </c>
      <c r="B189" s="6" t="str">
        <f t="shared" si="1"/>
        <v>232.512</v>
      </c>
      <c r="C189" s="6" t="str">
        <f t="shared" si="2"/>
        <v>232,512</v>
      </c>
      <c r="D189" s="6">
        <f t="shared" si="3"/>
        <v>232.512</v>
      </c>
      <c r="E189" s="6">
        <f t="shared" si="4"/>
        <v>0.645</v>
      </c>
    </row>
    <row r="190">
      <c r="A190" s="4" t="s">
        <v>6710</v>
      </c>
      <c r="B190" s="6" t="str">
        <f t="shared" si="1"/>
        <v>232.947</v>
      </c>
      <c r="C190" s="6" t="str">
        <f t="shared" si="2"/>
        <v>232,947</v>
      </c>
      <c r="D190" s="6">
        <f t="shared" si="3"/>
        <v>232.947</v>
      </c>
      <c r="E190" s="6">
        <f t="shared" si="4"/>
        <v>0.435</v>
      </c>
    </row>
    <row r="191">
      <c r="A191" s="4" t="s">
        <v>6711</v>
      </c>
      <c r="B191" s="6" t="str">
        <f t="shared" si="1"/>
        <v>233.492</v>
      </c>
      <c r="C191" s="6" t="str">
        <f t="shared" si="2"/>
        <v>233,492</v>
      </c>
      <c r="D191" s="6">
        <f t="shared" si="3"/>
        <v>233.492</v>
      </c>
      <c r="E191" s="6">
        <f t="shared" si="4"/>
        <v>0.545</v>
      </c>
    </row>
    <row r="192">
      <c r="A192" s="4" t="s">
        <v>6712</v>
      </c>
      <c r="B192" s="6" t="str">
        <f t="shared" si="1"/>
        <v>234.033</v>
      </c>
      <c r="C192" s="6" t="str">
        <f t="shared" si="2"/>
        <v>234,033</v>
      </c>
      <c r="D192" s="6">
        <f t="shared" si="3"/>
        <v>234.033</v>
      </c>
      <c r="E192" s="6">
        <f t="shared" si="4"/>
        <v>0.541</v>
      </c>
    </row>
    <row r="193">
      <c r="A193" s="4" t="s">
        <v>6713</v>
      </c>
      <c r="B193" s="6" t="str">
        <f t="shared" si="1"/>
        <v>234.359</v>
      </c>
      <c r="C193" s="6" t="str">
        <f t="shared" si="2"/>
        <v>234,359</v>
      </c>
      <c r="D193" s="6">
        <f t="shared" si="3"/>
        <v>234.359</v>
      </c>
      <c r="E193" s="6">
        <f t="shared" si="4"/>
        <v>0.326</v>
      </c>
    </row>
    <row r="194">
      <c r="A194" s="4" t="s">
        <v>6714</v>
      </c>
      <c r="B194" s="6" t="str">
        <f t="shared" si="1"/>
        <v>234.902</v>
      </c>
      <c r="C194" s="6" t="str">
        <f t="shared" si="2"/>
        <v>234,902</v>
      </c>
      <c r="D194" s="6">
        <f t="shared" si="3"/>
        <v>234.902</v>
      </c>
      <c r="E194" s="6">
        <f t="shared" si="4"/>
        <v>0.543</v>
      </c>
    </row>
    <row r="195">
      <c r="A195" s="4" t="s">
        <v>6715</v>
      </c>
      <c r="B195" s="6" t="str">
        <f t="shared" si="1"/>
        <v>235.552</v>
      </c>
      <c r="C195" s="6" t="str">
        <f t="shared" si="2"/>
        <v>235,552</v>
      </c>
      <c r="D195" s="6">
        <f t="shared" si="3"/>
        <v>235.552</v>
      </c>
      <c r="E195" s="6">
        <f t="shared" si="4"/>
        <v>0.65</v>
      </c>
    </row>
    <row r="196">
      <c r="A196" s="4" t="s">
        <v>6716</v>
      </c>
      <c r="B196" s="6" t="str">
        <f t="shared" si="1"/>
        <v>235.881</v>
      </c>
      <c r="C196" s="6" t="str">
        <f t="shared" si="2"/>
        <v>235,881</v>
      </c>
      <c r="D196" s="6">
        <f t="shared" si="3"/>
        <v>235.881</v>
      </c>
      <c r="E196" s="6">
        <f t="shared" si="4"/>
        <v>0.329</v>
      </c>
    </row>
    <row r="197">
      <c r="A197" s="4" t="s">
        <v>6717</v>
      </c>
      <c r="B197" s="6" t="str">
        <f t="shared" si="1"/>
        <v>236.425</v>
      </c>
      <c r="C197" s="6" t="str">
        <f t="shared" si="2"/>
        <v>236,425</v>
      </c>
      <c r="D197" s="6">
        <f t="shared" si="3"/>
        <v>236.425</v>
      </c>
      <c r="E197" s="6">
        <f t="shared" si="4"/>
        <v>0.544</v>
      </c>
    </row>
    <row r="198">
      <c r="A198" s="4" t="s">
        <v>6718</v>
      </c>
      <c r="B198" s="6" t="str">
        <f t="shared" si="1"/>
        <v>237.068</v>
      </c>
      <c r="C198" s="6" t="str">
        <f t="shared" si="2"/>
        <v>237,068</v>
      </c>
      <c r="D198" s="6">
        <f t="shared" si="3"/>
        <v>237.068</v>
      </c>
      <c r="E198" s="6">
        <f t="shared" si="4"/>
        <v>0.643</v>
      </c>
    </row>
    <row r="199">
      <c r="A199" s="4" t="s">
        <v>6719</v>
      </c>
      <c r="B199" s="6" t="str">
        <f t="shared" si="1"/>
        <v>237.396</v>
      </c>
      <c r="C199" s="6" t="str">
        <f t="shared" si="2"/>
        <v>237,396</v>
      </c>
      <c r="D199" s="6">
        <f t="shared" si="3"/>
        <v>237.396</v>
      </c>
      <c r="E199" s="6">
        <f t="shared" si="4"/>
        <v>0.328</v>
      </c>
    </row>
    <row r="200">
      <c r="A200" s="4" t="s">
        <v>6720</v>
      </c>
      <c r="B200" s="6" t="str">
        <f t="shared" si="1"/>
        <v>237.939</v>
      </c>
      <c r="C200" s="6" t="str">
        <f t="shared" si="2"/>
        <v>237,939</v>
      </c>
      <c r="D200" s="6">
        <f t="shared" si="3"/>
        <v>237.939</v>
      </c>
      <c r="E200" s="6">
        <f t="shared" si="4"/>
        <v>0.543</v>
      </c>
    </row>
    <row r="201">
      <c r="A201" s="4" t="s">
        <v>6721</v>
      </c>
      <c r="B201" s="6" t="str">
        <f t="shared" si="1"/>
        <v>238.587</v>
      </c>
      <c r="C201" s="6" t="str">
        <f t="shared" si="2"/>
        <v>238,587</v>
      </c>
      <c r="D201" s="6">
        <f t="shared" si="3"/>
        <v>238.587</v>
      </c>
      <c r="E201" s="6">
        <f t="shared" si="4"/>
        <v>0.648</v>
      </c>
    </row>
    <row r="202">
      <c r="A202" s="4" t="s">
        <v>6722</v>
      </c>
      <c r="B202" s="6" t="str">
        <f t="shared" si="1"/>
        <v>239.021</v>
      </c>
      <c r="C202" s="6" t="str">
        <f t="shared" si="2"/>
        <v>239,021</v>
      </c>
      <c r="D202" s="6">
        <f t="shared" si="3"/>
        <v>239.021</v>
      </c>
      <c r="E202" s="6">
        <f t="shared" si="4"/>
        <v>0.434</v>
      </c>
    </row>
    <row r="203">
      <c r="A203" s="4" t="s">
        <v>6723</v>
      </c>
      <c r="B203" s="6" t="str">
        <f t="shared" si="1"/>
        <v>239.459</v>
      </c>
      <c r="C203" s="6" t="str">
        <f t="shared" si="2"/>
        <v>239,459</v>
      </c>
      <c r="D203" s="6">
        <f t="shared" si="3"/>
        <v>239.459</v>
      </c>
      <c r="E203" s="6">
        <f t="shared" si="4"/>
        <v>0.438</v>
      </c>
    </row>
    <row r="204">
      <c r="A204" s="4" t="s">
        <v>6724</v>
      </c>
      <c r="B204" s="6" t="str">
        <f t="shared" si="1"/>
        <v>240.004</v>
      </c>
      <c r="C204" s="6" t="str">
        <f t="shared" si="2"/>
        <v>240,004</v>
      </c>
      <c r="D204" s="6">
        <f t="shared" si="3"/>
        <v>240.004</v>
      </c>
      <c r="E204" s="6">
        <f t="shared" si="4"/>
        <v>0.545</v>
      </c>
    </row>
    <row r="205">
      <c r="A205" s="4" t="s">
        <v>6725</v>
      </c>
      <c r="B205" s="6" t="str">
        <f t="shared" si="1"/>
        <v>240.545</v>
      </c>
      <c r="C205" s="6" t="str">
        <f t="shared" si="2"/>
        <v>240,545</v>
      </c>
      <c r="D205" s="6">
        <f t="shared" si="3"/>
        <v>240.545</v>
      </c>
      <c r="E205" s="6">
        <f t="shared" si="4"/>
        <v>0.541</v>
      </c>
    </row>
    <row r="206">
      <c r="A206" s="4" t="s">
        <v>6726</v>
      </c>
      <c r="B206" s="6" t="str">
        <f t="shared" si="1"/>
        <v>241.088</v>
      </c>
      <c r="C206" s="6" t="str">
        <f t="shared" si="2"/>
        <v>241,088</v>
      </c>
      <c r="D206" s="6">
        <f t="shared" si="3"/>
        <v>241.088</v>
      </c>
      <c r="E206" s="6">
        <f t="shared" si="4"/>
        <v>0.543</v>
      </c>
    </row>
    <row r="207">
      <c r="A207" s="4" t="s">
        <v>6727</v>
      </c>
      <c r="B207" s="6" t="str">
        <f t="shared" si="1"/>
        <v>241.630</v>
      </c>
      <c r="C207" s="6" t="str">
        <f t="shared" si="2"/>
        <v>241,630</v>
      </c>
      <c r="D207" s="6">
        <f t="shared" si="3"/>
        <v>241.63</v>
      </c>
      <c r="E207" s="6">
        <f t="shared" si="4"/>
        <v>0.542</v>
      </c>
    </row>
    <row r="208">
      <c r="A208" s="4" t="s">
        <v>6728</v>
      </c>
      <c r="B208" s="6" t="str">
        <f t="shared" si="1"/>
        <v>242.063</v>
      </c>
      <c r="C208" s="6" t="str">
        <f t="shared" si="2"/>
        <v>242,063</v>
      </c>
      <c r="D208" s="6">
        <f t="shared" si="3"/>
        <v>242.063</v>
      </c>
      <c r="E208" s="6">
        <f t="shared" si="4"/>
        <v>0.433</v>
      </c>
    </row>
    <row r="209">
      <c r="A209" s="4" t="s">
        <v>6729</v>
      </c>
      <c r="B209" s="6" t="str">
        <f t="shared" si="1"/>
        <v>242.619</v>
      </c>
      <c r="C209" s="6" t="str">
        <f t="shared" si="2"/>
        <v>242,619</v>
      </c>
      <c r="D209" s="6">
        <f t="shared" si="3"/>
        <v>242.619</v>
      </c>
      <c r="E209" s="6">
        <f t="shared" si="4"/>
        <v>0.556</v>
      </c>
    </row>
    <row r="210">
      <c r="A210" s="4" t="s">
        <v>6730</v>
      </c>
      <c r="B210" s="6" t="str">
        <f t="shared" si="1"/>
        <v>243.046</v>
      </c>
      <c r="C210" s="6" t="str">
        <f t="shared" si="2"/>
        <v>243,046</v>
      </c>
      <c r="D210" s="6">
        <f t="shared" si="3"/>
        <v>243.046</v>
      </c>
      <c r="E210" s="6">
        <f t="shared" si="4"/>
        <v>0.427</v>
      </c>
    </row>
    <row r="211">
      <c r="A211" s="4" t="s">
        <v>6731</v>
      </c>
      <c r="B211" s="6" t="str">
        <f t="shared" si="1"/>
        <v>243.479</v>
      </c>
      <c r="C211" s="6" t="str">
        <f t="shared" si="2"/>
        <v>243,479</v>
      </c>
      <c r="D211" s="6">
        <f t="shared" si="3"/>
        <v>243.479</v>
      </c>
      <c r="E211" s="6">
        <f t="shared" si="4"/>
        <v>0.433</v>
      </c>
    </row>
    <row r="212">
      <c r="A212" s="4" t="s">
        <v>6732</v>
      </c>
      <c r="B212" s="6" t="str">
        <f t="shared" si="1"/>
        <v>244.021</v>
      </c>
      <c r="C212" s="6" t="str">
        <f t="shared" si="2"/>
        <v>244,021</v>
      </c>
      <c r="D212" s="6">
        <f t="shared" si="3"/>
        <v>244.021</v>
      </c>
      <c r="E212" s="6">
        <f t="shared" si="4"/>
        <v>0.542</v>
      </c>
    </row>
    <row r="213">
      <c r="A213" s="4" t="s">
        <v>6733</v>
      </c>
      <c r="B213" s="6" t="str">
        <f t="shared" si="1"/>
        <v>244.666</v>
      </c>
      <c r="C213" s="6" t="str">
        <f t="shared" si="2"/>
        <v>244,666</v>
      </c>
      <c r="D213" s="6">
        <f t="shared" si="3"/>
        <v>244.666</v>
      </c>
      <c r="E213" s="6">
        <f t="shared" si="4"/>
        <v>0.645</v>
      </c>
    </row>
    <row r="214">
      <c r="A214" s="4" t="s">
        <v>6734</v>
      </c>
      <c r="B214" s="6" t="str">
        <f t="shared" si="1"/>
        <v>244.999</v>
      </c>
      <c r="C214" s="6" t="str">
        <f t="shared" si="2"/>
        <v>244,999</v>
      </c>
      <c r="D214" s="6">
        <f t="shared" si="3"/>
        <v>244.999</v>
      </c>
      <c r="E214" s="6">
        <f t="shared" si="4"/>
        <v>0.333</v>
      </c>
    </row>
    <row r="215">
      <c r="A215" s="4" t="s">
        <v>6735</v>
      </c>
      <c r="B215" s="6" t="str">
        <f t="shared" si="1"/>
        <v>245.539</v>
      </c>
      <c r="C215" s="6" t="str">
        <f t="shared" si="2"/>
        <v>245,539</v>
      </c>
      <c r="D215" s="6">
        <f t="shared" si="3"/>
        <v>245.539</v>
      </c>
      <c r="E215" s="6">
        <f t="shared" si="4"/>
        <v>0.54</v>
      </c>
    </row>
    <row r="216">
      <c r="A216" s="4" t="s">
        <v>6736</v>
      </c>
      <c r="B216" s="6" t="str">
        <f t="shared" si="1"/>
        <v>246.186</v>
      </c>
      <c r="C216" s="6" t="str">
        <f t="shared" si="2"/>
        <v>246,186</v>
      </c>
      <c r="D216" s="6">
        <f t="shared" si="3"/>
        <v>246.186</v>
      </c>
      <c r="E216" s="6">
        <f t="shared" si="4"/>
        <v>0.647</v>
      </c>
    </row>
    <row r="217">
      <c r="A217" s="4" t="s">
        <v>6737</v>
      </c>
      <c r="B217" s="6" t="str">
        <f t="shared" si="1"/>
        <v>246.619</v>
      </c>
      <c r="C217" s="6" t="str">
        <f t="shared" si="2"/>
        <v>246,619</v>
      </c>
      <c r="D217" s="6">
        <f t="shared" si="3"/>
        <v>246.619</v>
      </c>
      <c r="E217" s="6">
        <f t="shared" si="4"/>
        <v>0.433</v>
      </c>
    </row>
    <row r="218">
      <c r="A218" s="4" t="s">
        <v>6738</v>
      </c>
      <c r="B218" s="6" t="str">
        <f t="shared" si="1"/>
        <v>247.163</v>
      </c>
      <c r="C218" s="6" t="str">
        <f t="shared" si="2"/>
        <v>247,163</v>
      </c>
      <c r="D218" s="6">
        <f t="shared" si="3"/>
        <v>247.163</v>
      </c>
      <c r="E218" s="6">
        <f t="shared" si="4"/>
        <v>0.544</v>
      </c>
    </row>
    <row r="219">
      <c r="A219" s="4" t="s">
        <v>6739</v>
      </c>
      <c r="B219" s="6" t="str">
        <f t="shared" si="1"/>
        <v>247.593</v>
      </c>
      <c r="C219" s="6" t="str">
        <f t="shared" si="2"/>
        <v>247,593</v>
      </c>
      <c r="D219" s="6">
        <f t="shared" si="3"/>
        <v>247.593</v>
      </c>
      <c r="E219" s="6">
        <f t="shared" si="4"/>
        <v>0.43</v>
      </c>
    </row>
    <row r="220">
      <c r="A220" s="4" t="s">
        <v>6740</v>
      </c>
      <c r="B220" s="6" t="str">
        <f t="shared" si="1"/>
        <v>248.034</v>
      </c>
      <c r="C220" s="6" t="str">
        <f t="shared" si="2"/>
        <v>248,034</v>
      </c>
      <c r="D220" s="6">
        <f t="shared" si="3"/>
        <v>248.034</v>
      </c>
      <c r="E220" s="6">
        <f t="shared" si="4"/>
        <v>0.441</v>
      </c>
    </row>
    <row r="221">
      <c r="A221" s="4" t="s">
        <v>6741</v>
      </c>
      <c r="B221" s="6" t="str">
        <f t="shared" si="1"/>
        <v>248.575</v>
      </c>
      <c r="C221" s="6" t="str">
        <f t="shared" si="2"/>
        <v>248,575</v>
      </c>
      <c r="D221" s="6">
        <f t="shared" si="3"/>
        <v>248.575</v>
      </c>
      <c r="E221" s="6">
        <f t="shared" si="4"/>
        <v>0.541</v>
      </c>
    </row>
    <row r="222">
      <c r="A222" s="4" t="s">
        <v>6742</v>
      </c>
      <c r="B222" s="6" t="str">
        <f t="shared" si="1"/>
        <v>249.009</v>
      </c>
      <c r="C222" s="6" t="str">
        <f t="shared" si="2"/>
        <v>249,009</v>
      </c>
      <c r="D222" s="6">
        <f t="shared" si="3"/>
        <v>249.009</v>
      </c>
      <c r="E222" s="6">
        <f t="shared" si="4"/>
        <v>0.434</v>
      </c>
    </row>
    <row r="223">
      <c r="A223" s="4" t="s">
        <v>6743</v>
      </c>
      <c r="B223" s="6" t="str">
        <f t="shared" si="1"/>
        <v>249.553</v>
      </c>
      <c r="C223" s="6" t="str">
        <f t="shared" si="2"/>
        <v>249,553</v>
      </c>
      <c r="D223" s="6">
        <f t="shared" si="3"/>
        <v>249.553</v>
      </c>
      <c r="E223" s="6">
        <f t="shared" si="4"/>
        <v>0.544</v>
      </c>
    </row>
    <row r="224">
      <c r="A224" s="4" t="s">
        <v>6744</v>
      </c>
      <c r="B224" s="6" t="str">
        <f t="shared" si="1"/>
        <v>250.199</v>
      </c>
      <c r="C224" s="6" t="str">
        <f t="shared" si="2"/>
        <v>250,199</v>
      </c>
      <c r="D224" s="6">
        <f t="shared" si="3"/>
        <v>250.199</v>
      </c>
      <c r="E224" s="6">
        <f t="shared" si="4"/>
        <v>0.646</v>
      </c>
    </row>
    <row r="225">
      <c r="A225" s="4" t="s">
        <v>6745</v>
      </c>
      <c r="B225" s="6" t="str">
        <f t="shared" si="1"/>
        <v>250.631</v>
      </c>
      <c r="C225" s="6" t="str">
        <f t="shared" si="2"/>
        <v>250,631</v>
      </c>
      <c r="D225" s="6">
        <f t="shared" si="3"/>
        <v>250.631</v>
      </c>
      <c r="E225" s="6">
        <f t="shared" si="4"/>
        <v>0.432</v>
      </c>
    </row>
    <row r="226">
      <c r="A226" s="4" t="s">
        <v>6746</v>
      </c>
      <c r="B226" s="6" t="str">
        <f t="shared" si="1"/>
        <v>251.072</v>
      </c>
      <c r="C226" s="6" t="str">
        <f t="shared" si="2"/>
        <v>251,072</v>
      </c>
      <c r="D226" s="6">
        <f t="shared" si="3"/>
        <v>251.072</v>
      </c>
      <c r="E226" s="6">
        <f t="shared" si="4"/>
        <v>0.441</v>
      </c>
    </row>
    <row r="227">
      <c r="A227" s="4" t="s">
        <v>6747</v>
      </c>
      <c r="B227" s="6" t="str">
        <f t="shared" si="1"/>
        <v>251.611</v>
      </c>
      <c r="C227" s="6" t="str">
        <f t="shared" si="2"/>
        <v>251,611</v>
      </c>
      <c r="D227" s="6">
        <f t="shared" si="3"/>
        <v>251.611</v>
      </c>
      <c r="E227" s="6">
        <f t="shared" si="4"/>
        <v>0.539</v>
      </c>
    </row>
    <row r="228">
      <c r="A228" s="4" t="s">
        <v>6748</v>
      </c>
      <c r="B228" s="6" t="str">
        <f t="shared" si="1"/>
        <v>252.146</v>
      </c>
      <c r="C228" s="6" t="str">
        <f t="shared" si="2"/>
        <v>252,146</v>
      </c>
      <c r="D228" s="6">
        <f t="shared" si="3"/>
        <v>252.146</v>
      </c>
      <c r="E228" s="6">
        <f t="shared" si="4"/>
        <v>0.535</v>
      </c>
    </row>
    <row r="229">
      <c r="A229" s="4" t="s">
        <v>6749</v>
      </c>
      <c r="B229" s="6" t="str">
        <f t="shared" si="1"/>
        <v>252.688</v>
      </c>
      <c r="C229" s="6" t="str">
        <f t="shared" si="2"/>
        <v>252,688</v>
      </c>
      <c r="D229" s="6">
        <f t="shared" si="3"/>
        <v>252.688</v>
      </c>
      <c r="E229" s="6">
        <f t="shared" si="4"/>
        <v>0.542</v>
      </c>
    </row>
    <row r="230">
      <c r="A230" s="4" t="s">
        <v>6750</v>
      </c>
      <c r="B230" s="6" t="str">
        <f t="shared" si="1"/>
        <v>253.232</v>
      </c>
      <c r="C230" s="6" t="str">
        <f t="shared" si="2"/>
        <v>253,232</v>
      </c>
      <c r="D230" s="6">
        <f t="shared" si="3"/>
        <v>253.232</v>
      </c>
      <c r="E230" s="6">
        <f t="shared" si="4"/>
        <v>0.544</v>
      </c>
    </row>
    <row r="231">
      <c r="A231" s="4" t="s">
        <v>6751</v>
      </c>
      <c r="B231" s="6" t="str">
        <f t="shared" si="1"/>
        <v>253.667</v>
      </c>
      <c r="C231" s="6" t="str">
        <f t="shared" si="2"/>
        <v>253,667</v>
      </c>
      <c r="D231" s="6">
        <f t="shared" si="3"/>
        <v>253.667</v>
      </c>
      <c r="E231" s="6">
        <f t="shared" si="4"/>
        <v>0.435</v>
      </c>
    </row>
    <row r="232">
      <c r="A232" s="4" t="s">
        <v>6752</v>
      </c>
      <c r="B232" s="6" t="str">
        <f t="shared" si="1"/>
        <v>254.107</v>
      </c>
      <c r="C232" s="6" t="str">
        <f t="shared" si="2"/>
        <v>254,107</v>
      </c>
      <c r="D232" s="6">
        <f t="shared" si="3"/>
        <v>254.107</v>
      </c>
      <c r="E232" s="6">
        <f t="shared" si="4"/>
        <v>0.44</v>
      </c>
    </row>
    <row r="233">
      <c r="A233" s="4" t="s">
        <v>6753</v>
      </c>
      <c r="B233" s="6" t="str">
        <f t="shared" si="1"/>
        <v>254.648</v>
      </c>
      <c r="C233" s="6" t="str">
        <f t="shared" si="2"/>
        <v>254,648</v>
      </c>
      <c r="D233" s="6">
        <f t="shared" si="3"/>
        <v>254.648</v>
      </c>
      <c r="E233" s="6">
        <f t="shared" si="4"/>
        <v>0.541</v>
      </c>
    </row>
    <row r="234">
      <c r="A234" s="4" t="s">
        <v>6754</v>
      </c>
      <c r="B234" s="6" t="str">
        <f t="shared" si="1"/>
        <v>255.083</v>
      </c>
      <c r="C234" s="6" t="str">
        <f t="shared" si="2"/>
        <v>255,083</v>
      </c>
      <c r="D234" s="6">
        <f t="shared" si="3"/>
        <v>255.083</v>
      </c>
      <c r="E234" s="6">
        <f t="shared" si="4"/>
        <v>0.435</v>
      </c>
    </row>
    <row r="235">
      <c r="A235" s="4" t="s">
        <v>6755</v>
      </c>
      <c r="B235" s="6" t="str">
        <f t="shared" si="1"/>
        <v>255.625</v>
      </c>
      <c r="C235" s="6" t="str">
        <f t="shared" si="2"/>
        <v>255,625</v>
      </c>
      <c r="D235" s="6">
        <f t="shared" si="3"/>
        <v>255.625</v>
      </c>
      <c r="E235" s="6">
        <f t="shared" si="4"/>
        <v>0.542</v>
      </c>
    </row>
    <row r="236">
      <c r="A236" s="4" t="s">
        <v>6756</v>
      </c>
      <c r="B236" s="6" t="str">
        <f t="shared" si="1"/>
        <v>256.270</v>
      </c>
      <c r="C236" s="6" t="str">
        <f t="shared" si="2"/>
        <v>256,270</v>
      </c>
      <c r="D236" s="6">
        <f t="shared" si="3"/>
        <v>256.27</v>
      </c>
      <c r="E236" s="6">
        <f t="shared" si="4"/>
        <v>0.645</v>
      </c>
    </row>
    <row r="237">
      <c r="A237" s="4" t="s">
        <v>6757</v>
      </c>
      <c r="B237" s="6" t="str">
        <f t="shared" si="1"/>
        <v>256.705</v>
      </c>
      <c r="C237" s="6" t="str">
        <f t="shared" si="2"/>
        <v>256,705</v>
      </c>
      <c r="D237" s="6">
        <f t="shared" si="3"/>
        <v>256.705</v>
      </c>
      <c r="E237" s="6">
        <f t="shared" si="4"/>
        <v>0.435</v>
      </c>
    </row>
    <row r="238">
      <c r="A238" s="4" t="s">
        <v>6758</v>
      </c>
      <c r="B238" s="6" t="str">
        <f t="shared" si="1"/>
        <v>257.247</v>
      </c>
      <c r="C238" s="6" t="str">
        <f t="shared" si="2"/>
        <v>257,247</v>
      </c>
      <c r="D238" s="6">
        <f t="shared" si="3"/>
        <v>257.247</v>
      </c>
      <c r="E238" s="6">
        <f t="shared" si="4"/>
        <v>0.542</v>
      </c>
    </row>
    <row r="239">
      <c r="A239" s="4" t="s">
        <v>6759</v>
      </c>
      <c r="B239" s="6" t="str">
        <f t="shared" si="1"/>
        <v>257.686</v>
      </c>
      <c r="C239" s="6" t="str">
        <f t="shared" si="2"/>
        <v>257,686</v>
      </c>
      <c r="D239" s="6">
        <f t="shared" si="3"/>
        <v>257.686</v>
      </c>
      <c r="E239" s="6">
        <f t="shared" si="4"/>
        <v>0.439</v>
      </c>
    </row>
    <row r="240">
      <c r="A240" s="4" t="s">
        <v>6760</v>
      </c>
      <c r="B240" s="6" t="str">
        <f t="shared" si="1"/>
        <v>258.126</v>
      </c>
      <c r="C240" s="6" t="str">
        <f t="shared" si="2"/>
        <v>258,126</v>
      </c>
      <c r="D240" s="6">
        <f t="shared" si="3"/>
        <v>258.126</v>
      </c>
      <c r="E240" s="6">
        <f t="shared" si="4"/>
        <v>0.44</v>
      </c>
    </row>
    <row r="241">
      <c r="A241" s="4" t="s">
        <v>6761</v>
      </c>
      <c r="B241" s="6" t="str">
        <f t="shared" si="1"/>
        <v>258.660</v>
      </c>
      <c r="C241" s="6" t="str">
        <f t="shared" si="2"/>
        <v>258,660</v>
      </c>
      <c r="D241" s="6">
        <f t="shared" si="3"/>
        <v>258.66</v>
      </c>
      <c r="E241" s="6">
        <f t="shared" si="4"/>
        <v>0.534</v>
      </c>
    </row>
    <row r="242">
      <c r="A242" s="4" t="s">
        <v>6762</v>
      </c>
      <c r="B242" s="6" t="str">
        <f t="shared" si="1"/>
        <v>259.206</v>
      </c>
      <c r="C242" s="6" t="str">
        <f t="shared" si="2"/>
        <v>259,206</v>
      </c>
      <c r="D242" s="6">
        <f t="shared" si="3"/>
        <v>259.206</v>
      </c>
      <c r="E242" s="6">
        <f t="shared" si="4"/>
        <v>0.546</v>
      </c>
    </row>
    <row r="243">
      <c r="A243" s="4" t="s">
        <v>6763</v>
      </c>
      <c r="B243" s="6" t="str">
        <f t="shared" si="1"/>
        <v>259.640</v>
      </c>
      <c r="C243" s="6" t="str">
        <f t="shared" si="2"/>
        <v>259,640</v>
      </c>
      <c r="D243" s="6">
        <f t="shared" si="3"/>
        <v>259.64</v>
      </c>
      <c r="E243" s="6">
        <f t="shared" si="4"/>
        <v>0.434</v>
      </c>
    </row>
    <row r="244">
      <c r="A244" s="4" t="s">
        <v>6764</v>
      </c>
      <c r="B244" s="6" t="str">
        <f t="shared" si="1"/>
        <v>260.180</v>
      </c>
      <c r="C244" s="6" t="str">
        <f t="shared" si="2"/>
        <v>260,180</v>
      </c>
      <c r="D244" s="6">
        <f t="shared" si="3"/>
        <v>260.18</v>
      </c>
      <c r="E244" s="6">
        <f t="shared" si="4"/>
        <v>0.54</v>
      </c>
    </row>
    <row r="245">
      <c r="A245" s="4" t="s">
        <v>6765</v>
      </c>
      <c r="B245" s="6" t="str">
        <f t="shared" si="1"/>
        <v>260.823</v>
      </c>
      <c r="C245" s="6" t="str">
        <f t="shared" si="2"/>
        <v>260,823</v>
      </c>
      <c r="D245" s="6">
        <f t="shared" si="3"/>
        <v>260.823</v>
      </c>
      <c r="E245" s="6">
        <f t="shared" si="4"/>
        <v>0.643</v>
      </c>
    </row>
    <row r="246">
      <c r="A246" s="4" t="s">
        <v>6766</v>
      </c>
      <c r="B246" s="6" t="str">
        <f t="shared" si="1"/>
        <v>261.258</v>
      </c>
      <c r="C246" s="6" t="str">
        <f t="shared" si="2"/>
        <v>261,258</v>
      </c>
      <c r="D246" s="6">
        <f t="shared" si="3"/>
        <v>261.258</v>
      </c>
      <c r="E246" s="6">
        <f t="shared" si="4"/>
        <v>0.435</v>
      </c>
    </row>
    <row r="247">
      <c r="A247" s="4" t="s">
        <v>6767</v>
      </c>
      <c r="B247" s="6" t="str">
        <f t="shared" si="1"/>
        <v>261.696</v>
      </c>
      <c r="C247" s="6" t="str">
        <f t="shared" si="2"/>
        <v>261,696</v>
      </c>
      <c r="D247" s="6">
        <f t="shared" si="3"/>
        <v>261.696</v>
      </c>
      <c r="E247" s="6">
        <f t="shared" si="4"/>
        <v>0.438</v>
      </c>
    </row>
    <row r="248">
      <c r="A248" s="4" t="s">
        <v>6768</v>
      </c>
      <c r="B248" s="6" t="str">
        <f t="shared" si="1"/>
        <v>262.238</v>
      </c>
      <c r="C248" s="6" t="str">
        <f t="shared" si="2"/>
        <v>262,238</v>
      </c>
      <c r="D248" s="6">
        <f t="shared" si="3"/>
        <v>262.238</v>
      </c>
      <c r="E248" s="6">
        <f t="shared" si="4"/>
        <v>0.542</v>
      </c>
    </row>
    <row r="249">
      <c r="A249" s="4" t="s">
        <v>6769</v>
      </c>
      <c r="B249" s="6" t="str">
        <f t="shared" si="1"/>
        <v>262.673</v>
      </c>
      <c r="C249" s="6" t="str">
        <f t="shared" si="2"/>
        <v>262,673</v>
      </c>
      <c r="D249" s="6">
        <f t="shared" si="3"/>
        <v>262.673</v>
      </c>
      <c r="E249" s="6">
        <f t="shared" si="4"/>
        <v>0.435</v>
      </c>
    </row>
    <row r="250">
      <c r="A250" s="4" t="s">
        <v>6770</v>
      </c>
      <c r="B250" s="6" t="str">
        <f t="shared" si="1"/>
        <v>263.217</v>
      </c>
      <c r="C250" s="6" t="str">
        <f t="shared" si="2"/>
        <v>263,217</v>
      </c>
      <c r="D250" s="6">
        <f t="shared" si="3"/>
        <v>263.217</v>
      </c>
      <c r="E250" s="6">
        <f t="shared" si="4"/>
        <v>0.544</v>
      </c>
    </row>
    <row r="251">
      <c r="A251" s="4" t="s">
        <v>6771</v>
      </c>
      <c r="B251" s="6" t="str">
        <f t="shared" si="1"/>
        <v>263.764</v>
      </c>
      <c r="C251" s="6" t="str">
        <f t="shared" si="2"/>
        <v>263,764</v>
      </c>
      <c r="D251" s="6">
        <f t="shared" si="3"/>
        <v>263.764</v>
      </c>
      <c r="E251" s="6">
        <f t="shared" si="4"/>
        <v>0.547</v>
      </c>
    </row>
    <row r="252">
      <c r="A252" s="4" t="s">
        <v>6772</v>
      </c>
      <c r="B252" s="6" t="str">
        <f t="shared" si="1"/>
        <v>264.196</v>
      </c>
      <c r="C252" s="6" t="str">
        <f t="shared" si="2"/>
        <v>264,196</v>
      </c>
      <c r="D252" s="6">
        <f t="shared" si="3"/>
        <v>264.196</v>
      </c>
      <c r="E252" s="6">
        <f t="shared" si="4"/>
        <v>0.432</v>
      </c>
    </row>
    <row r="253">
      <c r="A253" s="4" t="s">
        <v>6773</v>
      </c>
      <c r="B253" s="6" t="str">
        <f t="shared" si="1"/>
        <v>264.740</v>
      </c>
      <c r="C253" s="6" t="str">
        <f t="shared" si="2"/>
        <v>264,740</v>
      </c>
      <c r="D253" s="6">
        <f t="shared" si="3"/>
        <v>264.74</v>
      </c>
      <c r="E253" s="6">
        <f t="shared" si="4"/>
        <v>0.544</v>
      </c>
    </row>
    <row r="254">
      <c r="A254" s="4" t="s">
        <v>6774</v>
      </c>
      <c r="B254" s="6" t="str">
        <f t="shared" si="1"/>
        <v>265.283</v>
      </c>
      <c r="C254" s="6" t="str">
        <f t="shared" si="2"/>
        <v>265,283</v>
      </c>
      <c r="D254" s="6">
        <f t="shared" si="3"/>
        <v>265.283</v>
      </c>
      <c r="E254" s="6">
        <f t="shared" si="4"/>
        <v>0.543</v>
      </c>
    </row>
    <row r="255">
      <c r="A255" s="4" t="s">
        <v>6775</v>
      </c>
      <c r="B255" s="6" t="str">
        <f t="shared" si="1"/>
        <v>265.818</v>
      </c>
      <c r="C255" s="6" t="str">
        <f t="shared" si="2"/>
        <v>265,818</v>
      </c>
      <c r="D255" s="6">
        <f t="shared" si="3"/>
        <v>265.818</v>
      </c>
      <c r="E255" s="6">
        <f t="shared" si="4"/>
        <v>0.535</v>
      </c>
    </row>
    <row r="256">
      <c r="A256" s="4" t="s">
        <v>6776</v>
      </c>
      <c r="B256" s="6" t="str">
        <f t="shared" si="1"/>
        <v>266.359</v>
      </c>
      <c r="C256" s="6" t="str">
        <f t="shared" si="2"/>
        <v>266,359</v>
      </c>
      <c r="D256" s="6">
        <f t="shared" si="3"/>
        <v>266.359</v>
      </c>
      <c r="E256" s="6">
        <f t="shared" si="4"/>
        <v>0.541</v>
      </c>
    </row>
    <row r="257">
      <c r="A257" s="4" t="s">
        <v>6777</v>
      </c>
      <c r="B257" s="6" t="str">
        <f t="shared" si="1"/>
        <v>266.798</v>
      </c>
      <c r="C257" s="6" t="str">
        <f t="shared" si="2"/>
        <v>266,798</v>
      </c>
      <c r="D257" s="6">
        <f t="shared" si="3"/>
        <v>266.798</v>
      </c>
      <c r="E257" s="6">
        <f t="shared" si="4"/>
        <v>0.439</v>
      </c>
    </row>
    <row r="258">
      <c r="A258" s="4" t="s">
        <v>6778</v>
      </c>
      <c r="B258" s="6" t="str">
        <f t="shared" si="1"/>
        <v>267.232</v>
      </c>
      <c r="C258" s="6" t="str">
        <f t="shared" si="2"/>
        <v>267,232</v>
      </c>
      <c r="D258" s="6">
        <f t="shared" si="3"/>
        <v>267.232</v>
      </c>
      <c r="E258" s="6">
        <f t="shared" si="4"/>
        <v>0.434</v>
      </c>
    </row>
    <row r="259">
      <c r="A259" s="4" t="s">
        <v>6779</v>
      </c>
      <c r="B259" s="6" t="str">
        <f t="shared" si="1"/>
        <v>267.774</v>
      </c>
      <c r="C259" s="6" t="str">
        <f t="shared" si="2"/>
        <v>267,774</v>
      </c>
      <c r="D259" s="6">
        <f t="shared" si="3"/>
        <v>267.774</v>
      </c>
      <c r="E259" s="6">
        <f t="shared" si="4"/>
        <v>0.542</v>
      </c>
    </row>
    <row r="260">
      <c r="A260" s="4" t="s">
        <v>6780</v>
      </c>
      <c r="B260" s="6" t="str">
        <f t="shared" si="1"/>
        <v>268.320</v>
      </c>
      <c r="C260" s="6" t="str">
        <f t="shared" si="2"/>
        <v>268,320</v>
      </c>
      <c r="D260" s="6">
        <f t="shared" si="3"/>
        <v>268.32</v>
      </c>
      <c r="E260" s="6">
        <f t="shared" si="4"/>
        <v>0.546</v>
      </c>
    </row>
    <row r="261">
      <c r="A261" s="4" t="s">
        <v>6781</v>
      </c>
      <c r="B261" s="6" t="str">
        <f t="shared" si="1"/>
        <v>268.752</v>
      </c>
      <c r="C261" s="6" t="str">
        <f t="shared" si="2"/>
        <v>268,752</v>
      </c>
      <c r="D261" s="6">
        <f t="shared" si="3"/>
        <v>268.752</v>
      </c>
      <c r="E261" s="6">
        <f t="shared" si="4"/>
        <v>0.432</v>
      </c>
    </row>
    <row r="262">
      <c r="A262" s="4" t="s">
        <v>6782</v>
      </c>
      <c r="B262" s="6" t="str">
        <f t="shared" si="1"/>
        <v>269.295</v>
      </c>
      <c r="C262" s="6" t="str">
        <f t="shared" si="2"/>
        <v>269,295</v>
      </c>
      <c r="D262" s="6">
        <f t="shared" si="3"/>
        <v>269.295</v>
      </c>
      <c r="E262" s="6">
        <f t="shared" si="4"/>
        <v>0.543</v>
      </c>
    </row>
    <row r="263">
      <c r="A263" s="4" t="s">
        <v>6783</v>
      </c>
      <c r="B263" s="6" t="str">
        <f t="shared" si="1"/>
        <v>269.941</v>
      </c>
      <c r="C263" s="6" t="str">
        <f t="shared" si="2"/>
        <v>269,941</v>
      </c>
      <c r="D263" s="6">
        <f t="shared" si="3"/>
        <v>269.941</v>
      </c>
      <c r="E263" s="6">
        <f t="shared" si="4"/>
        <v>0.646</v>
      </c>
    </row>
    <row r="264">
      <c r="A264" s="4" t="s">
        <v>6784</v>
      </c>
      <c r="B264" s="6" t="str">
        <f t="shared" si="1"/>
        <v>270.373</v>
      </c>
      <c r="C264" s="6" t="str">
        <f t="shared" si="2"/>
        <v>270,373</v>
      </c>
      <c r="D264" s="6">
        <f t="shared" si="3"/>
        <v>270.373</v>
      </c>
      <c r="E264" s="6">
        <f t="shared" si="4"/>
        <v>0.432</v>
      </c>
    </row>
    <row r="265">
      <c r="A265" s="4" t="s">
        <v>6785</v>
      </c>
      <c r="B265" s="6" t="str">
        <f t="shared" si="1"/>
        <v>270.916</v>
      </c>
      <c r="C265" s="6" t="str">
        <f t="shared" si="2"/>
        <v>270,916</v>
      </c>
      <c r="D265" s="6">
        <f t="shared" si="3"/>
        <v>270.916</v>
      </c>
      <c r="E265" s="6">
        <f t="shared" si="4"/>
        <v>0.543</v>
      </c>
    </row>
    <row r="266">
      <c r="A266" s="4" t="s">
        <v>6786</v>
      </c>
      <c r="B266" s="6" t="str">
        <f t="shared" si="1"/>
        <v>271.355</v>
      </c>
      <c r="C266" s="6" t="str">
        <f t="shared" si="2"/>
        <v>271,355</v>
      </c>
      <c r="D266" s="6">
        <f t="shared" si="3"/>
        <v>271.355</v>
      </c>
      <c r="E266" s="6">
        <f t="shared" si="4"/>
        <v>0.439</v>
      </c>
    </row>
    <row r="267">
      <c r="A267" s="4" t="s">
        <v>6787</v>
      </c>
      <c r="B267" s="6" t="str">
        <f t="shared" si="1"/>
        <v>271.891</v>
      </c>
      <c r="C267" s="6" t="str">
        <f t="shared" si="2"/>
        <v>271,891</v>
      </c>
      <c r="D267" s="6">
        <f t="shared" si="3"/>
        <v>271.891</v>
      </c>
      <c r="E267" s="6">
        <f t="shared" si="4"/>
        <v>0.536</v>
      </c>
    </row>
    <row r="268">
      <c r="A268" s="4" t="s">
        <v>6788</v>
      </c>
      <c r="B268" s="6" t="str">
        <f t="shared" si="1"/>
        <v>272.433</v>
      </c>
      <c r="C268" s="6" t="str">
        <f t="shared" si="2"/>
        <v>272,433</v>
      </c>
      <c r="D268" s="6">
        <f t="shared" si="3"/>
        <v>272.433</v>
      </c>
      <c r="E268" s="6">
        <f t="shared" si="4"/>
        <v>0.542</v>
      </c>
    </row>
    <row r="269">
      <c r="A269" s="4" t="s">
        <v>6789</v>
      </c>
      <c r="B269" s="6" t="str">
        <f t="shared" si="1"/>
        <v>272.865</v>
      </c>
      <c r="C269" s="6" t="str">
        <f t="shared" si="2"/>
        <v>272,865</v>
      </c>
      <c r="D269" s="6">
        <f t="shared" si="3"/>
        <v>272.865</v>
      </c>
      <c r="E269" s="6">
        <f t="shared" si="4"/>
        <v>0.432</v>
      </c>
    </row>
    <row r="270">
      <c r="A270" s="4" t="s">
        <v>6790</v>
      </c>
      <c r="B270" s="6" t="str">
        <f t="shared" si="1"/>
        <v>273.304</v>
      </c>
      <c r="C270" s="6" t="str">
        <f t="shared" si="2"/>
        <v>273,304</v>
      </c>
      <c r="D270" s="6">
        <f t="shared" si="3"/>
        <v>273.304</v>
      </c>
      <c r="E270" s="6">
        <f t="shared" si="4"/>
        <v>0.439</v>
      </c>
    </row>
    <row r="271">
      <c r="A271" s="4" t="s">
        <v>6791</v>
      </c>
      <c r="B271" s="6" t="str">
        <f t="shared" si="1"/>
        <v>273.845</v>
      </c>
      <c r="C271" s="6" t="str">
        <f t="shared" si="2"/>
        <v>273,845</v>
      </c>
      <c r="D271" s="6">
        <f t="shared" si="3"/>
        <v>273.845</v>
      </c>
      <c r="E271" s="6">
        <f t="shared" si="4"/>
        <v>0.541</v>
      </c>
    </row>
    <row r="272">
      <c r="A272" s="4" t="s">
        <v>6792</v>
      </c>
      <c r="B272" s="6" t="str">
        <f t="shared" si="1"/>
        <v>274.387</v>
      </c>
      <c r="C272" s="6" t="str">
        <f t="shared" si="2"/>
        <v>274,387</v>
      </c>
      <c r="D272" s="6">
        <f t="shared" si="3"/>
        <v>274.387</v>
      </c>
      <c r="E272" s="6">
        <f t="shared" si="4"/>
        <v>0.542</v>
      </c>
    </row>
    <row r="273">
      <c r="A273" s="4" t="s">
        <v>6793</v>
      </c>
      <c r="B273" s="6" t="str">
        <f t="shared" si="1"/>
        <v>274.929</v>
      </c>
      <c r="C273" s="6" t="str">
        <f t="shared" si="2"/>
        <v>274,929</v>
      </c>
      <c r="D273" s="6">
        <f t="shared" si="3"/>
        <v>274.929</v>
      </c>
      <c r="E273" s="6">
        <f t="shared" si="4"/>
        <v>0.542</v>
      </c>
    </row>
    <row r="274">
      <c r="A274" s="4" t="s">
        <v>6794</v>
      </c>
      <c r="B274" s="6" t="str">
        <f t="shared" si="1"/>
        <v>275.468</v>
      </c>
      <c r="C274" s="6" t="str">
        <f t="shared" si="2"/>
        <v>275,468</v>
      </c>
      <c r="D274" s="6">
        <f t="shared" si="3"/>
        <v>275.468</v>
      </c>
      <c r="E274" s="6">
        <f t="shared" si="4"/>
        <v>0.539</v>
      </c>
    </row>
    <row r="275">
      <c r="A275" s="4" t="s">
        <v>6795</v>
      </c>
      <c r="B275" s="6" t="str">
        <f t="shared" si="1"/>
        <v>275.800</v>
      </c>
      <c r="C275" s="6" t="str">
        <f t="shared" si="2"/>
        <v>275,800</v>
      </c>
      <c r="D275" s="6">
        <f t="shared" si="3"/>
        <v>275.8</v>
      </c>
      <c r="E275" s="6">
        <f t="shared" si="4"/>
        <v>0.332</v>
      </c>
    </row>
    <row r="276">
      <c r="A276" s="4" t="s">
        <v>6796</v>
      </c>
      <c r="B276" s="6" t="str">
        <f t="shared" si="1"/>
        <v>276.344</v>
      </c>
      <c r="C276" s="6" t="str">
        <f t="shared" si="2"/>
        <v>276,344</v>
      </c>
      <c r="D276" s="6">
        <f t="shared" si="3"/>
        <v>276.344</v>
      </c>
      <c r="E276" s="6">
        <f t="shared" si="4"/>
        <v>0.544</v>
      </c>
    </row>
    <row r="277">
      <c r="A277" s="4" t="s">
        <v>6797</v>
      </c>
      <c r="B277" s="6" t="str">
        <f t="shared" si="1"/>
        <v>276.989</v>
      </c>
      <c r="C277" s="6" t="str">
        <f t="shared" si="2"/>
        <v>276,989</v>
      </c>
      <c r="D277" s="6">
        <f t="shared" si="3"/>
        <v>276.989</v>
      </c>
      <c r="E277" s="6">
        <f t="shared" si="4"/>
        <v>0.645</v>
      </c>
    </row>
    <row r="278">
      <c r="A278" s="4" t="s">
        <v>6798</v>
      </c>
      <c r="B278" s="6" t="str">
        <f t="shared" si="1"/>
        <v>277.421</v>
      </c>
      <c r="C278" s="6" t="str">
        <f t="shared" si="2"/>
        <v>277,421</v>
      </c>
      <c r="D278" s="6">
        <f t="shared" si="3"/>
        <v>277.421</v>
      </c>
      <c r="E278" s="6">
        <f t="shared" si="4"/>
        <v>0.432</v>
      </c>
    </row>
    <row r="279">
      <c r="A279" s="4" t="s">
        <v>6799</v>
      </c>
      <c r="B279" s="6" t="str">
        <f t="shared" si="1"/>
        <v>277.862</v>
      </c>
      <c r="C279" s="6" t="str">
        <f t="shared" si="2"/>
        <v>277,862</v>
      </c>
      <c r="D279" s="6">
        <f t="shared" si="3"/>
        <v>277.862</v>
      </c>
      <c r="E279" s="6">
        <f t="shared" si="4"/>
        <v>0.441</v>
      </c>
    </row>
    <row r="280">
      <c r="A280" s="4" t="s">
        <v>6800</v>
      </c>
      <c r="B280" s="6" t="str">
        <f t="shared" si="1"/>
        <v>278.401</v>
      </c>
      <c r="C280" s="6" t="str">
        <f t="shared" si="2"/>
        <v>278,401</v>
      </c>
      <c r="D280" s="6">
        <f t="shared" si="3"/>
        <v>278.401</v>
      </c>
      <c r="E280" s="6">
        <f t="shared" si="4"/>
        <v>0.539</v>
      </c>
    </row>
    <row r="281">
      <c r="A281" s="4" t="s">
        <v>6801</v>
      </c>
      <c r="B281" s="6" t="str">
        <f t="shared" si="1"/>
        <v>278.836</v>
      </c>
      <c r="C281" s="6" t="str">
        <f t="shared" si="2"/>
        <v>278,836</v>
      </c>
      <c r="D281" s="6">
        <f t="shared" si="3"/>
        <v>278.836</v>
      </c>
      <c r="E281" s="6">
        <f t="shared" si="4"/>
        <v>0.435</v>
      </c>
    </row>
    <row r="282">
      <c r="A282" s="4" t="s">
        <v>6802</v>
      </c>
      <c r="B282" s="6" t="str">
        <f t="shared" si="1"/>
        <v>279.373</v>
      </c>
      <c r="C282" s="6" t="str">
        <f t="shared" si="2"/>
        <v>279,373</v>
      </c>
      <c r="D282" s="6">
        <f t="shared" si="3"/>
        <v>279.373</v>
      </c>
      <c r="E282" s="6">
        <f t="shared" si="4"/>
        <v>0.537</v>
      </c>
    </row>
    <row r="283">
      <c r="A283" s="4" t="s">
        <v>6803</v>
      </c>
      <c r="B283" s="6" t="str">
        <f t="shared" si="1"/>
        <v>279.922</v>
      </c>
      <c r="C283" s="6" t="str">
        <f t="shared" si="2"/>
        <v>279,922</v>
      </c>
      <c r="D283" s="6">
        <f t="shared" si="3"/>
        <v>279.922</v>
      </c>
      <c r="E283" s="6">
        <f t="shared" si="4"/>
        <v>0.549</v>
      </c>
    </row>
    <row r="284">
      <c r="A284" s="4" t="s">
        <v>6804</v>
      </c>
      <c r="B284" s="6" t="str">
        <f t="shared" si="1"/>
        <v>280.351</v>
      </c>
      <c r="C284" s="6" t="str">
        <f t="shared" si="2"/>
        <v>280,351</v>
      </c>
      <c r="D284" s="6">
        <f t="shared" si="3"/>
        <v>280.351</v>
      </c>
      <c r="E284" s="6">
        <f t="shared" si="4"/>
        <v>0.429</v>
      </c>
    </row>
    <row r="285">
      <c r="A285" s="4" t="s">
        <v>6805</v>
      </c>
      <c r="B285" s="6" t="str">
        <f t="shared" si="1"/>
        <v>280.895</v>
      </c>
      <c r="C285" s="6" t="str">
        <f t="shared" si="2"/>
        <v>280,895</v>
      </c>
      <c r="D285" s="6">
        <f t="shared" si="3"/>
        <v>280.895</v>
      </c>
      <c r="E285" s="6">
        <f t="shared" si="4"/>
        <v>0.544</v>
      </c>
    </row>
    <row r="286">
      <c r="A286" s="4" t="s">
        <v>6806</v>
      </c>
      <c r="B286" s="6" t="str">
        <f t="shared" si="1"/>
        <v>281.438</v>
      </c>
      <c r="C286" s="6" t="str">
        <f t="shared" si="2"/>
        <v>281,438</v>
      </c>
      <c r="D286" s="6">
        <f t="shared" si="3"/>
        <v>281.438</v>
      </c>
      <c r="E286" s="6">
        <f t="shared" si="4"/>
        <v>0.543</v>
      </c>
    </row>
    <row r="287">
      <c r="A287" s="4" t="s">
        <v>6807</v>
      </c>
      <c r="B287" s="6" t="str">
        <f t="shared" si="1"/>
        <v>281.873</v>
      </c>
      <c r="C287" s="6" t="str">
        <f t="shared" si="2"/>
        <v>281,873</v>
      </c>
      <c r="D287" s="6">
        <f t="shared" si="3"/>
        <v>281.873</v>
      </c>
      <c r="E287" s="6">
        <f t="shared" si="4"/>
        <v>0.435</v>
      </c>
    </row>
    <row r="288">
      <c r="A288" s="4" t="s">
        <v>6808</v>
      </c>
      <c r="B288" s="6" t="str">
        <f t="shared" si="1"/>
        <v>282.520</v>
      </c>
      <c r="C288" s="6" t="str">
        <f t="shared" si="2"/>
        <v>282,520</v>
      </c>
      <c r="D288" s="6">
        <f t="shared" si="3"/>
        <v>282.52</v>
      </c>
      <c r="E288" s="6">
        <f t="shared" si="4"/>
        <v>0.647</v>
      </c>
    </row>
    <row r="289">
      <c r="A289" s="4" t="s">
        <v>6809</v>
      </c>
      <c r="B289" s="6" t="str">
        <f t="shared" si="1"/>
        <v>282.957</v>
      </c>
      <c r="C289" s="6" t="str">
        <f t="shared" si="2"/>
        <v>282,957</v>
      </c>
      <c r="D289" s="6">
        <f t="shared" si="3"/>
        <v>282.957</v>
      </c>
      <c r="E289" s="6">
        <f t="shared" si="4"/>
        <v>0.437</v>
      </c>
    </row>
    <row r="290">
      <c r="A290" s="4" t="s">
        <v>6810</v>
      </c>
      <c r="B290" s="6" t="str">
        <f t="shared" si="1"/>
        <v>283.494</v>
      </c>
      <c r="C290" s="6" t="str">
        <f t="shared" si="2"/>
        <v>283,494</v>
      </c>
      <c r="D290" s="6">
        <f t="shared" si="3"/>
        <v>283.494</v>
      </c>
      <c r="E290" s="6">
        <f t="shared" si="4"/>
        <v>0.537</v>
      </c>
    </row>
    <row r="291">
      <c r="A291" s="4" t="s">
        <v>6811</v>
      </c>
      <c r="B291" s="6" t="str">
        <f t="shared" si="1"/>
        <v>283.932</v>
      </c>
      <c r="C291" s="6" t="str">
        <f t="shared" si="2"/>
        <v>283,932</v>
      </c>
      <c r="D291" s="6">
        <f t="shared" si="3"/>
        <v>283.932</v>
      </c>
      <c r="E291" s="6">
        <f t="shared" si="4"/>
        <v>0.438</v>
      </c>
    </row>
    <row r="292">
      <c r="A292" s="4" t="s">
        <v>6812</v>
      </c>
      <c r="B292" s="6" t="str">
        <f t="shared" si="1"/>
        <v>284.473</v>
      </c>
      <c r="C292" s="6" t="str">
        <f t="shared" si="2"/>
        <v>284,473</v>
      </c>
      <c r="D292" s="6">
        <f t="shared" si="3"/>
        <v>284.473</v>
      </c>
      <c r="E292" s="6">
        <f t="shared" si="4"/>
        <v>0.541</v>
      </c>
    </row>
    <row r="293">
      <c r="A293" s="4" t="s">
        <v>6813</v>
      </c>
      <c r="B293" s="6" t="str">
        <f t="shared" si="1"/>
        <v>285.009</v>
      </c>
      <c r="C293" s="6" t="str">
        <f t="shared" si="2"/>
        <v>285,009</v>
      </c>
      <c r="D293" s="6">
        <f t="shared" si="3"/>
        <v>285.009</v>
      </c>
      <c r="E293" s="6">
        <f t="shared" si="4"/>
        <v>0.536</v>
      </c>
    </row>
    <row r="294">
      <c r="A294" s="4" t="s">
        <v>6814</v>
      </c>
      <c r="B294" s="6" t="str">
        <f t="shared" si="1"/>
        <v>285.554</v>
      </c>
      <c r="C294" s="6" t="str">
        <f t="shared" si="2"/>
        <v>285,554</v>
      </c>
      <c r="D294" s="6">
        <f t="shared" si="3"/>
        <v>285.554</v>
      </c>
      <c r="E294" s="6">
        <f t="shared" si="4"/>
        <v>0.545</v>
      </c>
    </row>
    <row r="295">
      <c r="A295" s="4" t="s">
        <v>6815</v>
      </c>
      <c r="B295" s="6" t="str">
        <f t="shared" si="1"/>
        <v>285.993</v>
      </c>
      <c r="C295" s="6" t="str">
        <f t="shared" si="2"/>
        <v>285,993</v>
      </c>
      <c r="D295" s="6">
        <f t="shared" si="3"/>
        <v>285.993</v>
      </c>
      <c r="E295" s="6">
        <f t="shared" si="4"/>
        <v>0.439</v>
      </c>
    </row>
    <row r="296">
      <c r="A296" s="4" t="s">
        <v>6816</v>
      </c>
      <c r="B296" s="6" t="str">
        <f t="shared" si="1"/>
        <v>286.429</v>
      </c>
      <c r="C296" s="6" t="str">
        <f t="shared" si="2"/>
        <v>286,429</v>
      </c>
      <c r="D296" s="6">
        <f t="shared" si="3"/>
        <v>286.429</v>
      </c>
      <c r="E296" s="6">
        <f t="shared" si="4"/>
        <v>0.436</v>
      </c>
    </row>
    <row r="297">
      <c r="A297" s="4" t="s">
        <v>6817</v>
      </c>
      <c r="B297" s="6" t="str">
        <f t="shared" si="1"/>
        <v>286.974</v>
      </c>
      <c r="C297" s="6" t="str">
        <f t="shared" si="2"/>
        <v>286,974</v>
      </c>
      <c r="D297" s="6">
        <f t="shared" si="3"/>
        <v>286.974</v>
      </c>
      <c r="E297" s="6">
        <f t="shared" si="4"/>
        <v>0.545</v>
      </c>
    </row>
    <row r="298">
      <c r="A298" s="4" t="s">
        <v>6818</v>
      </c>
      <c r="B298" s="6" t="str">
        <f t="shared" si="1"/>
        <v>287.525</v>
      </c>
      <c r="C298" s="6" t="str">
        <f t="shared" si="2"/>
        <v>287,525</v>
      </c>
      <c r="D298" s="6">
        <f t="shared" si="3"/>
        <v>287.525</v>
      </c>
      <c r="E298" s="6">
        <f t="shared" si="4"/>
        <v>0.551</v>
      </c>
    </row>
    <row r="299">
      <c r="A299" s="4" t="s">
        <v>6819</v>
      </c>
      <c r="B299" s="6" t="str">
        <f t="shared" si="1"/>
        <v>287.951</v>
      </c>
      <c r="C299" s="6" t="str">
        <f t="shared" si="2"/>
        <v>287,951</v>
      </c>
      <c r="D299" s="6">
        <f t="shared" si="3"/>
        <v>287.951</v>
      </c>
      <c r="E299" s="6">
        <f t="shared" si="4"/>
        <v>0.426</v>
      </c>
    </row>
    <row r="300">
      <c r="A300" s="4" t="s">
        <v>6820</v>
      </c>
      <c r="B300" s="6" t="str">
        <f t="shared" si="1"/>
        <v>288.494</v>
      </c>
      <c r="C300" s="6" t="str">
        <f t="shared" si="2"/>
        <v>288,494</v>
      </c>
      <c r="D300" s="6">
        <f t="shared" si="3"/>
        <v>288.494</v>
      </c>
      <c r="E300" s="6">
        <f t="shared" si="4"/>
        <v>0.543</v>
      </c>
    </row>
    <row r="301">
      <c r="A301" s="4" t="s">
        <v>6821</v>
      </c>
      <c r="B301" s="6" t="str">
        <f t="shared" si="1"/>
        <v>289.028</v>
      </c>
      <c r="C301" s="6" t="str">
        <f t="shared" si="2"/>
        <v>289,028</v>
      </c>
      <c r="D301" s="6">
        <f t="shared" si="3"/>
        <v>289.028</v>
      </c>
      <c r="E301" s="6">
        <f t="shared" si="4"/>
        <v>0.534</v>
      </c>
    </row>
    <row r="302">
      <c r="A302" s="4" t="s">
        <v>6822</v>
      </c>
      <c r="B302" s="6" t="str">
        <f t="shared" si="1"/>
        <v>289.465</v>
      </c>
      <c r="C302" s="6" t="str">
        <f t="shared" si="2"/>
        <v>289,465</v>
      </c>
      <c r="D302" s="6">
        <f t="shared" si="3"/>
        <v>289.465</v>
      </c>
      <c r="E302" s="6">
        <f t="shared" si="4"/>
        <v>0.437</v>
      </c>
    </row>
    <row r="303">
      <c r="A303" s="4" t="s">
        <v>6823</v>
      </c>
      <c r="B303" s="6" t="str">
        <f t="shared" si="1"/>
        <v>290.005</v>
      </c>
      <c r="C303" s="6" t="str">
        <f t="shared" si="2"/>
        <v>290,005</v>
      </c>
      <c r="D303" s="6">
        <f t="shared" si="3"/>
        <v>290.005</v>
      </c>
      <c r="E303" s="6">
        <f t="shared" si="4"/>
        <v>0.54</v>
      </c>
    </row>
    <row r="304">
      <c r="A304" s="4" t="s">
        <v>6824</v>
      </c>
      <c r="B304" s="6" t="str">
        <f t="shared" si="1"/>
        <v>290.440</v>
      </c>
      <c r="C304" s="6" t="str">
        <f t="shared" si="2"/>
        <v>290,440</v>
      </c>
      <c r="D304" s="6">
        <f t="shared" si="3"/>
        <v>290.44</v>
      </c>
      <c r="E304" s="6">
        <f t="shared" si="4"/>
        <v>0.435</v>
      </c>
    </row>
    <row r="305">
      <c r="A305" s="4" t="s">
        <v>6825</v>
      </c>
      <c r="B305" s="6" t="str">
        <f t="shared" si="1"/>
        <v>290.982</v>
      </c>
      <c r="C305" s="6" t="str">
        <f t="shared" si="2"/>
        <v>290,982</v>
      </c>
      <c r="D305" s="6">
        <f t="shared" si="3"/>
        <v>290.982</v>
      </c>
      <c r="E305" s="6">
        <f t="shared" si="4"/>
        <v>0.542</v>
      </c>
    </row>
    <row r="306">
      <c r="A306" s="4" t="s">
        <v>6826</v>
      </c>
      <c r="B306" s="6" t="str">
        <f t="shared" si="1"/>
        <v>291.625</v>
      </c>
      <c r="C306" s="6" t="str">
        <f t="shared" si="2"/>
        <v>291,625</v>
      </c>
      <c r="D306" s="6">
        <f t="shared" si="3"/>
        <v>291.625</v>
      </c>
      <c r="E306" s="6">
        <f t="shared" si="4"/>
        <v>0.643</v>
      </c>
    </row>
    <row r="307">
      <c r="A307" s="4" t="s">
        <v>6827</v>
      </c>
      <c r="B307" s="6" t="str">
        <f t="shared" si="1"/>
        <v>292.061</v>
      </c>
      <c r="C307" s="6" t="str">
        <f t="shared" si="2"/>
        <v>292,061</v>
      </c>
      <c r="D307" s="6">
        <f t="shared" si="3"/>
        <v>292.061</v>
      </c>
      <c r="E307" s="6">
        <f t="shared" si="4"/>
        <v>0.436</v>
      </c>
    </row>
    <row r="308">
      <c r="A308" s="4" t="s">
        <v>6828</v>
      </c>
      <c r="B308" s="6" t="str">
        <f t="shared" si="1"/>
        <v>292.602</v>
      </c>
      <c r="C308" s="6" t="str">
        <f t="shared" si="2"/>
        <v>292,602</v>
      </c>
      <c r="D308" s="6">
        <f t="shared" si="3"/>
        <v>292.602</v>
      </c>
      <c r="E308" s="6">
        <f t="shared" si="4"/>
        <v>0.541</v>
      </c>
    </row>
    <row r="309">
      <c r="A309" s="4" t="s">
        <v>6829</v>
      </c>
      <c r="B309" s="6" t="str">
        <f t="shared" si="1"/>
        <v>293.042</v>
      </c>
      <c r="C309" s="6" t="str">
        <f t="shared" si="2"/>
        <v>293,042</v>
      </c>
      <c r="D309" s="6">
        <f t="shared" si="3"/>
        <v>293.042</v>
      </c>
      <c r="E309" s="6">
        <f t="shared" si="4"/>
        <v>0.44</v>
      </c>
    </row>
    <row r="310">
      <c r="A310" s="4" t="s">
        <v>6830</v>
      </c>
      <c r="B310" s="6" t="str">
        <f t="shared" si="1"/>
        <v>293.574</v>
      </c>
      <c r="C310" s="6" t="str">
        <f t="shared" si="2"/>
        <v>293,574</v>
      </c>
      <c r="D310" s="6">
        <f t="shared" si="3"/>
        <v>293.574</v>
      </c>
      <c r="E310" s="6">
        <f t="shared" si="4"/>
        <v>0.532</v>
      </c>
    </row>
    <row r="311">
      <c r="A311" s="4" t="s">
        <v>6831</v>
      </c>
      <c r="B311" s="6" t="str">
        <f t="shared" si="1"/>
        <v>294.012</v>
      </c>
      <c r="C311" s="6" t="str">
        <f t="shared" si="2"/>
        <v>294,012</v>
      </c>
      <c r="D311" s="6">
        <f t="shared" si="3"/>
        <v>294.012</v>
      </c>
      <c r="E311" s="6">
        <f t="shared" si="4"/>
        <v>0.438</v>
      </c>
    </row>
    <row r="312">
      <c r="A312" s="4" t="s">
        <v>6832</v>
      </c>
      <c r="B312" s="6" t="str">
        <f t="shared" si="1"/>
        <v>294.552</v>
      </c>
      <c r="C312" s="6" t="str">
        <f t="shared" si="2"/>
        <v>294,552</v>
      </c>
      <c r="D312" s="6">
        <f t="shared" si="3"/>
        <v>294.552</v>
      </c>
      <c r="E312" s="6">
        <f t="shared" si="4"/>
        <v>0.54</v>
      </c>
    </row>
    <row r="313">
      <c r="A313" s="4" t="s">
        <v>6833</v>
      </c>
      <c r="B313" s="6" t="str">
        <f t="shared" si="1"/>
        <v>295.093</v>
      </c>
      <c r="C313" s="6" t="str">
        <f t="shared" si="2"/>
        <v>295,093</v>
      </c>
      <c r="D313" s="6">
        <f t="shared" si="3"/>
        <v>295.093</v>
      </c>
      <c r="E313" s="6">
        <f t="shared" si="4"/>
        <v>0.541</v>
      </c>
    </row>
    <row r="314">
      <c r="A314" s="4" t="s">
        <v>6834</v>
      </c>
      <c r="B314" s="6" t="str">
        <f t="shared" si="1"/>
        <v>295.540</v>
      </c>
      <c r="C314" s="6" t="str">
        <f t="shared" si="2"/>
        <v>295,540</v>
      </c>
      <c r="D314" s="6">
        <f t="shared" si="3"/>
        <v>295.54</v>
      </c>
      <c r="E314" s="6">
        <f t="shared" si="4"/>
        <v>0.447</v>
      </c>
    </row>
    <row r="315">
      <c r="A315" s="4" t="s">
        <v>6835</v>
      </c>
      <c r="B315" s="6" t="str">
        <f t="shared" si="1"/>
        <v>296.084</v>
      </c>
      <c r="C315" s="6" t="str">
        <f t="shared" si="2"/>
        <v>296,084</v>
      </c>
      <c r="D315" s="6">
        <f t="shared" si="3"/>
        <v>296.084</v>
      </c>
      <c r="E315" s="6">
        <f t="shared" si="4"/>
        <v>0.544</v>
      </c>
    </row>
    <row r="316">
      <c r="A316" s="4" t="s">
        <v>6836</v>
      </c>
      <c r="B316" s="6" t="str">
        <f t="shared" si="1"/>
        <v>296.507</v>
      </c>
      <c r="C316" s="6" t="str">
        <f t="shared" si="2"/>
        <v>296,507</v>
      </c>
      <c r="D316" s="6">
        <f t="shared" si="3"/>
        <v>296.507</v>
      </c>
      <c r="E316" s="6">
        <f t="shared" si="4"/>
        <v>0.423</v>
      </c>
    </row>
    <row r="317">
      <c r="A317" s="4" t="s">
        <v>6837</v>
      </c>
      <c r="B317" s="6" t="str">
        <f t="shared" si="1"/>
        <v>297.050</v>
      </c>
      <c r="C317" s="6" t="str">
        <f t="shared" si="2"/>
        <v>297,050</v>
      </c>
      <c r="D317" s="6">
        <f t="shared" si="3"/>
        <v>297.05</v>
      </c>
      <c r="E317" s="6">
        <f t="shared" si="4"/>
        <v>0.543</v>
      </c>
    </row>
    <row r="318">
      <c r="A318" s="4" t="s">
        <v>6838</v>
      </c>
      <c r="B318" s="6" t="str">
        <f t="shared" si="1"/>
        <v>297.696</v>
      </c>
      <c r="C318" s="6" t="str">
        <f t="shared" si="2"/>
        <v>297,696</v>
      </c>
      <c r="D318" s="6">
        <f t="shared" si="3"/>
        <v>297.696</v>
      </c>
      <c r="E318" s="6">
        <f t="shared" si="4"/>
        <v>0.646</v>
      </c>
    </row>
    <row r="319">
      <c r="A319" s="4" t="s">
        <v>6839</v>
      </c>
      <c r="B319" s="6" t="str">
        <f t="shared" si="1"/>
        <v>298.029</v>
      </c>
      <c r="C319" s="6" t="str">
        <f t="shared" si="2"/>
        <v>298,029</v>
      </c>
      <c r="D319" s="6">
        <f t="shared" si="3"/>
        <v>298.029</v>
      </c>
      <c r="E319" s="6">
        <f t="shared" si="4"/>
        <v>0.333</v>
      </c>
    </row>
    <row r="320">
      <c r="A320" s="4" t="s">
        <v>6840</v>
      </c>
      <c r="B320" s="6" t="str">
        <f t="shared" si="1"/>
        <v>298.573</v>
      </c>
      <c r="C320" s="6" t="str">
        <f t="shared" si="2"/>
        <v>298,573</v>
      </c>
      <c r="D320" s="6">
        <f t="shared" si="3"/>
        <v>298.573</v>
      </c>
      <c r="E320" s="6">
        <f t="shared" si="4"/>
        <v>0.544</v>
      </c>
    </row>
    <row r="321">
      <c r="A321" s="4" t="s">
        <v>6841</v>
      </c>
      <c r="B321" s="6" t="str">
        <f t="shared" si="1"/>
        <v>299.119</v>
      </c>
      <c r="C321" s="6" t="str">
        <f t="shared" si="2"/>
        <v>299,119</v>
      </c>
      <c r="D321" s="6">
        <f t="shared" si="3"/>
        <v>299.119</v>
      </c>
      <c r="E321" s="6">
        <f t="shared" si="4"/>
        <v>0.546</v>
      </c>
    </row>
    <row r="322">
      <c r="A322" s="4" t="s">
        <v>6842</v>
      </c>
      <c r="B322" s="6" t="str">
        <f t="shared" si="1"/>
        <v>299.550</v>
      </c>
      <c r="C322" s="6" t="str">
        <f t="shared" si="2"/>
        <v>299,550</v>
      </c>
      <c r="D322" s="6">
        <f t="shared" si="3"/>
        <v>299.55</v>
      </c>
      <c r="E322" s="6">
        <f t="shared" si="4"/>
        <v>0.431</v>
      </c>
    </row>
    <row r="323">
      <c r="A323" s="4" t="s">
        <v>6843</v>
      </c>
      <c r="B323" s="6" t="str">
        <f t="shared" si="1"/>
        <v>300.093</v>
      </c>
      <c r="C323" s="6" t="str">
        <f t="shared" si="2"/>
        <v>300,093</v>
      </c>
      <c r="D323" s="6">
        <f t="shared" si="3"/>
        <v>300.093</v>
      </c>
      <c r="E323" s="6">
        <f t="shared" si="4"/>
        <v>0.543</v>
      </c>
    </row>
    <row r="324">
      <c r="A324" s="4" t="s">
        <v>6844</v>
      </c>
      <c r="B324" s="6" t="str">
        <f t="shared" si="1"/>
        <v>300.529</v>
      </c>
      <c r="C324" s="6" t="str">
        <f t="shared" si="2"/>
        <v>300,529</v>
      </c>
      <c r="D324" s="6">
        <f t="shared" si="3"/>
        <v>300.529</v>
      </c>
      <c r="E324" s="6">
        <f t="shared" si="4"/>
        <v>0.436</v>
      </c>
    </row>
    <row r="325">
      <c r="A325" s="4" t="s">
        <v>6845</v>
      </c>
      <c r="B325" s="6" t="str">
        <f t="shared" si="1"/>
        <v>301.069</v>
      </c>
      <c r="C325" s="6" t="str">
        <f t="shared" si="2"/>
        <v>301,069</v>
      </c>
      <c r="D325" s="6">
        <f t="shared" si="3"/>
        <v>301.069</v>
      </c>
      <c r="E325" s="6">
        <f t="shared" si="4"/>
        <v>0.54</v>
      </c>
    </row>
    <row r="326">
      <c r="A326" s="4" t="s">
        <v>6846</v>
      </c>
      <c r="B326" s="6" t="str">
        <f t="shared" si="1"/>
        <v>301.718</v>
      </c>
      <c r="C326" s="6" t="str">
        <f t="shared" si="2"/>
        <v>301,718</v>
      </c>
      <c r="D326" s="6">
        <f t="shared" si="3"/>
        <v>301.718</v>
      </c>
      <c r="E326" s="6">
        <f t="shared" si="4"/>
        <v>0.649</v>
      </c>
    </row>
    <row r="327">
      <c r="A327" s="4" t="s">
        <v>6847</v>
      </c>
      <c r="B327" s="6" t="str">
        <f t="shared" si="1"/>
        <v>302.152</v>
      </c>
      <c r="C327" s="6" t="str">
        <f t="shared" si="2"/>
        <v>302,152</v>
      </c>
      <c r="D327" s="6">
        <f t="shared" si="3"/>
        <v>302.152</v>
      </c>
      <c r="E327" s="6">
        <f t="shared" si="4"/>
        <v>0.434</v>
      </c>
    </row>
    <row r="328">
      <c r="A328" s="4" t="s">
        <v>6848</v>
      </c>
      <c r="B328" s="6" t="str">
        <f t="shared" si="1"/>
        <v>302.591</v>
      </c>
      <c r="C328" s="6" t="str">
        <f t="shared" si="2"/>
        <v>302,591</v>
      </c>
      <c r="D328" s="6">
        <f t="shared" si="3"/>
        <v>302.591</v>
      </c>
      <c r="E328" s="6">
        <f t="shared" si="4"/>
        <v>0.439</v>
      </c>
    </row>
    <row r="329">
      <c r="A329" s="4" t="s">
        <v>6849</v>
      </c>
      <c r="B329" s="6" t="str">
        <f t="shared" si="1"/>
        <v>303.134</v>
      </c>
      <c r="C329" s="6" t="str">
        <f t="shared" si="2"/>
        <v>303,134</v>
      </c>
      <c r="D329" s="6">
        <f t="shared" si="3"/>
        <v>303.134</v>
      </c>
      <c r="E329" s="6">
        <f t="shared" si="4"/>
        <v>0.543</v>
      </c>
    </row>
    <row r="330">
      <c r="A330" s="4" t="s">
        <v>6850</v>
      </c>
      <c r="B330" s="6" t="str">
        <f t="shared" si="1"/>
        <v>303.568</v>
      </c>
      <c r="C330" s="6" t="str">
        <f t="shared" si="2"/>
        <v>303,568</v>
      </c>
      <c r="D330" s="6">
        <f t="shared" si="3"/>
        <v>303.568</v>
      </c>
      <c r="E330" s="6">
        <f t="shared" si="4"/>
        <v>0.434</v>
      </c>
    </row>
    <row r="331">
      <c r="A331" s="4" t="s">
        <v>6851</v>
      </c>
      <c r="B331" s="6" t="str">
        <f t="shared" si="1"/>
        <v>304.113</v>
      </c>
      <c r="C331" s="6" t="str">
        <f t="shared" si="2"/>
        <v>304,113</v>
      </c>
      <c r="D331" s="6">
        <f t="shared" si="3"/>
        <v>304.113</v>
      </c>
      <c r="E331" s="6">
        <f t="shared" si="4"/>
        <v>0.545</v>
      </c>
    </row>
    <row r="332">
      <c r="A332" s="4" t="s">
        <v>6852</v>
      </c>
      <c r="B332" s="6" t="str">
        <f t="shared" si="1"/>
        <v>304.760</v>
      </c>
      <c r="C332" s="6" t="str">
        <f t="shared" si="2"/>
        <v>304,760</v>
      </c>
      <c r="D332" s="6">
        <f t="shared" si="3"/>
        <v>304.76</v>
      </c>
      <c r="E332" s="6">
        <f t="shared" si="4"/>
        <v>0.647</v>
      </c>
    </row>
    <row r="333">
      <c r="A333" s="4" t="s">
        <v>6853</v>
      </c>
      <c r="B333" s="6" t="str">
        <f t="shared" si="1"/>
        <v>305.087</v>
      </c>
      <c r="C333" s="6" t="str">
        <f t="shared" si="2"/>
        <v>305,087</v>
      </c>
      <c r="D333" s="6">
        <f t="shared" si="3"/>
        <v>305.087</v>
      </c>
      <c r="E333" s="6">
        <f t="shared" si="4"/>
        <v>0.327</v>
      </c>
    </row>
    <row r="334">
      <c r="A334" s="4" t="s">
        <v>6854</v>
      </c>
      <c r="B334" s="6" t="str">
        <f t="shared" si="1"/>
        <v>305.635</v>
      </c>
      <c r="C334" s="6" t="str">
        <f t="shared" si="2"/>
        <v>305,635</v>
      </c>
      <c r="D334" s="6">
        <f t="shared" si="3"/>
        <v>305.635</v>
      </c>
      <c r="E334" s="6">
        <f t="shared" si="4"/>
        <v>0.548</v>
      </c>
    </row>
    <row r="335">
      <c r="A335" s="4" t="s">
        <v>6855</v>
      </c>
      <c r="B335" s="6" t="str">
        <f t="shared" si="1"/>
        <v>306.280</v>
      </c>
      <c r="C335" s="6" t="str">
        <f t="shared" si="2"/>
        <v>306,280</v>
      </c>
      <c r="D335" s="6">
        <f t="shared" si="3"/>
        <v>306.28</v>
      </c>
      <c r="E335" s="6">
        <f t="shared" si="4"/>
        <v>0.645</v>
      </c>
    </row>
    <row r="336">
      <c r="A336" s="4" t="s">
        <v>6856</v>
      </c>
      <c r="B336" s="6" t="str">
        <f t="shared" si="1"/>
        <v>306.714</v>
      </c>
      <c r="C336" s="6" t="str">
        <f t="shared" si="2"/>
        <v>306,714</v>
      </c>
      <c r="D336" s="6">
        <f t="shared" si="3"/>
        <v>306.714</v>
      </c>
      <c r="E336" s="6">
        <f t="shared" si="4"/>
        <v>0.434</v>
      </c>
    </row>
    <row r="337">
      <c r="A337" s="4" t="s">
        <v>6857</v>
      </c>
      <c r="B337" s="6" t="str">
        <f t="shared" si="1"/>
        <v>307.275</v>
      </c>
      <c r="C337" s="6" t="str">
        <f t="shared" si="2"/>
        <v>307,275</v>
      </c>
      <c r="D337" s="6">
        <f t="shared" si="3"/>
        <v>307.275</v>
      </c>
      <c r="E337" s="6">
        <f t="shared" si="4"/>
        <v>0.561</v>
      </c>
    </row>
    <row r="338">
      <c r="A338" s="4" t="s">
        <v>6858</v>
      </c>
      <c r="B338" s="6" t="str">
        <f t="shared" si="1"/>
        <v>307.806</v>
      </c>
      <c r="C338" s="6" t="str">
        <f t="shared" si="2"/>
        <v>307,806</v>
      </c>
      <c r="D338" s="6">
        <f t="shared" si="3"/>
        <v>307.806</v>
      </c>
      <c r="E338" s="6">
        <f t="shared" si="4"/>
        <v>0.531</v>
      </c>
    </row>
    <row r="339">
      <c r="A339" s="4" t="s">
        <v>6859</v>
      </c>
      <c r="B339" s="6" t="str">
        <f t="shared" si="1"/>
        <v>308.136</v>
      </c>
      <c r="C339" s="6" t="str">
        <f t="shared" si="2"/>
        <v>308,136</v>
      </c>
      <c r="D339" s="6">
        <f t="shared" si="3"/>
        <v>308.136</v>
      </c>
      <c r="E339" s="6">
        <f t="shared" si="4"/>
        <v>0.33</v>
      </c>
    </row>
    <row r="340">
      <c r="A340" s="4" t="s">
        <v>6860</v>
      </c>
      <c r="B340" s="6" t="str">
        <f t="shared" si="1"/>
        <v>308.678</v>
      </c>
      <c r="C340" s="6" t="str">
        <f t="shared" si="2"/>
        <v>308,678</v>
      </c>
      <c r="D340" s="6">
        <f t="shared" si="3"/>
        <v>308.678</v>
      </c>
      <c r="E340" s="6">
        <f t="shared" si="4"/>
        <v>0.542</v>
      </c>
    </row>
    <row r="341">
      <c r="A341" s="4" t="s">
        <v>6861</v>
      </c>
      <c r="B341" s="6" t="str">
        <f t="shared" si="1"/>
        <v>309.225</v>
      </c>
      <c r="C341" s="6" t="str">
        <f t="shared" si="2"/>
        <v>309,225</v>
      </c>
      <c r="D341" s="6">
        <f t="shared" si="3"/>
        <v>309.225</v>
      </c>
      <c r="E341" s="6">
        <f t="shared" si="4"/>
        <v>0.547</v>
      </c>
    </row>
    <row r="342">
      <c r="A342" s="4" t="s">
        <v>6862</v>
      </c>
      <c r="B342" s="6" t="str">
        <f t="shared" si="1"/>
        <v>309.665</v>
      </c>
      <c r="C342" s="6" t="str">
        <f t="shared" si="2"/>
        <v>309,665</v>
      </c>
      <c r="D342" s="6">
        <f t="shared" si="3"/>
        <v>309.665</v>
      </c>
      <c r="E342" s="6">
        <f t="shared" si="4"/>
        <v>0.44</v>
      </c>
    </row>
    <row r="343">
      <c r="A343" s="4" t="s">
        <v>6863</v>
      </c>
      <c r="B343" s="6" t="str">
        <f t="shared" si="1"/>
        <v>310.201</v>
      </c>
      <c r="C343" s="6" t="str">
        <f t="shared" si="2"/>
        <v>310,201</v>
      </c>
      <c r="D343" s="6">
        <f t="shared" si="3"/>
        <v>310.201</v>
      </c>
      <c r="E343" s="6">
        <f t="shared" si="4"/>
        <v>0.536</v>
      </c>
    </row>
    <row r="344">
      <c r="A344" s="4" t="s">
        <v>6864</v>
      </c>
      <c r="B344" s="6" t="str">
        <f t="shared" si="1"/>
        <v>310.747</v>
      </c>
      <c r="C344" s="6" t="str">
        <f t="shared" si="2"/>
        <v>310,747</v>
      </c>
      <c r="D344" s="6">
        <f t="shared" si="3"/>
        <v>310.747</v>
      </c>
      <c r="E344" s="6">
        <f t="shared" si="4"/>
        <v>0.546</v>
      </c>
    </row>
    <row r="345">
      <c r="A345" s="4" t="s">
        <v>6865</v>
      </c>
      <c r="B345" s="6" t="str">
        <f t="shared" si="1"/>
        <v>311.180</v>
      </c>
      <c r="C345" s="6" t="str">
        <f t="shared" si="2"/>
        <v>311,180</v>
      </c>
      <c r="D345" s="6">
        <f t="shared" si="3"/>
        <v>311.18</v>
      </c>
      <c r="E345" s="6">
        <f t="shared" si="4"/>
        <v>0.433</v>
      </c>
    </row>
    <row r="346">
      <c r="A346" s="4" t="s">
        <v>6866</v>
      </c>
      <c r="B346" s="6" t="str">
        <f t="shared" si="1"/>
        <v>311.721</v>
      </c>
      <c r="C346" s="6" t="str">
        <f t="shared" si="2"/>
        <v>311,721</v>
      </c>
      <c r="D346" s="6">
        <f t="shared" si="3"/>
        <v>311.721</v>
      </c>
      <c r="E346" s="6">
        <f t="shared" si="4"/>
        <v>0.541</v>
      </c>
    </row>
    <row r="347">
      <c r="A347" s="4" t="s">
        <v>6867</v>
      </c>
      <c r="B347" s="6" t="str">
        <f t="shared" si="1"/>
        <v>312.266</v>
      </c>
      <c r="C347" s="6" t="str">
        <f t="shared" si="2"/>
        <v>312,266</v>
      </c>
      <c r="D347" s="6">
        <f t="shared" si="3"/>
        <v>312.266</v>
      </c>
      <c r="E347" s="6">
        <f t="shared" si="4"/>
        <v>0.545</v>
      </c>
    </row>
    <row r="348">
      <c r="A348" s="4" t="s">
        <v>6868</v>
      </c>
      <c r="B348" s="6" t="str">
        <f t="shared" si="1"/>
        <v>312.801</v>
      </c>
      <c r="C348" s="6" t="str">
        <f t="shared" si="2"/>
        <v>312,801</v>
      </c>
      <c r="D348" s="6">
        <f t="shared" si="3"/>
        <v>312.801</v>
      </c>
      <c r="E348" s="6">
        <f t="shared" si="4"/>
        <v>0.535</v>
      </c>
    </row>
    <row r="349">
      <c r="A349" s="4" t="s">
        <v>6869</v>
      </c>
      <c r="B349" s="6" t="str">
        <f t="shared" si="1"/>
        <v>313.240</v>
      </c>
      <c r="C349" s="6" t="str">
        <f t="shared" si="2"/>
        <v>313,240</v>
      </c>
      <c r="D349" s="6">
        <f t="shared" si="3"/>
        <v>313.24</v>
      </c>
      <c r="E349" s="6">
        <f t="shared" si="4"/>
        <v>0.439</v>
      </c>
    </row>
    <row r="350">
      <c r="A350" s="4" t="s">
        <v>6870</v>
      </c>
      <c r="B350" s="6" t="str">
        <f t="shared" si="1"/>
        <v>313.785</v>
      </c>
      <c r="C350" s="6" t="str">
        <f t="shared" si="2"/>
        <v>313,785</v>
      </c>
      <c r="D350" s="6">
        <f t="shared" si="3"/>
        <v>313.785</v>
      </c>
      <c r="E350" s="6">
        <f t="shared" si="4"/>
        <v>0.545</v>
      </c>
    </row>
    <row r="351">
      <c r="A351" s="4" t="s">
        <v>6871</v>
      </c>
      <c r="B351" s="6" t="str">
        <f t="shared" si="1"/>
        <v>314.221</v>
      </c>
      <c r="C351" s="6" t="str">
        <f t="shared" si="2"/>
        <v>314,221</v>
      </c>
      <c r="D351" s="6">
        <f t="shared" si="3"/>
        <v>314.221</v>
      </c>
      <c r="E351" s="6">
        <f t="shared" si="4"/>
        <v>0.436</v>
      </c>
    </row>
    <row r="352">
      <c r="A352" s="4" t="s">
        <v>6872</v>
      </c>
      <c r="B352" s="6" t="str">
        <f t="shared" si="1"/>
        <v>314.765</v>
      </c>
      <c r="C352" s="6" t="str">
        <f t="shared" si="2"/>
        <v>314,765</v>
      </c>
      <c r="D352" s="6">
        <f t="shared" si="3"/>
        <v>314.765</v>
      </c>
      <c r="E352" s="6">
        <f t="shared" si="4"/>
        <v>0.544</v>
      </c>
    </row>
    <row r="353">
      <c r="A353" s="4" t="s">
        <v>6873</v>
      </c>
      <c r="B353" s="6" t="str">
        <f t="shared" si="1"/>
        <v>315.200</v>
      </c>
      <c r="C353" s="6" t="str">
        <f t="shared" si="2"/>
        <v>315,200</v>
      </c>
      <c r="D353" s="6">
        <f t="shared" si="3"/>
        <v>315.2</v>
      </c>
      <c r="E353" s="6">
        <f t="shared" si="4"/>
        <v>0.435</v>
      </c>
    </row>
    <row r="354">
      <c r="A354" s="4" t="s">
        <v>6874</v>
      </c>
      <c r="B354" s="6" t="str">
        <f t="shared" si="1"/>
        <v>315.739</v>
      </c>
      <c r="C354" s="6" t="str">
        <f t="shared" si="2"/>
        <v>315,739</v>
      </c>
      <c r="D354" s="6">
        <f t="shared" si="3"/>
        <v>315.739</v>
      </c>
      <c r="E354" s="6">
        <f t="shared" si="4"/>
        <v>0.539</v>
      </c>
    </row>
    <row r="355">
      <c r="A355" s="4" t="s">
        <v>6875</v>
      </c>
      <c r="B355" s="6" t="str">
        <f t="shared" si="1"/>
        <v>316.286</v>
      </c>
      <c r="C355" s="6" t="str">
        <f t="shared" si="2"/>
        <v>316,286</v>
      </c>
      <c r="D355" s="6">
        <f t="shared" si="3"/>
        <v>316.286</v>
      </c>
      <c r="E355" s="6">
        <f t="shared" si="4"/>
        <v>0.547</v>
      </c>
    </row>
    <row r="356">
      <c r="A356" s="4" t="s">
        <v>6876</v>
      </c>
      <c r="B356" s="6" t="str">
        <f t="shared" si="1"/>
        <v>316.722</v>
      </c>
      <c r="C356" s="6" t="str">
        <f t="shared" si="2"/>
        <v>316,722</v>
      </c>
      <c r="D356" s="6">
        <f t="shared" si="3"/>
        <v>316.722</v>
      </c>
      <c r="E356" s="6">
        <f t="shared" si="4"/>
        <v>0.436</v>
      </c>
    </row>
    <row r="357">
      <c r="A357" s="4" t="s">
        <v>6877</v>
      </c>
      <c r="B357" s="6" t="str">
        <f t="shared" si="1"/>
        <v>317.269</v>
      </c>
      <c r="C357" s="6" t="str">
        <f t="shared" si="2"/>
        <v>317,269</v>
      </c>
      <c r="D357" s="6">
        <f t="shared" si="3"/>
        <v>317.269</v>
      </c>
      <c r="E357" s="6">
        <f t="shared" si="4"/>
        <v>0.547</v>
      </c>
    </row>
    <row r="358">
      <c r="A358" s="4" t="s">
        <v>6878</v>
      </c>
      <c r="B358" s="6" t="str">
        <f t="shared" si="1"/>
        <v>317.813</v>
      </c>
      <c r="C358" s="6" t="str">
        <f t="shared" si="2"/>
        <v>317,813</v>
      </c>
      <c r="D358" s="6">
        <f t="shared" si="3"/>
        <v>317.813</v>
      </c>
      <c r="E358" s="6">
        <f t="shared" si="4"/>
        <v>0.544</v>
      </c>
    </row>
    <row r="359">
      <c r="A359" s="4" t="s">
        <v>6879</v>
      </c>
      <c r="B359" s="6" t="str">
        <f t="shared" si="1"/>
        <v>318.247</v>
      </c>
      <c r="C359" s="6" t="str">
        <f t="shared" si="2"/>
        <v>318,247</v>
      </c>
      <c r="D359" s="6">
        <f t="shared" si="3"/>
        <v>318.247</v>
      </c>
      <c r="E359" s="6">
        <f t="shared" si="4"/>
        <v>0.434</v>
      </c>
    </row>
    <row r="360">
      <c r="A360" s="4" t="s">
        <v>6880</v>
      </c>
      <c r="B360" s="6" t="str">
        <f t="shared" si="1"/>
        <v>318.788</v>
      </c>
      <c r="C360" s="6" t="str">
        <f t="shared" si="2"/>
        <v>318,788</v>
      </c>
      <c r="D360" s="6">
        <f t="shared" si="3"/>
        <v>318.788</v>
      </c>
      <c r="E360" s="6">
        <f t="shared" si="4"/>
        <v>0.541</v>
      </c>
    </row>
    <row r="361">
      <c r="A361" s="4" t="s">
        <v>6881</v>
      </c>
      <c r="B361" s="6" t="str">
        <f t="shared" si="1"/>
        <v>319.333</v>
      </c>
      <c r="C361" s="6" t="str">
        <f t="shared" si="2"/>
        <v>319,333</v>
      </c>
      <c r="D361" s="6">
        <f t="shared" si="3"/>
        <v>319.333</v>
      </c>
      <c r="E361" s="6">
        <f t="shared" si="4"/>
        <v>0.545</v>
      </c>
    </row>
    <row r="362">
      <c r="A362" s="4" t="s">
        <v>6882</v>
      </c>
      <c r="B362" s="6" t="str">
        <f t="shared" si="1"/>
        <v>319.863</v>
      </c>
      <c r="C362" s="6" t="str">
        <f t="shared" si="2"/>
        <v>319,863</v>
      </c>
      <c r="D362" s="6">
        <f t="shared" si="3"/>
        <v>319.863</v>
      </c>
      <c r="E362" s="6">
        <f t="shared" si="4"/>
        <v>0.53</v>
      </c>
    </row>
    <row r="363">
      <c r="A363" s="4" t="s">
        <v>6883</v>
      </c>
      <c r="B363" s="6" t="str">
        <f t="shared" si="1"/>
        <v>320.304</v>
      </c>
      <c r="C363" s="6" t="str">
        <f t="shared" si="2"/>
        <v>320,304</v>
      </c>
      <c r="D363" s="6">
        <f t="shared" si="3"/>
        <v>320.304</v>
      </c>
      <c r="E363" s="6">
        <f t="shared" si="4"/>
        <v>0.441</v>
      </c>
    </row>
    <row r="364">
      <c r="A364" s="4" t="s">
        <v>6884</v>
      </c>
      <c r="B364" s="6" t="str">
        <f t="shared" si="1"/>
        <v>320.846</v>
      </c>
      <c r="C364" s="6" t="str">
        <f t="shared" si="2"/>
        <v>320,846</v>
      </c>
      <c r="D364" s="6">
        <f t="shared" si="3"/>
        <v>320.846</v>
      </c>
      <c r="E364" s="6">
        <f t="shared" si="4"/>
        <v>0.542</v>
      </c>
    </row>
    <row r="365">
      <c r="A365" s="4" t="s">
        <v>6885</v>
      </c>
      <c r="B365" s="6" t="str">
        <f t="shared" si="1"/>
        <v>321.280</v>
      </c>
      <c r="C365" s="6" t="str">
        <f t="shared" si="2"/>
        <v>321,280</v>
      </c>
      <c r="D365" s="6">
        <f t="shared" si="3"/>
        <v>321.28</v>
      </c>
      <c r="E365" s="6">
        <f t="shared" si="4"/>
        <v>0.434</v>
      </c>
    </row>
    <row r="366">
      <c r="A366" s="4" t="s">
        <v>6886</v>
      </c>
      <c r="B366" s="6" t="str">
        <f t="shared" si="1"/>
        <v>321.825</v>
      </c>
      <c r="C366" s="6" t="str">
        <f t="shared" si="2"/>
        <v>321,825</v>
      </c>
      <c r="D366" s="6">
        <f t="shared" si="3"/>
        <v>321.825</v>
      </c>
      <c r="E366" s="6">
        <f t="shared" si="4"/>
        <v>0.545</v>
      </c>
    </row>
    <row r="367">
      <c r="A367" s="4" t="s">
        <v>6887</v>
      </c>
      <c r="B367" s="6" t="str">
        <f t="shared" si="1"/>
        <v>322.366</v>
      </c>
      <c r="C367" s="6" t="str">
        <f t="shared" si="2"/>
        <v>322,366</v>
      </c>
      <c r="D367" s="6">
        <f t="shared" si="3"/>
        <v>322.366</v>
      </c>
      <c r="E367" s="6">
        <f t="shared" si="4"/>
        <v>0.541</v>
      </c>
    </row>
    <row r="368">
      <c r="A368" s="4" t="s">
        <v>6888</v>
      </c>
      <c r="B368" s="6" t="str">
        <f t="shared" si="1"/>
        <v>322.800</v>
      </c>
      <c r="C368" s="6" t="str">
        <f t="shared" si="2"/>
        <v>322,800</v>
      </c>
      <c r="D368" s="6">
        <f t="shared" si="3"/>
        <v>322.8</v>
      </c>
      <c r="E368" s="6">
        <f t="shared" si="4"/>
        <v>0.434</v>
      </c>
    </row>
    <row r="369">
      <c r="A369" s="4" t="s">
        <v>6889</v>
      </c>
      <c r="B369" s="6" t="str">
        <f t="shared" si="1"/>
        <v>323.341</v>
      </c>
      <c r="C369" s="6" t="str">
        <f t="shared" si="2"/>
        <v>323,341</v>
      </c>
      <c r="D369" s="6">
        <f t="shared" si="3"/>
        <v>323.341</v>
      </c>
      <c r="E369" s="6">
        <f t="shared" si="4"/>
        <v>0.541</v>
      </c>
    </row>
    <row r="370">
      <c r="A370" s="4" t="s">
        <v>6890</v>
      </c>
      <c r="B370" s="6" t="str">
        <f t="shared" si="1"/>
        <v>323.888</v>
      </c>
      <c r="C370" s="6" t="str">
        <f t="shared" si="2"/>
        <v>323,888</v>
      </c>
      <c r="D370" s="6">
        <f t="shared" si="3"/>
        <v>323.888</v>
      </c>
      <c r="E370" s="6">
        <f t="shared" si="4"/>
        <v>0.547</v>
      </c>
    </row>
    <row r="371">
      <c r="A371" s="4" t="s">
        <v>6891</v>
      </c>
      <c r="B371" s="6" t="str">
        <f t="shared" si="1"/>
        <v>324.422</v>
      </c>
      <c r="C371" s="6" t="str">
        <f t="shared" si="2"/>
        <v>324,422</v>
      </c>
      <c r="D371" s="6">
        <f t="shared" si="3"/>
        <v>324.422</v>
      </c>
      <c r="E371" s="6">
        <f t="shared" si="4"/>
        <v>0.534</v>
      </c>
    </row>
    <row r="372">
      <c r="A372" s="4" t="s">
        <v>6892</v>
      </c>
      <c r="B372" s="6" t="str">
        <f t="shared" si="1"/>
        <v>324.861</v>
      </c>
      <c r="C372" s="6" t="str">
        <f t="shared" si="2"/>
        <v>324,861</v>
      </c>
      <c r="D372" s="6">
        <f t="shared" si="3"/>
        <v>324.861</v>
      </c>
      <c r="E372" s="6">
        <f t="shared" si="4"/>
        <v>0.439</v>
      </c>
    </row>
    <row r="373">
      <c r="A373" s="4" t="s">
        <v>6893</v>
      </c>
      <c r="B373" s="6" t="str">
        <f t="shared" si="1"/>
        <v>325.410</v>
      </c>
      <c r="C373" s="6" t="str">
        <f t="shared" si="2"/>
        <v>325,410</v>
      </c>
      <c r="D373" s="6">
        <f t="shared" si="3"/>
        <v>325.41</v>
      </c>
      <c r="E373" s="6">
        <f t="shared" si="4"/>
        <v>0.549</v>
      </c>
    </row>
    <row r="374">
      <c r="A374" s="4" t="s">
        <v>6894</v>
      </c>
      <c r="B374" s="6" t="str">
        <f t="shared" si="1"/>
        <v>327.099</v>
      </c>
      <c r="C374" s="6" t="str">
        <f t="shared" si="2"/>
        <v>327,099</v>
      </c>
      <c r="D374" s="6">
        <f t="shared" si="3"/>
        <v>327.099</v>
      </c>
      <c r="E374" s="6">
        <f t="shared" si="4"/>
        <v>1.689</v>
      </c>
    </row>
    <row r="375">
      <c r="A375" s="4" t="s">
        <v>6895</v>
      </c>
      <c r="B375" s="6" t="str">
        <f t="shared" si="1"/>
        <v>327.336</v>
      </c>
      <c r="C375" s="6" t="str">
        <f t="shared" si="2"/>
        <v>327,336</v>
      </c>
      <c r="D375" s="6">
        <f t="shared" si="3"/>
        <v>327.336</v>
      </c>
      <c r="E375" s="6">
        <f t="shared" si="4"/>
        <v>0.237</v>
      </c>
    </row>
    <row r="376">
      <c r="A376" s="4" t="s">
        <v>6896</v>
      </c>
      <c r="B376" s="6" t="str">
        <f t="shared" si="1"/>
        <v>327.685</v>
      </c>
      <c r="C376" s="6" t="str">
        <f t="shared" si="2"/>
        <v>327,685</v>
      </c>
      <c r="D376" s="6">
        <f t="shared" si="3"/>
        <v>327.685</v>
      </c>
      <c r="E376" s="6">
        <f t="shared" si="4"/>
        <v>0.349</v>
      </c>
    </row>
    <row r="377">
      <c r="A377" s="4" t="s">
        <v>6897</v>
      </c>
      <c r="B377" s="6" t="str">
        <f t="shared" si="1"/>
        <v>328.121</v>
      </c>
      <c r="C377" s="6" t="str">
        <f t="shared" si="2"/>
        <v>328,121</v>
      </c>
      <c r="D377" s="6">
        <f t="shared" si="3"/>
        <v>328.121</v>
      </c>
      <c r="E377" s="6">
        <f t="shared" si="4"/>
        <v>0.436</v>
      </c>
    </row>
    <row r="378">
      <c r="A378" s="4" t="s">
        <v>6898</v>
      </c>
      <c r="B378" s="6" t="str">
        <f t="shared" si="1"/>
        <v>328.661</v>
      </c>
      <c r="C378" s="6" t="str">
        <f t="shared" si="2"/>
        <v>328,661</v>
      </c>
      <c r="D378" s="6">
        <f t="shared" si="3"/>
        <v>328.661</v>
      </c>
      <c r="E378" s="6">
        <f t="shared" si="4"/>
        <v>0.54</v>
      </c>
    </row>
    <row r="379">
      <c r="A379" s="4" t="s">
        <v>6899</v>
      </c>
      <c r="B379" s="6" t="str">
        <f t="shared" si="1"/>
        <v>329.209</v>
      </c>
      <c r="C379" s="6" t="str">
        <f t="shared" si="2"/>
        <v>329,209</v>
      </c>
      <c r="D379" s="6">
        <f t="shared" si="3"/>
        <v>329.209</v>
      </c>
      <c r="E379" s="6">
        <f t="shared" si="4"/>
        <v>0.548</v>
      </c>
    </row>
    <row r="380">
      <c r="A380" s="4" t="s">
        <v>6900</v>
      </c>
      <c r="B380" s="6" t="str">
        <f t="shared" si="1"/>
        <v>329.644</v>
      </c>
      <c r="C380" s="6" t="str">
        <f t="shared" si="2"/>
        <v>329,644</v>
      </c>
      <c r="D380" s="6">
        <f t="shared" si="3"/>
        <v>329.644</v>
      </c>
      <c r="E380" s="6">
        <f t="shared" si="4"/>
        <v>0.435</v>
      </c>
    </row>
    <row r="381">
      <c r="A381" s="4" t="s">
        <v>6901</v>
      </c>
      <c r="B381" s="6" t="str">
        <f t="shared" si="1"/>
        <v>330.185</v>
      </c>
      <c r="C381" s="6" t="str">
        <f t="shared" si="2"/>
        <v>330,185</v>
      </c>
      <c r="D381" s="6">
        <f t="shared" si="3"/>
        <v>330.185</v>
      </c>
      <c r="E381" s="6">
        <f t="shared" si="4"/>
        <v>0.541</v>
      </c>
    </row>
    <row r="382">
      <c r="A382" s="4" t="s">
        <v>6902</v>
      </c>
      <c r="B382" s="6" t="str">
        <f t="shared" si="1"/>
        <v>330.727</v>
      </c>
      <c r="C382" s="6" t="str">
        <f t="shared" si="2"/>
        <v>330,727</v>
      </c>
      <c r="D382" s="6">
        <f t="shared" si="3"/>
        <v>330.727</v>
      </c>
      <c r="E382" s="6">
        <f t="shared" si="4"/>
        <v>0.542</v>
      </c>
    </row>
    <row r="383">
      <c r="A383" s="4" t="s">
        <v>6903</v>
      </c>
      <c r="B383" s="6" t="str">
        <f t="shared" si="1"/>
        <v>331.161</v>
      </c>
      <c r="C383" s="6" t="str">
        <f t="shared" si="2"/>
        <v>331,161</v>
      </c>
      <c r="D383" s="6">
        <f t="shared" si="3"/>
        <v>331.161</v>
      </c>
      <c r="E383" s="6">
        <f t="shared" si="4"/>
        <v>0.434</v>
      </c>
    </row>
    <row r="384">
      <c r="A384" s="4" t="s">
        <v>6904</v>
      </c>
      <c r="B384" s="6" t="str">
        <f t="shared" si="1"/>
        <v>331.707</v>
      </c>
      <c r="C384" s="6" t="str">
        <f t="shared" si="2"/>
        <v>331,707</v>
      </c>
      <c r="D384" s="6">
        <f t="shared" si="3"/>
        <v>331.707</v>
      </c>
      <c r="E384" s="6">
        <f t="shared" si="4"/>
        <v>0.546</v>
      </c>
    </row>
    <row r="385">
      <c r="A385" s="4" t="s">
        <v>6905</v>
      </c>
      <c r="B385" s="6" t="str">
        <f t="shared" si="1"/>
        <v>332.255</v>
      </c>
      <c r="C385" s="6" t="str">
        <f t="shared" si="2"/>
        <v>332,255</v>
      </c>
      <c r="D385" s="6">
        <f t="shared" si="3"/>
        <v>332.255</v>
      </c>
      <c r="E385" s="6">
        <f t="shared" si="4"/>
        <v>0.548</v>
      </c>
    </row>
    <row r="386">
      <c r="A386" s="4" t="s">
        <v>6906</v>
      </c>
      <c r="B386" s="6" t="str">
        <f t="shared" si="1"/>
        <v>332.686</v>
      </c>
      <c r="C386" s="6" t="str">
        <f t="shared" si="2"/>
        <v>332,686</v>
      </c>
      <c r="D386" s="6">
        <f t="shared" si="3"/>
        <v>332.686</v>
      </c>
      <c r="E386" s="6">
        <f t="shared" si="4"/>
        <v>0.431</v>
      </c>
    </row>
    <row r="387">
      <c r="A387" s="4" t="s">
        <v>6907</v>
      </c>
      <c r="B387" s="6" t="str">
        <f t="shared" si="1"/>
        <v>333.228</v>
      </c>
      <c r="C387" s="6" t="str">
        <f t="shared" si="2"/>
        <v>333,228</v>
      </c>
      <c r="D387" s="6">
        <f t="shared" si="3"/>
        <v>333.228</v>
      </c>
      <c r="E387" s="6">
        <f t="shared" si="4"/>
        <v>0.542</v>
      </c>
    </row>
    <row r="388">
      <c r="A388" s="4" t="s">
        <v>6908</v>
      </c>
      <c r="B388" s="6" t="str">
        <f t="shared" si="1"/>
        <v>333.775</v>
      </c>
      <c r="C388" s="6" t="str">
        <f t="shared" si="2"/>
        <v>333,775</v>
      </c>
      <c r="D388" s="6">
        <f t="shared" si="3"/>
        <v>333.775</v>
      </c>
      <c r="E388" s="6">
        <f t="shared" si="4"/>
        <v>0.547</v>
      </c>
    </row>
    <row r="389">
      <c r="A389" s="4" t="s">
        <v>6909</v>
      </c>
      <c r="B389" s="6" t="str">
        <f t="shared" si="1"/>
        <v>334.205</v>
      </c>
      <c r="C389" s="6" t="str">
        <f t="shared" si="2"/>
        <v>334,205</v>
      </c>
      <c r="D389" s="6">
        <f t="shared" si="3"/>
        <v>334.205</v>
      </c>
      <c r="E389" s="6">
        <f t="shared" si="4"/>
        <v>0.43</v>
      </c>
    </row>
    <row r="390">
      <c r="A390" s="4" t="s">
        <v>6910</v>
      </c>
      <c r="B390" s="6" t="str">
        <f t="shared" si="1"/>
        <v>334.744</v>
      </c>
      <c r="C390" s="6" t="str">
        <f t="shared" si="2"/>
        <v>334,744</v>
      </c>
      <c r="D390" s="6">
        <f t="shared" si="3"/>
        <v>334.744</v>
      </c>
      <c r="E390" s="6">
        <f t="shared" si="4"/>
        <v>0.539</v>
      </c>
    </row>
    <row r="391">
      <c r="A391" s="4" t="s">
        <v>6911</v>
      </c>
      <c r="B391" s="6" t="str">
        <f t="shared" si="1"/>
        <v>335.284</v>
      </c>
      <c r="C391" s="6" t="str">
        <f t="shared" si="2"/>
        <v>335,284</v>
      </c>
      <c r="D391" s="6">
        <f t="shared" si="3"/>
        <v>335.284</v>
      </c>
      <c r="E391" s="6">
        <f t="shared" si="4"/>
        <v>0.54</v>
      </c>
    </row>
    <row r="392">
      <c r="A392" s="4" t="s">
        <v>6912</v>
      </c>
      <c r="B392" s="6" t="str">
        <f t="shared" si="1"/>
        <v>335.720</v>
      </c>
      <c r="C392" s="6" t="str">
        <f t="shared" si="2"/>
        <v>335,720</v>
      </c>
      <c r="D392" s="6">
        <f t="shared" si="3"/>
        <v>335.72</v>
      </c>
      <c r="E392" s="6">
        <f t="shared" si="4"/>
        <v>0.436</v>
      </c>
    </row>
    <row r="393">
      <c r="A393" s="4" t="s">
        <v>6913</v>
      </c>
      <c r="B393" s="6" t="str">
        <f t="shared" si="1"/>
        <v>336.260</v>
      </c>
      <c r="C393" s="6" t="str">
        <f t="shared" si="2"/>
        <v>336,260</v>
      </c>
      <c r="D393" s="6">
        <f t="shared" si="3"/>
        <v>336.26</v>
      </c>
      <c r="E393" s="6">
        <f t="shared" si="4"/>
        <v>0.54</v>
      </c>
    </row>
    <row r="394">
      <c r="A394" s="4" t="s">
        <v>6914</v>
      </c>
      <c r="B394" s="6" t="str">
        <f t="shared" si="1"/>
        <v>336.804</v>
      </c>
      <c r="C394" s="6" t="str">
        <f t="shared" si="2"/>
        <v>336,804</v>
      </c>
      <c r="D394" s="6">
        <f t="shared" si="3"/>
        <v>336.804</v>
      </c>
      <c r="E394" s="6">
        <f t="shared" si="4"/>
        <v>0.544</v>
      </c>
    </row>
    <row r="395">
      <c r="A395" s="4" t="s">
        <v>6915</v>
      </c>
      <c r="B395" s="6" t="str">
        <f t="shared" si="1"/>
        <v>337.238</v>
      </c>
      <c r="C395" s="6" t="str">
        <f t="shared" si="2"/>
        <v>337,238</v>
      </c>
      <c r="D395" s="6">
        <f t="shared" si="3"/>
        <v>337.238</v>
      </c>
      <c r="E395" s="6">
        <f t="shared" si="4"/>
        <v>0.434</v>
      </c>
    </row>
    <row r="396">
      <c r="A396" s="4" t="s">
        <v>6916</v>
      </c>
      <c r="B396" s="6" t="str">
        <f t="shared" si="1"/>
        <v>337.780</v>
      </c>
      <c r="C396" s="6" t="str">
        <f t="shared" si="2"/>
        <v>337,780</v>
      </c>
      <c r="D396" s="6">
        <f t="shared" si="3"/>
        <v>337.78</v>
      </c>
      <c r="E396" s="6">
        <f t="shared" si="4"/>
        <v>0.542</v>
      </c>
    </row>
    <row r="397">
      <c r="A397" s="4" t="s">
        <v>6917</v>
      </c>
      <c r="B397" s="6" t="str">
        <f t="shared" si="1"/>
        <v>338.320</v>
      </c>
      <c r="C397" s="6" t="str">
        <f t="shared" si="2"/>
        <v>338,320</v>
      </c>
      <c r="D397" s="6">
        <f t="shared" si="3"/>
        <v>338.32</v>
      </c>
      <c r="E397" s="6">
        <f t="shared" si="4"/>
        <v>0.54</v>
      </c>
    </row>
    <row r="398">
      <c r="A398" s="4" t="s">
        <v>6918</v>
      </c>
      <c r="B398" s="6" t="str">
        <f t="shared" si="1"/>
        <v>338.753</v>
      </c>
      <c r="C398" s="6" t="str">
        <f t="shared" si="2"/>
        <v>338,753</v>
      </c>
      <c r="D398" s="6">
        <f t="shared" si="3"/>
        <v>338.753</v>
      </c>
      <c r="E398" s="6">
        <f t="shared" si="4"/>
        <v>0.433</v>
      </c>
    </row>
    <row r="399">
      <c r="A399" s="4" t="s">
        <v>6919</v>
      </c>
      <c r="B399" s="6" t="str">
        <f t="shared" si="1"/>
        <v>339.293</v>
      </c>
      <c r="C399" s="6" t="str">
        <f t="shared" si="2"/>
        <v>339,293</v>
      </c>
      <c r="D399" s="6">
        <f t="shared" si="3"/>
        <v>339.293</v>
      </c>
      <c r="E399" s="6">
        <f t="shared" si="4"/>
        <v>0.54</v>
      </c>
    </row>
    <row r="400">
      <c r="A400" s="4" t="s">
        <v>6920</v>
      </c>
      <c r="B400" s="6" t="str">
        <f t="shared" si="1"/>
        <v>339.937</v>
      </c>
      <c r="C400" s="6" t="str">
        <f t="shared" si="2"/>
        <v>339,937</v>
      </c>
      <c r="D400" s="6">
        <f t="shared" si="3"/>
        <v>339.937</v>
      </c>
      <c r="E400" s="6">
        <f t="shared" si="4"/>
        <v>0.644</v>
      </c>
    </row>
    <row r="401">
      <c r="A401" s="4" t="s">
        <v>6921</v>
      </c>
      <c r="B401" s="6" t="str">
        <f t="shared" si="1"/>
        <v>340.269</v>
      </c>
      <c r="C401" s="6" t="str">
        <f t="shared" si="2"/>
        <v>340,269</v>
      </c>
      <c r="D401" s="6">
        <f t="shared" si="3"/>
        <v>340.269</v>
      </c>
      <c r="E401" s="6">
        <f t="shared" si="4"/>
        <v>0.332</v>
      </c>
    </row>
    <row r="402">
      <c r="A402" s="4" t="s">
        <v>6922</v>
      </c>
      <c r="B402" s="6" t="str">
        <f t="shared" si="1"/>
        <v>340.810</v>
      </c>
      <c r="C402" s="6" t="str">
        <f t="shared" si="2"/>
        <v>340,810</v>
      </c>
      <c r="D402" s="6">
        <f t="shared" si="3"/>
        <v>340.81</v>
      </c>
      <c r="E402" s="6">
        <f t="shared" si="4"/>
        <v>0.541</v>
      </c>
    </row>
    <row r="403">
      <c r="A403" s="4" t="s">
        <v>6923</v>
      </c>
      <c r="B403" s="6" t="str">
        <f t="shared" si="1"/>
        <v>341.450</v>
      </c>
      <c r="C403" s="6" t="str">
        <f t="shared" si="2"/>
        <v>341,450</v>
      </c>
      <c r="D403" s="6">
        <f t="shared" si="3"/>
        <v>341.45</v>
      </c>
      <c r="E403" s="6">
        <f t="shared" si="4"/>
        <v>0.64</v>
      </c>
    </row>
    <row r="404">
      <c r="A404" s="4" t="s">
        <v>6924</v>
      </c>
      <c r="B404" s="6" t="str">
        <f t="shared" si="1"/>
        <v>341.893</v>
      </c>
      <c r="C404" s="6" t="str">
        <f t="shared" si="2"/>
        <v>341,893</v>
      </c>
      <c r="D404" s="6">
        <f t="shared" si="3"/>
        <v>341.893</v>
      </c>
      <c r="E404" s="6">
        <f t="shared" si="4"/>
        <v>0.443</v>
      </c>
    </row>
    <row r="405">
      <c r="A405" s="4" t="s">
        <v>6925</v>
      </c>
      <c r="B405" s="6" t="str">
        <f t="shared" si="1"/>
        <v>342.348</v>
      </c>
      <c r="C405" s="6" t="str">
        <f t="shared" si="2"/>
        <v>342,348</v>
      </c>
      <c r="D405" s="6">
        <f t="shared" si="3"/>
        <v>342.348</v>
      </c>
      <c r="E405" s="6">
        <f t="shared" si="4"/>
        <v>0.455</v>
      </c>
    </row>
    <row r="406">
      <c r="A406" s="4" t="s">
        <v>6926</v>
      </c>
      <c r="B406" s="6" t="str">
        <f t="shared" si="1"/>
        <v>342.870</v>
      </c>
      <c r="C406" s="6" t="str">
        <f t="shared" si="2"/>
        <v>342,870</v>
      </c>
      <c r="D406" s="6">
        <f t="shared" si="3"/>
        <v>342.87</v>
      </c>
      <c r="E406" s="6">
        <f t="shared" si="4"/>
        <v>0.522</v>
      </c>
    </row>
    <row r="407">
      <c r="A407" s="4" t="s">
        <v>6927</v>
      </c>
      <c r="B407" s="6" t="str">
        <f t="shared" si="1"/>
        <v>343.304</v>
      </c>
      <c r="C407" s="6" t="str">
        <f t="shared" si="2"/>
        <v>343,304</v>
      </c>
      <c r="D407" s="6">
        <f t="shared" si="3"/>
        <v>343.304</v>
      </c>
      <c r="E407" s="6">
        <f t="shared" si="4"/>
        <v>0.434</v>
      </c>
    </row>
    <row r="408">
      <c r="A408" s="4" t="s">
        <v>6928</v>
      </c>
      <c r="B408" s="6" t="str">
        <f t="shared" si="1"/>
        <v>343.845</v>
      </c>
      <c r="C408" s="6" t="str">
        <f t="shared" si="2"/>
        <v>343,845</v>
      </c>
      <c r="D408" s="6">
        <f t="shared" si="3"/>
        <v>343.845</v>
      </c>
      <c r="E408" s="6">
        <f t="shared" si="4"/>
        <v>0.541</v>
      </c>
    </row>
    <row r="409">
      <c r="A409" s="4" t="s">
        <v>6929</v>
      </c>
      <c r="B409" s="6" t="str">
        <f t="shared" si="1"/>
        <v>344.387</v>
      </c>
      <c r="C409" s="6" t="str">
        <f t="shared" si="2"/>
        <v>344,387</v>
      </c>
      <c r="D409" s="6">
        <f t="shared" si="3"/>
        <v>344.387</v>
      </c>
      <c r="E409" s="6">
        <f t="shared" si="4"/>
        <v>0.542</v>
      </c>
    </row>
    <row r="410">
      <c r="A410" s="4" t="s">
        <v>6930</v>
      </c>
      <c r="B410" s="6" t="str">
        <f t="shared" si="1"/>
        <v>344.932</v>
      </c>
      <c r="C410" s="6" t="str">
        <f t="shared" si="2"/>
        <v>344,932</v>
      </c>
      <c r="D410" s="6">
        <f t="shared" si="3"/>
        <v>344.932</v>
      </c>
      <c r="E410" s="6">
        <f t="shared" si="4"/>
        <v>0.545</v>
      </c>
    </row>
    <row r="411">
      <c r="A411" s="4" t="s">
        <v>6931</v>
      </c>
      <c r="B411" s="6" t="str">
        <f t="shared" si="1"/>
        <v>345.490</v>
      </c>
      <c r="C411" s="6" t="str">
        <f t="shared" si="2"/>
        <v>345,490</v>
      </c>
      <c r="D411" s="6">
        <f t="shared" si="3"/>
        <v>345.49</v>
      </c>
      <c r="E411" s="6">
        <f t="shared" si="4"/>
        <v>0.558</v>
      </c>
    </row>
    <row r="412">
      <c r="A412" s="4" t="s">
        <v>6932</v>
      </c>
      <c r="B412" s="6" t="str">
        <f t="shared" si="1"/>
        <v>345.915</v>
      </c>
      <c r="C412" s="6" t="str">
        <f t="shared" si="2"/>
        <v>345,915</v>
      </c>
      <c r="D412" s="6">
        <f t="shared" si="3"/>
        <v>345.915</v>
      </c>
      <c r="E412" s="6">
        <f t="shared" si="4"/>
        <v>0.425</v>
      </c>
    </row>
    <row r="413">
      <c r="A413" s="4" t="s">
        <v>6933</v>
      </c>
      <c r="B413" s="6" t="str">
        <f t="shared" si="1"/>
        <v>346.457</v>
      </c>
      <c r="C413" s="6" t="str">
        <f t="shared" si="2"/>
        <v>346,457</v>
      </c>
      <c r="D413" s="6">
        <f t="shared" si="3"/>
        <v>346.457</v>
      </c>
      <c r="E413" s="6">
        <f t="shared" si="4"/>
        <v>0.542</v>
      </c>
    </row>
    <row r="414">
      <c r="A414" s="4" t="s">
        <v>6934</v>
      </c>
      <c r="B414" s="6" t="str">
        <f t="shared" si="1"/>
        <v>346.893</v>
      </c>
      <c r="C414" s="6" t="str">
        <f t="shared" si="2"/>
        <v>346,893</v>
      </c>
      <c r="D414" s="6">
        <f t="shared" si="3"/>
        <v>346.893</v>
      </c>
      <c r="E414" s="6">
        <f t="shared" si="4"/>
        <v>0.436</v>
      </c>
    </row>
    <row r="415">
      <c r="A415" s="4" t="s">
        <v>6935</v>
      </c>
      <c r="B415" s="6" t="str">
        <f t="shared" si="1"/>
        <v>347.431</v>
      </c>
      <c r="C415" s="6" t="str">
        <f t="shared" si="2"/>
        <v>347,431</v>
      </c>
      <c r="D415" s="6">
        <f t="shared" si="3"/>
        <v>347.431</v>
      </c>
      <c r="E415" s="6">
        <f t="shared" si="4"/>
        <v>0.538</v>
      </c>
    </row>
    <row r="416">
      <c r="A416" s="4" t="s">
        <v>6936</v>
      </c>
      <c r="B416" s="6" t="str">
        <f t="shared" si="1"/>
        <v>347.966</v>
      </c>
      <c r="C416" s="6" t="str">
        <f t="shared" si="2"/>
        <v>347,966</v>
      </c>
      <c r="D416" s="6">
        <f t="shared" si="3"/>
        <v>347.966</v>
      </c>
      <c r="E416" s="6">
        <f t="shared" si="4"/>
        <v>0.535</v>
      </c>
    </row>
    <row r="417">
      <c r="A417" s="4" t="s">
        <v>6937</v>
      </c>
      <c r="B417" s="6" t="str">
        <f t="shared" si="1"/>
        <v>348.504</v>
      </c>
      <c r="C417" s="6" t="str">
        <f t="shared" si="2"/>
        <v>348,504</v>
      </c>
      <c r="D417" s="6">
        <f t="shared" si="3"/>
        <v>348.504</v>
      </c>
      <c r="E417" s="6">
        <f t="shared" si="4"/>
        <v>0.538</v>
      </c>
    </row>
    <row r="418">
      <c r="A418" s="4" t="s">
        <v>6938</v>
      </c>
      <c r="B418" s="6" t="str">
        <f t="shared" si="1"/>
        <v>348.946</v>
      </c>
      <c r="C418" s="6" t="str">
        <f t="shared" si="2"/>
        <v>348,946</v>
      </c>
      <c r="D418" s="6">
        <f t="shared" si="3"/>
        <v>348.946</v>
      </c>
      <c r="E418" s="6">
        <f t="shared" si="4"/>
        <v>0.442</v>
      </c>
    </row>
    <row r="419">
      <c r="A419" s="4" t="s">
        <v>6939</v>
      </c>
      <c r="B419" s="6" t="str">
        <f t="shared" si="1"/>
        <v>349.488</v>
      </c>
      <c r="C419" s="6" t="str">
        <f t="shared" si="2"/>
        <v>349,488</v>
      </c>
      <c r="D419" s="6">
        <f t="shared" si="3"/>
        <v>349.488</v>
      </c>
      <c r="E419" s="6">
        <f t="shared" si="4"/>
        <v>0.542</v>
      </c>
    </row>
    <row r="420">
      <c r="A420" s="4" t="s">
        <v>6940</v>
      </c>
      <c r="B420" s="6" t="str">
        <f t="shared" si="1"/>
        <v>350.027</v>
      </c>
      <c r="C420" s="6" t="str">
        <f t="shared" si="2"/>
        <v>350,027</v>
      </c>
      <c r="D420" s="6">
        <f t="shared" si="3"/>
        <v>350.027</v>
      </c>
      <c r="E420" s="6">
        <f t="shared" si="4"/>
        <v>0.539</v>
      </c>
    </row>
    <row r="421">
      <c r="A421" s="4" t="s">
        <v>6941</v>
      </c>
      <c r="B421" s="6" t="str">
        <f t="shared" si="1"/>
        <v>350.469</v>
      </c>
      <c r="C421" s="6" t="str">
        <f t="shared" si="2"/>
        <v>350,469</v>
      </c>
      <c r="D421" s="6">
        <f t="shared" si="3"/>
        <v>350.469</v>
      </c>
      <c r="E421" s="6">
        <f t="shared" si="4"/>
        <v>0.442</v>
      </c>
    </row>
    <row r="422">
      <c r="A422" s="4" t="s">
        <v>6942</v>
      </c>
      <c r="B422" s="6" t="str">
        <f t="shared" si="1"/>
        <v>351.009</v>
      </c>
      <c r="C422" s="6" t="str">
        <f t="shared" si="2"/>
        <v>351,009</v>
      </c>
      <c r="D422" s="6">
        <f t="shared" si="3"/>
        <v>351.009</v>
      </c>
      <c r="E422" s="6">
        <f t="shared" si="4"/>
        <v>0.54</v>
      </c>
    </row>
    <row r="423">
      <c r="A423" s="4" t="s">
        <v>6943</v>
      </c>
      <c r="B423" s="6" t="str">
        <f t="shared" si="1"/>
        <v>351.442</v>
      </c>
      <c r="C423" s="6" t="str">
        <f t="shared" si="2"/>
        <v>351,442</v>
      </c>
      <c r="D423" s="6">
        <f t="shared" si="3"/>
        <v>351.442</v>
      </c>
      <c r="E423" s="6">
        <f t="shared" si="4"/>
        <v>0.433</v>
      </c>
    </row>
    <row r="424">
      <c r="A424" s="4" t="s">
        <v>6944</v>
      </c>
      <c r="B424" s="6" t="str">
        <f t="shared" si="1"/>
        <v>351.987</v>
      </c>
      <c r="C424" s="6" t="str">
        <f t="shared" si="2"/>
        <v>351,987</v>
      </c>
      <c r="D424" s="6">
        <f t="shared" si="3"/>
        <v>351.987</v>
      </c>
      <c r="E424" s="6">
        <f t="shared" si="4"/>
        <v>0.545</v>
      </c>
    </row>
    <row r="425">
      <c r="A425" s="4" t="s">
        <v>6945</v>
      </c>
      <c r="B425" s="6" t="str">
        <f t="shared" si="1"/>
        <v>352.632</v>
      </c>
      <c r="C425" s="6" t="str">
        <f t="shared" si="2"/>
        <v>352,632</v>
      </c>
      <c r="D425" s="6">
        <f t="shared" si="3"/>
        <v>352.632</v>
      </c>
      <c r="E425" s="6">
        <f t="shared" si="4"/>
        <v>0.645</v>
      </c>
    </row>
    <row r="426">
      <c r="A426" s="4" t="s">
        <v>6946</v>
      </c>
      <c r="B426" s="6" t="str">
        <f t="shared" si="1"/>
        <v>352.965</v>
      </c>
      <c r="C426" s="6" t="str">
        <f t="shared" si="2"/>
        <v>352,965</v>
      </c>
      <c r="D426" s="6">
        <f t="shared" si="3"/>
        <v>352.965</v>
      </c>
      <c r="E426" s="6">
        <f t="shared" si="4"/>
        <v>0.333</v>
      </c>
    </row>
    <row r="427">
      <c r="A427" s="4" t="s">
        <v>6947</v>
      </c>
      <c r="B427" s="6" t="str">
        <f t="shared" si="1"/>
        <v>353.503</v>
      </c>
      <c r="C427" s="6" t="str">
        <f t="shared" si="2"/>
        <v>353,503</v>
      </c>
      <c r="D427" s="6">
        <f t="shared" si="3"/>
        <v>353.503</v>
      </c>
      <c r="E427" s="6">
        <f t="shared" si="4"/>
        <v>0.538</v>
      </c>
    </row>
    <row r="428">
      <c r="A428" s="4" t="s">
        <v>6948</v>
      </c>
      <c r="B428" s="6" t="str">
        <f t="shared" si="1"/>
        <v>354.051</v>
      </c>
      <c r="C428" s="6" t="str">
        <f t="shared" si="2"/>
        <v>354,051</v>
      </c>
      <c r="D428" s="6">
        <f t="shared" si="3"/>
        <v>354.051</v>
      </c>
      <c r="E428" s="6">
        <f t="shared" si="4"/>
        <v>0.548</v>
      </c>
    </row>
    <row r="429">
      <c r="A429" s="4" t="s">
        <v>6949</v>
      </c>
      <c r="B429" s="6" t="str">
        <f t="shared" si="1"/>
        <v>354.587</v>
      </c>
      <c r="C429" s="6" t="str">
        <f t="shared" si="2"/>
        <v>354,587</v>
      </c>
      <c r="D429" s="6">
        <f t="shared" si="3"/>
        <v>354.587</v>
      </c>
      <c r="E429" s="6">
        <f t="shared" si="4"/>
        <v>0.536</v>
      </c>
    </row>
    <row r="430">
      <c r="A430" s="4" t="s">
        <v>6950</v>
      </c>
      <c r="B430" s="6" t="str">
        <f t="shared" si="1"/>
        <v>355.028</v>
      </c>
      <c r="C430" s="6" t="str">
        <f t="shared" si="2"/>
        <v>355,028</v>
      </c>
      <c r="D430" s="6">
        <f t="shared" si="3"/>
        <v>355.028</v>
      </c>
      <c r="E430" s="6">
        <f t="shared" si="4"/>
        <v>0.441</v>
      </c>
    </row>
    <row r="431">
      <c r="A431" s="4" t="s">
        <v>6951</v>
      </c>
      <c r="B431" s="6" t="str">
        <f t="shared" si="1"/>
        <v>355.565</v>
      </c>
      <c r="C431" s="6" t="str">
        <f t="shared" si="2"/>
        <v>355,565</v>
      </c>
      <c r="D431" s="6">
        <f t="shared" si="3"/>
        <v>355.565</v>
      </c>
      <c r="E431" s="6">
        <f t="shared" si="4"/>
        <v>0.537</v>
      </c>
    </row>
    <row r="432">
      <c r="A432" s="4" t="s">
        <v>6952</v>
      </c>
      <c r="B432" s="6" t="str">
        <f t="shared" si="1"/>
        <v>356.002</v>
      </c>
      <c r="C432" s="6" t="str">
        <f t="shared" si="2"/>
        <v>356,002</v>
      </c>
      <c r="D432" s="6">
        <f t="shared" si="3"/>
        <v>356.002</v>
      </c>
      <c r="E432" s="6">
        <f t="shared" si="4"/>
        <v>0.437</v>
      </c>
    </row>
    <row r="433">
      <c r="A433" s="4" t="s">
        <v>6953</v>
      </c>
      <c r="B433" s="6" t="str">
        <f t="shared" si="1"/>
        <v>356.546</v>
      </c>
      <c r="C433" s="6" t="str">
        <f t="shared" si="2"/>
        <v>356,546</v>
      </c>
      <c r="D433" s="6">
        <f t="shared" si="3"/>
        <v>356.546</v>
      </c>
      <c r="E433" s="6">
        <f t="shared" si="4"/>
        <v>0.544</v>
      </c>
    </row>
    <row r="434">
      <c r="A434" s="4" t="s">
        <v>6954</v>
      </c>
      <c r="B434" s="6" t="str">
        <f t="shared" si="1"/>
        <v>357.090</v>
      </c>
      <c r="C434" s="6" t="str">
        <f t="shared" si="2"/>
        <v>357,090</v>
      </c>
      <c r="D434" s="6">
        <f t="shared" si="3"/>
        <v>357.09</v>
      </c>
      <c r="E434" s="6">
        <f t="shared" si="4"/>
        <v>0.544</v>
      </c>
    </row>
    <row r="435">
      <c r="A435" s="4" t="s">
        <v>6955</v>
      </c>
      <c r="B435" s="6" t="str">
        <f t="shared" si="1"/>
        <v>357.520</v>
      </c>
      <c r="C435" s="6" t="str">
        <f t="shared" si="2"/>
        <v>357,520</v>
      </c>
      <c r="D435" s="6">
        <f t="shared" si="3"/>
        <v>357.52</v>
      </c>
      <c r="E435" s="6">
        <f t="shared" si="4"/>
        <v>0.43</v>
      </c>
    </row>
    <row r="436">
      <c r="A436" s="4" t="s">
        <v>6956</v>
      </c>
      <c r="B436" s="6" t="str">
        <f t="shared" si="1"/>
        <v>358.080</v>
      </c>
      <c r="C436" s="6" t="str">
        <f t="shared" si="2"/>
        <v>358,080</v>
      </c>
      <c r="D436" s="6">
        <f t="shared" si="3"/>
        <v>358.08</v>
      </c>
      <c r="E436" s="6">
        <f t="shared" si="4"/>
        <v>0.56</v>
      </c>
    </row>
    <row r="437">
      <c r="A437" s="4" t="s">
        <v>6957</v>
      </c>
      <c r="B437" s="6" t="str">
        <f t="shared" si="1"/>
        <v>358.604</v>
      </c>
      <c r="C437" s="6" t="str">
        <f t="shared" si="2"/>
        <v>358,604</v>
      </c>
      <c r="D437" s="6">
        <f t="shared" si="3"/>
        <v>358.604</v>
      </c>
      <c r="E437" s="6">
        <f t="shared" si="4"/>
        <v>0.524</v>
      </c>
    </row>
    <row r="438">
      <c r="A438" s="4" t="s">
        <v>6958</v>
      </c>
      <c r="B438" s="6" t="str">
        <f t="shared" si="1"/>
        <v>359.156</v>
      </c>
      <c r="C438" s="6" t="str">
        <f t="shared" si="2"/>
        <v>359,156</v>
      </c>
      <c r="D438" s="6">
        <f t="shared" si="3"/>
        <v>359.156</v>
      </c>
      <c r="E438" s="6">
        <f t="shared" si="4"/>
        <v>0.552</v>
      </c>
    </row>
    <row r="439">
      <c r="A439" s="4" t="s">
        <v>6959</v>
      </c>
      <c r="B439" s="6" t="str">
        <f t="shared" si="1"/>
        <v>359.694</v>
      </c>
      <c r="C439" s="6" t="str">
        <f t="shared" si="2"/>
        <v>359,694</v>
      </c>
      <c r="D439" s="6">
        <f t="shared" si="3"/>
        <v>359.694</v>
      </c>
      <c r="E439" s="6">
        <f t="shared" si="4"/>
        <v>0.538</v>
      </c>
    </row>
    <row r="440">
      <c r="A440" s="4" t="s">
        <v>6960</v>
      </c>
      <c r="B440" s="6" t="str">
        <f t="shared" si="1"/>
        <v>360.234</v>
      </c>
      <c r="C440" s="6" t="str">
        <f t="shared" si="2"/>
        <v>360,234</v>
      </c>
      <c r="D440" s="6">
        <f t="shared" si="3"/>
        <v>360.234</v>
      </c>
      <c r="E440" s="6">
        <f t="shared" si="4"/>
        <v>0.54</v>
      </c>
    </row>
    <row r="441">
      <c r="A441" s="4" t="s">
        <v>6961</v>
      </c>
      <c r="B441" s="6" t="str">
        <f t="shared" si="1"/>
        <v>360.700</v>
      </c>
      <c r="C441" s="6" t="str">
        <f t="shared" si="2"/>
        <v>360,700</v>
      </c>
      <c r="D441" s="6">
        <f t="shared" si="3"/>
        <v>360.7</v>
      </c>
      <c r="E441" s="6">
        <f t="shared" si="4"/>
        <v>0.466</v>
      </c>
    </row>
    <row r="442">
      <c r="A442" s="4" t="s">
        <v>6962</v>
      </c>
      <c r="B442" s="6" t="str">
        <f t="shared" si="1"/>
        <v>361.109</v>
      </c>
      <c r="C442" s="6" t="str">
        <f t="shared" si="2"/>
        <v>361,109</v>
      </c>
      <c r="D442" s="6">
        <f t="shared" si="3"/>
        <v>361.109</v>
      </c>
      <c r="E442" s="6">
        <f t="shared" si="4"/>
        <v>0.409</v>
      </c>
    </row>
    <row r="443">
      <c r="A443" s="4" t="s">
        <v>6963</v>
      </c>
      <c r="B443" s="6" t="str">
        <f t="shared" si="1"/>
        <v>361.835</v>
      </c>
      <c r="C443" s="6" t="str">
        <f t="shared" si="2"/>
        <v>361,835</v>
      </c>
      <c r="D443" s="6">
        <f t="shared" si="3"/>
        <v>361.835</v>
      </c>
      <c r="E443" s="6">
        <f t="shared" si="4"/>
        <v>0.726</v>
      </c>
    </row>
    <row r="444">
      <c r="A444" s="4" t="s">
        <v>6964</v>
      </c>
      <c r="B444" s="6" t="str">
        <f t="shared" si="1"/>
        <v>362.201</v>
      </c>
      <c r="C444" s="6" t="str">
        <f t="shared" si="2"/>
        <v>362,201</v>
      </c>
      <c r="D444" s="6">
        <f t="shared" si="3"/>
        <v>362.201</v>
      </c>
      <c r="E444" s="6">
        <f t="shared" si="4"/>
        <v>0.366</v>
      </c>
    </row>
    <row r="445">
      <c r="A445" s="4" t="s">
        <v>6965</v>
      </c>
      <c r="B445" s="6" t="str">
        <f t="shared" si="1"/>
        <v>362.754</v>
      </c>
      <c r="C445" s="6" t="str">
        <f t="shared" si="2"/>
        <v>362,754</v>
      </c>
      <c r="D445" s="6">
        <f t="shared" si="3"/>
        <v>362.754</v>
      </c>
      <c r="E445" s="6">
        <f t="shared" si="4"/>
        <v>0.553</v>
      </c>
    </row>
    <row r="446">
      <c r="A446" s="4" t="s">
        <v>6966</v>
      </c>
      <c r="B446" s="6" t="str">
        <f t="shared" si="1"/>
        <v>363.213</v>
      </c>
      <c r="C446" s="6" t="str">
        <f t="shared" si="2"/>
        <v>363,213</v>
      </c>
      <c r="D446" s="6">
        <f t="shared" si="3"/>
        <v>363.213</v>
      </c>
      <c r="E446" s="6">
        <f t="shared" si="4"/>
        <v>0.459</v>
      </c>
    </row>
    <row r="447">
      <c r="A447" s="4" t="s">
        <v>6967</v>
      </c>
      <c r="B447" s="6" t="str">
        <f t="shared" si="1"/>
        <v>363.721</v>
      </c>
      <c r="C447" s="6" t="str">
        <f t="shared" si="2"/>
        <v>363,721</v>
      </c>
      <c r="D447" s="6">
        <f t="shared" si="3"/>
        <v>363.721</v>
      </c>
      <c r="E447" s="6">
        <f t="shared" si="4"/>
        <v>0.508</v>
      </c>
    </row>
    <row r="448">
      <c r="A448" s="4" t="s">
        <v>6968</v>
      </c>
      <c r="B448" s="6" t="str">
        <f t="shared" si="1"/>
        <v>364.269</v>
      </c>
      <c r="C448" s="6" t="str">
        <f t="shared" si="2"/>
        <v>364,269</v>
      </c>
      <c r="D448" s="6">
        <f t="shared" si="3"/>
        <v>364.269</v>
      </c>
      <c r="E448" s="6">
        <f t="shared" si="4"/>
        <v>0.548</v>
      </c>
    </row>
    <row r="449">
      <c r="A449" s="4" t="s">
        <v>6969</v>
      </c>
      <c r="B449" s="6" t="str">
        <f t="shared" si="1"/>
        <v>364.821</v>
      </c>
      <c r="C449" s="6" t="str">
        <f t="shared" si="2"/>
        <v>364,821</v>
      </c>
      <c r="D449" s="6">
        <f t="shared" si="3"/>
        <v>364.821</v>
      </c>
      <c r="E449" s="6">
        <f t="shared" si="4"/>
        <v>0.552</v>
      </c>
    </row>
    <row r="450">
      <c r="A450" s="4" t="s">
        <v>6970</v>
      </c>
      <c r="B450" s="6" t="str">
        <f t="shared" si="1"/>
        <v>365.278</v>
      </c>
      <c r="C450" s="6" t="str">
        <f t="shared" si="2"/>
        <v>365,278</v>
      </c>
      <c r="D450" s="6">
        <f t="shared" si="3"/>
        <v>365.278</v>
      </c>
      <c r="E450" s="6">
        <f t="shared" si="4"/>
        <v>0.457</v>
      </c>
    </row>
    <row r="451">
      <c r="A451" s="4" t="s">
        <v>6971</v>
      </c>
      <c r="B451" s="6" t="str">
        <f t="shared" si="1"/>
        <v>365.816</v>
      </c>
      <c r="C451" s="6" t="str">
        <f t="shared" si="2"/>
        <v>365,816</v>
      </c>
      <c r="D451" s="6">
        <f t="shared" si="3"/>
        <v>365.816</v>
      </c>
      <c r="E451" s="6">
        <f t="shared" si="4"/>
        <v>0.538</v>
      </c>
    </row>
    <row r="452">
      <c r="A452" s="4" t="s">
        <v>6972</v>
      </c>
      <c r="B452" s="6" t="str">
        <f t="shared" si="1"/>
        <v>366.431</v>
      </c>
      <c r="C452" s="6" t="str">
        <f t="shared" si="2"/>
        <v>366,431</v>
      </c>
      <c r="D452" s="6">
        <f t="shared" si="3"/>
        <v>366.431</v>
      </c>
      <c r="E452" s="6">
        <f t="shared" si="4"/>
        <v>0.615</v>
      </c>
    </row>
    <row r="453">
      <c r="A453" s="4" t="s">
        <v>6973</v>
      </c>
      <c r="B453" s="6" t="str">
        <f t="shared" si="1"/>
        <v>367.035</v>
      </c>
      <c r="C453" s="6" t="str">
        <f t="shared" si="2"/>
        <v>367,035</v>
      </c>
      <c r="D453" s="6">
        <f t="shared" si="3"/>
        <v>367.035</v>
      </c>
      <c r="E453" s="6">
        <f t="shared" si="4"/>
        <v>0.604</v>
      </c>
    </row>
    <row r="454">
      <c r="A454" s="4" t="s">
        <v>6974</v>
      </c>
      <c r="B454" s="6" t="str">
        <f t="shared" si="1"/>
        <v>367.530</v>
      </c>
      <c r="C454" s="6" t="str">
        <f t="shared" si="2"/>
        <v>367,530</v>
      </c>
      <c r="D454" s="6">
        <f t="shared" si="3"/>
        <v>367.53</v>
      </c>
      <c r="E454" s="6">
        <f t="shared" si="4"/>
        <v>0.495</v>
      </c>
    </row>
    <row r="455">
      <c r="A455" s="4" t="s">
        <v>6975</v>
      </c>
      <c r="B455" s="6" t="str">
        <f t="shared" si="1"/>
        <v>367.878</v>
      </c>
      <c r="C455" s="6" t="str">
        <f t="shared" si="2"/>
        <v>367,878</v>
      </c>
      <c r="D455" s="6">
        <f t="shared" si="3"/>
        <v>367.878</v>
      </c>
      <c r="E455" s="6">
        <f t="shared" si="4"/>
        <v>0.348</v>
      </c>
    </row>
    <row r="456">
      <c r="A456" s="4" t="s">
        <v>6976</v>
      </c>
      <c r="B456" s="6" t="str">
        <f t="shared" si="1"/>
        <v>368.397</v>
      </c>
      <c r="C456" s="6" t="str">
        <f t="shared" si="2"/>
        <v>368,397</v>
      </c>
      <c r="D456" s="6">
        <f t="shared" si="3"/>
        <v>368.397</v>
      </c>
      <c r="E456" s="6">
        <f t="shared" si="4"/>
        <v>0.519</v>
      </c>
    </row>
    <row r="457">
      <c r="A457" s="4" t="s">
        <v>6977</v>
      </c>
      <c r="B457" s="6" t="str">
        <f t="shared" si="1"/>
        <v>368.862</v>
      </c>
      <c r="C457" s="6" t="str">
        <f t="shared" si="2"/>
        <v>368,862</v>
      </c>
      <c r="D457" s="6">
        <f t="shared" si="3"/>
        <v>368.862</v>
      </c>
      <c r="E457" s="6">
        <f t="shared" si="4"/>
        <v>0.465</v>
      </c>
    </row>
    <row r="458">
      <c r="A458" s="4" t="s">
        <v>6978</v>
      </c>
      <c r="B458" s="6" t="str">
        <f t="shared" si="1"/>
        <v>369.496</v>
      </c>
      <c r="C458" s="6" t="str">
        <f t="shared" si="2"/>
        <v>369,496</v>
      </c>
      <c r="D458" s="6">
        <f t="shared" si="3"/>
        <v>369.496</v>
      </c>
      <c r="E458" s="6">
        <f t="shared" si="4"/>
        <v>0.634</v>
      </c>
    </row>
    <row r="459">
      <c r="A459" s="4" t="s">
        <v>6979</v>
      </c>
      <c r="B459" s="6" t="str">
        <f t="shared" si="1"/>
        <v>370.048</v>
      </c>
      <c r="C459" s="6" t="str">
        <f t="shared" si="2"/>
        <v>370,048</v>
      </c>
      <c r="D459" s="6">
        <f t="shared" si="3"/>
        <v>370.048</v>
      </c>
      <c r="E459" s="6">
        <f t="shared" si="4"/>
        <v>0.552</v>
      </c>
    </row>
    <row r="460">
      <c r="A460" s="4" t="s">
        <v>6980</v>
      </c>
      <c r="B460" s="6" t="str">
        <f t="shared" si="1"/>
        <v>370.348</v>
      </c>
      <c r="C460" s="6" t="str">
        <f t="shared" si="2"/>
        <v>370,348</v>
      </c>
      <c r="D460" s="6">
        <f t="shared" si="3"/>
        <v>370.348</v>
      </c>
      <c r="E460" s="6">
        <f t="shared" si="4"/>
        <v>0.3</v>
      </c>
    </row>
    <row r="461">
      <c r="A461" s="4" t="s">
        <v>6981</v>
      </c>
      <c r="B461" s="6" t="str">
        <f t="shared" si="1"/>
        <v>370.886</v>
      </c>
      <c r="C461" s="6" t="str">
        <f t="shared" si="2"/>
        <v>370,886</v>
      </c>
      <c r="D461" s="6">
        <f t="shared" si="3"/>
        <v>370.886</v>
      </c>
      <c r="E461" s="6">
        <f t="shared" si="4"/>
        <v>0.538</v>
      </c>
    </row>
    <row r="462">
      <c r="A462" s="4" t="s">
        <v>6982</v>
      </c>
      <c r="B462" s="6" t="str">
        <f t="shared" si="1"/>
        <v>371.439</v>
      </c>
      <c r="C462" s="6" t="str">
        <f t="shared" si="2"/>
        <v>371,439</v>
      </c>
      <c r="D462" s="6">
        <f t="shared" si="3"/>
        <v>371.439</v>
      </c>
      <c r="E462" s="6">
        <f t="shared" si="4"/>
        <v>0.553</v>
      </c>
    </row>
    <row r="463">
      <c r="A463" s="4" t="s">
        <v>6983</v>
      </c>
      <c r="B463" s="6" t="str">
        <f t="shared" si="1"/>
        <v>371.868</v>
      </c>
      <c r="C463" s="6" t="str">
        <f t="shared" si="2"/>
        <v>371,868</v>
      </c>
      <c r="D463" s="6">
        <f t="shared" si="3"/>
        <v>371.868</v>
      </c>
      <c r="E463" s="6">
        <f t="shared" si="4"/>
        <v>0.429</v>
      </c>
    </row>
    <row r="464">
      <c r="A464" s="4" t="s">
        <v>6984</v>
      </c>
      <c r="B464" s="6" t="str">
        <f t="shared" si="1"/>
        <v>372.410</v>
      </c>
      <c r="C464" s="6" t="str">
        <f t="shared" si="2"/>
        <v>372,410</v>
      </c>
      <c r="D464" s="6">
        <f t="shared" si="3"/>
        <v>372.41</v>
      </c>
      <c r="E464" s="6">
        <f t="shared" si="4"/>
        <v>0.542</v>
      </c>
    </row>
    <row r="465">
      <c r="A465" s="4" t="s">
        <v>6985</v>
      </c>
      <c r="B465" s="6" t="str">
        <f t="shared" si="1"/>
        <v>372.983</v>
      </c>
      <c r="C465" s="6" t="str">
        <f t="shared" si="2"/>
        <v>372,983</v>
      </c>
      <c r="D465" s="6">
        <f t="shared" si="3"/>
        <v>372.983</v>
      </c>
      <c r="E465" s="6">
        <f t="shared" si="4"/>
        <v>0.573</v>
      </c>
    </row>
    <row r="466">
      <c r="A466" s="4" t="s">
        <v>6986</v>
      </c>
      <c r="B466" s="6" t="str">
        <f t="shared" si="1"/>
        <v>373.527</v>
      </c>
      <c r="C466" s="6" t="str">
        <f t="shared" si="2"/>
        <v>373,527</v>
      </c>
      <c r="D466" s="6">
        <f t="shared" si="3"/>
        <v>373.527</v>
      </c>
      <c r="E466" s="6">
        <f t="shared" si="4"/>
        <v>0.544</v>
      </c>
    </row>
    <row r="467">
      <c r="A467" s="4" t="s">
        <v>6987</v>
      </c>
      <c r="B467" s="6" t="str">
        <f t="shared" si="1"/>
        <v>373.989</v>
      </c>
      <c r="C467" s="6" t="str">
        <f t="shared" si="2"/>
        <v>373,989</v>
      </c>
      <c r="D467" s="6">
        <f t="shared" si="3"/>
        <v>373.989</v>
      </c>
      <c r="E467" s="6">
        <f t="shared" si="4"/>
        <v>0.462</v>
      </c>
    </row>
    <row r="468">
      <c r="A468" s="4" t="s">
        <v>6988</v>
      </c>
      <c r="B468" s="6" t="str">
        <f t="shared" si="1"/>
        <v>374.586</v>
      </c>
      <c r="C468" s="6" t="str">
        <f t="shared" si="2"/>
        <v>374,586</v>
      </c>
      <c r="D468" s="6">
        <f t="shared" si="3"/>
        <v>374.586</v>
      </c>
      <c r="E468" s="6">
        <f t="shared" si="4"/>
        <v>0.597</v>
      </c>
    </row>
    <row r="469">
      <c r="A469" s="4" t="s">
        <v>6989</v>
      </c>
      <c r="B469" s="6" t="str">
        <f t="shared" si="1"/>
        <v>375.010</v>
      </c>
      <c r="C469" s="6" t="str">
        <f t="shared" si="2"/>
        <v>375,010</v>
      </c>
      <c r="D469" s="6">
        <f t="shared" si="3"/>
        <v>375.01</v>
      </c>
      <c r="E469" s="6">
        <f t="shared" si="4"/>
        <v>0.424</v>
      </c>
    </row>
    <row r="470">
      <c r="A470" s="4" t="s">
        <v>6990</v>
      </c>
      <c r="B470" s="6" t="str">
        <f t="shared" si="1"/>
        <v>375.443</v>
      </c>
      <c r="C470" s="6" t="str">
        <f t="shared" si="2"/>
        <v>375,443</v>
      </c>
      <c r="D470" s="6">
        <f t="shared" si="3"/>
        <v>375.443</v>
      </c>
      <c r="E470" s="6">
        <f t="shared" si="4"/>
        <v>0.433</v>
      </c>
    </row>
    <row r="471">
      <c r="A471" s="4" t="s">
        <v>6991</v>
      </c>
      <c r="B471" s="6" t="str">
        <f t="shared" si="1"/>
        <v>376.046</v>
      </c>
      <c r="C471" s="6" t="str">
        <f t="shared" si="2"/>
        <v>376,046</v>
      </c>
      <c r="D471" s="6">
        <f t="shared" si="3"/>
        <v>376.046</v>
      </c>
      <c r="E471" s="6">
        <f t="shared" si="4"/>
        <v>0.603</v>
      </c>
    </row>
    <row r="472">
      <c r="A472" s="4" t="s">
        <v>6992</v>
      </c>
      <c r="B472" s="6" t="str">
        <f t="shared" si="1"/>
        <v>376.576</v>
      </c>
      <c r="C472" s="6" t="str">
        <f t="shared" si="2"/>
        <v>376,576</v>
      </c>
      <c r="D472" s="6">
        <f t="shared" si="3"/>
        <v>376.576</v>
      </c>
      <c r="E472" s="6">
        <f t="shared" si="4"/>
        <v>0.53</v>
      </c>
    </row>
    <row r="473">
      <c r="A473" s="4" t="s">
        <v>6993</v>
      </c>
      <c r="B473" s="6" t="str">
        <f t="shared" si="1"/>
        <v>376.965</v>
      </c>
      <c r="C473" s="6" t="str">
        <f t="shared" si="2"/>
        <v>376,965</v>
      </c>
      <c r="D473" s="6">
        <f t="shared" si="3"/>
        <v>376.965</v>
      </c>
      <c r="E473" s="6">
        <f t="shared" si="4"/>
        <v>0.389</v>
      </c>
    </row>
    <row r="474">
      <c r="A474" s="4" t="s">
        <v>6994</v>
      </c>
      <c r="B474" s="6" t="str">
        <f t="shared" si="1"/>
        <v>377.509</v>
      </c>
      <c r="C474" s="6" t="str">
        <f t="shared" si="2"/>
        <v>377,509</v>
      </c>
      <c r="D474" s="6">
        <f t="shared" si="3"/>
        <v>377.509</v>
      </c>
      <c r="E474" s="6">
        <f t="shared" si="4"/>
        <v>0.544</v>
      </c>
    </row>
    <row r="475">
      <c r="A475" s="4" t="s">
        <v>6995</v>
      </c>
      <c r="B475" s="6" t="str">
        <f t="shared" si="1"/>
        <v>378.053</v>
      </c>
      <c r="C475" s="6" t="str">
        <f t="shared" si="2"/>
        <v>378,053</v>
      </c>
      <c r="D475" s="6">
        <f t="shared" si="3"/>
        <v>378.053</v>
      </c>
      <c r="E475" s="6">
        <f t="shared" si="4"/>
        <v>0.544</v>
      </c>
    </row>
    <row r="476">
      <c r="A476" s="4" t="s">
        <v>6996</v>
      </c>
      <c r="B476" s="6" t="str">
        <f t="shared" si="1"/>
        <v>378.764</v>
      </c>
      <c r="C476" s="6" t="str">
        <f t="shared" si="2"/>
        <v>378,764</v>
      </c>
      <c r="D476" s="6">
        <f t="shared" si="3"/>
        <v>378.764</v>
      </c>
      <c r="E476" s="6">
        <f t="shared" si="4"/>
        <v>0.711</v>
      </c>
    </row>
    <row r="477">
      <c r="A477" s="4" t="s">
        <v>6997</v>
      </c>
      <c r="B477" s="6" t="str">
        <f t="shared" si="1"/>
        <v>379.219</v>
      </c>
      <c r="C477" s="6" t="str">
        <f t="shared" si="2"/>
        <v>379,219</v>
      </c>
      <c r="D477" s="6">
        <f t="shared" si="3"/>
        <v>379.219</v>
      </c>
      <c r="E477" s="6">
        <f t="shared" si="4"/>
        <v>0.455</v>
      </c>
    </row>
    <row r="478">
      <c r="A478" s="4" t="s">
        <v>6998</v>
      </c>
      <c r="B478" s="6" t="str">
        <f t="shared" si="1"/>
        <v>379.735</v>
      </c>
      <c r="C478" s="6" t="str">
        <f t="shared" si="2"/>
        <v>379,735</v>
      </c>
      <c r="D478" s="6">
        <f t="shared" si="3"/>
        <v>379.735</v>
      </c>
      <c r="E478" s="6">
        <f t="shared" si="4"/>
        <v>0.516</v>
      </c>
    </row>
    <row r="479">
      <c r="A479" s="4" t="s">
        <v>6999</v>
      </c>
      <c r="B479" s="6" t="str">
        <f t="shared" si="1"/>
        <v>380.120</v>
      </c>
      <c r="C479" s="6" t="str">
        <f t="shared" si="2"/>
        <v>380,120</v>
      </c>
      <c r="D479" s="6">
        <f t="shared" si="3"/>
        <v>380.12</v>
      </c>
      <c r="E479" s="6">
        <f t="shared" si="4"/>
        <v>0.385</v>
      </c>
    </row>
    <row r="480">
      <c r="A480" s="4" t="s">
        <v>7000</v>
      </c>
      <c r="B480" s="6" t="str">
        <f t="shared" si="1"/>
        <v>380.661</v>
      </c>
      <c r="C480" s="6" t="str">
        <f t="shared" si="2"/>
        <v>380,661</v>
      </c>
      <c r="D480" s="6">
        <f t="shared" si="3"/>
        <v>380.661</v>
      </c>
      <c r="E480" s="6">
        <f t="shared" si="4"/>
        <v>0.541</v>
      </c>
    </row>
    <row r="481">
      <c r="A481" s="4" t="s">
        <v>7001</v>
      </c>
      <c r="B481" s="6" t="str">
        <f t="shared" si="1"/>
        <v>381.354</v>
      </c>
      <c r="C481" s="6" t="str">
        <f t="shared" si="2"/>
        <v>381,354</v>
      </c>
      <c r="D481" s="6">
        <f t="shared" si="3"/>
        <v>381.354</v>
      </c>
      <c r="E481" s="6">
        <f t="shared" si="4"/>
        <v>0.693</v>
      </c>
    </row>
    <row r="482">
      <c r="A482" s="4" t="s">
        <v>7002</v>
      </c>
      <c r="B482" s="6" t="str">
        <f t="shared" si="1"/>
        <v>381.783</v>
      </c>
      <c r="C482" s="6" t="str">
        <f t="shared" si="2"/>
        <v>381,783</v>
      </c>
      <c r="D482" s="6">
        <f t="shared" si="3"/>
        <v>381.783</v>
      </c>
      <c r="E482" s="6">
        <f t="shared" si="4"/>
        <v>0.429</v>
      </c>
    </row>
    <row r="483">
      <c r="A483" s="4" t="s">
        <v>7003</v>
      </c>
      <c r="B483" s="6" t="str">
        <f t="shared" si="1"/>
        <v>382.301</v>
      </c>
      <c r="C483" s="6" t="str">
        <f t="shared" si="2"/>
        <v>382,301</v>
      </c>
      <c r="D483" s="6">
        <f t="shared" si="3"/>
        <v>382.301</v>
      </c>
      <c r="E483" s="6">
        <f t="shared" si="4"/>
        <v>0.518</v>
      </c>
    </row>
    <row r="484">
      <c r="A484" s="4" t="s">
        <v>7004</v>
      </c>
      <c r="B484" s="6" t="str">
        <f t="shared" si="1"/>
        <v>382.725</v>
      </c>
      <c r="C484" s="6" t="str">
        <f t="shared" si="2"/>
        <v>382,725</v>
      </c>
      <c r="D484" s="6">
        <f t="shared" si="3"/>
        <v>382.725</v>
      </c>
      <c r="E484" s="6">
        <f t="shared" si="4"/>
        <v>0.424</v>
      </c>
    </row>
    <row r="485">
      <c r="A485" s="4" t="s">
        <v>7005</v>
      </c>
      <c r="B485" s="6" t="str">
        <f t="shared" si="1"/>
        <v>383.157</v>
      </c>
      <c r="C485" s="6" t="str">
        <f t="shared" si="2"/>
        <v>383,157</v>
      </c>
      <c r="D485" s="6">
        <f t="shared" si="3"/>
        <v>383.157</v>
      </c>
      <c r="E485" s="6">
        <f t="shared" si="4"/>
        <v>0.432</v>
      </c>
    </row>
    <row r="486">
      <c r="A486" s="4" t="s">
        <v>7006</v>
      </c>
      <c r="B486" s="6" t="str">
        <f t="shared" si="1"/>
        <v>383.867</v>
      </c>
      <c r="C486" s="6" t="str">
        <f t="shared" si="2"/>
        <v>383,867</v>
      </c>
      <c r="D486" s="6">
        <f t="shared" si="3"/>
        <v>383.867</v>
      </c>
      <c r="E486" s="6">
        <f t="shared" si="4"/>
        <v>0.71</v>
      </c>
    </row>
    <row r="487">
      <c r="A487" s="4" t="s">
        <v>7007</v>
      </c>
      <c r="B487" s="6" t="str">
        <f t="shared" si="1"/>
        <v>384.272</v>
      </c>
      <c r="C487" s="6" t="str">
        <f t="shared" si="2"/>
        <v>384,272</v>
      </c>
      <c r="D487" s="6">
        <f t="shared" si="3"/>
        <v>384.272</v>
      </c>
      <c r="E487" s="6">
        <f t="shared" si="4"/>
        <v>0.405</v>
      </c>
    </row>
    <row r="488">
      <c r="A488" s="4" t="s">
        <v>7008</v>
      </c>
      <c r="B488" s="6" t="str">
        <f t="shared" si="1"/>
        <v>384.898</v>
      </c>
      <c r="C488" s="6" t="str">
        <f t="shared" si="2"/>
        <v>384,898</v>
      </c>
      <c r="D488" s="6">
        <f t="shared" si="3"/>
        <v>384.898</v>
      </c>
      <c r="E488" s="6">
        <f t="shared" si="4"/>
        <v>0.626</v>
      </c>
    </row>
    <row r="489">
      <c r="A489" s="4" t="s">
        <v>7009</v>
      </c>
      <c r="B489" s="6" t="str">
        <f t="shared" si="1"/>
        <v>385.332</v>
      </c>
      <c r="C489" s="6" t="str">
        <f t="shared" si="2"/>
        <v>385,332</v>
      </c>
      <c r="D489" s="6">
        <f t="shared" si="3"/>
        <v>385.332</v>
      </c>
      <c r="E489" s="6">
        <f t="shared" si="4"/>
        <v>0.434</v>
      </c>
    </row>
    <row r="490">
      <c r="A490" s="4" t="s">
        <v>7010</v>
      </c>
      <c r="B490" s="6" t="str">
        <f t="shared" si="1"/>
        <v>385.876</v>
      </c>
      <c r="C490" s="6" t="str">
        <f t="shared" si="2"/>
        <v>385,876</v>
      </c>
      <c r="D490" s="6">
        <f t="shared" si="3"/>
        <v>385.876</v>
      </c>
      <c r="E490" s="6">
        <f t="shared" si="4"/>
        <v>0.544</v>
      </c>
    </row>
    <row r="491">
      <c r="A491" s="4" t="s">
        <v>7011</v>
      </c>
      <c r="B491" s="6" t="str">
        <f t="shared" si="1"/>
        <v>386.551</v>
      </c>
      <c r="C491" s="6" t="str">
        <f t="shared" si="2"/>
        <v>386,551</v>
      </c>
      <c r="D491" s="6">
        <f t="shared" si="3"/>
        <v>386.551</v>
      </c>
      <c r="E491" s="6">
        <f t="shared" si="4"/>
        <v>0.675</v>
      </c>
    </row>
    <row r="492">
      <c r="A492" s="4" t="s">
        <v>7012</v>
      </c>
      <c r="B492" s="6" t="str">
        <f t="shared" si="1"/>
        <v>387.022</v>
      </c>
      <c r="C492" s="6" t="str">
        <f t="shared" si="2"/>
        <v>387,022</v>
      </c>
      <c r="D492" s="6">
        <f t="shared" si="3"/>
        <v>387.022</v>
      </c>
      <c r="E492" s="6">
        <f t="shared" si="4"/>
        <v>0.471</v>
      </c>
    </row>
    <row r="493">
      <c r="A493" s="4" t="s">
        <v>7013</v>
      </c>
      <c r="B493" s="6" t="str">
        <f t="shared" si="1"/>
        <v>387.458</v>
      </c>
      <c r="C493" s="6" t="str">
        <f t="shared" si="2"/>
        <v>387,458</v>
      </c>
      <c r="D493" s="6">
        <f t="shared" si="3"/>
        <v>387.458</v>
      </c>
      <c r="E493" s="6">
        <f t="shared" si="4"/>
        <v>0.436</v>
      </c>
    </row>
    <row r="494">
      <c r="A494" s="4" t="s">
        <v>7014</v>
      </c>
      <c r="B494" s="6" t="str">
        <f t="shared" si="1"/>
        <v>387.968</v>
      </c>
      <c r="C494" s="6" t="str">
        <f t="shared" si="2"/>
        <v>387,968</v>
      </c>
      <c r="D494" s="6">
        <f t="shared" si="3"/>
        <v>387.968</v>
      </c>
      <c r="E494" s="6">
        <f t="shared" si="4"/>
        <v>0.51</v>
      </c>
    </row>
    <row r="495">
      <c r="A495" s="4" t="s">
        <v>7015</v>
      </c>
      <c r="B495" s="6" t="str">
        <f t="shared" si="1"/>
        <v>388.481</v>
      </c>
      <c r="C495" s="6" t="str">
        <f t="shared" si="2"/>
        <v>388,481</v>
      </c>
      <c r="D495" s="6">
        <f t="shared" si="3"/>
        <v>388.481</v>
      </c>
      <c r="E495" s="6">
        <f t="shared" si="4"/>
        <v>0.513</v>
      </c>
    </row>
    <row r="496">
      <c r="A496" s="4" t="s">
        <v>7016</v>
      </c>
      <c r="B496" s="6" t="str">
        <f t="shared" si="1"/>
        <v>388.918</v>
      </c>
      <c r="C496" s="6" t="str">
        <f t="shared" si="2"/>
        <v>388,918</v>
      </c>
      <c r="D496" s="6">
        <f t="shared" si="3"/>
        <v>388.918</v>
      </c>
      <c r="E496" s="6">
        <f t="shared" si="4"/>
        <v>0.437</v>
      </c>
    </row>
    <row r="497">
      <c r="A497" s="4" t="s">
        <v>7017</v>
      </c>
      <c r="B497" s="6" t="str">
        <f t="shared" si="1"/>
        <v>389.518</v>
      </c>
      <c r="C497" s="6" t="str">
        <f t="shared" si="2"/>
        <v>389,518</v>
      </c>
      <c r="D497" s="6">
        <f t="shared" si="3"/>
        <v>389.518</v>
      </c>
      <c r="E497" s="6">
        <f t="shared" si="4"/>
        <v>0.6</v>
      </c>
    </row>
    <row r="498">
      <c r="A498" s="4" t="s">
        <v>7018</v>
      </c>
      <c r="B498" s="6" t="str">
        <f t="shared" si="1"/>
        <v>390.140</v>
      </c>
      <c r="C498" s="6" t="str">
        <f t="shared" si="2"/>
        <v>390,140</v>
      </c>
      <c r="D498" s="6">
        <f t="shared" si="3"/>
        <v>390.14</v>
      </c>
      <c r="E498" s="6">
        <f t="shared" si="4"/>
        <v>0.622</v>
      </c>
    </row>
    <row r="499">
      <c r="A499" s="4" t="s">
        <v>7019</v>
      </c>
      <c r="B499" s="6" t="str">
        <f t="shared" si="1"/>
        <v>390.612</v>
      </c>
      <c r="C499" s="6" t="str">
        <f t="shared" si="2"/>
        <v>390,612</v>
      </c>
      <c r="D499" s="6">
        <f t="shared" si="3"/>
        <v>390.612</v>
      </c>
      <c r="E499" s="6">
        <f t="shared" si="4"/>
        <v>0.472</v>
      </c>
    </row>
    <row r="500">
      <c r="A500" s="4" t="s">
        <v>7020</v>
      </c>
      <c r="B500" s="6" t="str">
        <f t="shared" si="1"/>
        <v>390.987</v>
      </c>
      <c r="C500" s="6" t="str">
        <f t="shared" si="2"/>
        <v>390,987</v>
      </c>
      <c r="D500" s="6">
        <f t="shared" si="3"/>
        <v>390.987</v>
      </c>
      <c r="E500" s="6">
        <f t="shared" si="4"/>
        <v>0.375</v>
      </c>
    </row>
    <row r="501">
      <c r="A501" s="4" t="s">
        <v>7021</v>
      </c>
      <c r="B501" s="6" t="str">
        <f t="shared" si="1"/>
        <v>391.531</v>
      </c>
      <c r="C501" s="6" t="str">
        <f t="shared" si="2"/>
        <v>391,531</v>
      </c>
      <c r="D501" s="6">
        <f t="shared" si="3"/>
        <v>391.531</v>
      </c>
      <c r="E501" s="6">
        <f t="shared" si="4"/>
        <v>0.544</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c r="H1" s="7"/>
    </row>
    <row r="2">
      <c r="A2" s="4" t="s">
        <v>7022</v>
      </c>
      <c r="C2" s="4"/>
      <c r="D2" s="4"/>
      <c r="E2" s="8"/>
      <c r="F2" s="8"/>
      <c r="G2" s="8"/>
      <c r="H2" s="9"/>
    </row>
    <row r="3">
      <c r="A3" s="4"/>
      <c r="C3" s="4"/>
      <c r="D3" s="4"/>
      <c r="E3" s="8"/>
      <c r="F3" s="8"/>
      <c r="G3" s="8"/>
      <c r="H3" s="9"/>
    </row>
    <row r="4">
      <c r="A4" s="4"/>
      <c r="C4" s="4"/>
      <c r="D4" s="4"/>
      <c r="E4" s="8"/>
      <c r="F4" s="8"/>
      <c r="G4" s="8"/>
      <c r="H4" s="9"/>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c r="H1" s="7"/>
    </row>
    <row r="2">
      <c r="A2" s="4" t="s">
        <v>33</v>
      </c>
      <c r="C2" s="4"/>
      <c r="D2" s="4"/>
      <c r="E2" s="8"/>
      <c r="F2" s="8"/>
      <c r="G2" s="8"/>
      <c r="H2" s="9"/>
    </row>
    <row r="3">
      <c r="A3" s="4" t="s">
        <v>34</v>
      </c>
      <c r="C3" s="4"/>
      <c r="D3" s="4"/>
      <c r="E3" s="8"/>
      <c r="F3" s="8"/>
      <c r="G3" s="8"/>
      <c r="H3" s="9"/>
    </row>
    <row r="4">
      <c r="A4" s="4" t="s">
        <v>75</v>
      </c>
    </row>
    <row r="5">
      <c r="A5" s="4" t="s">
        <v>1505</v>
      </c>
    </row>
    <row r="6">
      <c r="A6" s="4" t="s">
        <v>129</v>
      </c>
    </row>
    <row r="7">
      <c r="A7" s="4" t="s">
        <v>109</v>
      </c>
    </row>
    <row r="8">
      <c r="A8" s="4" t="s">
        <v>119</v>
      </c>
    </row>
    <row r="9">
      <c r="A9" s="4" t="s">
        <v>62</v>
      </c>
    </row>
    <row r="10">
      <c r="A10" s="4" t="s">
        <v>7023</v>
      </c>
    </row>
    <row r="11">
      <c r="A11" s="4" t="s">
        <v>33</v>
      </c>
    </row>
    <row r="12">
      <c r="A12" s="4" t="s">
        <v>34</v>
      </c>
    </row>
    <row r="13">
      <c r="A13" s="4" t="s">
        <v>35</v>
      </c>
    </row>
    <row r="14">
      <c r="A14" s="4" t="s">
        <v>96</v>
      </c>
    </row>
    <row r="15">
      <c r="A15" s="4" t="s">
        <v>65</v>
      </c>
    </row>
    <row r="16">
      <c r="A16" s="4" t="s">
        <v>121</v>
      </c>
    </row>
    <row r="17">
      <c r="A17" s="4" t="s">
        <v>92</v>
      </c>
    </row>
    <row r="18">
      <c r="A18" s="4" t="s">
        <v>122</v>
      </c>
    </row>
    <row r="19">
      <c r="A19" s="4" t="s">
        <v>1382</v>
      </c>
    </row>
    <row r="20">
      <c r="A20" s="4" t="s">
        <v>33</v>
      </c>
    </row>
    <row r="21">
      <c r="A21" s="4" t="s">
        <v>51</v>
      </c>
    </row>
    <row r="22">
      <c r="A22" s="4" t="s">
        <v>102</v>
      </c>
    </row>
    <row r="23">
      <c r="A23" s="4" t="s">
        <v>50</v>
      </c>
    </row>
    <row r="24">
      <c r="A24" s="4" t="s">
        <v>159</v>
      </c>
    </row>
    <row r="25">
      <c r="A25" s="4" t="s">
        <v>33</v>
      </c>
    </row>
    <row r="26">
      <c r="A26" s="4" t="s">
        <v>34</v>
      </c>
    </row>
    <row r="27">
      <c r="A27" s="4" t="s">
        <v>96</v>
      </c>
    </row>
    <row r="28">
      <c r="A28" s="4" t="s">
        <v>35</v>
      </c>
    </row>
    <row r="29">
      <c r="A29" s="4" t="s">
        <v>1509</v>
      </c>
    </row>
    <row r="30">
      <c r="A30" s="4" t="s">
        <v>44</v>
      </c>
    </row>
    <row r="31">
      <c r="A31" s="4" t="s">
        <v>2604</v>
      </c>
    </row>
    <row r="32">
      <c r="A32" s="4" t="s">
        <v>33</v>
      </c>
    </row>
    <row r="33">
      <c r="A33" s="4" t="s">
        <v>36</v>
      </c>
    </row>
    <row r="34">
      <c r="A34" s="4" t="s">
        <v>64</v>
      </c>
    </row>
    <row r="35">
      <c r="A35" s="4" t="s">
        <v>35</v>
      </c>
    </row>
    <row r="36">
      <c r="A36" s="4" t="s">
        <v>65</v>
      </c>
    </row>
    <row r="37">
      <c r="A37" s="4" t="s">
        <v>89</v>
      </c>
    </row>
    <row r="38">
      <c r="A38" s="4" t="s">
        <v>44</v>
      </c>
    </row>
    <row r="39">
      <c r="A39" s="4" t="s">
        <v>549</v>
      </c>
    </row>
    <row r="40">
      <c r="A40" s="4" t="s">
        <v>33</v>
      </c>
    </row>
    <row r="41">
      <c r="A41" s="4" t="s">
        <v>34</v>
      </c>
    </row>
    <row r="42">
      <c r="A42" s="4" t="s">
        <v>75</v>
      </c>
    </row>
    <row r="43">
      <c r="A43" s="4" t="s">
        <v>1505</v>
      </c>
    </row>
    <row r="44">
      <c r="A44" s="4" t="s">
        <v>129</v>
      </c>
    </row>
    <row r="45">
      <c r="A45" s="4" t="s">
        <v>109</v>
      </c>
    </row>
    <row r="46">
      <c r="A46" s="4" t="s">
        <v>119</v>
      </c>
    </row>
    <row r="47">
      <c r="A47" s="4" t="s">
        <v>1500</v>
      </c>
    </row>
    <row r="48">
      <c r="A48" s="4" t="s">
        <v>33</v>
      </c>
    </row>
    <row r="49">
      <c r="A49" s="4" t="s">
        <v>34</v>
      </c>
    </row>
    <row r="50">
      <c r="A50" s="4" t="s">
        <v>2603</v>
      </c>
    </row>
    <row r="51">
      <c r="A51" s="4" t="s">
        <v>40</v>
      </c>
    </row>
    <row r="52">
      <c r="A52" s="4" t="s">
        <v>75</v>
      </c>
    </row>
    <row r="53">
      <c r="A53" s="4" t="s">
        <v>119</v>
      </c>
    </row>
    <row r="54">
      <c r="A54" s="4" t="s">
        <v>56</v>
      </c>
    </row>
    <row r="55">
      <c r="A55" s="4" t="s">
        <v>7024</v>
      </c>
    </row>
    <row r="56">
      <c r="A56" s="4" t="s">
        <v>33</v>
      </c>
    </row>
    <row r="57">
      <c r="A57" s="4" t="s">
        <v>43</v>
      </c>
    </row>
    <row r="58">
      <c r="A58" s="4" t="s">
        <v>44</v>
      </c>
    </row>
    <row r="59">
      <c r="A59" s="4" t="s">
        <v>45</v>
      </c>
    </row>
    <row r="60">
      <c r="A60" s="4" t="s">
        <v>46</v>
      </c>
    </row>
    <row r="61">
      <c r="A61" s="4" t="s">
        <v>47</v>
      </c>
    </row>
    <row r="62">
      <c r="A62" s="4" t="s">
        <v>41</v>
      </c>
    </row>
    <row r="63">
      <c r="A63" s="4" t="s">
        <v>42</v>
      </c>
    </row>
    <row r="64">
      <c r="A64" s="4" t="s">
        <v>48</v>
      </c>
    </row>
    <row r="65">
      <c r="A65" s="4" t="s">
        <v>49</v>
      </c>
    </row>
    <row r="66">
      <c r="A66" s="4" t="s">
        <v>160</v>
      </c>
    </row>
    <row r="67">
      <c r="A67" s="4" t="s">
        <v>136</v>
      </c>
    </row>
    <row r="68">
      <c r="A68" s="4" t="s">
        <v>33</v>
      </c>
    </row>
    <row r="69">
      <c r="A69" s="4" t="s">
        <v>34</v>
      </c>
    </row>
    <row r="70">
      <c r="A70" s="4" t="s">
        <v>36</v>
      </c>
    </row>
    <row r="71">
      <c r="A71" s="4" t="s">
        <v>105</v>
      </c>
    </row>
    <row r="72">
      <c r="A72" s="4" t="s">
        <v>106</v>
      </c>
    </row>
    <row r="73">
      <c r="A73" s="4" t="s">
        <v>88</v>
      </c>
    </row>
    <row r="74">
      <c r="A74" s="4" t="s">
        <v>89</v>
      </c>
    </row>
    <row r="75">
      <c r="A75" s="4" t="s">
        <v>33</v>
      </c>
    </row>
    <row r="76">
      <c r="A76" s="4" t="s">
        <v>51</v>
      </c>
    </row>
    <row r="77">
      <c r="A77" s="4" t="s">
        <v>164</v>
      </c>
    </row>
    <row r="78">
      <c r="A78" s="4" t="s">
        <v>35</v>
      </c>
    </row>
    <row r="79">
      <c r="A79" s="4" t="s">
        <v>40</v>
      </c>
    </row>
    <row r="80">
      <c r="A80" s="4" t="s">
        <v>128</v>
      </c>
    </row>
    <row r="81">
      <c r="A81" s="4" t="s">
        <v>101</v>
      </c>
    </row>
    <row r="82">
      <c r="A82" s="4" t="s">
        <v>129</v>
      </c>
    </row>
    <row r="83">
      <c r="A83" s="4" t="s">
        <v>109</v>
      </c>
    </row>
    <row r="84">
      <c r="A84" s="4" t="s">
        <v>119</v>
      </c>
    </row>
    <row r="85">
      <c r="A85" s="4" t="s">
        <v>62</v>
      </c>
    </row>
    <row r="86">
      <c r="A86" s="4" t="s">
        <v>2608</v>
      </c>
    </row>
    <row r="87">
      <c r="A87" s="4" t="s">
        <v>48</v>
      </c>
    </row>
    <row r="88">
      <c r="A88" s="4" t="s">
        <v>88</v>
      </c>
    </row>
    <row r="89">
      <c r="A89" s="4" t="s">
        <v>75</v>
      </c>
    </row>
    <row r="90">
      <c r="A90" s="4" t="s">
        <v>115</v>
      </c>
    </row>
    <row r="91">
      <c r="A91" s="4" t="s">
        <v>33</v>
      </c>
    </row>
    <row r="92">
      <c r="A92" s="4" t="s">
        <v>51</v>
      </c>
    </row>
    <row r="93">
      <c r="A93" s="4" t="s">
        <v>7025</v>
      </c>
    </row>
    <row r="94">
      <c r="A94" s="4" t="s">
        <v>41</v>
      </c>
    </row>
    <row r="95">
      <c r="A95" s="4" t="s">
        <v>7026</v>
      </c>
    </row>
    <row r="96">
      <c r="A96" s="4" t="s">
        <v>61</v>
      </c>
    </row>
    <row r="97">
      <c r="A97" s="4" t="s">
        <v>33</v>
      </c>
    </row>
    <row r="98">
      <c r="A98" s="4" t="s">
        <v>34</v>
      </c>
    </row>
    <row r="99">
      <c r="A99" s="4" t="s">
        <v>36</v>
      </c>
    </row>
    <row r="100">
      <c r="A100" s="4" t="s">
        <v>164</v>
      </c>
    </row>
    <row r="101">
      <c r="A101" s="4" t="s">
        <v>50</v>
      </c>
    </row>
    <row r="102">
      <c r="A102" s="4" t="s">
        <v>40</v>
      </c>
    </row>
    <row r="103">
      <c r="A103" s="4" t="s">
        <v>126</v>
      </c>
    </row>
    <row r="104">
      <c r="A104" s="4" t="s">
        <v>139</v>
      </c>
    </row>
    <row r="105">
      <c r="A105" s="4" t="s">
        <v>33</v>
      </c>
    </row>
    <row r="106">
      <c r="A106" s="4" t="s">
        <v>34</v>
      </c>
    </row>
    <row r="107">
      <c r="A107" s="4" t="s">
        <v>80</v>
      </c>
    </row>
    <row r="108">
      <c r="A108" s="4" t="s">
        <v>37</v>
      </c>
    </row>
    <row r="109">
      <c r="A109" s="4" t="s">
        <v>38</v>
      </c>
    </row>
    <row r="110">
      <c r="A110" s="4" t="s">
        <v>62</v>
      </c>
    </row>
    <row r="111">
      <c r="A111" s="4" t="s">
        <v>153</v>
      </c>
    </row>
    <row r="112">
      <c r="A112" s="4" t="s">
        <v>83</v>
      </c>
    </row>
    <row r="113">
      <c r="A113" s="4" t="s">
        <v>2614</v>
      </c>
    </row>
    <row r="114">
      <c r="A114" s="4" t="s">
        <v>128</v>
      </c>
    </row>
    <row r="115">
      <c r="A115" s="4" t="s">
        <v>3580</v>
      </c>
    </row>
    <row r="116">
      <c r="A116" s="4" t="s">
        <v>33</v>
      </c>
    </row>
    <row r="117">
      <c r="A117" s="4" t="s">
        <v>34</v>
      </c>
    </row>
    <row r="118">
      <c r="A118" s="4" t="s">
        <v>546</v>
      </c>
    </row>
    <row r="119">
      <c r="A119" s="4" t="s">
        <v>75</v>
      </c>
    </row>
    <row r="120">
      <c r="A120" s="4" t="s">
        <v>7027</v>
      </c>
    </row>
    <row r="121">
      <c r="A121" s="4" t="s">
        <v>33</v>
      </c>
    </row>
    <row r="122">
      <c r="A122" s="4" t="s">
        <v>34</v>
      </c>
    </row>
    <row r="123">
      <c r="A123" s="4" t="s">
        <v>520</v>
      </c>
    </row>
    <row r="124">
      <c r="A124" s="4" t="s">
        <v>546</v>
      </c>
    </row>
    <row r="125">
      <c r="A125" s="4" t="s">
        <v>44</v>
      </c>
    </row>
    <row r="126">
      <c r="A126" s="4" t="s">
        <v>119</v>
      </c>
    </row>
    <row r="127">
      <c r="A127" s="4" t="s">
        <v>166</v>
      </c>
    </row>
    <row r="128">
      <c r="A128" s="4" t="s">
        <v>33</v>
      </c>
    </row>
    <row r="129">
      <c r="A129" s="4" t="s">
        <v>34</v>
      </c>
    </row>
    <row r="130">
      <c r="A130" s="4" t="s">
        <v>96</v>
      </c>
    </row>
    <row r="131">
      <c r="A131" s="4" t="s">
        <v>7028</v>
      </c>
    </row>
    <row r="132">
      <c r="A132" s="4" t="s">
        <v>33</v>
      </c>
    </row>
    <row r="133">
      <c r="A133" s="4" t="s">
        <v>34</v>
      </c>
    </row>
    <row r="134">
      <c r="A134" s="4" t="s">
        <v>40</v>
      </c>
    </row>
    <row r="135">
      <c r="A135" s="4" t="s">
        <v>75</v>
      </c>
    </row>
    <row r="136">
      <c r="A136" s="4" t="s">
        <v>100</v>
      </c>
    </row>
    <row r="137">
      <c r="A137" s="4" t="s">
        <v>90</v>
      </c>
    </row>
    <row r="138">
      <c r="A138" s="4" t="s">
        <v>33</v>
      </c>
    </row>
    <row r="139">
      <c r="A139" s="4" t="s">
        <v>36</v>
      </c>
    </row>
    <row r="140">
      <c r="A140" s="4" t="s">
        <v>34</v>
      </c>
    </row>
    <row r="141">
      <c r="A141" s="4" t="s">
        <v>41</v>
      </c>
    </row>
    <row r="142">
      <c r="A142" s="4" t="s">
        <v>7029</v>
      </c>
    </row>
    <row r="143">
      <c r="A143" s="4" t="s">
        <v>114</v>
      </c>
    </row>
    <row r="144">
      <c r="A144" s="4" t="s">
        <v>160</v>
      </c>
    </row>
    <row r="145">
      <c r="A145" s="4" t="s">
        <v>116</v>
      </c>
    </row>
    <row r="146">
      <c r="A146" s="4" t="s">
        <v>117</v>
      </c>
    </row>
    <row r="147">
      <c r="A147" s="4" t="s">
        <v>7030</v>
      </c>
    </row>
    <row r="148">
      <c r="A148" s="4" t="s">
        <v>48</v>
      </c>
    </row>
    <row r="149">
      <c r="A149" s="4" t="s">
        <v>507</v>
      </c>
    </row>
    <row r="150">
      <c r="A150" s="4" t="s">
        <v>92</v>
      </c>
    </row>
    <row r="151">
      <c r="A151" s="4" t="s">
        <v>122</v>
      </c>
    </row>
    <row r="152">
      <c r="A152" s="4" t="s">
        <v>62</v>
      </c>
    </row>
    <row r="153">
      <c r="A153" s="4" t="s">
        <v>63</v>
      </c>
    </row>
    <row r="154">
      <c r="A154" s="4" t="s">
        <v>64</v>
      </c>
    </row>
    <row r="155">
      <c r="A155" s="4" t="s">
        <v>35</v>
      </c>
    </row>
    <row r="156">
      <c r="A156" s="4" t="s">
        <v>65</v>
      </c>
    </row>
    <row r="157">
      <c r="A157" s="4" t="s">
        <v>75</v>
      </c>
    </row>
    <row r="158">
      <c r="A158" s="4" t="s">
        <v>128</v>
      </c>
    </row>
    <row r="159">
      <c r="A159" s="4" t="s">
        <v>147</v>
      </c>
    </row>
    <row r="160">
      <c r="A160" s="4" t="s">
        <v>48</v>
      </c>
    </row>
    <row r="161">
      <c r="A161" s="4" t="s">
        <v>49</v>
      </c>
    </row>
    <row r="162">
      <c r="A162" s="4" t="s">
        <v>129</v>
      </c>
    </row>
    <row r="163">
      <c r="A163" s="4" t="s">
        <v>109</v>
      </c>
    </row>
    <row r="164">
      <c r="A164" s="4" t="s">
        <v>119</v>
      </c>
    </row>
    <row r="165">
      <c r="A165" s="4" t="s">
        <v>62</v>
      </c>
    </row>
    <row r="166">
      <c r="A166" s="4" t="s">
        <v>2608</v>
      </c>
    </row>
    <row r="167">
      <c r="A167" s="4" t="s">
        <v>33</v>
      </c>
    </row>
    <row r="168">
      <c r="A168" s="4" t="s">
        <v>34</v>
      </c>
    </row>
    <row r="169">
      <c r="A169" s="4" t="s">
        <v>35</v>
      </c>
    </row>
    <row r="170">
      <c r="A170" s="4" t="s">
        <v>96</v>
      </c>
    </row>
    <row r="171">
      <c r="A171" s="4" t="s">
        <v>65</v>
      </c>
    </row>
    <row r="172">
      <c r="A172" s="4" t="s">
        <v>33</v>
      </c>
    </row>
    <row r="173">
      <c r="A173" s="4" t="s">
        <v>34</v>
      </c>
    </row>
    <row r="174">
      <c r="A174" s="4" t="s">
        <v>50</v>
      </c>
    </row>
    <row r="175">
      <c r="A175" s="4" t="s">
        <v>40</v>
      </c>
    </row>
    <row r="176">
      <c r="A176" s="4" t="s">
        <v>33</v>
      </c>
    </row>
    <row r="177">
      <c r="A177" s="4" t="s">
        <v>158</v>
      </c>
    </row>
    <row r="178">
      <c r="A178" s="4" t="s">
        <v>497</v>
      </c>
    </row>
    <row r="179">
      <c r="A179" s="4" t="s">
        <v>40</v>
      </c>
    </row>
    <row r="180">
      <c r="A180" s="4" t="s">
        <v>552</v>
      </c>
    </row>
    <row r="181">
      <c r="A181" s="4" t="s">
        <v>33</v>
      </c>
    </row>
    <row r="182">
      <c r="A182" s="4" t="s">
        <v>34</v>
      </c>
    </row>
    <row r="183">
      <c r="A183" s="4" t="s">
        <v>80</v>
      </c>
    </row>
    <row r="184">
      <c r="A184" s="4" t="s">
        <v>37</v>
      </c>
    </row>
    <row r="185">
      <c r="A185" s="4" t="s">
        <v>38</v>
      </c>
    </row>
    <row r="186">
      <c r="A186" s="4" t="s">
        <v>103</v>
      </c>
    </row>
    <row r="187">
      <c r="A187" s="4" t="s">
        <v>1222</v>
      </c>
    </row>
    <row r="188">
      <c r="A188" s="4" t="s">
        <v>92</v>
      </c>
    </row>
    <row r="189">
      <c r="A189" s="4" t="s">
        <v>1223</v>
      </c>
    </row>
    <row r="190">
      <c r="A190" s="4" t="s">
        <v>98</v>
      </c>
    </row>
    <row r="191">
      <c r="A191" s="4" t="s">
        <v>153</v>
      </c>
    </row>
    <row r="192">
      <c r="A192" s="4" t="s">
        <v>7031</v>
      </c>
    </row>
    <row r="193">
      <c r="A193" s="4" t="s">
        <v>33</v>
      </c>
    </row>
    <row r="194">
      <c r="A194" s="4" t="s">
        <v>36</v>
      </c>
    </row>
    <row r="195">
      <c r="A195" s="4" t="s">
        <v>7032</v>
      </c>
    </row>
    <row r="196">
      <c r="A196" s="4" t="s">
        <v>7033</v>
      </c>
    </row>
    <row r="197">
      <c r="A197" s="4" t="s">
        <v>7034</v>
      </c>
    </row>
    <row r="198">
      <c r="A198" s="4" t="s">
        <v>62</v>
      </c>
    </row>
    <row r="199">
      <c r="A199" s="4" t="s">
        <v>63</v>
      </c>
    </row>
    <row r="200">
      <c r="A200" s="4" t="s">
        <v>64</v>
      </c>
    </row>
    <row r="201">
      <c r="A201" s="4" t="s">
        <v>35</v>
      </c>
    </row>
    <row r="202">
      <c r="A202" s="4" t="s">
        <v>65</v>
      </c>
    </row>
    <row r="203">
      <c r="A203" s="4" t="s">
        <v>88</v>
      </c>
    </row>
    <row r="204">
      <c r="A204" s="4" t="s">
        <v>89</v>
      </c>
    </row>
    <row r="205">
      <c r="A205" s="4" t="s">
        <v>48</v>
      </c>
    </row>
    <row r="206">
      <c r="A206" s="4" t="s">
        <v>40</v>
      </c>
    </row>
    <row r="207">
      <c r="A207" s="4" t="s">
        <v>147</v>
      </c>
    </row>
    <row r="208">
      <c r="A208" s="4" t="s">
        <v>57</v>
      </c>
    </row>
    <row r="209">
      <c r="A209" s="4" t="s">
        <v>33</v>
      </c>
    </row>
    <row r="210">
      <c r="A210" s="4" t="s">
        <v>34</v>
      </c>
    </row>
    <row r="211">
      <c r="A211" s="4" t="s">
        <v>90</v>
      </c>
    </row>
    <row r="212">
      <c r="A212" s="4" t="s">
        <v>44</v>
      </c>
    </row>
    <row r="213">
      <c r="A213" s="4" t="s">
        <v>522</v>
      </c>
    </row>
    <row r="214">
      <c r="A214" s="4" t="s">
        <v>33</v>
      </c>
    </row>
    <row r="215">
      <c r="A215" s="4" t="s">
        <v>144</v>
      </c>
    </row>
    <row r="216">
      <c r="A216" s="4" t="s">
        <v>50</v>
      </c>
    </row>
    <row r="217">
      <c r="A217" s="4" t="s">
        <v>40</v>
      </c>
    </row>
    <row r="218">
      <c r="A218" s="4" t="s">
        <v>129</v>
      </c>
    </row>
    <row r="219">
      <c r="A219" s="4" t="s">
        <v>146</v>
      </c>
    </row>
    <row r="220">
      <c r="A220" s="4" t="s">
        <v>33</v>
      </c>
    </row>
    <row r="221">
      <c r="A221" s="4" t="s">
        <v>34</v>
      </c>
    </row>
    <row r="222">
      <c r="A222" s="4" t="s">
        <v>36</v>
      </c>
    </row>
    <row r="223">
      <c r="A223" s="4" t="s">
        <v>943</v>
      </c>
    </row>
    <row r="224">
      <c r="A224" s="4" t="s">
        <v>41</v>
      </c>
    </row>
    <row r="225">
      <c r="A225" s="4" t="s">
        <v>944</v>
      </c>
    </row>
    <row r="226">
      <c r="A226" s="4" t="s">
        <v>7035</v>
      </c>
    </row>
    <row r="227">
      <c r="A227" s="4" t="s">
        <v>33</v>
      </c>
    </row>
    <row r="228">
      <c r="A228" s="4" t="s">
        <v>34</v>
      </c>
    </row>
    <row r="229">
      <c r="A229" s="4" t="s">
        <v>36</v>
      </c>
    </row>
    <row r="230">
      <c r="A230" s="4" t="s">
        <v>71</v>
      </c>
    </row>
    <row r="231">
      <c r="A231" s="4" t="s">
        <v>73</v>
      </c>
    </row>
    <row r="232">
      <c r="A232" s="4" t="s">
        <v>7036</v>
      </c>
    </row>
    <row r="233">
      <c r="A233" s="4" t="s">
        <v>75</v>
      </c>
    </row>
    <row r="234">
      <c r="A234" s="4" t="s">
        <v>7037</v>
      </c>
    </row>
    <row r="235">
      <c r="A235" s="4" t="s">
        <v>33</v>
      </c>
    </row>
    <row r="236">
      <c r="A236" s="4" t="s">
        <v>34</v>
      </c>
    </row>
    <row r="237">
      <c r="A237" s="4" t="s">
        <v>80</v>
      </c>
    </row>
    <row r="238">
      <c r="A238" s="4" t="s">
        <v>37</v>
      </c>
    </row>
    <row r="239">
      <c r="A239" s="4" t="s">
        <v>44</v>
      </c>
    </row>
    <row r="240">
      <c r="A240" s="4" t="s">
        <v>7038</v>
      </c>
    </row>
    <row r="241">
      <c r="A241" s="4" t="s">
        <v>83</v>
      </c>
    </row>
    <row r="242">
      <c r="A242" s="4" t="s">
        <v>84</v>
      </c>
    </row>
    <row r="243">
      <c r="A243" s="4" t="s">
        <v>7039</v>
      </c>
    </row>
    <row r="244">
      <c r="A244" s="4" t="s">
        <v>85</v>
      </c>
    </row>
    <row r="245">
      <c r="A245" s="4" t="s">
        <v>128</v>
      </c>
    </row>
    <row r="246">
      <c r="A246" s="4" t="s">
        <v>7040</v>
      </c>
    </row>
    <row r="247">
      <c r="A247" s="4" t="s">
        <v>48</v>
      </c>
    </row>
    <row r="248">
      <c r="A248" s="4" t="s">
        <v>7041</v>
      </c>
    </row>
    <row r="249">
      <c r="A249" s="4" t="s">
        <v>33</v>
      </c>
    </row>
    <row r="250">
      <c r="A250" s="4" t="s">
        <v>34</v>
      </c>
    </row>
    <row r="251">
      <c r="A251" s="4" t="s">
        <v>96</v>
      </c>
    </row>
    <row r="252">
      <c r="A252" s="4" t="s">
        <v>90</v>
      </c>
    </row>
    <row r="253">
      <c r="A253" s="4" t="s">
        <v>33</v>
      </c>
    </row>
    <row r="254">
      <c r="A254" s="4" t="s">
        <v>34</v>
      </c>
    </row>
    <row r="255">
      <c r="A255" s="4" t="s">
        <v>121</v>
      </c>
    </row>
    <row r="256">
      <c r="A256" s="4" t="s">
        <v>92</v>
      </c>
    </row>
    <row r="257">
      <c r="A257" s="4" t="s">
        <v>122</v>
      </c>
    </row>
    <row r="258">
      <c r="A258" s="4" t="s">
        <v>7042</v>
      </c>
    </row>
    <row r="259">
      <c r="A259" s="4" t="s">
        <v>33</v>
      </c>
    </row>
    <row r="260">
      <c r="A260" s="4" t="s">
        <v>34</v>
      </c>
    </row>
    <row r="261">
      <c r="A261" s="4" t="s">
        <v>103</v>
      </c>
    </row>
    <row r="262">
      <c r="A262" s="4" t="s">
        <v>7043</v>
      </c>
    </row>
    <row r="263">
      <c r="A263" s="4" t="s">
        <v>33</v>
      </c>
    </row>
    <row r="264">
      <c r="A264" s="4" t="s">
        <v>144</v>
      </c>
    </row>
    <row r="265">
      <c r="A265" s="4" t="s">
        <v>50</v>
      </c>
    </row>
    <row r="266">
      <c r="A266" s="4" t="s">
        <v>40</v>
      </c>
    </row>
    <row r="267">
      <c r="A267" s="4" t="s">
        <v>129</v>
      </c>
    </row>
    <row r="268">
      <c r="A268" s="4" t="s">
        <v>146</v>
      </c>
    </row>
    <row r="269">
      <c r="A269" s="4" t="s">
        <v>48</v>
      </c>
    </row>
    <row r="270">
      <c r="A270" s="4" t="s">
        <v>126</v>
      </c>
    </row>
    <row r="271">
      <c r="A271" s="4" t="s">
        <v>139</v>
      </c>
    </row>
    <row r="272">
      <c r="A272" s="4" t="s">
        <v>33</v>
      </c>
    </row>
    <row r="273">
      <c r="A273" s="4" t="s">
        <v>34</v>
      </c>
    </row>
    <row r="274">
      <c r="A274" s="4" t="s">
        <v>40</v>
      </c>
    </row>
    <row r="275">
      <c r="A275" s="4" t="s">
        <v>7044</v>
      </c>
    </row>
    <row r="276">
      <c r="A276" s="4" t="s">
        <v>33</v>
      </c>
    </row>
    <row r="277">
      <c r="A277" s="4" t="s">
        <v>34</v>
      </c>
    </row>
    <row r="278">
      <c r="A278" s="4" t="s">
        <v>36</v>
      </c>
    </row>
    <row r="279">
      <c r="A279" s="4" t="s">
        <v>7045</v>
      </c>
    </row>
    <row r="280">
      <c r="A280" s="4" t="s">
        <v>106</v>
      </c>
    </row>
    <row r="281">
      <c r="A281" s="4" t="s">
        <v>50</v>
      </c>
    </row>
    <row r="282">
      <c r="A282" s="4" t="s">
        <v>40</v>
      </c>
    </row>
    <row r="283">
      <c r="A283" s="4" t="s">
        <v>126</v>
      </c>
    </row>
    <row r="284">
      <c r="A284" s="4" t="s">
        <v>139</v>
      </c>
    </row>
    <row r="285">
      <c r="A285" s="4" t="s">
        <v>33</v>
      </c>
    </row>
    <row r="286">
      <c r="A286" s="4" t="s">
        <v>34</v>
      </c>
    </row>
    <row r="287">
      <c r="A287" s="4" t="s">
        <v>497</v>
      </c>
    </row>
    <row r="288">
      <c r="A288" s="4" t="s">
        <v>40</v>
      </c>
    </row>
    <row r="289">
      <c r="A289" s="4" t="s">
        <v>552</v>
      </c>
    </row>
    <row r="290">
      <c r="A290" s="4" t="s">
        <v>44</v>
      </c>
    </row>
    <row r="291">
      <c r="A291" s="4" t="s">
        <v>2604</v>
      </c>
    </row>
    <row r="292">
      <c r="A292" s="4" t="s">
        <v>33</v>
      </c>
    </row>
    <row r="293">
      <c r="A293" s="4" t="s">
        <v>34</v>
      </c>
    </row>
    <row r="294">
      <c r="A294" s="4" t="s">
        <v>50</v>
      </c>
    </row>
    <row r="295">
      <c r="A295" s="4" t="s">
        <v>40</v>
      </c>
    </row>
    <row r="296">
      <c r="A296" s="4" t="s">
        <v>90</v>
      </c>
    </row>
    <row r="297">
      <c r="A297" s="4" t="s">
        <v>33</v>
      </c>
    </row>
    <row r="298">
      <c r="A298" s="4" t="s">
        <v>34</v>
      </c>
    </row>
    <row r="299">
      <c r="A299" s="4" t="s">
        <v>90</v>
      </c>
    </row>
    <row r="300">
      <c r="A300" s="4" t="s">
        <v>33</v>
      </c>
    </row>
    <row r="301">
      <c r="A301" s="4" t="s">
        <v>51</v>
      </c>
    </row>
    <row r="302">
      <c r="A302" s="4" t="s">
        <v>105</v>
      </c>
    </row>
    <row r="303">
      <c r="A303" s="4" t="s">
        <v>106</v>
      </c>
    </row>
    <row r="304">
      <c r="A304" s="4" t="s">
        <v>88</v>
      </c>
    </row>
    <row r="305">
      <c r="A305" s="4" t="s">
        <v>89</v>
      </c>
    </row>
    <row r="306">
      <c r="A306" s="4" t="s">
        <v>33</v>
      </c>
    </row>
    <row r="307">
      <c r="A307" s="4" t="s">
        <v>34</v>
      </c>
    </row>
    <row r="308">
      <c r="A308" s="4" t="s">
        <v>96</v>
      </c>
    </row>
    <row r="309">
      <c r="A309" s="4" t="s">
        <v>88</v>
      </c>
    </row>
    <row r="310">
      <c r="A310" s="4" t="s">
        <v>75</v>
      </c>
    </row>
    <row r="311">
      <c r="A311" s="4" t="s">
        <v>33</v>
      </c>
    </row>
    <row r="312">
      <c r="A312" s="4" t="s">
        <v>34</v>
      </c>
    </row>
    <row r="313">
      <c r="A313" s="4" t="s">
        <v>35</v>
      </c>
    </row>
    <row r="314">
      <c r="A314" s="4" t="s">
        <v>96</v>
      </c>
    </row>
    <row r="315">
      <c r="A315" s="4" t="s">
        <v>65</v>
      </c>
    </row>
    <row r="316">
      <c r="A316" s="4" t="s">
        <v>33</v>
      </c>
    </row>
    <row r="317">
      <c r="A317" s="4" t="s">
        <v>34</v>
      </c>
    </row>
    <row r="318">
      <c r="A318" s="4" t="s">
        <v>121</v>
      </c>
    </row>
    <row r="319">
      <c r="A319" s="4" t="s">
        <v>92</v>
      </c>
    </row>
    <row r="320">
      <c r="A320" s="4" t="s">
        <v>122</v>
      </c>
    </row>
    <row r="321">
      <c r="A321" s="4" t="s">
        <v>537</v>
      </c>
    </row>
    <row r="322">
      <c r="A322" s="4" t="s">
        <v>33</v>
      </c>
    </row>
    <row r="323">
      <c r="A323" s="4" t="s">
        <v>36</v>
      </c>
    </row>
    <row r="324">
      <c r="A324" s="4" t="s">
        <v>105</v>
      </c>
    </row>
    <row r="325">
      <c r="A325" s="4" t="s">
        <v>35</v>
      </c>
    </row>
    <row r="326">
      <c r="A326" s="4" t="s">
        <v>65</v>
      </c>
    </row>
    <row r="327">
      <c r="A327" s="4" t="s">
        <v>75</v>
      </c>
    </row>
    <row r="328">
      <c r="A328" s="4" t="s">
        <v>1505</v>
      </c>
    </row>
    <row r="329">
      <c r="A329" s="4" t="s">
        <v>129</v>
      </c>
    </row>
    <row r="330">
      <c r="A330" s="4" t="s">
        <v>109</v>
      </c>
    </row>
    <row r="331">
      <c r="A331" s="4" t="s">
        <v>119</v>
      </c>
    </row>
    <row r="332">
      <c r="A332" s="4" t="s">
        <v>62</v>
      </c>
    </row>
    <row r="333">
      <c r="A333" s="4" t="s">
        <v>2608</v>
      </c>
    </row>
    <row r="334">
      <c r="A334" s="4" t="s">
        <v>33</v>
      </c>
    </row>
    <row r="335">
      <c r="A335" s="4" t="s">
        <v>144</v>
      </c>
    </row>
    <row r="336">
      <c r="A336" s="4" t="s">
        <v>89</v>
      </c>
    </row>
    <row r="337">
      <c r="A337" s="4" t="s">
        <v>44</v>
      </c>
    </row>
    <row r="338">
      <c r="A338" s="4" t="s">
        <v>2604</v>
      </c>
    </row>
    <row r="339">
      <c r="A339" s="4" t="s">
        <v>33</v>
      </c>
    </row>
    <row r="340">
      <c r="A340" s="4" t="s">
        <v>7046</v>
      </c>
    </row>
    <row r="341">
      <c r="A341" s="4" t="s">
        <v>1504</v>
      </c>
    </row>
    <row r="342">
      <c r="A342" s="4" t="s">
        <v>50</v>
      </c>
    </row>
    <row r="343">
      <c r="A343" s="4" t="s">
        <v>129</v>
      </c>
    </row>
    <row r="344">
      <c r="A344" s="4" t="s">
        <v>34</v>
      </c>
    </row>
    <row r="345">
      <c r="A345" s="4" t="s">
        <v>33</v>
      </c>
    </row>
    <row r="346">
      <c r="A346" s="4" t="s">
        <v>34</v>
      </c>
    </row>
    <row r="347">
      <c r="A347" s="4" t="s">
        <v>35</v>
      </c>
    </row>
    <row r="348">
      <c r="A348" s="4" t="s">
        <v>40</v>
      </c>
    </row>
    <row r="349">
      <c r="A349" s="4" t="s">
        <v>1509</v>
      </c>
    </row>
    <row r="350">
      <c r="A350" s="4" t="s">
        <v>44</v>
      </c>
    </row>
    <row r="351">
      <c r="A351" s="4" t="s">
        <v>2604</v>
      </c>
    </row>
    <row r="352">
      <c r="A352" s="4" t="s">
        <v>33</v>
      </c>
    </row>
    <row r="353">
      <c r="A353" s="4" t="s">
        <v>48</v>
      </c>
    </row>
    <row r="354">
      <c r="A354" s="4" t="s">
        <v>147</v>
      </c>
    </row>
    <row r="355">
      <c r="A355" s="4" t="s">
        <v>80</v>
      </c>
    </row>
    <row r="356">
      <c r="A356" s="4" t="s">
        <v>866</v>
      </c>
    </row>
    <row r="357">
      <c r="A357" s="4" t="s">
        <v>41</v>
      </c>
    </row>
    <row r="358">
      <c r="A358" s="4" t="s">
        <v>1513</v>
      </c>
    </row>
    <row r="359">
      <c r="A359" s="4" t="s">
        <v>33</v>
      </c>
    </row>
    <row r="360">
      <c r="A360" s="4" t="s">
        <v>34</v>
      </c>
    </row>
    <row r="361">
      <c r="A361" s="4" t="s">
        <v>96</v>
      </c>
    </row>
    <row r="362">
      <c r="A362" s="4" t="s">
        <v>50</v>
      </c>
    </row>
    <row r="363">
      <c r="A363" s="4" t="s">
        <v>40</v>
      </c>
    </row>
    <row r="364">
      <c r="A364" s="4" t="s">
        <v>33</v>
      </c>
    </row>
    <row r="365">
      <c r="A365" s="4" t="s">
        <v>7047</v>
      </c>
    </row>
    <row r="366">
      <c r="A366" s="4" t="s">
        <v>7048</v>
      </c>
    </row>
    <row r="367">
      <c r="A367" s="4" t="s">
        <v>41</v>
      </c>
    </row>
    <row r="368">
      <c r="A368" s="4" t="s">
        <v>45</v>
      </c>
    </row>
    <row r="369">
      <c r="A369" s="4" t="s">
        <v>50</v>
      </c>
    </row>
    <row r="370">
      <c r="A370" s="4" t="s">
        <v>40</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2649</v>
      </c>
      <c r="D2" s="4" t="str">
        <f t="shared" ref="D2:D370" si="1">C2</f>
        <v>{"valorA":"pena","valorB":1}</v>
      </c>
      <c r="E2" s="8" t="str">
        <f t="shared" ref="E2:E370" si="2">SUBSTITUTE(MID(C2,FIND(":",C2)+1,FIND(",",C2)-FIND(":",C2)-1),"""","")</f>
        <v>pena</v>
      </c>
      <c r="F2" s="8" t="str">
        <f>IFERROR(__xludf.DUMMYFUNCTION("UNIQUE(E2:E370)"),"pena")</f>
        <v>pena</v>
      </c>
      <c r="G2" s="8" t="str">
        <f t="shared" ref="G2:G370" si="3">MID(C2,FIND("valorB",C2)+8,FIND("}",C2)-FIND("valorB",C2)-8)</f>
        <v>1</v>
      </c>
      <c r="H2" s="9">
        <f t="shared" ref="H2:H370" si="4">VALUE(SUBSTITUTE(G2,".",","))</f>
        <v>1</v>
      </c>
      <c r="I2" s="10">
        <f>IFERROR(__xludf.DUMMYFUNCTION("MAX(FILTER($H:$H,$E:$E=F2))"),4.0)</f>
        <v>4</v>
      </c>
    </row>
    <row r="3">
      <c r="C3" s="4" t="s">
        <v>2642</v>
      </c>
      <c r="D3" s="4" t="str">
        <f t="shared" si="1"/>
        <v>{"valorA":"que","valorB":1}</v>
      </c>
      <c r="E3" s="8" t="str">
        <f t="shared" si="2"/>
        <v>que</v>
      </c>
      <c r="F3" s="8" t="str">
        <f>IFERROR(__xludf.DUMMYFUNCTION("""COMPUTED_VALUE"""),"que")</f>
        <v>que</v>
      </c>
      <c r="G3" s="8" t="str">
        <f t="shared" si="3"/>
        <v>1</v>
      </c>
      <c r="H3" s="9">
        <f t="shared" si="4"/>
        <v>1</v>
      </c>
      <c r="I3" s="10">
        <f>IFERROR(__xludf.DUMMYFUNCTION("MAX(FILTER($H:$H,$E:$E=F3))"),5.0)</f>
        <v>5</v>
      </c>
    </row>
    <row r="4">
      <c r="C4" s="4" t="s">
        <v>2679</v>
      </c>
      <c r="D4" s="4" t="str">
        <f t="shared" si="1"/>
        <v>{"valorA":"é","valorB":1}</v>
      </c>
      <c r="E4" s="8" t="str">
        <f t="shared" si="2"/>
        <v>é</v>
      </c>
      <c r="F4" s="8" t="str">
        <f>IFERROR(__xludf.DUMMYFUNCTION("""COMPUTED_VALUE"""),"é")</f>
        <v>é</v>
      </c>
      <c r="G4" s="8" t="str">
        <f t="shared" si="3"/>
        <v>1</v>
      </c>
      <c r="H4" s="9">
        <f t="shared" si="4"/>
        <v>1</v>
      </c>
      <c r="I4" s="10">
        <f>IFERROR(__xludf.DUMMYFUNCTION("MAX(FILTER($H:$H,$E:$E=F4))"),10.0)</f>
        <v>10</v>
      </c>
    </row>
    <row r="5">
      <c r="C5" s="4" t="s">
        <v>2719</v>
      </c>
      <c r="D5" s="4" t="str">
        <f t="shared" si="1"/>
        <v>{"valorA":"é","valorB":2}</v>
      </c>
      <c r="E5" s="8" t="str">
        <f t="shared" si="2"/>
        <v>é</v>
      </c>
      <c r="F5" s="8" t="str">
        <f>IFERROR(__xludf.DUMMYFUNCTION("""COMPUTED_VALUE"""),"útil")</f>
        <v>útil</v>
      </c>
      <c r="G5" s="8" t="str">
        <f t="shared" si="3"/>
        <v>2</v>
      </c>
      <c r="H5" s="9">
        <f t="shared" si="4"/>
        <v>2</v>
      </c>
      <c r="I5" s="10">
        <f>IFERROR(__xludf.DUMMYFUNCTION("MAX(FILTER($H:$H,$E:$E=F5))"),2.0)</f>
        <v>2</v>
      </c>
    </row>
    <row r="6">
      <c r="C6" s="4" t="s">
        <v>2963</v>
      </c>
      <c r="D6" s="4" t="str">
        <f t="shared" si="1"/>
        <v>{"valorA":"útil","valorB":1}</v>
      </c>
      <c r="E6" s="8" t="str">
        <f t="shared" si="2"/>
        <v>útil</v>
      </c>
      <c r="F6" s="8" t="str">
        <f>IFERROR(__xludf.DUMMYFUNCTION("""COMPUTED_VALUE"""),"ótimo")</f>
        <v>ótimo</v>
      </c>
      <c r="G6" s="8" t="str">
        <f t="shared" si="3"/>
        <v>1</v>
      </c>
      <c r="H6" s="9">
        <f t="shared" si="4"/>
        <v>1</v>
      </c>
      <c r="I6" s="10">
        <f>IFERROR(__xludf.DUMMYFUNCTION("MAX(FILTER($H:$H,$E:$E=F6))"),48.0)</f>
        <v>48</v>
      </c>
    </row>
    <row r="7">
      <c r="C7" s="4" t="s">
        <v>2639</v>
      </c>
      <c r="D7" s="4" t="str">
        <f t="shared" si="1"/>
        <v>{"valorA":"ótimo","valorB":1}</v>
      </c>
      <c r="E7" s="8" t="str">
        <f t="shared" si="2"/>
        <v>ótimo</v>
      </c>
      <c r="F7" s="8" t="str">
        <f>IFERROR(__xludf.DUMMYFUNCTION("""COMPUTED_VALUE"""),"bem")</f>
        <v>bem</v>
      </c>
      <c r="G7" s="8" t="str">
        <f t="shared" si="3"/>
        <v>1</v>
      </c>
      <c r="H7" s="9">
        <f t="shared" si="4"/>
        <v>1</v>
      </c>
      <c r="I7" s="10">
        <f>IFERROR(__xludf.DUMMYFUNCTION("MAX(FILTER($H:$H,$E:$E=F7))"),10.0)</f>
        <v>10</v>
      </c>
    </row>
    <row r="8">
      <c r="C8" s="4" t="s">
        <v>2675</v>
      </c>
      <c r="D8" s="4" t="str">
        <f t="shared" si="1"/>
        <v>{"valorA":"bem","valorB":1}</v>
      </c>
      <c r="E8" s="8" t="str">
        <f t="shared" si="2"/>
        <v>bem</v>
      </c>
      <c r="F8" s="8" t="str">
        <f>IFERROR(__xludf.DUMMYFUNCTION("""COMPUTED_VALUE"""),"do")</f>
        <v>do</v>
      </c>
      <c r="G8" s="8" t="str">
        <f t="shared" si="3"/>
        <v>1</v>
      </c>
      <c r="H8" s="9">
        <f t="shared" si="4"/>
        <v>1</v>
      </c>
      <c r="I8" s="10">
        <f>IFERROR(__xludf.DUMMYFUNCTION("MAX(FILTER($H:$H,$E:$E=F8))"),8.0)</f>
        <v>8</v>
      </c>
    </row>
    <row r="9">
      <c r="C9" s="4" t="s">
        <v>2654</v>
      </c>
      <c r="D9" s="4" t="str">
        <f t="shared" si="1"/>
        <v>{"valorA":"do","valorB":1}</v>
      </c>
      <c r="E9" s="8" t="str">
        <f t="shared" si="2"/>
        <v>do</v>
      </c>
      <c r="F9" s="8" t="str">
        <f>IFERROR(__xludf.DUMMYFUNCTION("""COMPUTED_VALUE"""),"comprálo")</f>
        <v>comprálo</v>
      </c>
      <c r="G9" s="8" t="str">
        <f t="shared" si="3"/>
        <v>1</v>
      </c>
      <c r="H9" s="9">
        <f t="shared" si="4"/>
        <v>1</v>
      </c>
      <c r="I9" s="10">
        <f>IFERROR(__xludf.DUMMYFUNCTION("MAX(FILTER($H:$H,$E:$E=F9))"),1.0)</f>
        <v>1</v>
      </c>
    </row>
    <row r="10">
      <c r="C10" s="4" t="s">
        <v>2652</v>
      </c>
      <c r="D10" s="4" t="str">
        <f t="shared" si="1"/>
        <v>{"valorA":"ótimo","valorB":2}</v>
      </c>
      <c r="E10" s="8" t="str">
        <f t="shared" si="2"/>
        <v>ótimo</v>
      </c>
      <c r="F10" s="8" t="str">
        <f>IFERROR(__xludf.DUMMYFUNCTION("""COMPUTED_VALUE"""),"mim")</f>
        <v>mim</v>
      </c>
      <c r="G10" s="8" t="str">
        <f t="shared" si="3"/>
        <v>2</v>
      </c>
      <c r="H10" s="9">
        <f t="shared" si="4"/>
        <v>2</v>
      </c>
      <c r="I10" s="10">
        <f>IFERROR(__xludf.DUMMYFUNCTION("MAX(FILTER($H:$H,$E:$E=F10))"),4.0)</f>
        <v>4</v>
      </c>
    </row>
    <row r="11">
      <c r="C11" s="4" t="s">
        <v>7049</v>
      </c>
      <c r="D11" s="4" t="str">
        <f t="shared" si="1"/>
        <v>{"valorA":"comprálo","valorB":1}</v>
      </c>
      <c r="E11" s="8" t="str">
        <f t="shared" si="2"/>
        <v>comprálo</v>
      </c>
      <c r="F11" s="8" t="str">
        <f>IFERROR(__xludf.DUMMYFUNCTION("""COMPUTED_VALUE"""),"bastante")</f>
        <v>bastante</v>
      </c>
      <c r="G11" s="8" t="str">
        <f t="shared" si="3"/>
        <v>1</v>
      </c>
      <c r="H11" s="9">
        <f t="shared" si="4"/>
        <v>1</v>
      </c>
      <c r="I11" s="10">
        <f>IFERROR(__xludf.DUMMYFUNCTION("MAX(FILTER($H:$H,$E:$E=F11))"),1.0)</f>
        <v>1</v>
      </c>
    </row>
    <row r="12">
      <c r="C12" s="4" t="s">
        <v>2653</v>
      </c>
      <c r="D12" s="4" t="str">
        <f t="shared" si="1"/>
        <v>{"valorA":"ótimo","valorB":3}</v>
      </c>
      <c r="E12" s="8" t="str">
        <f t="shared" si="2"/>
        <v>ótimo</v>
      </c>
      <c r="F12" s="8" t="str">
        <f>IFERROR(__xludf.DUMMYFUNCTION("""COMPUTED_VALUE"""),"realmente")</f>
        <v>realmente</v>
      </c>
      <c r="G12" s="8" t="str">
        <f t="shared" si="3"/>
        <v>3</v>
      </c>
      <c r="H12" s="9">
        <f t="shared" si="4"/>
        <v>3</v>
      </c>
      <c r="I12" s="10">
        <f>IFERROR(__xludf.DUMMYFUNCTION("MAX(FILTER($H:$H,$E:$E=F12))"),8.0)</f>
        <v>8</v>
      </c>
    </row>
    <row r="13">
      <c r="C13" s="4" t="s">
        <v>2657</v>
      </c>
      <c r="D13" s="4" t="str">
        <f t="shared" si="1"/>
        <v>{"valorA":"ótimo","valorB":4}</v>
      </c>
      <c r="E13" s="8" t="str">
        <f t="shared" si="2"/>
        <v>ótimo</v>
      </c>
      <c r="F13" s="8" t="str">
        <f>IFERROR(__xludf.DUMMYFUNCTION("""COMPUTED_VALUE"""),"anterior")</f>
        <v>anterior</v>
      </c>
      <c r="G13" s="8" t="str">
        <f t="shared" si="3"/>
        <v>4</v>
      </c>
      <c r="H13" s="9">
        <f t="shared" si="4"/>
        <v>4</v>
      </c>
      <c r="I13" s="10">
        <f>IFERROR(__xludf.DUMMYFUNCTION("MAX(FILTER($H:$H,$E:$E=F13))"),1.0)</f>
        <v>1</v>
      </c>
    </row>
    <row r="14">
      <c r="C14" s="4" t="s">
        <v>2732</v>
      </c>
      <c r="D14" s="4" t="str">
        <f t="shared" si="1"/>
        <v>{"valorA":"mim","valorB":1}</v>
      </c>
      <c r="E14" s="8" t="str">
        <f t="shared" si="2"/>
        <v>mim</v>
      </c>
      <c r="F14" s="8" t="str">
        <f>IFERROR(__xludf.DUMMYFUNCTION("""COMPUTED_VALUE"""),"produto")</f>
        <v>produto</v>
      </c>
      <c r="G14" s="8" t="str">
        <f t="shared" si="3"/>
        <v>1</v>
      </c>
      <c r="H14" s="9">
        <f t="shared" si="4"/>
        <v>1</v>
      </c>
      <c r="I14" s="10">
        <f>IFERROR(__xludf.DUMMYFUNCTION("MAX(FILTER($H:$H,$E:$E=F14))"),34.0)</f>
        <v>34</v>
      </c>
    </row>
    <row r="15">
      <c r="C15" s="4" t="s">
        <v>3305</v>
      </c>
      <c r="D15" s="4" t="str">
        <f t="shared" si="1"/>
        <v>{"valorA":"bastante","valorB":1}</v>
      </c>
      <c r="E15" s="8" t="str">
        <f t="shared" si="2"/>
        <v>bastante</v>
      </c>
      <c r="F15" s="8" t="str">
        <f>IFERROR(__xludf.DUMMYFUNCTION("""COMPUTED_VALUE"""),"melhor")</f>
        <v>melhor</v>
      </c>
      <c r="G15" s="8" t="str">
        <f t="shared" si="3"/>
        <v>1</v>
      </c>
      <c r="H15" s="9">
        <f t="shared" si="4"/>
        <v>1</v>
      </c>
      <c r="I15" s="10">
        <f>IFERROR(__xludf.DUMMYFUNCTION("MAX(FILTER($H:$H,$E:$E=F15))"),3.0)</f>
        <v>3</v>
      </c>
    </row>
    <row r="16">
      <c r="C16" s="4" t="s">
        <v>2869</v>
      </c>
      <c r="D16" s="4" t="str">
        <f t="shared" si="1"/>
        <v>{"valorA":"realmente","valorB":1}</v>
      </c>
      <c r="E16" s="8" t="str">
        <f t="shared" si="2"/>
        <v>realmente</v>
      </c>
      <c r="F16" s="8" t="str">
        <f>IFERROR(__xludf.DUMMYFUNCTION("""COMPUTED_VALUE"""),"o")</f>
        <v>o</v>
      </c>
      <c r="G16" s="8" t="str">
        <f t="shared" si="3"/>
        <v>1</v>
      </c>
      <c r="H16" s="9">
        <f t="shared" si="4"/>
        <v>1</v>
      </c>
      <c r="I16" s="10">
        <f>IFERROR(__xludf.DUMMYFUNCTION("MAX(FILTER($H:$H,$E:$E=F16))"),7.0)</f>
        <v>7</v>
      </c>
    </row>
    <row r="17">
      <c r="C17" s="4" t="s">
        <v>7050</v>
      </c>
      <c r="D17" s="4" t="str">
        <f t="shared" si="1"/>
        <v>{"valorA":"anterior","valorB":1}</v>
      </c>
      <c r="E17" s="8" t="str">
        <f t="shared" si="2"/>
        <v>anterior</v>
      </c>
      <c r="F17" s="8" t="str">
        <f>IFERROR(__xludf.DUMMYFUNCTION("""COMPUTED_VALUE"""),"incrível")</f>
        <v>incrível</v>
      </c>
      <c r="G17" s="8" t="str">
        <f t="shared" si="3"/>
        <v>1</v>
      </c>
      <c r="H17" s="9">
        <f t="shared" si="4"/>
        <v>1</v>
      </c>
      <c r="I17" s="10">
        <f>IFERROR(__xludf.DUMMYFUNCTION("MAX(FILTER($H:$H,$E:$E=F17))"),7.0)</f>
        <v>7</v>
      </c>
    </row>
    <row r="18">
      <c r="C18" s="4" t="s">
        <v>2634</v>
      </c>
      <c r="D18" s="4" t="str">
        <f t="shared" si="1"/>
        <v>{"valorA":"produto","valorB":1}</v>
      </c>
      <c r="E18" s="8" t="str">
        <f t="shared" si="2"/>
        <v>produto</v>
      </c>
      <c r="F18" s="8" t="str">
        <f>IFERROR(__xludf.DUMMYFUNCTION("""COMPUTED_VALUE"""),"gostei")</f>
        <v>gostei</v>
      </c>
      <c r="G18" s="8" t="str">
        <f t="shared" si="3"/>
        <v>1</v>
      </c>
      <c r="H18" s="9">
        <f t="shared" si="4"/>
        <v>1</v>
      </c>
      <c r="I18" s="10">
        <f>IFERROR(__xludf.DUMMYFUNCTION("MAX(FILTER($H:$H,$E:$E=F18))"),10.0)</f>
        <v>10</v>
      </c>
    </row>
    <row r="19">
      <c r="C19" s="4" t="s">
        <v>2900</v>
      </c>
      <c r="D19" s="4" t="str">
        <f t="shared" si="1"/>
        <v>{"valorA":"melhor","valorB":1}</v>
      </c>
      <c r="E19" s="8" t="str">
        <f t="shared" si="2"/>
        <v>melhor</v>
      </c>
      <c r="F19" s="8" t="str">
        <f>IFERROR(__xludf.DUMMYFUNCTION("""COMPUTED_VALUE"""),"para")</f>
        <v>para</v>
      </c>
      <c r="G19" s="8" t="str">
        <f t="shared" si="3"/>
        <v>1</v>
      </c>
      <c r="H19" s="9">
        <f t="shared" si="4"/>
        <v>1</v>
      </c>
      <c r="I19" s="10">
        <f>IFERROR(__xludf.DUMMYFUNCTION("MAX(FILTER($H:$H,$E:$E=F19))"),9.0)</f>
        <v>9</v>
      </c>
    </row>
    <row r="20">
      <c r="C20" s="4" t="s">
        <v>2650</v>
      </c>
      <c r="D20" s="4" t="str">
        <f t="shared" si="1"/>
        <v>{"valorA":"produto","valorB":2}</v>
      </c>
      <c r="E20" s="8" t="str">
        <f t="shared" si="2"/>
        <v>produto</v>
      </c>
      <c r="F20" s="8" t="str">
        <f>IFERROR(__xludf.DUMMYFUNCTION("""COMPUTED_VALUE"""),"vale")</f>
        <v>vale</v>
      </c>
      <c r="G20" s="8" t="str">
        <f t="shared" si="3"/>
        <v>2</v>
      </c>
      <c r="H20" s="9">
        <f t="shared" si="4"/>
        <v>2</v>
      </c>
      <c r="I20" s="10">
        <f>IFERROR(__xludf.DUMMYFUNCTION("MAX(FILTER($H:$H,$E:$E=F20))"),3.0)</f>
        <v>3</v>
      </c>
    </row>
    <row r="21">
      <c r="C21" s="4" t="s">
        <v>2661</v>
      </c>
      <c r="D21" s="4" t="str">
        <f t="shared" si="1"/>
        <v>{"valorA":"produto","valorB":3}</v>
      </c>
      <c r="E21" s="8" t="str">
        <f t="shared" si="2"/>
        <v>produto</v>
      </c>
      <c r="F21" s="8" t="str">
        <f>IFERROR(__xludf.DUMMYFUNCTION("""COMPUTED_VALUE"""),"meu")</f>
        <v>meu</v>
      </c>
      <c r="G21" s="8" t="str">
        <f t="shared" si="3"/>
        <v>3</v>
      </c>
      <c r="H21" s="9">
        <f t="shared" si="4"/>
        <v>3</v>
      </c>
      <c r="I21" s="10">
        <f>IFERROR(__xludf.DUMMYFUNCTION("MAX(FILTER($H:$H,$E:$E=F21))"),7.0)</f>
        <v>7</v>
      </c>
    </row>
    <row r="22">
      <c r="C22" s="4" t="s">
        <v>2638</v>
      </c>
      <c r="D22" s="4" t="str">
        <f t="shared" si="1"/>
        <v>{"valorA":"o","valorB":1}</v>
      </c>
      <c r="E22" s="8" t="str">
        <f t="shared" si="2"/>
        <v>o</v>
      </c>
      <c r="F22" s="8" t="str">
        <f>IFERROR(__xludf.DUMMYFUNCTION("""COMPUTED_VALUE"""),"desse")</f>
        <v>desse</v>
      </c>
      <c r="G22" s="8" t="str">
        <f t="shared" si="3"/>
        <v>1</v>
      </c>
      <c r="H22" s="9">
        <f t="shared" si="4"/>
        <v>1</v>
      </c>
      <c r="I22" s="10">
        <f>IFERROR(__xludf.DUMMYFUNCTION("MAX(FILTER($H:$H,$E:$E=F22))"),4.0)</f>
        <v>4</v>
      </c>
    </row>
    <row r="23">
      <c r="C23" s="4" t="s">
        <v>2868</v>
      </c>
      <c r="D23" s="4" t="str">
        <f t="shared" si="1"/>
        <v>{"valorA":"incrível","valorB":1}</v>
      </c>
      <c r="E23" s="8" t="str">
        <f t="shared" si="2"/>
        <v>incrível</v>
      </c>
      <c r="F23" s="8" t="str">
        <f>IFERROR(__xludf.DUMMYFUNCTION("""COMPUTED_VALUE"""),"a")</f>
        <v>a</v>
      </c>
      <c r="G23" s="8" t="str">
        <f t="shared" si="3"/>
        <v>1</v>
      </c>
      <c r="H23" s="9">
        <f t="shared" si="4"/>
        <v>1</v>
      </c>
      <c r="I23" s="10">
        <f>IFERROR(__xludf.DUMMYFUNCTION("MAX(FILTER($H:$H,$E:$E=F23))"),5.0)</f>
        <v>5</v>
      </c>
    </row>
    <row r="24">
      <c r="C24" s="4" t="s">
        <v>2628</v>
      </c>
      <c r="D24" s="4" t="str">
        <f t="shared" si="1"/>
        <v>{"valorA":"gostei","valorB":1}</v>
      </c>
      <c r="E24" s="8" t="str">
        <f t="shared" si="2"/>
        <v>gostei</v>
      </c>
      <c r="F24" s="8" t="str">
        <f>IFERROR(__xludf.DUMMYFUNCTION("""COMPUTED_VALUE"""),"relogio")</f>
        <v>relogio</v>
      </c>
      <c r="G24" s="8" t="str">
        <f t="shared" si="3"/>
        <v>1</v>
      </c>
      <c r="H24" s="9">
        <f t="shared" si="4"/>
        <v>1</v>
      </c>
      <c r="I24" s="10">
        <f>IFERROR(__xludf.DUMMYFUNCTION("MAX(FILTER($H:$H,$E:$E=F24))"),1.0)</f>
        <v>1</v>
      </c>
    </row>
    <row r="25">
      <c r="C25" s="4" t="s">
        <v>2627</v>
      </c>
      <c r="D25" s="4" t="str">
        <f t="shared" si="1"/>
        <v>{"valorA":"para","valorB":1}</v>
      </c>
      <c r="E25" s="8" t="str">
        <f t="shared" si="2"/>
        <v>para</v>
      </c>
      <c r="F25" s="8" t="str">
        <f>IFERROR(__xludf.DUMMYFUNCTION("""COMPUTED_VALUE"""),"esse")</f>
        <v>esse</v>
      </c>
      <c r="G25" s="8" t="str">
        <f t="shared" si="3"/>
        <v>1</v>
      </c>
      <c r="H25" s="9">
        <f t="shared" si="4"/>
        <v>1</v>
      </c>
      <c r="I25" s="10">
        <f>IFERROR(__xludf.DUMMYFUNCTION("MAX(FILTER($H:$H,$E:$E=F25))"),9.0)</f>
        <v>9</v>
      </c>
    </row>
    <row r="26">
      <c r="C26" s="4" t="s">
        <v>2641</v>
      </c>
      <c r="D26" s="4" t="str">
        <f t="shared" si="1"/>
        <v>{"valorA":"vale","valorB":1}</v>
      </c>
      <c r="E26" s="8" t="str">
        <f t="shared" si="2"/>
        <v>vale</v>
      </c>
      <c r="F26" s="8" t="str">
        <f>IFERROR(__xludf.DUMMYFUNCTION("""COMPUTED_VALUE"""),"perfeitamente")</f>
        <v>perfeitamente</v>
      </c>
      <c r="G26" s="8" t="str">
        <f t="shared" si="3"/>
        <v>1</v>
      </c>
      <c r="H26" s="9">
        <f t="shared" si="4"/>
        <v>1</v>
      </c>
      <c r="I26" s="10">
        <f>IFERROR(__xludf.DUMMYFUNCTION("MAX(FILTER($H:$H,$E:$E=F26))"),5.0)</f>
        <v>5</v>
      </c>
    </row>
    <row r="27">
      <c r="C27" s="4" t="s">
        <v>2670</v>
      </c>
      <c r="D27" s="4" t="str">
        <f t="shared" si="1"/>
        <v>{"valorA":"meu","valorB":1}</v>
      </c>
      <c r="E27" s="8" t="str">
        <f t="shared" si="2"/>
        <v>meu</v>
      </c>
      <c r="F27" s="8" t="str">
        <f>IFERROR(__xludf.DUMMYFUNCTION("""COMPUTED_VALUE"""),"carro")</f>
        <v>carro</v>
      </c>
      <c r="G27" s="8" t="str">
        <f t="shared" si="3"/>
        <v>1</v>
      </c>
      <c r="H27" s="9">
        <f t="shared" si="4"/>
        <v>1</v>
      </c>
      <c r="I27" s="10">
        <f>IFERROR(__xludf.DUMMYFUNCTION("MAX(FILTER($H:$H,$E:$E=F27))"),3.0)</f>
        <v>3</v>
      </c>
    </row>
    <row r="28">
      <c r="C28" s="4" t="s">
        <v>2960</v>
      </c>
      <c r="D28" s="4" t="str">
        <f t="shared" si="1"/>
        <v>{"valorA":"realmente","valorB":2}</v>
      </c>
      <c r="E28" s="8" t="str">
        <f t="shared" si="2"/>
        <v>realmente</v>
      </c>
      <c r="F28" s="8" t="str">
        <f>IFERROR(__xludf.DUMMYFUNCTION("""COMPUTED_VALUE"""),"eu")</f>
        <v>eu</v>
      </c>
      <c r="G28" s="8" t="str">
        <f t="shared" si="3"/>
        <v>2</v>
      </c>
      <c r="H28" s="9">
        <f t="shared" si="4"/>
        <v>2</v>
      </c>
      <c r="I28" s="10">
        <f>IFERROR(__xludf.DUMMYFUNCTION("MAX(FILTER($H:$H,$E:$E=F28))"),1.0)</f>
        <v>1</v>
      </c>
    </row>
    <row r="29">
      <c r="C29" s="4" t="s">
        <v>2632</v>
      </c>
      <c r="D29" s="4" t="str">
        <f t="shared" si="1"/>
        <v>{"valorA":"desse","valorB":1}</v>
      </c>
      <c r="E29" s="8" t="str">
        <f t="shared" si="2"/>
        <v>desse</v>
      </c>
      <c r="F29" s="8" t="str">
        <f>IFERROR(__xludf.DUMMYFUNCTION("""COMPUTED_VALUE"""),"esperado")</f>
        <v>esperado</v>
      </c>
      <c r="G29" s="8" t="str">
        <f t="shared" si="3"/>
        <v>1</v>
      </c>
      <c r="H29" s="9">
        <f t="shared" si="4"/>
        <v>1</v>
      </c>
      <c r="I29" s="10">
        <f>IFERROR(__xludf.DUMMYFUNCTION("MAX(FILTER($H:$H,$E:$E=F29))"),1.0)</f>
        <v>1</v>
      </c>
    </row>
    <row r="30">
      <c r="C30" s="4" t="s">
        <v>2647</v>
      </c>
      <c r="D30" s="4" t="str">
        <f t="shared" si="1"/>
        <v>{"valorA":"a","valorB":1}</v>
      </c>
      <c r="E30" s="8" t="str">
        <f t="shared" si="2"/>
        <v>a</v>
      </c>
      <c r="F30" s="8" t="str">
        <f>IFERROR(__xludf.DUMMYFUNCTION("""COMPUTED_VALUE"""),"propósito")</f>
        <v>propósito</v>
      </c>
      <c r="G30" s="8" t="str">
        <f t="shared" si="3"/>
        <v>1</v>
      </c>
      <c r="H30" s="9">
        <f t="shared" si="4"/>
        <v>1</v>
      </c>
      <c r="I30" s="10">
        <f>IFERROR(__xludf.DUMMYFUNCTION("MAX(FILTER($H:$H,$E:$E=F30))"),1.0)</f>
        <v>1</v>
      </c>
    </row>
    <row r="31">
      <c r="C31" s="4" t="s">
        <v>2873</v>
      </c>
      <c r="D31" s="4" t="str">
        <f t="shared" si="1"/>
        <v>{"valorA":"relogio","valorB":1}</v>
      </c>
      <c r="E31" s="8" t="str">
        <f t="shared" si="2"/>
        <v>relogio</v>
      </c>
      <c r="F31" s="8" t="str">
        <f>IFERROR(__xludf.DUMMYFUNCTION("""COMPUTED_VALUE"""),"serve")</f>
        <v>serve</v>
      </c>
      <c r="G31" s="8" t="str">
        <f t="shared" si="3"/>
        <v>1</v>
      </c>
      <c r="H31" s="9">
        <f t="shared" si="4"/>
        <v>1</v>
      </c>
      <c r="I31" s="10">
        <f>IFERROR(__xludf.DUMMYFUNCTION("MAX(FILTER($H:$H,$E:$E=F31))"),1.0)</f>
        <v>1</v>
      </c>
    </row>
    <row r="32">
      <c r="C32" s="4" t="s">
        <v>2913</v>
      </c>
      <c r="D32" s="4" t="str">
        <f t="shared" si="1"/>
        <v>{"valorA":"incrível","valorB":2}</v>
      </c>
      <c r="E32" s="8" t="str">
        <f t="shared" si="2"/>
        <v>incrível</v>
      </c>
      <c r="F32" s="8" t="str">
        <f>IFERROR(__xludf.DUMMYFUNCTION("""COMPUTED_VALUE"""),"muito")</f>
        <v>muito</v>
      </c>
      <c r="G32" s="8" t="str">
        <f t="shared" si="3"/>
        <v>2</v>
      </c>
      <c r="H32" s="9">
        <f t="shared" si="4"/>
        <v>2</v>
      </c>
      <c r="I32" s="10">
        <f>IFERROR(__xludf.DUMMYFUNCTION("MAX(FILTER($H:$H,$E:$E=F32))"),16.0)</f>
        <v>16</v>
      </c>
    </row>
    <row r="33">
      <c r="C33" s="4" t="s">
        <v>2630</v>
      </c>
      <c r="D33" s="4" t="str">
        <f t="shared" si="1"/>
        <v>{"valorA":"esse","valorB":1}</v>
      </c>
      <c r="E33" s="8" t="str">
        <f t="shared" si="2"/>
        <v>esse</v>
      </c>
      <c r="F33" s="8" t="str">
        <f>IFERROR(__xludf.DUMMYFUNCTION("""COMPUTED_VALUE"""),"seu")</f>
        <v>seu</v>
      </c>
      <c r="G33" s="8" t="str">
        <f t="shared" si="3"/>
        <v>1</v>
      </c>
      <c r="H33" s="9">
        <f t="shared" si="4"/>
        <v>1</v>
      </c>
      <c r="I33" s="10">
        <f>IFERROR(__xludf.DUMMYFUNCTION("MAX(FILTER($H:$H,$E:$E=F33))"),1.0)</f>
        <v>1</v>
      </c>
    </row>
    <row r="34">
      <c r="C34" s="4" t="s">
        <v>2659</v>
      </c>
      <c r="D34" s="4" t="str">
        <f t="shared" si="1"/>
        <v>{"valorA":"ótimo","valorB":5}</v>
      </c>
      <c r="E34" s="8" t="str">
        <f t="shared" si="2"/>
        <v>ótimo</v>
      </c>
      <c r="F34" s="8" t="str">
        <f>IFERROR(__xludf.DUMMYFUNCTION("""COMPUTED_VALUE"""),"compras")</f>
        <v>compras</v>
      </c>
      <c r="G34" s="8" t="str">
        <f t="shared" si="3"/>
        <v>5</v>
      </c>
      <c r="H34" s="9">
        <f t="shared" si="4"/>
        <v>5</v>
      </c>
      <c r="I34" s="10">
        <f>IFERROR(__xludf.DUMMYFUNCTION("MAX(FILTER($H:$H,$E:$E=F34))"),2.0)</f>
        <v>2</v>
      </c>
    </row>
    <row r="35">
      <c r="C35" s="4" t="s">
        <v>2646</v>
      </c>
      <c r="D35" s="4" t="str">
        <f t="shared" si="1"/>
        <v>{"valorA":"perfeitamente","valorB":1}</v>
      </c>
      <c r="E35" s="8" t="str">
        <f t="shared" si="2"/>
        <v>perfeitamente</v>
      </c>
      <c r="F35" s="8" t="str">
        <f>IFERROR(__xludf.DUMMYFUNCTION("""COMPUTED_VALUE"""),"carrinho")</f>
        <v>carrinho</v>
      </c>
      <c r="G35" s="8" t="str">
        <f t="shared" si="3"/>
        <v>1</v>
      </c>
      <c r="H35" s="9">
        <f t="shared" si="4"/>
        <v>1</v>
      </c>
      <c r="I35" s="10">
        <f>IFERROR(__xludf.DUMMYFUNCTION("MAX(FILTER($H:$H,$E:$E=F35))"),1.0)</f>
        <v>1</v>
      </c>
    </row>
    <row r="36">
      <c r="C36" s="4" t="s">
        <v>2727</v>
      </c>
      <c r="D36" s="4" t="str">
        <f t="shared" si="1"/>
        <v>{"valorA":"para","valorB":2}</v>
      </c>
      <c r="E36" s="8" t="str">
        <f t="shared" si="2"/>
        <v>para</v>
      </c>
      <c r="F36" s="8" t="str">
        <f>IFERROR(__xludf.DUMMYFUNCTION("""COMPUTED_VALUE"""),"facil")</f>
        <v>facil</v>
      </c>
      <c r="G36" s="8" t="str">
        <f t="shared" si="3"/>
        <v>2</v>
      </c>
      <c r="H36" s="9">
        <f t="shared" si="4"/>
        <v>2</v>
      </c>
      <c r="I36" s="10">
        <f>IFERROR(__xludf.DUMMYFUNCTION("MAX(FILTER($H:$H,$E:$E=F36))"),1.0)</f>
        <v>1</v>
      </c>
    </row>
    <row r="37">
      <c r="C37" s="4" t="s">
        <v>2769</v>
      </c>
      <c r="D37" s="4" t="str">
        <f t="shared" si="1"/>
        <v>{"valorA":"carro","valorB":1}</v>
      </c>
      <c r="E37" s="8" t="str">
        <f t="shared" si="2"/>
        <v>carro</v>
      </c>
      <c r="F37" s="8" t="str">
        <f>IFERROR(__xludf.DUMMYFUNCTION("""COMPUTED_VALUE"""),"e")</f>
        <v>e</v>
      </c>
      <c r="G37" s="8" t="str">
        <f t="shared" si="3"/>
        <v>1</v>
      </c>
      <c r="H37" s="9">
        <f t="shared" si="4"/>
        <v>1</v>
      </c>
      <c r="I37" s="10">
        <f>IFERROR(__xludf.DUMMYFUNCTION("MAX(FILTER($H:$H,$E:$E=F37))"),8.0)</f>
        <v>8</v>
      </c>
    </row>
    <row r="38">
      <c r="C38" s="4" t="s">
        <v>3146</v>
      </c>
      <c r="D38" s="4" t="str">
        <f t="shared" si="1"/>
        <v>{"valorA":"eu","valorB":1}</v>
      </c>
      <c r="E38" s="8" t="str">
        <f t="shared" si="2"/>
        <v>eu</v>
      </c>
      <c r="F38" s="8" t="str">
        <f>IFERROR(__xludf.DUMMYFUNCTION("""COMPUTED_VALUE"""),"online")</f>
        <v>online</v>
      </c>
      <c r="G38" s="8" t="str">
        <f t="shared" si="3"/>
        <v>1</v>
      </c>
      <c r="H38" s="9">
        <f t="shared" si="4"/>
        <v>1</v>
      </c>
      <c r="I38" s="10">
        <f>IFERROR(__xludf.DUMMYFUNCTION("MAX(FILTER($H:$H,$E:$E=F38))"),1.0)</f>
        <v>1</v>
      </c>
    </row>
    <row r="39">
      <c r="C39" s="4" t="s">
        <v>2767</v>
      </c>
      <c r="D39" s="4" t="str">
        <f t="shared" si="1"/>
        <v>{"valorA":"é","valorB":3}</v>
      </c>
      <c r="E39" s="8" t="str">
        <f t="shared" si="2"/>
        <v>é</v>
      </c>
      <c r="F39" s="8" t="str">
        <f>IFERROR(__xludf.DUMMYFUNCTION("""COMPUTED_VALUE"""),"de")</f>
        <v>de</v>
      </c>
      <c r="G39" s="8" t="str">
        <f t="shared" si="3"/>
        <v>3</v>
      </c>
      <c r="H39" s="9">
        <f t="shared" si="4"/>
        <v>3</v>
      </c>
      <c r="I39" s="10">
        <f>IFERROR(__xludf.DUMMYFUNCTION("MAX(FILTER($H:$H,$E:$E=F39))"),6.0)</f>
        <v>6</v>
      </c>
    </row>
    <row r="40">
      <c r="C40" s="4" t="s">
        <v>2667</v>
      </c>
      <c r="D40" s="4" t="str">
        <f t="shared" si="1"/>
        <v>{"valorA":"produto","valorB":4}</v>
      </c>
      <c r="E40" s="8" t="str">
        <f t="shared" si="2"/>
        <v>produto</v>
      </c>
      <c r="F40" s="8" t="str">
        <f>IFERROR(__xludf.DUMMYFUNCTION("""COMPUTED_VALUE"""),"usar")</f>
        <v>usar</v>
      </c>
      <c r="G40" s="8" t="str">
        <f t="shared" si="3"/>
        <v>4</v>
      </c>
      <c r="H40" s="9">
        <f t="shared" si="4"/>
        <v>4</v>
      </c>
      <c r="I40" s="10">
        <f>IFERROR(__xludf.DUMMYFUNCTION("MAX(FILTER($H:$H,$E:$E=F40))"),1.0)</f>
        <v>1</v>
      </c>
    </row>
    <row r="41">
      <c r="C41" s="4" t="s">
        <v>2662</v>
      </c>
      <c r="D41" s="4" t="str">
        <f t="shared" si="1"/>
        <v>{"valorA":"ótimo","valorB":6}</v>
      </c>
      <c r="E41" s="8" t="str">
        <f t="shared" si="2"/>
        <v>ótimo</v>
      </c>
      <c r="F41" s="8" t="str">
        <f>IFERROR(__xludf.DUMMYFUNCTION("""COMPUTED_VALUE"""),"rápido")</f>
        <v>rápido</v>
      </c>
      <c r="G41" s="8" t="str">
        <f t="shared" si="3"/>
        <v>6</v>
      </c>
      <c r="H41" s="9">
        <f t="shared" si="4"/>
        <v>6</v>
      </c>
      <c r="I41" s="10">
        <f>IFERROR(__xludf.DUMMYFUNCTION("MAX(FILTER($H:$H,$E:$E=F41))"),2.0)</f>
        <v>2</v>
      </c>
    </row>
    <row r="42">
      <c r="C42" s="4" t="s">
        <v>2946</v>
      </c>
      <c r="D42" s="4" t="str">
        <f t="shared" si="1"/>
        <v>{"valorA":"melhor","valorB":2}</v>
      </c>
      <c r="E42" s="8" t="str">
        <f t="shared" si="2"/>
        <v>melhor</v>
      </c>
      <c r="F42" s="8" t="str">
        <f>IFERROR(__xludf.DUMMYFUNCTION("""COMPUTED_VALUE"""),"em")</f>
        <v>em</v>
      </c>
      <c r="G42" s="8" t="str">
        <f t="shared" si="3"/>
        <v>2</v>
      </c>
      <c r="H42" s="9">
        <f t="shared" si="4"/>
        <v>2</v>
      </c>
      <c r="I42" s="10">
        <f>IFERROR(__xludf.DUMMYFUNCTION("MAX(FILTER($H:$H,$E:$E=F42))"),2.0)</f>
        <v>2</v>
      </c>
    </row>
    <row r="43">
      <c r="C43" s="4" t="s">
        <v>2695</v>
      </c>
      <c r="D43" s="4" t="str">
        <f t="shared" si="1"/>
        <v>{"valorA":"que","valorB":2}</v>
      </c>
      <c r="E43" s="8" t="str">
        <f t="shared" si="2"/>
        <v>que</v>
      </c>
      <c r="F43" s="8" t="str">
        <f>IFERROR(__xludf.DUMMYFUNCTION("""COMPUTED_VALUE"""),"entrega")</f>
        <v>entrega</v>
      </c>
      <c r="G43" s="8" t="str">
        <f t="shared" si="3"/>
        <v>2</v>
      </c>
      <c r="H43" s="9">
        <f t="shared" si="4"/>
        <v>2</v>
      </c>
      <c r="I43" s="10">
        <f>IFERROR(__xludf.DUMMYFUNCTION("MAX(FILTER($H:$H,$E:$E=F43))"),1.0)</f>
        <v>1</v>
      </c>
    </row>
    <row r="44">
      <c r="C44" s="4" t="s">
        <v>2731</v>
      </c>
      <c r="D44" s="4" t="str">
        <f t="shared" si="1"/>
        <v>{"valorA":"bem","valorB":2}</v>
      </c>
      <c r="E44" s="8" t="str">
        <f t="shared" si="2"/>
        <v>bem</v>
      </c>
      <c r="F44" s="8" t="str">
        <f>IFERROR(__xludf.DUMMYFUNCTION("""COMPUTED_VALUE"""),"solar")</f>
        <v>solar</v>
      </c>
      <c r="G44" s="8" t="str">
        <f t="shared" si="3"/>
        <v>2</v>
      </c>
      <c r="H44" s="9">
        <f t="shared" si="4"/>
        <v>2</v>
      </c>
      <c r="I44" s="10">
        <f>IFERROR(__xludf.DUMMYFUNCTION("MAX(FILTER($H:$H,$E:$E=F44))"),3.0)</f>
        <v>3</v>
      </c>
    </row>
    <row r="45">
      <c r="C45" s="4" t="s">
        <v>2707</v>
      </c>
      <c r="D45" s="4" t="str">
        <f t="shared" si="1"/>
        <v>{"valorA":"do","valorB":2}</v>
      </c>
      <c r="E45" s="8" t="str">
        <f t="shared" si="2"/>
        <v>do</v>
      </c>
      <c r="F45" s="8" t="str">
        <f>IFERROR(__xludf.DUMMYFUNCTION("""COMPUTED_VALUE"""),"relógio")</f>
        <v>relógio</v>
      </c>
      <c r="G45" s="8" t="str">
        <f t="shared" si="3"/>
        <v>2</v>
      </c>
      <c r="H45" s="9">
        <f t="shared" si="4"/>
        <v>2</v>
      </c>
      <c r="I45" s="10">
        <f>IFERROR(__xludf.DUMMYFUNCTION("MAX(FILTER($H:$H,$E:$E=F45))"),3.0)</f>
        <v>3</v>
      </c>
    </row>
    <row r="46">
      <c r="C46" s="4" t="s">
        <v>2691</v>
      </c>
      <c r="D46" s="4" t="str">
        <f t="shared" si="1"/>
        <v>{"valorA":"o","valorB":2}</v>
      </c>
      <c r="E46" s="8" t="str">
        <f t="shared" si="2"/>
        <v>o</v>
      </c>
      <c r="F46" s="8" t="str">
        <f>IFERROR(__xludf.DUMMYFUNCTION("""COMPUTED_VALUE"""),"funciona")</f>
        <v>funciona</v>
      </c>
      <c r="G46" s="8" t="str">
        <f t="shared" si="3"/>
        <v>2</v>
      </c>
      <c r="H46" s="9">
        <f t="shared" si="4"/>
        <v>2</v>
      </c>
      <c r="I46" s="10">
        <f>IFERROR(__xludf.DUMMYFUNCTION("MAX(FILTER($H:$H,$E:$E=F46))"),5.0)</f>
        <v>5</v>
      </c>
    </row>
    <row r="47">
      <c r="C47" s="4" t="s">
        <v>7051</v>
      </c>
      <c r="D47" s="4" t="str">
        <f t="shared" si="1"/>
        <v>{"valorA":"esperado","valorB":1}</v>
      </c>
      <c r="E47" s="8" t="str">
        <f t="shared" si="2"/>
        <v>esperado</v>
      </c>
      <c r="F47" s="8" t="str">
        <f>IFERROR(__xludf.DUMMYFUNCTION("""COMPUTED_VALUE"""),"antigo")</f>
        <v>antigo</v>
      </c>
      <c r="G47" s="8" t="str">
        <f t="shared" si="3"/>
        <v>1</v>
      </c>
      <c r="H47" s="9">
        <f t="shared" si="4"/>
        <v>1</v>
      </c>
      <c r="I47" s="10">
        <f>IFERROR(__xludf.DUMMYFUNCTION("MAX(FILTER($H:$H,$E:$E=F47))"),3.0)</f>
        <v>3</v>
      </c>
    </row>
    <row r="48">
      <c r="C48" s="4" t="s">
        <v>2674</v>
      </c>
      <c r="D48" s="4" t="str">
        <f t="shared" si="1"/>
        <v>{"valorA":"produto","valorB":5}</v>
      </c>
      <c r="E48" s="8" t="str">
        <f t="shared" si="2"/>
        <v>produto</v>
      </c>
      <c r="F48" s="8" t="str">
        <f>IFERROR(__xludf.DUMMYFUNCTION("""COMPUTED_VALUE"""),"mais")</f>
        <v>mais</v>
      </c>
      <c r="G48" s="8" t="str">
        <f t="shared" si="3"/>
        <v>5</v>
      </c>
      <c r="H48" s="9">
        <f t="shared" si="4"/>
        <v>5</v>
      </c>
      <c r="I48" s="10">
        <f>IFERROR(__xludf.DUMMYFUNCTION("MAX(FILTER($H:$H,$E:$E=F48))"),4.0)</f>
        <v>4</v>
      </c>
    </row>
    <row r="49">
      <c r="C49" s="4" t="s">
        <v>7052</v>
      </c>
      <c r="D49" s="4" t="str">
        <f t="shared" si="1"/>
        <v>{"valorA":"propósito","valorB":1}</v>
      </c>
      <c r="E49" s="8" t="str">
        <f t="shared" si="2"/>
        <v>propósito</v>
      </c>
      <c r="F49" s="8" t="str">
        <f>IFERROR(__xludf.DUMMYFUNCTION("""COMPUTED_VALUE"""),"refrigerante")</f>
        <v>refrigerante</v>
      </c>
      <c r="G49" s="8" t="str">
        <f t="shared" si="3"/>
        <v>1</v>
      </c>
      <c r="H49" s="9">
        <f t="shared" si="4"/>
        <v>1</v>
      </c>
      <c r="I49" s="10">
        <f>IFERROR(__xludf.DUMMYFUNCTION("MAX(FILTER($H:$H,$E:$E=F49))"),2.0)</f>
        <v>2</v>
      </c>
    </row>
    <row r="50">
      <c r="C50" s="4" t="s">
        <v>2671</v>
      </c>
      <c r="D50" s="4" t="str">
        <f t="shared" si="1"/>
        <v>{"valorA":"ótimo","valorB":7}</v>
      </c>
      <c r="E50" s="8" t="str">
        <f t="shared" si="2"/>
        <v>ótimo</v>
      </c>
      <c r="F50" s="8" t="str">
        <f>IFERROR(__xludf.DUMMYFUNCTION("""COMPUTED_VALUE"""),"barato")</f>
        <v>barato</v>
      </c>
      <c r="G50" s="8" t="str">
        <f t="shared" si="3"/>
        <v>7</v>
      </c>
      <c r="H50" s="9">
        <f t="shared" si="4"/>
        <v>7</v>
      </c>
      <c r="I50" s="10">
        <f>IFERROR(__xludf.DUMMYFUNCTION("MAX(FILTER($H:$H,$E:$E=F50))"),1.0)</f>
        <v>1</v>
      </c>
    </row>
    <row r="51">
      <c r="C51" s="4" t="s">
        <v>2730</v>
      </c>
      <c r="D51" s="4" t="str">
        <f t="shared" si="1"/>
        <v>{"valorA":"serve","valorB":1}</v>
      </c>
      <c r="E51" s="8" t="str">
        <f t="shared" si="2"/>
        <v>serve</v>
      </c>
      <c r="F51" s="8" t="str">
        <f>IFERROR(__xludf.DUMMYFUNCTION("""COMPUTED_VALUE"""),"com")</f>
        <v>com</v>
      </c>
      <c r="G51" s="8" t="str">
        <f t="shared" si="3"/>
        <v>1</v>
      </c>
      <c r="H51" s="9">
        <f t="shared" si="4"/>
        <v>1</v>
      </c>
      <c r="I51" s="10">
        <f>IFERROR(__xludf.DUMMYFUNCTION("MAX(FILTER($H:$H,$E:$E=F51))"),1.0)</f>
        <v>1</v>
      </c>
    </row>
    <row r="52">
      <c r="C52" s="4" t="s">
        <v>2781</v>
      </c>
      <c r="D52" s="4" t="str">
        <f t="shared" si="1"/>
        <v>{"valorA":"o","valorB":3}</v>
      </c>
      <c r="E52" s="8" t="str">
        <f t="shared" si="2"/>
        <v>o</v>
      </c>
      <c r="F52" s="8" t="str">
        <f>IFERROR(__xludf.DUMMYFUNCTION("""COMPUTED_VALUE"""),"lanço")</f>
        <v>lanço</v>
      </c>
      <c r="G52" s="8" t="str">
        <f t="shared" si="3"/>
        <v>3</v>
      </c>
      <c r="H52" s="9">
        <f t="shared" si="4"/>
        <v>3</v>
      </c>
      <c r="I52" s="10">
        <f>IFERROR(__xludf.DUMMYFUNCTION("MAX(FILTER($H:$H,$E:$E=F52))"),1.0)</f>
        <v>1</v>
      </c>
    </row>
    <row r="53">
      <c r="C53" s="4" t="s">
        <v>2782</v>
      </c>
      <c r="D53" s="4" t="str">
        <f t="shared" si="1"/>
        <v>{"valorA":"bem","valorB":3}</v>
      </c>
      <c r="E53" s="8" t="str">
        <f t="shared" si="2"/>
        <v>bem</v>
      </c>
      <c r="F53" s="8" t="str">
        <f>IFERROR(__xludf.DUMMYFUNCTION("""COMPUTED_VALUE"""),"perfume")</f>
        <v>perfume</v>
      </c>
      <c r="G53" s="8" t="str">
        <f t="shared" si="3"/>
        <v>3</v>
      </c>
      <c r="H53" s="9">
        <f t="shared" si="4"/>
        <v>3</v>
      </c>
      <c r="I53" s="10">
        <f>IFERROR(__xludf.DUMMYFUNCTION("MAX(FILTER($H:$H,$E:$E=F53))"),1.0)</f>
        <v>1</v>
      </c>
    </row>
    <row r="54">
      <c r="C54" s="4" t="s">
        <v>2637</v>
      </c>
      <c r="D54" s="4" t="str">
        <f t="shared" si="1"/>
        <v>{"valorA":"muito","valorB":1}</v>
      </c>
      <c r="E54" s="8" t="str">
        <f t="shared" si="2"/>
        <v>muito</v>
      </c>
      <c r="F54" s="8" t="str">
        <f>IFERROR(__xludf.DUMMYFUNCTION("""COMPUTED_VALUE"""),"adorei")</f>
        <v>adorei</v>
      </c>
      <c r="G54" s="8" t="str">
        <f t="shared" si="3"/>
        <v>1</v>
      </c>
      <c r="H54" s="9">
        <f t="shared" si="4"/>
        <v>1</v>
      </c>
      <c r="I54" s="10">
        <f>IFERROR(__xludf.DUMMYFUNCTION("MAX(FILTER($H:$H,$E:$E=F54))"),1.0)</f>
        <v>1</v>
      </c>
    </row>
    <row r="55">
      <c r="C55" s="4" t="s">
        <v>3594</v>
      </c>
      <c r="D55" s="4" t="str">
        <f t="shared" si="1"/>
        <v>{"valorA":"seu","valorB":1}</v>
      </c>
      <c r="E55" s="8" t="str">
        <f t="shared" si="2"/>
        <v>seu</v>
      </c>
      <c r="F55" s="8" t="str">
        <f>IFERROR(__xludf.DUMMYFUNCTION("""COMPUTED_VALUE"""),"da")</f>
        <v>da</v>
      </c>
      <c r="G55" s="8" t="str">
        <f t="shared" si="3"/>
        <v>1</v>
      </c>
      <c r="H55" s="9">
        <f t="shared" si="4"/>
        <v>1</v>
      </c>
      <c r="I55" s="10">
        <f>IFERROR(__xludf.DUMMYFUNCTION("MAX(FILTER($H:$H,$E:$E=F55))"),3.0)</f>
        <v>3</v>
      </c>
    </row>
    <row r="56">
      <c r="C56" s="4" t="s">
        <v>2744</v>
      </c>
      <c r="D56" s="4" t="str">
        <f t="shared" si="1"/>
        <v>{"valorA":"para","valorB":3}</v>
      </c>
      <c r="E56" s="8" t="str">
        <f t="shared" si="2"/>
        <v>para</v>
      </c>
      <c r="F56" s="8" t="str">
        <f>IFERROR(__xludf.DUMMYFUNCTION("""COMPUTED_VALUE"""),"qualidade")</f>
        <v>qualidade</v>
      </c>
      <c r="G56" s="8" t="str">
        <f t="shared" si="3"/>
        <v>3</v>
      </c>
      <c r="H56" s="9">
        <f t="shared" si="4"/>
        <v>3</v>
      </c>
      <c r="I56" s="10">
        <f>IFERROR(__xludf.DUMMYFUNCTION("MAX(FILTER($H:$H,$E:$E=F56))"),3.0)</f>
        <v>3</v>
      </c>
    </row>
    <row r="57">
      <c r="C57" s="4" t="s">
        <v>2673</v>
      </c>
      <c r="D57" s="4" t="str">
        <f t="shared" si="1"/>
        <v>{"valorA":"ótimo","valorB":8}</v>
      </c>
      <c r="E57" s="8" t="str">
        <f t="shared" si="2"/>
        <v>ótimo</v>
      </c>
      <c r="F57" s="8" t="str">
        <f>IFERROR(__xludf.DUMMYFUNCTION("""COMPUTED_VALUE"""),"creme")</f>
        <v>creme</v>
      </c>
      <c r="G57" s="8" t="str">
        <f t="shared" si="3"/>
        <v>8</v>
      </c>
      <c r="H57" s="9">
        <f t="shared" si="4"/>
        <v>8</v>
      </c>
      <c r="I57" s="10">
        <f>IFERROR(__xludf.DUMMYFUNCTION("MAX(FILTER($H:$H,$E:$E=F57))"),3.0)</f>
        <v>3</v>
      </c>
    </row>
    <row r="58">
      <c r="C58" s="4" t="s">
        <v>7053</v>
      </c>
      <c r="D58" s="4" t="str">
        <f t="shared" si="1"/>
        <v>{"valorA":"compras","valorB":1}</v>
      </c>
      <c r="E58" s="8" t="str">
        <f t="shared" si="2"/>
        <v>compras</v>
      </c>
      <c r="F58" s="8" t="str">
        <f>IFERROR(__xludf.DUMMYFUNCTION("""COMPUTED_VALUE"""),"essa")</f>
        <v>essa</v>
      </c>
      <c r="G58" s="8" t="str">
        <f t="shared" si="3"/>
        <v>1</v>
      </c>
      <c r="H58" s="9">
        <f t="shared" si="4"/>
        <v>1</v>
      </c>
      <c r="I58" s="10">
        <f>IFERROR(__xludf.DUMMYFUNCTION("MAX(FILTER($H:$H,$E:$E=F58))"),4.0)</f>
        <v>4</v>
      </c>
    </row>
    <row r="59">
      <c r="C59" s="4" t="s">
        <v>7054</v>
      </c>
      <c r="D59" s="4" t="str">
        <f t="shared" si="1"/>
        <v>{"valorA":"carrinho","valorB":1}</v>
      </c>
      <c r="E59" s="8" t="str">
        <f t="shared" si="2"/>
        <v>carrinho</v>
      </c>
      <c r="F59" s="8" t="str">
        <f>IFERROR(__xludf.DUMMYFUNCTION("""COMPUTED_VALUE"""),"hidratante")</f>
        <v>hidratante</v>
      </c>
      <c r="G59" s="8" t="str">
        <f t="shared" si="3"/>
        <v>1</v>
      </c>
      <c r="H59" s="9">
        <f t="shared" si="4"/>
        <v>1</v>
      </c>
      <c r="I59" s="10">
        <f>IFERROR(__xludf.DUMMYFUNCTION("MAX(FILTER($H:$H,$E:$E=F59))"),2.0)</f>
        <v>2</v>
      </c>
    </row>
    <row r="60">
      <c r="C60" s="4" t="s">
        <v>7055</v>
      </c>
      <c r="D60" s="4" t="str">
        <f t="shared" si="1"/>
        <v>{"valorA":"facil","valorB":1}</v>
      </c>
      <c r="E60" s="8" t="str">
        <f t="shared" si="2"/>
        <v>facil</v>
      </c>
      <c r="F60" s="8" t="str">
        <f>IFERROR(__xludf.DUMMYFUNCTION("""COMPUTED_VALUE"""),"está")</f>
        <v>está</v>
      </c>
      <c r="G60" s="8" t="str">
        <f t="shared" si="3"/>
        <v>1</v>
      </c>
      <c r="H60" s="9">
        <f t="shared" si="4"/>
        <v>1</v>
      </c>
      <c r="I60" s="10">
        <f>IFERROR(__xludf.DUMMYFUNCTION("MAX(FILTER($H:$H,$E:$E=F60))"),1.0)</f>
        <v>1</v>
      </c>
    </row>
    <row r="61">
      <c r="C61" s="4" t="s">
        <v>2658</v>
      </c>
      <c r="D61" s="4" t="str">
        <f t="shared" si="1"/>
        <v>{"valorA":"e","valorB":1}</v>
      </c>
      <c r="E61" s="8" t="str">
        <f t="shared" si="2"/>
        <v>e</v>
      </c>
      <c r="F61" s="8" t="str">
        <f>IFERROR(__xludf.DUMMYFUNCTION("""COMPUTED_VALUE"""),"pele")</f>
        <v>pele</v>
      </c>
      <c r="G61" s="8" t="str">
        <f t="shared" si="3"/>
        <v>1</v>
      </c>
      <c r="H61" s="9">
        <f t="shared" si="4"/>
        <v>1</v>
      </c>
      <c r="I61" s="10">
        <f>IFERROR(__xludf.DUMMYFUNCTION("MAX(FILTER($H:$H,$E:$E=F61))"),2.0)</f>
        <v>2</v>
      </c>
    </row>
    <row r="62">
      <c r="C62" s="4" t="s">
        <v>2939</v>
      </c>
      <c r="D62" s="4" t="str">
        <f t="shared" si="1"/>
        <v>{"valorA":"online","valorB":1}</v>
      </c>
      <c r="E62" s="8" t="str">
        <f t="shared" si="2"/>
        <v>online</v>
      </c>
      <c r="F62" s="8" t="str">
        <f>IFERROR(__xludf.DUMMYFUNCTION("""COMPUTED_VALUE"""),"agora")</f>
        <v>agora</v>
      </c>
      <c r="G62" s="8" t="str">
        <f t="shared" si="3"/>
        <v>1</v>
      </c>
      <c r="H62" s="9">
        <f t="shared" si="4"/>
        <v>1</v>
      </c>
      <c r="I62" s="10">
        <f>IFERROR(__xludf.DUMMYFUNCTION("MAX(FILTER($H:$H,$E:$E=F62))"),2.0)</f>
        <v>2</v>
      </c>
    </row>
    <row r="63">
      <c r="C63" s="4" t="s">
        <v>2680</v>
      </c>
      <c r="D63" s="4" t="str">
        <f t="shared" si="1"/>
        <v>{"valorA":"de","valorB":1}</v>
      </c>
      <c r="E63" s="8" t="str">
        <f t="shared" si="2"/>
        <v>de</v>
      </c>
      <c r="F63" s="8" t="str">
        <f>IFERROR(__xludf.DUMMYFUNCTION("""COMPUTED_VALUE"""),"suave")</f>
        <v>suave</v>
      </c>
      <c r="G63" s="8" t="str">
        <f t="shared" si="3"/>
        <v>1</v>
      </c>
      <c r="H63" s="9">
        <f t="shared" si="4"/>
        <v>1</v>
      </c>
      <c r="I63" s="10">
        <f>IFERROR(__xludf.DUMMYFUNCTION("MAX(FILTER($H:$H,$E:$E=F63))"),1.0)</f>
        <v>1</v>
      </c>
    </row>
    <row r="64">
      <c r="C64" s="4" t="s">
        <v>2681</v>
      </c>
      <c r="D64" s="4" t="str">
        <f t="shared" si="1"/>
        <v>{"valorA":"usar","valorB":1}</v>
      </c>
      <c r="E64" s="8" t="str">
        <f t="shared" si="2"/>
        <v>usar</v>
      </c>
      <c r="F64" s="8" t="str">
        <f>IFERROR(__xludf.DUMMYFUNCTION("""COMPUTED_VALUE"""),"valor")</f>
        <v>valor</v>
      </c>
      <c r="G64" s="8" t="str">
        <f t="shared" si="3"/>
        <v>1</v>
      </c>
      <c r="H64" s="9">
        <f t="shared" si="4"/>
        <v>1</v>
      </c>
      <c r="I64" s="10">
        <f>IFERROR(__xludf.DUMMYFUNCTION("MAX(FILTER($H:$H,$E:$E=F64))"),2.0)</f>
        <v>2</v>
      </c>
    </row>
    <row r="65">
      <c r="C65" s="4" t="s">
        <v>3067</v>
      </c>
      <c r="D65" s="4" t="str">
        <f t="shared" si="1"/>
        <v>{"valorA":"rápido","valorB":1}</v>
      </c>
      <c r="E65" s="8" t="str">
        <f t="shared" si="2"/>
        <v>rápido</v>
      </c>
      <c r="F65" s="8" t="str">
        <f>IFERROR(__xludf.DUMMYFUNCTION("""COMPUTED_VALUE"""),"pago")</f>
        <v>pago</v>
      </c>
      <c r="G65" s="8" t="str">
        <f t="shared" si="3"/>
        <v>1</v>
      </c>
      <c r="H65" s="9">
        <f t="shared" si="4"/>
        <v>1</v>
      </c>
      <c r="I65" s="10">
        <f>IFERROR(__xludf.DUMMYFUNCTION("MAX(FILTER($H:$H,$E:$E=F65))"),1.0)</f>
        <v>1</v>
      </c>
    </row>
    <row r="66">
      <c r="C66" s="4" t="s">
        <v>3189</v>
      </c>
      <c r="D66" s="4" t="str">
        <f t="shared" si="1"/>
        <v>{"valorA":"em","valorB":1}</v>
      </c>
      <c r="E66" s="8" t="str">
        <f t="shared" si="2"/>
        <v>em</v>
      </c>
      <c r="F66" s="8" t="str">
        <f>IFERROR(__xludf.DUMMYFUNCTION("""COMPUTED_VALUE"""),"dinheiro")</f>
        <v>dinheiro</v>
      </c>
      <c r="G66" s="8" t="str">
        <f t="shared" si="3"/>
        <v>1</v>
      </c>
      <c r="H66" s="9">
        <f t="shared" si="4"/>
        <v>1</v>
      </c>
      <c r="I66" s="10">
        <f>IFERROR(__xludf.DUMMYFUNCTION("MAX(FILTER($H:$H,$E:$E=F66))"),1.0)</f>
        <v>1</v>
      </c>
    </row>
    <row r="67">
      <c r="C67" s="4" t="s">
        <v>3620</v>
      </c>
      <c r="D67" s="4" t="str">
        <f t="shared" si="1"/>
        <v>{"valorA":"entrega","valorB":1}</v>
      </c>
      <c r="E67" s="8" t="str">
        <f t="shared" si="2"/>
        <v>entrega</v>
      </c>
      <c r="F67" s="8" t="str">
        <f>IFERROR(__xludf.DUMMYFUNCTION("""COMPUTED_VALUE"""),"bom")</f>
        <v>bom</v>
      </c>
      <c r="G67" s="8" t="str">
        <f t="shared" si="3"/>
        <v>1</v>
      </c>
      <c r="H67" s="9">
        <f t="shared" si="4"/>
        <v>1</v>
      </c>
      <c r="I67" s="10">
        <f>IFERROR(__xludf.DUMMYFUNCTION("MAX(FILTER($H:$H,$E:$E=F67))"),1.0)</f>
        <v>1</v>
      </c>
    </row>
    <row r="68">
      <c r="C68" s="4" t="s">
        <v>2682</v>
      </c>
      <c r="D68" s="4" t="str">
        <f t="shared" si="1"/>
        <v>{"valorA":"produto","valorB":6}</v>
      </c>
      <c r="E68" s="8" t="str">
        <f t="shared" si="2"/>
        <v>produto</v>
      </c>
      <c r="F68" s="8" t="str">
        <f>IFERROR(__xludf.DUMMYFUNCTION("""COMPUTED_VALUE"""),"recommended")</f>
        <v>recommended</v>
      </c>
      <c r="G68" s="8" t="str">
        <f t="shared" si="3"/>
        <v>6</v>
      </c>
      <c r="H68" s="9">
        <f t="shared" si="4"/>
        <v>6</v>
      </c>
      <c r="I68" s="10">
        <f>IFERROR(__xludf.DUMMYFUNCTION("MAX(FILTER($H:$H,$E:$E=F68))"),1.0)</f>
        <v>1</v>
      </c>
    </row>
    <row r="69">
      <c r="C69" s="4" t="s">
        <v>2684</v>
      </c>
      <c r="D69" s="4" t="str">
        <f t="shared" si="1"/>
        <v>{"valorA":"ótimo","valorB":9}</v>
      </c>
      <c r="E69" s="8" t="str">
        <f t="shared" si="2"/>
        <v>ótimo</v>
      </c>
      <c r="F69" s="8" t="str">
        <f>IFERROR(__xludf.DUMMYFUNCTION("""COMPUTED_VALUE"""),"recomendo")</f>
        <v>recomendo</v>
      </c>
      <c r="G69" s="8" t="str">
        <f t="shared" si="3"/>
        <v>9</v>
      </c>
      <c r="H69" s="9">
        <f t="shared" si="4"/>
        <v>9</v>
      </c>
      <c r="I69" s="10">
        <f>IFERROR(__xludf.DUMMYFUNCTION("MAX(FILTER($H:$H,$E:$E=F69))"),5.0)</f>
        <v>5</v>
      </c>
    </row>
    <row r="70">
      <c r="C70" s="4" t="s">
        <v>7056</v>
      </c>
      <c r="D70" s="4" t="str">
        <f t="shared" si="1"/>
        <v>{"valorA":"solar","valorB":1}</v>
      </c>
      <c r="E70" s="8" t="str">
        <f t="shared" si="2"/>
        <v>solar</v>
      </c>
      <c r="F70" s="8" t="str">
        <f>IFERROR(__xludf.DUMMYFUNCTION("""COMPUTED_VALUE"""),"feito")</f>
        <v>feito</v>
      </c>
      <c r="G70" s="8" t="str">
        <f t="shared" si="3"/>
        <v>1</v>
      </c>
      <c r="H70" s="9">
        <f t="shared" si="4"/>
        <v>1</v>
      </c>
      <c r="I70" s="10">
        <f>IFERROR(__xludf.DUMMYFUNCTION("MAX(FILTER($H:$H,$E:$E=F70))"),1.0)</f>
        <v>1</v>
      </c>
    </row>
    <row r="71">
      <c r="C71" s="4" t="s">
        <v>2177</v>
      </c>
      <c r="D71" s="4" t="str">
        <f t="shared" si="1"/>
        <v>{"valorA":"relógio","valorB":1}</v>
      </c>
      <c r="E71" s="8" t="str">
        <f t="shared" si="2"/>
        <v>relógio</v>
      </c>
      <c r="F71" s="8" t="str">
        <f>IFERROR(__xludf.DUMMYFUNCTION("""COMPUTED_VALUE"""),"uma")</f>
        <v>uma</v>
      </c>
      <c r="G71" s="8" t="str">
        <f t="shared" si="3"/>
        <v>1</v>
      </c>
      <c r="H71" s="9">
        <f t="shared" si="4"/>
        <v>1</v>
      </c>
      <c r="I71" s="10">
        <f>IFERROR(__xludf.DUMMYFUNCTION("MAX(FILTER($H:$H,$E:$E=F71))"),1.0)</f>
        <v>1</v>
      </c>
    </row>
    <row r="72">
      <c r="C72" s="4" t="s">
        <v>2651</v>
      </c>
      <c r="D72" s="4" t="str">
        <f t="shared" si="1"/>
        <v>{"valorA":"esse","valorB":2}</v>
      </c>
      <c r="E72" s="8" t="str">
        <f t="shared" si="2"/>
        <v>esse</v>
      </c>
      <c r="F72" s="8" t="str">
        <f>IFERROR(__xludf.DUMMYFUNCTION("""COMPUTED_VALUE"""),"beleza")</f>
        <v>beleza</v>
      </c>
      <c r="G72" s="8" t="str">
        <f t="shared" si="3"/>
        <v>2</v>
      </c>
      <c r="H72" s="9">
        <f t="shared" si="4"/>
        <v>2</v>
      </c>
      <c r="I72" s="10">
        <f>IFERROR(__xludf.DUMMYFUNCTION("MAX(FILTER($H:$H,$E:$E=F72))"),1.0)</f>
        <v>1</v>
      </c>
    </row>
    <row r="73">
      <c r="C73" s="4" t="s">
        <v>2714</v>
      </c>
      <c r="D73" s="4" t="str">
        <f t="shared" si="1"/>
        <v>{"valorA":"perfeitamente","valorB":2}</v>
      </c>
      <c r="E73" s="8" t="str">
        <f t="shared" si="2"/>
        <v>perfeitamente</v>
      </c>
      <c r="F73" s="8" t="str">
        <f>IFERROR(__xludf.DUMMYFUNCTION("""COMPUTED_VALUE"""),"valia")</f>
        <v>valia</v>
      </c>
      <c r="G73" s="8" t="str">
        <f t="shared" si="3"/>
        <v>2</v>
      </c>
      <c r="H73" s="9">
        <f t="shared" si="4"/>
        <v>2</v>
      </c>
      <c r="I73" s="10">
        <f>IFERROR(__xludf.DUMMYFUNCTION("MAX(FILTER($H:$H,$E:$E=F73))"),1.0)</f>
        <v>1</v>
      </c>
    </row>
    <row r="74">
      <c r="C74" s="4" t="s">
        <v>2624</v>
      </c>
      <c r="D74" s="4" t="str">
        <f t="shared" si="1"/>
        <v>{"valorA":"funciona","valorB":1}</v>
      </c>
      <c r="E74" s="8" t="str">
        <f t="shared" si="2"/>
        <v>funciona</v>
      </c>
      <c r="F74" s="8" t="str">
        <f>IFERROR(__xludf.DUMMYFUNCTION("""COMPUTED_VALUE"""),"grande")</f>
        <v>grande</v>
      </c>
      <c r="G74" s="8" t="str">
        <f t="shared" si="3"/>
        <v>1</v>
      </c>
      <c r="H74" s="9">
        <f t="shared" si="4"/>
        <v>1</v>
      </c>
      <c r="I74" s="10">
        <f>IFERROR(__xludf.DUMMYFUNCTION("MAX(FILTER($H:$H,$E:$E=F74))"),1.0)</f>
        <v>1</v>
      </c>
    </row>
    <row r="75">
      <c r="C75" s="4" t="s">
        <v>2810</v>
      </c>
      <c r="D75" s="4" t="str">
        <f t="shared" si="1"/>
        <v>{"valorA":"o","valorB":4}</v>
      </c>
      <c r="E75" s="8" t="str">
        <f t="shared" si="2"/>
        <v>o</v>
      </c>
      <c r="F75" s="8" t="str">
        <f>IFERROR(__xludf.DUMMYFUNCTION("""COMPUTED_VALUE"""),"caixa")</f>
        <v>caixa</v>
      </c>
      <c r="G75" s="8" t="str">
        <f t="shared" si="3"/>
        <v>4</v>
      </c>
      <c r="H75" s="9">
        <f t="shared" si="4"/>
        <v>4</v>
      </c>
      <c r="I75" s="10">
        <f>IFERROR(__xludf.DUMMYFUNCTION("MAX(FILTER($H:$H,$E:$E=F75))"),1.0)</f>
        <v>1</v>
      </c>
    </row>
    <row r="76">
      <c r="C76" s="4" t="s">
        <v>2778</v>
      </c>
      <c r="D76" s="4" t="str">
        <f t="shared" si="1"/>
        <v>{"valorA":"antigo","valorB":1}</v>
      </c>
      <c r="E76" s="8" t="str">
        <f t="shared" si="2"/>
        <v>antigo</v>
      </c>
      <c r="F76" s="8" t="str">
        <f>IFERROR(__xludf.DUMMYFUNCTION("""COMPUTED_VALUE"""),"veio")</f>
        <v>veio</v>
      </c>
      <c r="G76" s="8" t="str">
        <f t="shared" si="3"/>
        <v>1</v>
      </c>
      <c r="H76" s="9">
        <f t="shared" si="4"/>
        <v>1</v>
      </c>
      <c r="I76" s="10">
        <f>IFERROR(__xludf.DUMMYFUNCTION("MAX(FILTER($H:$H,$E:$E=F76))"),1.0)</f>
        <v>1</v>
      </c>
    </row>
    <row r="77">
      <c r="C77" s="4" t="s">
        <v>2663</v>
      </c>
      <c r="D77" s="4" t="str">
        <f t="shared" si="1"/>
        <v>{"valorA":"muito","valorB":2}</v>
      </c>
      <c r="E77" s="8" t="str">
        <f t="shared" si="2"/>
        <v>muito</v>
      </c>
      <c r="F77" s="8" t="str">
        <f>IFERROR(__xludf.DUMMYFUNCTION("""COMPUTED_VALUE"""),"novo")</f>
        <v>novo</v>
      </c>
      <c r="G77" s="8" t="str">
        <f t="shared" si="3"/>
        <v>2</v>
      </c>
      <c r="H77" s="9">
        <f t="shared" si="4"/>
        <v>2</v>
      </c>
      <c r="I77" s="10">
        <f>IFERROR(__xludf.DUMMYFUNCTION("MAX(FILTER($H:$H,$E:$E=F77))"),2.0)</f>
        <v>2</v>
      </c>
    </row>
    <row r="78">
      <c r="C78" s="4" t="s">
        <v>2772</v>
      </c>
      <c r="D78" s="4" t="str">
        <f t="shared" si="1"/>
        <v>{"valorA":"mais","valorB":1}</v>
      </c>
      <c r="E78" s="8" t="str">
        <f t="shared" si="2"/>
        <v>mais</v>
      </c>
      <c r="F78" s="8" t="str">
        <f>IFERROR(__xludf.DUMMYFUNCTION("""COMPUTED_VALUE"""),"confortável")</f>
        <v>confortável</v>
      </c>
      <c r="G78" s="8" t="str">
        <f t="shared" si="3"/>
        <v>1</v>
      </c>
      <c r="H78" s="9">
        <f t="shared" si="4"/>
        <v>1</v>
      </c>
      <c r="I78" s="10">
        <f>IFERROR(__xludf.DUMMYFUNCTION("MAX(FILTER($H:$H,$E:$E=F78))"),3.0)</f>
        <v>3</v>
      </c>
    </row>
    <row r="79">
      <c r="C79" s="4" t="s">
        <v>2777</v>
      </c>
      <c r="D79" s="4" t="str">
        <f t="shared" si="1"/>
        <v>{"valorA":"meu","valorB":2}</v>
      </c>
      <c r="E79" s="8" t="str">
        <f t="shared" si="2"/>
        <v>meu</v>
      </c>
      <c r="F79" s="8" t="str">
        <f>IFERROR(__xludf.DUMMYFUNCTION("""COMPUTED_VALUE"""),"relojoeiro")</f>
        <v>relojoeiro</v>
      </c>
      <c r="G79" s="8" t="str">
        <f t="shared" si="3"/>
        <v>2</v>
      </c>
      <c r="H79" s="9">
        <f t="shared" si="4"/>
        <v>2</v>
      </c>
      <c r="I79" s="10">
        <f>IFERROR(__xludf.DUMMYFUNCTION("MAX(FILTER($H:$H,$E:$E=F79))"),1.0)</f>
        <v>1</v>
      </c>
    </row>
    <row r="80">
      <c r="C80" s="4" t="s">
        <v>2690</v>
      </c>
      <c r="D80" s="4" t="str">
        <f t="shared" si="1"/>
        <v>{"valorA":"ótimo","valorB":10}</v>
      </c>
      <c r="E80" s="8" t="str">
        <f t="shared" si="2"/>
        <v>ótimo</v>
      </c>
      <c r="F80" s="8" t="str">
        <f>IFERROR(__xludf.DUMMYFUNCTION("""COMPUTED_VALUE"""),"mas")</f>
        <v>mas</v>
      </c>
      <c r="G80" s="8" t="str">
        <f t="shared" si="3"/>
        <v>10</v>
      </c>
      <c r="H80" s="9">
        <f t="shared" si="4"/>
        <v>10</v>
      </c>
      <c r="I80" s="10">
        <f>IFERROR(__xludf.DUMMYFUNCTION("MAX(FILTER($H:$H,$E:$E=F80))"),2.0)</f>
        <v>2</v>
      </c>
    </row>
    <row r="81">
      <c r="C81" s="4" t="s">
        <v>2921</v>
      </c>
      <c r="D81" s="4" t="str">
        <f t="shared" si="1"/>
        <v>{"valorA":"refrigerante","valorB":1}</v>
      </c>
      <c r="E81" s="8" t="str">
        <f t="shared" si="2"/>
        <v>refrigerante</v>
      </c>
      <c r="F81" s="8" t="str">
        <f>IFERROR(__xludf.DUMMYFUNCTION("""COMPUTED_VALUE"""),"caro")</f>
        <v>caro</v>
      </c>
      <c r="G81" s="8" t="str">
        <f t="shared" si="3"/>
        <v>1</v>
      </c>
      <c r="H81" s="9">
        <f t="shared" si="4"/>
        <v>1</v>
      </c>
      <c r="I81" s="10">
        <f>IFERROR(__xludf.DUMMYFUNCTION("MAX(FILTER($H:$H,$E:$E=F81))"),2.0)</f>
        <v>2</v>
      </c>
    </row>
    <row r="82">
      <c r="C82" s="4" t="s">
        <v>2843</v>
      </c>
      <c r="D82" s="4" t="str">
        <f t="shared" si="1"/>
        <v>{"valorA":"desse","valorB":2}</v>
      </c>
      <c r="E82" s="8" t="str">
        <f t="shared" si="2"/>
        <v>desse</v>
      </c>
      <c r="F82" s="8" t="str">
        <f>IFERROR(__xludf.DUMMYFUNCTION("""COMPUTED_VALUE"""),"ajuda")</f>
        <v>ajuda</v>
      </c>
      <c r="G82" s="8" t="str">
        <f t="shared" si="3"/>
        <v>2</v>
      </c>
      <c r="H82" s="9">
        <f t="shared" si="4"/>
        <v>2</v>
      </c>
      <c r="I82" s="10">
        <f>IFERROR(__xludf.DUMMYFUNCTION("MAX(FILTER($H:$H,$E:$E=F82))"),1.0)</f>
        <v>1</v>
      </c>
    </row>
    <row r="83">
      <c r="C83" s="4" t="s">
        <v>2775</v>
      </c>
      <c r="D83" s="4" t="str">
        <f t="shared" si="1"/>
        <v>{"valorA":"barato","valorB":1}</v>
      </c>
      <c r="E83" s="8" t="str">
        <f t="shared" si="2"/>
        <v>barato</v>
      </c>
      <c r="F83" s="8" t="str">
        <f>IFERROR(__xludf.DUMMYFUNCTION("""COMPUTED_VALUE"""),"minha")</f>
        <v>minha</v>
      </c>
      <c r="G83" s="8" t="str">
        <f t="shared" si="3"/>
        <v>1</v>
      </c>
      <c r="H83" s="9">
        <f t="shared" si="4"/>
        <v>1</v>
      </c>
      <c r="I83" s="10">
        <f>IFERROR(__xludf.DUMMYFUNCTION("MAX(FILTER($H:$H,$E:$E=F83))"),1.0)</f>
        <v>1</v>
      </c>
    </row>
    <row r="84">
      <c r="C84" s="4" t="s">
        <v>2819</v>
      </c>
      <c r="D84" s="4" t="str">
        <f t="shared" si="1"/>
        <v>{"valorA":"é","valorB":4}</v>
      </c>
      <c r="E84" s="8" t="str">
        <f t="shared" si="2"/>
        <v>é</v>
      </c>
      <c r="F84" s="8" t="str">
        <f>IFERROR(__xludf.DUMMYFUNCTION("""COMPUTED_VALUE"""),"me")</f>
        <v>me</v>
      </c>
      <c r="G84" s="8" t="str">
        <f t="shared" si="3"/>
        <v>4</v>
      </c>
      <c r="H84" s="9">
        <f t="shared" si="4"/>
        <v>4</v>
      </c>
      <c r="I84" s="10">
        <f>IFERROR(__xludf.DUMMYFUNCTION("MAX(FILTER($H:$H,$E:$E=F84))"),2.0)</f>
        <v>2</v>
      </c>
    </row>
    <row r="85">
      <c r="C85" s="4" t="s">
        <v>2783</v>
      </c>
      <c r="D85" s="4" t="str">
        <f t="shared" si="1"/>
        <v>{"valorA":"do","valorB":3}</v>
      </c>
      <c r="E85" s="8" t="str">
        <f t="shared" si="2"/>
        <v>do</v>
      </c>
      <c r="F85" s="8" t="str">
        <f>IFERROR(__xludf.DUMMYFUNCTION("""COMPUTED_VALUE"""),"manter")</f>
        <v>manter</v>
      </c>
      <c r="G85" s="8" t="str">
        <f t="shared" si="3"/>
        <v>3</v>
      </c>
      <c r="H85" s="9">
        <f t="shared" si="4"/>
        <v>3</v>
      </c>
      <c r="I85" s="10">
        <f>IFERROR(__xludf.DUMMYFUNCTION("MAX(FILTER($H:$H,$E:$E=F85))"),1.0)</f>
        <v>1</v>
      </c>
    </row>
    <row r="86">
      <c r="C86" s="4" t="s">
        <v>2676</v>
      </c>
      <c r="D86" s="4" t="str">
        <f t="shared" si="1"/>
        <v>{"valorA":"e","valorB":2}</v>
      </c>
      <c r="E86" s="8" t="str">
        <f t="shared" si="2"/>
        <v>e</v>
      </c>
      <c r="F86" s="8" t="str">
        <f>IFERROR(__xludf.DUMMYFUNCTION("""COMPUTED_VALUE"""),"hidrata")</f>
        <v>hidrata</v>
      </c>
      <c r="G86" s="8" t="str">
        <f t="shared" si="3"/>
        <v>2</v>
      </c>
      <c r="H86" s="9">
        <f t="shared" si="4"/>
        <v>2</v>
      </c>
      <c r="I86" s="10">
        <f>IFERROR(__xludf.DUMMYFUNCTION("MAX(FILTER($H:$H,$E:$E=F86))"),1.0)</f>
        <v>1</v>
      </c>
    </row>
    <row r="87">
      <c r="C87" s="4" t="s">
        <v>2879</v>
      </c>
      <c r="D87" s="4" t="str">
        <f t="shared" si="1"/>
        <v>{"valorA":"bem","valorB":4}</v>
      </c>
      <c r="E87" s="8" t="str">
        <f t="shared" si="2"/>
        <v>bem</v>
      </c>
      <c r="F87" s="8" t="str">
        <f>IFERROR(__xludf.DUMMYFUNCTION("""COMPUTED_VALUE"""),"sonhos")</f>
        <v>sonhos</v>
      </c>
      <c r="G87" s="8" t="str">
        <f t="shared" si="3"/>
        <v>4</v>
      </c>
      <c r="H87" s="9">
        <f t="shared" si="4"/>
        <v>4</v>
      </c>
      <c r="I87" s="10">
        <f>IFERROR(__xludf.DUMMYFUNCTION("MAX(FILTER($H:$H,$E:$E=F87))"),1.0)</f>
        <v>1</v>
      </c>
    </row>
    <row r="88">
      <c r="C88" s="4" t="s">
        <v>2666</v>
      </c>
      <c r="D88" s="4" t="str">
        <f t="shared" si="1"/>
        <v>{"valorA":"com","valorB":1}</v>
      </c>
      <c r="E88" s="8" t="str">
        <f t="shared" si="2"/>
        <v>com</v>
      </c>
      <c r="F88" s="8" t="str">
        <f>IFERROR(__xludf.DUMMYFUNCTION("""COMPUTED_VALUE"""),"confortáveis")</f>
        <v>confortáveis</v>
      </c>
      <c r="G88" s="8" t="str">
        <f t="shared" si="3"/>
        <v>1</v>
      </c>
      <c r="H88" s="9">
        <f t="shared" si="4"/>
        <v>1</v>
      </c>
      <c r="I88" s="10">
        <f>IFERROR(__xludf.DUMMYFUNCTION("MAX(FILTER($H:$H,$E:$E=F88))"),1.0)</f>
        <v>1</v>
      </c>
    </row>
    <row r="89">
      <c r="C89" s="4" t="s">
        <v>2708</v>
      </c>
      <c r="D89" s="4" t="str">
        <f t="shared" si="1"/>
        <v>{"valorA":"que","valorB":3}</v>
      </c>
      <c r="E89" s="8" t="str">
        <f t="shared" si="2"/>
        <v>que</v>
      </c>
      <c r="F89" s="8" t="str">
        <f>IFERROR(__xludf.DUMMYFUNCTION("""COMPUTED_VALUE"""),"colchão")</f>
        <v>colchão</v>
      </c>
      <c r="G89" s="8" t="str">
        <f t="shared" si="3"/>
        <v>3</v>
      </c>
      <c r="H89" s="9">
        <f t="shared" si="4"/>
        <v>3</v>
      </c>
      <c r="I89" s="10">
        <f>IFERROR(__xludf.DUMMYFUNCTION("MAX(FILTER($H:$H,$E:$E=F89))"),1.0)</f>
        <v>1</v>
      </c>
    </row>
    <row r="90">
      <c r="C90" s="4" t="s">
        <v>2678</v>
      </c>
      <c r="D90" s="4" t="str">
        <f t="shared" si="1"/>
        <v>{"valorA":"funciona","valorB":2}</v>
      </c>
      <c r="E90" s="8" t="str">
        <f t="shared" si="2"/>
        <v>funciona</v>
      </c>
      <c r="F90" s="8" t="str">
        <f>IFERROR(__xludf.DUMMYFUNCTION("""COMPUTED_VALUE"""),"comentário")</f>
        <v>comentário</v>
      </c>
      <c r="G90" s="8" t="str">
        <f t="shared" si="3"/>
        <v>2</v>
      </c>
      <c r="H90" s="9">
        <f t="shared" si="4"/>
        <v>2</v>
      </c>
      <c r="I90" s="10">
        <f>IFERROR(__xludf.DUMMYFUNCTION("MAX(FILTER($H:$H,$E:$E=F90))"),1.0)</f>
        <v>1</v>
      </c>
    </row>
    <row r="91">
      <c r="C91" s="4" t="s">
        <v>7057</v>
      </c>
      <c r="D91" s="4" t="str">
        <f t="shared" si="1"/>
        <v>{"valorA":"lanço","valorB":1}</v>
      </c>
      <c r="E91" s="8" t="str">
        <f t="shared" si="2"/>
        <v>lanço</v>
      </c>
      <c r="F91" s="8" t="str">
        <f>IFERROR(__xludf.DUMMYFUNCTION("""COMPUTED_VALUE"""),"todos")</f>
        <v>todos</v>
      </c>
      <c r="G91" s="8" t="str">
        <f t="shared" si="3"/>
        <v>1</v>
      </c>
      <c r="H91" s="9">
        <f t="shared" si="4"/>
        <v>1</v>
      </c>
      <c r="I91" s="10">
        <f>IFERROR(__xludf.DUMMYFUNCTION("MAX(FILTER($H:$H,$E:$E=F91))"),1.0)</f>
        <v>1</v>
      </c>
    </row>
    <row r="92">
      <c r="C92" s="4" t="s">
        <v>2698</v>
      </c>
      <c r="D92" s="4" t="str">
        <f t="shared" si="1"/>
        <v>{"valorA":"ótimo","valorB":11}</v>
      </c>
      <c r="E92" s="8" t="str">
        <f t="shared" si="2"/>
        <v>ótimo</v>
      </c>
      <c r="F92" s="8" t="str">
        <f>IFERROR(__xludf.DUMMYFUNCTION("""COMPUTED_VALUE"""),"design")</f>
        <v>design</v>
      </c>
      <c r="G92" s="8" t="str">
        <f t="shared" si="3"/>
        <v>11</v>
      </c>
      <c r="H92" s="9">
        <f t="shared" si="4"/>
        <v>11</v>
      </c>
      <c r="I92" s="10">
        <f>IFERROR(__xludf.DUMMYFUNCTION("MAX(FILTER($H:$H,$E:$E=F92))"),2.0)</f>
        <v>2</v>
      </c>
    </row>
    <row r="93">
      <c r="C93" s="4" t="s">
        <v>7058</v>
      </c>
      <c r="D93" s="4" t="str">
        <f t="shared" si="1"/>
        <v>{"valorA":"perfume","valorB":1}</v>
      </c>
      <c r="E93" s="8" t="str">
        <f t="shared" si="2"/>
        <v>perfume</v>
      </c>
      <c r="F93" s="8" t="str">
        <f>IFERROR(__xludf.DUMMYFUNCTION("""COMPUTED_VALUE"""),"relojoeira")</f>
        <v>relojoeira</v>
      </c>
      <c r="G93" s="8" t="str">
        <f t="shared" si="3"/>
        <v>1</v>
      </c>
      <c r="H93" s="9">
        <f t="shared" si="4"/>
        <v>1</v>
      </c>
      <c r="I93" s="10">
        <f>IFERROR(__xludf.DUMMYFUNCTION("MAX(FILTER($H:$H,$E:$E=F93))"),3.0)</f>
        <v>3</v>
      </c>
    </row>
    <row r="94">
      <c r="C94" s="4" t="s">
        <v>2692</v>
      </c>
      <c r="D94" s="4" t="str">
        <f t="shared" si="1"/>
        <v>{"valorA":"adorei","valorB":1}</v>
      </c>
      <c r="E94" s="8" t="str">
        <f t="shared" si="2"/>
        <v>adorei</v>
      </c>
      <c r="F94" s="8" t="str">
        <f>IFERROR(__xludf.DUMMYFUNCTION("""COMPUTED_VALUE"""),"wireless")</f>
        <v>wireless</v>
      </c>
      <c r="G94" s="8" t="str">
        <f t="shared" si="3"/>
        <v>1</v>
      </c>
      <c r="H94" s="9">
        <f t="shared" si="4"/>
        <v>1</v>
      </c>
      <c r="I94" s="10">
        <f>IFERROR(__xludf.DUMMYFUNCTION("MAX(FILTER($H:$H,$E:$E=F94))"),1.0)</f>
        <v>1</v>
      </c>
    </row>
    <row r="95">
      <c r="C95" s="4" t="s">
        <v>7059</v>
      </c>
      <c r="D95" s="4" t="str">
        <f t="shared" si="1"/>
        <v>{"valorA":"desse","valorB":3}</v>
      </c>
      <c r="E95" s="8" t="str">
        <f t="shared" si="2"/>
        <v>desse</v>
      </c>
      <c r="F95" s="8" t="str">
        <f>IFERROR(__xludf.DUMMYFUNCTION("""COMPUTED_VALUE"""),"fone")</f>
        <v>fone</v>
      </c>
      <c r="G95" s="8" t="str">
        <f t="shared" si="3"/>
        <v>3</v>
      </c>
      <c r="H95" s="9">
        <f t="shared" si="4"/>
        <v>3</v>
      </c>
      <c r="I95" s="10">
        <f>IFERROR(__xludf.DUMMYFUNCTION("MAX(FILTER($H:$H,$E:$E=F95))"),1.0)</f>
        <v>1</v>
      </c>
    </row>
    <row r="96">
      <c r="C96" s="4" t="s">
        <v>2720</v>
      </c>
      <c r="D96" s="4" t="str">
        <f t="shared" si="1"/>
        <v>{"valorA":"de","valorB":2}</v>
      </c>
      <c r="E96" s="8" t="str">
        <f t="shared" si="2"/>
        <v>de</v>
      </c>
      <c r="F96" s="8" t="str">
        <f>IFERROR(__xludf.DUMMYFUNCTION("""COMPUTED_VALUE"""),"ouvido")</f>
        <v>ouvido</v>
      </c>
      <c r="G96" s="8" t="str">
        <f t="shared" si="3"/>
        <v>2</v>
      </c>
      <c r="H96" s="9">
        <f t="shared" si="4"/>
        <v>2</v>
      </c>
      <c r="I96" s="10">
        <f>IFERROR(__xludf.DUMMYFUNCTION("MAX(FILTER($H:$H,$E:$E=F96))"),1.0)</f>
        <v>1</v>
      </c>
    </row>
    <row r="97">
      <c r="C97" s="4" t="s">
        <v>2705</v>
      </c>
      <c r="D97" s="4" t="str">
        <f t="shared" si="1"/>
        <v>{"valorA":"muito","valorB":3}</v>
      </c>
      <c r="E97" s="8" t="str">
        <f t="shared" si="2"/>
        <v>muito</v>
      </c>
      <c r="F97" s="8" t="str">
        <f>IFERROR(__xludf.DUMMYFUNCTION("""COMPUTED_VALUE"""),"brinquedo")</f>
        <v>brinquedo</v>
      </c>
      <c r="G97" s="8" t="str">
        <f t="shared" si="3"/>
        <v>3</v>
      </c>
      <c r="H97" s="9">
        <f t="shared" si="4"/>
        <v>3</v>
      </c>
      <c r="I97" s="10">
        <f>IFERROR(__xludf.DUMMYFUNCTION("MAX(FILTER($H:$H,$E:$E=F97))"),1.0)</f>
        <v>1</v>
      </c>
    </row>
    <row r="98">
      <c r="C98" s="4" t="s">
        <v>2789</v>
      </c>
      <c r="D98" s="4" t="str">
        <f t="shared" si="1"/>
        <v>{"valorA":"esse","valorB":3}</v>
      </c>
      <c r="E98" s="8" t="str">
        <f t="shared" si="2"/>
        <v>esse</v>
      </c>
      <c r="F98" s="8" t="str">
        <f>IFERROR(__xludf.DUMMYFUNCTION("""COMPUTED_VALUE"""),"detalhes")</f>
        <v>detalhes</v>
      </c>
      <c r="G98" s="8" t="str">
        <f t="shared" si="3"/>
        <v>3</v>
      </c>
      <c r="H98" s="9">
        <f t="shared" si="4"/>
        <v>3</v>
      </c>
      <c r="I98" s="10">
        <f>IFERROR(__xludf.DUMMYFUNCTION("MAX(FILTER($H:$H,$E:$E=F98))"),1.0)</f>
        <v>1</v>
      </c>
    </row>
    <row r="99">
      <c r="C99" s="4" t="s">
        <v>2702</v>
      </c>
      <c r="D99" s="4" t="str">
        <f t="shared" si="1"/>
        <v>{"valorA":"ótimo","valorB":12}</v>
      </c>
      <c r="E99" s="8" t="str">
        <f t="shared" si="2"/>
        <v>ótimo</v>
      </c>
      <c r="F99" s="8" t="str">
        <f>IFERROR(__xludf.DUMMYFUNCTION("""COMPUTED_VALUE"""),"muitos")</f>
        <v>muitos</v>
      </c>
      <c r="G99" s="8" t="str">
        <f t="shared" si="3"/>
        <v>12</v>
      </c>
      <c r="H99" s="9">
        <f t="shared" si="4"/>
        <v>12</v>
      </c>
      <c r="I99" s="10">
        <f>IFERROR(__xludf.DUMMYFUNCTION("MAX(FILTER($H:$H,$E:$E=F99))"),1.0)</f>
        <v>1</v>
      </c>
    </row>
    <row r="100">
      <c r="C100" s="4" t="s">
        <v>2693</v>
      </c>
      <c r="D100" s="4" t="str">
        <f t="shared" si="1"/>
        <v>{"valorA":"produto","valorB":7}</v>
      </c>
      <c r="E100" s="8" t="str">
        <f t="shared" si="2"/>
        <v>produto</v>
      </c>
      <c r="F100" s="8" t="str">
        <f>IFERROR(__xludf.DUMMYFUNCTION("""COMPUTED_VALUE"""),"thought")</f>
        <v>thought</v>
      </c>
      <c r="G100" s="8" t="str">
        <f t="shared" si="3"/>
        <v>7</v>
      </c>
      <c r="H100" s="9">
        <f t="shared" si="4"/>
        <v>7</v>
      </c>
      <c r="I100" s="10">
        <f>IFERROR(__xludf.DUMMYFUNCTION("MAX(FILTER($H:$H,$E:$E=F100))"),1.0)</f>
        <v>1</v>
      </c>
    </row>
    <row r="101">
      <c r="C101" s="4" t="s">
        <v>2703</v>
      </c>
      <c r="D101" s="4" t="str">
        <f t="shared" si="1"/>
        <v>{"valorA":"gostei","valorB":2}</v>
      </c>
      <c r="E101" s="8" t="str">
        <f t="shared" si="2"/>
        <v>gostei</v>
      </c>
      <c r="F101" s="8" t="str">
        <f>IFERROR(__xludf.DUMMYFUNCTION("""COMPUTED_VALUE"""),"cutículas")</f>
        <v>cutículas</v>
      </c>
      <c r="G101" s="8" t="str">
        <f t="shared" si="3"/>
        <v>2</v>
      </c>
      <c r="H101" s="9">
        <f t="shared" si="4"/>
        <v>2</v>
      </c>
      <c r="I101" s="10">
        <f>IFERROR(__xludf.DUMMYFUNCTION("MAX(FILTER($H:$H,$E:$E=F101))"),1.0)</f>
        <v>1</v>
      </c>
    </row>
    <row r="102">
      <c r="C102" s="4" t="s">
        <v>7060</v>
      </c>
      <c r="D102" s="4" t="str">
        <f t="shared" si="1"/>
        <v>{"valorA":"refrigerante","valorB":2}</v>
      </c>
      <c r="E102" s="8" t="str">
        <f t="shared" si="2"/>
        <v>refrigerante</v>
      </c>
      <c r="F102" s="8" t="str">
        <f>IFERROR(__xludf.DUMMYFUNCTION("""COMPUTED_VALUE"""),"minhas")</f>
        <v>minhas</v>
      </c>
      <c r="G102" s="8" t="str">
        <f t="shared" si="3"/>
        <v>2</v>
      </c>
      <c r="H102" s="9">
        <f t="shared" si="4"/>
        <v>2</v>
      </c>
      <c r="I102" s="10">
        <f>IFERROR(__xludf.DUMMYFUNCTION("MAX(FILTER($H:$H,$E:$E=F102))"),1.0)</f>
        <v>1</v>
      </c>
    </row>
    <row r="103">
      <c r="C103" s="4" t="s">
        <v>2919</v>
      </c>
      <c r="D103" s="4" t="str">
        <f t="shared" si="1"/>
        <v>{"valorA":"da","valorB":1}</v>
      </c>
      <c r="E103" s="8" t="str">
        <f t="shared" si="2"/>
        <v>da</v>
      </c>
      <c r="F103" s="8" t="str">
        <f>IFERROR(__xludf.DUMMYFUNCTION("""COMPUTED_VALUE"""),"unhas")</f>
        <v>unhas</v>
      </c>
      <c r="G103" s="8" t="str">
        <f t="shared" si="3"/>
        <v>1</v>
      </c>
      <c r="H103" s="9">
        <f t="shared" si="4"/>
        <v>1</v>
      </c>
      <c r="I103" s="10">
        <f>IFERROR(__xludf.DUMMYFUNCTION("MAX(FILTER($H:$H,$E:$E=F103))"),1.0)</f>
        <v>1</v>
      </c>
    </row>
    <row r="104">
      <c r="C104" s="4" t="s">
        <v>2878</v>
      </c>
      <c r="D104" s="4" t="str">
        <f t="shared" si="1"/>
        <v>{"valorA":"qualidade","valorB":1}</v>
      </c>
      <c r="E104" s="8" t="str">
        <f t="shared" si="2"/>
        <v>qualidade</v>
      </c>
      <c r="F104" s="8" t="str">
        <f>IFERROR(__xludf.DUMMYFUNCTION("""COMPUTED_VALUE"""),"saudáveis")</f>
        <v>saudáveis</v>
      </c>
      <c r="G104" s="8" t="str">
        <f t="shared" si="3"/>
        <v>1</v>
      </c>
      <c r="H104" s="9">
        <f t="shared" si="4"/>
        <v>1</v>
      </c>
      <c r="I104" s="10">
        <f>IFERROR(__xludf.DUMMYFUNCTION("MAX(FILTER($H:$H,$E:$E=F104))"),1.0)</f>
        <v>1</v>
      </c>
    </row>
    <row r="105">
      <c r="C105" s="4" t="s">
        <v>3614</v>
      </c>
      <c r="D105" s="4" t="str">
        <f t="shared" si="1"/>
        <v>{"valorA":"mais","valorB":2}</v>
      </c>
      <c r="E105" s="8" t="str">
        <f t="shared" si="2"/>
        <v>mais</v>
      </c>
      <c r="F105" s="8" t="str">
        <f>IFERROR(__xludf.DUMMYFUNCTION("""COMPUTED_VALUE"""),"estão")</f>
        <v>estão</v>
      </c>
      <c r="G105" s="8" t="str">
        <f t="shared" si="3"/>
        <v>2</v>
      </c>
      <c r="H105" s="9">
        <f t="shared" si="4"/>
        <v>2</v>
      </c>
      <c r="I105" s="10">
        <f>IFERROR(__xludf.DUMMYFUNCTION("MAX(FILTER($H:$H,$E:$E=F105))"),1.0)</f>
        <v>1</v>
      </c>
    </row>
    <row r="106">
      <c r="C106" s="4" t="s">
        <v>2710</v>
      </c>
      <c r="D106" s="4" t="str">
        <f t="shared" si="1"/>
        <v>{"valorA":"ótimo","valorB":13}</v>
      </c>
      <c r="E106" s="8" t="str">
        <f t="shared" si="2"/>
        <v>ótimo</v>
      </c>
      <c r="F106" s="8" t="str">
        <f>IFERROR(__xludf.DUMMYFUNCTION("""COMPUTED_VALUE"""),"fortes")</f>
        <v>fortes</v>
      </c>
      <c r="G106" s="8" t="str">
        <f t="shared" si="3"/>
        <v>13</v>
      </c>
      <c r="H106" s="9">
        <f t="shared" si="4"/>
        <v>13</v>
      </c>
      <c r="I106" s="10">
        <f>IFERROR(__xludf.DUMMYFUNCTION("MAX(FILTER($H:$H,$E:$E=F106))"),1.0)</f>
        <v>1</v>
      </c>
    </row>
    <row r="107">
      <c r="C107" s="4" t="s">
        <v>2897</v>
      </c>
      <c r="D107" s="4" t="str">
        <f t="shared" si="1"/>
        <v>{"valorA":"meu","valorB":3}</v>
      </c>
      <c r="E107" s="8" t="str">
        <f t="shared" si="2"/>
        <v>meu</v>
      </c>
      <c r="F107" s="8" t="str">
        <f>IFERROR(__xludf.DUMMYFUNCTION("""COMPUTED_VALUE"""),"apena")</f>
        <v>apena</v>
      </c>
      <c r="G107" s="8" t="str">
        <f t="shared" si="3"/>
        <v>3</v>
      </c>
      <c r="H107" s="9">
        <f t="shared" si="4"/>
        <v>3</v>
      </c>
      <c r="I107" s="10">
        <f>IFERROR(__xludf.DUMMYFUNCTION("MAX(FILTER($H:$H,$E:$E=F107))"),1.0)</f>
        <v>1</v>
      </c>
    </row>
    <row r="108">
      <c r="C108" s="4" t="s">
        <v>2704</v>
      </c>
      <c r="D108" s="4" t="str">
        <f t="shared" si="1"/>
        <v>{"valorA":"produto","valorB":8}</v>
      </c>
      <c r="E108" s="8" t="str">
        <f t="shared" si="2"/>
        <v>produto</v>
      </c>
      <c r="F108" s="8" t="str">
        <f>IFERROR(__xludf.DUMMYFUNCTION("""COMPUTED_VALUE"""),"encantou")</f>
        <v>encantou</v>
      </c>
      <c r="G108" s="8" t="str">
        <f t="shared" si="3"/>
        <v>8</v>
      </c>
      <c r="H108" s="9">
        <f t="shared" si="4"/>
        <v>8</v>
      </c>
      <c r="I108" s="10">
        <f>IFERROR(__xludf.DUMMYFUNCTION("MAX(FILTER($H:$H,$E:$E=F108))"),1.0)</f>
        <v>1</v>
      </c>
    </row>
    <row r="109">
      <c r="C109" s="4" t="s">
        <v>2688</v>
      </c>
      <c r="D109" s="4" t="str">
        <f t="shared" si="1"/>
        <v>{"valorA":"creme","valorB":1}</v>
      </c>
      <c r="E109" s="8" t="str">
        <f t="shared" si="2"/>
        <v>creme</v>
      </c>
      <c r="F109" s="8" t="str">
        <f>IFERROR(__xludf.DUMMYFUNCTION("""COMPUTED_VALUE"""),"recomendado")</f>
        <v>recomendado</v>
      </c>
      <c r="G109" s="8" t="str">
        <f t="shared" si="3"/>
        <v>1</v>
      </c>
      <c r="H109" s="9">
        <f t="shared" si="4"/>
        <v>1</v>
      </c>
      <c r="I109" s="10">
        <f>IFERROR(__xludf.DUMMYFUNCTION("MAX(FILTER($H:$H,$E:$E=F109))"),1.0)</f>
        <v>1</v>
      </c>
    </row>
    <row r="110">
      <c r="C110" s="4" t="s">
        <v>2683</v>
      </c>
      <c r="D110" s="4" t="str">
        <f t="shared" si="1"/>
        <v>{"valorA":"essa","valorB":1}</v>
      </c>
      <c r="E110" s="8" t="str">
        <f t="shared" si="2"/>
        <v>essa</v>
      </c>
      <c r="F110" s="8" t="str">
        <f>IFERROR(__xludf.DUMMYFUNCTION("""COMPUTED_VALUE"""),"chaleco")</f>
        <v>chaleco</v>
      </c>
      <c r="G110" s="8" t="str">
        <f t="shared" si="3"/>
        <v>1</v>
      </c>
      <c r="H110" s="9">
        <f t="shared" si="4"/>
        <v>1</v>
      </c>
      <c r="I110" s="10">
        <f>IFERROR(__xludf.DUMMYFUNCTION("MAX(FILTER($H:$H,$E:$E=F110))"),1.0)</f>
        <v>1</v>
      </c>
    </row>
    <row r="111">
      <c r="C111" s="4" t="s">
        <v>2689</v>
      </c>
      <c r="D111" s="4" t="str">
        <f t="shared" si="1"/>
        <v>{"valorA":"hidratante","valorB":1}</v>
      </c>
      <c r="E111" s="8" t="str">
        <f t="shared" si="2"/>
        <v>hidratante</v>
      </c>
      <c r="F111" s="8" t="str">
        <f>IFERROR(__xludf.DUMMYFUNCTION("""COMPUTED_VALUE"""),"comprar")</f>
        <v>comprar</v>
      </c>
      <c r="G111" s="8" t="str">
        <f t="shared" si="3"/>
        <v>1</v>
      </c>
      <c r="H111" s="9">
        <f t="shared" si="4"/>
        <v>1</v>
      </c>
      <c r="I111" s="10">
        <f>IFERROR(__xludf.DUMMYFUNCTION("MAX(FILTER($H:$H,$E:$E=F111))"),1.0)</f>
        <v>1</v>
      </c>
    </row>
    <row r="112">
      <c r="C112" s="4" t="s">
        <v>2857</v>
      </c>
      <c r="D112" s="4" t="str">
        <f t="shared" si="1"/>
        <v>{"valorA":"está","valorB":1}</v>
      </c>
      <c r="E112" s="8" t="str">
        <f t="shared" si="2"/>
        <v>está</v>
      </c>
      <c r="F112" s="8" t="str">
        <f>IFERROR(__xludf.DUMMYFUNCTION("""COMPUTED_VALUE"""),"hoje")</f>
        <v>hoje</v>
      </c>
      <c r="G112" s="8" t="str">
        <f t="shared" si="3"/>
        <v>1</v>
      </c>
      <c r="H112" s="9">
        <f t="shared" si="4"/>
        <v>1</v>
      </c>
      <c r="I112" s="10">
        <f>IFERROR(__xludf.DUMMYFUNCTION("MAX(FILTER($H:$H,$E:$E=F112))"),1.0)</f>
        <v>1</v>
      </c>
    </row>
    <row r="113">
      <c r="C113" s="4" t="s">
        <v>3615</v>
      </c>
      <c r="D113" s="4" t="str">
        <f t="shared" si="1"/>
        <v>{"valorA":"pele","valorB":1}</v>
      </c>
      <c r="E113" s="8" t="str">
        <f t="shared" si="2"/>
        <v>pele</v>
      </c>
      <c r="F113" s="8" t="str">
        <f>IFERROR(__xludf.DUMMYFUNCTION("""COMPUTED_VALUE"""),"desequeir")</f>
        <v>desequeir</v>
      </c>
      <c r="G113" s="8" t="str">
        <f t="shared" si="3"/>
        <v>1</v>
      </c>
      <c r="H113" s="9">
        <f t="shared" si="4"/>
        <v>1</v>
      </c>
      <c r="I113" s="10">
        <f>IFERROR(__xludf.DUMMYFUNCTION("MAX(FILTER($H:$H,$E:$E=F113))"),1.0)</f>
        <v>1</v>
      </c>
    </row>
    <row r="114">
      <c r="C114" s="4" t="s">
        <v>3346</v>
      </c>
      <c r="D114" s="4" t="str">
        <f t="shared" si="1"/>
        <v>{"valorA":"agora","valorB":1}</v>
      </c>
      <c r="E114" s="8" t="str">
        <f t="shared" si="2"/>
        <v>agora</v>
      </c>
      <c r="F114" s="8" t="str">
        <f>IFERROR(__xludf.DUMMYFUNCTION("""COMPUTED_VALUE"""),"trabalho")</f>
        <v>trabalho</v>
      </c>
      <c r="G114" s="8" t="str">
        <f t="shared" si="3"/>
        <v>1</v>
      </c>
      <c r="H114" s="9">
        <f t="shared" si="4"/>
        <v>1</v>
      </c>
      <c r="I114" s="10">
        <f>IFERROR(__xludf.DUMMYFUNCTION("MAX(FILTER($H:$H,$E:$E=F114))"),1.0)</f>
        <v>1</v>
      </c>
    </row>
    <row r="115">
      <c r="C115" s="4" t="s">
        <v>3616</v>
      </c>
      <c r="D115" s="4" t="str">
        <f t="shared" si="1"/>
        <v>{"valorA":"suave","valorB":1}</v>
      </c>
      <c r="E115" s="8" t="str">
        <f t="shared" si="2"/>
        <v>suave</v>
      </c>
      <c r="F115" s="8" t="str">
        <f>IFERROR(__xludf.DUMMYFUNCTION("""COMPUTED_VALUE"""),"cadeira")</f>
        <v>cadeira</v>
      </c>
      <c r="G115" s="8" t="str">
        <f t="shared" si="3"/>
        <v>1</v>
      </c>
      <c r="H115" s="9">
        <f t="shared" si="4"/>
        <v>1</v>
      </c>
      <c r="I115" s="10">
        <f>IFERROR(__xludf.DUMMYFUNCTION("MAX(FILTER($H:$H,$E:$E=F115))"),1.0)</f>
        <v>1</v>
      </c>
    </row>
    <row r="116">
      <c r="C116" s="4" t="s">
        <v>2718</v>
      </c>
      <c r="D116" s="4" t="str">
        <f t="shared" si="1"/>
        <v>{"valorA":"ótimo","valorB":14}</v>
      </c>
      <c r="E116" s="8" t="str">
        <f t="shared" si="2"/>
        <v>ótimo</v>
      </c>
      <c r="F116" s="8" t="str">
        <f>IFERROR(__xludf.DUMMYFUNCTION("""COMPUTED_VALUE"""),"estojo")</f>
        <v>estojo</v>
      </c>
      <c r="G116" s="8" t="str">
        <f t="shared" si="3"/>
        <v>14</v>
      </c>
      <c r="H116" s="9">
        <f t="shared" si="4"/>
        <v>14</v>
      </c>
      <c r="I116" s="10">
        <f>IFERROR(__xludf.DUMMYFUNCTION("MAX(FILTER($H:$H,$E:$E=F116))"),1.0)</f>
        <v>1</v>
      </c>
    </row>
    <row r="117">
      <c r="C117" s="4" t="s">
        <v>2717</v>
      </c>
      <c r="D117" s="4" t="str">
        <f t="shared" si="1"/>
        <v>{"valorA":"produto","valorB":9}</v>
      </c>
      <c r="E117" s="8" t="str">
        <f t="shared" si="2"/>
        <v>produto</v>
      </c>
      <c r="F117" s="8" t="str">
        <f>IFERROR(__xludf.DUMMYFUNCTION("""COMPUTED_VALUE"""),"desejalo")</f>
        <v>desejalo</v>
      </c>
      <c r="G117" s="8" t="str">
        <f t="shared" si="3"/>
        <v>9</v>
      </c>
      <c r="H117" s="9">
        <f t="shared" si="4"/>
        <v>9</v>
      </c>
      <c r="I117" s="10">
        <f>IFERROR(__xludf.DUMMYFUNCTION("MAX(FILTER($H:$H,$E:$E=F117))"),1.0)</f>
        <v>1</v>
      </c>
    </row>
    <row r="118">
      <c r="C118" s="4" t="s">
        <v>3379</v>
      </c>
      <c r="D118" s="4" t="str">
        <f t="shared" si="1"/>
        <v>{"valorA":"valor","valorB":1}</v>
      </c>
      <c r="E118" s="8" t="str">
        <f t="shared" si="2"/>
        <v>valor</v>
      </c>
      <c r="F118" s="8"/>
      <c r="G118" s="8" t="str">
        <f t="shared" si="3"/>
        <v>1</v>
      </c>
      <c r="H118" s="9">
        <f t="shared" si="4"/>
        <v>1</v>
      </c>
      <c r="I118" s="6" t="str">
        <f>IFERROR(__xludf.DUMMYFUNCTION("MAX(FILTER($H:$H,$E:$E=F118))"),"#N/A")</f>
        <v>#N/A</v>
      </c>
    </row>
    <row r="119">
      <c r="C119" s="4" t="s">
        <v>7061</v>
      </c>
      <c r="D119" s="4" t="str">
        <f t="shared" si="1"/>
        <v>{"valorA":"pago","valorB":1}</v>
      </c>
      <c r="E119" s="8" t="str">
        <f t="shared" si="2"/>
        <v>pago</v>
      </c>
      <c r="F119" s="8"/>
      <c r="G119" s="8" t="str">
        <f t="shared" si="3"/>
        <v>1</v>
      </c>
      <c r="H119" s="9">
        <f t="shared" si="4"/>
        <v>1</v>
      </c>
      <c r="I119" s="6" t="str">
        <f>IFERROR(__xludf.DUMMYFUNCTION("MAX(FILTER($H:$H,$E:$E=F119))"),"#N/A")</f>
        <v>#N/A</v>
      </c>
    </row>
    <row r="120">
      <c r="C120" s="4" t="s">
        <v>2902</v>
      </c>
      <c r="D120" s="4" t="str">
        <f t="shared" si="1"/>
        <v>{"valorA":"bem","valorB":5}</v>
      </c>
      <c r="E120" s="8" t="str">
        <f t="shared" si="2"/>
        <v>bem</v>
      </c>
      <c r="F120" s="8"/>
      <c r="G120" s="8" t="str">
        <f t="shared" si="3"/>
        <v>5</v>
      </c>
      <c r="H120" s="9">
        <f t="shared" si="4"/>
        <v>5</v>
      </c>
      <c r="I120" s="6" t="str">
        <f>IFERROR(__xludf.DUMMYFUNCTION("MAX(FILTER($H:$H,$E:$E=F120))"),"#N/A")</f>
        <v>#N/A</v>
      </c>
    </row>
    <row r="121">
      <c r="C121" s="4" t="s">
        <v>2759</v>
      </c>
      <c r="D121" s="4" t="str">
        <f t="shared" si="1"/>
        <v>{"valorA":"para","valorB":4}</v>
      </c>
      <c r="E121" s="8" t="str">
        <f t="shared" si="2"/>
        <v>para</v>
      </c>
      <c r="F121" s="8"/>
      <c r="G121" s="8" t="str">
        <f t="shared" si="3"/>
        <v>4</v>
      </c>
      <c r="H121" s="9">
        <f t="shared" si="4"/>
        <v>4</v>
      </c>
      <c r="I121" s="6" t="str">
        <f>IFERROR(__xludf.DUMMYFUNCTION("MAX(FILTER($H:$H,$E:$E=F121))"),"#N/A")</f>
        <v>#N/A</v>
      </c>
    </row>
    <row r="122">
      <c r="C122" s="4" t="s">
        <v>2726</v>
      </c>
      <c r="D122" s="4" t="str">
        <f t="shared" si="1"/>
        <v>{"valorA":"ótimo","valorB":15}</v>
      </c>
      <c r="E122" s="8" t="str">
        <f t="shared" si="2"/>
        <v>ótimo</v>
      </c>
      <c r="F122" s="8"/>
      <c r="G122" s="8" t="str">
        <f t="shared" si="3"/>
        <v>15</v>
      </c>
      <c r="H122" s="9">
        <f t="shared" si="4"/>
        <v>15</v>
      </c>
      <c r="I122" s="6" t="str">
        <f>IFERROR(__xludf.DUMMYFUNCTION("MAX(FILTER($H:$H,$E:$E=F122))"),"#N/A")</f>
        <v>#N/A</v>
      </c>
    </row>
    <row r="123">
      <c r="C123" s="4" t="s">
        <v>3200</v>
      </c>
      <c r="D123" s="4" t="str">
        <f t="shared" si="1"/>
        <v>{"valorA":"dinheiro","valorB":1}</v>
      </c>
      <c r="E123" s="8" t="str">
        <f t="shared" si="2"/>
        <v>dinheiro</v>
      </c>
      <c r="F123" s="8"/>
      <c r="G123" s="8" t="str">
        <f t="shared" si="3"/>
        <v>1</v>
      </c>
      <c r="H123" s="9">
        <f t="shared" si="4"/>
        <v>1</v>
      </c>
      <c r="I123" s="6" t="str">
        <f>IFERROR(__xludf.DUMMYFUNCTION("MAX(FILTER($H:$H,$E:$E=F123))"),"#N/A")</f>
        <v>#N/A</v>
      </c>
    </row>
    <row r="124">
      <c r="C124" s="4" t="s">
        <v>2725</v>
      </c>
      <c r="D124" s="4" t="str">
        <f t="shared" si="1"/>
        <v>{"valorA":"produto","valorB":10}</v>
      </c>
      <c r="E124" s="8" t="str">
        <f t="shared" si="2"/>
        <v>produto</v>
      </c>
      <c r="F124" s="8"/>
      <c r="G124" s="8" t="str">
        <f t="shared" si="3"/>
        <v>10</v>
      </c>
      <c r="H124" s="9">
        <f t="shared" si="4"/>
        <v>10</v>
      </c>
      <c r="I124" s="6" t="str">
        <f>IFERROR(__xludf.DUMMYFUNCTION("MAX(FILTER($H:$H,$E:$E=F124))"),"#N/A")</f>
        <v>#N/A</v>
      </c>
    </row>
    <row r="125">
      <c r="C125" s="4" t="s">
        <v>3023</v>
      </c>
      <c r="D125" s="4" t="str">
        <f t="shared" si="1"/>
        <v>{"valorA":"bom","valorB":1}</v>
      </c>
      <c r="E125" s="8" t="str">
        <f t="shared" si="2"/>
        <v>bom</v>
      </c>
      <c r="F125" s="8"/>
      <c r="G125" s="8" t="str">
        <f t="shared" si="3"/>
        <v>1</v>
      </c>
      <c r="H125" s="9">
        <f t="shared" si="4"/>
        <v>1</v>
      </c>
      <c r="I125" s="6" t="str">
        <f>IFERROR(__xludf.DUMMYFUNCTION("MAX(FILTER($H:$H,$E:$E=F125))"),"#N/A")</f>
        <v>#N/A</v>
      </c>
    </row>
    <row r="126">
      <c r="C126" s="4" t="s">
        <v>2883</v>
      </c>
      <c r="D126" s="4" t="str">
        <f t="shared" si="1"/>
        <v>{"valorA":"o","valorB":5}</v>
      </c>
      <c r="E126" s="8" t="str">
        <f t="shared" si="2"/>
        <v>o</v>
      </c>
      <c r="F126" s="8"/>
      <c r="G126" s="8" t="str">
        <f t="shared" si="3"/>
        <v>5</v>
      </c>
      <c r="H126" s="9">
        <f t="shared" si="4"/>
        <v>5</v>
      </c>
      <c r="I126" s="6" t="str">
        <f>IFERROR(__xludf.DUMMYFUNCTION("MAX(FILTER($H:$H,$E:$E=F126))"),"#N/A")</f>
        <v>#N/A</v>
      </c>
    </row>
    <row r="127">
      <c r="C127" s="4" t="s">
        <v>7062</v>
      </c>
      <c r="D127" s="4" t="str">
        <f t="shared" si="1"/>
        <v>{"valorA":"valor","valorB":2}</v>
      </c>
      <c r="E127" s="8" t="str">
        <f t="shared" si="2"/>
        <v>valor</v>
      </c>
      <c r="F127" s="8"/>
      <c r="G127" s="8" t="str">
        <f t="shared" si="3"/>
        <v>2</v>
      </c>
      <c r="H127" s="9">
        <f t="shared" si="4"/>
        <v>2</v>
      </c>
      <c r="I127" s="6" t="str">
        <f>IFERROR(__xludf.DUMMYFUNCTION("MAX(FILTER($H:$H,$E:$E=F127))"),"#N/A")</f>
        <v>#N/A</v>
      </c>
    </row>
    <row r="128">
      <c r="C128" s="4" t="s">
        <v>2976</v>
      </c>
      <c r="D128" s="4" t="str">
        <f t="shared" si="1"/>
        <v>{"valorA":"realmente","valorB":3}</v>
      </c>
      <c r="E128" s="8" t="str">
        <f t="shared" si="2"/>
        <v>realmente</v>
      </c>
      <c r="F128" s="8"/>
      <c r="G128" s="8" t="str">
        <f t="shared" si="3"/>
        <v>3</v>
      </c>
      <c r="H128" s="9">
        <f t="shared" si="4"/>
        <v>3</v>
      </c>
      <c r="I128" s="6" t="str">
        <f>IFERROR(__xludf.DUMMYFUNCTION("MAX(FILTER($H:$H,$E:$E=F128))"),"#N/A")</f>
        <v>#N/A</v>
      </c>
    </row>
    <row r="129">
      <c r="C129" s="4" t="s">
        <v>2729</v>
      </c>
      <c r="D129" s="4" t="str">
        <f t="shared" si="1"/>
        <v>{"valorA":"ótimo","valorB":16}</v>
      </c>
      <c r="E129" s="8" t="str">
        <f t="shared" si="2"/>
        <v>ótimo</v>
      </c>
      <c r="F129" s="8"/>
      <c r="G129" s="8" t="str">
        <f t="shared" si="3"/>
        <v>16</v>
      </c>
      <c r="H129" s="9">
        <f t="shared" si="4"/>
        <v>16</v>
      </c>
      <c r="I129" s="6" t="str">
        <f>IFERROR(__xludf.DUMMYFUNCTION("MAX(FILTER($H:$H,$E:$E=F129))"),"#N/A")</f>
        <v>#N/A</v>
      </c>
    </row>
    <row r="130">
      <c r="C130" s="4" t="s">
        <v>2728</v>
      </c>
      <c r="D130" s="4" t="str">
        <f t="shared" si="1"/>
        <v>{"valorA":"produto","valorB":11}</v>
      </c>
      <c r="E130" s="8" t="str">
        <f t="shared" si="2"/>
        <v>produto</v>
      </c>
      <c r="F130" s="8"/>
      <c r="G130" s="8" t="str">
        <f t="shared" si="3"/>
        <v>11</v>
      </c>
      <c r="H130" s="9">
        <f t="shared" si="4"/>
        <v>11</v>
      </c>
      <c r="I130" s="6" t="str">
        <f>IFERROR(__xludf.DUMMYFUNCTION("MAX(FILTER($H:$H,$E:$E=F130))"),"#N/A")</f>
        <v>#N/A</v>
      </c>
    </row>
    <row r="131">
      <c r="C131" s="4" t="s">
        <v>7063</v>
      </c>
      <c r="D131" s="4" t="str">
        <f t="shared" si="1"/>
        <v>{"valorA":"recommended","valorB":1}</v>
      </c>
      <c r="E131" s="8" t="str">
        <f t="shared" si="2"/>
        <v>recommended</v>
      </c>
      <c r="F131" s="8"/>
      <c r="G131" s="8" t="str">
        <f t="shared" si="3"/>
        <v>1</v>
      </c>
      <c r="H131" s="9">
        <f t="shared" si="4"/>
        <v>1</v>
      </c>
      <c r="I131" s="6" t="str">
        <f>IFERROR(__xludf.DUMMYFUNCTION("MAX(FILTER($H:$H,$E:$E=F131))"),"#N/A")</f>
        <v>#N/A</v>
      </c>
    </row>
    <row r="132">
      <c r="C132" s="4" t="s">
        <v>2785</v>
      </c>
      <c r="D132" s="4" t="str">
        <f t="shared" si="1"/>
        <v>{"valorA":"muito","valorB":4}</v>
      </c>
      <c r="E132" s="8" t="str">
        <f t="shared" si="2"/>
        <v>muito</v>
      </c>
      <c r="F132" s="8"/>
      <c r="G132" s="8" t="str">
        <f t="shared" si="3"/>
        <v>4</v>
      </c>
      <c r="H132" s="9">
        <f t="shared" si="4"/>
        <v>4</v>
      </c>
      <c r="I132" s="6" t="str">
        <f>IFERROR(__xludf.DUMMYFUNCTION("MAX(FILTER($H:$H,$E:$E=F132))"),"#N/A")</f>
        <v>#N/A</v>
      </c>
    </row>
    <row r="133">
      <c r="C133" s="4" t="s">
        <v>2735</v>
      </c>
      <c r="D133" s="4" t="str">
        <f t="shared" si="1"/>
        <v>{"valorA":"ótimo","valorB":17}</v>
      </c>
      <c r="E133" s="8" t="str">
        <f t="shared" si="2"/>
        <v>ótimo</v>
      </c>
      <c r="F133" s="8"/>
      <c r="G133" s="8" t="str">
        <f t="shared" si="3"/>
        <v>17</v>
      </c>
      <c r="H133" s="9">
        <f t="shared" si="4"/>
        <v>17</v>
      </c>
      <c r="I133" s="6" t="str">
        <f>IFERROR(__xludf.DUMMYFUNCTION("MAX(FILTER($H:$H,$E:$E=F133))"),"#N/A")</f>
        <v>#N/A</v>
      </c>
    </row>
    <row r="134">
      <c r="C134" s="4" t="s">
        <v>2758</v>
      </c>
      <c r="D134" s="4" t="str">
        <f t="shared" si="1"/>
        <v>{"valorA":"produto","valorB":12}</v>
      </c>
      <c r="E134" s="8" t="str">
        <f t="shared" si="2"/>
        <v>produto</v>
      </c>
      <c r="F134" s="8"/>
      <c r="G134" s="8" t="str">
        <f t="shared" si="3"/>
        <v>12</v>
      </c>
      <c r="H134" s="9">
        <f t="shared" si="4"/>
        <v>12</v>
      </c>
      <c r="I134" s="6" t="str">
        <f>IFERROR(__xludf.DUMMYFUNCTION("MAX(FILTER($H:$H,$E:$E=F134))"),"#N/A")</f>
        <v>#N/A</v>
      </c>
    </row>
    <row r="135">
      <c r="C135" s="4" t="s">
        <v>3114</v>
      </c>
      <c r="D135" s="4" t="str">
        <f t="shared" si="1"/>
        <v>{"valorA":"bem","valorB":6}</v>
      </c>
      <c r="E135" s="8" t="str">
        <f t="shared" si="2"/>
        <v>bem</v>
      </c>
      <c r="F135" s="8"/>
      <c r="G135" s="8" t="str">
        <f t="shared" si="3"/>
        <v>6</v>
      </c>
      <c r="H135" s="9">
        <f t="shared" si="4"/>
        <v>6</v>
      </c>
      <c r="I135" s="6" t="str">
        <f>IFERROR(__xludf.DUMMYFUNCTION("MAX(FILTER($H:$H,$E:$E=F135))"),"#N/A")</f>
        <v>#N/A</v>
      </c>
    </row>
    <row r="136">
      <c r="C136" s="4" t="s">
        <v>2724</v>
      </c>
      <c r="D136" s="4" t="str">
        <f t="shared" si="1"/>
        <v>{"valorA":"recomendo","valorB":1}</v>
      </c>
      <c r="E136" s="8" t="str">
        <f t="shared" si="2"/>
        <v>recomendo</v>
      </c>
      <c r="F136" s="8"/>
      <c r="G136" s="8" t="str">
        <f t="shared" si="3"/>
        <v>1</v>
      </c>
      <c r="H136" s="9">
        <f t="shared" si="4"/>
        <v>1</v>
      </c>
      <c r="I136" s="6" t="str">
        <f>IFERROR(__xludf.DUMMYFUNCTION("MAX(FILTER($H:$H,$E:$E=F136))"),"#N/A")</f>
        <v>#N/A</v>
      </c>
    </row>
    <row r="137">
      <c r="C137" s="4" t="s">
        <v>3617</v>
      </c>
      <c r="D137" s="4" t="str">
        <f t="shared" si="1"/>
        <v>{"valorA":"feito","valorB":1}</v>
      </c>
      <c r="E137" s="8" t="str">
        <f t="shared" si="2"/>
        <v>feito</v>
      </c>
      <c r="F137" s="8"/>
      <c r="G137" s="8" t="str">
        <f t="shared" si="3"/>
        <v>1</v>
      </c>
      <c r="H137" s="9">
        <f t="shared" si="4"/>
        <v>1</v>
      </c>
      <c r="I137" s="6" t="str">
        <f>IFERROR(__xludf.DUMMYFUNCTION("MAX(FILTER($H:$H,$E:$E=F137))"),"#N/A")</f>
        <v>#N/A</v>
      </c>
    </row>
    <row r="138">
      <c r="C138" s="4" t="s">
        <v>2774</v>
      </c>
      <c r="D138" s="4" t="str">
        <f t="shared" si="1"/>
        <v>{"valorA":"produto","valorB":13}</v>
      </c>
      <c r="E138" s="8" t="str">
        <f t="shared" si="2"/>
        <v>produto</v>
      </c>
      <c r="F138" s="8"/>
      <c r="G138" s="8" t="str">
        <f t="shared" si="3"/>
        <v>13</v>
      </c>
      <c r="H138" s="9">
        <f t="shared" si="4"/>
        <v>13</v>
      </c>
      <c r="I138" s="6" t="str">
        <f>IFERROR(__xludf.DUMMYFUNCTION("MAX(FILTER($H:$H,$E:$E=F138))"),"#N/A")</f>
        <v>#N/A</v>
      </c>
    </row>
    <row r="139">
      <c r="C139" s="4" t="s">
        <v>3090</v>
      </c>
      <c r="D139" s="4" t="str">
        <f t="shared" si="1"/>
        <v>{"valorA":"uma","valorB":1}</v>
      </c>
      <c r="E139" s="8" t="str">
        <f t="shared" si="2"/>
        <v>uma</v>
      </c>
      <c r="F139" s="8"/>
      <c r="G139" s="8" t="str">
        <f t="shared" si="3"/>
        <v>1</v>
      </c>
      <c r="H139" s="9">
        <f t="shared" si="4"/>
        <v>1</v>
      </c>
      <c r="I139" s="6" t="str">
        <f>IFERROR(__xludf.DUMMYFUNCTION("MAX(FILTER($H:$H,$E:$E=F139))"),"#N/A")</f>
        <v>#N/A</v>
      </c>
    </row>
    <row r="140">
      <c r="C140" s="4" t="s">
        <v>7064</v>
      </c>
      <c r="D140" s="4" t="str">
        <f t="shared" si="1"/>
        <v>{"valorA":"beleza","valorB":1}</v>
      </c>
      <c r="E140" s="8" t="str">
        <f t="shared" si="2"/>
        <v>beleza</v>
      </c>
      <c r="F140" s="8"/>
      <c r="G140" s="8" t="str">
        <f t="shared" si="3"/>
        <v>1</v>
      </c>
      <c r="H140" s="9">
        <f t="shared" si="4"/>
        <v>1</v>
      </c>
      <c r="I140" s="6" t="str">
        <f>IFERROR(__xludf.DUMMYFUNCTION("MAX(FILTER($H:$H,$E:$E=F140))"),"#N/A")</f>
        <v>#N/A</v>
      </c>
    </row>
    <row r="141">
      <c r="C141" s="4" t="s">
        <v>2874</v>
      </c>
      <c r="D141" s="4" t="str">
        <f t="shared" si="1"/>
        <v>{"valorA":"esse","valorB":4}</v>
      </c>
      <c r="E141" s="8" t="str">
        <f t="shared" si="2"/>
        <v>esse</v>
      </c>
      <c r="F141" s="8"/>
      <c r="G141" s="8" t="str">
        <f t="shared" si="3"/>
        <v>4</v>
      </c>
      <c r="H141" s="9">
        <f t="shared" si="4"/>
        <v>4</v>
      </c>
      <c r="I141" s="6" t="str">
        <f>IFERROR(__xludf.DUMMYFUNCTION("MAX(FILTER($H:$H,$E:$E=F141))"),"#N/A")</f>
        <v>#N/A</v>
      </c>
    </row>
    <row r="142">
      <c r="C142" s="4" t="s">
        <v>7065</v>
      </c>
      <c r="D142" s="4" t="str">
        <f t="shared" si="1"/>
        <v>{"valorA":"valia","valorB":1}</v>
      </c>
      <c r="E142" s="8" t="str">
        <f t="shared" si="2"/>
        <v>valia</v>
      </c>
      <c r="F142" s="8"/>
      <c r="G142" s="8" t="str">
        <f t="shared" si="3"/>
        <v>1</v>
      </c>
      <c r="H142" s="9">
        <f t="shared" si="4"/>
        <v>1</v>
      </c>
      <c r="I142" s="6" t="str">
        <f>IFERROR(__xludf.DUMMYFUNCTION("MAX(FILTER($H:$H,$E:$E=F142))"),"#N/A")</f>
        <v>#N/A</v>
      </c>
    </row>
    <row r="143">
      <c r="C143" s="4" t="s">
        <v>7066</v>
      </c>
      <c r="D143" s="4" t="str">
        <f t="shared" si="1"/>
        <v>{"valorA":"grande","valorB":1}</v>
      </c>
      <c r="E143" s="8" t="str">
        <f t="shared" si="2"/>
        <v>grande</v>
      </c>
      <c r="F143" s="8"/>
      <c r="G143" s="8" t="str">
        <f t="shared" si="3"/>
        <v>1</v>
      </c>
      <c r="H143" s="9">
        <f t="shared" si="4"/>
        <v>1</v>
      </c>
      <c r="I143" s="6" t="str">
        <f>IFERROR(__xludf.DUMMYFUNCTION("MAX(FILTER($H:$H,$E:$E=F143))"),"#N/A")</f>
        <v>#N/A</v>
      </c>
    </row>
    <row r="144">
      <c r="C144" s="4" t="s">
        <v>2746</v>
      </c>
      <c r="D144" s="4" t="str">
        <f t="shared" si="1"/>
        <v>{"valorA":"ótimo","valorB":18}</v>
      </c>
      <c r="E144" s="8" t="str">
        <f t="shared" si="2"/>
        <v>ótimo</v>
      </c>
      <c r="F144" s="8"/>
      <c r="G144" s="8" t="str">
        <f t="shared" si="3"/>
        <v>18</v>
      </c>
      <c r="H144" s="9">
        <f t="shared" si="4"/>
        <v>18</v>
      </c>
      <c r="I144" s="6" t="str">
        <f>IFERROR(__xludf.DUMMYFUNCTION("MAX(FILTER($H:$H,$E:$E=F144))"),"#N/A")</f>
        <v>#N/A</v>
      </c>
    </row>
    <row r="145">
      <c r="C145" s="4" t="s">
        <v>3343</v>
      </c>
      <c r="D145" s="4" t="str">
        <f t="shared" si="1"/>
        <v>{"valorA":"caixa","valorB":1}</v>
      </c>
      <c r="E145" s="8" t="str">
        <f t="shared" si="2"/>
        <v>caixa</v>
      </c>
      <c r="F145" s="8"/>
      <c r="G145" s="8" t="str">
        <f t="shared" si="3"/>
        <v>1</v>
      </c>
      <c r="H145" s="9">
        <f t="shared" si="4"/>
        <v>1</v>
      </c>
      <c r="I145" s="6" t="str">
        <f>IFERROR(__xludf.DUMMYFUNCTION("MAX(FILTER($H:$H,$E:$E=F145))"),"#N/A")</f>
        <v>#N/A</v>
      </c>
    </row>
    <row r="146">
      <c r="C146" s="4" t="s">
        <v>2701</v>
      </c>
      <c r="D146" s="4" t="str">
        <f t="shared" si="1"/>
        <v>{"valorA":"e","valorB":3}</v>
      </c>
      <c r="E146" s="8" t="str">
        <f t="shared" si="2"/>
        <v>e</v>
      </c>
      <c r="F146" s="8"/>
      <c r="G146" s="8" t="str">
        <f t="shared" si="3"/>
        <v>3</v>
      </c>
      <c r="H146" s="9">
        <f t="shared" si="4"/>
        <v>3</v>
      </c>
      <c r="I146" s="6" t="str">
        <f>IFERROR(__xludf.DUMMYFUNCTION("MAX(FILTER($H:$H,$E:$E=F146))"),"#N/A")</f>
        <v>#N/A</v>
      </c>
    </row>
    <row r="147">
      <c r="C147" s="4" t="s">
        <v>2736</v>
      </c>
      <c r="D147" s="4" t="str">
        <f t="shared" si="1"/>
        <v>{"valorA":"de","valorB":3}</v>
      </c>
      <c r="E147" s="8" t="str">
        <f t="shared" si="2"/>
        <v>de</v>
      </c>
      <c r="F147" s="8"/>
      <c r="G147" s="8" t="str">
        <f t="shared" si="3"/>
        <v>3</v>
      </c>
      <c r="H147" s="9">
        <f t="shared" si="4"/>
        <v>3</v>
      </c>
      <c r="I147" s="6" t="str">
        <f>IFERROR(__xludf.DUMMYFUNCTION("MAX(FILTER($H:$H,$E:$E=F147))"),"#N/A")</f>
        <v>#N/A</v>
      </c>
    </row>
    <row r="148">
      <c r="C148" s="4" t="s">
        <v>7067</v>
      </c>
      <c r="D148" s="4" t="str">
        <f t="shared" si="1"/>
        <v>{"valorA":"veio","valorB":1}</v>
      </c>
      <c r="E148" s="8" t="str">
        <f t="shared" si="2"/>
        <v>veio</v>
      </c>
      <c r="F148" s="8"/>
      <c r="G148" s="8" t="str">
        <f t="shared" si="3"/>
        <v>1</v>
      </c>
      <c r="H148" s="9">
        <f t="shared" si="4"/>
        <v>1</v>
      </c>
      <c r="I148" s="6" t="str">
        <f>IFERROR(__xludf.DUMMYFUNCTION("MAX(FILTER($H:$H,$E:$E=F148))"),"#N/A")</f>
        <v>#N/A</v>
      </c>
    </row>
    <row r="149">
      <c r="C149" s="4" t="s">
        <v>3394</v>
      </c>
      <c r="D149" s="4" t="str">
        <f t="shared" si="1"/>
        <v>{"valorA":"em","valorB":2}</v>
      </c>
      <c r="E149" s="8" t="str">
        <f t="shared" si="2"/>
        <v>em</v>
      </c>
      <c r="F149" s="8"/>
      <c r="G149" s="8" t="str">
        <f t="shared" si="3"/>
        <v>2</v>
      </c>
      <c r="H149" s="9">
        <f t="shared" si="4"/>
        <v>2</v>
      </c>
      <c r="I149" s="6" t="str">
        <f>IFERROR(__xludf.DUMMYFUNCTION("MAX(FILTER($H:$H,$E:$E=F149))"),"#N/A")</f>
        <v>#N/A</v>
      </c>
    </row>
    <row r="150">
      <c r="C150" s="4" t="s">
        <v>2891</v>
      </c>
      <c r="D150" s="4" t="str">
        <f t="shared" si="1"/>
        <v>{"valorA":"pena","valorB":2}</v>
      </c>
      <c r="E150" s="8" t="str">
        <f t="shared" si="2"/>
        <v>pena</v>
      </c>
      <c r="F150" s="8"/>
      <c r="G150" s="8" t="str">
        <f t="shared" si="3"/>
        <v>2</v>
      </c>
      <c r="H150" s="9">
        <f t="shared" si="4"/>
        <v>2</v>
      </c>
      <c r="I150" s="6" t="str">
        <f>IFERROR(__xludf.DUMMYFUNCTION("MAX(FILTER($H:$H,$E:$E=F150))"),"#N/A")</f>
        <v>#N/A</v>
      </c>
    </row>
    <row r="151">
      <c r="C151" s="4" t="s">
        <v>2660</v>
      </c>
      <c r="D151" s="4" t="str">
        <f t="shared" si="1"/>
        <v>{"valorA":"a","valorB":2}</v>
      </c>
      <c r="E151" s="8" t="str">
        <f t="shared" si="2"/>
        <v>a</v>
      </c>
      <c r="F151" s="8"/>
      <c r="G151" s="8" t="str">
        <f t="shared" si="3"/>
        <v>2</v>
      </c>
      <c r="H151" s="9">
        <f t="shared" si="4"/>
        <v>2</v>
      </c>
      <c r="I151" s="6" t="str">
        <f>IFERROR(__xludf.DUMMYFUNCTION("MAX(FILTER($H:$H,$E:$E=F151))"),"#N/A")</f>
        <v>#N/A</v>
      </c>
    </row>
    <row r="152">
      <c r="C152" s="4" t="s">
        <v>3635</v>
      </c>
      <c r="D152" s="4" t="str">
        <f t="shared" si="1"/>
        <v>{"valorA":"mais","valorB":3}</v>
      </c>
      <c r="E152" s="8" t="str">
        <f t="shared" si="2"/>
        <v>mais</v>
      </c>
      <c r="F152" s="8"/>
      <c r="G152" s="8" t="str">
        <f t="shared" si="3"/>
        <v>3</v>
      </c>
      <c r="H152" s="9">
        <f t="shared" si="4"/>
        <v>3</v>
      </c>
      <c r="I152" s="6" t="str">
        <f>IFERROR(__xludf.DUMMYFUNCTION("MAX(FILTER($H:$H,$E:$E=F152))"),"#N/A")</f>
        <v>#N/A</v>
      </c>
    </row>
    <row r="153">
      <c r="C153" s="4" t="s">
        <v>2950</v>
      </c>
      <c r="D153" s="4" t="str">
        <f t="shared" si="1"/>
        <v>{"valorA":"meu","valorB":4}</v>
      </c>
      <c r="E153" s="8" t="str">
        <f t="shared" si="2"/>
        <v>meu</v>
      </c>
      <c r="F153" s="8"/>
      <c r="G153" s="8" t="str">
        <f t="shared" si="3"/>
        <v>4</v>
      </c>
      <c r="H153" s="9">
        <f t="shared" si="4"/>
        <v>4</v>
      </c>
      <c r="I153" s="6" t="str">
        <f>IFERROR(__xludf.DUMMYFUNCTION("MAX(FILTER($H:$H,$E:$E=F153))"),"#N/A")</f>
        <v>#N/A</v>
      </c>
    </row>
    <row r="154">
      <c r="C154" s="4" t="s">
        <v>2957</v>
      </c>
      <c r="D154" s="4" t="str">
        <f t="shared" si="1"/>
        <v>{"valorA":"incrível","valorB":3}</v>
      </c>
      <c r="E154" s="8" t="str">
        <f t="shared" si="2"/>
        <v>incrível</v>
      </c>
      <c r="F154" s="8"/>
      <c r="G154" s="8" t="str">
        <f t="shared" si="3"/>
        <v>3</v>
      </c>
      <c r="H154" s="9">
        <f t="shared" si="4"/>
        <v>3</v>
      </c>
      <c r="I154" s="6" t="str">
        <f>IFERROR(__xludf.DUMMYFUNCTION("MAX(FILTER($H:$H,$E:$E=F154))"),"#N/A")</f>
        <v>#N/A</v>
      </c>
    </row>
    <row r="155">
      <c r="C155" s="4" t="s">
        <v>2951</v>
      </c>
      <c r="D155" s="4" t="str">
        <f t="shared" si="1"/>
        <v>{"valorA":"carro","valorB":2}</v>
      </c>
      <c r="E155" s="8" t="str">
        <f t="shared" si="2"/>
        <v>carro</v>
      </c>
      <c r="F155" s="8"/>
      <c r="G155" s="8" t="str">
        <f t="shared" si="3"/>
        <v>2</v>
      </c>
      <c r="H155" s="9">
        <f t="shared" si="4"/>
        <v>2</v>
      </c>
      <c r="I155" s="6" t="str">
        <f>IFERROR(__xludf.DUMMYFUNCTION("MAX(FILTER($H:$H,$E:$E=F155))"),"#N/A")</f>
        <v>#N/A</v>
      </c>
    </row>
    <row r="156">
      <c r="C156" s="4" t="s">
        <v>2952</v>
      </c>
      <c r="D156" s="4" t="str">
        <f t="shared" si="1"/>
        <v>{"valorA":"novo","valorB":1}</v>
      </c>
      <c r="E156" s="8" t="str">
        <f t="shared" si="2"/>
        <v>novo</v>
      </c>
      <c r="F156" s="8"/>
      <c r="G156" s="8" t="str">
        <f t="shared" si="3"/>
        <v>1</v>
      </c>
      <c r="H156" s="9">
        <f t="shared" si="4"/>
        <v>1</v>
      </c>
      <c r="I156" s="6" t="str">
        <f>IFERROR(__xludf.DUMMYFUNCTION("MAX(FILTER($H:$H,$E:$E=F156))"),"#N/A")</f>
        <v>#N/A</v>
      </c>
    </row>
    <row r="157">
      <c r="C157" s="4" t="s">
        <v>2898</v>
      </c>
      <c r="D157" s="4" t="str">
        <f t="shared" si="1"/>
        <v>{"valorA":"o","valorB":6}</v>
      </c>
      <c r="E157" s="8" t="str">
        <f t="shared" si="2"/>
        <v>o</v>
      </c>
      <c r="F157" s="8"/>
      <c r="G157" s="8" t="str">
        <f t="shared" si="3"/>
        <v>6</v>
      </c>
      <c r="H157" s="9">
        <f t="shared" si="4"/>
        <v>6</v>
      </c>
      <c r="I157" s="6" t="str">
        <f>IFERROR(__xludf.DUMMYFUNCTION("MAX(FILTER($H:$H,$E:$E=F157))"),"#N/A")</f>
        <v>#N/A</v>
      </c>
    </row>
    <row r="158">
      <c r="C158" s="4" t="s">
        <v>3116</v>
      </c>
      <c r="D158" s="4" t="str">
        <f t="shared" si="1"/>
        <v>{"valorA":"bem","valorB":7}</v>
      </c>
      <c r="E158" s="8" t="str">
        <f t="shared" si="2"/>
        <v>bem</v>
      </c>
      <c r="F158" s="8"/>
      <c r="G158" s="8" t="str">
        <f t="shared" si="3"/>
        <v>7</v>
      </c>
      <c r="H158" s="9">
        <f t="shared" si="4"/>
        <v>7</v>
      </c>
      <c r="I158" s="6" t="str">
        <f>IFERROR(__xludf.DUMMYFUNCTION("MAX(FILTER($H:$H,$E:$E=F158))"),"#N/A")</f>
        <v>#N/A</v>
      </c>
    </row>
    <row r="159">
      <c r="C159" s="4" t="s">
        <v>2699</v>
      </c>
      <c r="D159" s="4" t="str">
        <f t="shared" si="1"/>
        <v>{"valorA":"confortável","valorB":1}</v>
      </c>
      <c r="E159" s="8" t="str">
        <f t="shared" si="2"/>
        <v>confortável</v>
      </c>
      <c r="F159" s="8"/>
      <c r="G159" s="8" t="str">
        <f t="shared" si="3"/>
        <v>1</v>
      </c>
      <c r="H159" s="9">
        <f t="shared" si="4"/>
        <v>1</v>
      </c>
      <c r="I159" s="6" t="str">
        <f>IFERROR(__xludf.DUMMYFUNCTION("MAX(FILTER($H:$H,$E:$E=F159))"),"#N/A")</f>
        <v>#N/A</v>
      </c>
    </row>
    <row r="160">
      <c r="C160" s="4" t="s">
        <v>3942</v>
      </c>
      <c r="D160" s="4" t="str">
        <f t="shared" si="1"/>
        <v>{"valorA":"rápido","valorB":2}</v>
      </c>
      <c r="E160" s="8" t="str">
        <f t="shared" si="2"/>
        <v>rápido</v>
      </c>
      <c r="F160" s="8"/>
      <c r="G160" s="8" t="str">
        <f t="shared" si="3"/>
        <v>2</v>
      </c>
      <c r="H160" s="9">
        <f t="shared" si="4"/>
        <v>2</v>
      </c>
      <c r="I160" s="6" t="str">
        <f>IFERROR(__xludf.DUMMYFUNCTION("MAX(FILTER($H:$H,$E:$E=F160))"),"#N/A")</f>
        <v>#N/A</v>
      </c>
    </row>
    <row r="161">
      <c r="C161" s="4" t="s">
        <v>2721</v>
      </c>
      <c r="D161" s="4" t="str">
        <f t="shared" si="1"/>
        <v>{"valorA":"e","valorB":4}</v>
      </c>
      <c r="E161" s="8" t="str">
        <f t="shared" si="2"/>
        <v>e</v>
      </c>
      <c r="F161" s="8"/>
      <c r="G161" s="8" t="str">
        <f t="shared" si="3"/>
        <v>4</v>
      </c>
      <c r="H161" s="9">
        <f t="shared" si="4"/>
        <v>4</v>
      </c>
      <c r="I161" s="6" t="str">
        <f>IFERROR(__xludf.DUMMYFUNCTION("MAX(FILTER($H:$H,$E:$E=F161))"),"#N/A")</f>
        <v>#N/A</v>
      </c>
    </row>
    <row r="162">
      <c r="C162" s="4" t="s">
        <v>2862</v>
      </c>
      <c r="D162" s="4" t="str">
        <f t="shared" si="1"/>
        <v>{"valorA":"é","valorB":5}</v>
      </c>
      <c r="E162" s="8" t="str">
        <f t="shared" si="2"/>
        <v>é</v>
      </c>
      <c r="F162" s="8"/>
      <c r="G162" s="8" t="str">
        <f t="shared" si="3"/>
        <v>5</v>
      </c>
      <c r="H162" s="9">
        <f t="shared" si="4"/>
        <v>5</v>
      </c>
      <c r="I162" s="6" t="str">
        <f>IFERROR(__xludf.DUMMYFUNCTION("MAX(FILTER($H:$H,$E:$E=F162))"),"#N/A")</f>
        <v>#N/A</v>
      </c>
    </row>
    <row r="163">
      <c r="C163" s="4" t="s">
        <v>2967</v>
      </c>
      <c r="D163" s="4" t="str">
        <f t="shared" si="1"/>
        <v>{"valorA":"meu","valorB":5}</v>
      </c>
      <c r="E163" s="8" t="str">
        <f t="shared" si="2"/>
        <v>meu</v>
      </c>
      <c r="F163" s="8"/>
      <c r="G163" s="8" t="str">
        <f t="shared" si="3"/>
        <v>5</v>
      </c>
      <c r="H163" s="9">
        <f t="shared" si="4"/>
        <v>5</v>
      </c>
      <c r="I163" s="6" t="str">
        <f>IFERROR(__xludf.DUMMYFUNCTION("MAX(FILTER($H:$H,$E:$E=F163))"),"#N/A")</f>
        <v>#N/A</v>
      </c>
    </row>
    <row r="164">
      <c r="C164" s="4" t="s">
        <v>2754</v>
      </c>
      <c r="D164" s="4" t="str">
        <f t="shared" si="1"/>
        <v>{"valorA":"que","valorB":4}</v>
      </c>
      <c r="E164" s="8" t="str">
        <f t="shared" si="2"/>
        <v>que</v>
      </c>
      <c r="F164" s="8"/>
      <c r="G164" s="8" t="str">
        <f t="shared" si="3"/>
        <v>4</v>
      </c>
      <c r="H164" s="9">
        <f t="shared" si="4"/>
        <v>4</v>
      </c>
      <c r="I164" s="6" t="str">
        <f>IFERROR(__xludf.DUMMYFUNCTION("MAX(FILTER($H:$H,$E:$E=F164))"),"#N/A")</f>
        <v>#N/A</v>
      </c>
    </row>
    <row r="165">
      <c r="C165" s="4" t="s">
        <v>2836</v>
      </c>
      <c r="D165" s="4" t="str">
        <f t="shared" si="1"/>
        <v>{"valorA":"do","valorB":4}</v>
      </c>
      <c r="E165" s="8" t="str">
        <f t="shared" si="2"/>
        <v>do</v>
      </c>
      <c r="F165" s="8"/>
      <c r="G165" s="8" t="str">
        <f t="shared" si="3"/>
        <v>4</v>
      </c>
      <c r="H165" s="9">
        <f t="shared" si="4"/>
        <v>4</v>
      </c>
      <c r="I165" s="6" t="str">
        <f>IFERROR(__xludf.DUMMYFUNCTION("MAX(FILTER($H:$H,$E:$E=F165))"),"#N/A")</f>
        <v>#N/A</v>
      </c>
    </row>
    <row r="166">
      <c r="C166" s="4" t="s">
        <v>2904</v>
      </c>
      <c r="D166" s="4" t="str">
        <f t="shared" si="1"/>
        <v>{"valorA":"antigo","valorB":2}</v>
      </c>
      <c r="E166" s="8" t="str">
        <f t="shared" si="2"/>
        <v>antigo</v>
      </c>
      <c r="F166" s="8"/>
      <c r="G166" s="8" t="str">
        <f t="shared" si="3"/>
        <v>2</v>
      </c>
      <c r="H166" s="9">
        <f t="shared" si="4"/>
        <v>2</v>
      </c>
      <c r="I166" s="6" t="str">
        <f>IFERROR(__xludf.DUMMYFUNCTION("MAX(FILTER($H:$H,$E:$E=F166))"),"#N/A")</f>
        <v>#N/A</v>
      </c>
    </row>
    <row r="167">
      <c r="C167" s="4" t="s">
        <v>7068</v>
      </c>
      <c r="D167" s="4" t="str">
        <f t="shared" si="1"/>
        <v>{"valorA":"realmente","valorB":4}</v>
      </c>
      <c r="E167" s="8" t="str">
        <f t="shared" si="2"/>
        <v>realmente</v>
      </c>
      <c r="F167" s="8"/>
      <c r="G167" s="8" t="str">
        <f t="shared" si="3"/>
        <v>4</v>
      </c>
      <c r="H167" s="9">
        <f t="shared" si="4"/>
        <v>4</v>
      </c>
      <c r="I167" s="6" t="str">
        <f>IFERROR(__xludf.DUMMYFUNCTION("MAX(FILTER($H:$H,$E:$E=F167))"),"#N/A")</f>
        <v>#N/A</v>
      </c>
    </row>
    <row r="168">
      <c r="C168" s="4" t="s">
        <v>2965</v>
      </c>
      <c r="D168" s="4" t="str">
        <f t="shared" si="1"/>
        <v>{"valorA":"incrível","valorB":4}</v>
      </c>
      <c r="E168" s="8" t="str">
        <f t="shared" si="2"/>
        <v>incrível</v>
      </c>
      <c r="F168" s="8"/>
      <c r="G168" s="8" t="str">
        <f t="shared" si="3"/>
        <v>4</v>
      </c>
      <c r="H168" s="9">
        <f t="shared" si="4"/>
        <v>4</v>
      </c>
      <c r="I168" s="6" t="str">
        <f>IFERROR(__xludf.DUMMYFUNCTION("MAX(FILTER($H:$H,$E:$E=F168))"),"#N/A")</f>
        <v>#N/A</v>
      </c>
    </row>
    <row r="169">
      <c r="C169" s="4" t="s">
        <v>2793</v>
      </c>
      <c r="D169" s="4" t="str">
        <f t="shared" si="1"/>
        <v>{"valorA":"produto","valorB":14}</v>
      </c>
      <c r="E169" s="8" t="str">
        <f t="shared" si="2"/>
        <v>produto</v>
      </c>
      <c r="F169" s="8"/>
      <c r="G169" s="8" t="str">
        <f t="shared" si="3"/>
        <v>14</v>
      </c>
      <c r="H169" s="9">
        <f t="shared" si="4"/>
        <v>14</v>
      </c>
      <c r="I169" s="6" t="str">
        <f>IFERROR(__xludf.DUMMYFUNCTION("MAX(FILTER($H:$H,$E:$E=F169))"),"#N/A")</f>
        <v>#N/A</v>
      </c>
    </row>
    <row r="170">
      <c r="C170" s="4" t="s">
        <v>2761</v>
      </c>
      <c r="D170" s="4" t="str">
        <f t="shared" si="1"/>
        <v>{"valorA":"ótimo","valorB":19}</v>
      </c>
      <c r="E170" s="8" t="str">
        <f t="shared" si="2"/>
        <v>ótimo</v>
      </c>
      <c r="F170" s="8"/>
      <c r="G170" s="8" t="str">
        <f t="shared" si="3"/>
        <v>19</v>
      </c>
      <c r="H170" s="9">
        <f t="shared" si="4"/>
        <v>19</v>
      </c>
      <c r="I170" s="6" t="str">
        <f>IFERROR(__xludf.DUMMYFUNCTION("MAX(FILTER($H:$H,$E:$E=F170))"),"#N/A")</f>
        <v>#N/A</v>
      </c>
    </row>
    <row r="171">
      <c r="C171" s="4" t="s">
        <v>2870</v>
      </c>
      <c r="D171" s="4" t="str">
        <f t="shared" si="1"/>
        <v>{"valorA":"é","valorB":6}</v>
      </c>
      <c r="E171" s="8" t="str">
        <f t="shared" si="2"/>
        <v>é</v>
      </c>
      <c r="F171" s="8"/>
      <c r="G171" s="8" t="str">
        <f t="shared" si="3"/>
        <v>6</v>
      </c>
      <c r="H171" s="9">
        <f t="shared" si="4"/>
        <v>6</v>
      </c>
      <c r="I171" s="6" t="str">
        <f>IFERROR(__xludf.DUMMYFUNCTION("MAX(FILTER($H:$H,$E:$E=F171))"),"#N/A")</f>
        <v>#N/A</v>
      </c>
    </row>
    <row r="172">
      <c r="C172" s="4" t="s">
        <v>2766</v>
      </c>
      <c r="D172" s="4" t="str">
        <f t="shared" si="1"/>
        <v>{"valorA":"ótimo","valorB":20}</v>
      </c>
      <c r="E172" s="8" t="str">
        <f t="shared" si="2"/>
        <v>ótimo</v>
      </c>
      <c r="F172" s="8"/>
      <c r="G172" s="8" t="str">
        <f t="shared" si="3"/>
        <v>20</v>
      </c>
      <c r="H172" s="9">
        <f t="shared" si="4"/>
        <v>20</v>
      </c>
      <c r="I172" s="6" t="str">
        <f>IFERROR(__xludf.DUMMYFUNCTION("MAX(FILTER($H:$H,$E:$E=F172))"),"#N/A")</f>
        <v>#N/A</v>
      </c>
    </row>
    <row r="173">
      <c r="C173" s="4" t="s">
        <v>2792</v>
      </c>
      <c r="D173" s="4" t="str">
        <f t="shared" si="1"/>
        <v>{"valorA":"muito","valorB":5}</v>
      </c>
      <c r="E173" s="8" t="str">
        <f t="shared" si="2"/>
        <v>muito</v>
      </c>
      <c r="F173" s="8"/>
      <c r="G173" s="8" t="str">
        <f t="shared" si="3"/>
        <v>5</v>
      </c>
      <c r="H173" s="9">
        <f t="shared" si="4"/>
        <v>5</v>
      </c>
      <c r="I173" s="6" t="str">
        <f>IFERROR(__xludf.DUMMYFUNCTION("MAX(FILTER($H:$H,$E:$E=F173))"),"#N/A")</f>
        <v>#N/A</v>
      </c>
    </row>
    <row r="174">
      <c r="C174" s="4" t="s">
        <v>2786</v>
      </c>
      <c r="D174" s="4" t="str">
        <f t="shared" si="1"/>
        <v>{"valorA":"gostei","valorB":3}</v>
      </c>
      <c r="E174" s="8" t="str">
        <f t="shared" si="2"/>
        <v>gostei</v>
      </c>
      <c r="F174" s="8"/>
      <c r="G174" s="8" t="str">
        <f t="shared" si="3"/>
        <v>3</v>
      </c>
      <c r="H174" s="9">
        <f t="shared" si="4"/>
        <v>3</v>
      </c>
      <c r="I174" s="6" t="str">
        <f>IFERROR(__xludf.DUMMYFUNCTION("MAX(FILTER($H:$H,$E:$E=F174))"),"#N/A")</f>
        <v>#N/A</v>
      </c>
    </row>
    <row r="175">
      <c r="C175" s="4" t="s">
        <v>2796</v>
      </c>
      <c r="D175" s="4" t="str">
        <f t="shared" si="1"/>
        <v>{"valorA":"produto","valorB":15}</v>
      </c>
      <c r="E175" s="8" t="str">
        <f t="shared" si="2"/>
        <v>produto</v>
      </c>
      <c r="F175" s="8"/>
      <c r="G175" s="8" t="str">
        <f t="shared" si="3"/>
        <v>15</v>
      </c>
      <c r="H175" s="9">
        <f t="shared" si="4"/>
        <v>15</v>
      </c>
      <c r="I175" s="6" t="str">
        <f>IFERROR(__xludf.DUMMYFUNCTION("MAX(FILTER($H:$H,$E:$E=F175))"),"#N/A")</f>
        <v>#N/A</v>
      </c>
    </row>
    <row r="176">
      <c r="C176" s="4" t="s">
        <v>2825</v>
      </c>
      <c r="D176" s="4" t="str">
        <f t="shared" si="1"/>
        <v>{"valorA":"relojoeiro","valorB":1}</v>
      </c>
      <c r="E176" s="8" t="str">
        <f t="shared" si="2"/>
        <v>relojoeiro</v>
      </c>
      <c r="F176" s="8"/>
      <c r="G176" s="8" t="str">
        <f t="shared" si="3"/>
        <v>1</v>
      </c>
      <c r="H176" s="9">
        <f t="shared" si="4"/>
        <v>1</v>
      </c>
      <c r="I176" s="6" t="str">
        <f>IFERROR(__xludf.DUMMYFUNCTION("MAX(FILTER($H:$H,$E:$E=F176))"),"#N/A")</f>
        <v>#N/A</v>
      </c>
    </row>
    <row r="177">
      <c r="C177" s="4" t="s">
        <v>2779</v>
      </c>
      <c r="D177" s="4" t="str">
        <f t="shared" si="1"/>
        <v>{"valorA":"ótimo","valorB":21}</v>
      </c>
      <c r="E177" s="8" t="str">
        <f t="shared" si="2"/>
        <v>ótimo</v>
      </c>
      <c r="F177" s="8"/>
      <c r="G177" s="8" t="str">
        <f t="shared" si="3"/>
        <v>21</v>
      </c>
      <c r="H177" s="9">
        <f t="shared" si="4"/>
        <v>21</v>
      </c>
      <c r="I177" s="6" t="str">
        <f>IFERROR(__xludf.DUMMYFUNCTION("MAX(FILTER($H:$H,$E:$E=F177))"),"#N/A")</f>
        <v>#N/A</v>
      </c>
    </row>
    <row r="178">
      <c r="C178" s="4" t="s">
        <v>3036</v>
      </c>
      <c r="D178" s="4" t="str">
        <f t="shared" si="1"/>
        <v>{"valorA":"mas","valorB":1}</v>
      </c>
      <c r="E178" s="8" t="str">
        <f t="shared" si="2"/>
        <v>mas</v>
      </c>
      <c r="F178" s="8"/>
      <c r="G178" s="8" t="str">
        <f t="shared" si="3"/>
        <v>1</v>
      </c>
      <c r="H178" s="9">
        <f t="shared" si="4"/>
        <v>1</v>
      </c>
      <c r="I178" s="6" t="str">
        <f>IFERROR(__xludf.DUMMYFUNCTION("MAX(FILTER($H:$H,$E:$E=F178))"),"#N/A")</f>
        <v>#N/A</v>
      </c>
    </row>
    <row r="179">
      <c r="C179" s="4" t="s">
        <v>3134</v>
      </c>
      <c r="D179" s="4" t="str">
        <f t="shared" si="1"/>
        <v>{"valorA":"caro","valorB":1}</v>
      </c>
      <c r="E179" s="8" t="str">
        <f t="shared" si="2"/>
        <v>caro</v>
      </c>
      <c r="F179" s="8"/>
      <c r="G179" s="8" t="str">
        <f t="shared" si="3"/>
        <v>1</v>
      </c>
      <c r="H179" s="9">
        <f t="shared" si="4"/>
        <v>1</v>
      </c>
      <c r="I179" s="6" t="str">
        <f>IFERROR(__xludf.DUMMYFUNCTION("MAX(FILTER($H:$H,$E:$E=F179))"),"#N/A")</f>
        <v>#N/A</v>
      </c>
    </row>
    <row r="180">
      <c r="C180" s="4" t="s">
        <v>2811</v>
      </c>
      <c r="D180" s="4" t="str">
        <f t="shared" si="1"/>
        <v>{"valorA":"muito","valorB":6}</v>
      </c>
      <c r="E180" s="8" t="str">
        <f t="shared" si="2"/>
        <v>muito</v>
      </c>
      <c r="F180" s="8"/>
      <c r="G180" s="8" t="str">
        <f t="shared" si="3"/>
        <v>6</v>
      </c>
      <c r="H180" s="9">
        <f t="shared" si="4"/>
        <v>6</v>
      </c>
      <c r="I180" s="6" t="str">
        <f>IFERROR(__xludf.DUMMYFUNCTION("MAX(FILTER($H:$H,$E:$E=F180))"),"#N/A")</f>
        <v>#N/A</v>
      </c>
    </row>
    <row r="181">
      <c r="C181" s="4" t="s">
        <v>2696</v>
      </c>
      <c r="D181" s="4" t="str">
        <f t="shared" si="1"/>
        <v>{"valorA":"essa","valorB":2}</v>
      </c>
      <c r="E181" s="8" t="str">
        <f t="shared" si="2"/>
        <v>essa</v>
      </c>
      <c r="F181" s="8"/>
      <c r="G181" s="8" t="str">
        <f t="shared" si="3"/>
        <v>2</v>
      </c>
      <c r="H181" s="9">
        <f t="shared" si="4"/>
        <v>2</v>
      </c>
      <c r="I181" s="6" t="str">
        <f>IFERROR(__xludf.DUMMYFUNCTION("MAX(FILTER($H:$H,$E:$E=F181))"),"#N/A")</f>
        <v>#N/A</v>
      </c>
    </row>
    <row r="182">
      <c r="C182" s="4" t="s">
        <v>2788</v>
      </c>
      <c r="D182" s="4" t="str">
        <f t="shared" si="1"/>
        <v>{"valorA":"ótimo","valorB":22}</v>
      </c>
      <c r="E182" s="8" t="str">
        <f t="shared" si="2"/>
        <v>ótimo</v>
      </c>
      <c r="F182" s="8"/>
      <c r="G182" s="8" t="str">
        <f t="shared" si="3"/>
        <v>22</v>
      </c>
      <c r="H182" s="9">
        <f t="shared" si="4"/>
        <v>22</v>
      </c>
      <c r="I182" s="6" t="str">
        <f>IFERROR(__xludf.DUMMYFUNCTION("MAX(FILTER($H:$H,$E:$E=F182))"),"#N/A")</f>
        <v>#N/A</v>
      </c>
    </row>
    <row r="183">
      <c r="C183" s="4" t="s">
        <v>2801</v>
      </c>
      <c r="D183" s="4" t="str">
        <f t="shared" si="1"/>
        <v>{"valorA":"produto","valorB":16}</v>
      </c>
      <c r="E183" s="8" t="str">
        <f t="shared" si="2"/>
        <v>produto</v>
      </c>
      <c r="F183" s="8"/>
      <c r="G183" s="8" t="str">
        <f t="shared" si="3"/>
        <v>16</v>
      </c>
      <c r="H183" s="9">
        <f t="shared" si="4"/>
        <v>16</v>
      </c>
      <c r="I183" s="6" t="str">
        <f>IFERROR(__xludf.DUMMYFUNCTION("MAX(FILTER($H:$H,$E:$E=F183))"),"#N/A")</f>
        <v>#N/A</v>
      </c>
    </row>
    <row r="184">
      <c r="C184" s="4" t="s">
        <v>7069</v>
      </c>
      <c r="D184" s="4" t="str">
        <f t="shared" si="1"/>
        <v>{"valorA":"hidratante","valorB":2}</v>
      </c>
      <c r="E184" s="8" t="str">
        <f t="shared" si="2"/>
        <v>hidratante</v>
      </c>
      <c r="F184" s="8"/>
      <c r="G184" s="8" t="str">
        <f t="shared" si="3"/>
        <v>2</v>
      </c>
      <c r="H184" s="9">
        <f t="shared" si="4"/>
        <v>2</v>
      </c>
      <c r="I184" s="6" t="str">
        <f>IFERROR(__xludf.DUMMYFUNCTION("MAX(FILTER($H:$H,$E:$E=F184))"),"#N/A")</f>
        <v>#N/A</v>
      </c>
    </row>
    <row r="185">
      <c r="C185" s="4" t="s">
        <v>2686</v>
      </c>
      <c r="D185" s="4" t="str">
        <f t="shared" si="1"/>
        <v>{"valorA":"a","valorB":3}</v>
      </c>
      <c r="E185" s="8" t="str">
        <f t="shared" si="2"/>
        <v>a</v>
      </c>
      <c r="F185" s="8"/>
      <c r="G185" s="8" t="str">
        <f t="shared" si="3"/>
        <v>3</v>
      </c>
      <c r="H185" s="9">
        <f t="shared" si="4"/>
        <v>3</v>
      </c>
      <c r="I185" s="6" t="str">
        <f>IFERROR(__xludf.DUMMYFUNCTION("MAX(FILTER($H:$H,$E:$E=F185))"),"#N/A")</f>
        <v>#N/A</v>
      </c>
    </row>
    <row r="186">
      <c r="C186" s="4" t="s">
        <v>2762</v>
      </c>
      <c r="D186" s="4" t="str">
        <f t="shared" si="1"/>
        <v>{"valorA":"creme","valorB":2}</v>
      </c>
      <c r="E186" s="8" t="str">
        <f t="shared" si="2"/>
        <v>creme</v>
      </c>
      <c r="F186" s="8"/>
      <c r="G186" s="8" t="str">
        <f t="shared" si="3"/>
        <v>2</v>
      </c>
      <c r="H186" s="9">
        <f t="shared" si="4"/>
        <v>2</v>
      </c>
      <c r="I186" s="6" t="str">
        <f>IFERROR(__xludf.DUMMYFUNCTION("MAX(FILTER($H:$H,$E:$E=F186))"),"#N/A")</f>
        <v>#N/A</v>
      </c>
    </row>
    <row r="187">
      <c r="C187" s="4" t="s">
        <v>7070</v>
      </c>
      <c r="D187" s="4" t="str">
        <f t="shared" si="1"/>
        <v>{"valorA":"ajuda","valorB":1}</v>
      </c>
      <c r="E187" s="8" t="str">
        <f t="shared" si="2"/>
        <v>ajuda</v>
      </c>
      <c r="F187" s="8"/>
      <c r="G187" s="8" t="str">
        <f t="shared" si="3"/>
        <v>1</v>
      </c>
      <c r="H187" s="9">
        <f t="shared" si="4"/>
        <v>1</v>
      </c>
      <c r="I187" s="6" t="str">
        <f>IFERROR(__xludf.DUMMYFUNCTION("MAX(FILTER($H:$H,$E:$E=F187))"),"#N/A")</f>
        <v>#N/A</v>
      </c>
    </row>
    <row r="188">
      <c r="C188" s="4" t="s">
        <v>3853</v>
      </c>
      <c r="D188" s="4" t="str">
        <f t="shared" si="1"/>
        <v>{"valorA":"minha","valorB":1}</v>
      </c>
      <c r="E188" s="8" t="str">
        <f t="shared" si="2"/>
        <v>minha</v>
      </c>
      <c r="F188" s="8"/>
      <c r="G188" s="8" t="str">
        <f t="shared" si="3"/>
        <v>1</v>
      </c>
      <c r="H188" s="9">
        <f t="shared" si="4"/>
        <v>1</v>
      </c>
      <c r="I188" s="6" t="str">
        <f>IFERROR(__xludf.DUMMYFUNCTION("MAX(FILTER($H:$H,$E:$E=F188))"),"#N/A")</f>
        <v>#N/A</v>
      </c>
    </row>
    <row r="189">
      <c r="C189" s="4" t="s">
        <v>2848</v>
      </c>
      <c r="D189" s="4" t="str">
        <f t="shared" si="1"/>
        <v>{"valorA":"me","valorB":1}</v>
      </c>
      <c r="E189" s="8" t="str">
        <f t="shared" si="2"/>
        <v>me</v>
      </c>
      <c r="F189" s="8"/>
      <c r="G189" s="8" t="str">
        <f t="shared" si="3"/>
        <v>1</v>
      </c>
      <c r="H189" s="9">
        <f t="shared" si="4"/>
        <v>1</v>
      </c>
      <c r="I189" s="6" t="str">
        <f>IFERROR(__xludf.DUMMYFUNCTION("MAX(FILTER($H:$H,$E:$E=F189))"),"#N/A")</f>
        <v>#N/A</v>
      </c>
    </row>
    <row r="190">
      <c r="C190" s="4" t="s">
        <v>3073</v>
      </c>
      <c r="D190" s="4" t="str">
        <f t="shared" si="1"/>
        <v>{"valorA":"manter","valorB":1}</v>
      </c>
      <c r="E190" s="8" t="str">
        <f t="shared" si="2"/>
        <v>manter</v>
      </c>
      <c r="F190" s="8"/>
      <c r="G190" s="8" t="str">
        <f t="shared" si="3"/>
        <v>1</v>
      </c>
      <c r="H190" s="9">
        <f t="shared" si="4"/>
        <v>1</v>
      </c>
      <c r="I190" s="6" t="str">
        <f>IFERROR(__xludf.DUMMYFUNCTION("MAX(FILTER($H:$H,$E:$E=F190))"),"#N/A")</f>
        <v>#N/A</v>
      </c>
    </row>
    <row r="191">
      <c r="C191" s="4" t="s">
        <v>7071</v>
      </c>
      <c r="D191" s="4" t="str">
        <f t="shared" si="1"/>
        <v>{"valorA":"pele","valorB":2}</v>
      </c>
      <c r="E191" s="8" t="str">
        <f t="shared" si="2"/>
        <v>pele</v>
      </c>
      <c r="F191" s="8"/>
      <c r="G191" s="8" t="str">
        <f t="shared" si="3"/>
        <v>2</v>
      </c>
      <c r="H191" s="9">
        <f t="shared" si="4"/>
        <v>2</v>
      </c>
      <c r="I191" s="6" t="str">
        <f>IFERROR(__xludf.DUMMYFUNCTION("MAX(FILTER($H:$H,$E:$E=F191))"),"#N/A")</f>
        <v>#N/A</v>
      </c>
    </row>
    <row r="192">
      <c r="C192" s="4" t="s">
        <v>7072</v>
      </c>
      <c r="D192" s="4" t="str">
        <f t="shared" si="1"/>
        <v>{"valorA":"hidrata","valorB":1}</v>
      </c>
      <c r="E192" s="8" t="str">
        <f t="shared" si="2"/>
        <v>hidrata</v>
      </c>
      <c r="F192" s="8"/>
      <c r="G192" s="8" t="str">
        <f t="shared" si="3"/>
        <v>1</v>
      </c>
      <c r="H192" s="9">
        <f t="shared" si="4"/>
        <v>1</v>
      </c>
      <c r="I192" s="6" t="str">
        <f>IFERROR(__xludf.DUMMYFUNCTION("MAX(FILTER($H:$H,$E:$E=F192))"),"#N/A")</f>
        <v>#N/A</v>
      </c>
    </row>
    <row r="193">
      <c r="C193" s="4" t="s">
        <v>2917</v>
      </c>
      <c r="D193" s="4" t="str">
        <f t="shared" si="1"/>
        <v>{"valorA":"esse","valorB":5}</v>
      </c>
      <c r="E193" s="8" t="str">
        <f t="shared" si="2"/>
        <v>esse</v>
      </c>
      <c r="F193" s="8"/>
      <c r="G193" s="8" t="str">
        <f t="shared" si="3"/>
        <v>5</v>
      </c>
      <c r="H193" s="9">
        <f t="shared" si="4"/>
        <v>5</v>
      </c>
      <c r="I193" s="6" t="str">
        <f>IFERROR(__xludf.DUMMYFUNCTION("MAX(FILTER($H:$H,$E:$E=F193))"),"#N/A")</f>
        <v>#N/A</v>
      </c>
    </row>
    <row r="194">
      <c r="C194" s="4" t="s">
        <v>2791</v>
      </c>
      <c r="D194" s="4" t="str">
        <f t="shared" si="1"/>
        <v>{"valorA":"ótimo","valorB":23}</v>
      </c>
      <c r="E194" s="8" t="str">
        <f t="shared" si="2"/>
        <v>ótimo</v>
      </c>
      <c r="F194" s="8"/>
      <c r="G194" s="8" t="str">
        <f t="shared" si="3"/>
        <v>23</v>
      </c>
      <c r="H194" s="9">
        <f t="shared" si="4"/>
        <v>23</v>
      </c>
      <c r="I194" s="6" t="str">
        <f>IFERROR(__xludf.DUMMYFUNCTION("MAX(FILTER($H:$H,$E:$E=F194))"),"#N/A")</f>
        <v>#N/A</v>
      </c>
    </row>
    <row r="195">
      <c r="C195" s="4" t="s">
        <v>7073</v>
      </c>
      <c r="D195" s="4" t="str">
        <f t="shared" si="1"/>
        <v>{"valorA":"sonhos","valorB":1}</v>
      </c>
      <c r="E195" s="8" t="str">
        <f t="shared" si="2"/>
        <v>sonhos</v>
      </c>
      <c r="F195" s="8"/>
      <c r="G195" s="8" t="str">
        <f t="shared" si="3"/>
        <v>1</v>
      </c>
      <c r="H195" s="9">
        <f t="shared" si="4"/>
        <v>1</v>
      </c>
      <c r="I195" s="6" t="str">
        <f>IFERROR(__xludf.DUMMYFUNCTION("MAX(FILTER($H:$H,$E:$E=F195))"),"#N/A")</f>
        <v>#N/A</v>
      </c>
    </row>
    <row r="196">
      <c r="C196" s="4" t="s">
        <v>7074</v>
      </c>
      <c r="D196" s="4" t="str">
        <f t="shared" si="1"/>
        <v>{"valorA":"confortáveis","valorB":1}</v>
      </c>
      <c r="E196" s="8" t="str">
        <f t="shared" si="2"/>
        <v>confortáveis</v>
      </c>
      <c r="F196" s="8"/>
      <c r="G196" s="8" t="str">
        <f t="shared" si="3"/>
        <v>1</v>
      </c>
      <c r="H196" s="9">
        <f t="shared" si="4"/>
        <v>1</v>
      </c>
      <c r="I196" s="6" t="str">
        <f>IFERROR(__xludf.DUMMYFUNCTION("MAX(FILTER($H:$H,$E:$E=F196))"),"#N/A")</f>
        <v>#N/A</v>
      </c>
    </row>
    <row r="197">
      <c r="C197" s="4" t="s">
        <v>7075</v>
      </c>
      <c r="D197" s="4" t="str">
        <f t="shared" si="1"/>
        <v>{"valorA":"colchão","valorB":1}</v>
      </c>
      <c r="E197" s="8" t="str">
        <f t="shared" si="2"/>
        <v>colchão</v>
      </c>
      <c r="F197" s="8"/>
      <c r="G197" s="8" t="str">
        <f t="shared" si="3"/>
        <v>1</v>
      </c>
      <c r="H197" s="9">
        <f t="shared" si="4"/>
        <v>1</v>
      </c>
      <c r="I197" s="6" t="str">
        <f>IFERROR(__xludf.DUMMYFUNCTION("MAX(FILTER($H:$H,$E:$E=F197))"),"#N/A")</f>
        <v>#N/A</v>
      </c>
    </row>
    <row r="198">
      <c r="C198" s="4" t="s">
        <v>2966</v>
      </c>
      <c r="D198" s="4" t="str">
        <f t="shared" si="1"/>
        <v>{"valorA":"carro","valorB":3}</v>
      </c>
      <c r="E198" s="8" t="str">
        <f t="shared" si="2"/>
        <v>carro</v>
      </c>
      <c r="F198" s="8"/>
      <c r="G198" s="8" t="str">
        <f t="shared" si="3"/>
        <v>3</v>
      </c>
      <c r="H198" s="9">
        <f t="shared" si="4"/>
        <v>3</v>
      </c>
      <c r="I198" s="6" t="str">
        <f>IFERROR(__xludf.DUMMYFUNCTION("MAX(FILTER($H:$H,$E:$E=F198))"),"#N/A")</f>
        <v>#N/A</v>
      </c>
    </row>
    <row r="199">
      <c r="C199" s="4" t="s">
        <v>2982</v>
      </c>
      <c r="D199" s="4" t="str">
        <f t="shared" si="1"/>
        <v>{"valorA":"novo","valorB":2}</v>
      </c>
      <c r="E199" s="8" t="str">
        <f t="shared" si="2"/>
        <v>novo</v>
      </c>
      <c r="F199" s="8"/>
      <c r="G199" s="8" t="str">
        <f t="shared" si="3"/>
        <v>2</v>
      </c>
      <c r="H199" s="9">
        <f t="shared" si="4"/>
        <v>2</v>
      </c>
      <c r="I199" s="6" t="str">
        <f>IFERROR(__xludf.DUMMYFUNCTION("MAX(FILTER($H:$H,$E:$E=F199))"),"#N/A")</f>
        <v>#N/A</v>
      </c>
    </row>
    <row r="200">
      <c r="C200" s="4" t="s">
        <v>2979</v>
      </c>
      <c r="D200" s="4" t="str">
        <f t="shared" si="1"/>
        <v>{"valorA":"incrível","valorB":5}</v>
      </c>
      <c r="E200" s="8" t="str">
        <f t="shared" si="2"/>
        <v>incrível</v>
      </c>
      <c r="F200" s="8"/>
      <c r="G200" s="8" t="str">
        <f t="shared" si="3"/>
        <v>5</v>
      </c>
      <c r="H200" s="9">
        <f t="shared" si="4"/>
        <v>5</v>
      </c>
      <c r="I200" s="6" t="str">
        <f>IFERROR(__xludf.DUMMYFUNCTION("MAX(FILTER($H:$H,$E:$E=F200))"),"#N/A")</f>
        <v>#N/A</v>
      </c>
    </row>
    <row r="201">
      <c r="C201" s="4" t="s">
        <v>2981</v>
      </c>
      <c r="D201" s="4" t="str">
        <f t="shared" si="1"/>
        <v>{"valorA":"meu","valorB":6}</v>
      </c>
      <c r="E201" s="8" t="str">
        <f t="shared" si="2"/>
        <v>meu</v>
      </c>
      <c r="F201" s="8"/>
      <c r="G201" s="8" t="str">
        <f t="shared" si="3"/>
        <v>6</v>
      </c>
      <c r="H201" s="9">
        <f t="shared" si="4"/>
        <v>6</v>
      </c>
      <c r="I201" s="6" t="str">
        <f>IFERROR(__xludf.DUMMYFUNCTION("MAX(FILTER($H:$H,$E:$E=F201))"),"#N/A")</f>
        <v>#N/A</v>
      </c>
    </row>
    <row r="202">
      <c r="C202" s="4" t="s">
        <v>2880</v>
      </c>
      <c r="D202" s="4" t="str">
        <f t="shared" si="1"/>
        <v>{"valorA":"é","valorB":7}</v>
      </c>
      <c r="E202" s="8" t="str">
        <f t="shared" si="2"/>
        <v>é</v>
      </c>
      <c r="F202" s="8"/>
      <c r="G202" s="8" t="str">
        <f t="shared" si="3"/>
        <v>7</v>
      </c>
      <c r="H202" s="9">
        <f t="shared" si="4"/>
        <v>7</v>
      </c>
      <c r="I202" s="6" t="str">
        <f>IFERROR(__xludf.DUMMYFUNCTION("MAX(FILTER($H:$H,$E:$E=F202))"),"#N/A")</f>
        <v>#N/A</v>
      </c>
    </row>
    <row r="203">
      <c r="C203" s="4" t="s">
        <v>2712</v>
      </c>
      <c r="D203" s="4" t="str">
        <f t="shared" si="1"/>
        <v>{"valorA":"funciona","valorB":3}</v>
      </c>
      <c r="E203" s="8" t="str">
        <f t="shared" si="2"/>
        <v>funciona</v>
      </c>
      <c r="F203" s="8"/>
      <c r="G203" s="8" t="str">
        <f t="shared" si="3"/>
        <v>3</v>
      </c>
      <c r="H203" s="9">
        <f t="shared" si="4"/>
        <v>3</v>
      </c>
      <c r="I203" s="6" t="str">
        <f>IFERROR(__xludf.DUMMYFUNCTION("MAX(FILTER($H:$H,$E:$E=F203))"),"#N/A")</f>
        <v>#N/A</v>
      </c>
    </row>
    <row r="204">
      <c r="C204" s="4" t="s">
        <v>3416</v>
      </c>
      <c r="D204" s="4" t="str">
        <f t="shared" si="1"/>
        <v>{"valorA":"comentário","valorB":1}</v>
      </c>
      <c r="E204" s="8" t="str">
        <f t="shared" si="2"/>
        <v>comentário</v>
      </c>
      <c r="F204" s="8"/>
      <c r="G204" s="8" t="str">
        <f t="shared" si="3"/>
        <v>1</v>
      </c>
      <c r="H204" s="9">
        <f t="shared" si="4"/>
        <v>1</v>
      </c>
      <c r="I204" s="6" t="str">
        <f>IFERROR(__xludf.DUMMYFUNCTION("MAX(FILTER($H:$H,$E:$E=F204))"),"#N/A")</f>
        <v>#N/A</v>
      </c>
    </row>
    <row r="205">
      <c r="C205" s="4" t="s">
        <v>2740</v>
      </c>
      <c r="D205" s="4" t="str">
        <f t="shared" si="1"/>
        <v>{"valorA":"e","valorB":5}</v>
      </c>
      <c r="E205" s="8" t="str">
        <f t="shared" si="2"/>
        <v>e</v>
      </c>
      <c r="F205" s="8"/>
      <c r="G205" s="8" t="str">
        <f t="shared" si="3"/>
        <v>5</v>
      </c>
      <c r="H205" s="9">
        <f t="shared" si="4"/>
        <v>5</v>
      </c>
      <c r="I205" s="6" t="str">
        <f>IFERROR(__xludf.DUMMYFUNCTION("MAX(FILTER($H:$H,$E:$E=F205))"),"#N/A")</f>
        <v>#N/A</v>
      </c>
    </row>
    <row r="206">
      <c r="C206" s="4" t="s">
        <v>2749</v>
      </c>
      <c r="D206" s="4" t="str">
        <f t="shared" si="1"/>
        <v>{"valorA":"confortável","valorB":2}</v>
      </c>
      <c r="E206" s="8" t="str">
        <f t="shared" si="2"/>
        <v>confortável</v>
      </c>
      <c r="F206" s="8"/>
      <c r="G206" s="8" t="str">
        <f t="shared" si="3"/>
        <v>2</v>
      </c>
      <c r="H206" s="9">
        <f t="shared" si="4"/>
        <v>2</v>
      </c>
      <c r="I206" s="6" t="str">
        <f>IFERROR(__xludf.DUMMYFUNCTION("MAX(FILTER($H:$H,$E:$E=F206))"),"#N/A")</f>
        <v>#N/A</v>
      </c>
    </row>
    <row r="207">
      <c r="C207" s="4" t="s">
        <v>2835</v>
      </c>
      <c r="D207" s="4" t="str">
        <f t="shared" si="1"/>
        <v>{"valorA":"muito","valorB":7}</v>
      </c>
      <c r="E207" s="8" t="str">
        <f t="shared" si="2"/>
        <v>muito</v>
      </c>
      <c r="F207" s="8"/>
      <c r="G207" s="8" t="str">
        <f t="shared" si="3"/>
        <v>7</v>
      </c>
      <c r="H207" s="9">
        <f t="shared" si="4"/>
        <v>7</v>
      </c>
      <c r="I207" s="6" t="str">
        <f>IFERROR(__xludf.DUMMYFUNCTION("MAX(FILTER($H:$H,$E:$E=F207))"),"#N/A")</f>
        <v>#N/A</v>
      </c>
    </row>
    <row r="208">
      <c r="C208" s="4" t="s">
        <v>2716</v>
      </c>
      <c r="D208" s="4" t="str">
        <f t="shared" si="1"/>
        <v>{"valorA":"perfeitamente","valorB":3}</v>
      </c>
      <c r="E208" s="8" t="str">
        <f t="shared" si="2"/>
        <v>perfeitamente</v>
      </c>
      <c r="F208" s="8"/>
      <c r="G208" s="8" t="str">
        <f t="shared" si="3"/>
        <v>3</v>
      </c>
      <c r="H208" s="9">
        <f t="shared" si="4"/>
        <v>3</v>
      </c>
      <c r="I208" s="6" t="str">
        <f>IFERROR(__xludf.DUMMYFUNCTION("MAX(FILTER($H:$H,$E:$E=F208))"),"#N/A")</f>
        <v>#N/A</v>
      </c>
    </row>
    <row r="209">
      <c r="C209" s="4" t="s">
        <v>2798</v>
      </c>
      <c r="D209" s="4" t="str">
        <f t="shared" si="1"/>
        <v>{"valorA":"ótimo","valorB":24}</v>
      </c>
      <c r="E209" s="8" t="str">
        <f t="shared" si="2"/>
        <v>ótimo</v>
      </c>
      <c r="F209" s="8"/>
      <c r="G209" s="8" t="str">
        <f t="shared" si="3"/>
        <v>24</v>
      </c>
      <c r="H209" s="9">
        <f t="shared" si="4"/>
        <v>24</v>
      </c>
      <c r="I209" s="6" t="str">
        <f>IFERROR(__xludf.DUMMYFUNCTION("MAX(FILTER($H:$H,$E:$E=F209))"),"#N/A")</f>
        <v>#N/A</v>
      </c>
    </row>
    <row r="210">
      <c r="C210" s="4" t="s">
        <v>2812</v>
      </c>
      <c r="D210" s="4" t="str">
        <f t="shared" si="1"/>
        <v>{"valorA":"produto","valorB":17}</v>
      </c>
      <c r="E210" s="8" t="str">
        <f t="shared" si="2"/>
        <v>produto</v>
      </c>
      <c r="F210" s="8"/>
      <c r="G210" s="8" t="str">
        <f t="shared" si="3"/>
        <v>17</v>
      </c>
      <c r="H210" s="9">
        <f t="shared" si="4"/>
        <v>17</v>
      </c>
      <c r="I210" s="6" t="str">
        <f>IFERROR(__xludf.DUMMYFUNCTION("MAX(FILTER($H:$H,$E:$E=F210))"),"#N/A")</f>
        <v>#N/A</v>
      </c>
    </row>
    <row r="211">
      <c r="C211" s="4" t="s">
        <v>3100</v>
      </c>
      <c r="D211" s="4" t="str">
        <f t="shared" si="1"/>
        <v>{"valorA":"todos","valorB":1}</v>
      </c>
      <c r="E211" s="8" t="str">
        <f t="shared" si="2"/>
        <v>todos</v>
      </c>
      <c r="F211" s="8"/>
      <c r="G211" s="8" t="str">
        <f t="shared" si="3"/>
        <v>1</v>
      </c>
      <c r="H211" s="9">
        <f t="shared" si="4"/>
        <v>1</v>
      </c>
      <c r="I211" s="6" t="str">
        <f>IFERROR(__xludf.DUMMYFUNCTION("MAX(FILTER($H:$H,$E:$E=F211))"),"#N/A")</f>
        <v>#N/A</v>
      </c>
    </row>
    <row r="212">
      <c r="C212" s="4" t="s">
        <v>2805</v>
      </c>
      <c r="D212" s="4" t="str">
        <f t="shared" si="1"/>
        <v>{"valorA":"para","valorB":5}</v>
      </c>
      <c r="E212" s="8" t="str">
        <f t="shared" si="2"/>
        <v>para</v>
      </c>
      <c r="F212" s="8"/>
      <c r="G212" s="8" t="str">
        <f t="shared" si="3"/>
        <v>5</v>
      </c>
      <c r="H212" s="9">
        <f t="shared" si="4"/>
        <v>5</v>
      </c>
      <c r="I212" s="6" t="str">
        <f>IFERROR(__xludf.DUMMYFUNCTION("MAX(FILTER($H:$H,$E:$E=F212))"),"#N/A")</f>
        <v>#N/A</v>
      </c>
    </row>
    <row r="213">
      <c r="C213" s="4" t="s">
        <v>3048</v>
      </c>
      <c r="D213" s="4" t="str">
        <f t="shared" si="1"/>
        <v>{"valorA":"recomendo","valorB":2}</v>
      </c>
      <c r="E213" s="8" t="str">
        <f t="shared" si="2"/>
        <v>recomendo</v>
      </c>
      <c r="F213" s="8"/>
      <c r="G213" s="8" t="str">
        <f t="shared" si="3"/>
        <v>2</v>
      </c>
      <c r="H213" s="9">
        <f t="shared" si="4"/>
        <v>2</v>
      </c>
      <c r="I213" s="6" t="str">
        <f>IFERROR(__xludf.DUMMYFUNCTION("MAX(FILTER($H:$H,$E:$E=F213))"),"#N/A")</f>
        <v>#N/A</v>
      </c>
    </row>
    <row r="214">
      <c r="C214" s="4" t="s">
        <v>2894</v>
      </c>
      <c r="D214" s="4" t="str">
        <f t="shared" si="1"/>
        <v>{"valorA":"muito","valorB":8}</v>
      </c>
      <c r="E214" s="8" t="str">
        <f t="shared" si="2"/>
        <v>muito</v>
      </c>
      <c r="F214" s="8"/>
      <c r="G214" s="8" t="str">
        <f t="shared" si="3"/>
        <v>8</v>
      </c>
      <c r="H214" s="9">
        <f t="shared" si="4"/>
        <v>8</v>
      </c>
      <c r="I214" s="6" t="str">
        <f>IFERROR(__xludf.DUMMYFUNCTION("MAX(FILTER($H:$H,$E:$E=F214))"),"#N/A")</f>
        <v>#N/A</v>
      </c>
    </row>
    <row r="215">
      <c r="C215" s="4" t="s">
        <v>3589</v>
      </c>
      <c r="D215" s="4" t="str">
        <f t="shared" si="1"/>
        <v>{"valorA":"design","valorB":1}</v>
      </c>
      <c r="E215" s="8" t="str">
        <f t="shared" si="2"/>
        <v>design</v>
      </c>
      <c r="F215" s="8"/>
      <c r="G215" s="8" t="str">
        <f t="shared" si="3"/>
        <v>1</v>
      </c>
      <c r="H215" s="9">
        <f t="shared" si="4"/>
        <v>1</v>
      </c>
      <c r="I215" s="6" t="str">
        <f>IFERROR(__xludf.DUMMYFUNCTION("MAX(FILTER($H:$H,$E:$E=F215))"),"#N/A")</f>
        <v>#N/A</v>
      </c>
    </row>
    <row r="216">
      <c r="C216" s="4" t="s">
        <v>2743</v>
      </c>
      <c r="D216" s="4" t="str">
        <f t="shared" si="1"/>
        <v>{"valorA":"relojoeira","valorB":1}</v>
      </c>
      <c r="E216" s="8" t="str">
        <f t="shared" si="2"/>
        <v>relojoeira</v>
      </c>
      <c r="F216" s="8"/>
      <c r="G216" s="8" t="str">
        <f t="shared" si="3"/>
        <v>1</v>
      </c>
      <c r="H216" s="9">
        <f t="shared" si="4"/>
        <v>1</v>
      </c>
      <c r="I216" s="6" t="str">
        <f>IFERROR(__xludf.DUMMYFUNCTION("MAX(FILTER($H:$H,$E:$E=F216))"),"#N/A")</f>
        <v>#N/A</v>
      </c>
    </row>
    <row r="217">
      <c r="C217" s="4" t="s">
        <v>2806</v>
      </c>
      <c r="D217" s="4" t="str">
        <f t="shared" si="1"/>
        <v>{"valorA":"ótimo","valorB":25}</v>
      </c>
      <c r="E217" s="8" t="str">
        <f t="shared" si="2"/>
        <v>ótimo</v>
      </c>
      <c r="F217" s="8"/>
      <c r="G217" s="8" t="str">
        <f t="shared" si="3"/>
        <v>25</v>
      </c>
      <c r="H217" s="9">
        <f t="shared" si="4"/>
        <v>25</v>
      </c>
      <c r="I217" s="6" t="str">
        <f>IFERROR(__xludf.DUMMYFUNCTION("MAX(FILTER($H:$H,$E:$E=F217))"),"#N/A")</f>
        <v>#N/A</v>
      </c>
    </row>
    <row r="218">
      <c r="C218" s="4" t="s">
        <v>2903</v>
      </c>
      <c r="D218" s="4" t="str">
        <f t="shared" si="1"/>
        <v>{"valorA":"do","valorB":5}</v>
      </c>
      <c r="E218" s="8" t="str">
        <f t="shared" si="2"/>
        <v>do</v>
      </c>
      <c r="F218" s="8"/>
      <c r="G218" s="8" t="str">
        <f t="shared" si="3"/>
        <v>5</v>
      </c>
      <c r="H218" s="9">
        <f t="shared" si="4"/>
        <v>5</v>
      </c>
      <c r="I218" s="6" t="str">
        <f>IFERROR(__xludf.DUMMYFUNCTION("MAX(FILTER($H:$H,$E:$E=F218))"),"#N/A")</f>
        <v>#N/A</v>
      </c>
    </row>
    <row r="219">
      <c r="C219" s="4" t="s">
        <v>2834</v>
      </c>
      <c r="D219" s="4" t="str">
        <f t="shared" si="1"/>
        <v>{"valorA":"gostei","valorB":4}</v>
      </c>
      <c r="E219" s="8" t="str">
        <f t="shared" si="2"/>
        <v>gostei</v>
      </c>
      <c r="F219" s="8"/>
      <c r="G219" s="8" t="str">
        <f t="shared" si="3"/>
        <v>4</v>
      </c>
      <c r="H219" s="9">
        <f t="shared" si="4"/>
        <v>4</v>
      </c>
      <c r="I219" s="6" t="str">
        <f>IFERROR(__xludf.DUMMYFUNCTION("MAX(FILTER($H:$H,$E:$E=F219))"),"#N/A")</f>
        <v>#N/A</v>
      </c>
    </row>
    <row r="220">
      <c r="C220" s="4" t="s">
        <v>2832</v>
      </c>
      <c r="D220" s="4" t="str">
        <f t="shared" si="1"/>
        <v>{"valorA":"produto","valorB":18}</v>
      </c>
      <c r="E220" s="8" t="str">
        <f t="shared" si="2"/>
        <v>produto</v>
      </c>
      <c r="F220" s="8"/>
      <c r="G220" s="8" t="str">
        <f t="shared" si="3"/>
        <v>18</v>
      </c>
      <c r="H220" s="9">
        <f t="shared" si="4"/>
        <v>18</v>
      </c>
      <c r="I220" s="6" t="str">
        <f>IFERROR(__xludf.DUMMYFUNCTION("MAX(FILTER($H:$H,$E:$E=F220))"),"#N/A")</f>
        <v>#N/A</v>
      </c>
    </row>
    <row r="221">
      <c r="C221" s="4" t="s">
        <v>2931</v>
      </c>
      <c r="D221" s="4" t="str">
        <f t="shared" si="1"/>
        <v>{"valorA":"esse","valorB":6}</v>
      </c>
      <c r="E221" s="8" t="str">
        <f t="shared" si="2"/>
        <v>esse</v>
      </c>
      <c r="F221" s="8"/>
      <c r="G221" s="8" t="str">
        <f t="shared" si="3"/>
        <v>6</v>
      </c>
      <c r="H221" s="9">
        <f t="shared" si="4"/>
        <v>6</v>
      </c>
      <c r="I221" s="6" t="str">
        <f>IFERROR(__xludf.DUMMYFUNCTION("MAX(FILTER($H:$H,$E:$E=F221))"),"#N/A")</f>
        <v>#N/A</v>
      </c>
    </row>
    <row r="222">
      <c r="C222" s="4" t="s">
        <v>2809</v>
      </c>
      <c r="D222" s="4" t="str">
        <f t="shared" si="1"/>
        <v>{"valorA":"ótimo","valorB":26}</v>
      </c>
      <c r="E222" s="8" t="str">
        <f t="shared" si="2"/>
        <v>ótimo</v>
      </c>
      <c r="F222" s="8"/>
      <c r="G222" s="8" t="str">
        <f t="shared" si="3"/>
        <v>26</v>
      </c>
      <c r="H222" s="9">
        <f t="shared" si="4"/>
        <v>26</v>
      </c>
      <c r="I222" s="6" t="str">
        <f>IFERROR(__xludf.DUMMYFUNCTION("MAX(FILTER($H:$H,$E:$E=F222))"),"#N/A")</f>
        <v>#N/A</v>
      </c>
    </row>
    <row r="223">
      <c r="C223" s="4" t="s">
        <v>7076</v>
      </c>
      <c r="D223" s="4" t="str">
        <f t="shared" si="1"/>
        <v>{"valorA":"wireless","valorB":1}</v>
      </c>
      <c r="E223" s="8" t="str">
        <f t="shared" si="2"/>
        <v>wireless</v>
      </c>
      <c r="F223" s="8"/>
      <c r="G223" s="8" t="str">
        <f t="shared" si="3"/>
        <v>1</v>
      </c>
      <c r="H223" s="9">
        <f t="shared" si="4"/>
        <v>1</v>
      </c>
      <c r="I223" s="6" t="str">
        <f>IFERROR(__xludf.DUMMYFUNCTION("MAX(FILTER($H:$H,$E:$E=F223))"),"#N/A")</f>
        <v>#N/A</v>
      </c>
    </row>
    <row r="224">
      <c r="C224" s="4" t="s">
        <v>2787</v>
      </c>
      <c r="D224" s="4" t="str">
        <f t="shared" si="1"/>
        <v>{"valorA":"fone","valorB":1}</v>
      </c>
      <c r="E224" s="8" t="str">
        <f t="shared" si="2"/>
        <v>fone</v>
      </c>
      <c r="F224" s="8"/>
      <c r="G224" s="8" t="str">
        <f t="shared" si="3"/>
        <v>1</v>
      </c>
      <c r="H224" s="9">
        <f t="shared" si="4"/>
        <v>1</v>
      </c>
      <c r="I224" s="6" t="str">
        <f>IFERROR(__xludf.DUMMYFUNCTION("MAX(FILTER($H:$H,$E:$E=F224))"),"#N/A")</f>
        <v>#N/A</v>
      </c>
    </row>
    <row r="225">
      <c r="C225" s="4" t="s">
        <v>2738</v>
      </c>
      <c r="D225" s="4" t="str">
        <f t="shared" si="1"/>
        <v>{"valorA":"de","valorB":4}</v>
      </c>
      <c r="E225" s="8" t="str">
        <f t="shared" si="2"/>
        <v>de</v>
      </c>
      <c r="F225" s="8"/>
      <c r="G225" s="8" t="str">
        <f t="shared" si="3"/>
        <v>4</v>
      </c>
      <c r="H225" s="9">
        <f t="shared" si="4"/>
        <v>4</v>
      </c>
      <c r="I225" s="6" t="str">
        <f>IFERROR(__xludf.DUMMYFUNCTION("MAX(FILTER($H:$H,$E:$E=F225))"),"#N/A")</f>
        <v>#N/A</v>
      </c>
    </row>
    <row r="226">
      <c r="C226" s="4" t="s">
        <v>7077</v>
      </c>
      <c r="D226" s="4" t="str">
        <f t="shared" si="1"/>
        <v>{"valorA":"ouvido","valorB":1}</v>
      </c>
      <c r="E226" s="8" t="str">
        <f t="shared" si="2"/>
        <v>ouvido</v>
      </c>
      <c r="F226" s="8"/>
      <c r="G226" s="8" t="str">
        <f t="shared" si="3"/>
        <v>1</v>
      </c>
      <c r="H226" s="9">
        <f t="shared" si="4"/>
        <v>1</v>
      </c>
      <c r="I226" s="6" t="str">
        <f>IFERROR(__xludf.DUMMYFUNCTION("MAX(FILTER($H:$H,$E:$E=F226))"),"#N/A")</f>
        <v>#N/A</v>
      </c>
    </row>
    <row r="227">
      <c r="C227" s="4" t="s">
        <v>2988</v>
      </c>
      <c r="D227" s="4" t="str">
        <f t="shared" si="1"/>
        <v>{"valorA":"esse","valorB":7}</v>
      </c>
      <c r="E227" s="8" t="str">
        <f t="shared" si="2"/>
        <v>esse</v>
      </c>
      <c r="F227" s="8"/>
      <c r="G227" s="8" t="str">
        <f t="shared" si="3"/>
        <v>7</v>
      </c>
      <c r="H227" s="9">
        <f t="shared" si="4"/>
        <v>7</v>
      </c>
      <c r="I227" s="6" t="str">
        <f>IFERROR(__xludf.DUMMYFUNCTION("MAX(FILTER($H:$H,$E:$E=F227))"),"#N/A")</f>
        <v>#N/A</v>
      </c>
    </row>
    <row r="228">
      <c r="C228" s="4" t="s">
        <v>2867</v>
      </c>
      <c r="D228" s="4" t="str">
        <f t="shared" si="1"/>
        <v>{"valorA":"produto","valorB":19}</v>
      </c>
      <c r="E228" s="8" t="str">
        <f t="shared" si="2"/>
        <v>produto</v>
      </c>
      <c r="F228" s="8"/>
      <c r="G228" s="8" t="str">
        <f t="shared" si="3"/>
        <v>19</v>
      </c>
      <c r="H228" s="9">
        <f t="shared" si="4"/>
        <v>19</v>
      </c>
      <c r="I228" s="6" t="str">
        <f>IFERROR(__xludf.DUMMYFUNCTION("MAX(FILTER($H:$H,$E:$E=F228))"),"#N/A")</f>
        <v>#N/A</v>
      </c>
    </row>
    <row r="229">
      <c r="C229" s="4" t="s">
        <v>2818</v>
      </c>
      <c r="D229" s="4" t="str">
        <f t="shared" si="1"/>
        <v>{"valorA":"ótimo","valorB":27}</v>
      </c>
      <c r="E229" s="8" t="str">
        <f t="shared" si="2"/>
        <v>ótimo</v>
      </c>
      <c r="F229" s="8"/>
      <c r="G229" s="8" t="str">
        <f t="shared" si="3"/>
        <v>27</v>
      </c>
      <c r="H229" s="9">
        <f t="shared" si="4"/>
        <v>27</v>
      </c>
      <c r="I229" s="6" t="str">
        <f>IFERROR(__xludf.DUMMYFUNCTION("MAX(FILTER($H:$H,$E:$E=F229))"),"#N/A")</f>
        <v>#N/A</v>
      </c>
    </row>
    <row r="230">
      <c r="C230" s="4" t="s">
        <v>2643</v>
      </c>
      <c r="D230" s="4" t="str">
        <f t="shared" si="1"/>
        <v>{"valorA":"brinquedo","valorB":1}</v>
      </c>
      <c r="E230" s="8" t="str">
        <f t="shared" si="2"/>
        <v>brinquedo</v>
      </c>
      <c r="F230" s="8"/>
      <c r="G230" s="8" t="str">
        <f t="shared" si="3"/>
        <v>1</v>
      </c>
      <c r="H230" s="9">
        <f t="shared" si="4"/>
        <v>1</v>
      </c>
      <c r="I230" s="6" t="str">
        <f>IFERROR(__xludf.DUMMYFUNCTION("MAX(FILTER($H:$H,$E:$E=F230))"),"#N/A")</f>
        <v>#N/A</v>
      </c>
    </row>
    <row r="231">
      <c r="C231" s="4" t="s">
        <v>3124</v>
      </c>
      <c r="D231" s="4" t="str">
        <f t="shared" si="1"/>
        <v>{"valorA":"bem","valorB":8}</v>
      </c>
      <c r="E231" s="8" t="str">
        <f t="shared" si="2"/>
        <v>bem</v>
      </c>
      <c r="F231" s="8"/>
      <c r="G231" s="8" t="str">
        <f t="shared" si="3"/>
        <v>8</v>
      </c>
      <c r="H231" s="9">
        <f t="shared" si="4"/>
        <v>8</v>
      </c>
      <c r="I231" s="6" t="str">
        <f>IFERROR(__xludf.DUMMYFUNCTION("MAX(FILTER($H:$H,$E:$E=F231))"),"#N/A")</f>
        <v>#N/A</v>
      </c>
    </row>
    <row r="232">
      <c r="C232" s="4" t="s">
        <v>7078</v>
      </c>
      <c r="D232" s="4" t="str">
        <f t="shared" si="1"/>
        <v>{"valorA":"detalhes","valorB":1}</v>
      </c>
      <c r="E232" s="8" t="str">
        <f t="shared" si="2"/>
        <v>detalhes</v>
      </c>
      <c r="F232" s="8"/>
      <c r="G232" s="8" t="str">
        <f t="shared" si="3"/>
        <v>1</v>
      </c>
      <c r="H232" s="9">
        <f t="shared" si="4"/>
        <v>1</v>
      </c>
      <c r="I232" s="6" t="str">
        <f>IFERROR(__xludf.DUMMYFUNCTION("MAX(FILTER($H:$H,$E:$E=F232))"),"#N/A")</f>
        <v>#N/A</v>
      </c>
    </row>
    <row r="233">
      <c r="C233" s="4" t="s">
        <v>3377</v>
      </c>
      <c r="D233" s="4" t="str">
        <f t="shared" si="1"/>
        <v>{"valorA":"muitos","valorB":1}</v>
      </c>
      <c r="E233" s="8" t="str">
        <f t="shared" si="2"/>
        <v>muitos</v>
      </c>
      <c r="F233" s="8"/>
      <c r="G233" s="8" t="str">
        <f t="shared" si="3"/>
        <v>1</v>
      </c>
      <c r="H233" s="9">
        <f t="shared" si="4"/>
        <v>1</v>
      </c>
      <c r="I233" s="6" t="str">
        <f>IFERROR(__xludf.DUMMYFUNCTION("MAX(FILTER($H:$H,$E:$E=F233))"),"#N/A")</f>
        <v>#N/A</v>
      </c>
    </row>
    <row r="234">
      <c r="C234" s="4" t="s">
        <v>7079</v>
      </c>
      <c r="D234" s="4" t="str">
        <f t="shared" si="1"/>
        <v>{"valorA":"thought","valorB":1}</v>
      </c>
      <c r="E234" s="8" t="str">
        <f t="shared" si="2"/>
        <v>thought</v>
      </c>
      <c r="F234" s="8"/>
      <c r="G234" s="8" t="str">
        <f t="shared" si="3"/>
        <v>1</v>
      </c>
      <c r="H234" s="9">
        <f t="shared" si="4"/>
        <v>1</v>
      </c>
      <c r="I234" s="6" t="str">
        <f>IFERROR(__xludf.DUMMYFUNCTION("MAX(FILTER($H:$H,$E:$E=F234))"),"#N/A")</f>
        <v>#N/A</v>
      </c>
    </row>
    <row r="235">
      <c r="C235" s="4" t="s">
        <v>2747</v>
      </c>
      <c r="D235" s="4" t="str">
        <f t="shared" si="1"/>
        <v>{"valorA":"essa","valorB":3}</v>
      </c>
      <c r="E235" s="8" t="str">
        <f t="shared" si="2"/>
        <v>essa</v>
      </c>
      <c r="F235" s="8"/>
      <c r="G235" s="8" t="str">
        <f t="shared" si="3"/>
        <v>3</v>
      </c>
      <c r="H235" s="9">
        <f t="shared" si="4"/>
        <v>3</v>
      </c>
      <c r="I235" s="6" t="str">
        <f>IFERROR(__xludf.DUMMYFUNCTION("MAX(FILTER($H:$H,$E:$E=F235))"),"#N/A")</f>
        <v>#N/A</v>
      </c>
    </row>
    <row r="236">
      <c r="C236" s="4" t="s">
        <v>7080</v>
      </c>
      <c r="D236" s="4" t="str">
        <f t="shared" si="1"/>
        <v>{"valorA":"cutículas","valorB":1}</v>
      </c>
      <c r="E236" s="8" t="str">
        <f t="shared" si="2"/>
        <v>cutículas</v>
      </c>
      <c r="F236" s="8"/>
      <c r="G236" s="8" t="str">
        <f t="shared" si="3"/>
        <v>1</v>
      </c>
      <c r="H236" s="9">
        <f t="shared" si="4"/>
        <v>1</v>
      </c>
      <c r="I236" s="6" t="str">
        <f>IFERROR(__xludf.DUMMYFUNCTION("MAX(FILTER($H:$H,$E:$E=F236))"),"#N/A")</f>
        <v>#N/A</v>
      </c>
    </row>
    <row r="237">
      <c r="C237" s="4" t="s">
        <v>2872</v>
      </c>
      <c r="D237" s="4" t="str">
        <f t="shared" si="1"/>
        <v>{"valorA":"produto","valorB":20}</v>
      </c>
      <c r="E237" s="8" t="str">
        <f t="shared" si="2"/>
        <v>produto</v>
      </c>
      <c r="F237" s="8"/>
      <c r="G237" s="8" t="str">
        <f t="shared" si="3"/>
        <v>20</v>
      </c>
      <c r="H237" s="9">
        <f t="shared" si="4"/>
        <v>20</v>
      </c>
      <c r="I237" s="6" t="str">
        <f>IFERROR(__xludf.DUMMYFUNCTION("MAX(FILTER($H:$H,$E:$E=F237))"),"#N/A")</f>
        <v>#N/A</v>
      </c>
    </row>
    <row r="238">
      <c r="C238" s="4" t="s">
        <v>2803</v>
      </c>
      <c r="D238" s="4" t="str">
        <f t="shared" si="1"/>
        <v>{"valorA":"minhas","valorB":1}</v>
      </c>
      <c r="E238" s="8" t="str">
        <f t="shared" si="2"/>
        <v>minhas</v>
      </c>
      <c r="F238" s="8"/>
      <c r="G238" s="8" t="str">
        <f t="shared" si="3"/>
        <v>1</v>
      </c>
      <c r="H238" s="9">
        <f t="shared" si="4"/>
        <v>1</v>
      </c>
      <c r="I238" s="6" t="str">
        <f>IFERROR(__xludf.DUMMYFUNCTION("MAX(FILTER($H:$H,$E:$E=F238))"),"#N/A")</f>
        <v>#N/A</v>
      </c>
    </row>
    <row r="239">
      <c r="C239" s="4" t="s">
        <v>7081</v>
      </c>
      <c r="D239" s="4" t="str">
        <f t="shared" si="1"/>
        <v>{"valorA":"creme","valorB":3}</v>
      </c>
      <c r="E239" s="8" t="str">
        <f t="shared" si="2"/>
        <v>creme</v>
      </c>
      <c r="F239" s="8"/>
      <c r="G239" s="8" t="str">
        <f t="shared" si="3"/>
        <v>3</v>
      </c>
      <c r="H239" s="9">
        <f t="shared" si="4"/>
        <v>3</v>
      </c>
      <c r="I239" s="6" t="str">
        <f>IFERROR(__xludf.DUMMYFUNCTION("MAX(FILTER($H:$H,$E:$E=F239))"),"#N/A")</f>
        <v>#N/A</v>
      </c>
    </row>
    <row r="240">
      <c r="C240" s="4" t="s">
        <v>2828</v>
      </c>
      <c r="D240" s="4" t="str">
        <f t="shared" si="1"/>
        <v>{"valorA":"ótimo","valorB":28}</v>
      </c>
      <c r="E240" s="8" t="str">
        <f t="shared" si="2"/>
        <v>ótimo</v>
      </c>
      <c r="F240" s="8"/>
      <c r="G240" s="8" t="str">
        <f t="shared" si="3"/>
        <v>28</v>
      </c>
      <c r="H240" s="9">
        <f t="shared" si="4"/>
        <v>28</v>
      </c>
      <c r="I240" s="6" t="str">
        <f>IFERROR(__xludf.DUMMYFUNCTION("MAX(FILTER($H:$H,$E:$E=F240))"),"#N/A")</f>
        <v>#N/A</v>
      </c>
    </row>
    <row r="241">
      <c r="C241" s="4" t="s">
        <v>2827</v>
      </c>
      <c r="D241" s="4" t="str">
        <f t="shared" si="1"/>
        <v>{"valorA":"para","valorB":6}</v>
      </c>
      <c r="E241" s="8" t="str">
        <f t="shared" si="2"/>
        <v>para</v>
      </c>
      <c r="F241" s="8"/>
      <c r="G241" s="8" t="str">
        <f t="shared" si="3"/>
        <v>6</v>
      </c>
      <c r="H241" s="9">
        <f t="shared" si="4"/>
        <v>6</v>
      </c>
      <c r="I241" s="6" t="str">
        <f>IFERROR(__xludf.DUMMYFUNCTION("MAX(FILTER($H:$H,$E:$E=F241))"),"#N/A")</f>
        <v>#N/A</v>
      </c>
    </row>
    <row r="242">
      <c r="C242" s="4" t="s">
        <v>3410</v>
      </c>
      <c r="D242" s="4" t="str">
        <f t="shared" si="1"/>
        <v>{"valorA":"agora","valorB":2}</v>
      </c>
      <c r="E242" s="8" t="str">
        <f t="shared" si="2"/>
        <v>agora</v>
      </c>
      <c r="F242" s="8"/>
      <c r="G242" s="8" t="str">
        <f t="shared" si="3"/>
        <v>2</v>
      </c>
      <c r="H242" s="9">
        <f t="shared" si="4"/>
        <v>2</v>
      </c>
      <c r="I242" s="6" t="str">
        <f>IFERROR(__xludf.DUMMYFUNCTION("MAX(FILTER($H:$H,$E:$E=F242))"),"#N/A")</f>
        <v>#N/A</v>
      </c>
    </row>
    <row r="243">
      <c r="C243" s="4" t="s">
        <v>7082</v>
      </c>
      <c r="D243" s="4" t="str">
        <f t="shared" si="1"/>
        <v>{"valorA":"unhas","valorB":1}</v>
      </c>
      <c r="E243" s="8" t="str">
        <f t="shared" si="2"/>
        <v>unhas</v>
      </c>
      <c r="F243" s="8"/>
      <c r="G243" s="8" t="str">
        <f t="shared" si="3"/>
        <v>1</v>
      </c>
      <c r="H243" s="9">
        <f t="shared" si="4"/>
        <v>1</v>
      </c>
      <c r="I243" s="6" t="str">
        <f>IFERROR(__xludf.DUMMYFUNCTION("MAX(FILTER($H:$H,$E:$E=F243))"),"#N/A")</f>
        <v>#N/A</v>
      </c>
    </row>
    <row r="244">
      <c r="C244" s="4" t="s">
        <v>7083</v>
      </c>
      <c r="D244" s="4" t="str">
        <f t="shared" si="1"/>
        <v>{"valorA":"saudáveis","valorB":1}</v>
      </c>
      <c r="E244" s="8" t="str">
        <f t="shared" si="2"/>
        <v>saudáveis</v>
      </c>
      <c r="F244" s="8"/>
      <c r="G244" s="8" t="str">
        <f t="shared" si="3"/>
        <v>1</v>
      </c>
      <c r="H244" s="9">
        <f t="shared" si="4"/>
        <v>1</v>
      </c>
      <c r="I244" s="6" t="str">
        <f>IFERROR(__xludf.DUMMYFUNCTION("MAX(FILTER($H:$H,$E:$E=F244))"),"#N/A")</f>
        <v>#N/A</v>
      </c>
    </row>
    <row r="245">
      <c r="C245" s="4" t="s">
        <v>2750</v>
      </c>
      <c r="D245" s="4" t="str">
        <f t="shared" si="1"/>
        <v>{"valorA":"e","valorB":6}</v>
      </c>
      <c r="E245" s="8" t="str">
        <f t="shared" si="2"/>
        <v>e</v>
      </c>
      <c r="F245" s="8"/>
      <c r="G245" s="8" t="str">
        <f t="shared" si="3"/>
        <v>6</v>
      </c>
      <c r="H245" s="9">
        <f t="shared" si="4"/>
        <v>6</v>
      </c>
      <c r="I245" s="6" t="str">
        <f>IFERROR(__xludf.DUMMYFUNCTION("MAX(FILTER($H:$H,$E:$E=F245))"),"#N/A")</f>
        <v>#N/A</v>
      </c>
    </row>
    <row r="246">
      <c r="C246" s="4" t="s">
        <v>7084</v>
      </c>
      <c r="D246" s="4" t="str">
        <f t="shared" si="1"/>
        <v>{"valorA":"mais","valorB":4}</v>
      </c>
      <c r="E246" s="8" t="str">
        <f t="shared" si="2"/>
        <v>mais</v>
      </c>
      <c r="F246" s="8"/>
      <c r="G246" s="8" t="str">
        <f t="shared" si="3"/>
        <v>4</v>
      </c>
      <c r="H246" s="9">
        <f t="shared" si="4"/>
        <v>4</v>
      </c>
      <c r="I246" s="6" t="str">
        <f>IFERROR(__xludf.DUMMYFUNCTION("MAX(FILTER($H:$H,$E:$E=F246))"),"#N/A")</f>
        <v>#N/A</v>
      </c>
    </row>
    <row r="247">
      <c r="C247" s="4" t="s">
        <v>3711</v>
      </c>
      <c r="D247" s="4" t="str">
        <f t="shared" si="1"/>
        <v>{"valorA":"estão","valorB":1}</v>
      </c>
      <c r="E247" s="8" t="str">
        <f t="shared" si="2"/>
        <v>estão</v>
      </c>
      <c r="F247" s="8"/>
      <c r="G247" s="8" t="str">
        <f t="shared" si="3"/>
        <v>1</v>
      </c>
      <c r="H247" s="9">
        <f t="shared" si="4"/>
        <v>1</v>
      </c>
      <c r="I247" s="6" t="str">
        <f>IFERROR(__xludf.DUMMYFUNCTION("MAX(FILTER($H:$H,$E:$E=F247))"),"#N/A")</f>
        <v>#N/A</v>
      </c>
    </row>
    <row r="248">
      <c r="C248" s="4" t="s">
        <v>7085</v>
      </c>
      <c r="D248" s="4" t="str">
        <f t="shared" si="1"/>
        <v>{"valorA":"fortes","valorB":1}</v>
      </c>
      <c r="E248" s="8" t="str">
        <f t="shared" si="2"/>
        <v>fortes</v>
      </c>
      <c r="F248" s="8"/>
      <c r="G248" s="8" t="str">
        <f t="shared" si="3"/>
        <v>1</v>
      </c>
      <c r="H248" s="9">
        <f t="shared" si="4"/>
        <v>1</v>
      </c>
      <c r="I248" s="6" t="str">
        <f>IFERROR(__xludf.DUMMYFUNCTION("MAX(FILTER($H:$H,$E:$E=F248))"),"#N/A")</f>
        <v>#N/A</v>
      </c>
    </row>
    <row r="249">
      <c r="C249" s="4" t="s">
        <v>2890</v>
      </c>
      <c r="D249" s="4" t="str">
        <f t="shared" si="1"/>
        <v>{"valorA":"produto","valorB":21}</v>
      </c>
      <c r="E249" s="8" t="str">
        <f t="shared" si="2"/>
        <v>produto</v>
      </c>
      <c r="F249" s="8"/>
      <c r="G249" s="8" t="str">
        <f t="shared" si="3"/>
        <v>21</v>
      </c>
      <c r="H249" s="9">
        <f t="shared" si="4"/>
        <v>21</v>
      </c>
      <c r="I249" s="6" t="str">
        <f>IFERROR(__xludf.DUMMYFUNCTION("MAX(FILTER($H:$H,$E:$E=F249))"),"#N/A")</f>
        <v>#N/A</v>
      </c>
    </row>
    <row r="250">
      <c r="C250" s="4" t="s">
        <v>3058</v>
      </c>
      <c r="D250" s="4" t="str">
        <f t="shared" si="1"/>
        <v>{"valorA":"recomendo","valorB":3}</v>
      </c>
      <c r="E250" s="8" t="str">
        <f t="shared" si="2"/>
        <v>recomendo</v>
      </c>
      <c r="F250" s="8"/>
      <c r="G250" s="8" t="str">
        <f t="shared" si="3"/>
        <v>3</v>
      </c>
      <c r="H250" s="9">
        <f t="shared" si="4"/>
        <v>3</v>
      </c>
      <c r="I250" s="6" t="str">
        <f>IFERROR(__xludf.DUMMYFUNCTION("MAX(FILTER($H:$H,$E:$E=F250))"),"#N/A")</f>
        <v>#N/A</v>
      </c>
    </row>
    <row r="251">
      <c r="C251" s="4" t="s">
        <v>2831</v>
      </c>
      <c r="D251" s="4" t="str">
        <f t="shared" si="1"/>
        <v>{"valorA":"ótimo","valorB":29}</v>
      </c>
      <c r="E251" s="8" t="str">
        <f t="shared" si="2"/>
        <v>ótimo</v>
      </c>
      <c r="F251" s="8"/>
      <c r="G251" s="8" t="str">
        <f t="shared" si="3"/>
        <v>29</v>
      </c>
      <c r="H251" s="9">
        <f t="shared" si="4"/>
        <v>29</v>
      </c>
      <c r="I251" s="6" t="str">
        <f>IFERROR(__xludf.DUMMYFUNCTION("MAX(FILTER($H:$H,$E:$E=F251))"),"#N/A")</f>
        <v>#N/A</v>
      </c>
    </row>
    <row r="252">
      <c r="C252" s="4" t="s">
        <v>7086</v>
      </c>
      <c r="D252" s="4" t="str">
        <f t="shared" si="1"/>
        <v>{"valorA":"realmente","valorB":5}</v>
      </c>
      <c r="E252" s="8" t="str">
        <f t="shared" si="2"/>
        <v>realmente</v>
      </c>
      <c r="F252" s="8"/>
      <c r="G252" s="8" t="str">
        <f t="shared" si="3"/>
        <v>5</v>
      </c>
      <c r="H252" s="9">
        <f t="shared" si="4"/>
        <v>5</v>
      </c>
      <c r="I252" s="6" t="str">
        <f>IFERROR(__xludf.DUMMYFUNCTION("MAX(FILTER($H:$H,$E:$E=F252))"),"#N/A")</f>
        <v>#N/A</v>
      </c>
    </row>
    <row r="253">
      <c r="C253" s="4" t="s">
        <v>2850</v>
      </c>
      <c r="D253" s="4" t="str">
        <f t="shared" si="1"/>
        <v>{"valorA":"a","valorB":4}</v>
      </c>
      <c r="E253" s="8" t="str">
        <f t="shared" si="2"/>
        <v>a</v>
      </c>
      <c r="F253" s="8"/>
      <c r="G253" s="8" t="str">
        <f t="shared" si="3"/>
        <v>4</v>
      </c>
      <c r="H253" s="9">
        <f t="shared" si="4"/>
        <v>4</v>
      </c>
      <c r="I253" s="6" t="str">
        <f>IFERROR(__xludf.DUMMYFUNCTION("MAX(FILTER($H:$H,$E:$E=F253))"),"#N/A")</f>
        <v>#N/A</v>
      </c>
    </row>
    <row r="254">
      <c r="C254" s="4" t="s">
        <v>2841</v>
      </c>
      <c r="D254" s="4" t="str">
        <f t="shared" si="1"/>
        <v>{"valorA":"ótimo","valorB":30}</v>
      </c>
      <c r="E254" s="8" t="str">
        <f t="shared" si="2"/>
        <v>ótimo</v>
      </c>
      <c r="F254" s="8"/>
      <c r="G254" s="8" t="str">
        <f t="shared" si="3"/>
        <v>30</v>
      </c>
      <c r="H254" s="9">
        <f t="shared" si="4"/>
        <v>30</v>
      </c>
      <c r="I254" s="6" t="str">
        <f>IFERROR(__xludf.DUMMYFUNCTION("MAX(FILTER($H:$H,$E:$E=F254))"),"#N/A")</f>
        <v>#N/A</v>
      </c>
    </row>
    <row r="255">
      <c r="C255" s="4" t="s">
        <v>7087</v>
      </c>
      <c r="D255" s="4" t="str">
        <f t="shared" si="1"/>
        <v>{"valorA":"apena","valorB":1}</v>
      </c>
      <c r="E255" s="8" t="str">
        <f t="shared" si="2"/>
        <v>apena</v>
      </c>
      <c r="F255" s="8"/>
      <c r="G255" s="8" t="str">
        <f t="shared" si="3"/>
        <v>1</v>
      </c>
      <c r="H255" s="9">
        <f t="shared" si="4"/>
        <v>1</v>
      </c>
      <c r="I255" s="6" t="str">
        <f>IFERROR(__xludf.DUMMYFUNCTION("MAX(FILTER($H:$H,$E:$E=F255))"),"#N/A")</f>
        <v>#N/A</v>
      </c>
    </row>
    <row r="256">
      <c r="C256" s="4" t="s">
        <v>2892</v>
      </c>
      <c r="D256" s="4" t="str">
        <f t="shared" si="1"/>
        <v>{"valorA":"produto","valorB":22}</v>
      </c>
      <c r="E256" s="8" t="str">
        <f t="shared" si="2"/>
        <v>produto</v>
      </c>
      <c r="F256" s="8"/>
      <c r="G256" s="8" t="str">
        <f t="shared" si="3"/>
        <v>22</v>
      </c>
      <c r="H256" s="9">
        <f t="shared" si="4"/>
        <v>22</v>
      </c>
      <c r="I256" s="6" t="str">
        <f>IFERROR(__xludf.DUMMYFUNCTION("MAX(FILTER($H:$H,$E:$E=F256))"),"#N/A")</f>
        <v>#N/A</v>
      </c>
    </row>
    <row r="257">
      <c r="C257" s="4" t="s">
        <v>2906</v>
      </c>
      <c r="D257" s="4" t="str">
        <f t="shared" si="1"/>
        <v>{"valorA":"pena","valorB":3}</v>
      </c>
      <c r="E257" s="8" t="str">
        <f t="shared" si="2"/>
        <v>pena</v>
      </c>
      <c r="F257" s="8"/>
      <c r="G257" s="8" t="str">
        <f t="shared" si="3"/>
        <v>3</v>
      </c>
      <c r="H257" s="9">
        <f t="shared" si="4"/>
        <v>3</v>
      </c>
      <c r="I257" s="6" t="str">
        <f>IFERROR(__xludf.DUMMYFUNCTION("MAX(FILTER($H:$H,$E:$E=F257))"),"#N/A")</f>
        <v>#N/A</v>
      </c>
    </row>
    <row r="258">
      <c r="C258" s="4" t="s">
        <v>2889</v>
      </c>
      <c r="D258" s="4" t="str">
        <f t="shared" si="1"/>
        <v>{"valorA":"vale","valorB":2}</v>
      </c>
      <c r="E258" s="8" t="str">
        <f t="shared" si="2"/>
        <v>vale</v>
      </c>
      <c r="F258" s="8"/>
      <c r="G258" s="8" t="str">
        <f t="shared" si="3"/>
        <v>2</v>
      </c>
      <c r="H258" s="9">
        <f t="shared" si="4"/>
        <v>2</v>
      </c>
      <c r="I258" s="6" t="str">
        <f>IFERROR(__xludf.DUMMYFUNCTION("MAX(FILTER($H:$H,$E:$E=F258))"),"#N/A")</f>
        <v>#N/A</v>
      </c>
    </row>
    <row r="259">
      <c r="C259" s="4" t="s">
        <v>2845</v>
      </c>
      <c r="D259" s="4" t="str">
        <f t="shared" si="1"/>
        <v>{"valorA":"ótimo","valorB":31}</v>
      </c>
      <c r="E259" s="8" t="str">
        <f t="shared" si="2"/>
        <v>ótimo</v>
      </c>
      <c r="F259" s="8"/>
      <c r="G259" s="8" t="str">
        <f t="shared" si="3"/>
        <v>31</v>
      </c>
      <c r="H259" s="9">
        <f t="shared" si="4"/>
        <v>31</v>
      </c>
      <c r="I259" s="6" t="str">
        <f>IFERROR(__xludf.DUMMYFUNCTION("MAX(FILTER($H:$H,$E:$E=F259))"),"#N/A")</f>
        <v>#N/A</v>
      </c>
    </row>
    <row r="260">
      <c r="C260" s="4" t="s">
        <v>2899</v>
      </c>
      <c r="D260" s="4" t="str">
        <f t="shared" si="1"/>
        <v>{"valorA":"produto","valorB":23}</v>
      </c>
      <c r="E260" s="8" t="str">
        <f t="shared" si="2"/>
        <v>produto</v>
      </c>
      <c r="F260" s="8"/>
      <c r="G260" s="8" t="str">
        <f t="shared" si="3"/>
        <v>23</v>
      </c>
      <c r="H260" s="9">
        <f t="shared" si="4"/>
        <v>23</v>
      </c>
      <c r="I260" s="6" t="str">
        <f>IFERROR(__xludf.DUMMYFUNCTION("MAX(FILTER($H:$H,$E:$E=F260))"),"#N/A")</f>
        <v>#N/A</v>
      </c>
    </row>
    <row r="261">
      <c r="C261" s="4" t="s">
        <v>7088</v>
      </c>
      <c r="D261" s="4" t="str">
        <f t="shared" si="1"/>
        <v>{"valorA":"encantou","valorB":1}</v>
      </c>
      <c r="E261" s="8" t="str">
        <f t="shared" si="2"/>
        <v>encantou</v>
      </c>
      <c r="F261" s="8"/>
      <c r="G261" s="8" t="str">
        <f t="shared" si="3"/>
        <v>1</v>
      </c>
      <c r="H261" s="9">
        <f t="shared" si="4"/>
        <v>1</v>
      </c>
      <c r="I261" s="6" t="str">
        <f>IFERROR(__xludf.DUMMYFUNCTION("MAX(FILTER($H:$H,$E:$E=F261))"),"#N/A")</f>
        <v>#N/A</v>
      </c>
    </row>
    <row r="262">
      <c r="C262" s="4" t="s">
        <v>3155</v>
      </c>
      <c r="D262" s="4" t="str">
        <f t="shared" si="1"/>
        <v>{"valorA":"me","valorB":2}</v>
      </c>
      <c r="E262" s="8" t="str">
        <f t="shared" si="2"/>
        <v>me</v>
      </c>
      <c r="F262" s="8"/>
      <c r="G262" s="8" t="str">
        <f t="shared" si="3"/>
        <v>2</v>
      </c>
      <c r="H262" s="9">
        <f t="shared" si="4"/>
        <v>2</v>
      </c>
      <c r="I262" s="6" t="str">
        <f>IFERROR(__xludf.DUMMYFUNCTION("MAX(FILTER($H:$H,$E:$E=F262))"),"#N/A")</f>
        <v>#N/A</v>
      </c>
    </row>
    <row r="263">
      <c r="C263" s="4" t="s">
        <v>2915</v>
      </c>
      <c r="D263" s="4" t="str">
        <f t="shared" si="1"/>
        <v>{"valorA":"muito","valorB":9}</v>
      </c>
      <c r="E263" s="8" t="str">
        <f t="shared" si="2"/>
        <v>muito</v>
      </c>
      <c r="F263" s="8"/>
      <c r="G263" s="8" t="str">
        <f t="shared" si="3"/>
        <v>9</v>
      </c>
      <c r="H263" s="9">
        <f t="shared" si="4"/>
        <v>9</v>
      </c>
      <c r="I263" s="6" t="str">
        <f>IFERROR(__xludf.DUMMYFUNCTION("MAX(FILTER($H:$H,$E:$E=F263))"),"#N/A")</f>
        <v>#N/A</v>
      </c>
    </row>
    <row r="264">
      <c r="C264" s="4" t="s">
        <v>3602</v>
      </c>
      <c r="D264" s="4" t="str">
        <f t="shared" si="1"/>
        <v>{"valorA":"design","valorB":2}</v>
      </c>
      <c r="E264" s="8" t="str">
        <f t="shared" si="2"/>
        <v>design</v>
      </c>
      <c r="F264" s="8"/>
      <c r="G264" s="8" t="str">
        <f t="shared" si="3"/>
        <v>2</v>
      </c>
      <c r="H264" s="9">
        <f t="shared" si="4"/>
        <v>2</v>
      </c>
      <c r="I264" s="6" t="str">
        <f>IFERROR(__xludf.DUMMYFUNCTION("MAX(FILTER($H:$H,$E:$E=F264))"),"#N/A")</f>
        <v>#N/A</v>
      </c>
    </row>
    <row r="265">
      <c r="C265" s="4" t="s">
        <v>2815</v>
      </c>
      <c r="D265" s="4" t="str">
        <f t="shared" si="1"/>
        <v>{"valorA":"relojoeira","valorB":2}</v>
      </c>
      <c r="E265" s="8" t="str">
        <f t="shared" si="2"/>
        <v>relojoeira</v>
      </c>
      <c r="F265" s="8"/>
      <c r="G265" s="8" t="str">
        <f t="shared" si="3"/>
        <v>2</v>
      </c>
      <c r="H265" s="9">
        <f t="shared" si="4"/>
        <v>2</v>
      </c>
      <c r="I265" s="6" t="str">
        <f>IFERROR(__xludf.DUMMYFUNCTION("MAX(FILTER($H:$H,$E:$E=F265))"),"#N/A")</f>
        <v>#N/A</v>
      </c>
    </row>
    <row r="266">
      <c r="C266" s="4" t="s">
        <v>2855</v>
      </c>
      <c r="D266" s="4" t="str">
        <f t="shared" si="1"/>
        <v>{"valorA":"ótimo","valorB":32}</v>
      </c>
      <c r="E266" s="8" t="str">
        <f t="shared" si="2"/>
        <v>ótimo</v>
      </c>
      <c r="F266" s="8"/>
      <c r="G266" s="8" t="str">
        <f t="shared" si="3"/>
        <v>32</v>
      </c>
      <c r="H266" s="9">
        <f t="shared" si="4"/>
        <v>32</v>
      </c>
      <c r="I266" s="6" t="str">
        <f>IFERROR(__xludf.DUMMYFUNCTION("MAX(FILTER($H:$H,$E:$E=F266))"),"#N/A")</f>
        <v>#N/A</v>
      </c>
    </row>
    <row r="267">
      <c r="C267" s="4" t="s">
        <v>2920</v>
      </c>
      <c r="D267" s="4" t="str">
        <f t="shared" si="1"/>
        <v>{"valorA":"qualidade","valorB":2}</v>
      </c>
      <c r="E267" s="8" t="str">
        <f t="shared" si="2"/>
        <v>qualidade</v>
      </c>
      <c r="F267" s="8"/>
      <c r="G267" s="8" t="str">
        <f t="shared" si="3"/>
        <v>2</v>
      </c>
      <c r="H267" s="9">
        <f t="shared" si="4"/>
        <v>2</v>
      </c>
      <c r="I267" s="6" t="str">
        <f>IFERROR(__xludf.DUMMYFUNCTION("MAX(FILTER($H:$H,$E:$E=F267))"),"#N/A")</f>
        <v>#N/A</v>
      </c>
    </row>
    <row r="268">
      <c r="C268" s="4" t="s">
        <v>3742</v>
      </c>
      <c r="D268" s="4" t="str">
        <f t="shared" si="1"/>
        <v>{"valorA":"do","valorB":6}</v>
      </c>
      <c r="E268" s="8" t="str">
        <f t="shared" si="2"/>
        <v>do</v>
      </c>
      <c r="F268" s="8"/>
      <c r="G268" s="8" t="str">
        <f t="shared" si="3"/>
        <v>6</v>
      </c>
      <c r="H268" s="9">
        <f t="shared" si="4"/>
        <v>6</v>
      </c>
      <c r="I268" s="6" t="str">
        <f>IFERROR(__xludf.DUMMYFUNCTION("MAX(FILTER($H:$H,$E:$E=F268))"),"#N/A")</f>
        <v>#N/A</v>
      </c>
    </row>
    <row r="269">
      <c r="C269" s="4" t="s">
        <v>2770</v>
      </c>
      <c r="D269" s="4" t="str">
        <f t="shared" si="1"/>
        <v>{"valorA":"e","valorB":7}</v>
      </c>
      <c r="E269" s="8" t="str">
        <f t="shared" si="2"/>
        <v>e</v>
      </c>
      <c r="F269" s="8"/>
      <c r="G269" s="8" t="str">
        <f t="shared" si="3"/>
        <v>7</v>
      </c>
      <c r="H269" s="9">
        <f t="shared" si="4"/>
        <v>7</v>
      </c>
      <c r="I269" s="6" t="str">
        <f>IFERROR(__xludf.DUMMYFUNCTION("MAX(FILTER($H:$H,$E:$E=F269))"),"#N/A")</f>
        <v>#N/A</v>
      </c>
    </row>
    <row r="270">
      <c r="C270" s="4" t="s">
        <v>2918</v>
      </c>
      <c r="D270" s="4" t="str">
        <f t="shared" si="1"/>
        <v>{"valorA":"gostei","valorB":5}</v>
      </c>
      <c r="E270" s="8" t="str">
        <f t="shared" si="2"/>
        <v>gostei</v>
      </c>
      <c r="F270" s="8"/>
      <c r="G270" s="8" t="str">
        <f t="shared" si="3"/>
        <v>5</v>
      </c>
      <c r="H270" s="9">
        <f t="shared" si="4"/>
        <v>5</v>
      </c>
      <c r="I270" s="6" t="str">
        <f>IFERROR(__xludf.DUMMYFUNCTION("MAX(FILTER($H:$H,$E:$E=F270))"),"#N/A")</f>
        <v>#N/A</v>
      </c>
    </row>
    <row r="271">
      <c r="C271" s="4" t="s">
        <v>2947</v>
      </c>
      <c r="D271" s="4" t="str">
        <f t="shared" si="1"/>
        <v>{"valorA":"da","valorB":2}</v>
      </c>
      <c r="E271" s="8" t="str">
        <f t="shared" si="2"/>
        <v>da</v>
      </c>
      <c r="F271" s="8"/>
      <c r="G271" s="8" t="str">
        <f t="shared" si="3"/>
        <v>2</v>
      </c>
      <c r="H271" s="9">
        <f t="shared" si="4"/>
        <v>2</v>
      </c>
      <c r="I271" s="6" t="str">
        <f>IFERROR(__xludf.DUMMYFUNCTION("MAX(FILTER($H:$H,$E:$E=F271))"),"#N/A")</f>
        <v>#N/A</v>
      </c>
    </row>
    <row r="272">
      <c r="C272" s="4" t="s">
        <v>2907</v>
      </c>
      <c r="D272" s="4" t="str">
        <f t="shared" si="1"/>
        <v>{"valorA":"produto","valorB":24}</v>
      </c>
      <c r="E272" s="8" t="str">
        <f t="shared" si="2"/>
        <v>produto</v>
      </c>
      <c r="F272" s="8"/>
      <c r="G272" s="8" t="str">
        <f t="shared" si="3"/>
        <v>24</v>
      </c>
      <c r="H272" s="9">
        <f t="shared" si="4"/>
        <v>24</v>
      </c>
      <c r="I272" s="6" t="str">
        <f>IFERROR(__xludf.DUMMYFUNCTION("MAX(FILTER($H:$H,$E:$E=F272))"),"#N/A")</f>
        <v>#N/A</v>
      </c>
    </row>
    <row r="273">
      <c r="C273" s="4" t="s">
        <v>2934</v>
      </c>
      <c r="D273" s="4" t="str">
        <f t="shared" si="1"/>
        <v>{"valorA":"muito","valorB":10}</v>
      </c>
      <c r="E273" s="8" t="str">
        <f t="shared" si="2"/>
        <v>muito</v>
      </c>
      <c r="F273" s="8"/>
      <c r="G273" s="8" t="str">
        <f t="shared" si="3"/>
        <v>10</v>
      </c>
      <c r="H273" s="9">
        <f t="shared" si="4"/>
        <v>10</v>
      </c>
      <c r="I273" s="6" t="str">
        <f>IFERROR(__xludf.DUMMYFUNCTION("MAX(FILTER($H:$H,$E:$E=F273))"),"#N/A")</f>
        <v>#N/A</v>
      </c>
    </row>
    <row r="274">
      <c r="C274" s="4" t="s">
        <v>2859</v>
      </c>
      <c r="D274" s="4" t="str">
        <f t="shared" si="1"/>
        <v>{"valorA":"ótimo","valorB":33}</v>
      </c>
      <c r="E274" s="8" t="str">
        <f t="shared" si="2"/>
        <v>ótimo</v>
      </c>
      <c r="F274" s="8"/>
      <c r="G274" s="8" t="str">
        <f t="shared" si="3"/>
        <v>33</v>
      </c>
      <c r="H274" s="9">
        <f t="shared" si="4"/>
        <v>33</v>
      </c>
      <c r="I274" s="6" t="str">
        <f>IFERROR(__xludf.DUMMYFUNCTION("MAX(FILTER($H:$H,$E:$E=F274))"),"#N/A")</f>
        <v>#N/A</v>
      </c>
    </row>
    <row r="275">
      <c r="C275" s="4" t="s">
        <v>7089</v>
      </c>
      <c r="D275" s="4" t="str">
        <f t="shared" si="1"/>
        <v>{"valorA":"recomendado","valorB":1}</v>
      </c>
      <c r="E275" s="8" t="str">
        <f t="shared" si="2"/>
        <v>recomendado</v>
      </c>
      <c r="F275" s="8"/>
      <c r="G275" s="8" t="str">
        <f t="shared" si="3"/>
        <v>1</v>
      </c>
      <c r="H275" s="9">
        <f t="shared" si="4"/>
        <v>1</v>
      </c>
      <c r="I275" s="6" t="str">
        <f>IFERROR(__xludf.DUMMYFUNCTION("MAX(FILTER($H:$H,$E:$E=F275))"),"#N/A")</f>
        <v>#N/A</v>
      </c>
    </row>
    <row r="276">
      <c r="C276" s="4" t="s">
        <v>7090</v>
      </c>
      <c r="D276" s="4" t="str">
        <f t="shared" si="1"/>
        <v>{"valorA":"chaleco","valorB":1}</v>
      </c>
      <c r="E276" s="8" t="str">
        <f t="shared" si="2"/>
        <v>chaleco</v>
      </c>
      <c r="F276" s="8"/>
      <c r="G276" s="8" t="str">
        <f t="shared" si="3"/>
        <v>1</v>
      </c>
      <c r="H276" s="9">
        <f t="shared" si="4"/>
        <v>1</v>
      </c>
      <c r="I276" s="6" t="str">
        <f>IFERROR(__xludf.DUMMYFUNCTION("MAX(FILTER($H:$H,$E:$E=F276))"),"#N/A")</f>
        <v>#N/A</v>
      </c>
    </row>
    <row r="277">
      <c r="C277" s="4" t="s">
        <v>7091</v>
      </c>
      <c r="D277" s="4" t="str">
        <f t="shared" si="1"/>
        <v>{"valorA":"solar","valorB":2}</v>
      </c>
      <c r="E277" s="8" t="str">
        <f t="shared" si="2"/>
        <v>solar</v>
      </c>
      <c r="F277" s="8"/>
      <c r="G277" s="8" t="str">
        <f t="shared" si="3"/>
        <v>2</v>
      </c>
      <c r="H277" s="9">
        <f t="shared" si="4"/>
        <v>2</v>
      </c>
      <c r="I277" s="6" t="str">
        <f>IFERROR(__xludf.DUMMYFUNCTION("MAX(FILTER($H:$H,$E:$E=F277))"),"#N/A")</f>
        <v>#N/A</v>
      </c>
    </row>
    <row r="278">
      <c r="C278" s="4" t="s">
        <v>2916</v>
      </c>
      <c r="D278" s="4" t="str">
        <f t="shared" si="1"/>
        <v>{"valorA":"produto","valorB":25}</v>
      </c>
      <c r="E278" s="8" t="str">
        <f t="shared" si="2"/>
        <v>produto</v>
      </c>
      <c r="F278" s="8"/>
      <c r="G278" s="8" t="str">
        <f t="shared" si="3"/>
        <v>25</v>
      </c>
      <c r="H278" s="9">
        <f t="shared" si="4"/>
        <v>25</v>
      </c>
      <c r="I278" s="6" t="str">
        <f>IFERROR(__xludf.DUMMYFUNCTION("MAX(FILTER($H:$H,$E:$E=F278))"),"#N/A")</f>
        <v>#N/A</v>
      </c>
    </row>
    <row r="279">
      <c r="C279" s="4" t="s">
        <v>2866</v>
      </c>
      <c r="D279" s="4" t="str">
        <f t="shared" si="1"/>
        <v>{"valorA":"ótimo","valorB":34}</v>
      </c>
      <c r="E279" s="8" t="str">
        <f t="shared" si="2"/>
        <v>ótimo</v>
      </c>
      <c r="F279" s="8"/>
      <c r="G279" s="8" t="str">
        <f t="shared" si="3"/>
        <v>34</v>
      </c>
      <c r="H279" s="9">
        <f t="shared" si="4"/>
        <v>34</v>
      </c>
      <c r="I279" s="6" t="str">
        <f>IFERROR(__xludf.DUMMYFUNCTION("MAX(FILTER($H:$H,$E:$E=F279))"),"#N/A")</f>
        <v>#N/A</v>
      </c>
    </row>
    <row r="280">
      <c r="C280" s="4" t="s">
        <v>3653</v>
      </c>
      <c r="D280" s="4" t="str">
        <f t="shared" si="1"/>
        <v>{"valorA":"esse","valorB":8}</v>
      </c>
      <c r="E280" s="8" t="str">
        <f t="shared" si="2"/>
        <v>esse</v>
      </c>
      <c r="F280" s="8"/>
      <c r="G280" s="8" t="str">
        <f t="shared" si="3"/>
        <v>8</v>
      </c>
      <c r="H280" s="9">
        <f t="shared" si="4"/>
        <v>8</v>
      </c>
      <c r="I280" s="6" t="str">
        <f>IFERROR(__xludf.DUMMYFUNCTION("MAX(FILTER($H:$H,$E:$E=F280))"),"#N/A")</f>
        <v>#N/A</v>
      </c>
    </row>
    <row r="281">
      <c r="C281" s="4" t="s">
        <v>2932</v>
      </c>
      <c r="D281" s="4" t="str">
        <f t="shared" si="1"/>
        <v>{"valorA":"gostei","valorB":6}</v>
      </c>
      <c r="E281" s="8" t="str">
        <f t="shared" si="2"/>
        <v>gostei</v>
      </c>
      <c r="F281" s="8"/>
      <c r="G281" s="8" t="str">
        <f t="shared" si="3"/>
        <v>6</v>
      </c>
      <c r="H281" s="9">
        <f t="shared" si="4"/>
        <v>6</v>
      </c>
      <c r="I281" s="6" t="str">
        <f>IFERROR(__xludf.DUMMYFUNCTION("MAX(FILTER($H:$H,$E:$E=F281))"),"#N/A")</f>
        <v>#N/A</v>
      </c>
    </row>
    <row r="282">
      <c r="C282" s="4" t="s">
        <v>2940</v>
      </c>
      <c r="D282" s="4" t="str">
        <f t="shared" si="1"/>
        <v>{"valorA":"muito","valorB":11}</v>
      </c>
      <c r="E282" s="8" t="str">
        <f t="shared" si="2"/>
        <v>muito</v>
      </c>
      <c r="F282" s="8"/>
      <c r="G282" s="8" t="str">
        <f t="shared" si="3"/>
        <v>11</v>
      </c>
      <c r="H282" s="9">
        <f t="shared" si="4"/>
        <v>11</v>
      </c>
      <c r="I282" s="6" t="str">
        <f>IFERROR(__xludf.DUMMYFUNCTION("MAX(FILTER($H:$H,$E:$E=F282))"),"#N/A")</f>
        <v>#N/A</v>
      </c>
    </row>
    <row r="283">
      <c r="C283" s="4" t="s">
        <v>7092</v>
      </c>
      <c r="D283" s="4" t="str">
        <f t="shared" si="1"/>
        <v>{"valorA":"da","valorB":3}</v>
      </c>
      <c r="E283" s="8" t="str">
        <f t="shared" si="2"/>
        <v>da</v>
      </c>
      <c r="F283" s="8"/>
      <c r="G283" s="8" t="str">
        <f t="shared" si="3"/>
        <v>3</v>
      </c>
      <c r="H283" s="9">
        <f t="shared" si="4"/>
        <v>3</v>
      </c>
      <c r="I283" s="6" t="str">
        <f>IFERROR(__xludf.DUMMYFUNCTION("MAX(FILTER($H:$H,$E:$E=F283))"),"#N/A")</f>
        <v>#N/A</v>
      </c>
    </row>
    <row r="284">
      <c r="C284" s="4" t="s">
        <v>3127</v>
      </c>
      <c r="D284" s="4" t="str">
        <f t="shared" si="1"/>
        <v>{"valorA":"qualidade","valorB":3}</v>
      </c>
      <c r="E284" s="8" t="str">
        <f t="shared" si="2"/>
        <v>qualidade</v>
      </c>
      <c r="F284" s="8"/>
      <c r="G284" s="8" t="str">
        <f t="shared" si="3"/>
        <v>3</v>
      </c>
      <c r="H284" s="9">
        <f t="shared" si="4"/>
        <v>3</v>
      </c>
      <c r="I284" s="6" t="str">
        <f>IFERROR(__xludf.DUMMYFUNCTION("MAX(FILTER($H:$H,$E:$E=F284))"),"#N/A")</f>
        <v>#N/A</v>
      </c>
    </row>
    <row r="285">
      <c r="C285" s="4" t="s">
        <v>2953</v>
      </c>
      <c r="D285" s="4" t="str">
        <f t="shared" si="1"/>
        <v>{"valorA":"muito","valorB":12}</v>
      </c>
      <c r="E285" s="8" t="str">
        <f t="shared" si="2"/>
        <v>muito</v>
      </c>
      <c r="F285" s="8"/>
      <c r="G285" s="8" t="str">
        <f t="shared" si="3"/>
        <v>12</v>
      </c>
      <c r="H285" s="9">
        <f t="shared" si="4"/>
        <v>12</v>
      </c>
      <c r="I285" s="6" t="str">
        <f>IFERROR(__xludf.DUMMYFUNCTION("MAX(FILTER($H:$H,$E:$E=F285))"),"#N/A")</f>
        <v>#N/A</v>
      </c>
    </row>
    <row r="286">
      <c r="C286" s="4" t="s">
        <v>2871</v>
      </c>
      <c r="D286" s="4" t="str">
        <f t="shared" si="1"/>
        <v>{"valorA":"ótimo","valorB":35}</v>
      </c>
      <c r="E286" s="8" t="str">
        <f t="shared" si="2"/>
        <v>ótimo</v>
      </c>
      <c r="F286" s="8"/>
      <c r="G286" s="8" t="str">
        <f t="shared" si="3"/>
        <v>35</v>
      </c>
      <c r="H286" s="9">
        <f t="shared" si="4"/>
        <v>35</v>
      </c>
      <c r="I286" s="6" t="str">
        <f>IFERROR(__xludf.DUMMYFUNCTION("MAX(FILTER($H:$H,$E:$E=F286))"),"#N/A")</f>
        <v>#N/A</v>
      </c>
    </row>
    <row r="287">
      <c r="C287" s="4" t="s">
        <v>2924</v>
      </c>
      <c r="D287" s="4" t="str">
        <f t="shared" si="1"/>
        <v>{"valorA":"produto","valorB":26}</v>
      </c>
      <c r="E287" s="8" t="str">
        <f t="shared" si="2"/>
        <v>produto</v>
      </c>
      <c r="F287" s="8"/>
      <c r="G287" s="8" t="str">
        <f t="shared" si="3"/>
        <v>26</v>
      </c>
      <c r="H287" s="9">
        <f t="shared" si="4"/>
        <v>26</v>
      </c>
      <c r="I287" s="6" t="str">
        <f>IFERROR(__xludf.DUMMYFUNCTION("MAX(FILTER($H:$H,$E:$E=F287))"),"#N/A")</f>
        <v>#N/A</v>
      </c>
    </row>
    <row r="288">
      <c r="C288" s="4" t="s">
        <v>2840</v>
      </c>
      <c r="D288" s="4" t="str">
        <f t="shared" si="1"/>
        <v>{"valorA":"para","valorB":7}</v>
      </c>
      <c r="E288" s="8" t="str">
        <f t="shared" si="2"/>
        <v>para</v>
      </c>
      <c r="F288" s="8"/>
      <c r="G288" s="8" t="str">
        <f t="shared" si="3"/>
        <v>7</v>
      </c>
      <c r="H288" s="9">
        <f t="shared" si="4"/>
        <v>7</v>
      </c>
      <c r="I288" s="6" t="str">
        <f>IFERROR(__xludf.DUMMYFUNCTION("MAX(FILTER($H:$H,$E:$E=F288))"),"#N/A")</f>
        <v>#N/A</v>
      </c>
    </row>
    <row r="289">
      <c r="C289" s="4" t="s">
        <v>3106</v>
      </c>
      <c r="D289" s="4" t="str">
        <f t="shared" si="1"/>
        <v>{"valorA":"mas","valorB":2}</v>
      </c>
      <c r="E289" s="8" t="str">
        <f t="shared" si="2"/>
        <v>mas</v>
      </c>
      <c r="F289" s="8"/>
      <c r="G289" s="8" t="str">
        <f t="shared" si="3"/>
        <v>2</v>
      </c>
      <c r="H289" s="9">
        <f t="shared" si="4"/>
        <v>2</v>
      </c>
      <c r="I289" s="6" t="str">
        <f>IFERROR(__xludf.DUMMYFUNCTION("MAX(FILTER($H:$H,$E:$E=F289))"),"#N/A")</f>
        <v>#N/A</v>
      </c>
    </row>
    <row r="290">
      <c r="C290" s="4" t="s">
        <v>3225</v>
      </c>
      <c r="D290" s="4" t="str">
        <f t="shared" si="1"/>
        <v>{"valorA":"caro","valorB":2}</v>
      </c>
      <c r="E290" s="8" t="str">
        <f t="shared" si="2"/>
        <v>caro</v>
      </c>
      <c r="F290" s="8"/>
      <c r="G290" s="8" t="str">
        <f t="shared" si="3"/>
        <v>2</v>
      </c>
      <c r="H290" s="9">
        <f t="shared" si="4"/>
        <v>2</v>
      </c>
      <c r="I290" s="6" t="str">
        <f>IFERROR(__xludf.DUMMYFUNCTION("MAX(FILTER($H:$H,$E:$E=F290))"),"#N/A")</f>
        <v>#N/A</v>
      </c>
    </row>
    <row r="291">
      <c r="C291" s="4" t="s">
        <v>2830</v>
      </c>
      <c r="D291" s="4" t="str">
        <f t="shared" si="1"/>
        <v>{"valorA":"mim","valorB":2}</v>
      </c>
      <c r="E291" s="8" t="str">
        <f t="shared" si="2"/>
        <v>mim</v>
      </c>
      <c r="F291" s="8"/>
      <c r="G291" s="8" t="str">
        <f t="shared" si="3"/>
        <v>2</v>
      </c>
      <c r="H291" s="9">
        <f t="shared" si="4"/>
        <v>2</v>
      </c>
      <c r="I291" s="6" t="str">
        <f>IFERROR(__xludf.DUMMYFUNCTION("MAX(FILTER($H:$H,$E:$E=F291))"),"#N/A")</f>
        <v>#N/A</v>
      </c>
    </row>
    <row r="292">
      <c r="C292" s="4" t="s">
        <v>2989</v>
      </c>
      <c r="D292" s="4" t="str">
        <f t="shared" si="1"/>
        <v>{"valorA":"muito","valorB":13}</v>
      </c>
      <c r="E292" s="8" t="str">
        <f t="shared" si="2"/>
        <v>muito</v>
      </c>
      <c r="F292" s="8"/>
      <c r="G292" s="8" t="str">
        <f t="shared" si="3"/>
        <v>13</v>
      </c>
      <c r="H292" s="9">
        <f t="shared" si="4"/>
        <v>13</v>
      </c>
      <c r="I292" s="6" t="str">
        <f>IFERROR(__xludf.DUMMYFUNCTION("MAX(FILTER($H:$H,$E:$E=F292))"),"#N/A")</f>
        <v>#N/A</v>
      </c>
    </row>
    <row r="293">
      <c r="C293" s="4" t="s">
        <v>2884</v>
      </c>
      <c r="D293" s="4" t="str">
        <f t="shared" si="1"/>
        <v>{"valorA":"ótimo","valorB":36}</v>
      </c>
      <c r="E293" s="8" t="str">
        <f t="shared" si="2"/>
        <v>ótimo</v>
      </c>
      <c r="F293" s="8"/>
      <c r="G293" s="8" t="str">
        <f t="shared" si="3"/>
        <v>36</v>
      </c>
      <c r="H293" s="9">
        <f t="shared" si="4"/>
        <v>36</v>
      </c>
      <c r="I293" s="6" t="str">
        <f>IFERROR(__xludf.DUMMYFUNCTION("MAX(FILTER($H:$H,$E:$E=F293))"),"#N/A")</f>
        <v>#N/A</v>
      </c>
    </row>
    <row r="294">
      <c r="C294" s="4" t="s">
        <v>2933</v>
      </c>
      <c r="D294" s="4" t="str">
        <f t="shared" si="1"/>
        <v>{"valorA":"produto","valorB":27}</v>
      </c>
      <c r="E294" s="8" t="str">
        <f t="shared" si="2"/>
        <v>produto</v>
      </c>
      <c r="F294" s="8"/>
      <c r="G294" s="8" t="str">
        <f t="shared" si="3"/>
        <v>27</v>
      </c>
      <c r="H294" s="9">
        <f t="shared" si="4"/>
        <v>27</v>
      </c>
      <c r="I294" s="6" t="str">
        <f>IFERROR(__xludf.DUMMYFUNCTION("MAX(FILTER($H:$H,$E:$E=F294))"),"#N/A")</f>
        <v>#N/A</v>
      </c>
    </row>
    <row r="295">
      <c r="C295" s="4" t="s">
        <v>3741</v>
      </c>
      <c r="D295" s="4" t="str">
        <f t="shared" si="1"/>
        <v>{"valorA":"gostei","valorB":7}</v>
      </c>
      <c r="E295" s="8" t="str">
        <f t="shared" si="2"/>
        <v>gostei</v>
      </c>
      <c r="F295" s="8"/>
      <c r="G295" s="8" t="str">
        <f t="shared" si="3"/>
        <v>7</v>
      </c>
      <c r="H295" s="9">
        <f t="shared" si="4"/>
        <v>7</v>
      </c>
      <c r="I295" s="6" t="str">
        <f>IFERROR(__xludf.DUMMYFUNCTION("MAX(FILTER($H:$H,$E:$E=F295))"),"#N/A")</f>
        <v>#N/A</v>
      </c>
    </row>
    <row r="296">
      <c r="C296" s="4" t="s">
        <v>3060</v>
      </c>
      <c r="D296" s="4" t="str">
        <f t="shared" si="1"/>
        <v>{"valorA":"recomendo","valorB":4}</v>
      </c>
      <c r="E296" s="8" t="str">
        <f t="shared" si="2"/>
        <v>recomendo</v>
      </c>
      <c r="F296" s="8"/>
      <c r="G296" s="8" t="str">
        <f t="shared" si="3"/>
        <v>4</v>
      </c>
      <c r="H296" s="9">
        <f t="shared" si="4"/>
        <v>4</v>
      </c>
      <c r="I296" s="6" t="str">
        <f>IFERROR(__xludf.DUMMYFUNCTION("MAX(FILTER($H:$H,$E:$E=F296))"),"#N/A")</f>
        <v>#N/A</v>
      </c>
    </row>
    <row r="297">
      <c r="C297" s="4" t="s">
        <v>2938</v>
      </c>
      <c r="D297" s="4" t="str">
        <f t="shared" si="1"/>
        <v>{"valorA":"produto","valorB":28}</v>
      </c>
      <c r="E297" s="8" t="str">
        <f t="shared" si="2"/>
        <v>produto</v>
      </c>
      <c r="F297" s="8"/>
      <c r="G297" s="8" t="str">
        <f t="shared" si="3"/>
        <v>28</v>
      </c>
      <c r="H297" s="9">
        <f t="shared" si="4"/>
        <v>28</v>
      </c>
      <c r="I297" s="6" t="str">
        <f>IFERROR(__xludf.DUMMYFUNCTION("MAX(FILTER($H:$H,$E:$E=F297))"),"#N/A")</f>
        <v>#N/A</v>
      </c>
    </row>
    <row r="298">
      <c r="C298" s="4" t="s">
        <v>2893</v>
      </c>
      <c r="D298" s="4" t="str">
        <f t="shared" si="1"/>
        <v>{"valorA":"ótimo","valorB":37}</v>
      </c>
      <c r="E298" s="8" t="str">
        <f t="shared" si="2"/>
        <v>ótimo</v>
      </c>
      <c r="F298" s="8"/>
      <c r="G298" s="8" t="str">
        <f t="shared" si="3"/>
        <v>37</v>
      </c>
      <c r="H298" s="9">
        <f t="shared" si="4"/>
        <v>37</v>
      </c>
      <c r="I298" s="6" t="str">
        <f>IFERROR(__xludf.DUMMYFUNCTION("MAX(FILTER($H:$H,$E:$E=F298))"),"#N/A")</f>
        <v>#N/A</v>
      </c>
    </row>
    <row r="299">
      <c r="C299" s="4" t="s">
        <v>3064</v>
      </c>
      <c r="D299" s="4" t="str">
        <f t="shared" si="1"/>
        <v>{"valorA":"recomendo","valorB":5}</v>
      </c>
      <c r="E299" s="8" t="str">
        <f t="shared" si="2"/>
        <v>recomendo</v>
      </c>
      <c r="F299" s="8"/>
      <c r="G299" s="8" t="str">
        <f t="shared" si="3"/>
        <v>5</v>
      </c>
      <c r="H299" s="9">
        <f t="shared" si="4"/>
        <v>5</v>
      </c>
      <c r="I299" s="6" t="str">
        <f>IFERROR(__xludf.DUMMYFUNCTION("MAX(FILTER($H:$H,$E:$E=F299))"),"#N/A")</f>
        <v>#N/A</v>
      </c>
    </row>
    <row r="300">
      <c r="C300" s="4" t="s">
        <v>2901</v>
      </c>
      <c r="D300" s="4" t="str">
        <f t="shared" si="1"/>
        <v>{"valorA":"ótimo","valorB":38}</v>
      </c>
      <c r="E300" s="8" t="str">
        <f t="shared" si="2"/>
        <v>ótimo</v>
      </c>
      <c r="F300" s="8"/>
      <c r="G300" s="8" t="str">
        <f t="shared" si="3"/>
        <v>38</v>
      </c>
      <c r="H300" s="9">
        <f t="shared" si="4"/>
        <v>38</v>
      </c>
      <c r="I300" s="6" t="str">
        <f>IFERROR(__xludf.DUMMYFUNCTION("MAX(FILTER($H:$H,$E:$E=F300))"),"#N/A")</f>
        <v>#N/A</v>
      </c>
    </row>
    <row r="301">
      <c r="C301" s="4" t="s">
        <v>7093</v>
      </c>
      <c r="D301" s="4" t="str">
        <f t="shared" si="1"/>
        <v>{"valorA":"solar","valorB":3}</v>
      </c>
      <c r="E301" s="8" t="str">
        <f t="shared" si="2"/>
        <v>solar</v>
      </c>
      <c r="F301" s="8"/>
      <c r="G301" s="8" t="str">
        <f t="shared" si="3"/>
        <v>3</v>
      </c>
      <c r="H301" s="9">
        <f t="shared" si="4"/>
        <v>3</v>
      </c>
      <c r="I301" s="6" t="str">
        <f>IFERROR(__xludf.DUMMYFUNCTION("MAX(FILTER($H:$H,$E:$E=F301))"),"#N/A")</f>
        <v>#N/A</v>
      </c>
    </row>
    <row r="302">
      <c r="C302" s="4" t="s">
        <v>2182</v>
      </c>
      <c r="D302" s="4" t="str">
        <f t="shared" si="1"/>
        <v>{"valorA":"relógio","valorB":2}</v>
      </c>
      <c r="E302" s="8" t="str">
        <f t="shared" si="2"/>
        <v>relógio</v>
      </c>
      <c r="F302" s="8"/>
      <c r="G302" s="8" t="str">
        <f t="shared" si="3"/>
        <v>2</v>
      </c>
      <c r="H302" s="9">
        <f t="shared" si="4"/>
        <v>2</v>
      </c>
      <c r="I302" s="6" t="str">
        <f>IFERROR(__xludf.DUMMYFUNCTION("MAX(FILTER($H:$H,$E:$E=F302))"),"#N/A")</f>
        <v>#N/A</v>
      </c>
    </row>
    <row r="303">
      <c r="C303" s="4" t="s">
        <v>2757</v>
      </c>
      <c r="D303" s="4" t="str">
        <f t="shared" si="1"/>
        <v>{"valorA":"perfeitamente","valorB":4}</v>
      </c>
      <c r="E303" s="8" t="str">
        <f t="shared" si="2"/>
        <v>perfeitamente</v>
      </c>
      <c r="F303" s="8"/>
      <c r="G303" s="8" t="str">
        <f t="shared" si="3"/>
        <v>4</v>
      </c>
      <c r="H303" s="9">
        <f t="shared" si="4"/>
        <v>4</v>
      </c>
      <c r="I303" s="6" t="str">
        <f>IFERROR(__xludf.DUMMYFUNCTION("MAX(FILTER($H:$H,$E:$E=F303))"),"#N/A")</f>
        <v>#N/A</v>
      </c>
    </row>
    <row r="304">
      <c r="C304" s="4" t="s">
        <v>7094</v>
      </c>
      <c r="D304" s="4" t="str">
        <f t="shared" si="1"/>
        <v>{"valorA":"desse","valorB":4}</v>
      </c>
      <c r="E304" s="8" t="str">
        <f t="shared" si="2"/>
        <v>desse</v>
      </c>
      <c r="F304" s="8"/>
      <c r="G304" s="8" t="str">
        <f t="shared" si="3"/>
        <v>4</v>
      </c>
      <c r="H304" s="9">
        <f t="shared" si="4"/>
        <v>4</v>
      </c>
      <c r="I304" s="6" t="str">
        <f>IFERROR(__xludf.DUMMYFUNCTION("MAX(FILTER($H:$H,$E:$E=F304))"),"#N/A")</f>
        <v>#N/A</v>
      </c>
    </row>
    <row r="305">
      <c r="C305" s="4" t="s">
        <v>2715</v>
      </c>
      <c r="D305" s="4" t="str">
        <f t="shared" si="1"/>
        <v>{"valorA":"funciona","valorB":4}</v>
      </c>
      <c r="E305" s="8" t="str">
        <f t="shared" si="2"/>
        <v>funciona</v>
      </c>
      <c r="F305" s="8"/>
      <c r="G305" s="8" t="str">
        <f t="shared" si="3"/>
        <v>4</v>
      </c>
      <c r="H305" s="9">
        <f t="shared" si="4"/>
        <v>4</v>
      </c>
      <c r="I305" s="6" t="str">
        <f>IFERROR(__xludf.DUMMYFUNCTION("MAX(FILTER($H:$H,$E:$E=F305))"),"#N/A")</f>
        <v>#N/A</v>
      </c>
    </row>
    <row r="306">
      <c r="C306" s="4" t="s">
        <v>2756</v>
      </c>
      <c r="D306" s="4" t="str">
        <f t="shared" si="1"/>
        <v>{"valorA":"funciona","valorB":5}</v>
      </c>
      <c r="E306" s="8" t="str">
        <f t="shared" si="2"/>
        <v>funciona</v>
      </c>
      <c r="F306" s="8"/>
      <c r="G306" s="8" t="str">
        <f t="shared" si="3"/>
        <v>5</v>
      </c>
      <c r="H306" s="9">
        <f t="shared" si="4"/>
        <v>5</v>
      </c>
      <c r="I306" s="6" t="str">
        <f>IFERROR(__xludf.DUMMYFUNCTION("MAX(FILTER($H:$H,$E:$E=F306))"),"#N/A")</f>
        <v>#N/A</v>
      </c>
    </row>
    <row r="307">
      <c r="C307" s="4" t="s">
        <v>2944</v>
      </c>
      <c r="D307" s="4" t="str">
        <f t="shared" si="1"/>
        <v>{"valorA":"produto","valorB":29}</v>
      </c>
      <c r="E307" s="8" t="str">
        <f t="shared" si="2"/>
        <v>produto</v>
      </c>
      <c r="F307" s="8"/>
      <c r="G307" s="8" t="str">
        <f t="shared" si="3"/>
        <v>29</v>
      </c>
      <c r="H307" s="9">
        <f t="shared" si="4"/>
        <v>29</v>
      </c>
      <c r="I307" s="6" t="str">
        <f>IFERROR(__xludf.DUMMYFUNCTION("MAX(FILTER($H:$H,$E:$E=F307))"),"#N/A")</f>
        <v>#N/A</v>
      </c>
    </row>
    <row r="308">
      <c r="C308" s="4" t="s">
        <v>2905</v>
      </c>
      <c r="D308" s="4" t="str">
        <f t="shared" si="1"/>
        <v>{"valorA":"ótimo","valorB":39}</v>
      </c>
      <c r="E308" s="8" t="str">
        <f t="shared" si="2"/>
        <v>ótimo</v>
      </c>
      <c r="F308" s="8"/>
      <c r="G308" s="8" t="str">
        <f t="shared" si="3"/>
        <v>39</v>
      </c>
      <c r="H308" s="9">
        <f t="shared" si="4"/>
        <v>39</v>
      </c>
      <c r="I308" s="6" t="str">
        <f>IFERROR(__xludf.DUMMYFUNCTION("MAX(FILTER($H:$H,$E:$E=F308))"),"#N/A")</f>
        <v>#N/A</v>
      </c>
    </row>
    <row r="309">
      <c r="C309" s="4" t="s">
        <v>7095</v>
      </c>
      <c r="D309" s="4" t="str">
        <f t="shared" si="1"/>
        <v>{"valorA":"realmente","valorB":6}</v>
      </c>
      <c r="E309" s="8" t="str">
        <f t="shared" si="2"/>
        <v>realmente</v>
      </c>
      <c r="F309" s="8"/>
      <c r="G309" s="8" t="str">
        <f t="shared" si="3"/>
        <v>6</v>
      </c>
      <c r="H309" s="9">
        <f t="shared" si="4"/>
        <v>6</v>
      </c>
      <c r="I309" s="6" t="str">
        <f>IFERROR(__xludf.DUMMYFUNCTION("MAX(FILTER($H:$H,$E:$E=F309))"),"#N/A")</f>
        <v>#N/A</v>
      </c>
    </row>
    <row r="310">
      <c r="C310" s="4" t="s">
        <v>3183</v>
      </c>
      <c r="D310" s="4" t="str">
        <f t="shared" si="1"/>
        <v>{"valorA":"bem","valorB":9}</v>
      </c>
      <c r="E310" s="8" t="str">
        <f t="shared" si="2"/>
        <v>bem</v>
      </c>
      <c r="F310" s="8"/>
      <c r="G310" s="8" t="str">
        <f t="shared" si="3"/>
        <v>9</v>
      </c>
      <c r="H310" s="9">
        <f t="shared" si="4"/>
        <v>9</v>
      </c>
      <c r="I310" s="6" t="str">
        <f>IFERROR(__xludf.DUMMYFUNCTION("MAX(FILTER($H:$H,$E:$E=F310))"),"#N/A")</f>
        <v>#N/A</v>
      </c>
    </row>
    <row r="311">
      <c r="C311" s="4" t="s">
        <v>2914</v>
      </c>
      <c r="D311" s="4" t="str">
        <f t="shared" si="1"/>
        <v>{"valorA":"ótimo","valorB":40}</v>
      </c>
      <c r="E311" s="8" t="str">
        <f t="shared" si="2"/>
        <v>ótimo</v>
      </c>
      <c r="F311" s="8"/>
      <c r="G311" s="8" t="str">
        <f t="shared" si="3"/>
        <v>40</v>
      </c>
      <c r="H311" s="9">
        <f t="shared" si="4"/>
        <v>40</v>
      </c>
      <c r="I311" s="6" t="str">
        <f>IFERROR(__xludf.DUMMYFUNCTION("MAX(FILTER($H:$H,$E:$E=F311))"),"#N/A")</f>
        <v>#N/A</v>
      </c>
    </row>
    <row r="312">
      <c r="C312" s="4" t="s">
        <v>2959</v>
      </c>
      <c r="D312" s="4" t="str">
        <f t="shared" si="1"/>
        <v>{"valorA":"produto","valorB":30}</v>
      </c>
      <c r="E312" s="8" t="str">
        <f t="shared" si="2"/>
        <v>produto</v>
      </c>
      <c r="F312" s="8"/>
      <c r="G312" s="8" t="str">
        <f t="shared" si="3"/>
        <v>30</v>
      </c>
      <c r="H312" s="9">
        <f t="shared" si="4"/>
        <v>30</v>
      </c>
      <c r="I312" s="6" t="str">
        <f>IFERROR(__xludf.DUMMYFUNCTION("MAX(FILTER($H:$H,$E:$E=F312))"),"#N/A")</f>
        <v>#N/A</v>
      </c>
    </row>
    <row r="313">
      <c r="C313" s="4" t="s">
        <v>3628</v>
      </c>
      <c r="D313" s="4" t="str">
        <f t="shared" si="1"/>
        <v>{"valorA":"incrível","valorB":6}</v>
      </c>
      <c r="E313" s="8" t="str">
        <f t="shared" si="2"/>
        <v>incrível</v>
      </c>
      <c r="F313" s="8"/>
      <c r="G313" s="8" t="str">
        <f t="shared" si="3"/>
        <v>6</v>
      </c>
      <c r="H313" s="9">
        <f t="shared" si="4"/>
        <v>6</v>
      </c>
      <c r="I313" s="6" t="str">
        <f>IFERROR(__xludf.DUMMYFUNCTION("MAX(FILTER($H:$H,$E:$E=F313))"),"#N/A")</f>
        <v>#N/A</v>
      </c>
    </row>
    <row r="314">
      <c r="C314" s="4" t="s">
        <v>7096</v>
      </c>
      <c r="D314" s="4" t="str">
        <f t="shared" si="1"/>
        <v>{"valorA":"realmente","valorB":7}</v>
      </c>
      <c r="E314" s="8" t="str">
        <f t="shared" si="2"/>
        <v>realmente</v>
      </c>
      <c r="F314" s="8"/>
      <c r="G314" s="8" t="str">
        <f t="shared" si="3"/>
        <v>7</v>
      </c>
      <c r="H314" s="9">
        <f t="shared" si="4"/>
        <v>7</v>
      </c>
      <c r="I314" s="6" t="str">
        <f>IFERROR(__xludf.DUMMYFUNCTION("MAX(FILTER($H:$H,$E:$E=F314))"),"#N/A")</f>
        <v>#N/A</v>
      </c>
    </row>
    <row r="315">
      <c r="C315" s="4" t="s">
        <v>2908</v>
      </c>
      <c r="D315" s="4" t="str">
        <f t="shared" si="1"/>
        <v>{"valorA":"é","valorB":8}</v>
      </c>
      <c r="E315" s="8" t="str">
        <f t="shared" si="2"/>
        <v>é</v>
      </c>
      <c r="F315" s="8"/>
      <c r="G315" s="8" t="str">
        <f t="shared" si="3"/>
        <v>8</v>
      </c>
      <c r="H315" s="9">
        <f t="shared" si="4"/>
        <v>8</v>
      </c>
      <c r="I315" s="6" t="str">
        <f>IFERROR(__xludf.DUMMYFUNCTION("MAX(FILTER($H:$H,$E:$E=F315))"),"#N/A")</f>
        <v>#N/A</v>
      </c>
    </row>
    <row r="316">
      <c r="C316" s="4" t="s">
        <v>2974</v>
      </c>
      <c r="D316" s="4" t="str">
        <f t="shared" si="1"/>
        <v>{"valorA":"produto","valorB":31}</v>
      </c>
      <c r="E316" s="8" t="str">
        <f t="shared" si="2"/>
        <v>produto</v>
      </c>
      <c r="F316" s="8"/>
      <c r="G316" s="8" t="str">
        <f t="shared" si="3"/>
        <v>31</v>
      </c>
      <c r="H316" s="9">
        <f t="shared" si="4"/>
        <v>31</v>
      </c>
      <c r="I316" s="6" t="str">
        <f>IFERROR(__xludf.DUMMYFUNCTION("MAX(FILTER($H:$H,$E:$E=F316))"),"#N/A")</f>
        <v>#N/A</v>
      </c>
    </row>
    <row r="317">
      <c r="C317" s="4" t="s">
        <v>2888</v>
      </c>
      <c r="D317" s="4" t="str">
        <f t="shared" si="1"/>
        <v>{"valorA":"a","valorB":5}</v>
      </c>
      <c r="E317" s="8" t="str">
        <f t="shared" si="2"/>
        <v>a</v>
      </c>
      <c r="F317" s="8"/>
      <c r="G317" s="8" t="str">
        <f t="shared" si="3"/>
        <v>5</v>
      </c>
      <c r="H317" s="9">
        <f t="shared" si="4"/>
        <v>5</v>
      </c>
      <c r="I317" s="6" t="str">
        <f>IFERROR(__xludf.DUMMYFUNCTION("MAX(FILTER($H:$H,$E:$E=F317))"),"#N/A")</f>
        <v>#N/A</v>
      </c>
    </row>
    <row r="318">
      <c r="C318" s="4" t="s">
        <v>2925</v>
      </c>
      <c r="D318" s="4" t="str">
        <f t="shared" si="1"/>
        <v>{"valorA":"ótimo","valorB":41}</v>
      </c>
      <c r="E318" s="8" t="str">
        <f t="shared" si="2"/>
        <v>ótimo</v>
      </c>
      <c r="F318" s="8"/>
      <c r="G318" s="8" t="str">
        <f t="shared" si="3"/>
        <v>41</v>
      </c>
      <c r="H318" s="9">
        <f t="shared" si="4"/>
        <v>41</v>
      </c>
      <c r="I318" s="6" t="str">
        <f>IFERROR(__xludf.DUMMYFUNCTION("MAX(FILTER($H:$H,$E:$E=F318))"),"#N/A")</f>
        <v>#N/A</v>
      </c>
    </row>
    <row r="319">
      <c r="C319" s="4" t="s">
        <v>7097</v>
      </c>
      <c r="D319" s="4" t="str">
        <f t="shared" si="1"/>
        <v>{"valorA":"pena","valorB":4}</v>
      </c>
      <c r="E319" s="8" t="str">
        <f t="shared" si="2"/>
        <v>pena</v>
      </c>
      <c r="F319" s="8"/>
      <c r="G319" s="8" t="str">
        <f t="shared" si="3"/>
        <v>4</v>
      </c>
      <c r="H319" s="9">
        <f t="shared" si="4"/>
        <v>4</v>
      </c>
      <c r="I319" s="6" t="str">
        <f>IFERROR(__xludf.DUMMYFUNCTION("MAX(FILTER($H:$H,$E:$E=F319))"),"#N/A")</f>
        <v>#N/A</v>
      </c>
    </row>
    <row r="320">
      <c r="C320" s="4" t="s">
        <v>2910</v>
      </c>
      <c r="D320" s="4" t="str">
        <f t="shared" si="1"/>
        <v>{"valorA":"comprar","valorB":1}</v>
      </c>
      <c r="E320" s="8" t="str">
        <f t="shared" si="2"/>
        <v>comprar</v>
      </c>
      <c r="F320" s="8"/>
      <c r="G320" s="8" t="str">
        <f t="shared" si="3"/>
        <v>1</v>
      </c>
      <c r="H320" s="9">
        <f t="shared" si="4"/>
        <v>1</v>
      </c>
      <c r="I320" s="6" t="str">
        <f>IFERROR(__xludf.DUMMYFUNCTION("MAX(FILTER($H:$H,$E:$E=F320))"),"#N/A")</f>
        <v>#N/A</v>
      </c>
    </row>
    <row r="321">
      <c r="C321" s="4" t="s">
        <v>2912</v>
      </c>
      <c r="D321" s="4" t="str">
        <f t="shared" si="1"/>
        <v>{"valorA":"vale","valorB":3}</v>
      </c>
      <c r="E321" s="8" t="str">
        <f t="shared" si="2"/>
        <v>vale</v>
      </c>
      <c r="F321" s="8"/>
      <c r="G321" s="8" t="str">
        <f t="shared" si="3"/>
        <v>3</v>
      </c>
      <c r="H321" s="9">
        <f t="shared" si="4"/>
        <v>3</v>
      </c>
      <c r="I321" s="6" t="str">
        <f>IFERROR(__xludf.DUMMYFUNCTION("MAX(FILTER($H:$H,$E:$E=F321))"),"#N/A")</f>
        <v>#N/A</v>
      </c>
    </row>
    <row r="322">
      <c r="C322" s="4" t="s">
        <v>3632</v>
      </c>
      <c r="D322" s="4" t="str">
        <f t="shared" si="1"/>
        <v>{"valorA":"incrível","valorB":7}</v>
      </c>
      <c r="E322" s="8" t="str">
        <f t="shared" si="2"/>
        <v>incrível</v>
      </c>
      <c r="F322" s="8"/>
      <c r="G322" s="8" t="str">
        <f t="shared" si="3"/>
        <v>7</v>
      </c>
      <c r="H322" s="9">
        <f t="shared" si="4"/>
        <v>7</v>
      </c>
      <c r="I322" s="6" t="str">
        <f>IFERROR(__xludf.DUMMYFUNCTION("MAX(FILTER($H:$H,$E:$E=F322))"),"#N/A")</f>
        <v>#N/A</v>
      </c>
    </row>
    <row r="323">
      <c r="C323" s="4" t="s">
        <v>3655</v>
      </c>
      <c r="D323" s="4" t="str">
        <f t="shared" si="1"/>
        <v>{"valorA":"esse","valorB":9}</v>
      </c>
      <c r="E323" s="8" t="str">
        <f t="shared" si="2"/>
        <v>esse</v>
      </c>
      <c r="F323" s="8"/>
      <c r="G323" s="8" t="str">
        <f t="shared" si="3"/>
        <v>9</v>
      </c>
      <c r="H323" s="9">
        <f t="shared" si="4"/>
        <v>9</v>
      </c>
      <c r="I323" s="6" t="str">
        <f>IFERROR(__xludf.DUMMYFUNCTION("MAX(FILTER($H:$H,$E:$E=F323))"),"#N/A")</f>
        <v>#N/A</v>
      </c>
    </row>
    <row r="324">
      <c r="C324" s="4" t="s">
        <v>7098</v>
      </c>
      <c r="D324" s="4" t="str">
        <f t="shared" si="1"/>
        <v>{"valorA":"melhor","valorB":3}</v>
      </c>
      <c r="E324" s="8" t="str">
        <f t="shared" si="2"/>
        <v>melhor</v>
      </c>
      <c r="F324" s="8"/>
      <c r="G324" s="8" t="str">
        <f t="shared" si="3"/>
        <v>3</v>
      </c>
      <c r="H324" s="9">
        <f t="shared" si="4"/>
        <v>3</v>
      </c>
      <c r="I324" s="6" t="str">
        <f>IFERROR(__xludf.DUMMYFUNCTION("MAX(FILTER($H:$H,$E:$E=F324))"),"#N/A")</f>
        <v>#N/A</v>
      </c>
    </row>
    <row r="325">
      <c r="C325" s="4" t="s">
        <v>2187</v>
      </c>
      <c r="D325" s="4" t="str">
        <f t="shared" si="1"/>
        <v>{"valorA":"relógio","valorB":3}</v>
      </c>
      <c r="E325" s="8" t="str">
        <f t="shared" si="2"/>
        <v>relógio</v>
      </c>
      <c r="F325" s="8"/>
      <c r="G325" s="8" t="str">
        <f t="shared" si="3"/>
        <v>3</v>
      </c>
      <c r="H325" s="9">
        <f t="shared" si="4"/>
        <v>3</v>
      </c>
      <c r="I325" s="6" t="str">
        <f>IFERROR(__xludf.DUMMYFUNCTION("MAX(FILTER($H:$H,$E:$E=F325))"),"#N/A")</f>
        <v>#N/A</v>
      </c>
    </row>
    <row r="326">
      <c r="C326" s="4" t="s">
        <v>2929</v>
      </c>
      <c r="D326" s="4" t="str">
        <f t="shared" si="1"/>
        <v>{"valorA":"ótimo","valorB":42}</v>
      </c>
      <c r="E326" s="8" t="str">
        <f t="shared" si="2"/>
        <v>ótimo</v>
      </c>
      <c r="F326" s="8"/>
      <c r="G326" s="8" t="str">
        <f t="shared" si="3"/>
        <v>42</v>
      </c>
      <c r="H326" s="9">
        <f t="shared" si="4"/>
        <v>42</v>
      </c>
      <c r="I326" s="6" t="str">
        <f>IFERROR(__xludf.DUMMYFUNCTION("MAX(FILTER($H:$H,$E:$E=F326))"),"#N/A")</f>
        <v>#N/A</v>
      </c>
    </row>
    <row r="327">
      <c r="C327" s="4" t="s">
        <v>7099</v>
      </c>
      <c r="D327" s="4" t="str">
        <f t="shared" si="1"/>
        <v>{"valorA":"antigo","valorB":3}</v>
      </c>
      <c r="E327" s="8" t="str">
        <f t="shared" si="2"/>
        <v>antigo</v>
      </c>
      <c r="F327" s="8"/>
      <c r="G327" s="8" t="str">
        <f t="shared" si="3"/>
        <v>3</v>
      </c>
      <c r="H327" s="9">
        <f t="shared" si="4"/>
        <v>3</v>
      </c>
      <c r="I327" s="6" t="str">
        <f>IFERROR(__xludf.DUMMYFUNCTION("MAX(FILTER($H:$H,$E:$E=F327))"),"#N/A")</f>
        <v>#N/A</v>
      </c>
    </row>
    <row r="328">
      <c r="C328" s="4" t="s">
        <v>3216</v>
      </c>
      <c r="D328" s="4" t="str">
        <f t="shared" si="1"/>
        <v>{"valorA":"bem","valorB":10}</v>
      </c>
      <c r="E328" s="8" t="str">
        <f t="shared" si="2"/>
        <v>bem</v>
      </c>
      <c r="F328" s="8"/>
      <c r="G328" s="8" t="str">
        <f t="shared" si="3"/>
        <v>10</v>
      </c>
      <c r="H328" s="9">
        <f t="shared" si="4"/>
        <v>10</v>
      </c>
      <c r="I328" s="6" t="str">
        <f>IFERROR(__xludf.DUMMYFUNCTION("MAX(FILTER($H:$H,$E:$E=F328))"),"#N/A")</f>
        <v>#N/A</v>
      </c>
    </row>
    <row r="329">
      <c r="C329" s="4" t="s">
        <v>3755</v>
      </c>
      <c r="D329" s="4" t="str">
        <f t="shared" si="1"/>
        <v>{"valorA":"do","valorB":7}</v>
      </c>
      <c r="E329" s="8" t="str">
        <f t="shared" si="2"/>
        <v>do</v>
      </c>
      <c r="F329" s="8"/>
      <c r="G329" s="8" t="str">
        <f t="shared" si="3"/>
        <v>7</v>
      </c>
      <c r="H329" s="9">
        <f t="shared" si="4"/>
        <v>7</v>
      </c>
      <c r="I329" s="6" t="str">
        <f>IFERROR(__xludf.DUMMYFUNCTION("MAX(FILTER($H:$H,$E:$E=F329))"),"#N/A")</f>
        <v>#N/A</v>
      </c>
    </row>
    <row r="330">
      <c r="C330" s="4" t="s">
        <v>2943</v>
      </c>
      <c r="D330" s="4" t="str">
        <f t="shared" si="1"/>
        <v>{"valorA":"é","valorB":9}</v>
      </c>
      <c r="E330" s="8" t="str">
        <f t="shared" si="2"/>
        <v>é</v>
      </c>
      <c r="F330" s="8"/>
      <c r="G330" s="8" t="str">
        <f t="shared" si="3"/>
        <v>9</v>
      </c>
      <c r="H330" s="9">
        <f t="shared" si="4"/>
        <v>9</v>
      </c>
      <c r="I330" s="6" t="str">
        <f>IFERROR(__xludf.DUMMYFUNCTION("MAX(FILTER($H:$H,$E:$E=F330))"),"#N/A")</f>
        <v>#N/A</v>
      </c>
    </row>
    <row r="331">
      <c r="C331" s="4" t="s">
        <v>2942</v>
      </c>
      <c r="D331" s="4" t="str">
        <f t="shared" si="1"/>
        <v>{"valorA":"o","valorB":7}</v>
      </c>
      <c r="E331" s="8" t="str">
        <f t="shared" si="2"/>
        <v>o</v>
      </c>
      <c r="F331" s="8"/>
      <c r="G331" s="8" t="str">
        <f t="shared" si="3"/>
        <v>7</v>
      </c>
      <c r="H331" s="9">
        <f t="shared" si="4"/>
        <v>7</v>
      </c>
      <c r="I331" s="6" t="str">
        <f>IFERROR(__xludf.DUMMYFUNCTION("MAX(FILTER($H:$H,$E:$E=F331))"),"#N/A")</f>
        <v>#N/A</v>
      </c>
    </row>
    <row r="332">
      <c r="C332" s="4" t="s">
        <v>3629</v>
      </c>
      <c r="D332" s="4" t="str">
        <f t="shared" si="1"/>
        <v>{"valorA":"meu","valorB":7}</v>
      </c>
      <c r="E332" s="8" t="str">
        <f t="shared" si="2"/>
        <v>meu</v>
      </c>
      <c r="F332" s="8"/>
      <c r="G332" s="8" t="str">
        <f t="shared" si="3"/>
        <v>7</v>
      </c>
      <c r="H332" s="9">
        <f t="shared" si="4"/>
        <v>7</v>
      </c>
      <c r="I332" s="6" t="str">
        <f>IFERROR(__xludf.DUMMYFUNCTION("MAX(FILTER($H:$H,$E:$E=F332))"),"#N/A")</f>
        <v>#N/A</v>
      </c>
    </row>
    <row r="333">
      <c r="C333" s="4" t="s">
        <v>2773</v>
      </c>
      <c r="D333" s="4" t="str">
        <f t="shared" si="1"/>
        <v>{"valorA":"que","valorB":5}</v>
      </c>
      <c r="E333" s="8" t="str">
        <f t="shared" si="2"/>
        <v>que</v>
      </c>
      <c r="F333" s="8"/>
      <c r="G333" s="8" t="str">
        <f t="shared" si="3"/>
        <v>5</v>
      </c>
      <c r="H333" s="9">
        <f t="shared" si="4"/>
        <v>5</v>
      </c>
      <c r="I333" s="6" t="str">
        <f>IFERROR(__xludf.DUMMYFUNCTION("MAX(FILTER($H:$H,$E:$E=F333))"),"#N/A")</f>
        <v>#N/A</v>
      </c>
    </row>
    <row r="334">
      <c r="C334" s="4" t="s">
        <v>2935</v>
      </c>
      <c r="D334" s="4" t="str">
        <f t="shared" si="1"/>
        <v>{"valorA":"ótimo","valorB":43}</v>
      </c>
      <c r="E334" s="8" t="str">
        <f t="shared" si="2"/>
        <v>ótimo</v>
      </c>
      <c r="F334" s="8"/>
      <c r="G334" s="8" t="str">
        <f t="shared" si="3"/>
        <v>43</v>
      </c>
      <c r="H334" s="9">
        <f t="shared" si="4"/>
        <v>43</v>
      </c>
      <c r="I334" s="6" t="str">
        <f>IFERROR(__xludf.DUMMYFUNCTION("MAX(FILTER($H:$H,$E:$E=F334))"),"#N/A")</f>
        <v>#N/A</v>
      </c>
    </row>
    <row r="335">
      <c r="C335" s="4" t="s">
        <v>2849</v>
      </c>
      <c r="D335" s="4" t="str">
        <f t="shared" si="1"/>
        <v>{"valorA":"relojoeira","valorB":3}</v>
      </c>
      <c r="E335" s="8" t="str">
        <f t="shared" si="2"/>
        <v>relojoeira</v>
      </c>
      <c r="F335" s="8"/>
      <c r="G335" s="8" t="str">
        <f t="shared" si="3"/>
        <v>3</v>
      </c>
      <c r="H335" s="9">
        <f t="shared" si="4"/>
        <v>3</v>
      </c>
      <c r="I335" s="6" t="str">
        <f>IFERROR(__xludf.DUMMYFUNCTION("MAX(FILTER($H:$H,$E:$E=F335))"),"#N/A")</f>
        <v>#N/A</v>
      </c>
    </row>
    <row r="336">
      <c r="C336" s="4" t="s">
        <v>2764</v>
      </c>
      <c r="D336" s="4" t="str">
        <f t="shared" si="1"/>
        <v>{"valorA":"perfeitamente","valorB":5}</v>
      </c>
      <c r="E336" s="8" t="str">
        <f t="shared" si="2"/>
        <v>perfeitamente</v>
      </c>
      <c r="F336" s="8"/>
      <c r="G336" s="8" t="str">
        <f t="shared" si="3"/>
        <v>5</v>
      </c>
      <c r="H336" s="9">
        <f t="shared" si="4"/>
        <v>5</v>
      </c>
      <c r="I336" s="6" t="str">
        <f>IFERROR(__xludf.DUMMYFUNCTION("MAX(FILTER($H:$H,$E:$E=F336))"),"#N/A")</f>
        <v>#N/A</v>
      </c>
    </row>
    <row r="337">
      <c r="C337" s="4" t="s">
        <v>2865</v>
      </c>
      <c r="D337" s="4" t="str">
        <f t="shared" si="1"/>
        <v>{"valorA":"mim","valorB":3}</v>
      </c>
      <c r="E337" s="8" t="str">
        <f t="shared" si="2"/>
        <v>mim</v>
      </c>
      <c r="F337" s="8"/>
      <c r="G337" s="8" t="str">
        <f t="shared" si="3"/>
        <v>3</v>
      </c>
      <c r="H337" s="9">
        <f t="shared" si="4"/>
        <v>3</v>
      </c>
      <c r="I337" s="6" t="str">
        <f>IFERROR(__xludf.DUMMYFUNCTION("MAX(FILTER($H:$H,$E:$E=F337))"),"#N/A")</f>
        <v>#N/A</v>
      </c>
    </row>
    <row r="338">
      <c r="C338" s="4" t="s">
        <v>2854</v>
      </c>
      <c r="D338" s="4" t="str">
        <f t="shared" si="1"/>
        <v>{"valorA":"para","valorB":8}</v>
      </c>
      <c r="E338" s="8" t="str">
        <f t="shared" si="2"/>
        <v>para</v>
      </c>
      <c r="F338" s="8"/>
      <c r="G338" s="8" t="str">
        <f t="shared" si="3"/>
        <v>8</v>
      </c>
      <c r="H338" s="9">
        <f t="shared" si="4"/>
        <v>8</v>
      </c>
      <c r="I338" s="6" t="str">
        <f>IFERROR(__xludf.DUMMYFUNCTION("MAX(FILTER($H:$H,$E:$E=F338))"),"#N/A")</f>
        <v>#N/A</v>
      </c>
    </row>
    <row r="339">
      <c r="C339" s="4" t="s">
        <v>3875</v>
      </c>
      <c r="D339" s="4" t="str">
        <f t="shared" si="1"/>
        <v>{"valorA":"hoje","valorB":1}</v>
      </c>
      <c r="E339" s="8" t="str">
        <f t="shared" si="2"/>
        <v>hoje</v>
      </c>
      <c r="F339" s="8"/>
      <c r="G339" s="8" t="str">
        <f t="shared" si="3"/>
        <v>1</v>
      </c>
      <c r="H339" s="9">
        <f t="shared" si="4"/>
        <v>1</v>
      </c>
      <c r="I339" s="6" t="str">
        <f>IFERROR(__xludf.DUMMYFUNCTION("MAX(FILTER($H:$H,$E:$E=F339))"),"#N/A")</f>
        <v>#N/A</v>
      </c>
    </row>
    <row r="340">
      <c r="C340" s="4" t="s">
        <v>3744</v>
      </c>
      <c r="D340" s="4" t="str">
        <f t="shared" si="1"/>
        <v>{"valorA":"gostei","valorB":8}</v>
      </c>
      <c r="E340" s="8" t="str">
        <f t="shared" si="2"/>
        <v>gostei</v>
      </c>
      <c r="F340" s="8"/>
      <c r="G340" s="8" t="str">
        <f t="shared" si="3"/>
        <v>8</v>
      </c>
      <c r="H340" s="9">
        <f t="shared" si="4"/>
        <v>8</v>
      </c>
      <c r="I340" s="6" t="str">
        <f>IFERROR(__xludf.DUMMYFUNCTION("MAX(FILTER($H:$H,$E:$E=F340))"),"#N/A")</f>
        <v>#N/A</v>
      </c>
    </row>
    <row r="341">
      <c r="C341" s="4" t="s">
        <v>3233</v>
      </c>
      <c r="D341" s="4" t="str">
        <f t="shared" si="1"/>
        <v>{"valorA":"produto","valorB":32}</v>
      </c>
      <c r="E341" s="8" t="str">
        <f t="shared" si="2"/>
        <v>produto</v>
      </c>
      <c r="F341" s="8"/>
      <c r="G341" s="8" t="str">
        <f t="shared" si="3"/>
        <v>32</v>
      </c>
      <c r="H341" s="9">
        <f t="shared" si="4"/>
        <v>32</v>
      </c>
      <c r="I341" s="6" t="str">
        <f>IFERROR(__xludf.DUMMYFUNCTION("MAX(FILTER($H:$H,$E:$E=F341))"),"#N/A")</f>
        <v>#N/A</v>
      </c>
    </row>
    <row r="342">
      <c r="C342" s="4" t="s">
        <v>2945</v>
      </c>
      <c r="D342" s="4" t="str">
        <f t="shared" si="1"/>
        <v>{"valorA":"ótimo","valorB":44}</v>
      </c>
      <c r="E342" s="8" t="str">
        <f t="shared" si="2"/>
        <v>ótimo</v>
      </c>
      <c r="F342" s="8"/>
      <c r="G342" s="8" t="str">
        <f t="shared" si="3"/>
        <v>44</v>
      </c>
      <c r="H342" s="9">
        <f t="shared" si="4"/>
        <v>44</v>
      </c>
      <c r="I342" s="6" t="str">
        <f>IFERROR(__xludf.DUMMYFUNCTION("MAX(FILTER($H:$H,$E:$E=F342))"),"#N/A")</f>
        <v>#N/A</v>
      </c>
    </row>
    <row r="343">
      <c r="C343" s="4" t="s">
        <v>7100</v>
      </c>
      <c r="D343" s="4" t="str">
        <f t="shared" si="1"/>
        <v>{"valorA":"desequeir","valorB":1}</v>
      </c>
      <c r="E343" s="8" t="str">
        <f t="shared" si="2"/>
        <v>desequeir</v>
      </c>
      <c r="F343" s="8"/>
      <c r="G343" s="8" t="str">
        <f t="shared" si="3"/>
        <v>1</v>
      </c>
      <c r="H343" s="9">
        <f t="shared" si="4"/>
        <v>1</v>
      </c>
      <c r="I343" s="6" t="str">
        <f>IFERROR(__xludf.DUMMYFUNCTION("MAX(FILTER($H:$H,$E:$E=F343))"),"#N/A")</f>
        <v>#N/A</v>
      </c>
    </row>
    <row r="344">
      <c r="C344" s="4" t="s">
        <v>3763</v>
      </c>
      <c r="D344" s="4" t="str">
        <f t="shared" si="1"/>
        <v>{"valorA":"do","valorB":8}</v>
      </c>
      <c r="E344" s="8" t="str">
        <f t="shared" si="2"/>
        <v>do</v>
      </c>
      <c r="F344" s="8"/>
      <c r="G344" s="8" t="str">
        <f t="shared" si="3"/>
        <v>8</v>
      </c>
      <c r="H344" s="9">
        <f t="shared" si="4"/>
        <v>8</v>
      </c>
      <c r="I344" s="6" t="str">
        <f>IFERROR(__xludf.DUMMYFUNCTION("MAX(FILTER($H:$H,$E:$E=F344))"),"#N/A")</f>
        <v>#N/A</v>
      </c>
    </row>
    <row r="345">
      <c r="C345" s="4" t="s">
        <v>2961</v>
      </c>
      <c r="D345" s="4" t="str">
        <f t="shared" si="1"/>
        <v>{"valorA":"ótimo","valorB":45}</v>
      </c>
      <c r="E345" s="8" t="str">
        <f t="shared" si="2"/>
        <v>ótimo</v>
      </c>
      <c r="F345" s="8"/>
      <c r="G345" s="8" t="str">
        <f t="shared" si="3"/>
        <v>45</v>
      </c>
      <c r="H345" s="9">
        <f t="shared" si="4"/>
        <v>45</v>
      </c>
      <c r="I345" s="6" t="str">
        <f>IFERROR(__xludf.DUMMYFUNCTION("MAX(FILTER($H:$H,$E:$E=F345))"),"#N/A")</f>
        <v>#N/A</v>
      </c>
    </row>
    <row r="346">
      <c r="C346" s="4" t="s">
        <v>3767</v>
      </c>
      <c r="D346" s="4" t="str">
        <f t="shared" si="1"/>
        <v>{"valorA":"produto","valorB":33}</v>
      </c>
      <c r="E346" s="8" t="str">
        <f t="shared" si="2"/>
        <v>produto</v>
      </c>
      <c r="F346" s="8"/>
      <c r="G346" s="8" t="str">
        <f t="shared" si="3"/>
        <v>33</v>
      </c>
      <c r="H346" s="9">
        <f t="shared" si="4"/>
        <v>33</v>
      </c>
      <c r="I346" s="6" t="str">
        <f>IFERROR(__xludf.DUMMYFUNCTION("MAX(FILTER($H:$H,$E:$E=F346))"),"#N/A")</f>
        <v>#N/A</v>
      </c>
    </row>
    <row r="347">
      <c r="C347" s="4" t="s">
        <v>3166</v>
      </c>
      <c r="D347" s="4" t="str">
        <f t="shared" si="1"/>
        <v>{"valorA":"muito","valorB":14}</v>
      </c>
      <c r="E347" s="8" t="str">
        <f t="shared" si="2"/>
        <v>muito</v>
      </c>
      <c r="F347" s="8"/>
      <c r="G347" s="8" t="str">
        <f t="shared" si="3"/>
        <v>14</v>
      </c>
      <c r="H347" s="9">
        <f t="shared" si="4"/>
        <v>14</v>
      </c>
      <c r="I347" s="6" t="str">
        <f>IFERROR(__xludf.DUMMYFUNCTION("MAX(FILTER($H:$H,$E:$E=F347))"),"#N/A")</f>
        <v>#N/A</v>
      </c>
    </row>
    <row r="348">
      <c r="C348" s="4" t="s">
        <v>2863</v>
      </c>
      <c r="D348" s="4" t="str">
        <f t="shared" si="1"/>
        <v>{"valorA":"para","valorB":9}</v>
      </c>
      <c r="E348" s="8" t="str">
        <f t="shared" si="2"/>
        <v>para</v>
      </c>
      <c r="F348" s="8"/>
      <c r="G348" s="8" t="str">
        <f t="shared" si="3"/>
        <v>9</v>
      </c>
      <c r="H348" s="9">
        <f t="shared" si="4"/>
        <v>9</v>
      </c>
      <c r="I348" s="6" t="str">
        <f>IFERROR(__xludf.DUMMYFUNCTION("MAX(FILTER($H:$H,$E:$E=F348))"),"#N/A")</f>
        <v>#N/A</v>
      </c>
    </row>
    <row r="349">
      <c r="C349" s="4" t="s">
        <v>2970</v>
      </c>
      <c r="D349" s="4" t="str">
        <f t="shared" si="1"/>
        <v>{"valorA":"mim","valorB":4}</v>
      </c>
      <c r="E349" s="8" t="str">
        <f t="shared" si="2"/>
        <v>mim</v>
      </c>
      <c r="F349" s="8"/>
      <c r="G349" s="8" t="str">
        <f t="shared" si="3"/>
        <v>4</v>
      </c>
      <c r="H349" s="9">
        <f t="shared" si="4"/>
        <v>4</v>
      </c>
      <c r="I349" s="6" t="str">
        <f>IFERROR(__xludf.DUMMYFUNCTION("MAX(FILTER($H:$H,$E:$E=F349))"),"#N/A")</f>
        <v>#N/A</v>
      </c>
    </row>
    <row r="350">
      <c r="C350" s="4" t="s">
        <v>2949</v>
      </c>
      <c r="D350" s="4" t="str">
        <f t="shared" si="1"/>
        <v>{"valorA":"é","valorB":10}</v>
      </c>
      <c r="E350" s="8" t="str">
        <f t="shared" si="2"/>
        <v>é</v>
      </c>
      <c r="F350" s="8"/>
      <c r="G350" s="8" t="str">
        <f t="shared" si="3"/>
        <v>10</v>
      </c>
      <c r="H350" s="9">
        <f t="shared" si="4"/>
        <v>10</v>
      </c>
      <c r="I350" s="6" t="str">
        <f>IFERROR(__xludf.DUMMYFUNCTION("MAX(FILTER($H:$H,$E:$E=F350))"),"#N/A")</f>
        <v>#N/A</v>
      </c>
    </row>
    <row r="351">
      <c r="C351" s="4" t="s">
        <v>3430</v>
      </c>
      <c r="D351" s="4" t="str">
        <f t="shared" si="1"/>
        <v>{"valorA":"útil","valorB":2}</v>
      </c>
      <c r="E351" s="8" t="str">
        <f t="shared" si="2"/>
        <v>útil</v>
      </c>
      <c r="F351" s="8"/>
      <c r="G351" s="8" t="str">
        <f t="shared" si="3"/>
        <v>2</v>
      </c>
      <c r="H351" s="9">
        <f t="shared" si="4"/>
        <v>2</v>
      </c>
      <c r="I351" s="6" t="str">
        <f>IFERROR(__xludf.DUMMYFUNCTION("MAX(FILTER($H:$H,$E:$E=F351))"),"#N/A")</f>
        <v>#N/A</v>
      </c>
    </row>
    <row r="352">
      <c r="C352" s="4" t="s">
        <v>2768</v>
      </c>
      <c r="D352" s="4" t="str">
        <f t="shared" si="1"/>
        <v>{"valorA":"confortável","valorB":3}</v>
      </c>
      <c r="E352" s="8" t="str">
        <f t="shared" si="2"/>
        <v>confortável</v>
      </c>
      <c r="F352" s="8"/>
      <c r="G352" s="8" t="str">
        <f t="shared" si="3"/>
        <v>3</v>
      </c>
      <c r="H352" s="9">
        <f t="shared" si="4"/>
        <v>3</v>
      </c>
      <c r="I352" s="6" t="str">
        <f>IFERROR(__xludf.DUMMYFUNCTION("MAX(FILTER($H:$H,$E:$E=F352))"),"#N/A")</f>
        <v>#N/A</v>
      </c>
    </row>
    <row r="353">
      <c r="C353" s="4" t="s">
        <v>2755</v>
      </c>
      <c r="D353" s="4" t="str">
        <f t="shared" si="1"/>
        <v>{"valorA":"essa","valorB":4}</v>
      </c>
      <c r="E353" s="8" t="str">
        <f t="shared" si="2"/>
        <v>essa</v>
      </c>
      <c r="F353" s="8"/>
      <c r="G353" s="8" t="str">
        <f t="shared" si="3"/>
        <v>4</v>
      </c>
      <c r="H353" s="9">
        <f t="shared" si="4"/>
        <v>4</v>
      </c>
      <c r="I353" s="6" t="str">
        <f>IFERROR(__xludf.DUMMYFUNCTION("MAX(FILTER($H:$H,$E:$E=F353))"),"#N/A")</f>
        <v>#N/A</v>
      </c>
    </row>
    <row r="354">
      <c r="C354" s="4" t="s">
        <v>7101</v>
      </c>
      <c r="D354" s="4" t="str">
        <f t="shared" si="1"/>
        <v>{"valorA":"trabalho","valorB":1}</v>
      </c>
      <c r="E354" s="8" t="str">
        <f t="shared" si="2"/>
        <v>trabalho</v>
      </c>
      <c r="F354" s="8"/>
      <c r="G354" s="8" t="str">
        <f t="shared" si="3"/>
        <v>1</v>
      </c>
      <c r="H354" s="9">
        <f t="shared" si="4"/>
        <v>1</v>
      </c>
      <c r="I354" s="6" t="str">
        <f>IFERROR(__xludf.DUMMYFUNCTION("MAX(FILTER($H:$H,$E:$E=F354))"),"#N/A")</f>
        <v>#N/A</v>
      </c>
    </row>
    <row r="355">
      <c r="C355" s="4" t="s">
        <v>2971</v>
      </c>
      <c r="D355" s="4" t="str">
        <f t="shared" si="1"/>
        <v>{"valorA":"ótimo","valorB":46}</v>
      </c>
      <c r="E355" s="8" t="str">
        <f t="shared" si="2"/>
        <v>ótimo</v>
      </c>
      <c r="F355" s="8"/>
      <c r="G355" s="8" t="str">
        <f t="shared" si="3"/>
        <v>46</v>
      </c>
      <c r="H355" s="9">
        <f t="shared" si="4"/>
        <v>46</v>
      </c>
      <c r="I355" s="6" t="str">
        <f>IFERROR(__xludf.DUMMYFUNCTION("MAX(FILTER($H:$H,$E:$E=F355))"),"#N/A")</f>
        <v>#N/A</v>
      </c>
    </row>
    <row r="356">
      <c r="C356" s="4" t="s">
        <v>2784</v>
      </c>
      <c r="D356" s="4" t="str">
        <f t="shared" si="1"/>
        <v>{"valorA":"e","valorB":8}</v>
      </c>
      <c r="E356" s="8" t="str">
        <f t="shared" si="2"/>
        <v>e</v>
      </c>
      <c r="F356" s="8"/>
      <c r="G356" s="8" t="str">
        <f t="shared" si="3"/>
        <v>8</v>
      </c>
      <c r="H356" s="9">
        <f t="shared" si="4"/>
        <v>8</v>
      </c>
      <c r="I356" s="6" t="str">
        <f>IFERROR(__xludf.DUMMYFUNCTION("MAX(FILTER($H:$H,$E:$E=F356))"),"#N/A")</f>
        <v>#N/A</v>
      </c>
    </row>
    <row r="357">
      <c r="C357" s="4" t="s">
        <v>2748</v>
      </c>
      <c r="D357" s="4" t="str">
        <f t="shared" si="1"/>
        <v>{"valorA":"de","valorB":5}</v>
      </c>
      <c r="E357" s="8" t="str">
        <f t="shared" si="2"/>
        <v>de</v>
      </c>
      <c r="F357" s="8"/>
      <c r="G357" s="8" t="str">
        <f t="shared" si="3"/>
        <v>5</v>
      </c>
      <c r="H357" s="9">
        <f t="shared" si="4"/>
        <v>5</v>
      </c>
      <c r="I357" s="6" t="str">
        <f>IFERROR(__xludf.DUMMYFUNCTION("MAX(FILTER($H:$H,$E:$E=F357))"),"#N/A")</f>
        <v>#N/A</v>
      </c>
    </row>
    <row r="358">
      <c r="C358" s="4" t="s">
        <v>2697</v>
      </c>
      <c r="D358" s="4" t="str">
        <f t="shared" si="1"/>
        <v>{"valorA":"cadeira","valorB":1}</v>
      </c>
      <c r="E358" s="8" t="str">
        <f t="shared" si="2"/>
        <v>cadeira</v>
      </c>
      <c r="F358" s="8"/>
      <c r="G358" s="8" t="str">
        <f t="shared" si="3"/>
        <v>1</v>
      </c>
      <c r="H358" s="9">
        <f t="shared" si="4"/>
        <v>1</v>
      </c>
      <c r="I358" s="6" t="str">
        <f>IFERROR(__xludf.DUMMYFUNCTION("MAX(FILTER($H:$H,$E:$E=F358))"),"#N/A")</f>
        <v>#N/A</v>
      </c>
    </row>
    <row r="359">
      <c r="C359" s="4" t="s">
        <v>3198</v>
      </c>
      <c r="D359" s="4" t="str">
        <f t="shared" si="1"/>
        <v>{"valorA":"muito","valorB":15}</v>
      </c>
      <c r="E359" s="8" t="str">
        <f t="shared" si="2"/>
        <v>muito</v>
      </c>
      <c r="F359" s="8"/>
      <c r="G359" s="8" t="str">
        <f t="shared" si="3"/>
        <v>15</v>
      </c>
      <c r="H359" s="9">
        <f t="shared" si="4"/>
        <v>15</v>
      </c>
      <c r="I359" s="6" t="str">
        <f>IFERROR(__xludf.DUMMYFUNCTION("MAX(FILTER($H:$H,$E:$E=F359))"),"#N/A")</f>
        <v>#N/A</v>
      </c>
    </row>
    <row r="360">
      <c r="C360" s="4" t="s">
        <v>2977</v>
      </c>
      <c r="D360" s="4" t="str">
        <f t="shared" si="1"/>
        <v>{"valorA":"ótimo","valorB":47}</v>
      </c>
      <c r="E360" s="8" t="str">
        <f t="shared" si="2"/>
        <v>ótimo</v>
      </c>
      <c r="F360" s="8"/>
      <c r="G360" s="8" t="str">
        <f t="shared" si="3"/>
        <v>47</v>
      </c>
      <c r="H360" s="9">
        <f t="shared" si="4"/>
        <v>47</v>
      </c>
      <c r="I360" s="6" t="str">
        <f>IFERROR(__xludf.DUMMYFUNCTION("MAX(FILTER($H:$H,$E:$E=F360))"),"#N/A")</f>
        <v>#N/A</v>
      </c>
    </row>
    <row r="361">
      <c r="C361" s="4" t="s">
        <v>3769</v>
      </c>
      <c r="D361" s="4" t="str">
        <f t="shared" si="1"/>
        <v>{"valorA":"produto","valorB":34}</v>
      </c>
      <c r="E361" s="8" t="str">
        <f t="shared" si="2"/>
        <v>produto</v>
      </c>
      <c r="F361" s="8"/>
      <c r="G361" s="8" t="str">
        <f t="shared" si="3"/>
        <v>34</v>
      </c>
      <c r="H361" s="9">
        <f t="shared" si="4"/>
        <v>34</v>
      </c>
      <c r="I361" s="6" t="str">
        <f>IFERROR(__xludf.DUMMYFUNCTION("MAX(FILTER($H:$H,$E:$E=F361))"),"#N/A")</f>
        <v>#N/A</v>
      </c>
    </row>
    <row r="362">
      <c r="C362" s="4" t="s">
        <v>7102</v>
      </c>
      <c r="D362" s="4" t="str">
        <f t="shared" si="1"/>
        <v>{"valorA":"realmente","valorB":8}</v>
      </c>
      <c r="E362" s="8" t="str">
        <f t="shared" si="2"/>
        <v>realmente</v>
      </c>
      <c r="F362" s="8"/>
      <c r="G362" s="8" t="str">
        <f t="shared" si="3"/>
        <v>8</v>
      </c>
      <c r="H362" s="9">
        <f t="shared" si="4"/>
        <v>8</v>
      </c>
      <c r="I362" s="6" t="str">
        <f>IFERROR(__xludf.DUMMYFUNCTION("MAX(FILTER($H:$H,$E:$E=F362))"),"#N/A")</f>
        <v>#N/A</v>
      </c>
    </row>
    <row r="363">
      <c r="C363" s="4" t="s">
        <v>3762</v>
      </c>
      <c r="D363" s="4" t="str">
        <f t="shared" si="1"/>
        <v>{"valorA":"gostei","valorB":9}</v>
      </c>
      <c r="E363" s="8" t="str">
        <f t="shared" si="2"/>
        <v>gostei</v>
      </c>
      <c r="F363" s="8"/>
      <c r="G363" s="8" t="str">
        <f t="shared" si="3"/>
        <v>9</v>
      </c>
      <c r="H363" s="9">
        <f t="shared" si="4"/>
        <v>9</v>
      </c>
      <c r="I363" s="6" t="str">
        <f>IFERROR(__xludf.DUMMYFUNCTION("MAX(FILTER($H:$H,$E:$E=F363))"),"#N/A")</f>
        <v>#N/A</v>
      </c>
    </row>
    <row r="364">
      <c r="C364" s="4" t="s">
        <v>7103</v>
      </c>
      <c r="D364" s="4" t="str">
        <f t="shared" si="1"/>
        <v>{"valorA":"gostei","valorB":10}</v>
      </c>
      <c r="E364" s="8" t="str">
        <f t="shared" si="2"/>
        <v>gostei</v>
      </c>
      <c r="F364" s="8"/>
      <c r="G364" s="8" t="str">
        <f t="shared" si="3"/>
        <v>10</v>
      </c>
      <c r="H364" s="9">
        <f t="shared" si="4"/>
        <v>10</v>
      </c>
      <c r="I364" s="6" t="str">
        <f>IFERROR(__xludf.DUMMYFUNCTION("MAX(FILTER($H:$H,$E:$E=F364))"),"#N/A")</f>
        <v>#N/A</v>
      </c>
    </row>
    <row r="365">
      <c r="C365" s="4" t="s">
        <v>2986</v>
      </c>
      <c r="D365" s="4" t="str">
        <f t="shared" si="1"/>
        <v>{"valorA":"ótimo","valorB":48}</v>
      </c>
      <c r="E365" s="8" t="str">
        <f t="shared" si="2"/>
        <v>ótimo</v>
      </c>
      <c r="F365" s="8"/>
      <c r="G365" s="8" t="str">
        <f t="shared" si="3"/>
        <v>48</v>
      </c>
      <c r="H365" s="9">
        <f t="shared" si="4"/>
        <v>48</v>
      </c>
      <c r="I365" s="6" t="str">
        <f>IFERROR(__xludf.DUMMYFUNCTION("MAX(FILTER($H:$H,$E:$E=F365))"),"#N/A")</f>
        <v>#N/A</v>
      </c>
    </row>
    <row r="366">
      <c r="C366" s="4" t="s">
        <v>7104</v>
      </c>
      <c r="D366" s="4" t="str">
        <f t="shared" si="1"/>
        <v>{"valorA":"estojo","valorB":1}</v>
      </c>
      <c r="E366" s="8" t="str">
        <f t="shared" si="2"/>
        <v>estojo</v>
      </c>
      <c r="F366" s="8"/>
      <c r="G366" s="8" t="str">
        <f t="shared" si="3"/>
        <v>1</v>
      </c>
      <c r="H366" s="9">
        <f t="shared" si="4"/>
        <v>1</v>
      </c>
      <c r="I366" s="6" t="str">
        <f>IFERROR(__xludf.DUMMYFUNCTION("MAX(FILTER($H:$H,$E:$E=F366))"),"#N/A")</f>
        <v>#N/A</v>
      </c>
    </row>
    <row r="367">
      <c r="C367" s="4" t="s">
        <v>3215</v>
      </c>
      <c r="D367" s="4" t="str">
        <f t="shared" si="1"/>
        <v>{"valorA":"muito","valorB":16}</v>
      </c>
      <c r="E367" s="8" t="str">
        <f t="shared" si="2"/>
        <v>muito</v>
      </c>
      <c r="F367" s="8"/>
      <c r="G367" s="8" t="str">
        <f t="shared" si="3"/>
        <v>16</v>
      </c>
      <c r="H367" s="9">
        <f t="shared" si="4"/>
        <v>16</v>
      </c>
      <c r="I367" s="6" t="str">
        <f>IFERROR(__xludf.DUMMYFUNCTION("MAX(FILTER($H:$H,$E:$E=F367))"),"#N/A")</f>
        <v>#N/A</v>
      </c>
    </row>
    <row r="368">
      <c r="C368" s="4" t="s">
        <v>7105</v>
      </c>
      <c r="D368" s="4" t="str">
        <f t="shared" si="1"/>
        <v>{"valorA":"compras","valorB":2}</v>
      </c>
      <c r="E368" s="8" t="str">
        <f t="shared" si="2"/>
        <v>compras</v>
      </c>
      <c r="F368" s="8"/>
      <c r="G368" s="8" t="str">
        <f t="shared" si="3"/>
        <v>2</v>
      </c>
      <c r="H368" s="9">
        <f t="shared" si="4"/>
        <v>2</v>
      </c>
      <c r="I368" s="6" t="str">
        <f>IFERROR(__xludf.DUMMYFUNCTION("MAX(FILTER($H:$H,$E:$E=F368))"),"#N/A")</f>
        <v>#N/A</v>
      </c>
    </row>
    <row r="369">
      <c r="C369" s="4" t="s">
        <v>7106</v>
      </c>
      <c r="D369" s="4" t="str">
        <f t="shared" si="1"/>
        <v>{"valorA":"desejalo","valorB":1}</v>
      </c>
      <c r="E369" s="8" t="str">
        <f t="shared" si="2"/>
        <v>desejalo</v>
      </c>
      <c r="F369" s="8"/>
      <c r="G369" s="8" t="str">
        <f t="shared" si="3"/>
        <v>1</v>
      </c>
      <c r="H369" s="9">
        <f t="shared" si="4"/>
        <v>1</v>
      </c>
      <c r="I369" s="6" t="str">
        <f>IFERROR(__xludf.DUMMYFUNCTION("MAX(FILTER($H:$H,$E:$E=F369))"),"#N/A")</f>
        <v>#N/A</v>
      </c>
    </row>
    <row r="370">
      <c r="C370" s="4" t="s">
        <v>2876</v>
      </c>
      <c r="D370" s="4" t="str">
        <f t="shared" si="1"/>
        <v>{"valorA":"de","valorB":6}</v>
      </c>
      <c r="E370" s="8" t="str">
        <f t="shared" si="2"/>
        <v>de</v>
      </c>
      <c r="F370" s="8"/>
      <c r="G370" s="8" t="str">
        <f t="shared" si="3"/>
        <v>6</v>
      </c>
      <c r="H370" s="9">
        <f t="shared" si="4"/>
        <v>6</v>
      </c>
      <c r="I370" s="6" t="str">
        <f>IFERROR(__xludf.DUMMYFUNCTION("MAX(FILTER($H:$H,$E:$E=F370))"),"#N/A")</f>
        <v>#N/A</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4957</v>
      </c>
      <c r="D1" s="5">
        <v>0.0</v>
      </c>
      <c r="F1" s="5"/>
      <c r="G1" s="19" t="s">
        <v>4013</v>
      </c>
      <c r="H1" s="19" t="s">
        <v>4247</v>
      </c>
    </row>
    <row r="2">
      <c r="A2" s="4" t="s">
        <v>7107</v>
      </c>
      <c r="B2" s="6" t="str">
        <f t="shared" ref="B2:B370" si="1">MID(A2,FIND(":",A2)+1,LEN(A2)-FIND("segundos",A2))</f>
        <v>89.6836</v>
      </c>
      <c r="C2" s="6" t="str">
        <f t="shared" ref="C2:C370" si="2">SUBSTITUTE(B2,".",",")</f>
        <v>89,6836</v>
      </c>
      <c r="D2" s="6">
        <f t="shared" ref="D2:D370" si="3">VALUE(C2)</f>
        <v>89.6836</v>
      </c>
      <c r="E2" s="6">
        <f t="shared" ref="E2:E370" si="4">D2-D1</f>
        <v>89.6836</v>
      </c>
      <c r="G2" s="20">
        <f>AVERAGE(E2:E370)</f>
        <v>0.8960867209</v>
      </c>
      <c r="H2" s="20">
        <f>STDEV(E2:E370)</f>
        <v>4.754383801</v>
      </c>
    </row>
    <row r="3">
      <c r="A3" s="4" t="s">
        <v>7108</v>
      </c>
      <c r="B3" s="6" t="str">
        <f t="shared" si="1"/>
        <v>89.7917</v>
      </c>
      <c r="C3" s="6" t="str">
        <f t="shared" si="2"/>
        <v>89,7917</v>
      </c>
      <c r="D3" s="6">
        <f t="shared" si="3"/>
        <v>89.7917</v>
      </c>
      <c r="E3" s="6">
        <f t="shared" si="4"/>
        <v>0.1081</v>
      </c>
    </row>
    <row r="4">
      <c r="A4" s="4" t="s">
        <v>7109</v>
      </c>
      <c r="B4" s="6" t="str">
        <f t="shared" si="1"/>
        <v>89.9111</v>
      </c>
      <c r="C4" s="6" t="str">
        <f t="shared" si="2"/>
        <v>89,9111</v>
      </c>
      <c r="D4" s="6">
        <f t="shared" si="3"/>
        <v>89.9111</v>
      </c>
      <c r="E4" s="6">
        <f t="shared" si="4"/>
        <v>0.1194</v>
      </c>
    </row>
    <row r="5">
      <c r="A5" s="4" t="s">
        <v>7110</v>
      </c>
      <c r="B5" s="6" t="str">
        <f t="shared" si="1"/>
        <v>90.0412</v>
      </c>
      <c r="C5" s="6" t="str">
        <f t="shared" si="2"/>
        <v>90,0412</v>
      </c>
      <c r="D5" s="6">
        <f t="shared" si="3"/>
        <v>90.0412</v>
      </c>
      <c r="E5" s="6">
        <f t="shared" si="4"/>
        <v>0.1301</v>
      </c>
    </row>
    <row r="6">
      <c r="A6" s="4" t="s">
        <v>7111</v>
      </c>
      <c r="B6" s="6" t="str">
        <f t="shared" si="1"/>
        <v>90.1869</v>
      </c>
      <c r="C6" s="6" t="str">
        <f t="shared" si="2"/>
        <v>90,1869</v>
      </c>
      <c r="D6" s="6">
        <f t="shared" si="3"/>
        <v>90.1869</v>
      </c>
      <c r="E6" s="6">
        <f t="shared" si="4"/>
        <v>0.1457</v>
      </c>
    </row>
    <row r="7">
      <c r="A7" s="4" t="s">
        <v>7112</v>
      </c>
      <c r="B7" s="6" t="str">
        <f t="shared" si="1"/>
        <v>90.3836</v>
      </c>
      <c r="C7" s="6" t="str">
        <f t="shared" si="2"/>
        <v>90,3836</v>
      </c>
      <c r="D7" s="6">
        <f t="shared" si="3"/>
        <v>90.3836</v>
      </c>
      <c r="E7" s="6">
        <f t="shared" si="4"/>
        <v>0.1967</v>
      </c>
    </row>
    <row r="8">
      <c r="A8" s="4" t="s">
        <v>7113</v>
      </c>
      <c r="B8" s="6" t="str">
        <f t="shared" si="1"/>
        <v>90.5450</v>
      </c>
      <c r="C8" s="6" t="str">
        <f t="shared" si="2"/>
        <v>90,5450</v>
      </c>
      <c r="D8" s="6">
        <f t="shared" si="3"/>
        <v>90.545</v>
      </c>
      <c r="E8" s="6">
        <f t="shared" si="4"/>
        <v>0.1614</v>
      </c>
    </row>
    <row r="9">
      <c r="A9" s="4" t="s">
        <v>7114</v>
      </c>
      <c r="B9" s="6" t="str">
        <f t="shared" si="1"/>
        <v>90.7397</v>
      </c>
      <c r="C9" s="6" t="str">
        <f t="shared" si="2"/>
        <v>90,7397</v>
      </c>
      <c r="D9" s="6">
        <f t="shared" si="3"/>
        <v>90.7397</v>
      </c>
      <c r="E9" s="6">
        <f t="shared" si="4"/>
        <v>0.1947</v>
      </c>
    </row>
    <row r="10">
      <c r="A10" s="4" t="s">
        <v>7115</v>
      </c>
      <c r="B10" s="6" t="str">
        <f t="shared" si="1"/>
        <v>90.9435</v>
      </c>
      <c r="C10" s="6" t="str">
        <f t="shared" si="2"/>
        <v>90,9435</v>
      </c>
      <c r="D10" s="6">
        <f t="shared" si="3"/>
        <v>90.9435</v>
      </c>
      <c r="E10" s="6">
        <f t="shared" si="4"/>
        <v>0.2038</v>
      </c>
    </row>
    <row r="11">
      <c r="A11" s="4" t="s">
        <v>7116</v>
      </c>
      <c r="B11" s="6" t="str">
        <f t="shared" si="1"/>
        <v>91.1401</v>
      </c>
      <c r="C11" s="6" t="str">
        <f t="shared" si="2"/>
        <v>91,1401</v>
      </c>
      <c r="D11" s="6">
        <f t="shared" si="3"/>
        <v>91.1401</v>
      </c>
      <c r="E11" s="6">
        <f t="shared" si="4"/>
        <v>0.1966</v>
      </c>
    </row>
    <row r="12">
      <c r="A12" s="4" t="s">
        <v>7117</v>
      </c>
      <c r="B12" s="6" t="str">
        <f t="shared" si="1"/>
        <v>91.3192</v>
      </c>
      <c r="C12" s="6" t="str">
        <f t="shared" si="2"/>
        <v>91,3192</v>
      </c>
      <c r="D12" s="6">
        <f t="shared" si="3"/>
        <v>91.3192</v>
      </c>
      <c r="E12" s="6">
        <f t="shared" si="4"/>
        <v>0.1791</v>
      </c>
    </row>
    <row r="13">
      <c r="A13" s="4" t="s">
        <v>7118</v>
      </c>
      <c r="B13" s="6" t="str">
        <f t="shared" si="1"/>
        <v>91.4846</v>
      </c>
      <c r="C13" s="6" t="str">
        <f t="shared" si="2"/>
        <v>91,4846</v>
      </c>
      <c r="D13" s="6">
        <f t="shared" si="3"/>
        <v>91.4846</v>
      </c>
      <c r="E13" s="6">
        <f t="shared" si="4"/>
        <v>0.1654</v>
      </c>
    </row>
    <row r="14">
      <c r="A14" s="4" t="s">
        <v>7119</v>
      </c>
      <c r="B14" s="6" t="str">
        <f t="shared" si="1"/>
        <v>91.6696</v>
      </c>
      <c r="C14" s="6" t="str">
        <f t="shared" si="2"/>
        <v>91,6696</v>
      </c>
      <c r="D14" s="6">
        <f t="shared" si="3"/>
        <v>91.6696</v>
      </c>
      <c r="E14" s="6">
        <f t="shared" si="4"/>
        <v>0.185</v>
      </c>
    </row>
    <row r="15">
      <c r="A15" s="4" t="s">
        <v>7120</v>
      </c>
      <c r="B15" s="6" t="str">
        <f t="shared" si="1"/>
        <v>91.8506</v>
      </c>
      <c r="C15" s="6" t="str">
        <f t="shared" si="2"/>
        <v>91,8506</v>
      </c>
      <c r="D15" s="6">
        <f t="shared" si="3"/>
        <v>91.8506</v>
      </c>
      <c r="E15" s="6">
        <f t="shared" si="4"/>
        <v>0.181</v>
      </c>
    </row>
    <row r="16">
      <c r="A16" s="4" t="s">
        <v>7121</v>
      </c>
      <c r="B16" s="6" t="str">
        <f t="shared" si="1"/>
        <v>92.0591</v>
      </c>
      <c r="C16" s="6" t="str">
        <f t="shared" si="2"/>
        <v>92,0591</v>
      </c>
      <c r="D16" s="6">
        <f t="shared" si="3"/>
        <v>92.0591</v>
      </c>
      <c r="E16" s="6">
        <f t="shared" si="4"/>
        <v>0.2085</v>
      </c>
    </row>
    <row r="17">
      <c r="A17" s="4" t="s">
        <v>7122</v>
      </c>
      <c r="B17" s="6" t="str">
        <f t="shared" si="1"/>
        <v>92.2586</v>
      </c>
      <c r="C17" s="6" t="str">
        <f t="shared" si="2"/>
        <v>92,2586</v>
      </c>
      <c r="D17" s="6">
        <f t="shared" si="3"/>
        <v>92.2586</v>
      </c>
      <c r="E17" s="6">
        <f t="shared" si="4"/>
        <v>0.1995</v>
      </c>
    </row>
    <row r="18">
      <c r="A18" s="4" t="s">
        <v>7123</v>
      </c>
      <c r="B18" s="6" t="str">
        <f t="shared" si="1"/>
        <v>92.5254</v>
      </c>
      <c r="C18" s="6" t="str">
        <f t="shared" si="2"/>
        <v>92,5254</v>
      </c>
      <c r="D18" s="6">
        <f t="shared" si="3"/>
        <v>92.5254</v>
      </c>
      <c r="E18" s="6">
        <f t="shared" si="4"/>
        <v>0.2668</v>
      </c>
    </row>
    <row r="19">
      <c r="A19" s="4" t="s">
        <v>7124</v>
      </c>
      <c r="B19" s="6" t="str">
        <f t="shared" si="1"/>
        <v>92.7420</v>
      </c>
      <c r="C19" s="6" t="str">
        <f t="shared" si="2"/>
        <v>92,7420</v>
      </c>
      <c r="D19" s="6">
        <f t="shared" si="3"/>
        <v>92.742</v>
      </c>
      <c r="E19" s="6">
        <f t="shared" si="4"/>
        <v>0.2166</v>
      </c>
    </row>
    <row r="20">
      <c r="A20" s="4" t="s">
        <v>7125</v>
      </c>
      <c r="B20" s="6" t="str">
        <f t="shared" si="1"/>
        <v>92.9737</v>
      </c>
      <c r="C20" s="6" t="str">
        <f t="shared" si="2"/>
        <v>92,9737</v>
      </c>
      <c r="D20" s="6">
        <f t="shared" si="3"/>
        <v>92.9737</v>
      </c>
      <c r="E20" s="6">
        <f t="shared" si="4"/>
        <v>0.2317</v>
      </c>
    </row>
    <row r="21">
      <c r="A21" s="4" t="s">
        <v>7126</v>
      </c>
      <c r="B21" s="6" t="str">
        <f t="shared" si="1"/>
        <v>93.2094</v>
      </c>
      <c r="C21" s="6" t="str">
        <f t="shared" si="2"/>
        <v>93,2094</v>
      </c>
      <c r="D21" s="6">
        <f t="shared" si="3"/>
        <v>93.2094</v>
      </c>
      <c r="E21" s="6">
        <f t="shared" si="4"/>
        <v>0.2357</v>
      </c>
    </row>
    <row r="22">
      <c r="A22" s="4" t="s">
        <v>7127</v>
      </c>
      <c r="B22" s="6" t="str">
        <f t="shared" si="1"/>
        <v>93.4466</v>
      </c>
      <c r="C22" s="6" t="str">
        <f t="shared" si="2"/>
        <v>93,4466</v>
      </c>
      <c r="D22" s="6">
        <f t="shared" si="3"/>
        <v>93.4466</v>
      </c>
      <c r="E22" s="6">
        <f t="shared" si="4"/>
        <v>0.2372</v>
      </c>
    </row>
    <row r="23">
      <c r="A23" s="4" t="s">
        <v>7128</v>
      </c>
      <c r="B23" s="6" t="str">
        <f t="shared" si="1"/>
        <v>93.6859</v>
      </c>
      <c r="C23" s="6" t="str">
        <f t="shared" si="2"/>
        <v>93,6859</v>
      </c>
      <c r="D23" s="6">
        <f t="shared" si="3"/>
        <v>93.6859</v>
      </c>
      <c r="E23" s="6">
        <f t="shared" si="4"/>
        <v>0.2393</v>
      </c>
    </row>
    <row r="24">
      <c r="A24" s="4" t="s">
        <v>7129</v>
      </c>
      <c r="B24" s="6" t="str">
        <f t="shared" si="1"/>
        <v>93.9401</v>
      </c>
      <c r="C24" s="6" t="str">
        <f t="shared" si="2"/>
        <v>93,9401</v>
      </c>
      <c r="D24" s="6">
        <f t="shared" si="3"/>
        <v>93.9401</v>
      </c>
      <c r="E24" s="6">
        <f t="shared" si="4"/>
        <v>0.2542</v>
      </c>
    </row>
    <row r="25">
      <c r="A25" s="4" t="s">
        <v>7130</v>
      </c>
      <c r="B25" s="6" t="str">
        <f t="shared" si="1"/>
        <v>94.1962</v>
      </c>
      <c r="C25" s="6" t="str">
        <f t="shared" si="2"/>
        <v>94,1962</v>
      </c>
      <c r="D25" s="6">
        <f t="shared" si="3"/>
        <v>94.1962</v>
      </c>
      <c r="E25" s="6">
        <f t="shared" si="4"/>
        <v>0.2561</v>
      </c>
    </row>
    <row r="26">
      <c r="A26" s="4" t="s">
        <v>7131</v>
      </c>
      <c r="B26" s="6" t="str">
        <f t="shared" si="1"/>
        <v>94.4486</v>
      </c>
      <c r="C26" s="6" t="str">
        <f t="shared" si="2"/>
        <v>94,4486</v>
      </c>
      <c r="D26" s="6">
        <f t="shared" si="3"/>
        <v>94.4486</v>
      </c>
      <c r="E26" s="6">
        <f t="shared" si="4"/>
        <v>0.2524</v>
      </c>
    </row>
    <row r="27">
      <c r="A27" s="4" t="s">
        <v>7132</v>
      </c>
      <c r="B27" s="6" t="str">
        <f t="shared" si="1"/>
        <v>94.7242</v>
      </c>
      <c r="C27" s="6" t="str">
        <f t="shared" si="2"/>
        <v>94,7242</v>
      </c>
      <c r="D27" s="6">
        <f t="shared" si="3"/>
        <v>94.7242</v>
      </c>
      <c r="E27" s="6">
        <f t="shared" si="4"/>
        <v>0.2756</v>
      </c>
    </row>
    <row r="28">
      <c r="A28" s="4" t="s">
        <v>7133</v>
      </c>
      <c r="B28" s="6" t="str">
        <f t="shared" si="1"/>
        <v>95.0139</v>
      </c>
      <c r="C28" s="6" t="str">
        <f t="shared" si="2"/>
        <v>95,0139</v>
      </c>
      <c r="D28" s="6">
        <f t="shared" si="3"/>
        <v>95.0139</v>
      </c>
      <c r="E28" s="6">
        <f t="shared" si="4"/>
        <v>0.2897</v>
      </c>
    </row>
    <row r="29">
      <c r="A29" s="4" t="s">
        <v>7134</v>
      </c>
      <c r="B29" s="6" t="str">
        <f t="shared" si="1"/>
        <v>95.3121</v>
      </c>
      <c r="C29" s="6" t="str">
        <f t="shared" si="2"/>
        <v>95,3121</v>
      </c>
      <c r="D29" s="6">
        <f t="shared" si="3"/>
        <v>95.3121</v>
      </c>
      <c r="E29" s="6">
        <f t="shared" si="4"/>
        <v>0.2982</v>
      </c>
    </row>
    <row r="30">
      <c r="A30" s="4" t="s">
        <v>7135</v>
      </c>
      <c r="B30" s="6" t="str">
        <f t="shared" si="1"/>
        <v>95.5963</v>
      </c>
      <c r="C30" s="6" t="str">
        <f t="shared" si="2"/>
        <v>95,5963</v>
      </c>
      <c r="D30" s="6">
        <f t="shared" si="3"/>
        <v>95.5963</v>
      </c>
      <c r="E30" s="6">
        <f t="shared" si="4"/>
        <v>0.2842</v>
      </c>
    </row>
    <row r="31">
      <c r="A31" s="4" t="s">
        <v>7136</v>
      </c>
      <c r="B31" s="6" t="str">
        <f t="shared" si="1"/>
        <v>95.9219</v>
      </c>
      <c r="C31" s="6" t="str">
        <f t="shared" si="2"/>
        <v>95,9219</v>
      </c>
      <c r="D31" s="6">
        <f t="shared" si="3"/>
        <v>95.9219</v>
      </c>
      <c r="E31" s="6">
        <f t="shared" si="4"/>
        <v>0.3256</v>
      </c>
    </row>
    <row r="32">
      <c r="A32" s="4" t="s">
        <v>7137</v>
      </c>
      <c r="B32" s="6" t="str">
        <f t="shared" si="1"/>
        <v>96.2504</v>
      </c>
      <c r="C32" s="6" t="str">
        <f t="shared" si="2"/>
        <v>96,2504</v>
      </c>
      <c r="D32" s="6">
        <f t="shared" si="3"/>
        <v>96.2504</v>
      </c>
      <c r="E32" s="6">
        <f t="shared" si="4"/>
        <v>0.3285</v>
      </c>
    </row>
    <row r="33">
      <c r="A33" s="4" t="s">
        <v>7138</v>
      </c>
      <c r="B33" s="6" t="str">
        <f t="shared" si="1"/>
        <v>96.5789</v>
      </c>
      <c r="C33" s="6" t="str">
        <f t="shared" si="2"/>
        <v>96,5789</v>
      </c>
      <c r="D33" s="6">
        <f t="shared" si="3"/>
        <v>96.5789</v>
      </c>
      <c r="E33" s="6">
        <f t="shared" si="4"/>
        <v>0.3285</v>
      </c>
    </row>
    <row r="34">
      <c r="A34" s="4" t="s">
        <v>7139</v>
      </c>
      <c r="B34" s="6" t="str">
        <f t="shared" si="1"/>
        <v>96.9052</v>
      </c>
      <c r="C34" s="6" t="str">
        <f t="shared" si="2"/>
        <v>96,9052</v>
      </c>
      <c r="D34" s="6">
        <f t="shared" si="3"/>
        <v>96.9052</v>
      </c>
      <c r="E34" s="6">
        <f t="shared" si="4"/>
        <v>0.3263</v>
      </c>
    </row>
    <row r="35">
      <c r="A35" s="4" t="s">
        <v>7140</v>
      </c>
      <c r="B35" s="6" t="str">
        <f t="shared" si="1"/>
        <v>97.2053</v>
      </c>
      <c r="C35" s="6" t="str">
        <f t="shared" si="2"/>
        <v>97,2053</v>
      </c>
      <c r="D35" s="6">
        <f t="shared" si="3"/>
        <v>97.2053</v>
      </c>
      <c r="E35" s="6">
        <f t="shared" si="4"/>
        <v>0.3001</v>
      </c>
    </row>
    <row r="36">
      <c r="A36" s="4" t="s">
        <v>7141</v>
      </c>
      <c r="B36" s="6" t="str">
        <f t="shared" si="1"/>
        <v>97.6074</v>
      </c>
      <c r="C36" s="6" t="str">
        <f t="shared" si="2"/>
        <v>97,6074</v>
      </c>
      <c r="D36" s="6">
        <f t="shared" si="3"/>
        <v>97.6074</v>
      </c>
      <c r="E36" s="6">
        <f t="shared" si="4"/>
        <v>0.4021</v>
      </c>
    </row>
    <row r="37">
      <c r="A37" s="4" t="s">
        <v>7142</v>
      </c>
      <c r="B37" s="6" t="str">
        <f t="shared" si="1"/>
        <v>97.9248</v>
      </c>
      <c r="C37" s="6" t="str">
        <f t="shared" si="2"/>
        <v>97,9248</v>
      </c>
      <c r="D37" s="6">
        <f t="shared" si="3"/>
        <v>97.9248</v>
      </c>
      <c r="E37" s="6">
        <f t="shared" si="4"/>
        <v>0.3174</v>
      </c>
    </row>
    <row r="38">
      <c r="A38" s="4" t="s">
        <v>7143</v>
      </c>
      <c r="B38" s="6" t="str">
        <f t="shared" si="1"/>
        <v>98.2663</v>
      </c>
      <c r="C38" s="6" t="str">
        <f t="shared" si="2"/>
        <v>98,2663</v>
      </c>
      <c r="D38" s="6">
        <f t="shared" si="3"/>
        <v>98.2663</v>
      </c>
      <c r="E38" s="6">
        <f t="shared" si="4"/>
        <v>0.3415</v>
      </c>
    </row>
    <row r="39">
      <c r="A39" s="4" t="s">
        <v>7144</v>
      </c>
      <c r="B39" s="6" t="str">
        <f t="shared" si="1"/>
        <v>98.6180</v>
      </c>
      <c r="C39" s="6" t="str">
        <f t="shared" si="2"/>
        <v>98,6180</v>
      </c>
      <c r="D39" s="6">
        <f t="shared" si="3"/>
        <v>98.618</v>
      </c>
      <c r="E39" s="6">
        <f t="shared" si="4"/>
        <v>0.3517</v>
      </c>
    </row>
    <row r="40">
      <c r="A40" s="4" t="s">
        <v>7145</v>
      </c>
      <c r="B40" s="6" t="str">
        <f t="shared" si="1"/>
        <v>100.696</v>
      </c>
      <c r="C40" s="6" t="str">
        <f t="shared" si="2"/>
        <v>100,696</v>
      </c>
      <c r="D40" s="6">
        <f t="shared" si="3"/>
        <v>100.696</v>
      </c>
      <c r="E40" s="6">
        <f t="shared" si="4"/>
        <v>2.078</v>
      </c>
    </row>
    <row r="41">
      <c r="A41" s="4" t="s">
        <v>7146</v>
      </c>
      <c r="B41" s="6" t="str">
        <f t="shared" si="1"/>
        <v>101.020</v>
      </c>
      <c r="C41" s="6" t="str">
        <f t="shared" si="2"/>
        <v>101,020</v>
      </c>
      <c r="D41" s="6">
        <f t="shared" si="3"/>
        <v>101.02</v>
      </c>
      <c r="E41" s="6">
        <f t="shared" si="4"/>
        <v>0.324</v>
      </c>
    </row>
    <row r="42">
      <c r="A42" s="4" t="s">
        <v>7147</v>
      </c>
      <c r="B42" s="6" t="str">
        <f t="shared" si="1"/>
        <v>101.339</v>
      </c>
      <c r="C42" s="6" t="str">
        <f t="shared" si="2"/>
        <v>101,339</v>
      </c>
      <c r="D42" s="6">
        <f t="shared" si="3"/>
        <v>101.339</v>
      </c>
      <c r="E42" s="6">
        <f t="shared" si="4"/>
        <v>0.319</v>
      </c>
    </row>
    <row r="43">
      <c r="A43" s="4" t="s">
        <v>7148</v>
      </c>
      <c r="B43" s="6" t="str">
        <f t="shared" si="1"/>
        <v>101.651</v>
      </c>
      <c r="C43" s="6" t="str">
        <f t="shared" si="2"/>
        <v>101,651</v>
      </c>
      <c r="D43" s="6">
        <f t="shared" si="3"/>
        <v>101.651</v>
      </c>
      <c r="E43" s="6">
        <f t="shared" si="4"/>
        <v>0.312</v>
      </c>
    </row>
    <row r="44">
      <c r="A44" s="4" t="s">
        <v>7149</v>
      </c>
      <c r="B44" s="6" t="str">
        <f t="shared" si="1"/>
        <v>101.957</v>
      </c>
      <c r="C44" s="6" t="str">
        <f t="shared" si="2"/>
        <v>101,957</v>
      </c>
      <c r="D44" s="6">
        <f t="shared" si="3"/>
        <v>101.957</v>
      </c>
      <c r="E44" s="6">
        <f t="shared" si="4"/>
        <v>0.306</v>
      </c>
    </row>
    <row r="45">
      <c r="A45" s="4" t="s">
        <v>7150</v>
      </c>
      <c r="B45" s="6" t="str">
        <f t="shared" si="1"/>
        <v>102.278</v>
      </c>
      <c r="C45" s="6" t="str">
        <f t="shared" si="2"/>
        <v>102,278</v>
      </c>
      <c r="D45" s="6">
        <f t="shared" si="3"/>
        <v>102.278</v>
      </c>
      <c r="E45" s="6">
        <f t="shared" si="4"/>
        <v>0.321</v>
      </c>
    </row>
    <row r="46">
      <c r="A46" s="4" t="s">
        <v>7151</v>
      </c>
      <c r="B46" s="6" t="str">
        <f t="shared" si="1"/>
        <v>102.587</v>
      </c>
      <c r="C46" s="6" t="str">
        <f t="shared" si="2"/>
        <v>102,587</v>
      </c>
      <c r="D46" s="6">
        <f t="shared" si="3"/>
        <v>102.587</v>
      </c>
      <c r="E46" s="6">
        <f t="shared" si="4"/>
        <v>0.309</v>
      </c>
    </row>
    <row r="47">
      <c r="A47" s="4" t="s">
        <v>7152</v>
      </c>
      <c r="B47" s="6" t="str">
        <f t="shared" si="1"/>
        <v>102.946</v>
      </c>
      <c r="C47" s="6" t="str">
        <f t="shared" si="2"/>
        <v>102,946</v>
      </c>
      <c r="D47" s="6">
        <f t="shared" si="3"/>
        <v>102.946</v>
      </c>
      <c r="E47" s="6">
        <f t="shared" si="4"/>
        <v>0.359</v>
      </c>
    </row>
    <row r="48">
      <c r="A48" s="4" t="s">
        <v>7153</v>
      </c>
      <c r="B48" s="6" t="str">
        <f t="shared" si="1"/>
        <v>105.270</v>
      </c>
      <c r="C48" s="6" t="str">
        <f t="shared" si="2"/>
        <v>105,270</v>
      </c>
      <c r="D48" s="6">
        <f t="shared" si="3"/>
        <v>105.27</v>
      </c>
      <c r="E48" s="6">
        <f t="shared" si="4"/>
        <v>2.324</v>
      </c>
    </row>
    <row r="49">
      <c r="A49" s="4" t="s">
        <v>7154</v>
      </c>
      <c r="B49" s="6" t="str">
        <f t="shared" si="1"/>
        <v>105.676</v>
      </c>
      <c r="C49" s="6" t="str">
        <f t="shared" si="2"/>
        <v>105,676</v>
      </c>
      <c r="D49" s="6">
        <f t="shared" si="3"/>
        <v>105.676</v>
      </c>
      <c r="E49" s="6">
        <f t="shared" si="4"/>
        <v>0.406</v>
      </c>
    </row>
    <row r="50">
      <c r="A50" s="4" t="s">
        <v>7155</v>
      </c>
      <c r="B50" s="6" t="str">
        <f t="shared" si="1"/>
        <v>106.257</v>
      </c>
      <c r="C50" s="6" t="str">
        <f t="shared" si="2"/>
        <v>106,257</v>
      </c>
      <c r="D50" s="6">
        <f t="shared" si="3"/>
        <v>106.257</v>
      </c>
      <c r="E50" s="6">
        <f t="shared" si="4"/>
        <v>0.581</v>
      </c>
    </row>
    <row r="51">
      <c r="A51" s="4" t="s">
        <v>7156</v>
      </c>
      <c r="B51" s="6" t="str">
        <f t="shared" si="1"/>
        <v>106.585</v>
      </c>
      <c r="C51" s="6" t="str">
        <f t="shared" si="2"/>
        <v>106,585</v>
      </c>
      <c r="D51" s="6">
        <f t="shared" si="3"/>
        <v>106.585</v>
      </c>
      <c r="E51" s="6">
        <f t="shared" si="4"/>
        <v>0.328</v>
      </c>
    </row>
    <row r="52">
      <c r="A52" s="4" t="s">
        <v>7157</v>
      </c>
      <c r="B52" s="6" t="str">
        <f t="shared" si="1"/>
        <v>106.937</v>
      </c>
      <c r="C52" s="6" t="str">
        <f t="shared" si="2"/>
        <v>106,937</v>
      </c>
      <c r="D52" s="6">
        <f t="shared" si="3"/>
        <v>106.937</v>
      </c>
      <c r="E52" s="6">
        <f t="shared" si="4"/>
        <v>0.352</v>
      </c>
    </row>
    <row r="53">
      <c r="A53" s="4" t="s">
        <v>7158</v>
      </c>
      <c r="B53" s="6" t="str">
        <f t="shared" si="1"/>
        <v>107.302</v>
      </c>
      <c r="C53" s="6" t="str">
        <f t="shared" si="2"/>
        <v>107,302</v>
      </c>
      <c r="D53" s="6">
        <f t="shared" si="3"/>
        <v>107.302</v>
      </c>
      <c r="E53" s="6">
        <f t="shared" si="4"/>
        <v>0.365</v>
      </c>
    </row>
    <row r="54">
      <c r="A54" s="4" t="s">
        <v>7159</v>
      </c>
      <c r="B54" s="6" t="str">
        <f t="shared" si="1"/>
        <v>107.635</v>
      </c>
      <c r="C54" s="6" t="str">
        <f t="shared" si="2"/>
        <v>107,635</v>
      </c>
      <c r="D54" s="6">
        <f t="shared" si="3"/>
        <v>107.635</v>
      </c>
      <c r="E54" s="6">
        <f t="shared" si="4"/>
        <v>0.333</v>
      </c>
    </row>
    <row r="55">
      <c r="A55" s="4" t="s">
        <v>7160</v>
      </c>
      <c r="B55" s="6" t="str">
        <f t="shared" si="1"/>
        <v>107.979</v>
      </c>
      <c r="C55" s="6" t="str">
        <f t="shared" si="2"/>
        <v>107,979</v>
      </c>
      <c r="D55" s="6">
        <f t="shared" si="3"/>
        <v>107.979</v>
      </c>
      <c r="E55" s="6">
        <f t="shared" si="4"/>
        <v>0.344</v>
      </c>
    </row>
    <row r="56">
      <c r="A56" s="4" t="s">
        <v>7161</v>
      </c>
      <c r="B56" s="6" t="str">
        <f t="shared" si="1"/>
        <v>112.244</v>
      </c>
      <c r="C56" s="6" t="str">
        <f t="shared" si="2"/>
        <v>112,244</v>
      </c>
      <c r="D56" s="6">
        <f t="shared" si="3"/>
        <v>112.244</v>
      </c>
      <c r="E56" s="6">
        <f t="shared" si="4"/>
        <v>4.265</v>
      </c>
    </row>
    <row r="57">
      <c r="A57" s="4" t="s">
        <v>7162</v>
      </c>
      <c r="B57" s="6" t="str">
        <f t="shared" si="1"/>
        <v>112.626</v>
      </c>
      <c r="C57" s="6" t="str">
        <f t="shared" si="2"/>
        <v>112,626</v>
      </c>
      <c r="D57" s="6">
        <f t="shared" si="3"/>
        <v>112.626</v>
      </c>
      <c r="E57" s="6">
        <f t="shared" si="4"/>
        <v>0.382</v>
      </c>
    </row>
    <row r="58">
      <c r="A58" s="4" t="s">
        <v>7163</v>
      </c>
      <c r="B58" s="6" t="str">
        <f t="shared" si="1"/>
        <v>112.964</v>
      </c>
      <c r="C58" s="6" t="str">
        <f t="shared" si="2"/>
        <v>112,964</v>
      </c>
      <c r="D58" s="6">
        <f t="shared" si="3"/>
        <v>112.964</v>
      </c>
      <c r="E58" s="6">
        <f t="shared" si="4"/>
        <v>0.338</v>
      </c>
    </row>
    <row r="59">
      <c r="A59" s="4" t="s">
        <v>7164</v>
      </c>
      <c r="B59" s="6" t="str">
        <f t="shared" si="1"/>
        <v>113.311</v>
      </c>
      <c r="C59" s="6" t="str">
        <f t="shared" si="2"/>
        <v>113,311</v>
      </c>
      <c r="D59" s="6">
        <f t="shared" si="3"/>
        <v>113.311</v>
      </c>
      <c r="E59" s="6">
        <f t="shared" si="4"/>
        <v>0.347</v>
      </c>
    </row>
    <row r="60">
      <c r="A60" s="4" t="s">
        <v>7165</v>
      </c>
      <c r="B60" s="6" t="str">
        <f t="shared" si="1"/>
        <v>113.662</v>
      </c>
      <c r="C60" s="6" t="str">
        <f t="shared" si="2"/>
        <v>113,662</v>
      </c>
      <c r="D60" s="6">
        <f t="shared" si="3"/>
        <v>113.662</v>
      </c>
      <c r="E60" s="6">
        <f t="shared" si="4"/>
        <v>0.351</v>
      </c>
    </row>
    <row r="61">
      <c r="A61" s="4" t="s">
        <v>7166</v>
      </c>
      <c r="B61" s="6" t="str">
        <f t="shared" si="1"/>
        <v>113.985</v>
      </c>
      <c r="C61" s="6" t="str">
        <f t="shared" si="2"/>
        <v>113,985</v>
      </c>
      <c r="D61" s="6">
        <f t="shared" si="3"/>
        <v>113.985</v>
      </c>
      <c r="E61" s="6">
        <f t="shared" si="4"/>
        <v>0.323</v>
      </c>
    </row>
    <row r="62">
      <c r="A62" s="4" t="s">
        <v>7167</v>
      </c>
      <c r="B62" s="6" t="str">
        <f t="shared" si="1"/>
        <v>114.339</v>
      </c>
      <c r="C62" s="6" t="str">
        <f t="shared" si="2"/>
        <v>114,339</v>
      </c>
      <c r="D62" s="6">
        <f t="shared" si="3"/>
        <v>114.339</v>
      </c>
      <c r="E62" s="6">
        <f t="shared" si="4"/>
        <v>0.354</v>
      </c>
    </row>
    <row r="63">
      <c r="A63" s="4" t="s">
        <v>7168</v>
      </c>
      <c r="B63" s="6" t="str">
        <f t="shared" si="1"/>
        <v>114.719</v>
      </c>
      <c r="C63" s="6" t="str">
        <f t="shared" si="2"/>
        <v>114,719</v>
      </c>
      <c r="D63" s="6">
        <f t="shared" si="3"/>
        <v>114.719</v>
      </c>
      <c r="E63" s="6">
        <f t="shared" si="4"/>
        <v>0.38</v>
      </c>
    </row>
    <row r="64">
      <c r="A64" s="4" t="s">
        <v>7169</v>
      </c>
      <c r="B64" s="6" t="str">
        <f t="shared" si="1"/>
        <v>115.075</v>
      </c>
      <c r="C64" s="6" t="str">
        <f t="shared" si="2"/>
        <v>115,075</v>
      </c>
      <c r="D64" s="6">
        <f t="shared" si="3"/>
        <v>115.075</v>
      </c>
      <c r="E64" s="6">
        <f t="shared" si="4"/>
        <v>0.356</v>
      </c>
    </row>
    <row r="65">
      <c r="A65" s="4" t="s">
        <v>7170</v>
      </c>
      <c r="B65" s="6" t="str">
        <f t="shared" si="1"/>
        <v>115.425</v>
      </c>
      <c r="C65" s="6" t="str">
        <f t="shared" si="2"/>
        <v>115,425</v>
      </c>
      <c r="D65" s="6">
        <f t="shared" si="3"/>
        <v>115.425</v>
      </c>
      <c r="E65" s="6">
        <f t="shared" si="4"/>
        <v>0.35</v>
      </c>
    </row>
    <row r="66">
      <c r="A66" s="4" t="s">
        <v>7171</v>
      </c>
      <c r="B66" s="6" t="str">
        <f t="shared" si="1"/>
        <v>115.816</v>
      </c>
      <c r="C66" s="6" t="str">
        <f t="shared" si="2"/>
        <v>115,816</v>
      </c>
      <c r="D66" s="6">
        <f t="shared" si="3"/>
        <v>115.816</v>
      </c>
      <c r="E66" s="6">
        <f t="shared" si="4"/>
        <v>0.391</v>
      </c>
    </row>
    <row r="67">
      <c r="A67" s="4" t="s">
        <v>7172</v>
      </c>
      <c r="B67" s="6" t="str">
        <f t="shared" si="1"/>
        <v>116.227</v>
      </c>
      <c r="C67" s="6" t="str">
        <f t="shared" si="2"/>
        <v>116,227</v>
      </c>
      <c r="D67" s="6">
        <f t="shared" si="3"/>
        <v>116.227</v>
      </c>
      <c r="E67" s="6">
        <f t="shared" si="4"/>
        <v>0.411</v>
      </c>
    </row>
    <row r="68">
      <c r="A68" s="4" t="s">
        <v>7173</v>
      </c>
      <c r="B68" s="6" t="str">
        <f t="shared" si="1"/>
        <v>118.216</v>
      </c>
      <c r="C68" s="6" t="str">
        <f t="shared" si="2"/>
        <v>118,216</v>
      </c>
      <c r="D68" s="6">
        <f t="shared" si="3"/>
        <v>118.216</v>
      </c>
      <c r="E68" s="6">
        <f t="shared" si="4"/>
        <v>1.989</v>
      </c>
    </row>
    <row r="69">
      <c r="A69" s="4" t="s">
        <v>7174</v>
      </c>
      <c r="B69" s="6" t="str">
        <f t="shared" si="1"/>
        <v>118.569</v>
      </c>
      <c r="C69" s="6" t="str">
        <f t="shared" si="2"/>
        <v>118,569</v>
      </c>
      <c r="D69" s="6">
        <f t="shared" si="3"/>
        <v>118.569</v>
      </c>
      <c r="E69" s="6">
        <f t="shared" si="4"/>
        <v>0.353</v>
      </c>
    </row>
    <row r="70">
      <c r="A70" s="4" t="s">
        <v>7175</v>
      </c>
      <c r="B70" s="6" t="str">
        <f t="shared" si="1"/>
        <v>118.905</v>
      </c>
      <c r="C70" s="6" t="str">
        <f t="shared" si="2"/>
        <v>118,905</v>
      </c>
      <c r="D70" s="6">
        <f t="shared" si="3"/>
        <v>118.905</v>
      </c>
      <c r="E70" s="6">
        <f t="shared" si="4"/>
        <v>0.336</v>
      </c>
    </row>
    <row r="71">
      <c r="A71" s="4" t="s">
        <v>7176</v>
      </c>
      <c r="B71" s="6" t="str">
        <f t="shared" si="1"/>
        <v>119.251</v>
      </c>
      <c r="C71" s="6" t="str">
        <f t="shared" si="2"/>
        <v>119,251</v>
      </c>
      <c r="D71" s="6">
        <f t="shared" si="3"/>
        <v>119.251</v>
      </c>
      <c r="E71" s="6">
        <f t="shared" si="4"/>
        <v>0.346</v>
      </c>
    </row>
    <row r="72">
      <c r="A72" s="4" t="s">
        <v>7177</v>
      </c>
      <c r="B72" s="6" t="str">
        <f t="shared" si="1"/>
        <v>119.596</v>
      </c>
      <c r="C72" s="6" t="str">
        <f t="shared" si="2"/>
        <v>119,596</v>
      </c>
      <c r="D72" s="6">
        <f t="shared" si="3"/>
        <v>119.596</v>
      </c>
      <c r="E72" s="6">
        <f t="shared" si="4"/>
        <v>0.345</v>
      </c>
    </row>
    <row r="73">
      <c r="A73" s="4" t="s">
        <v>7178</v>
      </c>
      <c r="B73" s="6" t="str">
        <f t="shared" si="1"/>
        <v>120.008</v>
      </c>
      <c r="C73" s="6" t="str">
        <f t="shared" si="2"/>
        <v>120,008</v>
      </c>
      <c r="D73" s="6">
        <f t="shared" si="3"/>
        <v>120.008</v>
      </c>
      <c r="E73" s="6">
        <f t="shared" si="4"/>
        <v>0.412</v>
      </c>
    </row>
    <row r="74">
      <c r="A74" s="4" t="s">
        <v>7179</v>
      </c>
      <c r="B74" s="6" t="str">
        <f t="shared" si="1"/>
        <v>120.344</v>
      </c>
      <c r="C74" s="6" t="str">
        <f t="shared" si="2"/>
        <v>120,344</v>
      </c>
      <c r="D74" s="6">
        <f t="shared" si="3"/>
        <v>120.344</v>
      </c>
      <c r="E74" s="6">
        <f t="shared" si="4"/>
        <v>0.336</v>
      </c>
    </row>
    <row r="75">
      <c r="A75" s="4" t="s">
        <v>7180</v>
      </c>
      <c r="B75" s="6" t="str">
        <f t="shared" si="1"/>
        <v>127.468</v>
      </c>
      <c r="C75" s="6" t="str">
        <f t="shared" si="2"/>
        <v>127,468</v>
      </c>
      <c r="D75" s="6">
        <f t="shared" si="3"/>
        <v>127.468</v>
      </c>
      <c r="E75" s="6">
        <f t="shared" si="4"/>
        <v>7.124</v>
      </c>
    </row>
    <row r="76">
      <c r="A76" s="4" t="s">
        <v>7181</v>
      </c>
      <c r="B76" s="6" t="str">
        <f t="shared" si="1"/>
        <v>127.817</v>
      </c>
      <c r="C76" s="6" t="str">
        <f t="shared" si="2"/>
        <v>127,817</v>
      </c>
      <c r="D76" s="6">
        <f t="shared" si="3"/>
        <v>127.817</v>
      </c>
      <c r="E76" s="6">
        <f t="shared" si="4"/>
        <v>0.349</v>
      </c>
    </row>
    <row r="77">
      <c r="A77" s="4" t="s">
        <v>7182</v>
      </c>
      <c r="B77" s="6" t="str">
        <f t="shared" si="1"/>
        <v>128.201</v>
      </c>
      <c r="C77" s="6" t="str">
        <f t="shared" si="2"/>
        <v>128,201</v>
      </c>
      <c r="D77" s="6">
        <f t="shared" si="3"/>
        <v>128.201</v>
      </c>
      <c r="E77" s="6">
        <f t="shared" si="4"/>
        <v>0.384</v>
      </c>
    </row>
    <row r="78">
      <c r="A78" s="4" t="s">
        <v>7183</v>
      </c>
      <c r="B78" s="6" t="str">
        <f t="shared" si="1"/>
        <v>128.516</v>
      </c>
      <c r="C78" s="6" t="str">
        <f t="shared" si="2"/>
        <v>128,516</v>
      </c>
      <c r="D78" s="6">
        <f t="shared" si="3"/>
        <v>128.516</v>
      </c>
      <c r="E78" s="6">
        <f t="shared" si="4"/>
        <v>0.315</v>
      </c>
    </row>
    <row r="79">
      <c r="A79" s="4" t="s">
        <v>7184</v>
      </c>
      <c r="B79" s="6" t="str">
        <f t="shared" si="1"/>
        <v>128.839</v>
      </c>
      <c r="C79" s="6" t="str">
        <f t="shared" si="2"/>
        <v>128,839</v>
      </c>
      <c r="D79" s="6">
        <f t="shared" si="3"/>
        <v>128.839</v>
      </c>
      <c r="E79" s="6">
        <f t="shared" si="4"/>
        <v>0.323</v>
      </c>
    </row>
    <row r="80">
      <c r="A80" s="4" t="s">
        <v>7185</v>
      </c>
      <c r="B80" s="6" t="str">
        <f t="shared" si="1"/>
        <v>129.178</v>
      </c>
      <c r="C80" s="6" t="str">
        <f t="shared" si="2"/>
        <v>129,178</v>
      </c>
      <c r="D80" s="6">
        <f t="shared" si="3"/>
        <v>129.178</v>
      </c>
      <c r="E80" s="6">
        <f t="shared" si="4"/>
        <v>0.339</v>
      </c>
    </row>
    <row r="81">
      <c r="A81" s="4" t="s">
        <v>7186</v>
      </c>
      <c r="B81" s="6" t="str">
        <f t="shared" si="1"/>
        <v>129.508</v>
      </c>
      <c r="C81" s="6" t="str">
        <f t="shared" si="2"/>
        <v>129,508</v>
      </c>
      <c r="D81" s="6">
        <f t="shared" si="3"/>
        <v>129.508</v>
      </c>
      <c r="E81" s="6">
        <f t="shared" si="4"/>
        <v>0.33</v>
      </c>
    </row>
    <row r="82">
      <c r="A82" s="4" t="s">
        <v>7187</v>
      </c>
      <c r="B82" s="6" t="str">
        <f t="shared" si="1"/>
        <v>129.845</v>
      </c>
      <c r="C82" s="6" t="str">
        <f t="shared" si="2"/>
        <v>129,845</v>
      </c>
      <c r="D82" s="6">
        <f t="shared" si="3"/>
        <v>129.845</v>
      </c>
      <c r="E82" s="6">
        <f t="shared" si="4"/>
        <v>0.337</v>
      </c>
    </row>
    <row r="83">
      <c r="A83" s="4" t="s">
        <v>7188</v>
      </c>
      <c r="B83" s="6" t="str">
        <f t="shared" si="1"/>
        <v>130.171</v>
      </c>
      <c r="C83" s="6" t="str">
        <f t="shared" si="2"/>
        <v>130,171</v>
      </c>
      <c r="D83" s="6">
        <f t="shared" si="3"/>
        <v>130.171</v>
      </c>
      <c r="E83" s="6">
        <f t="shared" si="4"/>
        <v>0.326</v>
      </c>
    </row>
    <row r="84">
      <c r="A84" s="4" t="s">
        <v>7189</v>
      </c>
      <c r="B84" s="6" t="str">
        <f t="shared" si="1"/>
        <v>130.503</v>
      </c>
      <c r="C84" s="6" t="str">
        <f t="shared" si="2"/>
        <v>130,503</v>
      </c>
      <c r="D84" s="6">
        <f t="shared" si="3"/>
        <v>130.503</v>
      </c>
      <c r="E84" s="6">
        <f t="shared" si="4"/>
        <v>0.332</v>
      </c>
    </row>
    <row r="85">
      <c r="A85" s="4" t="s">
        <v>7190</v>
      </c>
      <c r="B85" s="6" t="str">
        <f t="shared" si="1"/>
        <v>130.861</v>
      </c>
      <c r="C85" s="6" t="str">
        <f t="shared" si="2"/>
        <v>130,861</v>
      </c>
      <c r="D85" s="6">
        <f t="shared" si="3"/>
        <v>130.861</v>
      </c>
      <c r="E85" s="6">
        <f t="shared" si="4"/>
        <v>0.358</v>
      </c>
    </row>
    <row r="86">
      <c r="A86" s="4" t="s">
        <v>7191</v>
      </c>
      <c r="B86" s="6" t="str">
        <f t="shared" si="1"/>
        <v>131.202</v>
      </c>
      <c r="C86" s="6" t="str">
        <f t="shared" si="2"/>
        <v>131,202</v>
      </c>
      <c r="D86" s="6">
        <f t="shared" si="3"/>
        <v>131.202</v>
      </c>
      <c r="E86" s="6">
        <f t="shared" si="4"/>
        <v>0.341</v>
      </c>
    </row>
    <row r="87">
      <c r="A87" s="4" t="s">
        <v>7192</v>
      </c>
      <c r="B87" s="6" t="str">
        <f t="shared" si="1"/>
        <v>131.527</v>
      </c>
      <c r="C87" s="6" t="str">
        <f t="shared" si="2"/>
        <v>131,527</v>
      </c>
      <c r="D87" s="6">
        <f t="shared" si="3"/>
        <v>131.527</v>
      </c>
      <c r="E87" s="6">
        <f t="shared" si="4"/>
        <v>0.325</v>
      </c>
    </row>
    <row r="88">
      <c r="A88" s="4" t="s">
        <v>7193</v>
      </c>
      <c r="B88" s="6" t="str">
        <f t="shared" si="1"/>
        <v>131.860</v>
      </c>
      <c r="C88" s="6" t="str">
        <f t="shared" si="2"/>
        <v>131,860</v>
      </c>
      <c r="D88" s="6">
        <f t="shared" si="3"/>
        <v>131.86</v>
      </c>
      <c r="E88" s="6">
        <f t="shared" si="4"/>
        <v>0.333</v>
      </c>
    </row>
    <row r="89">
      <c r="A89" s="4" t="s">
        <v>7194</v>
      </c>
      <c r="B89" s="6" t="str">
        <f t="shared" si="1"/>
        <v>132.216</v>
      </c>
      <c r="C89" s="6" t="str">
        <f t="shared" si="2"/>
        <v>132,216</v>
      </c>
      <c r="D89" s="6">
        <f t="shared" si="3"/>
        <v>132.216</v>
      </c>
      <c r="E89" s="6">
        <f t="shared" si="4"/>
        <v>0.356</v>
      </c>
    </row>
    <row r="90">
      <c r="A90" s="4" t="s">
        <v>7195</v>
      </c>
      <c r="B90" s="6" t="str">
        <f t="shared" si="1"/>
        <v>132.622</v>
      </c>
      <c r="C90" s="6" t="str">
        <f t="shared" si="2"/>
        <v>132,622</v>
      </c>
      <c r="D90" s="6">
        <f t="shared" si="3"/>
        <v>132.622</v>
      </c>
      <c r="E90" s="6">
        <f t="shared" si="4"/>
        <v>0.406</v>
      </c>
    </row>
    <row r="91">
      <c r="A91" s="4" t="s">
        <v>7196</v>
      </c>
      <c r="B91" s="6" t="str">
        <f t="shared" si="1"/>
        <v>133.449</v>
      </c>
      <c r="C91" s="6" t="str">
        <f t="shared" si="2"/>
        <v>133,449</v>
      </c>
      <c r="D91" s="6">
        <f t="shared" si="3"/>
        <v>133.449</v>
      </c>
      <c r="E91" s="6">
        <f t="shared" si="4"/>
        <v>0.827</v>
      </c>
    </row>
    <row r="92">
      <c r="A92" s="4" t="s">
        <v>7197</v>
      </c>
      <c r="B92" s="6" t="str">
        <f t="shared" si="1"/>
        <v>133.789</v>
      </c>
      <c r="C92" s="6" t="str">
        <f t="shared" si="2"/>
        <v>133,789</v>
      </c>
      <c r="D92" s="6">
        <f t="shared" si="3"/>
        <v>133.789</v>
      </c>
      <c r="E92" s="6">
        <f t="shared" si="4"/>
        <v>0.34</v>
      </c>
    </row>
    <row r="93">
      <c r="A93" s="4" t="s">
        <v>7198</v>
      </c>
      <c r="B93" s="6" t="str">
        <f t="shared" si="1"/>
        <v>134.109</v>
      </c>
      <c r="C93" s="6" t="str">
        <f t="shared" si="2"/>
        <v>134,109</v>
      </c>
      <c r="D93" s="6">
        <f t="shared" si="3"/>
        <v>134.109</v>
      </c>
      <c r="E93" s="6">
        <f t="shared" si="4"/>
        <v>0.32</v>
      </c>
    </row>
    <row r="94">
      <c r="A94" s="4" t="s">
        <v>7199</v>
      </c>
      <c r="B94" s="6" t="str">
        <f t="shared" si="1"/>
        <v>134.424</v>
      </c>
      <c r="C94" s="6" t="str">
        <f t="shared" si="2"/>
        <v>134,424</v>
      </c>
      <c r="D94" s="6">
        <f t="shared" si="3"/>
        <v>134.424</v>
      </c>
      <c r="E94" s="6">
        <f t="shared" si="4"/>
        <v>0.315</v>
      </c>
    </row>
    <row r="95">
      <c r="A95" s="4" t="s">
        <v>7200</v>
      </c>
      <c r="B95" s="6" t="str">
        <f t="shared" si="1"/>
        <v>134.739</v>
      </c>
      <c r="C95" s="6" t="str">
        <f t="shared" si="2"/>
        <v>134,739</v>
      </c>
      <c r="D95" s="6">
        <f t="shared" si="3"/>
        <v>134.739</v>
      </c>
      <c r="E95" s="6">
        <f t="shared" si="4"/>
        <v>0.315</v>
      </c>
    </row>
    <row r="96">
      <c r="A96" s="4" t="s">
        <v>7201</v>
      </c>
      <c r="B96" s="6" t="str">
        <f t="shared" si="1"/>
        <v>135.075</v>
      </c>
      <c r="C96" s="6" t="str">
        <f t="shared" si="2"/>
        <v>135,075</v>
      </c>
      <c r="D96" s="6">
        <f t="shared" si="3"/>
        <v>135.075</v>
      </c>
      <c r="E96" s="6">
        <f t="shared" si="4"/>
        <v>0.336</v>
      </c>
    </row>
    <row r="97">
      <c r="A97" s="4" t="s">
        <v>7202</v>
      </c>
      <c r="B97" s="6" t="str">
        <f t="shared" si="1"/>
        <v>139.000</v>
      </c>
      <c r="C97" s="6" t="str">
        <f t="shared" si="2"/>
        <v>139,000</v>
      </c>
      <c r="D97" s="6">
        <f t="shared" si="3"/>
        <v>139</v>
      </c>
      <c r="E97" s="6">
        <f t="shared" si="4"/>
        <v>3.925</v>
      </c>
    </row>
    <row r="98">
      <c r="A98" s="4" t="s">
        <v>7203</v>
      </c>
      <c r="B98" s="6" t="str">
        <f t="shared" si="1"/>
        <v>139.331</v>
      </c>
      <c r="C98" s="6" t="str">
        <f t="shared" si="2"/>
        <v>139,331</v>
      </c>
      <c r="D98" s="6">
        <f t="shared" si="3"/>
        <v>139.331</v>
      </c>
      <c r="E98" s="6">
        <f t="shared" si="4"/>
        <v>0.331</v>
      </c>
    </row>
    <row r="99">
      <c r="A99" s="4" t="s">
        <v>7204</v>
      </c>
      <c r="B99" s="6" t="str">
        <f t="shared" si="1"/>
        <v>139.673</v>
      </c>
      <c r="C99" s="6" t="str">
        <f t="shared" si="2"/>
        <v>139,673</v>
      </c>
      <c r="D99" s="6">
        <f t="shared" si="3"/>
        <v>139.673</v>
      </c>
      <c r="E99" s="6">
        <f t="shared" si="4"/>
        <v>0.342</v>
      </c>
    </row>
    <row r="100">
      <c r="A100" s="4" t="s">
        <v>7205</v>
      </c>
      <c r="B100" s="6" t="str">
        <f t="shared" si="1"/>
        <v>140.013</v>
      </c>
      <c r="C100" s="6" t="str">
        <f t="shared" si="2"/>
        <v>140,013</v>
      </c>
      <c r="D100" s="6">
        <f t="shared" si="3"/>
        <v>140.013</v>
      </c>
      <c r="E100" s="6">
        <f t="shared" si="4"/>
        <v>0.34</v>
      </c>
    </row>
    <row r="101">
      <c r="A101" s="4" t="s">
        <v>7206</v>
      </c>
      <c r="B101" s="6" t="str">
        <f t="shared" si="1"/>
        <v>140.341</v>
      </c>
      <c r="C101" s="6" t="str">
        <f t="shared" si="2"/>
        <v>140,341</v>
      </c>
      <c r="D101" s="6">
        <f t="shared" si="3"/>
        <v>140.341</v>
      </c>
      <c r="E101" s="6">
        <f t="shared" si="4"/>
        <v>0.328</v>
      </c>
    </row>
    <row r="102">
      <c r="A102" s="4" t="s">
        <v>7207</v>
      </c>
      <c r="B102" s="6" t="str">
        <f t="shared" si="1"/>
        <v>140.672</v>
      </c>
      <c r="C102" s="6" t="str">
        <f t="shared" si="2"/>
        <v>140,672</v>
      </c>
      <c r="D102" s="6">
        <f t="shared" si="3"/>
        <v>140.672</v>
      </c>
      <c r="E102" s="6">
        <f t="shared" si="4"/>
        <v>0.331</v>
      </c>
    </row>
    <row r="103">
      <c r="A103" s="4" t="s">
        <v>7208</v>
      </c>
      <c r="B103" s="6" t="str">
        <f t="shared" si="1"/>
        <v>141.096</v>
      </c>
      <c r="C103" s="6" t="str">
        <f t="shared" si="2"/>
        <v>141,096</v>
      </c>
      <c r="D103" s="6">
        <f t="shared" si="3"/>
        <v>141.096</v>
      </c>
      <c r="E103" s="6">
        <f t="shared" si="4"/>
        <v>0.424</v>
      </c>
    </row>
    <row r="104">
      <c r="A104" s="4" t="s">
        <v>7209</v>
      </c>
      <c r="B104" s="6" t="str">
        <f t="shared" si="1"/>
        <v>141.424</v>
      </c>
      <c r="C104" s="6" t="str">
        <f t="shared" si="2"/>
        <v>141,424</v>
      </c>
      <c r="D104" s="6">
        <f t="shared" si="3"/>
        <v>141.424</v>
      </c>
      <c r="E104" s="6">
        <f t="shared" si="4"/>
        <v>0.328</v>
      </c>
    </row>
    <row r="105">
      <c r="A105" s="4" t="s">
        <v>7210</v>
      </c>
      <c r="B105" s="6" t="str">
        <f t="shared" si="1"/>
        <v>145.739</v>
      </c>
      <c r="C105" s="6" t="str">
        <f t="shared" si="2"/>
        <v>145,739</v>
      </c>
      <c r="D105" s="6">
        <f t="shared" si="3"/>
        <v>145.739</v>
      </c>
      <c r="E105" s="6">
        <f t="shared" si="4"/>
        <v>4.315</v>
      </c>
    </row>
    <row r="106">
      <c r="A106" s="4" t="s">
        <v>7211</v>
      </c>
      <c r="B106" s="6" t="str">
        <f t="shared" si="1"/>
        <v>146.097</v>
      </c>
      <c r="C106" s="6" t="str">
        <f t="shared" si="2"/>
        <v>146,097</v>
      </c>
      <c r="D106" s="6">
        <f t="shared" si="3"/>
        <v>146.097</v>
      </c>
      <c r="E106" s="6">
        <f t="shared" si="4"/>
        <v>0.358</v>
      </c>
    </row>
    <row r="107">
      <c r="A107" s="4" t="s">
        <v>7212</v>
      </c>
      <c r="B107" s="6" t="str">
        <f t="shared" si="1"/>
        <v>146.425</v>
      </c>
      <c r="C107" s="6" t="str">
        <f t="shared" si="2"/>
        <v>146,425</v>
      </c>
      <c r="D107" s="6">
        <f t="shared" si="3"/>
        <v>146.425</v>
      </c>
      <c r="E107" s="6">
        <f t="shared" si="4"/>
        <v>0.328</v>
      </c>
    </row>
    <row r="108">
      <c r="A108" s="4" t="s">
        <v>7213</v>
      </c>
      <c r="B108" s="6" t="str">
        <f t="shared" si="1"/>
        <v>146.765</v>
      </c>
      <c r="C108" s="6" t="str">
        <f t="shared" si="2"/>
        <v>146,765</v>
      </c>
      <c r="D108" s="6">
        <f t="shared" si="3"/>
        <v>146.765</v>
      </c>
      <c r="E108" s="6">
        <f t="shared" si="4"/>
        <v>0.34</v>
      </c>
    </row>
    <row r="109">
      <c r="A109" s="4" t="s">
        <v>7214</v>
      </c>
      <c r="B109" s="6" t="str">
        <f t="shared" si="1"/>
        <v>147.107</v>
      </c>
      <c r="C109" s="6" t="str">
        <f t="shared" si="2"/>
        <v>147,107</v>
      </c>
      <c r="D109" s="6">
        <f t="shared" si="3"/>
        <v>147.107</v>
      </c>
      <c r="E109" s="6">
        <f t="shared" si="4"/>
        <v>0.342</v>
      </c>
    </row>
    <row r="110">
      <c r="A110" s="4" t="s">
        <v>7215</v>
      </c>
      <c r="B110" s="6" t="str">
        <f t="shared" si="1"/>
        <v>147.452</v>
      </c>
      <c r="C110" s="6" t="str">
        <f t="shared" si="2"/>
        <v>147,452</v>
      </c>
      <c r="D110" s="6">
        <f t="shared" si="3"/>
        <v>147.452</v>
      </c>
      <c r="E110" s="6">
        <f t="shared" si="4"/>
        <v>0.345</v>
      </c>
    </row>
    <row r="111">
      <c r="A111" s="4" t="s">
        <v>7216</v>
      </c>
      <c r="B111" s="6" t="str">
        <f t="shared" si="1"/>
        <v>147.790</v>
      </c>
      <c r="C111" s="6" t="str">
        <f t="shared" si="2"/>
        <v>147,790</v>
      </c>
      <c r="D111" s="6">
        <f t="shared" si="3"/>
        <v>147.79</v>
      </c>
      <c r="E111" s="6">
        <f t="shared" si="4"/>
        <v>0.338</v>
      </c>
    </row>
    <row r="112">
      <c r="A112" s="4" t="s">
        <v>7217</v>
      </c>
      <c r="B112" s="6" t="str">
        <f t="shared" si="1"/>
        <v>148.133</v>
      </c>
      <c r="C112" s="6" t="str">
        <f t="shared" si="2"/>
        <v>148,133</v>
      </c>
      <c r="D112" s="6">
        <f t="shared" si="3"/>
        <v>148.133</v>
      </c>
      <c r="E112" s="6">
        <f t="shared" si="4"/>
        <v>0.343</v>
      </c>
    </row>
    <row r="113">
      <c r="A113" s="4" t="s">
        <v>7218</v>
      </c>
      <c r="B113" s="6" t="str">
        <f t="shared" si="1"/>
        <v>148.479</v>
      </c>
      <c r="C113" s="6" t="str">
        <f t="shared" si="2"/>
        <v>148,479</v>
      </c>
      <c r="D113" s="6">
        <f t="shared" si="3"/>
        <v>148.479</v>
      </c>
      <c r="E113" s="6">
        <f t="shared" si="4"/>
        <v>0.346</v>
      </c>
    </row>
    <row r="114">
      <c r="A114" s="4" t="s">
        <v>7219</v>
      </c>
      <c r="B114" s="6" t="str">
        <f t="shared" si="1"/>
        <v>148.816</v>
      </c>
      <c r="C114" s="6" t="str">
        <f t="shared" si="2"/>
        <v>148,816</v>
      </c>
      <c r="D114" s="6">
        <f t="shared" si="3"/>
        <v>148.816</v>
      </c>
      <c r="E114" s="6">
        <f t="shared" si="4"/>
        <v>0.337</v>
      </c>
    </row>
    <row r="115">
      <c r="A115" s="4" t="s">
        <v>7220</v>
      </c>
      <c r="B115" s="6" t="str">
        <f t="shared" si="1"/>
        <v>149.144</v>
      </c>
      <c r="C115" s="6" t="str">
        <f t="shared" si="2"/>
        <v>149,144</v>
      </c>
      <c r="D115" s="6">
        <f t="shared" si="3"/>
        <v>149.144</v>
      </c>
      <c r="E115" s="6">
        <f t="shared" si="4"/>
        <v>0.328</v>
      </c>
    </row>
    <row r="116">
      <c r="A116" s="4" t="s">
        <v>7221</v>
      </c>
      <c r="B116" s="6" t="str">
        <f t="shared" si="1"/>
        <v>149.545</v>
      </c>
      <c r="C116" s="6" t="str">
        <f t="shared" si="2"/>
        <v>149,545</v>
      </c>
      <c r="D116" s="6">
        <f t="shared" si="3"/>
        <v>149.545</v>
      </c>
      <c r="E116" s="6">
        <f t="shared" si="4"/>
        <v>0.401</v>
      </c>
    </row>
    <row r="117">
      <c r="A117" s="4" t="s">
        <v>7222</v>
      </c>
      <c r="B117" s="6" t="str">
        <f t="shared" si="1"/>
        <v>149.907</v>
      </c>
      <c r="C117" s="6" t="str">
        <f t="shared" si="2"/>
        <v>149,907</v>
      </c>
      <c r="D117" s="6">
        <f t="shared" si="3"/>
        <v>149.907</v>
      </c>
      <c r="E117" s="6">
        <f t="shared" si="4"/>
        <v>0.362</v>
      </c>
    </row>
    <row r="118">
      <c r="A118" s="4" t="s">
        <v>7223</v>
      </c>
      <c r="B118" s="6" t="str">
        <f t="shared" si="1"/>
        <v>150.262</v>
      </c>
      <c r="C118" s="6" t="str">
        <f t="shared" si="2"/>
        <v>150,262</v>
      </c>
      <c r="D118" s="6">
        <f t="shared" si="3"/>
        <v>150.262</v>
      </c>
      <c r="E118" s="6">
        <f t="shared" si="4"/>
        <v>0.355</v>
      </c>
    </row>
    <row r="119">
      <c r="A119" s="4" t="s">
        <v>7224</v>
      </c>
      <c r="B119" s="6" t="str">
        <f t="shared" si="1"/>
        <v>150.607</v>
      </c>
      <c r="C119" s="6" t="str">
        <f t="shared" si="2"/>
        <v>150,607</v>
      </c>
      <c r="D119" s="6">
        <f t="shared" si="3"/>
        <v>150.607</v>
      </c>
      <c r="E119" s="6">
        <f t="shared" si="4"/>
        <v>0.345</v>
      </c>
    </row>
    <row r="120">
      <c r="A120" s="4" t="s">
        <v>7225</v>
      </c>
      <c r="B120" s="6" t="str">
        <f t="shared" si="1"/>
        <v>150.962</v>
      </c>
      <c r="C120" s="6" t="str">
        <f t="shared" si="2"/>
        <v>150,962</v>
      </c>
      <c r="D120" s="6">
        <f t="shared" si="3"/>
        <v>150.962</v>
      </c>
      <c r="E120" s="6">
        <f t="shared" si="4"/>
        <v>0.355</v>
      </c>
    </row>
    <row r="121">
      <c r="A121" s="4" t="s">
        <v>7226</v>
      </c>
      <c r="B121" s="6" t="str">
        <f t="shared" si="1"/>
        <v>152.920</v>
      </c>
      <c r="C121" s="6" t="str">
        <f t="shared" si="2"/>
        <v>152,920</v>
      </c>
      <c r="D121" s="6">
        <f t="shared" si="3"/>
        <v>152.92</v>
      </c>
      <c r="E121" s="6">
        <f t="shared" si="4"/>
        <v>1.958</v>
      </c>
    </row>
    <row r="122">
      <c r="A122" s="4" t="s">
        <v>7227</v>
      </c>
      <c r="B122" s="6" t="str">
        <f t="shared" si="1"/>
        <v>153.269</v>
      </c>
      <c r="C122" s="6" t="str">
        <f t="shared" si="2"/>
        <v>153,269</v>
      </c>
      <c r="D122" s="6">
        <f t="shared" si="3"/>
        <v>153.269</v>
      </c>
      <c r="E122" s="6">
        <f t="shared" si="4"/>
        <v>0.349</v>
      </c>
    </row>
    <row r="123">
      <c r="A123" s="4" t="s">
        <v>7228</v>
      </c>
      <c r="B123" s="6" t="str">
        <f t="shared" si="1"/>
        <v>153.605</v>
      </c>
      <c r="C123" s="6" t="str">
        <f t="shared" si="2"/>
        <v>153,605</v>
      </c>
      <c r="D123" s="6">
        <f t="shared" si="3"/>
        <v>153.605</v>
      </c>
      <c r="E123" s="6">
        <f t="shared" si="4"/>
        <v>0.336</v>
      </c>
    </row>
    <row r="124">
      <c r="A124" s="4" t="s">
        <v>7229</v>
      </c>
      <c r="B124" s="6" t="str">
        <f t="shared" si="1"/>
        <v>153.954</v>
      </c>
      <c r="C124" s="6" t="str">
        <f t="shared" si="2"/>
        <v>153,954</v>
      </c>
      <c r="D124" s="6">
        <f t="shared" si="3"/>
        <v>153.954</v>
      </c>
      <c r="E124" s="6">
        <f t="shared" si="4"/>
        <v>0.349</v>
      </c>
    </row>
    <row r="125">
      <c r="A125" s="4" t="s">
        <v>7230</v>
      </c>
      <c r="B125" s="6" t="str">
        <f t="shared" si="1"/>
        <v>154.295</v>
      </c>
      <c r="C125" s="6" t="str">
        <f t="shared" si="2"/>
        <v>154,295</v>
      </c>
      <c r="D125" s="6">
        <f t="shared" si="3"/>
        <v>154.295</v>
      </c>
      <c r="E125" s="6">
        <f t="shared" si="4"/>
        <v>0.341</v>
      </c>
    </row>
    <row r="126">
      <c r="A126" s="4" t="s">
        <v>7231</v>
      </c>
      <c r="B126" s="6" t="str">
        <f t="shared" si="1"/>
        <v>154.625</v>
      </c>
      <c r="C126" s="6" t="str">
        <f t="shared" si="2"/>
        <v>154,625</v>
      </c>
      <c r="D126" s="6">
        <f t="shared" si="3"/>
        <v>154.625</v>
      </c>
      <c r="E126" s="6">
        <f t="shared" si="4"/>
        <v>0.33</v>
      </c>
    </row>
    <row r="127">
      <c r="A127" s="4" t="s">
        <v>7232</v>
      </c>
      <c r="B127" s="6" t="str">
        <f t="shared" si="1"/>
        <v>154.956</v>
      </c>
      <c r="C127" s="6" t="str">
        <f t="shared" si="2"/>
        <v>154,956</v>
      </c>
      <c r="D127" s="6">
        <f t="shared" si="3"/>
        <v>154.956</v>
      </c>
      <c r="E127" s="6">
        <f t="shared" si="4"/>
        <v>0.331</v>
      </c>
    </row>
    <row r="128">
      <c r="A128" s="4" t="s">
        <v>7233</v>
      </c>
      <c r="B128" s="6" t="str">
        <f t="shared" si="1"/>
        <v>155.744</v>
      </c>
      <c r="C128" s="6" t="str">
        <f t="shared" si="2"/>
        <v>155,744</v>
      </c>
      <c r="D128" s="6">
        <f t="shared" si="3"/>
        <v>155.744</v>
      </c>
      <c r="E128" s="6">
        <f t="shared" si="4"/>
        <v>0.788</v>
      </c>
    </row>
    <row r="129">
      <c r="A129" s="4" t="s">
        <v>7234</v>
      </c>
      <c r="B129" s="6" t="str">
        <f t="shared" si="1"/>
        <v>156.102</v>
      </c>
      <c r="C129" s="6" t="str">
        <f t="shared" si="2"/>
        <v>156,102</v>
      </c>
      <c r="D129" s="6">
        <f t="shared" si="3"/>
        <v>156.102</v>
      </c>
      <c r="E129" s="6">
        <f t="shared" si="4"/>
        <v>0.358</v>
      </c>
    </row>
    <row r="130">
      <c r="A130" s="4" t="s">
        <v>7235</v>
      </c>
      <c r="B130" s="6" t="str">
        <f t="shared" si="1"/>
        <v>156.531</v>
      </c>
      <c r="C130" s="6" t="str">
        <f t="shared" si="2"/>
        <v>156,531</v>
      </c>
      <c r="D130" s="6">
        <f t="shared" si="3"/>
        <v>156.531</v>
      </c>
      <c r="E130" s="6">
        <f t="shared" si="4"/>
        <v>0.429</v>
      </c>
    </row>
    <row r="131">
      <c r="A131" s="4" t="s">
        <v>7236</v>
      </c>
      <c r="B131" s="6" t="str">
        <f t="shared" si="1"/>
        <v>156.865</v>
      </c>
      <c r="C131" s="6" t="str">
        <f t="shared" si="2"/>
        <v>156,865</v>
      </c>
      <c r="D131" s="6">
        <f t="shared" si="3"/>
        <v>156.865</v>
      </c>
      <c r="E131" s="6">
        <f t="shared" si="4"/>
        <v>0.334</v>
      </c>
    </row>
    <row r="132">
      <c r="A132" s="4" t="s">
        <v>7237</v>
      </c>
      <c r="B132" s="6" t="str">
        <f t="shared" si="1"/>
        <v>159.666</v>
      </c>
      <c r="C132" s="6" t="str">
        <f t="shared" si="2"/>
        <v>159,666</v>
      </c>
      <c r="D132" s="6">
        <f t="shared" si="3"/>
        <v>159.666</v>
      </c>
      <c r="E132" s="6">
        <f t="shared" si="4"/>
        <v>2.801</v>
      </c>
    </row>
    <row r="133">
      <c r="A133" s="4" t="s">
        <v>7238</v>
      </c>
      <c r="B133" s="6" t="str">
        <f t="shared" si="1"/>
        <v>160.031</v>
      </c>
      <c r="C133" s="6" t="str">
        <f t="shared" si="2"/>
        <v>160,031</v>
      </c>
      <c r="D133" s="6">
        <f t="shared" si="3"/>
        <v>160.031</v>
      </c>
      <c r="E133" s="6">
        <f t="shared" si="4"/>
        <v>0.365</v>
      </c>
    </row>
    <row r="134">
      <c r="A134" s="4" t="s">
        <v>7239</v>
      </c>
      <c r="B134" s="6" t="str">
        <f t="shared" si="1"/>
        <v>160.403</v>
      </c>
      <c r="C134" s="6" t="str">
        <f t="shared" si="2"/>
        <v>160,403</v>
      </c>
      <c r="D134" s="6">
        <f t="shared" si="3"/>
        <v>160.403</v>
      </c>
      <c r="E134" s="6">
        <f t="shared" si="4"/>
        <v>0.372</v>
      </c>
    </row>
    <row r="135">
      <c r="A135" s="4" t="s">
        <v>7240</v>
      </c>
      <c r="B135" s="6" t="str">
        <f t="shared" si="1"/>
        <v>160.754</v>
      </c>
      <c r="C135" s="6" t="str">
        <f t="shared" si="2"/>
        <v>160,754</v>
      </c>
      <c r="D135" s="6">
        <f t="shared" si="3"/>
        <v>160.754</v>
      </c>
      <c r="E135" s="6">
        <f t="shared" si="4"/>
        <v>0.351</v>
      </c>
    </row>
    <row r="136">
      <c r="A136" s="4" t="s">
        <v>7241</v>
      </c>
      <c r="B136" s="6" t="str">
        <f t="shared" si="1"/>
        <v>161.112</v>
      </c>
      <c r="C136" s="6" t="str">
        <f t="shared" si="2"/>
        <v>161,112</v>
      </c>
      <c r="D136" s="6">
        <f t="shared" si="3"/>
        <v>161.112</v>
      </c>
      <c r="E136" s="6">
        <f t="shared" si="4"/>
        <v>0.358</v>
      </c>
    </row>
    <row r="137">
      <c r="A137" s="4" t="s">
        <v>7242</v>
      </c>
      <c r="B137" s="6" t="str">
        <f t="shared" si="1"/>
        <v>161.476</v>
      </c>
      <c r="C137" s="6" t="str">
        <f t="shared" si="2"/>
        <v>161,476</v>
      </c>
      <c r="D137" s="6">
        <f t="shared" si="3"/>
        <v>161.476</v>
      </c>
      <c r="E137" s="6">
        <f t="shared" si="4"/>
        <v>0.364</v>
      </c>
    </row>
    <row r="138">
      <c r="A138" s="4" t="s">
        <v>7243</v>
      </c>
      <c r="B138" s="6" t="str">
        <f t="shared" si="1"/>
        <v>166.850</v>
      </c>
      <c r="C138" s="6" t="str">
        <f t="shared" si="2"/>
        <v>166,850</v>
      </c>
      <c r="D138" s="6">
        <f t="shared" si="3"/>
        <v>166.85</v>
      </c>
      <c r="E138" s="6">
        <f t="shared" si="4"/>
        <v>5.374</v>
      </c>
    </row>
    <row r="139">
      <c r="A139" s="4" t="s">
        <v>7244</v>
      </c>
      <c r="B139" s="6" t="str">
        <f t="shared" si="1"/>
        <v>167.196</v>
      </c>
      <c r="C139" s="6" t="str">
        <f t="shared" si="2"/>
        <v>167,196</v>
      </c>
      <c r="D139" s="6">
        <f t="shared" si="3"/>
        <v>167.196</v>
      </c>
      <c r="E139" s="6">
        <f t="shared" si="4"/>
        <v>0.346</v>
      </c>
    </row>
    <row r="140">
      <c r="A140" s="4" t="s">
        <v>7245</v>
      </c>
      <c r="B140" s="6" t="str">
        <f t="shared" si="1"/>
        <v>167.536</v>
      </c>
      <c r="C140" s="6" t="str">
        <f t="shared" si="2"/>
        <v>167,536</v>
      </c>
      <c r="D140" s="6">
        <f t="shared" si="3"/>
        <v>167.536</v>
      </c>
      <c r="E140" s="6">
        <f t="shared" si="4"/>
        <v>0.34</v>
      </c>
    </row>
    <row r="141">
      <c r="A141" s="4" t="s">
        <v>7246</v>
      </c>
      <c r="B141" s="6" t="str">
        <f t="shared" si="1"/>
        <v>167.869</v>
      </c>
      <c r="C141" s="6" t="str">
        <f t="shared" si="2"/>
        <v>167,869</v>
      </c>
      <c r="D141" s="6">
        <f t="shared" si="3"/>
        <v>167.869</v>
      </c>
      <c r="E141" s="6">
        <f t="shared" si="4"/>
        <v>0.333</v>
      </c>
    </row>
    <row r="142">
      <c r="A142" s="4" t="s">
        <v>7247</v>
      </c>
      <c r="B142" s="6" t="str">
        <f t="shared" si="1"/>
        <v>168.265</v>
      </c>
      <c r="C142" s="6" t="str">
        <f t="shared" si="2"/>
        <v>168,265</v>
      </c>
      <c r="D142" s="6">
        <f t="shared" si="3"/>
        <v>168.265</v>
      </c>
      <c r="E142" s="6">
        <f t="shared" si="4"/>
        <v>0.396</v>
      </c>
    </row>
    <row r="143">
      <c r="A143" s="4" t="s">
        <v>7248</v>
      </c>
      <c r="B143" s="6" t="str">
        <f t="shared" si="1"/>
        <v>168.623</v>
      </c>
      <c r="C143" s="6" t="str">
        <f t="shared" si="2"/>
        <v>168,623</v>
      </c>
      <c r="D143" s="6">
        <f t="shared" si="3"/>
        <v>168.623</v>
      </c>
      <c r="E143" s="6">
        <f t="shared" si="4"/>
        <v>0.358</v>
      </c>
    </row>
    <row r="144">
      <c r="A144" s="4" t="s">
        <v>7249</v>
      </c>
      <c r="B144" s="6" t="str">
        <f t="shared" si="1"/>
        <v>168.962</v>
      </c>
      <c r="C144" s="6" t="str">
        <f t="shared" si="2"/>
        <v>168,962</v>
      </c>
      <c r="D144" s="6">
        <f t="shared" si="3"/>
        <v>168.962</v>
      </c>
      <c r="E144" s="6">
        <f t="shared" si="4"/>
        <v>0.339</v>
      </c>
    </row>
    <row r="145">
      <c r="A145" s="4" t="s">
        <v>7250</v>
      </c>
      <c r="B145" s="6" t="str">
        <f t="shared" si="1"/>
        <v>169.301</v>
      </c>
      <c r="C145" s="6" t="str">
        <f t="shared" si="2"/>
        <v>169,301</v>
      </c>
      <c r="D145" s="6">
        <f t="shared" si="3"/>
        <v>169.301</v>
      </c>
      <c r="E145" s="6">
        <f t="shared" si="4"/>
        <v>0.339</v>
      </c>
    </row>
    <row r="146">
      <c r="A146" s="4" t="s">
        <v>7251</v>
      </c>
      <c r="B146" s="6" t="str">
        <f t="shared" si="1"/>
        <v>169.647</v>
      </c>
      <c r="C146" s="6" t="str">
        <f t="shared" si="2"/>
        <v>169,647</v>
      </c>
      <c r="D146" s="6">
        <f t="shared" si="3"/>
        <v>169.647</v>
      </c>
      <c r="E146" s="6">
        <f t="shared" si="4"/>
        <v>0.346</v>
      </c>
    </row>
    <row r="147">
      <c r="A147" s="4" t="s">
        <v>7252</v>
      </c>
      <c r="B147" s="6" t="str">
        <f t="shared" si="1"/>
        <v>170.000</v>
      </c>
      <c r="C147" s="6" t="str">
        <f t="shared" si="2"/>
        <v>170,000</v>
      </c>
      <c r="D147" s="6">
        <f t="shared" si="3"/>
        <v>170</v>
      </c>
      <c r="E147" s="6">
        <f t="shared" si="4"/>
        <v>0.353</v>
      </c>
    </row>
    <row r="148">
      <c r="A148" s="4" t="s">
        <v>7253</v>
      </c>
      <c r="B148" s="6" t="str">
        <f t="shared" si="1"/>
        <v>170.359</v>
      </c>
      <c r="C148" s="6" t="str">
        <f t="shared" si="2"/>
        <v>170,359</v>
      </c>
      <c r="D148" s="6">
        <f t="shared" si="3"/>
        <v>170.359</v>
      </c>
      <c r="E148" s="6">
        <f t="shared" si="4"/>
        <v>0.359</v>
      </c>
    </row>
    <row r="149">
      <c r="A149" s="4" t="s">
        <v>7254</v>
      </c>
      <c r="B149" s="6" t="str">
        <f t="shared" si="1"/>
        <v>170.723</v>
      </c>
      <c r="C149" s="6" t="str">
        <f t="shared" si="2"/>
        <v>170,723</v>
      </c>
      <c r="D149" s="6">
        <f t="shared" si="3"/>
        <v>170.723</v>
      </c>
      <c r="E149" s="6">
        <f t="shared" si="4"/>
        <v>0.364</v>
      </c>
    </row>
    <row r="150">
      <c r="A150" s="4" t="s">
        <v>7255</v>
      </c>
      <c r="B150" s="6" t="str">
        <f t="shared" si="1"/>
        <v>171.079</v>
      </c>
      <c r="C150" s="6" t="str">
        <f t="shared" si="2"/>
        <v>171,079</v>
      </c>
      <c r="D150" s="6">
        <f t="shared" si="3"/>
        <v>171.079</v>
      </c>
      <c r="E150" s="6">
        <f t="shared" si="4"/>
        <v>0.356</v>
      </c>
    </row>
    <row r="151">
      <c r="A151" s="4" t="s">
        <v>7256</v>
      </c>
      <c r="B151" s="6" t="str">
        <f t="shared" si="1"/>
        <v>171.413</v>
      </c>
      <c r="C151" s="6" t="str">
        <f t="shared" si="2"/>
        <v>171,413</v>
      </c>
      <c r="D151" s="6">
        <f t="shared" si="3"/>
        <v>171.413</v>
      </c>
      <c r="E151" s="6">
        <f t="shared" si="4"/>
        <v>0.334</v>
      </c>
    </row>
    <row r="152">
      <c r="A152" s="4" t="s">
        <v>7257</v>
      </c>
      <c r="B152" s="6" t="str">
        <f t="shared" si="1"/>
        <v>175.336</v>
      </c>
      <c r="C152" s="6" t="str">
        <f t="shared" si="2"/>
        <v>175,336</v>
      </c>
      <c r="D152" s="6">
        <f t="shared" si="3"/>
        <v>175.336</v>
      </c>
      <c r="E152" s="6">
        <f t="shared" si="4"/>
        <v>3.923</v>
      </c>
    </row>
    <row r="153">
      <c r="A153" s="4" t="s">
        <v>7258</v>
      </c>
      <c r="B153" s="6" t="str">
        <f t="shared" si="1"/>
        <v>175.693</v>
      </c>
      <c r="C153" s="6" t="str">
        <f t="shared" si="2"/>
        <v>175,693</v>
      </c>
      <c r="D153" s="6">
        <f t="shared" si="3"/>
        <v>175.693</v>
      </c>
      <c r="E153" s="6">
        <f t="shared" si="4"/>
        <v>0.357</v>
      </c>
    </row>
    <row r="154">
      <c r="A154" s="4" t="s">
        <v>7259</v>
      </c>
      <c r="B154" s="6" t="str">
        <f t="shared" si="1"/>
        <v>176.040</v>
      </c>
      <c r="C154" s="6" t="str">
        <f t="shared" si="2"/>
        <v>176,040</v>
      </c>
      <c r="D154" s="6">
        <f t="shared" si="3"/>
        <v>176.04</v>
      </c>
      <c r="E154" s="6">
        <f t="shared" si="4"/>
        <v>0.347</v>
      </c>
    </row>
    <row r="155">
      <c r="A155" s="4" t="s">
        <v>7260</v>
      </c>
      <c r="B155" s="6" t="str">
        <f t="shared" si="1"/>
        <v>176.395</v>
      </c>
      <c r="C155" s="6" t="str">
        <f t="shared" si="2"/>
        <v>176,395</v>
      </c>
      <c r="D155" s="6">
        <f t="shared" si="3"/>
        <v>176.395</v>
      </c>
      <c r="E155" s="6">
        <f t="shared" si="4"/>
        <v>0.355</v>
      </c>
    </row>
    <row r="156">
      <c r="A156" s="4" t="s">
        <v>7261</v>
      </c>
      <c r="B156" s="6" t="str">
        <f t="shared" si="1"/>
        <v>176.807</v>
      </c>
      <c r="C156" s="6" t="str">
        <f t="shared" si="2"/>
        <v>176,807</v>
      </c>
      <c r="D156" s="6">
        <f t="shared" si="3"/>
        <v>176.807</v>
      </c>
      <c r="E156" s="6">
        <f t="shared" si="4"/>
        <v>0.412</v>
      </c>
    </row>
    <row r="157">
      <c r="A157" s="4" t="s">
        <v>7262</v>
      </c>
      <c r="B157" s="6" t="str">
        <f t="shared" si="1"/>
        <v>177.159</v>
      </c>
      <c r="C157" s="6" t="str">
        <f t="shared" si="2"/>
        <v>177,159</v>
      </c>
      <c r="D157" s="6">
        <f t="shared" si="3"/>
        <v>177.159</v>
      </c>
      <c r="E157" s="6">
        <f t="shared" si="4"/>
        <v>0.352</v>
      </c>
    </row>
    <row r="158">
      <c r="A158" s="4" t="s">
        <v>7263</v>
      </c>
      <c r="B158" s="6" t="str">
        <f t="shared" si="1"/>
        <v>177.485</v>
      </c>
      <c r="C158" s="6" t="str">
        <f t="shared" si="2"/>
        <v>177,485</v>
      </c>
      <c r="D158" s="6">
        <f t="shared" si="3"/>
        <v>177.485</v>
      </c>
      <c r="E158" s="6">
        <f t="shared" si="4"/>
        <v>0.326</v>
      </c>
    </row>
    <row r="159">
      <c r="A159" s="4" t="s">
        <v>7264</v>
      </c>
      <c r="B159" s="6" t="str">
        <f t="shared" si="1"/>
        <v>177.818</v>
      </c>
      <c r="C159" s="6" t="str">
        <f t="shared" si="2"/>
        <v>177,818</v>
      </c>
      <c r="D159" s="6">
        <f t="shared" si="3"/>
        <v>177.818</v>
      </c>
      <c r="E159" s="6">
        <f t="shared" si="4"/>
        <v>0.333</v>
      </c>
    </row>
    <row r="160">
      <c r="A160" s="4" t="s">
        <v>7265</v>
      </c>
      <c r="B160" s="6" t="str">
        <f t="shared" si="1"/>
        <v>178.166</v>
      </c>
      <c r="C160" s="6" t="str">
        <f t="shared" si="2"/>
        <v>178,166</v>
      </c>
      <c r="D160" s="6">
        <f t="shared" si="3"/>
        <v>178.166</v>
      </c>
      <c r="E160" s="6">
        <f t="shared" si="4"/>
        <v>0.348</v>
      </c>
    </row>
    <row r="161">
      <c r="A161" s="4" t="s">
        <v>7266</v>
      </c>
      <c r="B161" s="6" t="str">
        <f t="shared" si="1"/>
        <v>178.491</v>
      </c>
      <c r="C161" s="6" t="str">
        <f t="shared" si="2"/>
        <v>178,491</v>
      </c>
      <c r="D161" s="6">
        <f t="shared" si="3"/>
        <v>178.491</v>
      </c>
      <c r="E161" s="6">
        <f t="shared" si="4"/>
        <v>0.325</v>
      </c>
    </row>
    <row r="162">
      <c r="A162" s="4" t="s">
        <v>7267</v>
      </c>
      <c r="B162" s="6" t="str">
        <f t="shared" si="1"/>
        <v>178.835</v>
      </c>
      <c r="C162" s="6" t="str">
        <f t="shared" si="2"/>
        <v>178,835</v>
      </c>
      <c r="D162" s="6">
        <f t="shared" si="3"/>
        <v>178.835</v>
      </c>
      <c r="E162" s="6">
        <f t="shared" si="4"/>
        <v>0.344</v>
      </c>
    </row>
    <row r="163">
      <c r="A163" s="4" t="s">
        <v>7268</v>
      </c>
      <c r="B163" s="6" t="str">
        <f t="shared" si="1"/>
        <v>179.181</v>
      </c>
      <c r="C163" s="6" t="str">
        <f t="shared" si="2"/>
        <v>179,181</v>
      </c>
      <c r="D163" s="6">
        <f t="shared" si="3"/>
        <v>179.181</v>
      </c>
      <c r="E163" s="6">
        <f t="shared" si="4"/>
        <v>0.346</v>
      </c>
    </row>
    <row r="164">
      <c r="A164" s="4" t="s">
        <v>7269</v>
      </c>
      <c r="B164" s="6" t="str">
        <f t="shared" si="1"/>
        <v>179.518</v>
      </c>
      <c r="C164" s="6" t="str">
        <f t="shared" si="2"/>
        <v>179,518</v>
      </c>
      <c r="D164" s="6">
        <f t="shared" si="3"/>
        <v>179.518</v>
      </c>
      <c r="E164" s="6">
        <f t="shared" si="4"/>
        <v>0.337</v>
      </c>
    </row>
    <row r="165">
      <c r="A165" s="4" t="s">
        <v>7270</v>
      </c>
      <c r="B165" s="6" t="str">
        <f t="shared" si="1"/>
        <v>179.863</v>
      </c>
      <c r="C165" s="6" t="str">
        <f t="shared" si="2"/>
        <v>179,863</v>
      </c>
      <c r="D165" s="6">
        <f t="shared" si="3"/>
        <v>179.863</v>
      </c>
      <c r="E165" s="6">
        <f t="shared" si="4"/>
        <v>0.345</v>
      </c>
    </row>
    <row r="166">
      <c r="A166" s="4" t="s">
        <v>7271</v>
      </c>
      <c r="B166" s="6" t="str">
        <f t="shared" si="1"/>
        <v>180.213</v>
      </c>
      <c r="C166" s="6" t="str">
        <f t="shared" si="2"/>
        <v>180,213</v>
      </c>
      <c r="D166" s="6">
        <f t="shared" si="3"/>
        <v>180.213</v>
      </c>
      <c r="E166" s="6">
        <f t="shared" si="4"/>
        <v>0.35</v>
      </c>
    </row>
    <row r="167">
      <c r="A167" s="4" t="s">
        <v>7272</v>
      </c>
      <c r="B167" s="6" t="str">
        <f t="shared" si="1"/>
        <v>180.670</v>
      </c>
      <c r="C167" s="6" t="str">
        <f t="shared" si="2"/>
        <v>180,670</v>
      </c>
      <c r="D167" s="6">
        <f t="shared" si="3"/>
        <v>180.67</v>
      </c>
      <c r="E167" s="6">
        <f t="shared" si="4"/>
        <v>0.457</v>
      </c>
    </row>
    <row r="168">
      <c r="A168" s="4" t="s">
        <v>7273</v>
      </c>
      <c r="B168" s="6" t="str">
        <f t="shared" si="1"/>
        <v>181.030</v>
      </c>
      <c r="C168" s="6" t="str">
        <f t="shared" si="2"/>
        <v>181,030</v>
      </c>
      <c r="D168" s="6">
        <f t="shared" si="3"/>
        <v>181.03</v>
      </c>
      <c r="E168" s="6">
        <f t="shared" si="4"/>
        <v>0.36</v>
      </c>
    </row>
    <row r="169">
      <c r="A169" s="4" t="s">
        <v>7274</v>
      </c>
      <c r="B169" s="6" t="str">
        <f t="shared" si="1"/>
        <v>181.429</v>
      </c>
      <c r="C169" s="6" t="str">
        <f t="shared" si="2"/>
        <v>181,429</v>
      </c>
      <c r="D169" s="6">
        <f t="shared" si="3"/>
        <v>181.429</v>
      </c>
      <c r="E169" s="6">
        <f t="shared" si="4"/>
        <v>0.399</v>
      </c>
    </row>
    <row r="170">
      <c r="A170" s="4" t="s">
        <v>7275</v>
      </c>
      <c r="B170" s="6" t="str">
        <f t="shared" si="1"/>
        <v>181.775</v>
      </c>
      <c r="C170" s="6" t="str">
        <f t="shared" si="2"/>
        <v>181,775</v>
      </c>
      <c r="D170" s="6">
        <f t="shared" si="3"/>
        <v>181.775</v>
      </c>
      <c r="E170" s="6">
        <f t="shared" si="4"/>
        <v>0.346</v>
      </c>
    </row>
    <row r="171">
      <c r="A171" s="4" t="s">
        <v>7276</v>
      </c>
      <c r="B171" s="6" t="str">
        <f t="shared" si="1"/>
        <v>182.115</v>
      </c>
      <c r="C171" s="6" t="str">
        <f t="shared" si="2"/>
        <v>182,115</v>
      </c>
      <c r="D171" s="6">
        <f t="shared" si="3"/>
        <v>182.115</v>
      </c>
      <c r="E171" s="6">
        <f t="shared" si="4"/>
        <v>0.34</v>
      </c>
    </row>
    <row r="172">
      <c r="A172" s="4" t="s">
        <v>7277</v>
      </c>
      <c r="B172" s="6" t="str">
        <f t="shared" si="1"/>
        <v>183.715</v>
      </c>
      <c r="C172" s="6" t="str">
        <f t="shared" si="2"/>
        <v>183,715</v>
      </c>
      <c r="D172" s="6">
        <f t="shared" si="3"/>
        <v>183.715</v>
      </c>
      <c r="E172" s="6">
        <f t="shared" si="4"/>
        <v>1.6</v>
      </c>
    </row>
    <row r="173">
      <c r="A173" s="4" t="s">
        <v>7278</v>
      </c>
      <c r="B173" s="6" t="str">
        <f t="shared" si="1"/>
        <v>184.057</v>
      </c>
      <c r="C173" s="6" t="str">
        <f t="shared" si="2"/>
        <v>184,057</v>
      </c>
      <c r="D173" s="6">
        <f t="shared" si="3"/>
        <v>184.057</v>
      </c>
      <c r="E173" s="6">
        <f t="shared" si="4"/>
        <v>0.342</v>
      </c>
    </row>
    <row r="174">
      <c r="A174" s="4" t="s">
        <v>7279</v>
      </c>
      <c r="B174" s="6" t="str">
        <f t="shared" si="1"/>
        <v>184.424</v>
      </c>
      <c r="C174" s="6" t="str">
        <f t="shared" si="2"/>
        <v>184,424</v>
      </c>
      <c r="D174" s="6">
        <f t="shared" si="3"/>
        <v>184.424</v>
      </c>
      <c r="E174" s="6">
        <f t="shared" si="4"/>
        <v>0.367</v>
      </c>
    </row>
    <row r="175">
      <c r="A175" s="4" t="s">
        <v>7280</v>
      </c>
      <c r="B175" s="6" t="str">
        <f t="shared" si="1"/>
        <v>184.770</v>
      </c>
      <c r="C175" s="6" t="str">
        <f t="shared" si="2"/>
        <v>184,770</v>
      </c>
      <c r="D175" s="6">
        <f t="shared" si="3"/>
        <v>184.77</v>
      </c>
      <c r="E175" s="6">
        <f t="shared" si="4"/>
        <v>0.346</v>
      </c>
    </row>
    <row r="176">
      <c r="A176" s="4" t="s">
        <v>7281</v>
      </c>
      <c r="B176" s="6" t="str">
        <f t="shared" si="1"/>
        <v>187.522</v>
      </c>
      <c r="C176" s="6" t="str">
        <f t="shared" si="2"/>
        <v>187,522</v>
      </c>
      <c r="D176" s="6">
        <f t="shared" si="3"/>
        <v>187.522</v>
      </c>
      <c r="E176" s="6">
        <f t="shared" si="4"/>
        <v>2.752</v>
      </c>
    </row>
    <row r="177">
      <c r="A177" s="4" t="s">
        <v>7282</v>
      </c>
      <c r="B177" s="6" t="str">
        <f t="shared" si="1"/>
        <v>187.875</v>
      </c>
      <c r="C177" s="6" t="str">
        <f t="shared" si="2"/>
        <v>187,875</v>
      </c>
      <c r="D177" s="6">
        <f t="shared" si="3"/>
        <v>187.875</v>
      </c>
      <c r="E177" s="6">
        <f t="shared" si="4"/>
        <v>0.353</v>
      </c>
    </row>
    <row r="178">
      <c r="A178" s="4" t="s">
        <v>7283</v>
      </c>
      <c r="B178" s="6" t="str">
        <f t="shared" si="1"/>
        <v>188.229</v>
      </c>
      <c r="C178" s="6" t="str">
        <f t="shared" si="2"/>
        <v>188,229</v>
      </c>
      <c r="D178" s="6">
        <f t="shared" si="3"/>
        <v>188.229</v>
      </c>
      <c r="E178" s="6">
        <f t="shared" si="4"/>
        <v>0.354</v>
      </c>
    </row>
    <row r="179">
      <c r="A179" s="4" t="s">
        <v>7284</v>
      </c>
      <c r="B179" s="6" t="str">
        <f t="shared" si="1"/>
        <v>188.614</v>
      </c>
      <c r="C179" s="6" t="str">
        <f t="shared" si="2"/>
        <v>188,614</v>
      </c>
      <c r="D179" s="6">
        <f t="shared" si="3"/>
        <v>188.614</v>
      </c>
      <c r="E179" s="6">
        <f t="shared" si="4"/>
        <v>0.385</v>
      </c>
    </row>
    <row r="180">
      <c r="A180" s="4" t="s">
        <v>7285</v>
      </c>
      <c r="B180" s="6" t="str">
        <f t="shared" si="1"/>
        <v>188.955</v>
      </c>
      <c r="C180" s="6" t="str">
        <f t="shared" si="2"/>
        <v>188,955</v>
      </c>
      <c r="D180" s="6">
        <f t="shared" si="3"/>
        <v>188.955</v>
      </c>
      <c r="E180" s="6">
        <f t="shared" si="4"/>
        <v>0.341</v>
      </c>
    </row>
    <row r="181">
      <c r="A181" s="4" t="s">
        <v>7286</v>
      </c>
      <c r="B181" s="6" t="str">
        <f t="shared" si="1"/>
        <v>194.907</v>
      </c>
      <c r="C181" s="6" t="str">
        <f t="shared" si="2"/>
        <v>194,907</v>
      </c>
      <c r="D181" s="6">
        <f t="shared" si="3"/>
        <v>194.907</v>
      </c>
      <c r="E181" s="6">
        <f t="shared" si="4"/>
        <v>5.952</v>
      </c>
    </row>
    <row r="182">
      <c r="A182" s="4" t="s">
        <v>7287</v>
      </c>
      <c r="B182" s="6" t="str">
        <f t="shared" si="1"/>
        <v>195.332</v>
      </c>
      <c r="C182" s="6" t="str">
        <f t="shared" si="2"/>
        <v>195,332</v>
      </c>
      <c r="D182" s="6">
        <f t="shared" si="3"/>
        <v>195.332</v>
      </c>
      <c r="E182" s="6">
        <f t="shared" si="4"/>
        <v>0.425</v>
      </c>
    </row>
    <row r="183">
      <c r="A183" s="4" t="s">
        <v>7288</v>
      </c>
      <c r="B183" s="6" t="str">
        <f t="shared" si="1"/>
        <v>195.649</v>
      </c>
      <c r="C183" s="6" t="str">
        <f t="shared" si="2"/>
        <v>195,649</v>
      </c>
      <c r="D183" s="6">
        <f t="shared" si="3"/>
        <v>195.649</v>
      </c>
      <c r="E183" s="6">
        <f t="shared" si="4"/>
        <v>0.317</v>
      </c>
    </row>
    <row r="184">
      <c r="A184" s="4" t="s">
        <v>7289</v>
      </c>
      <c r="B184" s="6" t="str">
        <f t="shared" si="1"/>
        <v>195.999</v>
      </c>
      <c r="C184" s="6" t="str">
        <f t="shared" si="2"/>
        <v>195,999</v>
      </c>
      <c r="D184" s="6">
        <f t="shared" si="3"/>
        <v>195.999</v>
      </c>
      <c r="E184" s="6">
        <f t="shared" si="4"/>
        <v>0.35</v>
      </c>
    </row>
    <row r="185">
      <c r="A185" s="4" t="s">
        <v>7290</v>
      </c>
      <c r="B185" s="6" t="str">
        <f t="shared" si="1"/>
        <v>196.325</v>
      </c>
      <c r="C185" s="6" t="str">
        <f t="shared" si="2"/>
        <v>196,325</v>
      </c>
      <c r="D185" s="6">
        <f t="shared" si="3"/>
        <v>196.325</v>
      </c>
      <c r="E185" s="6">
        <f t="shared" si="4"/>
        <v>0.326</v>
      </c>
    </row>
    <row r="186">
      <c r="A186" s="4" t="s">
        <v>7291</v>
      </c>
      <c r="B186" s="6" t="str">
        <f t="shared" si="1"/>
        <v>196.649</v>
      </c>
      <c r="C186" s="6" t="str">
        <f t="shared" si="2"/>
        <v>196,649</v>
      </c>
      <c r="D186" s="6">
        <f t="shared" si="3"/>
        <v>196.649</v>
      </c>
      <c r="E186" s="6">
        <f t="shared" si="4"/>
        <v>0.324</v>
      </c>
    </row>
    <row r="187">
      <c r="A187" s="4" t="s">
        <v>7292</v>
      </c>
      <c r="B187" s="6" t="str">
        <f t="shared" si="1"/>
        <v>196.962</v>
      </c>
      <c r="C187" s="6" t="str">
        <f t="shared" si="2"/>
        <v>196,962</v>
      </c>
      <c r="D187" s="6">
        <f t="shared" si="3"/>
        <v>196.962</v>
      </c>
      <c r="E187" s="6">
        <f t="shared" si="4"/>
        <v>0.313</v>
      </c>
    </row>
    <row r="188">
      <c r="A188" s="4" t="s">
        <v>7293</v>
      </c>
      <c r="B188" s="6" t="str">
        <f t="shared" si="1"/>
        <v>197.300</v>
      </c>
      <c r="C188" s="6" t="str">
        <f t="shared" si="2"/>
        <v>197,300</v>
      </c>
      <c r="D188" s="6">
        <f t="shared" si="3"/>
        <v>197.3</v>
      </c>
      <c r="E188" s="6">
        <f t="shared" si="4"/>
        <v>0.338</v>
      </c>
    </row>
    <row r="189">
      <c r="A189" s="4" t="s">
        <v>7294</v>
      </c>
      <c r="B189" s="6" t="str">
        <f t="shared" si="1"/>
        <v>197.626</v>
      </c>
      <c r="C189" s="6" t="str">
        <f t="shared" si="2"/>
        <v>197,626</v>
      </c>
      <c r="D189" s="6">
        <f t="shared" si="3"/>
        <v>197.626</v>
      </c>
      <c r="E189" s="6">
        <f t="shared" si="4"/>
        <v>0.326</v>
      </c>
    </row>
    <row r="190">
      <c r="A190" s="4" t="s">
        <v>7295</v>
      </c>
      <c r="B190" s="6" t="str">
        <f t="shared" si="1"/>
        <v>197.947</v>
      </c>
      <c r="C190" s="6" t="str">
        <f t="shared" si="2"/>
        <v>197,947</v>
      </c>
      <c r="D190" s="6">
        <f t="shared" si="3"/>
        <v>197.947</v>
      </c>
      <c r="E190" s="6">
        <f t="shared" si="4"/>
        <v>0.321</v>
      </c>
    </row>
    <row r="191">
      <c r="A191" s="4" t="s">
        <v>7296</v>
      </c>
      <c r="B191" s="6" t="str">
        <f t="shared" si="1"/>
        <v>198.280</v>
      </c>
      <c r="C191" s="6" t="str">
        <f t="shared" si="2"/>
        <v>198,280</v>
      </c>
      <c r="D191" s="6">
        <f t="shared" si="3"/>
        <v>198.28</v>
      </c>
      <c r="E191" s="6">
        <f t="shared" si="4"/>
        <v>0.333</v>
      </c>
    </row>
    <row r="192">
      <c r="A192" s="4" t="s">
        <v>7297</v>
      </c>
      <c r="B192" s="6" t="str">
        <f t="shared" si="1"/>
        <v>198.598</v>
      </c>
      <c r="C192" s="6" t="str">
        <f t="shared" si="2"/>
        <v>198,598</v>
      </c>
      <c r="D192" s="6">
        <f t="shared" si="3"/>
        <v>198.598</v>
      </c>
      <c r="E192" s="6">
        <f t="shared" si="4"/>
        <v>0.318</v>
      </c>
    </row>
    <row r="193">
      <c r="A193" s="4" t="s">
        <v>7298</v>
      </c>
      <c r="B193" s="6" t="str">
        <f t="shared" si="1"/>
        <v>200.886</v>
      </c>
      <c r="C193" s="6" t="str">
        <f t="shared" si="2"/>
        <v>200,886</v>
      </c>
      <c r="D193" s="6">
        <f t="shared" si="3"/>
        <v>200.886</v>
      </c>
      <c r="E193" s="6">
        <f t="shared" si="4"/>
        <v>2.288</v>
      </c>
    </row>
    <row r="194">
      <c r="A194" s="4" t="s">
        <v>7299</v>
      </c>
      <c r="B194" s="6" t="str">
        <f t="shared" si="1"/>
        <v>201.233</v>
      </c>
      <c r="C194" s="6" t="str">
        <f t="shared" si="2"/>
        <v>201,233</v>
      </c>
      <c r="D194" s="6">
        <f t="shared" si="3"/>
        <v>201.233</v>
      </c>
      <c r="E194" s="6">
        <f t="shared" si="4"/>
        <v>0.347</v>
      </c>
    </row>
    <row r="195">
      <c r="A195" s="4" t="s">
        <v>7300</v>
      </c>
      <c r="B195" s="6" t="str">
        <f t="shared" si="1"/>
        <v>201.576</v>
      </c>
      <c r="C195" s="6" t="str">
        <f t="shared" si="2"/>
        <v>201,576</v>
      </c>
      <c r="D195" s="6">
        <f t="shared" si="3"/>
        <v>201.576</v>
      </c>
      <c r="E195" s="6">
        <f t="shared" si="4"/>
        <v>0.343</v>
      </c>
    </row>
    <row r="196">
      <c r="A196" s="4" t="s">
        <v>7301</v>
      </c>
      <c r="B196" s="6" t="str">
        <f t="shared" si="1"/>
        <v>201.960</v>
      </c>
      <c r="C196" s="6" t="str">
        <f t="shared" si="2"/>
        <v>201,960</v>
      </c>
      <c r="D196" s="6">
        <f t="shared" si="3"/>
        <v>201.96</v>
      </c>
      <c r="E196" s="6">
        <f t="shared" si="4"/>
        <v>0.384</v>
      </c>
    </row>
    <row r="197">
      <c r="A197" s="4" t="s">
        <v>7302</v>
      </c>
      <c r="B197" s="6" t="str">
        <f t="shared" si="1"/>
        <v>202.282</v>
      </c>
      <c r="C197" s="6" t="str">
        <f t="shared" si="2"/>
        <v>202,282</v>
      </c>
      <c r="D197" s="6">
        <f t="shared" si="3"/>
        <v>202.282</v>
      </c>
      <c r="E197" s="6">
        <f t="shared" si="4"/>
        <v>0.322</v>
      </c>
    </row>
    <row r="198">
      <c r="A198" s="4" t="s">
        <v>7303</v>
      </c>
      <c r="B198" s="6" t="str">
        <f t="shared" si="1"/>
        <v>209.165</v>
      </c>
      <c r="C198" s="6" t="str">
        <f t="shared" si="2"/>
        <v>209,165</v>
      </c>
      <c r="D198" s="6">
        <f t="shared" si="3"/>
        <v>209.165</v>
      </c>
      <c r="E198" s="6">
        <f t="shared" si="4"/>
        <v>6.883</v>
      </c>
    </row>
    <row r="199">
      <c r="A199" s="4" t="s">
        <v>7304</v>
      </c>
      <c r="B199" s="6" t="str">
        <f t="shared" si="1"/>
        <v>209.510</v>
      </c>
      <c r="C199" s="6" t="str">
        <f t="shared" si="2"/>
        <v>209,510</v>
      </c>
      <c r="D199" s="6">
        <f t="shared" si="3"/>
        <v>209.51</v>
      </c>
      <c r="E199" s="6">
        <f t="shared" si="4"/>
        <v>0.345</v>
      </c>
    </row>
    <row r="200">
      <c r="A200" s="4" t="s">
        <v>7305</v>
      </c>
      <c r="B200" s="6" t="str">
        <f t="shared" si="1"/>
        <v>209.869</v>
      </c>
      <c r="C200" s="6" t="str">
        <f t="shared" si="2"/>
        <v>209,869</v>
      </c>
      <c r="D200" s="6">
        <f t="shared" si="3"/>
        <v>209.869</v>
      </c>
      <c r="E200" s="6">
        <f t="shared" si="4"/>
        <v>0.359</v>
      </c>
    </row>
    <row r="201">
      <c r="A201" s="4" t="s">
        <v>7306</v>
      </c>
      <c r="B201" s="6" t="str">
        <f t="shared" si="1"/>
        <v>210.225</v>
      </c>
      <c r="C201" s="6" t="str">
        <f t="shared" si="2"/>
        <v>210,225</v>
      </c>
      <c r="D201" s="6">
        <f t="shared" si="3"/>
        <v>210.225</v>
      </c>
      <c r="E201" s="6">
        <f t="shared" si="4"/>
        <v>0.356</v>
      </c>
    </row>
    <row r="202">
      <c r="A202" s="4" t="s">
        <v>7307</v>
      </c>
      <c r="B202" s="6" t="str">
        <f t="shared" si="1"/>
        <v>210.565</v>
      </c>
      <c r="C202" s="6" t="str">
        <f t="shared" si="2"/>
        <v>210,565</v>
      </c>
      <c r="D202" s="6">
        <f t="shared" si="3"/>
        <v>210.565</v>
      </c>
      <c r="E202" s="6">
        <f t="shared" si="4"/>
        <v>0.34</v>
      </c>
    </row>
    <row r="203">
      <c r="A203" s="4" t="s">
        <v>7308</v>
      </c>
      <c r="B203" s="6" t="str">
        <f t="shared" si="1"/>
        <v>210.920</v>
      </c>
      <c r="C203" s="6" t="str">
        <f t="shared" si="2"/>
        <v>210,920</v>
      </c>
      <c r="D203" s="6">
        <f t="shared" si="3"/>
        <v>210.92</v>
      </c>
      <c r="E203" s="6">
        <f t="shared" si="4"/>
        <v>0.355</v>
      </c>
    </row>
    <row r="204">
      <c r="A204" s="4" t="s">
        <v>7309</v>
      </c>
      <c r="B204" s="6" t="str">
        <f t="shared" si="1"/>
        <v>211.261</v>
      </c>
      <c r="C204" s="6" t="str">
        <f t="shared" si="2"/>
        <v>211,261</v>
      </c>
      <c r="D204" s="6">
        <f t="shared" si="3"/>
        <v>211.261</v>
      </c>
      <c r="E204" s="6">
        <f t="shared" si="4"/>
        <v>0.341</v>
      </c>
    </row>
    <row r="205">
      <c r="A205" s="4" t="s">
        <v>7310</v>
      </c>
      <c r="B205" s="6" t="str">
        <f t="shared" si="1"/>
        <v>211.605</v>
      </c>
      <c r="C205" s="6" t="str">
        <f t="shared" si="2"/>
        <v>211,605</v>
      </c>
      <c r="D205" s="6">
        <f t="shared" si="3"/>
        <v>211.605</v>
      </c>
      <c r="E205" s="6">
        <f t="shared" si="4"/>
        <v>0.344</v>
      </c>
    </row>
    <row r="206">
      <c r="A206" s="4" t="s">
        <v>7311</v>
      </c>
      <c r="B206" s="6" t="str">
        <f t="shared" si="1"/>
        <v>211.945</v>
      </c>
      <c r="C206" s="6" t="str">
        <f t="shared" si="2"/>
        <v>211,945</v>
      </c>
      <c r="D206" s="6">
        <f t="shared" si="3"/>
        <v>211.945</v>
      </c>
      <c r="E206" s="6">
        <f t="shared" si="4"/>
        <v>0.34</v>
      </c>
    </row>
    <row r="207">
      <c r="A207" s="4" t="s">
        <v>7312</v>
      </c>
      <c r="B207" s="6" t="str">
        <f t="shared" si="1"/>
        <v>212.283</v>
      </c>
      <c r="C207" s="6" t="str">
        <f t="shared" si="2"/>
        <v>212,283</v>
      </c>
      <c r="D207" s="6">
        <f t="shared" si="3"/>
        <v>212.283</v>
      </c>
      <c r="E207" s="6">
        <f t="shared" si="4"/>
        <v>0.338</v>
      </c>
    </row>
    <row r="208">
      <c r="A208" s="4" t="s">
        <v>7313</v>
      </c>
      <c r="B208" s="6" t="str">
        <f t="shared" si="1"/>
        <v>212.626</v>
      </c>
      <c r="C208" s="6" t="str">
        <f t="shared" si="2"/>
        <v>212,626</v>
      </c>
      <c r="D208" s="6">
        <f t="shared" si="3"/>
        <v>212.626</v>
      </c>
      <c r="E208" s="6">
        <f t="shared" si="4"/>
        <v>0.343</v>
      </c>
    </row>
    <row r="209">
      <c r="A209" s="4" t="s">
        <v>7314</v>
      </c>
      <c r="B209" s="6" t="str">
        <f t="shared" si="1"/>
        <v>213.019</v>
      </c>
      <c r="C209" s="6" t="str">
        <f t="shared" si="2"/>
        <v>213,019</v>
      </c>
      <c r="D209" s="6">
        <f t="shared" si="3"/>
        <v>213.019</v>
      </c>
      <c r="E209" s="6">
        <f t="shared" si="4"/>
        <v>0.393</v>
      </c>
    </row>
    <row r="210">
      <c r="A210" s="4" t="s">
        <v>7315</v>
      </c>
      <c r="B210" s="6" t="str">
        <f t="shared" si="1"/>
        <v>213.349</v>
      </c>
      <c r="C210" s="6" t="str">
        <f t="shared" si="2"/>
        <v>213,349</v>
      </c>
      <c r="D210" s="6">
        <f t="shared" si="3"/>
        <v>213.349</v>
      </c>
      <c r="E210" s="6">
        <f t="shared" si="4"/>
        <v>0.33</v>
      </c>
    </row>
    <row r="211">
      <c r="A211" s="4" t="s">
        <v>7316</v>
      </c>
      <c r="B211" s="6" t="str">
        <f t="shared" si="1"/>
        <v>213.682</v>
      </c>
      <c r="C211" s="6" t="str">
        <f t="shared" si="2"/>
        <v>213,682</v>
      </c>
      <c r="D211" s="6">
        <f t="shared" si="3"/>
        <v>213.682</v>
      </c>
      <c r="E211" s="6">
        <f t="shared" si="4"/>
        <v>0.333</v>
      </c>
    </row>
    <row r="212">
      <c r="A212" s="4" t="s">
        <v>7317</v>
      </c>
      <c r="B212" s="6" t="str">
        <f t="shared" si="1"/>
        <v>214.018</v>
      </c>
      <c r="C212" s="6" t="str">
        <f t="shared" si="2"/>
        <v>214,018</v>
      </c>
      <c r="D212" s="6">
        <f t="shared" si="3"/>
        <v>214.018</v>
      </c>
      <c r="E212" s="6">
        <f t="shared" si="4"/>
        <v>0.336</v>
      </c>
    </row>
    <row r="213">
      <c r="A213" s="4" t="s">
        <v>7318</v>
      </c>
      <c r="B213" s="6" t="str">
        <f t="shared" si="1"/>
        <v>214.353</v>
      </c>
      <c r="C213" s="6" t="str">
        <f t="shared" si="2"/>
        <v>214,353</v>
      </c>
      <c r="D213" s="6">
        <f t="shared" si="3"/>
        <v>214.353</v>
      </c>
      <c r="E213" s="6">
        <f t="shared" si="4"/>
        <v>0.335</v>
      </c>
    </row>
    <row r="214">
      <c r="A214" s="4" t="s">
        <v>7319</v>
      </c>
      <c r="B214" s="6" t="str">
        <f t="shared" si="1"/>
        <v>216.777</v>
      </c>
      <c r="C214" s="6" t="str">
        <f t="shared" si="2"/>
        <v>216,777</v>
      </c>
      <c r="D214" s="6">
        <f t="shared" si="3"/>
        <v>216.777</v>
      </c>
      <c r="E214" s="6">
        <f t="shared" si="4"/>
        <v>2.424</v>
      </c>
    </row>
    <row r="215">
      <c r="A215" s="4" t="s">
        <v>7320</v>
      </c>
      <c r="B215" s="6" t="str">
        <f t="shared" si="1"/>
        <v>217.113</v>
      </c>
      <c r="C215" s="6" t="str">
        <f t="shared" si="2"/>
        <v>217,113</v>
      </c>
      <c r="D215" s="6">
        <f t="shared" si="3"/>
        <v>217.113</v>
      </c>
      <c r="E215" s="6">
        <f t="shared" si="4"/>
        <v>0.336</v>
      </c>
    </row>
    <row r="216">
      <c r="A216" s="4" t="s">
        <v>7321</v>
      </c>
      <c r="B216" s="6" t="str">
        <f t="shared" si="1"/>
        <v>217.443</v>
      </c>
      <c r="C216" s="6" t="str">
        <f t="shared" si="2"/>
        <v>217,443</v>
      </c>
      <c r="D216" s="6">
        <f t="shared" si="3"/>
        <v>217.443</v>
      </c>
      <c r="E216" s="6">
        <f t="shared" si="4"/>
        <v>0.33</v>
      </c>
    </row>
    <row r="217">
      <c r="A217" s="4" t="s">
        <v>7322</v>
      </c>
      <c r="B217" s="6" t="str">
        <f t="shared" si="1"/>
        <v>217.789</v>
      </c>
      <c r="C217" s="6" t="str">
        <f t="shared" si="2"/>
        <v>217,789</v>
      </c>
      <c r="D217" s="6">
        <f t="shared" si="3"/>
        <v>217.789</v>
      </c>
      <c r="E217" s="6">
        <f t="shared" si="4"/>
        <v>0.346</v>
      </c>
    </row>
    <row r="218">
      <c r="A218" s="4" t="s">
        <v>7323</v>
      </c>
      <c r="B218" s="6" t="str">
        <f t="shared" si="1"/>
        <v>218.133</v>
      </c>
      <c r="C218" s="6" t="str">
        <f t="shared" si="2"/>
        <v>218,133</v>
      </c>
      <c r="D218" s="6">
        <f t="shared" si="3"/>
        <v>218.133</v>
      </c>
      <c r="E218" s="6">
        <f t="shared" si="4"/>
        <v>0.344</v>
      </c>
    </row>
    <row r="219">
      <c r="A219" s="4" t="s">
        <v>7324</v>
      </c>
      <c r="B219" s="6" t="str">
        <f t="shared" si="1"/>
        <v>218.474</v>
      </c>
      <c r="C219" s="6" t="str">
        <f t="shared" si="2"/>
        <v>218,474</v>
      </c>
      <c r="D219" s="6">
        <f t="shared" si="3"/>
        <v>218.474</v>
      </c>
      <c r="E219" s="6">
        <f t="shared" si="4"/>
        <v>0.341</v>
      </c>
    </row>
    <row r="220">
      <c r="A220" s="4" t="s">
        <v>7325</v>
      </c>
      <c r="B220" s="6" t="str">
        <f t="shared" si="1"/>
        <v>222.221</v>
      </c>
      <c r="C220" s="6" t="str">
        <f t="shared" si="2"/>
        <v>222,221</v>
      </c>
      <c r="D220" s="6">
        <f t="shared" si="3"/>
        <v>222.221</v>
      </c>
      <c r="E220" s="6">
        <f t="shared" si="4"/>
        <v>3.747</v>
      </c>
    </row>
    <row r="221">
      <c r="A221" s="4" t="s">
        <v>7326</v>
      </c>
      <c r="B221" s="6" t="str">
        <f t="shared" si="1"/>
        <v>222.556</v>
      </c>
      <c r="C221" s="6" t="str">
        <f t="shared" si="2"/>
        <v>222,556</v>
      </c>
      <c r="D221" s="6">
        <f t="shared" si="3"/>
        <v>222.556</v>
      </c>
      <c r="E221" s="6">
        <f t="shared" si="4"/>
        <v>0.335</v>
      </c>
    </row>
    <row r="222">
      <c r="A222" s="4" t="s">
        <v>7327</v>
      </c>
      <c r="B222" s="6" t="str">
        <f t="shared" si="1"/>
        <v>222.948</v>
      </c>
      <c r="C222" s="6" t="str">
        <f t="shared" si="2"/>
        <v>222,948</v>
      </c>
      <c r="D222" s="6">
        <f t="shared" si="3"/>
        <v>222.948</v>
      </c>
      <c r="E222" s="6">
        <f t="shared" si="4"/>
        <v>0.392</v>
      </c>
    </row>
    <row r="223">
      <c r="A223" s="4" t="s">
        <v>7328</v>
      </c>
      <c r="B223" s="6" t="str">
        <f t="shared" si="1"/>
        <v>223.276</v>
      </c>
      <c r="C223" s="6" t="str">
        <f t="shared" si="2"/>
        <v>223,276</v>
      </c>
      <c r="D223" s="6">
        <f t="shared" si="3"/>
        <v>223.276</v>
      </c>
      <c r="E223" s="6">
        <f t="shared" si="4"/>
        <v>0.328</v>
      </c>
    </row>
    <row r="224">
      <c r="A224" s="4" t="s">
        <v>7329</v>
      </c>
      <c r="B224" s="6" t="str">
        <f t="shared" si="1"/>
        <v>223.594</v>
      </c>
      <c r="C224" s="6" t="str">
        <f t="shared" si="2"/>
        <v>223,594</v>
      </c>
      <c r="D224" s="6">
        <f t="shared" si="3"/>
        <v>223.594</v>
      </c>
      <c r="E224" s="6">
        <f t="shared" si="4"/>
        <v>0.318</v>
      </c>
    </row>
    <row r="225">
      <c r="A225" s="4" t="s">
        <v>7330</v>
      </c>
      <c r="B225" s="6" t="str">
        <f t="shared" si="1"/>
        <v>223.928</v>
      </c>
      <c r="C225" s="6" t="str">
        <f t="shared" si="2"/>
        <v>223,928</v>
      </c>
      <c r="D225" s="6">
        <f t="shared" si="3"/>
        <v>223.928</v>
      </c>
      <c r="E225" s="6">
        <f t="shared" si="4"/>
        <v>0.334</v>
      </c>
    </row>
    <row r="226">
      <c r="A226" s="4" t="s">
        <v>7331</v>
      </c>
      <c r="B226" s="6" t="str">
        <f t="shared" si="1"/>
        <v>224.260</v>
      </c>
      <c r="C226" s="6" t="str">
        <f t="shared" si="2"/>
        <v>224,260</v>
      </c>
      <c r="D226" s="6">
        <f t="shared" si="3"/>
        <v>224.26</v>
      </c>
      <c r="E226" s="6">
        <f t="shared" si="4"/>
        <v>0.332</v>
      </c>
    </row>
    <row r="227">
      <c r="A227" s="4" t="s">
        <v>7332</v>
      </c>
      <c r="B227" s="6" t="str">
        <f t="shared" si="1"/>
        <v>228.214</v>
      </c>
      <c r="C227" s="6" t="str">
        <f t="shared" si="2"/>
        <v>228,214</v>
      </c>
      <c r="D227" s="6">
        <f t="shared" si="3"/>
        <v>228.214</v>
      </c>
      <c r="E227" s="6">
        <f t="shared" si="4"/>
        <v>3.954</v>
      </c>
    </row>
    <row r="228">
      <c r="A228" s="4" t="s">
        <v>7333</v>
      </c>
      <c r="B228" s="6" t="str">
        <f t="shared" si="1"/>
        <v>228.549</v>
      </c>
      <c r="C228" s="6" t="str">
        <f t="shared" si="2"/>
        <v>228,549</v>
      </c>
      <c r="D228" s="6">
        <f t="shared" si="3"/>
        <v>228.549</v>
      </c>
      <c r="E228" s="6">
        <f t="shared" si="4"/>
        <v>0.335</v>
      </c>
    </row>
    <row r="229">
      <c r="A229" s="4" t="s">
        <v>7334</v>
      </c>
      <c r="B229" s="6" t="str">
        <f t="shared" si="1"/>
        <v>228.873</v>
      </c>
      <c r="C229" s="6" t="str">
        <f t="shared" si="2"/>
        <v>228,873</v>
      </c>
      <c r="D229" s="6">
        <f t="shared" si="3"/>
        <v>228.873</v>
      </c>
      <c r="E229" s="6">
        <f t="shared" si="4"/>
        <v>0.324</v>
      </c>
    </row>
    <row r="230">
      <c r="A230" s="4" t="s">
        <v>7335</v>
      </c>
      <c r="B230" s="6" t="str">
        <f t="shared" si="1"/>
        <v>229.219</v>
      </c>
      <c r="C230" s="6" t="str">
        <f t="shared" si="2"/>
        <v>229,219</v>
      </c>
      <c r="D230" s="6">
        <f t="shared" si="3"/>
        <v>229.219</v>
      </c>
      <c r="E230" s="6">
        <f t="shared" si="4"/>
        <v>0.346</v>
      </c>
    </row>
    <row r="231">
      <c r="A231" s="4" t="s">
        <v>7336</v>
      </c>
      <c r="B231" s="6" t="str">
        <f t="shared" si="1"/>
        <v>229.547</v>
      </c>
      <c r="C231" s="6" t="str">
        <f t="shared" si="2"/>
        <v>229,547</v>
      </c>
      <c r="D231" s="6">
        <f t="shared" si="3"/>
        <v>229.547</v>
      </c>
      <c r="E231" s="6">
        <f t="shared" si="4"/>
        <v>0.328</v>
      </c>
    </row>
    <row r="232">
      <c r="A232" s="4" t="s">
        <v>7337</v>
      </c>
      <c r="B232" s="6" t="str">
        <f t="shared" si="1"/>
        <v>229.893</v>
      </c>
      <c r="C232" s="6" t="str">
        <f t="shared" si="2"/>
        <v>229,893</v>
      </c>
      <c r="D232" s="6">
        <f t="shared" si="3"/>
        <v>229.893</v>
      </c>
      <c r="E232" s="6">
        <f t="shared" si="4"/>
        <v>0.346</v>
      </c>
    </row>
    <row r="233">
      <c r="A233" s="4" t="s">
        <v>7338</v>
      </c>
      <c r="B233" s="6" t="str">
        <f t="shared" si="1"/>
        <v>230.226</v>
      </c>
      <c r="C233" s="6" t="str">
        <f t="shared" si="2"/>
        <v>230,226</v>
      </c>
      <c r="D233" s="6">
        <f t="shared" si="3"/>
        <v>230.226</v>
      </c>
      <c r="E233" s="6">
        <f t="shared" si="4"/>
        <v>0.333</v>
      </c>
    </row>
    <row r="234">
      <c r="A234" s="4" t="s">
        <v>7339</v>
      </c>
      <c r="B234" s="6" t="str">
        <f t="shared" si="1"/>
        <v>230.552</v>
      </c>
      <c r="C234" s="6" t="str">
        <f t="shared" si="2"/>
        <v>230,552</v>
      </c>
      <c r="D234" s="6">
        <f t="shared" si="3"/>
        <v>230.552</v>
      </c>
      <c r="E234" s="6">
        <f t="shared" si="4"/>
        <v>0.326</v>
      </c>
    </row>
    <row r="235">
      <c r="A235" s="4" t="s">
        <v>7340</v>
      </c>
      <c r="B235" s="6" t="str">
        <f t="shared" si="1"/>
        <v>236.737</v>
      </c>
      <c r="C235" s="6" t="str">
        <f t="shared" si="2"/>
        <v>236,737</v>
      </c>
      <c r="D235" s="6">
        <f t="shared" si="3"/>
        <v>236.737</v>
      </c>
      <c r="E235" s="6">
        <f t="shared" si="4"/>
        <v>6.185</v>
      </c>
    </row>
    <row r="236">
      <c r="A236" s="4" t="s">
        <v>7341</v>
      </c>
      <c r="B236" s="6" t="str">
        <f t="shared" si="1"/>
        <v>237.137</v>
      </c>
      <c r="C236" s="6" t="str">
        <f t="shared" si="2"/>
        <v>237,137</v>
      </c>
      <c r="D236" s="6">
        <f t="shared" si="3"/>
        <v>237.137</v>
      </c>
      <c r="E236" s="6">
        <f t="shared" si="4"/>
        <v>0.4</v>
      </c>
    </row>
    <row r="237">
      <c r="A237" s="4" t="s">
        <v>7342</v>
      </c>
      <c r="B237" s="6" t="str">
        <f t="shared" si="1"/>
        <v>237.464</v>
      </c>
      <c r="C237" s="6" t="str">
        <f t="shared" si="2"/>
        <v>237,464</v>
      </c>
      <c r="D237" s="6">
        <f t="shared" si="3"/>
        <v>237.464</v>
      </c>
      <c r="E237" s="6">
        <f t="shared" si="4"/>
        <v>0.327</v>
      </c>
    </row>
    <row r="238">
      <c r="A238" s="4" t="s">
        <v>7343</v>
      </c>
      <c r="B238" s="6" t="str">
        <f t="shared" si="1"/>
        <v>237.793</v>
      </c>
      <c r="C238" s="6" t="str">
        <f t="shared" si="2"/>
        <v>237,793</v>
      </c>
      <c r="D238" s="6">
        <f t="shared" si="3"/>
        <v>237.793</v>
      </c>
      <c r="E238" s="6">
        <f t="shared" si="4"/>
        <v>0.329</v>
      </c>
    </row>
    <row r="239">
      <c r="A239" s="4" t="s">
        <v>7344</v>
      </c>
      <c r="B239" s="6" t="str">
        <f t="shared" si="1"/>
        <v>238.132</v>
      </c>
      <c r="C239" s="6" t="str">
        <f t="shared" si="2"/>
        <v>238,132</v>
      </c>
      <c r="D239" s="6">
        <f t="shared" si="3"/>
        <v>238.132</v>
      </c>
      <c r="E239" s="6">
        <f t="shared" si="4"/>
        <v>0.339</v>
      </c>
    </row>
    <row r="240">
      <c r="A240" s="4" t="s">
        <v>7345</v>
      </c>
      <c r="B240" s="6" t="str">
        <f t="shared" si="1"/>
        <v>238.450</v>
      </c>
      <c r="C240" s="6" t="str">
        <f t="shared" si="2"/>
        <v>238,450</v>
      </c>
      <c r="D240" s="6">
        <f t="shared" si="3"/>
        <v>238.45</v>
      </c>
      <c r="E240" s="6">
        <f t="shared" si="4"/>
        <v>0.318</v>
      </c>
    </row>
    <row r="241">
      <c r="A241" s="4" t="s">
        <v>7346</v>
      </c>
      <c r="B241" s="6" t="str">
        <f t="shared" si="1"/>
        <v>238.780</v>
      </c>
      <c r="C241" s="6" t="str">
        <f t="shared" si="2"/>
        <v>238,780</v>
      </c>
      <c r="D241" s="6">
        <f t="shared" si="3"/>
        <v>238.78</v>
      </c>
      <c r="E241" s="6">
        <f t="shared" si="4"/>
        <v>0.33</v>
      </c>
    </row>
    <row r="242">
      <c r="A242" s="4" t="s">
        <v>7347</v>
      </c>
      <c r="B242" s="6" t="str">
        <f t="shared" si="1"/>
        <v>239.102</v>
      </c>
      <c r="C242" s="6" t="str">
        <f t="shared" si="2"/>
        <v>239,102</v>
      </c>
      <c r="D242" s="6">
        <f t="shared" si="3"/>
        <v>239.102</v>
      </c>
      <c r="E242" s="6">
        <f t="shared" si="4"/>
        <v>0.322</v>
      </c>
    </row>
    <row r="243">
      <c r="A243" s="4" t="s">
        <v>7348</v>
      </c>
      <c r="B243" s="6" t="str">
        <f t="shared" si="1"/>
        <v>239.430</v>
      </c>
      <c r="C243" s="6" t="str">
        <f t="shared" si="2"/>
        <v>239,430</v>
      </c>
      <c r="D243" s="6">
        <f t="shared" si="3"/>
        <v>239.43</v>
      </c>
      <c r="E243" s="6">
        <f t="shared" si="4"/>
        <v>0.328</v>
      </c>
    </row>
    <row r="244">
      <c r="A244" s="4" t="s">
        <v>7349</v>
      </c>
      <c r="B244" s="6" t="str">
        <f t="shared" si="1"/>
        <v>239.763</v>
      </c>
      <c r="C244" s="6" t="str">
        <f t="shared" si="2"/>
        <v>239,763</v>
      </c>
      <c r="D244" s="6">
        <f t="shared" si="3"/>
        <v>239.763</v>
      </c>
      <c r="E244" s="6">
        <f t="shared" si="4"/>
        <v>0.333</v>
      </c>
    </row>
    <row r="245">
      <c r="A245" s="4" t="s">
        <v>7350</v>
      </c>
      <c r="B245" s="6" t="str">
        <f t="shared" si="1"/>
        <v>240.111</v>
      </c>
      <c r="C245" s="6" t="str">
        <f t="shared" si="2"/>
        <v>240,111</v>
      </c>
      <c r="D245" s="6">
        <f t="shared" si="3"/>
        <v>240.111</v>
      </c>
      <c r="E245" s="6">
        <f t="shared" si="4"/>
        <v>0.348</v>
      </c>
    </row>
    <row r="246">
      <c r="A246" s="4" t="s">
        <v>7351</v>
      </c>
      <c r="B246" s="6" t="str">
        <f t="shared" si="1"/>
        <v>240.445</v>
      </c>
      <c r="C246" s="6" t="str">
        <f t="shared" si="2"/>
        <v>240,445</v>
      </c>
      <c r="D246" s="6">
        <f t="shared" si="3"/>
        <v>240.445</v>
      </c>
      <c r="E246" s="6">
        <f t="shared" si="4"/>
        <v>0.334</v>
      </c>
    </row>
    <row r="247">
      <c r="A247" s="4" t="s">
        <v>7352</v>
      </c>
      <c r="B247" s="6" t="str">
        <f t="shared" si="1"/>
        <v>240.783</v>
      </c>
      <c r="C247" s="6" t="str">
        <f t="shared" si="2"/>
        <v>240,783</v>
      </c>
      <c r="D247" s="6">
        <f t="shared" si="3"/>
        <v>240.783</v>
      </c>
      <c r="E247" s="6">
        <f t="shared" si="4"/>
        <v>0.338</v>
      </c>
    </row>
    <row r="248">
      <c r="A248" s="4" t="s">
        <v>7353</v>
      </c>
      <c r="B248" s="6" t="str">
        <f t="shared" si="1"/>
        <v>241.111</v>
      </c>
      <c r="C248" s="6" t="str">
        <f t="shared" si="2"/>
        <v>241,111</v>
      </c>
      <c r="D248" s="6">
        <f t="shared" si="3"/>
        <v>241.111</v>
      </c>
      <c r="E248" s="6">
        <f t="shared" si="4"/>
        <v>0.328</v>
      </c>
    </row>
    <row r="249">
      <c r="A249" s="4" t="s">
        <v>7354</v>
      </c>
      <c r="B249" s="6" t="str">
        <f t="shared" si="1"/>
        <v>241.504</v>
      </c>
      <c r="C249" s="6" t="str">
        <f t="shared" si="2"/>
        <v>241,504</v>
      </c>
      <c r="D249" s="6">
        <f t="shared" si="3"/>
        <v>241.504</v>
      </c>
      <c r="E249" s="6">
        <f t="shared" si="4"/>
        <v>0.393</v>
      </c>
    </row>
    <row r="250">
      <c r="A250" s="4" t="s">
        <v>7355</v>
      </c>
      <c r="B250" s="6" t="str">
        <f t="shared" si="1"/>
        <v>241.823</v>
      </c>
      <c r="C250" s="6" t="str">
        <f t="shared" si="2"/>
        <v>241,823</v>
      </c>
      <c r="D250" s="6">
        <f t="shared" si="3"/>
        <v>241.823</v>
      </c>
      <c r="E250" s="6">
        <f t="shared" si="4"/>
        <v>0.319</v>
      </c>
    </row>
    <row r="251">
      <c r="A251" s="4" t="s">
        <v>7356</v>
      </c>
      <c r="B251" s="6" t="str">
        <f t="shared" si="1"/>
        <v>242.154</v>
      </c>
      <c r="C251" s="6" t="str">
        <f t="shared" si="2"/>
        <v>242,154</v>
      </c>
      <c r="D251" s="6">
        <f t="shared" si="3"/>
        <v>242.154</v>
      </c>
      <c r="E251" s="6">
        <f t="shared" si="4"/>
        <v>0.331</v>
      </c>
    </row>
    <row r="252">
      <c r="A252" s="4" t="s">
        <v>7357</v>
      </c>
      <c r="B252" s="6" t="str">
        <f t="shared" si="1"/>
        <v>242.484</v>
      </c>
      <c r="C252" s="6" t="str">
        <f t="shared" si="2"/>
        <v>242,484</v>
      </c>
      <c r="D252" s="6">
        <f t="shared" si="3"/>
        <v>242.484</v>
      </c>
      <c r="E252" s="6">
        <f t="shared" si="4"/>
        <v>0.33</v>
      </c>
    </row>
    <row r="253">
      <c r="A253" s="4" t="s">
        <v>7358</v>
      </c>
      <c r="B253" s="6" t="str">
        <f t="shared" si="1"/>
        <v>243.722</v>
      </c>
      <c r="C253" s="6" t="str">
        <f t="shared" si="2"/>
        <v>243,722</v>
      </c>
      <c r="D253" s="6">
        <f t="shared" si="3"/>
        <v>243.722</v>
      </c>
      <c r="E253" s="6">
        <f t="shared" si="4"/>
        <v>1.238</v>
      </c>
    </row>
    <row r="254">
      <c r="A254" s="4" t="s">
        <v>7359</v>
      </c>
      <c r="B254" s="6" t="str">
        <f t="shared" si="1"/>
        <v>244.070</v>
      </c>
      <c r="C254" s="6" t="str">
        <f t="shared" si="2"/>
        <v>244,070</v>
      </c>
      <c r="D254" s="6">
        <f t="shared" si="3"/>
        <v>244.07</v>
      </c>
      <c r="E254" s="6">
        <f t="shared" si="4"/>
        <v>0.348</v>
      </c>
    </row>
    <row r="255">
      <c r="A255" s="4" t="s">
        <v>7360</v>
      </c>
      <c r="B255" s="6" t="str">
        <f t="shared" si="1"/>
        <v>244.404</v>
      </c>
      <c r="C255" s="6" t="str">
        <f t="shared" si="2"/>
        <v>244,404</v>
      </c>
      <c r="D255" s="6">
        <f t="shared" si="3"/>
        <v>244.404</v>
      </c>
      <c r="E255" s="6">
        <f t="shared" si="4"/>
        <v>0.334</v>
      </c>
    </row>
    <row r="256">
      <c r="A256" s="4" t="s">
        <v>7361</v>
      </c>
      <c r="B256" s="6" t="str">
        <f t="shared" si="1"/>
        <v>244.734</v>
      </c>
      <c r="C256" s="6" t="str">
        <f t="shared" si="2"/>
        <v>244,734</v>
      </c>
      <c r="D256" s="6">
        <f t="shared" si="3"/>
        <v>244.734</v>
      </c>
      <c r="E256" s="6">
        <f t="shared" si="4"/>
        <v>0.33</v>
      </c>
    </row>
    <row r="257">
      <c r="A257" s="4" t="s">
        <v>7362</v>
      </c>
      <c r="B257" s="6" t="str">
        <f t="shared" si="1"/>
        <v>245.051</v>
      </c>
      <c r="C257" s="6" t="str">
        <f t="shared" si="2"/>
        <v>245,051</v>
      </c>
      <c r="D257" s="6">
        <f t="shared" si="3"/>
        <v>245.051</v>
      </c>
      <c r="E257" s="6">
        <f t="shared" si="4"/>
        <v>0.317</v>
      </c>
    </row>
    <row r="258">
      <c r="A258" s="4" t="s">
        <v>7363</v>
      </c>
      <c r="B258" s="6" t="str">
        <f t="shared" si="1"/>
        <v>245.395</v>
      </c>
      <c r="C258" s="6" t="str">
        <f t="shared" si="2"/>
        <v>245,395</v>
      </c>
      <c r="D258" s="6">
        <f t="shared" si="3"/>
        <v>245.395</v>
      </c>
      <c r="E258" s="6">
        <f t="shared" si="4"/>
        <v>0.344</v>
      </c>
    </row>
    <row r="259">
      <c r="A259" s="4" t="s">
        <v>7364</v>
      </c>
      <c r="B259" s="6" t="str">
        <f t="shared" si="1"/>
        <v>248.292</v>
      </c>
      <c r="C259" s="6" t="str">
        <f t="shared" si="2"/>
        <v>248,292</v>
      </c>
      <c r="D259" s="6">
        <f t="shared" si="3"/>
        <v>248.292</v>
      </c>
      <c r="E259" s="6">
        <f t="shared" si="4"/>
        <v>2.897</v>
      </c>
    </row>
    <row r="260">
      <c r="A260" s="4" t="s">
        <v>7365</v>
      </c>
      <c r="B260" s="6" t="str">
        <f t="shared" si="1"/>
        <v>248.628</v>
      </c>
      <c r="C260" s="6" t="str">
        <f t="shared" si="2"/>
        <v>248,628</v>
      </c>
      <c r="D260" s="6">
        <f t="shared" si="3"/>
        <v>248.628</v>
      </c>
      <c r="E260" s="6">
        <f t="shared" si="4"/>
        <v>0.336</v>
      </c>
    </row>
    <row r="261">
      <c r="A261" s="4" t="s">
        <v>7366</v>
      </c>
      <c r="B261" s="6" t="str">
        <f t="shared" si="1"/>
        <v>248.946</v>
      </c>
      <c r="C261" s="6" t="str">
        <f t="shared" si="2"/>
        <v>248,946</v>
      </c>
      <c r="D261" s="6">
        <f t="shared" si="3"/>
        <v>248.946</v>
      </c>
      <c r="E261" s="6">
        <f t="shared" si="4"/>
        <v>0.318</v>
      </c>
    </row>
    <row r="262">
      <c r="A262" s="4" t="s">
        <v>7367</v>
      </c>
      <c r="B262" s="6" t="str">
        <f t="shared" si="1"/>
        <v>249.343</v>
      </c>
      <c r="C262" s="6" t="str">
        <f t="shared" si="2"/>
        <v>249,343</v>
      </c>
      <c r="D262" s="6">
        <f t="shared" si="3"/>
        <v>249.343</v>
      </c>
      <c r="E262" s="6">
        <f t="shared" si="4"/>
        <v>0.397</v>
      </c>
    </row>
    <row r="263">
      <c r="A263" s="4" t="s">
        <v>7368</v>
      </c>
      <c r="B263" s="6" t="str">
        <f t="shared" si="1"/>
        <v>253.745</v>
      </c>
      <c r="C263" s="6" t="str">
        <f t="shared" si="2"/>
        <v>253,745</v>
      </c>
      <c r="D263" s="6">
        <f t="shared" si="3"/>
        <v>253.745</v>
      </c>
      <c r="E263" s="6">
        <f t="shared" si="4"/>
        <v>4.402</v>
      </c>
    </row>
    <row r="264">
      <c r="A264" s="4" t="s">
        <v>7369</v>
      </c>
      <c r="B264" s="6" t="str">
        <f t="shared" si="1"/>
        <v>254.082</v>
      </c>
      <c r="C264" s="6" t="str">
        <f t="shared" si="2"/>
        <v>254,082</v>
      </c>
      <c r="D264" s="6">
        <f t="shared" si="3"/>
        <v>254.082</v>
      </c>
      <c r="E264" s="6">
        <f t="shared" si="4"/>
        <v>0.337</v>
      </c>
    </row>
    <row r="265">
      <c r="A265" s="4" t="s">
        <v>7370</v>
      </c>
      <c r="B265" s="6" t="str">
        <f t="shared" si="1"/>
        <v>254.413</v>
      </c>
      <c r="C265" s="6" t="str">
        <f t="shared" si="2"/>
        <v>254,413</v>
      </c>
      <c r="D265" s="6">
        <f t="shared" si="3"/>
        <v>254.413</v>
      </c>
      <c r="E265" s="6">
        <f t="shared" si="4"/>
        <v>0.331</v>
      </c>
    </row>
    <row r="266">
      <c r="A266" s="4" t="s">
        <v>7371</v>
      </c>
      <c r="B266" s="6" t="str">
        <f t="shared" si="1"/>
        <v>254.730</v>
      </c>
      <c r="C266" s="6" t="str">
        <f t="shared" si="2"/>
        <v>254,730</v>
      </c>
      <c r="D266" s="6">
        <f t="shared" si="3"/>
        <v>254.73</v>
      </c>
      <c r="E266" s="6">
        <f t="shared" si="4"/>
        <v>0.317</v>
      </c>
    </row>
    <row r="267">
      <c r="A267" s="4" t="s">
        <v>7372</v>
      </c>
      <c r="B267" s="6" t="str">
        <f t="shared" si="1"/>
        <v>255.063</v>
      </c>
      <c r="C267" s="6" t="str">
        <f t="shared" si="2"/>
        <v>255,063</v>
      </c>
      <c r="D267" s="6">
        <f t="shared" si="3"/>
        <v>255.063</v>
      </c>
      <c r="E267" s="6">
        <f t="shared" si="4"/>
        <v>0.333</v>
      </c>
    </row>
    <row r="268">
      <c r="A268" s="4" t="s">
        <v>7373</v>
      </c>
      <c r="B268" s="6" t="str">
        <f t="shared" si="1"/>
        <v>255.402</v>
      </c>
      <c r="C268" s="6" t="str">
        <f t="shared" si="2"/>
        <v>255,402</v>
      </c>
      <c r="D268" s="6">
        <f t="shared" si="3"/>
        <v>255.402</v>
      </c>
      <c r="E268" s="6">
        <f t="shared" si="4"/>
        <v>0.339</v>
      </c>
    </row>
    <row r="269">
      <c r="A269" s="4" t="s">
        <v>7374</v>
      </c>
      <c r="B269" s="6" t="str">
        <f t="shared" si="1"/>
        <v>255.732</v>
      </c>
      <c r="C269" s="6" t="str">
        <f t="shared" si="2"/>
        <v>255,732</v>
      </c>
      <c r="D269" s="6">
        <f t="shared" si="3"/>
        <v>255.732</v>
      </c>
      <c r="E269" s="6">
        <f t="shared" si="4"/>
        <v>0.33</v>
      </c>
    </row>
    <row r="270">
      <c r="A270" s="4" t="s">
        <v>7375</v>
      </c>
      <c r="B270" s="6" t="str">
        <f t="shared" si="1"/>
        <v>256.066</v>
      </c>
      <c r="C270" s="6" t="str">
        <f t="shared" si="2"/>
        <v>256,066</v>
      </c>
      <c r="D270" s="6">
        <f t="shared" si="3"/>
        <v>256.066</v>
      </c>
      <c r="E270" s="6">
        <f t="shared" si="4"/>
        <v>0.334</v>
      </c>
    </row>
    <row r="271">
      <c r="A271" s="4" t="s">
        <v>7376</v>
      </c>
      <c r="B271" s="6" t="str">
        <f t="shared" si="1"/>
        <v>256.373</v>
      </c>
      <c r="C271" s="6" t="str">
        <f t="shared" si="2"/>
        <v>256,373</v>
      </c>
      <c r="D271" s="6">
        <f t="shared" si="3"/>
        <v>256.373</v>
      </c>
      <c r="E271" s="6">
        <f t="shared" si="4"/>
        <v>0.307</v>
      </c>
    </row>
    <row r="272">
      <c r="A272" s="4" t="s">
        <v>7377</v>
      </c>
      <c r="B272" s="6" t="str">
        <f t="shared" si="1"/>
        <v>257.007</v>
      </c>
      <c r="C272" s="6" t="str">
        <f t="shared" si="2"/>
        <v>257,007</v>
      </c>
      <c r="D272" s="6">
        <f t="shared" si="3"/>
        <v>257.007</v>
      </c>
      <c r="E272" s="6">
        <f t="shared" si="4"/>
        <v>0.634</v>
      </c>
    </row>
    <row r="273">
      <c r="A273" s="4" t="s">
        <v>7378</v>
      </c>
      <c r="B273" s="6" t="str">
        <f t="shared" si="1"/>
        <v>257.338</v>
      </c>
      <c r="C273" s="6" t="str">
        <f t="shared" si="2"/>
        <v>257,338</v>
      </c>
      <c r="D273" s="6">
        <f t="shared" si="3"/>
        <v>257.338</v>
      </c>
      <c r="E273" s="6">
        <f t="shared" si="4"/>
        <v>0.331</v>
      </c>
    </row>
    <row r="274">
      <c r="A274" s="4" t="s">
        <v>7379</v>
      </c>
      <c r="B274" s="6" t="str">
        <f t="shared" si="1"/>
        <v>257.673</v>
      </c>
      <c r="C274" s="6" t="str">
        <f t="shared" si="2"/>
        <v>257,673</v>
      </c>
      <c r="D274" s="6">
        <f t="shared" si="3"/>
        <v>257.673</v>
      </c>
      <c r="E274" s="6">
        <f t="shared" si="4"/>
        <v>0.335</v>
      </c>
    </row>
    <row r="275">
      <c r="A275" s="4" t="s">
        <v>7380</v>
      </c>
      <c r="B275" s="6" t="str">
        <f t="shared" si="1"/>
        <v>258.067</v>
      </c>
      <c r="C275" s="6" t="str">
        <f t="shared" si="2"/>
        <v>258,067</v>
      </c>
      <c r="D275" s="6">
        <f t="shared" si="3"/>
        <v>258.067</v>
      </c>
      <c r="E275" s="6">
        <f t="shared" si="4"/>
        <v>0.394</v>
      </c>
    </row>
    <row r="276">
      <c r="A276" s="4" t="s">
        <v>7381</v>
      </c>
      <c r="B276" s="6" t="str">
        <f t="shared" si="1"/>
        <v>262.239</v>
      </c>
      <c r="C276" s="6" t="str">
        <f t="shared" si="2"/>
        <v>262,239</v>
      </c>
      <c r="D276" s="6">
        <f t="shared" si="3"/>
        <v>262.239</v>
      </c>
      <c r="E276" s="6">
        <f t="shared" si="4"/>
        <v>4.172</v>
      </c>
    </row>
    <row r="277">
      <c r="A277" s="4" t="s">
        <v>7382</v>
      </c>
      <c r="B277" s="6" t="str">
        <f t="shared" si="1"/>
        <v>262.573</v>
      </c>
      <c r="C277" s="6" t="str">
        <f t="shared" si="2"/>
        <v>262,573</v>
      </c>
      <c r="D277" s="6">
        <f t="shared" si="3"/>
        <v>262.573</v>
      </c>
      <c r="E277" s="6">
        <f t="shared" si="4"/>
        <v>0.334</v>
      </c>
    </row>
    <row r="278">
      <c r="A278" s="4" t="s">
        <v>7383</v>
      </c>
      <c r="B278" s="6" t="str">
        <f t="shared" si="1"/>
        <v>262.900</v>
      </c>
      <c r="C278" s="6" t="str">
        <f t="shared" si="2"/>
        <v>262,900</v>
      </c>
      <c r="D278" s="6">
        <f t="shared" si="3"/>
        <v>262.9</v>
      </c>
      <c r="E278" s="6">
        <f t="shared" si="4"/>
        <v>0.327</v>
      </c>
    </row>
    <row r="279">
      <c r="A279" s="4" t="s">
        <v>7384</v>
      </c>
      <c r="B279" s="6" t="str">
        <f t="shared" si="1"/>
        <v>263.236</v>
      </c>
      <c r="C279" s="6" t="str">
        <f t="shared" si="2"/>
        <v>263,236</v>
      </c>
      <c r="D279" s="6">
        <f t="shared" si="3"/>
        <v>263.236</v>
      </c>
      <c r="E279" s="6">
        <f t="shared" si="4"/>
        <v>0.336</v>
      </c>
    </row>
    <row r="280">
      <c r="A280" s="4" t="s">
        <v>7385</v>
      </c>
      <c r="B280" s="6" t="str">
        <f t="shared" si="1"/>
        <v>263.572</v>
      </c>
      <c r="C280" s="6" t="str">
        <f t="shared" si="2"/>
        <v>263,572</v>
      </c>
      <c r="D280" s="6">
        <f t="shared" si="3"/>
        <v>263.572</v>
      </c>
      <c r="E280" s="6">
        <f t="shared" si="4"/>
        <v>0.336</v>
      </c>
    </row>
    <row r="281">
      <c r="A281" s="4" t="s">
        <v>7386</v>
      </c>
      <c r="B281" s="6" t="str">
        <f t="shared" si="1"/>
        <v>263.906</v>
      </c>
      <c r="C281" s="6" t="str">
        <f t="shared" si="2"/>
        <v>263,906</v>
      </c>
      <c r="D281" s="6">
        <f t="shared" si="3"/>
        <v>263.906</v>
      </c>
      <c r="E281" s="6">
        <f t="shared" si="4"/>
        <v>0.334</v>
      </c>
    </row>
    <row r="282">
      <c r="A282" s="4" t="s">
        <v>7387</v>
      </c>
      <c r="B282" s="6" t="str">
        <f t="shared" si="1"/>
        <v>264.238</v>
      </c>
      <c r="C282" s="6" t="str">
        <f t="shared" si="2"/>
        <v>264,238</v>
      </c>
      <c r="D282" s="6">
        <f t="shared" si="3"/>
        <v>264.238</v>
      </c>
      <c r="E282" s="6">
        <f t="shared" si="4"/>
        <v>0.332</v>
      </c>
    </row>
    <row r="283">
      <c r="A283" s="4" t="s">
        <v>7388</v>
      </c>
      <c r="B283" s="6" t="str">
        <f t="shared" si="1"/>
        <v>264.559</v>
      </c>
      <c r="C283" s="6" t="str">
        <f t="shared" si="2"/>
        <v>264,559</v>
      </c>
      <c r="D283" s="6">
        <f t="shared" si="3"/>
        <v>264.559</v>
      </c>
      <c r="E283" s="6">
        <f t="shared" si="4"/>
        <v>0.321</v>
      </c>
    </row>
    <row r="284">
      <c r="A284" s="4" t="s">
        <v>7389</v>
      </c>
      <c r="B284" s="6" t="str">
        <f t="shared" si="1"/>
        <v>264.881</v>
      </c>
      <c r="C284" s="6" t="str">
        <f t="shared" si="2"/>
        <v>264,881</v>
      </c>
      <c r="D284" s="6">
        <f t="shared" si="3"/>
        <v>264.881</v>
      </c>
      <c r="E284" s="6">
        <f t="shared" si="4"/>
        <v>0.322</v>
      </c>
    </row>
    <row r="285">
      <c r="A285" s="4" t="s">
        <v>7390</v>
      </c>
      <c r="B285" s="6" t="str">
        <f t="shared" si="1"/>
        <v>266.179</v>
      </c>
      <c r="C285" s="6" t="str">
        <f t="shared" si="2"/>
        <v>266,179</v>
      </c>
      <c r="D285" s="6">
        <f t="shared" si="3"/>
        <v>266.179</v>
      </c>
      <c r="E285" s="6">
        <f t="shared" si="4"/>
        <v>1.298</v>
      </c>
    </row>
    <row r="286">
      <c r="A286" s="4" t="s">
        <v>7391</v>
      </c>
      <c r="B286" s="6" t="str">
        <f t="shared" si="1"/>
        <v>266.523</v>
      </c>
      <c r="C286" s="6" t="str">
        <f t="shared" si="2"/>
        <v>266,523</v>
      </c>
      <c r="D286" s="6">
        <f t="shared" si="3"/>
        <v>266.523</v>
      </c>
      <c r="E286" s="6">
        <f t="shared" si="4"/>
        <v>0.344</v>
      </c>
    </row>
    <row r="287">
      <c r="A287" s="4" t="s">
        <v>7392</v>
      </c>
      <c r="B287" s="6" t="str">
        <f t="shared" si="1"/>
        <v>266.851</v>
      </c>
      <c r="C287" s="6" t="str">
        <f t="shared" si="2"/>
        <v>266,851</v>
      </c>
      <c r="D287" s="6">
        <f t="shared" si="3"/>
        <v>266.851</v>
      </c>
      <c r="E287" s="6">
        <f t="shared" si="4"/>
        <v>0.328</v>
      </c>
    </row>
    <row r="288">
      <c r="A288" s="4" t="s">
        <v>7393</v>
      </c>
      <c r="B288" s="6" t="str">
        <f t="shared" si="1"/>
        <v>267.265</v>
      </c>
      <c r="C288" s="6" t="str">
        <f t="shared" si="2"/>
        <v>267,265</v>
      </c>
      <c r="D288" s="6">
        <f t="shared" si="3"/>
        <v>267.265</v>
      </c>
      <c r="E288" s="6">
        <f t="shared" si="4"/>
        <v>0.414</v>
      </c>
    </row>
    <row r="289">
      <c r="A289" s="4" t="s">
        <v>7394</v>
      </c>
      <c r="B289" s="6" t="str">
        <f t="shared" si="1"/>
        <v>267.606</v>
      </c>
      <c r="C289" s="6" t="str">
        <f t="shared" si="2"/>
        <v>267,606</v>
      </c>
      <c r="D289" s="6">
        <f t="shared" si="3"/>
        <v>267.606</v>
      </c>
      <c r="E289" s="6">
        <f t="shared" si="4"/>
        <v>0.341</v>
      </c>
    </row>
    <row r="290">
      <c r="A290" s="4" t="s">
        <v>7395</v>
      </c>
      <c r="B290" s="6" t="str">
        <f t="shared" si="1"/>
        <v>267.923</v>
      </c>
      <c r="C290" s="6" t="str">
        <f t="shared" si="2"/>
        <v>267,923</v>
      </c>
      <c r="D290" s="6">
        <f t="shared" si="3"/>
        <v>267.923</v>
      </c>
      <c r="E290" s="6">
        <f t="shared" si="4"/>
        <v>0.317</v>
      </c>
    </row>
    <row r="291">
      <c r="A291" s="4" t="s">
        <v>7396</v>
      </c>
      <c r="B291" s="6" t="str">
        <f t="shared" si="1"/>
        <v>268.268</v>
      </c>
      <c r="C291" s="6" t="str">
        <f t="shared" si="2"/>
        <v>268,268</v>
      </c>
      <c r="D291" s="6">
        <f t="shared" si="3"/>
        <v>268.268</v>
      </c>
      <c r="E291" s="6">
        <f t="shared" si="4"/>
        <v>0.345</v>
      </c>
    </row>
    <row r="292">
      <c r="A292" s="4" t="s">
        <v>7397</v>
      </c>
      <c r="B292" s="6" t="str">
        <f t="shared" si="1"/>
        <v>270.220</v>
      </c>
      <c r="C292" s="6" t="str">
        <f t="shared" si="2"/>
        <v>270,220</v>
      </c>
      <c r="D292" s="6">
        <f t="shared" si="3"/>
        <v>270.22</v>
      </c>
      <c r="E292" s="6">
        <f t="shared" si="4"/>
        <v>1.952</v>
      </c>
    </row>
    <row r="293">
      <c r="A293" s="4" t="s">
        <v>7398</v>
      </c>
      <c r="B293" s="6" t="str">
        <f t="shared" si="1"/>
        <v>270.571</v>
      </c>
      <c r="C293" s="6" t="str">
        <f t="shared" si="2"/>
        <v>270,571</v>
      </c>
      <c r="D293" s="6">
        <f t="shared" si="3"/>
        <v>270.571</v>
      </c>
      <c r="E293" s="6">
        <f t="shared" si="4"/>
        <v>0.351</v>
      </c>
    </row>
    <row r="294">
      <c r="A294" s="4" t="s">
        <v>7399</v>
      </c>
      <c r="B294" s="6" t="str">
        <f t="shared" si="1"/>
        <v>270.932</v>
      </c>
      <c r="C294" s="6" t="str">
        <f t="shared" si="2"/>
        <v>270,932</v>
      </c>
      <c r="D294" s="6">
        <f t="shared" si="3"/>
        <v>270.932</v>
      </c>
      <c r="E294" s="6">
        <f t="shared" si="4"/>
        <v>0.361</v>
      </c>
    </row>
    <row r="295">
      <c r="A295" s="4" t="s">
        <v>7400</v>
      </c>
      <c r="B295" s="6" t="str">
        <f t="shared" si="1"/>
        <v>271.298</v>
      </c>
      <c r="C295" s="6" t="str">
        <f t="shared" si="2"/>
        <v>271,298</v>
      </c>
      <c r="D295" s="6">
        <f t="shared" si="3"/>
        <v>271.298</v>
      </c>
      <c r="E295" s="6">
        <f t="shared" si="4"/>
        <v>0.366</v>
      </c>
    </row>
    <row r="296">
      <c r="A296" s="4" t="s">
        <v>7401</v>
      </c>
      <c r="B296" s="6" t="str">
        <f t="shared" si="1"/>
        <v>271.632</v>
      </c>
      <c r="C296" s="6" t="str">
        <f t="shared" si="2"/>
        <v>271,632</v>
      </c>
      <c r="D296" s="6">
        <f t="shared" si="3"/>
        <v>271.632</v>
      </c>
      <c r="E296" s="6">
        <f t="shared" si="4"/>
        <v>0.334</v>
      </c>
    </row>
    <row r="297">
      <c r="A297" s="4" t="s">
        <v>7402</v>
      </c>
      <c r="B297" s="6" t="str">
        <f t="shared" si="1"/>
        <v>272.607</v>
      </c>
      <c r="C297" s="6" t="str">
        <f t="shared" si="2"/>
        <v>272,607</v>
      </c>
      <c r="D297" s="6">
        <f t="shared" si="3"/>
        <v>272.607</v>
      </c>
      <c r="E297" s="6">
        <f t="shared" si="4"/>
        <v>0.975</v>
      </c>
    </row>
    <row r="298">
      <c r="A298" s="4" t="s">
        <v>7403</v>
      </c>
      <c r="B298" s="6" t="str">
        <f t="shared" si="1"/>
        <v>272.954</v>
      </c>
      <c r="C298" s="6" t="str">
        <f t="shared" si="2"/>
        <v>272,954</v>
      </c>
      <c r="D298" s="6">
        <f t="shared" si="3"/>
        <v>272.954</v>
      </c>
      <c r="E298" s="6">
        <f t="shared" si="4"/>
        <v>0.347</v>
      </c>
    </row>
    <row r="299">
      <c r="A299" s="4" t="s">
        <v>7404</v>
      </c>
      <c r="B299" s="6" t="str">
        <f t="shared" si="1"/>
        <v>273.293</v>
      </c>
      <c r="C299" s="6" t="str">
        <f t="shared" si="2"/>
        <v>273,293</v>
      </c>
      <c r="D299" s="6">
        <f t="shared" si="3"/>
        <v>273.293</v>
      </c>
      <c r="E299" s="6">
        <f t="shared" si="4"/>
        <v>0.339</v>
      </c>
    </row>
    <row r="300">
      <c r="A300" s="4" t="s">
        <v>7405</v>
      </c>
      <c r="B300" s="6" t="str">
        <f t="shared" si="1"/>
        <v>277.420</v>
      </c>
      <c r="C300" s="6" t="str">
        <f t="shared" si="2"/>
        <v>277,420</v>
      </c>
      <c r="D300" s="6">
        <f t="shared" si="3"/>
        <v>277.42</v>
      </c>
      <c r="E300" s="6">
        <f t="shared" si="4"/>
        <v>4.127</v>
      </c>
    </row>
    <row r="301">
      <c r="A301" s="4" t="s">
        <v>7406</v>
      </c>
      <c r="B301" s="6" t="str">
        <f t="shared" si="1"/>
        <v>277.755</v>
      </c>
      <c r="C301" s="6" t="str">
        <f t="shared" si="2"/>
        <v>277,755</v>
      </c>
      <c r="D301" s="6">
        <f t="shared" si="3"/>
        <v>277.755</v>
      </c>
      <c r="E301" s="6">
        <f t="shared" si="4"/>
        <v>0.335</v>
      </c>
    </row>
    <row r="302">
      <c r="A302" s="4" t="s">
        <v>7407</v>
      </c>
      <c r="B302" s="6" t="str">
        <f t="shared" si="1"/>
        <v>278.167</v>
      </c>
      <c r="C302" s="6" t="str">
        <f t="shared" si="2"/>
        <v>278,167</v>
      </c>
      <c r="D302" s="6">
        <f t="shared" si="3"/>
        <v>278.167</v>
      </c>
      <c r="E302" s="6">
        <f t="shared" si="4"/>
        <v>0.412</v>
      </c>
    </row>
    <row r="303">
      <c r="A303" s="4" t="s">
        <v>7408</v>
      </c>
      <c r="B303" s="6" t="str">
        <f t="shared" si="1"/>
        <v>278.507</v>
      </c>
      <c r="C303" s="6" t="str">
        <f t="shared" si="2"/>
        <v>278,507</v>
      </c>
      <c r="D303" s="6">
        <f t="shared" si="3"/>
        <v>278.507</v>
      </c>
      <c r="E303" s="6">
        <f t="shared" si="4"/>
        <v>0.34</v>
      </c>
    </row>
    <row r="304">
      <c r="A304" s="4" t="s">
        <v>7409</v>
      </c>
      <c r="B304" s="6" t="str">
        <f t="shared" si="1"/>
        <v>278.838</v>
      </c>
      <c r="C304" s="6" t="str">
        <f t="shared" si="2"/>
        <v>278,838</v>
      </c>
      <c r="D304" s="6">
        <f t="shared" si="3"/>
        <v>278.838</v>
      </c>
      <c r="E304" s="6">
        <f t="shared" si="4"/>
        <v>0.331</v>
      </c>
    </row>
    <row r="305">
      <c r="A305" s="4" t="s">
        <v>7410</v>
      </c>
      <c r="B305" s="6" t="str">
        <f t="shared" si="1"/>
        <v>279.183</v>
      </c>
      <c r="C305" s="6" t="str">
        <f t="shared" si="2"/>
        <v>279,183</v>
      </c>
      <c r="D305" s="6">
        <f t="shared" si="3"/>
        <v>279.183</v>
      </c>
      <c r="E305" s="6">
        <f t="shared" si="4"/>
        <v>0.345</v>
      </c>
    </row>
    <row r="306">
      <c r="A306" s="4" t="s">
        <v>7411</v>
      </c>
      <c r="B306" s="6" t="str">
        <f t="shared" si="1"/>
        <v>282.537</v>
      </c>
      <c r="C306" s="6" t="str">
        <f t="shared" si="2"/>
        <v>282,537</v>
      </c>
      <c r="D306" s="6">
        <f t="shared" si="3"/>
        <v>282.537</v>
      </c>
      <c r="E306" s="6">
        <f t="shared" si="4"/>
        <v>3.354</v>
      </c>
    </row>
    <row r="307">
      <c r="A307" s="4" t="s">
        <v>7412</v>
      </c>
      <c r="B307" s="6" t="str">
        <f t="shared" si="1"/>
        <v>282.896</v>
      </c>
      <c r="C307" s="6" t="str">
        <f t="shared" si="2"/>
        <v>282,896</v>
      </c>
      <c r="D307" s="6">
        <f t="shared" si="3"/>
        <v>282.896</v>
      </c>
      <c r="E307" s="6">
        <f t="shared" si="4"/>
        <v>0.359</v>
      </c>
    </row>
    <row r="308">
      <c r="A308" s="4" t="s">
        <v>7413</v>
      </c>
      <c r="B308" s="6" t="str">
        <f t="shared" si="1"/>
        <v>283.261</v>
      </c>
      <c r="C308" s="6" t="str">
        <f t="shared" si="2"/>
        <v>283,261</v>
      </c>
      <c r="D308" s="6">
        <f t="shared" si="3"/>
        <v>283.261</v>
      </c>
      <c r="E308" s="6">
        <f t="shared" si="4"/>
        <v>0.365</v>
      </c>
    </row>
    <row r="309">
      <c r="A309" s="4" t="s">
        <v>7414</v>
      </c>
      <c r="B309" s="6" t="str">
        <f t="shared" si="1"/>
        <v>283.634</v>
      </c>
      <c r="C309" s="6" t="str">
        <f t="shared" si="2"/>
        <v>283,634</v>
      </c>
      <c r="D309" s="6">
        <f t="shared" si="3"/>
        <v>283.634</v>
      </c>
      <c r="E309" s="6">
        <f t="shared" si="4"/>
        <v>0.373</v>
      </c>
    </row>
    <row r="310">
      <c r="A310" s="4" t="s">
        <v>7415</v>
      </c>
      <c r="B310" s="6" t="str">
        <f t="shared" si="1"/>
        <v>283.996</v>
      </c>
      <c r="C310" s="6" t="str">
        <f t="shared" si="2"/>
        <v>283,996</v>
      </c>
      <c r="D310" s="6">
        <f t="shared" si="3"/>
        <v>283.996</v>
      </c>
      <c r="E310" s="6">
        <f t="shared" si="4"/>
        <v>0.362</v>
      </c>
    </row>
    <row r="311">
      <c r="A311" s="4" t="s">
        <v>7416</v>
      </c>
      <c r="B311" s="6" t="str">
        <f t="shared" si="1"/>
        <v>287.865</v>
      </c>
      <c r="C311" s="6" t="str">
        <f t="shared" si="2"/>
        <v>287,865</v>
      </c>
      <c r="D311" s="6">
        <f t="shared" si="3"/>
        <v>287.865</v>
      </c>
      <c r="E311" s="6">
        <f t="shared" si="4"/>
        <v>3.869</v>
      </c>
    </row>
    <row r="312">
      <c r="A312" s="4" t="s">
        <v>7417</v>
      </c>
      <c r="B312" s="6" t="str">
        <f t="shared" si="1"/>
        <v>288.220</v>
      </c>
      <c r="C312" s="6" t="str">
        <f t="shared" si="2"/>
        <v>288,220</v>
      </c>
      <c r="D312" s="6">
        <f t="shared" si="3"/>
        <v>288.22</v>
      </c>
      <c r="E312" s="6">
        <f t="shared" si="4"/>
        <v>0.355</v>
      </c>
    </row>
    <row r="313">
      <c r="A313" s="4" t="s">
        <v>7418</v>
      </c>
      <c r="B313" s="6" t="str">
        <f t="shared" si="1"/>
        <v>288.591</v>
      </c>
      <c r="C313" s="6" t="str">
        <f t="shared" si="2"/>
        <v>288,591</v>
      </c>
      <c r="D313" s="6">
        <f t="shared" si="3"/>
        <v>288.591</v>
      </c>
      <c r="E313" s="6">
        <f t="shared" si="4"/>
        <v>0.371</v>
      </c>
    </row>
    <row r="314">
      <c r="A314" s="4" t="s">
        <v>7419</v>
      </c>
      <c r="B314" s="6" t="str">
        <f t="shared" si="1"/>
        <v>288.961</v>
      </c>
      <c r="C314" s="6" t="str">
        <f t="shared" si="2"/>
        <v>288,961</v>
      </c>
      <c r="D314" s="6">
        <f t="shared" si="3"/>
        <v>288.961</v>
      </c>
      <c r="E314" s="6">
        <f t="shared" si="4"/>
        <v>0.37</v>
      </c>
    </row>
    <row r="315">
      <c r="A315" s="4" t="s">
        <v>7420</v>
      </c>
      <c r="B315" s="6" t="str">
        <f t="shared" si="1"/>
        <v>289.375</v>
      </c>
      <c r="C315" s="6" t="str">
        <f t="shared" si="2"/>
        <v>289,375</v>
      </c>
      <c r="D315" s="6">
        <f t="shared" si="3"/>
        <v>289.375</v>
      </c>
      <c r="E315" s="6">
        <f t="shared" si="4"/>
        <v>0.414</v>
      </c>
    </row>
    <row r="316">
      <c r="A316" s="4" t="s">
        <v>7421</v>
      </c>
      <c r="B316" s="6" t="str">
        <f t="shared" si="1"/>
        <v>293.451</v>
      </c>
      <c r="C316" s="6" t="str">
        <f t="shared" si="2"/>
        <v>293,451</v>
      </c>
      <c r="D316" s="6">
        <f t="shared" si="3"/>
        <v>293.451</v>
      </c>
      <c r="E316" s="6">
        <f t="shared" si="4"/>
        <v>4.076</v>
      </c>
    </row>
    <row r="317">
      <c r="A317" s="4" t="s">
        <v>7422</v>
      </c>
      <c r="B317" s="6" t="str">
        <f t="shared" si="1"/>
        <v>293.838</v>
      </c>
      <c r="C317" s="6" t="str">
        <f t="shared" si="2"/>
        <v>293,838</v>
      </c>
      <c r="D317" s="6">
        <f t="shared" si="3"/>
        <v>293.838</v>
      </c>
      <c r="E317" s="6">
        <f t="shared" si="4"/>
        <v>0.387</v>
      </c>
    </row>
    <row r="318">
      <c r="A318" s="4" t="s">
        <v>7423</v>
      </c>
      <c r="B318" s="6" t="str">
        <f t="shared" si="1"/>
        <v>294.212</v>
      </c>
      <c r="C318" s="6" t="str">
        <f t="shared" si="2"/>
        <v>294,212</v>
      </c>
      <c r="D318" s="6">
        <f t="shared" si="3"/>
        <v>294.212</v>
      </c>
      <c r="E318" s="6">
        <f t="shared" si="4"/>
        <v>0.374</v>
      </c>
    </row>
    <row r="319">
      <c r="A319" s="4" t="s">
        <v>7424</v>
      </c>
      <c r="B319" s="6" t="str">
        <f t="shared" si="1"/>
        <v>294.578</v>
      </c>
      <c r="C319" s="6" t="str">
        <f t="shared" si="2"/>
        <v>294,578</v>
      </c>
      <c r="D319" s="6">
        <f t="shared" si="3"/>
        <v>294.578</v>
      </c>
      <c r="E319" s="6">
        <f t="shared" si="4"/>
        <v>0.366</v>
      </c>
    </row>
    <row r="320">
      <c r="A320" s="4" t="s">
        <v>7425</v>
      </c>
      <c r="B320" s="6" t="str">
        <f t="shared" si="1"/>
        <v>294.940</v>
      </c>
      <c r="C320" s="6" t="str">
        <f t="shared" si="2"/>
        <v>294,940</v>
      </c>
      <c r="D320" s="6">
        <f t="shared" si="3"/>
        <v>294.94</v>
      </c>
      <c r="E320" s="6">
        <f t="shared" si="4"/>
        <v>0.362</v>
      </c>
    </row>
    <row r="321">
      <c r="A321" s="4" t="s">
        <v>7426</v>
      </c>
      <c r="B321" s="6" t="str">
        <f t="shared" si="1"/>
        <v>295.291</v>
      </c>
      <c r="C321" s="6" t="str">
        <f t="shared" si="2"/>
        <v>295,291</v>
      </c>
      <c r="D321" s="6">
        <f t="shared" si="3"/>
        <v>295.291</v>
      </c>
      <c r="E321" s="6">
        <f t="shared" si="4"/>
        <v>0.351</v>
      </c>
    </row>
    <row r="322">
      <c r="A322" s="4" t="s">
        <v>7427</v>
      </c>
      <c r="B322" s="6" t="str">
        <f t="shared" si="1"/>
        <v>300.476</v>
      </c>
      <c r="C322" s="6" t="str">
        <f t="shared" si="2"/>
        <v>300,476</v>
      </c>
      <c r="D322" s="6">
        <f t="shared" si="3"/>
        <v>300.476</v>
      </c>
      <c r="E322" s="6">
        <f t="shared" si="4"/>
        <v>5.185</v>
      </c>
    </row>
    <row r="323">
      <c r="A323" s="4" t="s">
        <v>7428</v>
      </c>
      <c r="B323" s="6" t="str">
        <f t="shared" si="1"/>
        <v>300.831</v>
      </c>
      <c r="C323" s="6" t="str">
        <f t="shared" si="2"/>
        <v>300,831</v>
      </c>
      <c r="D323" s="6">
        <f t="shared" si="3"/>
        <v>300.831</v>
      </c>
      <c r="E323" s="6">
        <f t="shared" si="4"/>
        <v>0.355</v>
      </c>
    </row>
    <row r="324">
      <c r="A324" s="4" t="s">
        <v>7429</v>
      </c>
      <c r="B324" s="6" t="str">
        <f t="shared" si="1"/>
        <v>301.166</v>
      </c>
      <c r="C324" s="6" t="str">
        <f t="shared" si="2"/>
        <v>301,166</v>
      </c>
      <c r="D324" s="6">
        <f t="shared" si="3"/>
        <v>301.166</v>
      </c>
      <c r="E324" s="6">
        <f t="shared" si="4"/>
        <v>0.335</v>
      </c>
    </row>
    <row r="325">
      <c r="A325" s="4" t="s">
        <v>7430</v>
      </c>
      <c r="B325" s="6" t="str">
        <f t="shared" si="1"/>
        <v>301.536</v>
      </c>
      <c r="C325" s="6" t="str">
        <f t="shared" si="2"/>
        <v>301,536</v>
      </c>
      <c r="D325" s="6">
        <f t="shared" si="3"/>
        <v>301.536</v>
      </c>
      <c r="E325" s="6">
        <f t="shared" si="4"/>
        <v>0.37</v>
      </c>
    </row>
    <row r="326">
      <c r="A326" s="4" t="s">
        <v>7431</v>
      </c>
      <c r="B326" s="6" t="str">
        <f t="shared" si="1"/>
        <v>301.879</v>
      </c>
      <c r="C326" s="6" t="str">
        <f t="shared" si="2"/>
        <v>301,879</v>
      </c>
      <c r="D326" s="6">
        <f t="shared" si="3"/>
        <v>301.879</v>
      </c>
      <c r="E326" s="6">
        <f t="shared" si="4"/>
        <v>0.343</v>
      </c>
    </row>
    <row r="327">
      <c r="A327" s="4" t="s">
        <v>7432</v>
      </c>
      <c r="B327" s="6" t="str">
        <f t="shared" si="1"/>
        <v>302.217</v>
      </c>
      <c r="C327" s="6" t="str">
        <f t="shared" si="2"/>
        <v>302,217</v>
      </c>
      <c r="D327" s="6">
        <f t="shared" si="3"/>
        <v>302.217</v>
      </c>
      <c r="E327" s="6">
        <f t="shared" si="4"/>
        <v>0.338</v>
      </c>
    </row>
    <row r="328">
      <c r="A328" s="4" t="s">
        <v>7433</v>
      </c>
      <c r="B328" s="6" t="str">
        <f t="shared" si="1"/>
        <v>302.641</v>
      </c>
      <c r="C328" s="6" t="str">
        <f t="shared" si="2"/>
        <v>302,641</v>
      </c>
      <c r="D328" s="6">
        <f t="shared" si="3"/>
        <v>302.641</v>
      </c>
      <c r="E328" s="6">
        <f t="shared" si="4"/>
        <v>0.424</v>
      </c>
    </row>
    <row r="329">
      <c r="A329" s="4" t="s">
        <v>7434</v>
      </c>
      <c r="B329" s="6" t="str">
        <f t="shared" si="1"/>
        <v>302.984</v>
      </c>
      <c r="C329" s="6" t="str">
        <f t="shared" si="2"/>
        <v>302,984</v>
      </c>
      <c r="D329" s="6">
        <f t="shared" si="3"/>
        <v>302.984</v>
      </c>
      <c r="E329" s="6">
        <f t="shared" si="4"/>
        <v>0.343</v>
      </c>
    </row>
    <row r="330">
      <c r="A330" s="4" t="s">
        <v>7435</v>
      </c>
      <c r="B330" s="6" t="str">
        <f t="shared" si="1"/>
        <v>303.320</v>
      </c>
      <c r="C330" s="6" t="str">
        <f t="shared" si="2"/>
        <v>303,320</v>
      </c>
      <c r="D330" s="6">
        <f t="shared" si="3"/>
        <v>303.32</v>
      </c>
      <c r="E330" s="6">
        <f t="shared" si="4"/>
        <v>0.336</v>
      </c>
    </row>
    <row r="331">
      <c r="A331" s="4" t="s">
        <v>7436</v>
      </c>
      <c r="B331" s="6" t="str">
        <f t="shared" si="1"/>
        <v>303.664</v>
      </c>
      <c r="C331" s="6" t="str">
        <f t="shared" si="2"/>
        <v>303,664</v>
      </c>
      <c r="D331" s="6">
        <f t="shared" si="3"/>
        <v>303.664</v>
      </c>
      <c r="E331" s="6">
        <f t="shared" si="4"/>
        <v>0.344</v>
      </c>
    </row>
    <row r="332">
      <c r="A332" s="4" t="s">
        <v>7437</v>
      </c>
      <c r="B332" s="6" t="str">
        <f t="shared" si="1"/>
        <v>304.011</v>
      </c>
      <c r="C332" s="6" t="str">
        <f t="shared" si="2"/>
        <v>304,011</v>
      </c>
      <c r="D332" s="6">
        <f t="shared" si="3"/>
        <v>304.011</v>
      </c>
      <c r="E332" s="6">
        <f t="shared" si="4"/>
        <v>0.347</v>
      </c>
    </row>
    <row r="333">
      <c r="A333" s="4" t="s">
        <v>7438</v>
      </c>
      <c r="B333" s="6" t="str">
        <f t="shared" si="1"/>
        <v>304.359</v>
      </c>
      <c r="C333" s="6" t="str">
        <f t="shared" si="2"/>
        <v>304,359</v>
      </c>
      <c r="D333" s="6">
        <f t="shared" si="3"/>
        <v>304.359</v>
      </c>
      <c r="E333" s="6">
        <f t="shared" si="4"/>
        <v>0.348</v>
      </c>
    </row>
    <row r="334">
      <c r="A334" s="4" t="s">
        <v>7439</v>
      </c>
      <c r="B334" s="6" t="str">
        <f t="shared" si="1"/>
        <v>307.238</v>
      </c>
      <c r="C334" s="6" t="str">
        <f t="shared" si="2"/>
        <v>307,238</v>
      </c>
      <c r="D334" s="6">
        <f t="shared" si="3"/>
        <v>307.238</v>
      </c>
      <c r="E334" s="6">
        <f t="shared" si="4"/>
        <v>2.879</v>
      </c>
    </row>
    <row r="335">
      <c r="A335" s="4" t="s">
        <v>7440</v>
      </c>
      <c r="B335" s="6" t="str">
        <f t="shared" si="1"/>
        <v>307.581</v>
      </c>
      <c r="C335" s="6" t="str">
        <f t="shared" si="2"/>
        <v>307,581</v>
      </c>
      <c r="D335" s="6">
        <f t="shared" si="3"/>
        <v>307.581</v>
      </c>
      <c r="E335" s="6">
        <f t="shared" si="4"/>
        <v>0.343</v>
      </c>
    </row>
    <row r="336">
      <c r="A336" s="4" t="s">
        <v>7441</v>
      </c>
      <c r="B336" s="6" t="str">
        <f t="shared" si="1"/>
        <v>307.900</v>
      </c>
      <c r="C336" s="6" t="str">
        <f t="shared" si="2"/>
        <v>307,900</v>
      </c>
      <c r="D336" s="6">
        <f t="shared" si="3"/>
        <v>307.9</v>
      </c>
      <c r="E336" s="6">
        <f t="shared" si="4"/>
        <v>0.319</v>
      </c>
    </row>
    <row r="337">
      <c r="A337" s="4" t="s">
        <v>7442</v>
      </c>
      <c r="B337" s="6" t="str">
        <f t="shared" si="1"/>
        <v>308.238</v>
      </c>
      <c r="C337" s="6" t="str">
        <f t="shared" si="2"/>
        <v>308,238</v>
      </c>
      <c r="D337" s="6">
        <f t="shared" si="3"/>
        <v>308.238</v>
      </c>
      <c r="E337" s="6">
        <f t="shared" si="4"/>
        <v>0.338</v>
      </c>
    </row>
    <row r="338">
      <c r="A338" s="4" t="s">
        <v>7443</v>
      </c>
      <c r="B338" s="6" t="str">
        <f t="shared" si="1"/>
        <v>308.576</v>
      </c>
      <c r="C338" s="6" t="str">
        <f t="shared" si="2"/>
        <v>308,576</v>
      </c>
      <c r="D338" s="6">
        <f t="shared" si="3"/>
        <v>308.576</v>
      </c>
      <c r="E338" s="6">
        <f t="shared" si="4"/>
        <v>0.338</v>
      </c>
    </row>
    <row r="339">
      <c r="A339" s="4" t="s">
        <v>7444</v>
      </c>
      <c r="B339" s="6" t="str">
        <f t="shared" si="1"/>
        <v>311.918</v>
      </c>
      <c r="C339" s="6" t="str">
        <f t="shared" si="2"/>
        <v>311,918</v>
      </c>
      <c r="D339" s="6">
        <f t="shared" si="3"/>
        <v>311.918</v>
      </c>
      <c r="E339" s="6">
        <f t="shared" si="4"/>
        <v>3.342</v>
      </c>
    </row>
    <row r="340">
      <c r="A340" s="4" t="s">
        <v>7445</v>
      </c>
      <c r="B340" s="6" t="str">
        <f t="shared" si="1"/>
        <v>312.243</v>
      </c>
      <c r="C340" s="6" t="str">
        <f t="shared" si="2"/>
        <v>312,243</v>
      </c>
      <c r="D340" s="6">
        <f t="shared" si="3"/>
        <v>312.243</v>
      </c>
      <c r="E340" s="6">
        <f t="shared" si="4"/>
        <v>0.325</v>
      </c>
    </row>
    <row r="341">
      <c r="A341" s="4" t="s">
        <v>7446</v>
      </c>
      <c r="B341" s="6" t="str">
        <f t="shared" si="1"/>
        <v>312.623</v>
      </c>
      <c r="C341" s="6" t="str">
        <f t="shared" si="2"/>
        <v>312,623</v>
      </c>
      <c r="D341" s="6">
        <f t="shared" si="3"/>
        <v>312.623</v>
      </c>
      <c r="E341" s="6">
        <f t="shared" si="4"/>
        <v>0.38</v>
      </c>
    </row>
    <row r="342">
      <c r="A342" s="4" t="s">
        <v>7447</v>
      </c>
      <c r="B342" s="6" t="str">
        <f t="shared" si="1"/>
        <v>312.931</v>
      </c>
      <c r="C342" s="6" t="str">
        <f t="shared" si="2"/>
        <v>312,931</v>
      </c>
      <c r="D342" s="6">
        <f t="shared" si="3"/>
        <v>312.931</v>
      </c>
      <c r="E342" s="6">
        <f t="shared" si="4"/>
        <v>0.308</v>
      </c>
    </row>
    <row r="343">
      <c r="A343" s="4" t="s">
        <v>7448</v>
      </c>
      <c r="B343" s="6" t="str">
        <f t="shared" si="1"/>
        <v>313.259</v>
      </c>
      <c r="C343" s="6" t="str">
        <f t="shared" si="2"/>
        <v>313,259</v>
      </c>
      <c r="D343" s="6">
        <f t="shared" si="3"/>
        <v>313.259</v>
      </c>
      <c r="E343" s="6">
        <f t="shared" si="4"/>
        <v>0.328</v>
      </c>
    </row>
    <row r="344">
      <c r="A344" s="4" t="s">
        <v>7449</v>
      </c>
      <c r="B344" s="6" t="str">
        <f t="shared" si="1"/>
        <v>313.589</v>
      </c>
      <c r="C344" s="6" t="str">
        <f t="shared" si="2"/>
        <v>313,589</v>
      </c>
      <c r="D344" s="6">
        <f t="shared" si="3"/>
        <v>313.589</v>
      </c>
      <c r="E344" s="6">
        <f t="shared" si="4"/>
        <v>0.33</v>
      </c>
    </row>
    <row r="345">
      <c r="A345" s="4" t="s">
        <v>7450</v>
      </c>
      <c r="B345" s="6" t="str">
        <f t="shared" si="1"/>
        <v>315.634</v>
      </c>
      <c r="C345" s="6" t="str">
        <f t="shared" si="2"/>
        <v>315,634</v>
      </c>
      <c r="D345" s="6">
        <f t="shared" si="3"/>
        <v>315.634</v>
      </c>
      <c r="E345" s="6">
        <f t="shared" si="4"/>
        <v>2.045</v>
      </c>
    </row>
    <row r="346">
      <c r="A346" s="4" t="s">
        <v>7451</v>
      </c>
      <c r="B346" s="6" t="str">
        <f t="shared" si="1"/>
        <v>315.996</v>
      </c>
      <c r="C346" s="6" t="str">
        <f t="shared" si="2"/>
        <v>315,996</v>
      </c>
      <c r="D346" s="6">
        <f t="shared" si="3"/>
        <v>315.996</v>
      </c>
      <c r="E346" s="6">
        <f t="shared" si="4"/>
        <v>0.362</v>
      </c>
    </row>
    <row r="347">
      <c r="A347" s="4" t="s">
        <v>7452</v>
      </c>
      <c r="B347" s="6" t="str">
        <f t="shared" si="1"/>
        <v>316.317</v>
      </c>
      <c r="C347" s="6" t="str">
        <f t="shared" si="2"/>
        <v>316,317</v>
      </c>
      <c r="D347" s="6">
        <f t="shared" si="3"/>
        <v>316.317</v>
      </c>
      <c r="E347" s="6">
        <f t="shared" si="4"/>
        <v>0.321</v>
      </c>
    </row>
    <row r="348">
      <c r="A348" s="4" t="s">
        <v>7453</v>
      </c>
      <c r="B348" s="6" t="str">
        <f t="shared" si="1"/>
        <v>316.620</v>
      </c>
      <c r="C348" s="6" t="str">
        <f t="shared" si="2"/>
        <v>316,620</v>
      </c>
      <c r="D348" s="6">
        <f t="shared" si="3"/>
        <v>316.62</v>
      </c>
      <c r="E348" s="6">
        <f t="shared" si="4"/>
        <v>0.303</v>
      </c>
    </row>
    <row r="349">
      <c r="A349" s="4" t="s">
        <v>7454</v>
      </c>
      <c r="B349" s="6" t="str">
        <f t="shared" si="1"/>
        <v>316.935</v>
      </c>
      <c r="C349" s="6" t="str">
        <f t="shared" si="2"/>
        <v>316,935</v>
      </c>
      <c r="D349" s="6">
        <f t="shared" si="3"/>
        <v>316.935</v>
      </c>
      <c r="E349" s="6">
        <f t="shared" si="4"/>
        <v>0.315</v>
      </c>
    </row>
    <row r="350">
      <c r="A350" s="4" t="s">
        <v>7455</v>
      </c>
      <c r="B350" s="6" t="str">
        <f t="shared" si="1"/>
        <v>317.237</v>
      </c>
      <c r="C350" s="6" t="str">
        <f t="shared" si="2"/>
        <v>317,237</v>
      </c>
      <c r="D350" s="6">
        <f t="shared" si="3"/>
        <v>317.237</v>
      </c>
      <c r="E350" s="6">
        <f t="shared" si="4"/>
        <v>0.302</v>
      </c>
    </row>
    <row r="351">
      <c r="A351" s="4" t="s">
        <v>7456</v>
      </c>
      <c r="B351" s="6" t="str">
        <f t="shared" si="1"/>
        <v>317.557</v>
      </c>
      <c r="C351" s="6" t="str">
        <f t="shared" si="2"/>
        <v>317,557</v>
      </c>
      <c r="D351" s="6">
        <f t="shared" si="3"/>
        <v>317.557</v>
      </c>
      <c r="E351" s="6">
        <f t="shared" si="4"/>
        <v>0.32</v>
      </c>
    </row>
    <row r="352">
      <c r="A352" s="4" t="s">
        <v>7457</v>
      </c>
      <c r="B352" s="6" t="str">
        <f t="shared" si="1"/>
        <v>320.293</v>
      </c>
      <c r="C352" s="6" t="str">
        <f t="shared" si="2"/>
        <v>320,293</v>
      </c>
      <c r="D352" s="6">
        <f t="shared" si="3"/>
        <v>320.293</v>
      </c>
      <c r="E352" s="6">
        <f t="shared" si="4"/>
        <v>2.736</v>
      </c>
    </row>
    <row r="353">
      <c r="A353" s="4" t="s">
        <v>7458</v>
      </c>
      <c r="B353" s="6" t="str">
        <f t="shared" si="1"/>
        <v>320.611</v>
      </c>
      <c r="C353" s="6" t="str">
        <f t="shared" si="2"/>
        <v>320,611</v>
      </c>
      <c r="D353" s="6">
        <f t="shared" si="3"/>
        <v>320.611</v>
      </c>
      <c r="E353" s="6">
        <f t="shared" si="4"/>
        <v>0.318</v>
      </c>
    </row>
    <row r="354">
      <c r="A354" s="4" t="s">
        <v>7459</v>
      </c>
      <c r="B354" s="6" t="str">
        <f t="shared" si="1"/>
        <v>320.946</v>
      </c>
      <c r="C354" s="6" t="str">
        <f t="shared" si="2"/>
        <v>320,946</v>
      </c>
      <c r="D354" s="6">
        <f t="shared" si="3"/>
        <v>320.946</v>
      </c>
      <c r="E354" s="6">
        <f t="shared" si="4"/>
        <v>0.335</v>
      </c>
    </row>
    <row r="355">
      <c r="A355" s="4" t="s">
        <v>7460</v>
      </c>
      <c r="B355" s="6" t="str">
        <f t="shared" si="1"/>
        <v>321.335</v>
      </c>
      <c r="C355" s="6" t="str">
        <f t="shared" si="2"/>
        <v>321,335</v>
      </c>
      <c r="D355" s="6">
        <f t="shared" si="3"/>
        <v>321.335</v>
      </c>
      <c r="E355" s="6">
        <f t="shared" si="4"/>
        <v>0.389</v>
      </c>
    </row>
    <row r="356">
      <c r="A356" s="4" t="s">
        <v>7461</v>
      </c>
      <c r="B356" s="6" t="str">
        <f t="shared" si="1"/>
        <v>321.667</v>
      </c>
      <c r="C356" s="6" t="str">
        <f t="shared" si="2"/>
        <v>321,667</v>
      </c>
      <c r="D356" s="6">
        <f t="shared" si="3"/>
        <v>321.667</v>
      </c>
      <c r="E356" s="6">
        <f t="shared" si="4"/>
        <v>0.332</v>
      </c>
    </row>
    <row r="357">
      <c r="A357" s="4" t="s">
        <v>7462</v>
      </c>
      <c r="B357" s="6" t="str">
        <f t="shared" si="1"/>
        <v>321.983</v>
      </c>
      <c r="C357" s="6" t="str">
        <f t="shared" si="2"/>
        <v>321,983</v>
      </c>
      <c r="D357" s="6">
        <f t="shared" si="3"/>
        <v>321.983</v>
      </c>
      <c r="E357" s="6">
        <f t="shared" si="4"/>
        <v>0.316</v>
      </c>
    </row>
    <row r="358">
      <c r="A358" s="4" t="s">
        <v>7463</v>
      </c>
      <c r="B358" s="6" t="str">
        <f t="shared" si="1"/>
        <v>322.315</v>
      </c>
      <c r="C358" s="6" t="str">
        <f t="shared" si="2"/>
        <v>322,315</v>
      </c>
      <c r="D358" s="6">
        <f t="shared" si="3"/>
        <v>322.315</v>
      </c>
      <c r="E358" s="6">
        <f t="shared" si="4"/>
        <v>0.332</v>
      </c>
    </row>
    <row r="359">
      <c r="A359" s="4" t="s">
        <v>7464</v>
      </c>
      <c r="B359" s="6" t="str">
        <f t="shared" si="1"/>
        <v>324.120</v>
      </c>
      <c r="C359" s="6" t="str">
        <f t="shared" si="2"/>
        <v>324,120</v>
      </c>
      <c r="D359" s="6">
        <f t="shared" si="3"/>
        <v>324.12</v>
      </c>
      <c r="E359" s="6">
        <f t="shared" si="4"/>
        <v>1.805</v>
      </c>
    </row>
    <row r="360">
      <c r="A360" s="4" t="s">
        <v>7465</v>
      </c>
      <c r="B360" s="6" t="str">
        <f t="shared" si="1"/>
        <v>324.424</v>
      </c>
      <c r="C360" s="6" t="str">
        <f t="shared" si="2"/>
        <v>324,424</v>
      </c>
      <c r="D360" s="6">
        <f t="shared" si="3"/>
        <v>324.424</v>
      </c>
      <c r="E360" s="6">
        <f t="shared" si="4"/>
        <v>0.304</v>
      </c>
    </row>
    <row r="361">
      <c r="A361" s="4" t="s">
        <v>7466</v>
      </c>
      <c r="B361" s="6" t="str">
        <f t="shared" si="1"/>
        <v>324.748</v>
      </c>
      <c r="C361" s="6" t="str">
        <f t="shared" si="2"/>
        <v>324,748</v>
      </c>
      <c r="D361" s="6">
        <f t="shared" si="3"/>
        <v>324.748</v>
      </c>
      <c r="E361" s="6">
        <f t="shared" si="4"/>
        <v>0.324</v>
      </c>
    </row>
    <row r="362">
      <c r="A362" s="4" t="s">
        <v>7467</v>
      </c>
      <c r="B362" s="6" t="str">
        <f t="shared" si="1"/>
        <v>325.078</v>
      </c>
      <c r="C362" s="6" t="str">
        <f t="shared" si="2"/>
        <v>325,078</v>
      </c>
      <c r="D362" s="6">
        <f t="shared" si="3"/>
        <v>325.078</v>
      </c>
      <c r="E362" s="6">
        <f t="shared" si="4"/>
        <v>0.33</v>
      </c>
    </row>
    <row r="363">
      <c r="A363" s="4" t="s">
        <v>7468</v>
      </c>
      <c r="B363" s="6" t="str">
        <f t="shared" si="1"/>
        <v>325.407</v>
      </c>
      <c r="C363" s="6" t="str">
        <f t="shared" si="2"/>
        <v>325,407</v>
      </c>
      <c r="D363" s="6">
        <f t="shared" si="3"/>
        <v>325.407</v>
      </c>
      <c r="E363" s="6">
        <f t="shared" si="4"/>
        <v>0.329</v>
      </c>
    </row>
    <row r="364">
      <c r="A364" s="4" t="s">
        <v>7469</v>
      </c>
      <c r="B364" s="6" t="str">
        <f t="shared" si="1"/>
        <v>329.138</v>
      </c>
      <c r="C364" s="6" t="str">
        <f t="shared" si="2"/>
        <v>329,138</v>
      </c>
      <c r="D364" s="6">
        <f t="shared" si="3"/>
        <v>329.138</v>
      </c>
      <c r="E364" s="6">
        <f t="shared" si="4"/>
        <v>3.731</v>
      </c>
    </row>
    <row r="365">
      <c r="A365" s="4" t="s">
        <v>7470</v>
      </c>
      <c r="B365" s="6" t="str">
        <f t="shared" si="1"/>
        <v>329.395</v>
      </c>
      <c r="C365" s="6" t="str">
        <f t="shared" si="2"/>
        <v>329,395</v>
      </c>
      <c r="D365" s="6">
        <f t="shared" si="3"/>
        <v>329.395</v>
      </c>
      <c r="E365" s="6">
        <f t="shared" si="4"/>
        <v>0.257</v>
      </c>
    </row>
    <row r="366">
      <c r="A366" s="4" t="s">
        <v>7471</v>
      </c>
      <c r="B366" s="6" t="str">
        <f t="shared" si="1"/>
        <v>329.669</v>
      </c>
      <c r="C366" s="6" t="str">
        <f t="shared" si="2"/>
        <v>329,669</v>
      </c>
      <c r="D366" s="6">
        <f t="shared" si="3"/>
        <v>329.669</v>
      </c>
      <c r="E366" s="6">
        <f t="shared" si="4"/>
        <v>0.274</v>
      </c>
    </row>
    <row r="367">
      <c r="A367" s="4" t="s">
        <v>7472</v>
      </c>
      <c r="B367" s="6" t="str">
        <f t="shared" si="1"/>
        <v>329.942</v>
      </c>
      <c r="C367" s="6" t="str">
        <f t="shared" si="2"/>
        <v>329,942</v>
      </c>
      <c r="D367" s="6">
        <f t="shared" si="3"/>
        <v>329.942</v>
      </c>
      <c r="E367" s="6">
        <f t="shared" si="4"/>
        <v>0.273</v>
      </c>
    </row>
    <row r="368">
      <c r="A368" s="4" t="s">
        <v>7473</v>
      </c>
      <c r="B368" s="6" t="str">
        <f t="shared" si="1"/>
        <v>330.207</v>
      </c>
      <c r="C368" s="6" t="str">
        <f t="shared" si="2"/>
        <v>330,207</v>
      </c>
      <c r="D368" s="6">
        <f t="shared" si="3"/>
        <v>330.207</v>
      </c>
      <c r="E368" s="6">
        <f t="shared" si="4"/>
        <v>0.265</v>
      </c>
    </row>
    <row r="369">
      <c r="A369" s="4" t="s">
        <v>7474</v>
      </c>
      <c r="B369" s="6" t="str">
        <f t="shared" si="1"/>
        <v>330.417</v>
      </c>
      <c r="C369" s="6" t="str">
        <f t="shared" si="2"/>
        <v>330,417</v>
      </c>
      <c r="D369" s="6">
        <f t="shared" si="3"/>
        <v>330.417</v>
      </c>
      <c r="E369" s="6">
        <f t="shared" si="4"/>
        <v>0.21</v>
      </c>
    </row>
    <row r="370">
      <c r="A370" s="4" t="s">
        <v>7475</v>
      </c>
      <c r="B370" s="6" t="str">
        <f t="shared" si="1"/>
        <v>330.656</v>
      </c>
      <c r="C370" s="6" t="str">
        <f t="shared" si="2"/>
        <v>330,656</v>
      </c>
      <c r="D370" s="6">
        <f t="shared" si="3"/>
        <v>330.656</v>
      </c>
      <c r="E370" s="6">
        <f t="shared" si="4"/>
        <v>0.239</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c r="H1" s="7"/>
    </row>
    <row r="2">
      <c r="A2" s="4" t="s">
        <v>7476</v>
      </c>
      <c r="C2" s="4"/>
      <c r="D2" s="4"/>
      <c r="E2" s="8"/>
      <c r="F2" s="8"/>
      <c r="G2" s="8"/>
      <c r="H2" s="9"/>
    </row>
    <row r="3">
      <c r="A3" s="4"/>
      <c r="C3" s="4"/>
      <c r="D3" s="4"/>
      <c r="E3" s="8"/>
      <c r="F3" s="8"/>
      <c r="G3" s="8"/>
      <c r="H3" s="9"/>
    </row>
    <row r="4">
      <c r="A4" s="4"/>
      <c r="C4" s="4"/>
      <c r="D4" s="4"/>
      <c r="E4" s="8"/>
      <c r="F4" s="8"/>
      <c r="G4" s="8"/>
      <c r="H4" s="9"/>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c r="H1" s="7"/>
    </row>
    <row r="2">
      <c r="A2" s="4" t="s">
        <v>33</v>
      </c>
      <c r="C2" s="4"/>
      <c r="D2" s="4"/>
      <c r="E2" s="8"/>
      <c r="F2" s="8"/>
      <c r="G2" s="8"/>
      <c r="H2" s="9"/>
    </row>
    <row r="3">
      <c r="A3" s="4" t="s">
        <v>62</v>
      </c>
    </row>
    <row r="4">
      <c r="A4" s="4" t="s">
        <v>108</v>
      </c>
    </row>
    <row r="5">
      <c r="A5" s="4" t="s">
        <v>88</v>
      </c>
    </row>
    <row r="6">
      <c r="A6" s="4" t="s">
        <v>89</v>
      </c>
    </row>
    <row r="7">
      <c r="A7" s="4" t="s">
        <v>33</v>
      </c>
    </row>
    <row r="8">
      <c r="A8" s="4" t="s">
        <v>500</v>
      </c>
    </row>
    <row r="9">
      <c r="A9" s="4" t="s">
        <v>34</v>
      </c>
    </row>
    <row r="10">
      <c r="A10" s="4" t="s">
        <v>520</v>
      </c>
    </row>
    <row r="11">
      <c r="A11" s="4" t="s">
        <v>1362</v>
      </c>
    </row>
    <row r="12">
      <c r="A12" s="4" t="s">
        <v>50</v>
      </c>
    </row>
    <row r="13">
      <c r="A13" s="4" t="s">
        <v>129</v>
      </c>
    </row>
    <row r="14">
      <c r="A14" s="4" t="s">
        <v>540</v>
      </c>
    </row>
    <row r="15">
      <c r="A15" s="4" t="s">
        <v>33</v>
      </c>
    </row>
    <row r="16">
      <c r="A16" s="4" t="s">
        <v>546</v>
      </c>
    </row>
    <row r="17">
      <c r="A17" s="4" t="s">
        <v>44</v>
      </c>
    </row>
    <row r="18">
      <c r="A18" s="4" t="s">
        <v>119</v>
      </c>
    </row>
    <row r="19">
      <c r="A19" s="4" t="s">
        <v>500</v>
      </c>
    </row>
    <row r="20">
      <c r="A20" s="4" t="s">
        <v>549</v>
      </c>
    </row>
    <row r="21">
      <c r="A21" s="4" t="s">
        <v>110</v>
      </c>
    </row>
    <row r="22">
      <c r="A22" s="4" t="s">
        <v>116</v>
      </c>
    </row>
    <row r="23">
      <c r="A23" s="4" t="s">
        <v>7477</v>
      </c>
    </row>
    <row r="24">
      <c r="A24" s="4" t="s">
        <v>41</v>
      </c>
    </row>
    <row r="25">
      <c r="A25" s="4" t="s">
        <v>7478</v>
      </c>
    </row>
    <row r="26">
      <c r="A26" s="4" t="s">
        <v>7479</v>
      </c>
    </row>
    <row r="27">
      <c r="A27" s="4" t="s">
        <v>48</v>
      </c>
    </row>
    <row r="28">
      <c r="A28" s="4" t="s">
        <v>7480</v>
      </c>
    </row>
    <row r="29">
      <c r="A29" s="4" t="s">
        <v>89</v>
      </c>
    </row>
    <row r="30">
      <c r="A30" s="4" t="s">
        <v>33</v>
      </c>
    </row>
    <row r="31">
      <c r="A31" s="4" t="s">
        <v>506</v>
      </c>
    </row>
    <row r="32">
      <c r="A32" s="4" t="s">
        <v>500</v>
      </c>
    </row>
    <row r="33">
      <c r="A33" s="4" t="s">
        <v>7481</v>
      </c>
    </row>
    <row r="34">
      <c r="A34" s="4" t="s">
        <v>50</v>
      </c>
    </row>
    <row r="35">
      <c r="A35" s="4" t="s">
        <v>40</v>
      </c>
    </row>
    <row r="36">
      <c r="A36" s="4" t="s">
        <v>33</v>
      </c>
    </row>
    <row r="37">
      <c r="A37" s="4" t="s">
        <v>560</v>
      </c>
    </row>
    <row r="38">
      <c r="A38" s="4" t="s">
        <v>44</v>
      </c>
    </row>
    <row r="39">
      <c r="A39" s="4" t="s">
        <v>3693</v>
      </c>
    </row>
    <row r="40">
      <c r="A40" s="4" t="s">
        <v>7482</v>
      </c>
    </row>
    <row r="41">
      <c r="A41" s="4" t="s">
        <v>88</v>
      </c>
    </row>
    <row r="42">
      <c r="A42" s="4" t="s">
        <v>75</v>
      </c>
    </row>
    <row r="43">
      <c r="A43" s="4" t="s">
        <v>33</v>
      </c>
    </row>
    <row r="44">
      <c r="A44" s="4" t="s">
        <v>34</v>
      </c>
    </row>
    <row r="45">
      <c r="A45" s="4" t="s">
        <v>110</v>
      </c>
    </row>
    <row r="46">
      <c r="A46" s="4" t="s">
        <v>7483</v>
      </c>
    </row>
    <row r="47">
      <c r="A47" s="4" t="s">
        <v>44</v>
      </c>
    </row>
    <row r="48">
      <c r="A48" s="4" t="s">
        <v>92</v>
      </c>
    </row>
    <row r="49">
      <c r="A49" s="4" t="s">
        <v>98</v>
      </c>
    </row>
    <row r="50">
      <c r="A50" s="4" t="s">
        <v>527</v>
      </c>
    </row>
    <row r="51">
      <c r="A51" s="4" t="s">
        <v>33</v>
      </c>
    </row>
    <row r="52">
      <c r="A52" s="4" t="s">
        <v>119</v>
      </c>
    </row>
    <row r="53">
      <c r="A53" s="4" t="s">
        <v>62</v>
      </c>
    </row>
    <row r="54">
      <c r="A54" s="4" t="s">
        <v>1352</v>
      </c>
    </row>
    <row r="55">
      <c r="A55" s="4" t="s">
        <v>1238</v>
      </c>
    </row>
    <row r="56">
      <c r="A56" s="4" t="s">
        <v>518</v>
      </c>
    </row>
    <row r="57">
      <c r="A57" s="4" t="s">
        <v>520</v>
      </c>
    </row>
    <row r="58">
      <c r="A58" s="4" t="s">
        <v>1513</v>
      </c>
    </row>
    <row r="59">
      <c r="A59" s="4" t="s">
        <v>160</v>
      </c>
    </row>
    <row r="60">
      <c r="A60" s="4" t="s">
        <v>892</v>
      </c>
    </row>
    <row r="61">
      <c r="A61" s="4" t="s">
        <v>119</v>
      </c>
    </row>
    <row r="62">
      <c r="A62" s="4" t="s">
        <v>1522</v>
      </c>
    </row>
    <row r="63">
      <c r="A63" s="4" t="s">
        <v>33</v>
      </c>
    </row>
    <row r="64">
      <c r="A64" s="4" t="s">
        <v>34</v>
      </c>
    </row>
    <row r="65">
      <c r="A65" s="4" t="s">
        <v>88</v>
      </c>
    </row>
    <row r="66">
      <c r="A66" s="4" t="s">
        <v>75</v>
      </c>
    </row>
    <row r="67">
      <c r="A67" s="4" t="s">
        <v>48</v>
      </c>
    </row>
    <row r="68">
      <c r="A68" s="4" t="s">
        <v>35</v>
      </c>
    </row>
    <row r="69">
      <c r="A69" s="4" t="s">
        <v>1230</v>
      </c>
    </row>
    <row r="70">
      <c r="A70" s="4" t="s">
        <v>33</v>
      </c>
    </row>
    <row r="71">
      <c r="A71" s="4" t="s">
        <v>34</v>
      </c>
    </row>
    <row r="72">
      <c r="A72" s="4" t="s">
        <v>44</v>
      </c>
    </row>
    <row r="73">
      <c r="A73" s="4" t="s">
        <v>119</v>
      </c>
    </row>
    <row r="74">
      <c r="A74" s="4" t="s">
        <v>500</v>
      </c>
    </row>
    <row r="75">
      <c r="A75" s="4" t="s">
        <v>88</v>
      </c>
    </row>
    <row r="76">
      <c r="A76" s="4" t="s">
        <v>75</v>
      </c>
    </row>
    <row r="77">
      <c r="A77" s="4" t="s">
        <v>33</v>
      </c>
    </row>
    <row r="78">
      <c r="A78" s="4" t="s">
        <v>34</v>
      </c>
    </row>
    <row r="79">
      <c r="A79" s="4" t="s">
        <v>497</v>
      </c>
    </row>
    <row r="80">
      <c r="A80" s="4" t="s">
        <v>40</v>
      </c>
    </row>
    <row r="81">
      <c r="A81" s="4" t="s">
        <v>552</v>
      </c>
    </row>
    <row r="82">
      <c r="A82" s="4" t="s">
        <v>3018</v>
      </c>
    </row>
    <row r="83">
      <c r="A83" s="4" t="s">
        <v>1374</v>
      </c>
    </row>
    <row r="84">
      <c r="A84" s="4" t="s">
        <v>871</v>
      </c>
    </row>
    <row r="85">
      <c r="A85" s="4" t="s">
        <v>3278</v>
      </c>
    </row>
    <row r="86">
      <c r="A86" s="4" t="s">
        <v>33</v>
      </c>
    </row>
    <row r="87">
      <c r="A87" s="4" t="s">
        <v>1350</v>
      </c>
    </row>
    <row r="88">
      <c r="A88" s="4" t="s">
        <v>44</v>
      </c>
    </row>
    <row r="89">
      <c r="A89" s="4" t="s">
        <v>92</v>
      </c>
    </row>
    <row r="90">
      <c r="A90" s="4" t="s">
        <v>527</v>
      </c>
    </row>
    <row r="91">
      <c r="A91" s="4" t="s">
        <v>39</v>
      </c>
    </row>
    <row r="92">
      <c r="A92" s="4" t="s">
        <v>40</v>
      </c>
    </row>
    <row r="93">
      <c r="A93" s="4" t="s">
        <v>33</v>
      </c>
    </row>
    <row r="94">
      <c r="A94" s="4" t="s">
        <v>34</v>
      </c>
    </row>
    <row r="95">
      <c r="A95" s="4" t="s">
        <v>44</v>
      </c>
    </row>
    <row r="96">
      <c r="A96" s="4" t="s">
        <v>513</v>
      </c>
    </row>
    <row r="97">
      <c r="A97" s="4" t="s">
        <v>543</v>
      </c>
    </row>
    <row r="98">
      <c r="A98" s="4" t="s">
        <v>41</v>
      </c>
    </row>
    <row r="99">
      <c r="A99" s="4" t="s">
        <v>518</v>
      </c>
    </row>
    <row r="100">
      <c r="A100" s="4" t="s">
        <v>520</v>
      </c>
    </row>
    <row r="101">
      <c r="A101" s="4" t="s">
        <v>1352</v>
      </c>
    </row>
    <row r="102">
      <c r="A102" s="4" t="s">
        <v>41</v>
      </c>
    </row>
    <row r="103">
      <c r="A103" s="4" t="s">
        <v>7484</v>
      </c>
    </row>
    <row r="104">
      <c r="A104" s="4" t="s">
        <v>33</v>
      </c>
    </row>
    <row r="105">
      <c r="A105" s="4" t="s">
        <v>500</v>
      </c>
    </row>
    <row r="106">
      <c r="A106" s="4" t="s">
        <v>44</v>
      </c>
    </row>
    <row r="107">
      <c r="A107" s="4" t="s">
        <v>518</v>
      </c>
    </row>
    <row r="108">
      <c r="A108" s="4" t="s">
        <v>34</v>
      </c>
    </row>
    <row r="109">
      <c r="A109" s="4" t="s">
        <v>519</v>
      </c>
    </row>
    <row r="110">
      <c r="A110" s="4" t="s">
        <v>520</v>
      </c>
    </row>
    <row r="111">
      <c r="A111" s="4" t="s">
        <v>88</v>
      </c>
    </row>
    <row r="112">
      <c r="A112" s="4" t="s">
        <v>89</v>
      </c>
    </row>
    <row r="113">
      <c r="A113" s="4" t="s">
        <v>33</v>
      </c>
    </row>
    <row r="114">
      <c r="A114" s="4" t="s">
        <v>500</v>
      </c>
    </row>
    <row r="115">
      <c r="A115" s="4" t="s">
        <v>48</v>
      </c>
    </row>
    <row r="116">
      <c r="A116" s="4" t="s">
        <v>139</v>
      </c>
    </row>
    <row r="117">
      <c r="A117" s="4" t="s">
        <v>51</v>
      </c>
    </row>
    <row r="118">
      <c r="A118" s="4" t="s">
        <v>7485</v>
      </c>
    </row>
    <row r="119">
      <c r="A119" s="4" t="s">
        <v>44</v>
      </c>
    </row>
    <row r="120">
      <c r="A120" s="4" t="s">
        <v>7486</v>
      </c>
    </row>
    <row r="121">
      <c r="A121" s="4" t="s">
        <v>33</v>
      </c>
    </row>
    <row r="122">
      <c r="A122" s="4" t="s">
        <v>119</v>
      </c>
    </row>
    <row r="123">
      <c r="A123" s="4" t="s">
        <v>62</v>
      </c>
    </row>
    <row r="124">
      <c r="A124" s="4" t="s">
        <v>7487</v>
      </c>
    </row>
    <row r="125">
      <c r="A125" s="4" t="s">
        <v>88</v>
      </c>
    </row>
    <row r="126">
      <c r="A126" s="4" t="s">
        <v>75</v>
      </c>
    </row>
    <row r="127">
      <c r="A127" s="4" t="s">
        <v>48</v>
      </c>
    </row>
    <row r="128">
      <c r="A128" s="4" t="s">
        <v>35</v>
      </c>
    </row>
    <row r="129">
      <c r="A129" s="4" t="s">
        <v>107</v>
      </c>
    </row>
    <row r="130">
      <c r="A130" s="4" t="s">
        <v>41</v>
      </c>
    </row>
    <row r="131">
      <c r="A131" s="4" t="s">
        <v>42</v>
      </c>
    </row>
    <row r="132">
      <c r="A132" s="4" t="s">
        <v>33</v>
      </c>
    </row>
    <row r="133">
      <c r="A133" s="4" t="s">
        <v>500</v>
      </c>
    </row>
    <row r="134">
      <c r="A134" s="4" t="s">
        <v>55</v>
      </c>
    </row>
    <row r="135">
      <c r="A135" s="4" t="s">
        <v>109</v>
      </c>
    </row>
    <row r="136">
      <c r="A136" s="4" t="s">
        <v>549</v>
      </c>
    </row>
    <row r="137">
      <c r="A137" s="4" t="s">
        <v>501</v>
      </c>
    </row>
    <row r="138">
      <c r="A138" s="4" t="s">
        <v>103</v>
      </c>
    </row>
    <row r="139">
      <c r="A139" s="4" t="s">
        <v>511</v>
      </c>
    </row>
    <row r="140">
      <c r="A140" s="4" t="s">
        <v>7488</v>
      </c>
    </row>
    <row r="141">
      <c r="A141" s="4" t="s">
        <v>115</v>
      </c>
    </row>
    <row r="142">
      <c r="A142" s="4" t="s">
        <v>92</v>
      </c>
    </row>
    <row r="143">
      <c r="A143" s="4" t="s">
        <v>139</v>
      </c>
    </row>
    <row r="144">
      <c r="A144" s="4" t="s">
        <v>129</v>
      </c>
    </row>
    <row r="145">
      <c r="A145" s="4" t="s">
        <v>34</v>
      </c>
    </row>
    <row r="146">
      <c r="A146" s="4" t="s">
        <v>961</v>
      </c>
    </row>
    <row r="147">
      <c r="A147" s="4" t="s">
        <v>33</v>
      </c>
    </row>
    <row r="148">
      <c r="A148" s="4" t="s">
        <v>34</v>
      </c>
    </row>
    <row r="149">
      <c r="A149" s="4" t="s">
        <v>44</v>
      </c>
    </row>
    <row r="150">
      <c r="A150" s="4" t="s">
        <v>513</v>
      </c>
    </row>
    <row r="151">
      <c r="A151" s="4" t="s">
        <v>533</v>
      </c>
    </row>
    <row r="152">
      <c r="A152" s="4" t="s">
        <v>518</v>
      </c>
    </row>
    <row r="153">
      <c r="A153" s="4" t="s">
        <v>105</v>
      </c>
    </row>
    <row r="154">
      <c r="A154" s="4" t="s">
        <v>935</v>
      </c>
    </row>
    <row r="155">
      <c r="A155" s="4" t="s">
        <v>48</v>
      </c>
    </row>
    <row r="156">
      <c r="A156" s="4" t="s">
        <v>107</v>
      </c>
    </row>
    <row r="157">
      <c r="A157" s="4" t="s">
        <v>41</v>
      </c>
    </row>
    <row r="158">
      <c r="A158" s="4" t="s">
        <v>42</v>
      </c>
    </row>
    <row r="159">
      <c r="A159" s="4" t="s">
        <v>33</v>
      </c>
    </row>
    <row r="160">
      <c r="A160" s="4" t="s">
        <v>540</v>
      </c>
    </row>
    <row r="161">
      <c r="A161" s="4" t="s">
        <v>41</v>
      </c>
    </row>
    <row r="162">
      <c r="A162" s="4" t="s">
        <v>939</v>
      </c>
    </row>
    <row r="163">
      <c r="A163" s="4" t="s">
        <v>140</v>
      </c>
    </row>
    <row r="164">
      <c r="A164" s="4" t="s">
        <v>569</v>
      </c>
    </row>
    <row r="165">
      <c r="A165" s="4" t="s">
        <v>33</v>
      </c>
    </row>
    <row r="166">
      <c r="A166" s="4" t="s">
        <v>516</v>
      </c>
    </row>
    <row r="167">
      <c r="A167" s="4" t="s">
        <v>525</v>
      </c>
    </row>
    <row r="168">
      <c r="A168" s="4" t="s">
        <v>536</v>
      </c>
    </row>
    <row r="169">
      <c r="A169" s="4" t="s">
        <v>109</v>
      </c>
    </row>
    <row r="170">
      <c r="A170" s="4" t="s">
        <v>549</v>
      </c>
    </row>
    <row r="171">
      <c r="A171" s="4" t="s">
        <v>4880</v>
      </c>
    </row>
    <row r="172">
      <c r="A172" s="4" t="s">
        <v>70</v>
      </c>
    </row>
    <row r="173">
      <c r="A173" s="4" t="s">
        <v>518</v>
      </c>
    </row>
    <row r="174">
      <c r="A174" s="4" t="s">
        <v>946</v>
      </c>
    </row>
    <row r="175">
      <c r="A175" s="4" t="s">
        <v>7489</v>
      </c>
    </row>
    <row r="176">
      <c r="A176" s="4" t="s">
        <v>33</v>
      </c>
    </row>
    <row r="177">
      <c r="A177" s="4" t="s">
        <v>500</v>
      </c>
    </row>
    <row r="178">
      <c r="A178" s="4" t="s">
        <v>44</v>
      </c>
    </row>
    <row r="179">
      <c r="A179" s="4" t="s">
        <v>518</v>
      </c>
    </row>
    <row r="180">
      <c r="A180" s="4" t="s">
        <v>34</v>
      </c>
    </row>
    <row r="181">
      <c r="A181" s="4" t="s">
        <v>519</v>
      </c>
    </row>
    <row r="182">
      <c r="A182" s="4" t="s">
        <v>520</v>
      </c>
    </row>
    <row r="183">
      <c r="A183" s="4" t="s">
        <v>138</v>
      </c>
    </row>
    <row r="184">
      <c r="A184" s="4" t="s">
        <v>36</v>
      </c>
    </row>
    <row r="185">
      <c r="A185" s="4" t="s">
        <v>155</v>
      </c>
    </row>
    <row r="186">
      <c r="A186" s="4" t="s">
        <v>41</v>
      </c>
    </row>
    <row r="187">
      <c r="A187" s="4" t="s">
        <v>156</v>
      </c>
    </row>
    <row r="188">
      <c r="A188" s="4" t="s">
        <v>33</v>
      </c>
    </row>
    <row r="189">
      <c r="A189" s="4" t="s">
        <v>34</v>
      </c>
    </row>
    <row r="190">
      <c r="A190" s="4" t="s">
        <v>90</v>
      </c>
    </row>
    <row r="191">
      <c r="A191" s="4" t="s">
        <v>92</v>
      </c>
    </row>
    <row r="192">
      <c r="A192" s="4" t="s">
        <v>522</v>
      </c>
    </row>
    <row r="193">
      <c r="A193" s="4" t="s">
        <v>33</v>
      </c>
    </row>
    <row r="194">
      <c r="A194" s="4" t="s">
        <v>34</v>
      </c>
    </row>
    <row r="195">
      <c r="A195" s="4" t="s">
        <v>509</v>
      </c>
    </row>
    <row r="196">
      <c r="A196" s="4" t="s">
        <v>92</v>
      </c>
    </row>
    <row r="197">
      <c r="A197" s="4" t="s">
        <v>510</v>
      </c>
    </row>
    <row r="198">
      <c r="A198" s="4" t="s">
        <v>50</v>
      </c>
    </row>
    <row r="199">
      <c r="A199" s="4" t="s">
        <v>40</v>
      </c>
    </row>
    <row r="200">
      <c r="A200" s="4" t="s">
        <v>553</v>
      </c>
    </row>
    <row r="201">
      <c r="A201" s="4" t="s">
        <v>155</v>
      </c>
    </row>
    <row r="202">
      <c r="A202" s="4" t="s">
        <v>88</v>
      </c>
    </row>
    <row r="203">
      <c r="A203" s="4" t="s">
        <v>40</v>
      </c>
    </row>
    <row r="204">
      <c r="A204" s="4" t="s">
        <v>75</v>
      </c>
    </row>
    <row r="205">
      <c r="A205" s="4" t="s">
        <v>48</v>
      </c>
    </row>
    <row r="206">
      <c r="A206" s="4" t="s">
        <v>35</v>
      </c>
    </row>
    <row r="207">
      <c r="A207" s="4" t="s">
        <v>107</v>
      </c>
    </row>
    <row r="208">
      <c r="A208" s="4" t="s">
        <v>41</v>
      </c>
    </row>
    <row r="209">
      <c r="A209" s="4" t="s">
        <v>42</v>
      </c>
    </row>
    <row r="210">
      <c r="A210" s="4" t="s">
        <v>33</v>
      </c>
    </row>
    <row r="211">
      <c r="A211" s="4" t="s">
        <v>34</v>
      </c>
    </row>
    <row r="212">
      <c r="A212" s="4" t="s">
        <v>4887</v>
      </c>
    </row>
    <row r="213">
      <c r="A213" s="4" t="s">
        <v>40</v>
      </c>
    </row>
    <row r="214">
      <c r="A214" s="4" t="s">
        <v>4873</v>
      </c>
    </row>
    <row r="215">
      <c r="A215" s="4" t="s">
        <v>90</v>
      </c>
    </row>
    <row r="216">
      <c r="A216" s="4" t="s">
        <v>44</v>
      </c>
    </row>
    <row r="217">
      <c r="A217" s="4" t="s">
        <v>522</v>
      </c>
    </row>
    <row r="218">
      <c r="A218" s="4" t="s">
        <v>33</v>
      </c>
    </row>
    <row r="219">
      <c r="A219" s="4" t="s">
        <v>569</v>
      </c>
    </row>
    <row r="220">
      <c r="A220" s="4" t="s">
        <v>51</v>
      </c>
    </row>
    <row r="221">
      <c r="A221" s="4" t="s">
        <v>540</v>
      </c>
    </row>
    <row r="222">
      <c r="A222" s="4" t="s">
        <v>41</v>
      </c>
    </row>
    <row r="223">
      <c r="A223" s="4" t="s">
        <v>939</v>
      </c>
    </row>
    <row r="224">
      <c r="A224" s="4" t="s">
        <v>88</v>
      </c>
    </row>
    <row r="225">
      <c r="A225" s="4" t="s">
        <v>40</v>
      </c>
    </row>
    <row r="226">
      <c r="A226" s="4" t="s">
        <v>75</v>
      </c>
    </row>
    <row r="227">
      <c r="A227" s="4" t="s">
        <v>7490</v>
      </c>
    </row>
    <row r="228">
      <c r="A228" s="4" t="s">
        <v>3016</v>
      </c>
    </row>
    <row r="229">
      <c r="A229" s="4" t="s">
        <v>33</v>
      </c>
    </row>
    <row r="230">
      <c r="A230" s="4" t="s">
        <v>34</v>
      </c>
    </row>
    <row r="231">
      <c r="A231" s="4" t="s">
        <v>44</v>
      </c>
    </row>
    <row r="232">
      <c r="A232" s="4" t="s">
        <v>119</v>
      </c>
    </row>
    <row r="233">
      <c r="A233" s="4" t="s">
        <v>500</v>
      </c>
    </row>
    <row r="234">
      <c r="A234" s="4" t="s">
        <v>109</v>
      </c>
    </row>
    <row r="235">
      <c r="A235" s="4" t="s">
        <v>501</v>
      </c>
    </row>
    <row r="236">
      <c r="A236" s="4" t="s">
        <v>88</v>
      </c>
    </row>
    <row r="237">
      <c r="A237" s="4" t="s">
        <v>75</v>
      </c>
    </row>
    <row r="238">
      <c r="A238" s="4" t="s">
        <v>33</v>
      </c>
    </row>
    <row r="239">
      <c r="A239" s="4" t="s">
        <v>34</v>
      </c>
    </row>
    <row r="240">
      <c r="A240" s="4" t="s">
        <v>44</v>
      </c>
    </row>
    <row r="241">
      <c r="A241" s="4" t="s">
        <v>513</v>
      </c>
    </row>
    <row r="242">
      <c r="A242" s="4" t="s">
        <v>533</v>
      </c>
    </row>
    <row r="243">
      <c r="A243" s="4" t="s">
        <v>116</v>
      </c>
    </row>
    <row r="244">
      <c r="A244" s="4" t="s">
        <v>155</v>
      </c>
    </row>
    <row r="245">
      <c r="A245" s="4" t="s">
        <v>41</v>
      </c>
    </row>
    <row r="246">
      <c r="A246" s="4" t="s">
        <v>139</v>
      </c>
    </row>
    <row r="247">
      <c r="A247" s="4" t="s">
        <v>33</v>
      </c>
    </row>
    <row r="248">
      <c r="A248" s="4" t="s">
        <v>1359</v>
      </c>
    </row>
    <row r="249">
      <c r="A249" s="4" t="s">
        <v>49</v>
      </c>
    </row>
    <row r="250">
      <c r="A250" s="4" t="s">
        <v>48</v>
      </c>
    </row>
    <row r="251">
      <c r="A251" s="4" t="s">
        <v>107</v>
      </c>
    </row>
    <row r="252">
      <c r="A252" s="4" t="s">
        <v>41</v>
      </c>
    </row>
    <row r="253">
      <c r="A253" s="4" t="s">
        <v>42</v>
      </c>
    </row>
    <row r="254">
      <c r="A254" s="4" t="s">
        <v>33</v>
      </c>
    </row>
    <row r="255">
      <c r="A255" s="4" t="s">
        <v>34</v>
      </c>
    </row>
    <row r="256">
      <c r="A256" s="4" t="s">
        <v>107</v>
      </c>
    </row>
    <row r="257">
      <c r="A257" s="4" t="s">
        <v>41</v>
      </c>
    </row>
    <row r="258">
      <c r="A258" s="4" t="s">
        <v>42</v>
      </c>
    </row>
    <row r="259">
      <c r="A259" s="4" t="s">
        <v>48</v>
      </c>
    </row>
    <row r="260">
      <c r="A260" s="4" t="s">
        <v>75</v>
      </c>
    </row>
    <row r="261">
      <c r="A261" s="4" t="s">
        <v>924</v>
      </c>
    </row>
    <row r="262">
      <c r="A262" s="4" t="s">
        <v>90</v>
      </c>
    </row>
    <row r="263">
      <c r="A263" s="4" t="s">
        <v>44</v>
      </c>
    </row>
    <row r="264">
      <c r="A264" s="4" t="s">
        <v>513</v>
      </c>
    </row>
    <row r="265">
      <c r="A265" s="4" t="s">
        <v>7491</v>
      </c>
    </row>
    <row r="266">
      <c r="A266" s="4" t="s">
        <v>518</v>
      </c>
    </row>
    <row r="267">
      <c r="A267" s="4" t="s">
        <v>34</v>
      </c>
    </row>
    <row r="268">
      <c r="A268" s="4" t="s">
        <v>7492</v>
      </c>
    </row>
    <row r="269">
      <c r="A269" s="4" t="s">
        <v>33</v>
      </c>
    </row>
    <row r="270">
      <c r="A270" s="4" t="s">
        <v>34</v>
      </c>
    </row>
    <row r="271">
      <c r="A271" s="4" t="s">
        <v>509</v>
      </c>
    </row>
    <row r="272">
      <c r="A272" s="4" t="s">
        <v>92</v>
      </c>
    </row>
    <row r="273">
      <c r="A273" s="4" t="s">
        <v>510</v>
      </c>
    </row>
    <row r="274">
      <c r="A274" s="4" t="s">
        <v>48</v>
      </c>
    </row>
    <row r="275">
      <c r="A275" s="4" t="s">
        <v>119</v>
      </c>
    </row>
    <row r="276">
      <c r="A276" s="4" t="s">
        <v>500</v>
      </c>
    </row>
    <row r="277">
      <c r="A277" s="4" t="s">
        <v>109</v>
      </c>
    </row>
    <row r="278">
      <c r="A278" s="4" t="s">
        <v>501</v>
      </c>
    </row>
    <row r="279">
      <c r="A279" s="4" t="s">
        <v>33</v>
      </c>
    </row>
    <row r="280">
      <c r="A280" s="4" t="s">
        <v>34</v>
      </c>
    </row>
    <row r="281">
      <c r="A281" s="4" t="s">
        <v>497</v>
      </c>
    </row>
    <row r="282">
      <c r="A282" s="4" t="s">
        <v>40</v>
      </c>
    </row>
    <row r="283">
      <c r="A283" s="4" t="s">
        <v>552</v>
      </c>
    </row>
    <row r="284">
      <c r="A284" s="4" t="s">
        <v>33</v>
      </c>
    </row>
    <row r="285">
      <c r="A285" s="4" t="s">
        <v>1359</v>
      </c>
    </row>
    <row r="286">
      <c r="A286" s="4" t="s">
        <v>88</v>
      </c>
    </row>
    <row r="287">
      <c r="A287" s="4" t="s">
        <v>75</v>
      </c>
    </row>
    <row r="288">
      <c r="A288" s="4" t="s">
        <v>48</v>
      </c>
    </row>
    <row r="289">
      <c r="A289" s="4" t="s">
        <v>35</v>
      </c>
    </row>
    <row r="290">
      <c r="A290" s="4" t="s">
        <v>868</v>
      </c>
    </row>
    <row r="291">
      <c r="A291" s="4" t="s">
        <v>935</v>
      </c>
    </row>
    <row r="292">
      <c r="A292" s="4" t="s">
        <v>39</v>
      </c>
    </row>
    <row r="293">
      <c r="A293" s="4" t="s">
        <v>40</v>
      </c>
    </row>
    <row r="294">
      <c r="A294" s="4" t="s">
        <v>33</v>
      </c>
    </row>
    <row r="295">
      <c r="A295" s="4" t="s">
        <v>1359</v>
      </c>
    </row>
    <row r="296">
      <c r="A296" s="4" t="s">
        <v>88</v>
      </c>
    </row>
    <row r="297">
      <c r="A297" s="4" t="s">
        <v>40</v>
      </c>
    </row>
    <row r="298">
      <c r="A298" s="4" t="s">
        <v>75</v>
      </c>
    </row>
    <row r="299">
      <c r="A299" s="4" t="s">
        <v>48</v>
      </c>
    </row>
    <row r="300">
      <c r="A300" s="4" t="s">
        <v>35</v>
      </c>
    </row>
    <row r="301">
      <c r="A301" s="4" t="s">
        <v>107</v>
      </c>
    </row>
    <row r="302">
      <c r="A302" s="4" t="s">
        <v>41</v>
      </c>
    </row>
    <row r="303">
      <c r="A303" s="4" t="s">
        <v>42</v>
      </c>
    </row>
    <row r="304">
      <c r="A304" s="4" t="s">
        <v>33</v>
      </c>
    </row>
    <row r="305">
      <c r="A305" s="4" t="s">
        <v>34</v>
      </c>
    </row>
    <row r="306">
      <c r="A306" s="4" t="s">
        <v>44</v>
      </c>
    </row>
    <row r="307">
      <c r="A307" s="4" t="s">
        <v>119</v>
      </c>
    </row>
    <row r="308">
      <c r="A308" s="4" t="s">
        <v>500</v>
      </c>
    </row>
    <row r="309">
      <c r="A309" s="4" t="s">
        <v>109</v>
      </c>
    </row>
    <row r="310">
      <c r="A310" s="4" t="s">
        <v>501</v>
      </c>
    </row>
    <row r="311">
      <c r="A311" s="4" t="s">
        <v>90</v>
      </c>
    </row>
    <row r="312">
      <c r="A312" s="4" t="s">
        <v>33</v>
      </c>
    </row>
    <row r="313">
      <c r="A313" s="4" t="s">
        <v>516</v>
      </c>
    </row>
    <row r="314">
      <c r="A314" s="4" t="s">
        <v>140</v>
      </c>
    </row>
    <row r="315">
      <c r="A315" s="4" t="s">
        <v>139</v>
      </c>
    </row>
    <row r="316">
      <c r="A316" s="4" t="s">
        <v>39</v>
      </c>
    </row>
    <row r="317">
      <c r="A317" s="4" t="s">
        <v>40</v>
      </c>
    </row>
    <row r="318">
      <c r="A318" s="4" t="s">
        <v>33</v>
      </c>
    </row>
    <row r="319">
      <c r="A319" s="4" t="s">
        <v>506</v>
      </c>
    </row>
    <row r="320">
      <c r="A320" s="4" t="s">
        <v>1396</v>
      </c>
    </row>
    <row r="321">
      <c r="A321" s="4" t="s">
        <v>40</v>
      </c>
    </row>
    <row r="322">
      <c r="A322" s="4" t="s">
        <v>129</v>
      </c>
    </row>
    <row r="323">
      <c r="A323" s="4" t="s">
        <v>1350</v>
      </c>
    </row>
    <row r="324">
      <c r="A324" s="4" t="s">
        <v>48</v>
      </c>
    </row>
    <row r="325">
      <c r="A325" s="4" t="s">
        <v>126</v>
      </c>
    </row>
    <row r="326">
      <c r="A326" s="4" t="s">
        <v>139</v>
      </c>
    </row>
    <row r="327">
      <c r="A327" s="4" t="s">
        <v>41</v>
      </c>
    </row>
    <row r="328">
      <c r="A328" s="4" t="s">
        <v>1338</v>
      </c>
    </row>
    <row r="329">
      <c r="A329" s="4" t="s">
        <v>33</v>
      </c>
    </row>
    <row r="330">
      <c r="A330" s="4" t="s">
        <v>155</v>
      </c>
    </row>
    <row r="331">
      <c r="A331" s="4" t="s">
        <v>41</v>
      </c>
    </row>
    <row r="332">
      <c r="A332" s="4" t="s">
        <v>7478</v>
      </c>
    </row>
    <row r="333">
      <c r="A333" s="4" t="s">
        <v>3002</v>
      </c>
    </row>
    <row r="334">
      <c r="A334" s="4" t="s">
        <v>871</v>
      </c>
    </row>
    <row r="335">
      <c r="A335" s="4" t="s">
        <v>160</v>
      </c>
    </row>
    <row r="336">
      <c r="A336" s="4" t="s">
        <v>541</v>
      </c>
    </row>
    <row r="337">
      <c r="A337" s="4" t="s">
        <v>7493</v>
      </c>
    </row>
    <row r="338">
      <c r="A338" s="4" t="s">
        <v>48</v>
      </c>
    </row>
    <row r="339">
      <c r="A339" s="4" t="s">
        <v>35</v>
      </c>
    </row>
    <row r="340">
      <c r="A340" s="4" t="s">
        <v>40</v>
      </c>
    </row>
    <row r="341">
      <c r="A341" s="4" t="s">
        <v>107</v>
      </c>
    </row>
    <row r="342">
      <c r="A342" s="4" t="s">
        <v>41</v>
      </c>
    </row>
    <row r="343">
      <c r="A343" s="4" t="s">
        <v>42</v>
      </c>
    </row>
    <row r="344">
      <c r="A344" s="4" t="s">
        <v>33</v>
      </c>
    </row>
    <row r="345">
      <c r="A345" s="4" t="s">
        <v>560</v>
      </c>
    </row>
    <row r="346">
      <c r="A346" s="4" t="s">
        <v>107</v>
      </c>
    </row>
    <row r="347">
      <c r="A347" s="4" t="s">
        <v>41</v>
      </c>
    </row>
    <row r="348">
      <c r="A348" s="4" t="s">
        <v>42</v>
      </c>
    </row>
    <row r="349">
      <c r="A349" s="4" t="s">
        <v>48</v>
      </c>
    </row>
    <row r="350">
      <c r="A350" s="4" t="s">
        <v>115</v>
      </c>
    </row>
    <row r="351">
      <c r="A351" s="4" t="s">
        <v>940</v>
      </c>
    </row>
    <row r="352">
      <c r="A352" s="4" t="s">
        <v>7494</v>
      </c>
    </row>
    <row r="353">
      <c r="A353" s="4" t="s">
        <v>33</v>
      </c>
    </row>
    <row r="354">
      <c r="A354" s="4" t="s">
        <v>34</v>
      </c>
    </row>
    <row r="355">
      <c r="A355" s="4" t="s">
        <v>497</v>
      </c>
    </row>
    <row r="356">
      <c r="A356" s="4" t="s">
        <v>40</v>
      </c>
    </row>
    <row r="357">
      <c r="A357" s="4" t="s">
        <v>552</v>
      </c>
    </row>
    <row r="358">
      <c r="A358" s="4" t="s">
        <v>33</v>
      </c>
    </row>
    <row r="359">
      <c r="A359" s="4" t="s">
        <v>506</v>
      </c>
    </row>
    <row r="360">
      <c r="A360" s="4" t="s">
        <v>50</v>
      </c>
    </row>
    <row r="361">
      <c r="A361" s="4" t="s">
        <v>129</v>
      </c>
    </row>
    <row r="362">
      <c r="A362" s="4" t="s">
        <v>500</v>
      </c>
    </row>
    <row r="363">
      <c r="A363" s="4" t="s">
        <v>1362</v>
      </c>
    </row>
    <row r="364">
      <c r="A364" s="4" t="s">
        <v>33</v>
      </c>
    </row>
    <row r="365">
      <c r="A365" s="4" t="s">
        <v>34</v>
      </c>
    </row>
    <row r="366">
      <c r="A366" s="4" t="s">
        <v>500</v>
      </c>
    </row>
    <row r="367">
      <c r="A367" s="4" t="s">
        <v>520</v>
      </c>
    </row>
    <row r="368">
      <c r="A368" s="4" t="s">
        <v>48</v>
      </c>
    </row>
    <row r="369">
      <c r="A369" s="4" t="s">
        <v>139</v>
      </c>
    </row>
    <row r="370">
      <c r="A370" s="4" t="s">
        <v>1362</v>
      </c>
    </row>
    <row r="371">
      <c r="A371" s="4" t="s">
        <v>35</v>
      </c>
    </row>
    <row r="372">
      <c r="A372" s="4" t="s">
        <v>1354</v>
      </c>
    </row>
    <row r="373">
      <c r="A373" s="4" t="s">
        <v>50</v>
      </c>
    </row>
    <row r="374">
      <c r="A374" s="4" t="s">
        <v>40</v>
      </c>
    </row>
    <row r="375">
      <c r="A375" s="4" t="s">
        <v>33</v>
      </c>
    </row>
    <row r="376">
      <c r="A376" s="4" t="s">
        <v>560</v>
      </c>
    </row>
    <row r="377">
      <c r="A377" s="4" t="s">
        <v>50</v>
      </c>
    </row>
    <row r="378">
      <c r="A378" s="4" t="s">
        <v>40</v>
      </c>
    </row>
    <row r="379">
      <c r="A379" s="4" t="s">
        <v>129</v>
      </c>
    </row>
    <row r="380">
      <c r="A380" s="4" t="s">
        <v>557</v>
      </c>
    </row>
    <row r="381">
      <c r="A381" s="4" t="s">
        <v>48</v>
      </c>
    </row>
    <row r="382">
      <c r="A382" s="4" t="s">
        <v>558</v>
      </c>
    </row>
    <row r="383">
      <c r="A383" s="4" t="s">
        <v>5428</v>
      </c>
    </row>
    <row r="384">
      <c r="A384" s="4" t="s">
        <v>33</v>
      </c>
    </row>
    <row r="385">
      <c r="A385" s="4" t="s">
        <v>34</v>
      </c>
    </row>
    <row r="386">
      <c r="A386" s="4" t="s">
        <v>75</v>
      </c>
    </row>
    <row r="387">
      <c r="A387" s="4" t="s">
        <v>565</v>
      </c>
    </row>
    <row r="388">
      <c r="A388" s="4" t="s">
        <v>50</v>
      </c>
    </row>
    <row r="389">
      <c r="A389" s="4" t="s">
        <v>40</v>
      </c>
    </row>
    <row r="390">
      <c r="A390" s="4" t="s">
        <v>129</v>
      </c>
    </row>
    <row r="391">
      <c r="A391" s="4" t="s">
        <v>120</v>
      </c>
    </row>
    <row r="392">
      <c r="A392" s="4" t="s">
        <v>33</v>
      </c>
    </row>
    <row r="393">
      <c r="A393" s="4" t="s">
        <v>34</v>
      </c>
    </row>
    <row r="394">
      <c r="A394" s="4" t="s">
        <v>565</v>
      </c>
    </row>
    <row r="395">
      <c r="A395" s="4" t="s">
        <v>40</v>
      </c>
    </row>
    <row r="396">
      <c r="A396" s="4" t="s">
        <v>75</v>
      </c>
    </row>
    <row r="397">
      <c r="A397" s="4" t="s">
        <v>119</v>
      </c>
    </row>
    <row r="398">
      <c r="A398" s="4" t="s">
        <v>500</v>
      </c>
    </row>
    <row r="399">
      <c r="A399" s="4" t="s">
        <v>109</v>
      </c>
    </row>
    <row r="400">
      <c r="A400" s="4" t="s">
        <v>501</v>
      </c>
    </row>
    <row r="401">
      <c r="A401" s="4" t="s">
        <v>33</v>
      </c>
    </row>
    <row r="402">
      <c r="A402" s="4" t="s">
        <v>34</v>
      </c>
    </row>
    <row r="403">
      <c r="A403" s="4" t="s">
        <v>7495</v>
      </c>
    </row>
    <row r="404">
      <c r="A404" s="4" t="s">
        <v>115</v>
      </c>
    </row>
    <row r="405">
      <c r="A405" s="4" t="s">
        <v>7496</v>
      </c>
    </row>
    <row r="406">
      <c r="A406" s="4" t="s">
        <v>33</v>
      </c>
    </row>
    <row r="407">
      <c r="A407" s="4" t="s">
        <v>500</v>
      </c>
    </row>
    <row r="408">
      <c r="A408" s="4" t="s">
        <v>36</v>
      </c>
    </row>
    <row r="409">
      <c r="A409" s="4" t="s">
        <v>7497</v>
      </c>
    </row>
    <row r="410">
      <c r="A410" s="4" t="s">
        <v>50</v>
      </c>
    </row>
    <row r="411">
      <c r="A411" s="4" t="s">
        <v>40</v>
      </c>
    </row>
    <row r="412">
      <c r="A412" s="4" t="s">
        <v>129</v>
      </c>
    </row>
    <row r="413">
      <c r="A413" s="4" t="s">
        <v>7498</v>
      </c>
    </row>
    <row r="414">
      <c r="A414" s="4" t="s">
        <v>33</v>
      </c>
    </row>
    <row r="415">
      <c r="A415" s="4" t="s">
        <v>34</v>
      </c>
    </row>
    <row r="416">
      <c r="A416" s="4" t="s">
        <v>40</v>
      </c>
    </row>
    <row r="417">
      <c r="A417" s="4" t="s">
        <v>924</v>
      </c>
    </row>
    <row r="418">
      <c r="A418" s="4" t="s">
        <v>48</v>
      </c>
    </row>
    <row r="419">
      <c r="A419" s="4" t="s">
        <v>107</v>
      </c>
    </row>
    <row r="420">
      <c r="A420" s="4" t="s">
        <v>41</v>
      </c>
    </row>
    <row r="421">
      <c r="A421" s="4" t="s">
        <v>42</v>
      </c>
    </row>
    <row r="422">
      <c r="A422" s="4" t="s">
        <v>33</v>
      </c>
    </row>
    <row r="423">
      <c r="A423" s="4" t="s">
        <v>500</v>
      </c>
    </row>
    <row r="424">
      <c r="A424" s="4" t="s">
        <v>44</v>
      </c>
    </row>
    <row r="425">
      <c r="A425" s="4" t="s">
        <v>518</v>
      </c>
    </row>
    <row r="426">
      <c r="A426" s="4" t="s">
        <v>34</v>
      </c>
    </row>
    <row r="427">
      <c r="A427" s="4" t="s">
        <v>519</v>
      </c>
    </row>
    <row r="428">
      <c r="A428" s="4" t="s">
        <v>520</v>
      </c>
    </row>
    <row r="429">
      <c r="A429" s="4" t="s">
        <v>551</v>
      </c>
    </row>
    <row r="430">
      <c r="A430" s="4" t="s">
        <v>53</v>
      </c>
    </row>
    <row r="431">
      <c r="A431" s="4" t="s">
        <v>115</v>
      </c>
    </row>
    <row r="432">
      <c r="A432" s="4" t="s">
        <v>98</v>
      </c>
    </row>
    <row r="433">
      <c r="A433" s="4" t="s">
        <v>93</v>
      </c>
    </row>
    <row r="434">
      <c r="A434" s="4" t="s">
        <v>33</v>
      </c>
    </row>
    <row r="435">
      <c r="A435" s="4" t="s">
        <v>560</v>
      </c>
    </row>
    <row r="436">
      <c r="A436" s="4" t="s">
        <v>88</v>
      </c>
    </row>
    <row r="437">
      <c r="A437" s="4" t="s">
        <v>89</v>
      </c>
    </row>
    <row r="438">
      <c r="A438" s="4" t="s">
        <v>48</v>
      </c>
    </row>
    <row r="439">
      <c r="A439" s="4" t="s">
        <v>35</v>
      </c>
    </row>
    <row r="440">
      <c r="A440" s="4" t="s">
        <v>40</v>
      </c>
    </row>
    <row r="441">
      <c r="A441" s="4" t="s">
        <v>107</v>
      </c>
    </row>
    <row r="442">
      <c r="A442" s="4" t="s">
        <v>41</v>
      </c>
    </row>
    <row r="443">
      <c r="A443" s="4" t="s">
        <v>42</v>
      </c>
    </row>
    <row r="444">
      <c r="A444" s="4" t="s">
        <v>33</v>
      </c>
    </row>
    <row r="445">
      <c r="A445" s="4" t="s">
        <v>34</v>
      </c>
    </row>
    <row r="446">
      <c r="A446" s="4" t="s">
        <v>497</v>
      </c>
    </row>
    <row r="447">
      <c r="A447" s="4" t="s">
        <v>552</v>
      </c>
    </row>
    <row r="448">
      <c r="A448" s="4" t="s">
        <v>4862</v>
      </c>
    </row>
    <row r="449">
      <c r="A449" s="4" t="s">
        <v>44</v>
      </c>
    </row>
    <row r="450">
      <c r="A450" s="4" t="s">
        <v>2604</v>
      </c>
    </row>
    <row r="451">
      <c r="A451" s="4" t="s">
        <v>498</v>
      </c>
    </row>
    <row r="452">
      <c r="A452" s="4" t="s">
        <v>947</v>
      </c>
    </row>
    <row r="453">
      <c r="A453" s="4" t="s">
        <v>116</v>
      </c>
    </row>
    <row r="454">
      <c r="A454" s="4" t="s">
        <v>1354</v>
      </c>
    </row>
    <row r="455">
      <c r="A455" s="4" t="s">
        <v>93</v>
      </c>
    </row>
    <row r="456">
      <c r="A456" s="4" t="s">
        <v>57</v>
      </c>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2639</v>
      </c>
      <c r="D2" s="4" t="str">
        <f t="shared" ref="D2:D468" si="1">C2</f>
        <v>{"valorA":"ótimo","valorB":1}</v>
      </c>
      <c r="E2" s="8" t="str">
        <f t="shared" ref="E2:E456" si="2">SUBSTITUTE(MID(C2,FIND(":",C2)+1,FIND(",",C2)-FIND(":",C2)-1),"""","")</f>
        <v>ótimo</v>
      </c>
      <c r="F2" s="8" t="str">
        <f>IFERROR(__xludf.DUMMYFUNCTION("UNIQUE(E2:E468)"),"ótimo")</f>
        <v>ótimo</v>
      </c>
      <c r="G2" s="8" t="str">
        <f t="shared" ref="G2:G456" si="3">MID(C2,FIND("valorB",C2)+8,FIND("}",C2)-FIND("valorB",C2)-8)</f>
        <v>1</v>
      </c>
      <c r="H2" s="9">
        <f t="shared" ref="H2:H456" si="4">VALUE(SUBSTITUTE(G2,".",","))</f>
        <v>1</v>
      </c>
      <c r="I2" s="10">
        <f>IFERROR(__xludf.DUMMYFUNCTION("MAX(FILTER($H:$H,$E:$E=F2))"),49.0)</f>
        <v>49</v>
      </c>
    </row>
    <row r="3">
      <c r="C3" s="4" t="s">
        <v>2628</v>
      </c>
      <c r="D3" s="4" t="str">
        <f t="shared" si="1"/>
        <v>{"valorA":"gostei","valorB":1}</v>
      </c>
      <c r="E3" s="8" t="str">
        <f t="shared" si="2"/>
        <v>gostei</v>
      </c>
      <c r="F3" s="8" t="str">
        <f>IFERROR(__xludf.DUMMYFUNCTION("""COMPUTED_VALUE"""),"gostei")</f>
        <v>gostei</v>
      </c>
      <c r="G3" s="8" t="str">
        <f t="shared" si="3"/>
        <v>1</v>
      </c>
      <c r="H3" s="9">
        <f t="shared" si="4"/>
        <v>1</v>
      </c>
      <c r="I3" s="10">
        <f>IFERROR(__xludf.DUMMYFUNCTION("MAX(FILTER($H:$H,$E:$E=F3))"),8.0)</f>
        <v>8</v>
      </c>
    </row>
    <row r="4">
      <c r="C4" s="4" t="s">
        <v>2634</v>
      </c>
      <c r="D4" s="4" t="str">
        <f t="shared" si="1"/>
        <v>{"valorA":"produto","valorB":1}</v>
      </c>
      <c r="E4" s="8" t="str">
        <f t="shared" si="2"/>
        <v>produto</v>
      </c>
      <c r="F4" s="8" t="str">
        <f>IFERROR(__xludf.DUMMYFUNCTION("""COMPUTED_VALUE"""),"produto")</f>
        <v>produto</v>
      </c>
      <c r="G4" s="8" t="str">
        <f t="shared" si="3"/>
        <v>1</v>
      </c>
      <c r="H4" s="9">
        <f t="shared" si="4"/>
        <v>1</v>
      </c>
      <c r="I4" s="10">
        <f>IFERROR(__xludf.DUMMYFUNCTION("MAX(FILTER($H:$H,$E:$E=F4))"),28.0)</f>
        <v>28</v>
      </c>
    </row>
    <row r="5">
      <c r="C5" s="4" t="s">
        <v>3704</v>
      </c>
      <c r="D5" s="4" t="str">
        <f t="shared" si="1"/>
        <v>{"valorA":"monitor","valorB":1}</v>
      </c>
      <c r="E5" s="8" t="str">
        <f t="shared" si="2"/>
        <v>monitor</v>
      </c>
      <c r="F5" s="8" t="str">
        <f>IFERROR(__xludf.DUMMYFUNCTION("""COMPUTED_VALUE"""),"monitor")</f>
        <v>monitor</v>
      </c>
      <c r="G5" s="8" t="str">
        <f t="shared" si="3"/>
        <v>1</v>
      </c>
      <c r="H5" s="9">
        <f t="shared" si="4"/>
        <v>1</v>
      </c>
      <c r="I5" s="10">
        <f>IFERROR(__xludf.DUMMYFUNCTION("MAX(FILTER($H:$H,$E:$E=F5))"),3.0)</f>
        <v>3</v>
      </c>
    </row>
    <row r="6">
      <c r="C6" s="4" t="s">
        <v>2624</v>
      </c>
      <c r="D6" s="4" t="str">
        <f t="shared" si="1"/>
        <v>{"valorA":"funciona","valorB":1}</v>
      </c>
      <c r="E6" s="8" t="str">
        <f t="shared" si="2"/>
        <v>funciona</v>
      </c>
      <c r="F6" s="8" t="str">
        <f>IFERROR(__xludf.DUMMYFUNCTION("""COMPUTED_VALUE"""),"funciona")</f>
        <v>funciona</v>
      </c>
      <c r="G6" s="8" t="str">
        <f t="shared" si="3"/>
        <v>1</v>
      </c>
      <c r="H6" s="9">
        <f t="shared" si="4"/>
        <v>1</v>
      </c>
      <c r="I6" s="10">
        <f>IFERROR(__xludf.DUMMYFUNCTION("MAX(FILTER($H:$H,$E:$E=F6))"),12.0)</f>
        <v>12</v>
      </c>
    </row>
    <row r="7">
      <c r="C7" s="4" t="s">
        <v>3337</v>
      </c>
      <c r="D7" s="4" t="str">
        <f t="shared" si="1"/>
        <v>{"valorA":"refrigerador","valorB":1}</v>
      </c>
      <c r="E7" s="8" t="str">
        <f t="shared" si="2"/>
        <v>refrigerador</v>
      </c>
      <c r="F7" s="8" t="str">
        <f>IFERROR(__xludf.DUMMYFUNCTION("""COMPUTED_VALUE"""),"refrigerador")</f>
        <v>refrigerador</v>
      </c>
      <c r="G7" s="8" t="str">
        <f t="shared" si="3"/>
        <v>1</v>
      </c>
      <c r="H7" s="9">
        <f t="shared" si="4"/>
        <v>1</v>
      </c>
      <c r="I7" s="10">
        <f>IFERROR(__xludf.DUMMYFUNCTION("MAX(FILTER($H:$H,$E:$E=F7))"),1.0)</f>
        <v>1</v>
      </c>
    </row>
    <row r="8">
      <c r="C8" s="4" t="s">
        <v>2670</v>
      </c>
      <c r="D8" s="4" t="str">
        <f t="shared" si="1"/>
        <v>{"valorA":"meu","valorB":1}</v>
      </c>
      <c r="E8" s="8" t="str">
        <f t="shared" si="2"/>
        <v>meu</v>
      </c>
      <c r="F8" s="8" t="str">
        <f>IFERROR(__xludf.DUMMYFUNCTION("""COMPUTED_VALUE"""),"meu")</f>
        <v>meu</v>
      </c>
      <c r="G8" s="8" t="str">
        <f t="shared" si="3"/>
        <v>1</v>
      </c>
      <c r="H8" s="9">
        <f t="shared" si="4"/>
        <v>1</v>
      </c>
      <c r="I8" s="10">
        <f>IFERROR(__xludf.DUMMYFUNCTION("MAX(FILTER($H:$H,$E:$E=F8))"),3.0)</f>
        <v>3</v>
      </c>
    </row>
    <row r="9">
      <c r="C9" s="4" t="s">
        <v>2655</v>
      </c>
      <c r="D9" s="4" t="str">
        <f t="shared" si="1"/>
        <v>{"valorA":"preço","valorB":1}</v>
      </c>
      <c r="E9" s="8" t="str">
        <f t="shared" si="2"/>
        <v>preço</v>
      </c>
      <c r="F9" s="8" t="str">
        <f>IFERROR(__xludf.DUMMYFUNCTION("""COMPUTED_VALUE"""),"preço")</f>
        <v>preço</v>
      </c>
      <c r="G9" s="8" t="str">
        <f t="shared" si="3"/>
        <v>1</v>
      </c>
      <c r="H9" s="9">
        <f t="shared" si="4"/>
        <v>1</v>
      </c>
      <c r="I9" s="10">
        <f>IFERROR(__xludf.DUMMYFUNCTION("MAX(FILTER($H:$H,$E:$E=F9))"),16.0)</f>
        <v>16</v>
      </c>
    </row>
    <row r="10">
      <c r="C10" s="4" t="s">
        <v>2646</v>
      </c>
      <c r="D10" s="4" t="str">
        <f t="shared" si="1"/>
        <v>{"valorA":"perfeitamente","valorB":1}</v>
      </c>
      <c r="E10" s="8" t="str">
        <f t="shared" si="2"/>
        <v>perfeitamente</v>
      </c>
      <c r="F10" s="8" t="str">
        <f>IFERROR(__xludf.DUMMYFUNCTION("""COMPUTED_VALUE"""),"perfeitamente")</f>
        <v>perfeitamente</v>
      </c>
      <c r="G10" s="8" t="str">
        <f t="shared" si="3"/>
        <v>1</v>
      </c>
      <c r="H10" s="9">
        <f t="shared" si="4"/>
        <v>1</v>
      </c>
      <c r="I10" s="10">
        <f>IFERROR(__xludf.DUMMYFUNCTION("MAX(FILTER($H:$H,$E:$E=F10))"),4.0)</f>
        <v>4</v>
      </c>
    </row>
    <row r="11">
      <c r="C11" s="4" t="s">
        <v>3023</v>
      </c>
      <c r="D11" s="4" t="str">
        <f t="shared" si="1"/>
        <v>{"valorA":"bom","valorB":1}</v>
      </c>
      <c r="E11" s="8" t="str">
        <f t="shared" si="2"/>
        <v>bom</v>
      </c>
      <c r="F11" s="8" t="str">
        <f>IFERROR(__xludf.DUMMYFUNCTION("""COMPUTED_VALUE"""),"bom")</f>
        <v>bom</v>
      </c>
      <c r="G11" s="8" t="str">
        <f t="shared" si="3"/>
        <v>1</v>
      </c>
      <c r="H11" s="9">
        <f t="shared" si="4"/>
        <v>1</v>
      </c>
      <c r="I11" s="10">
        <f>IFERROR(__xludf.DUMMYFUNCTION("MAX(FILTER($H:$H,$E:$E=F11))"),7.0)</f>
        <v>7</v>
      </c>
    </row>
    <row r="12">
      <c r="C12" s="4" t="s">
        <v>2652</v>
      </c>
      <c r="D12" s="4" t="str">
        <f t="shared" si="1"/>
        <v>{"valorA":"ótimo","valorB":2}</v>
      </c>
      <c r="E12" s="8" t="str">
        <f t="shared" si="2"/>
        <v>ótimo</v>
      </c>
      <c r="F12" s="8" t="str">
        <f>IFERROR(__xludf.DUMMYFUNCTION("""COMPUTED_VALUE"""),"também")</f>
        <v>também</v>
      </c>
      <c r="G12" s="8" t="str">
        <f t="shared" si="3"/>
        <v>2</v>
      </c>
      <c r="H12" s="9">
        <f t="shared" si="4"/>
        <v>2</v>
      </c>
      <c r="I12" s="10">
        <f>IFERROR(__xludf.DUMMYFUNCTION("MAX(FILTER($H:$H,$E:$E=F12))"),3.0)</f>
        <v>3</v>
      </c>
    </row>
    <row r="13">
      <c r="C13" s="4" t="s">
        <v>2822</v>
      </c>
      <c r="D13" s="4" t="str">
        <f t="shared" si="1"/>
        <v>{"valorA":"também","valorB":1}</v>
      </c>
      <c r="E13" s="8" t="str">
        <f t="shared" si="2"/>
        <v>também</v>
      </c>
      <c r="F13" s="8" t="str">
        <f>IFERROR(__xludf.DUMMYFUNCTION("""COMPUTED_VALUE"""),"do")</f>
        <v>do</v>
      </c>
      <c r="G13" s="8" t="str">
        <f t="shared" si="3"/>
        <v>1</v>
      </c>
      <c r="H13" s="9">
        <f t="shared" si="4"/>
        <v>1</v>
      </c>
      <c r="I13" s="10">
        <f>IFERROR(__xludf.DUMMYFUNCTION("MAX(FILTER($H:$H,$E:$E=F13))"),7.0)</f>
        <v>7</v>
      </c>
    </row>
    <row r="14">
      <c r="C14" s="4" t="s">
        <v>2654</v>
      </c>
      <c r="D14" s="4" t="str">
        <f t="shared" si="1"/>
        <v>{"valorA":"do","valorB":1}</v>
      </c>
      <c r="E14" s="8" t="str">
        <f t="shared" si="2"/>
        <v>do</v>
      </c>
      <c r="F14" s="8" t="str">
        <f>IFERROR(__xludf.DUMMYFUNCTION("""COMPUTED_VALUE"""),"de")</f>
        <v>de</v>
      </c>
      <c r="G14" s="8" t="str">
        <f t="shared" si="3"/>
        <v>1</v>
      </c>
      <c r="H14" s="9">
        <f t="shared" si="4"/>
        <v>1</v>
      </c>
      <c r="I14" s="10">
        <f>IFERROR(__xludf.DUMMYFUNCTION("MAX(FILTER($H:$H,$E:$E=F14))"),19.0)</f>
        <v>19</v>
      </c>
    </row>
    <row r="15">
      <c r="C15" s="4" t="s">
        <v>2680</v>
      </c>
      <c r="D15" s="4" t="str">
        <f t="shared" si="1"/>
        <v>{"valorA":"de","valorB":1}</v>
      </c>
      <c r="E15" s="8" t="str">
        <f t="shared" si="2"/>
        <v>de</v>
      </c>
      <c r="F15" s="8" t="str">
        <f>IFERROR(__xludf.DUMMYFUNCTION("""COMPUTED_VALUE"""),"uma")</f>
        <v>uma</v>
      </c>
      <c r="G15" s="8" t="str">
        <f t="shared" si="3"/>
        <v>1</v>
      </c>
      <c r="H15" s="9">
        <f t="shared" si="4"/>
        <v>1</v>
      </c>
      <c r="I15" s="10">
        <f>IFERROR(__xludf.DUMMYFUNCTION("MAX(FILTER($H:$H,$E:$E=F15))"),3.0)</f>
        <v>3</v>
      </c>
    </row>
    <row r="16">
      <c r="C16" s="4" t="s">
        <v>3090</v>
      </c>
      <c r="D16" s="4" t="str">
        <f t="shared" si="1"/>
        <v>{"valorA":"uma","valorB":1}</v>
      </c>
      <c r="E16" s="8" t="str">
        <f t="shared" si="2"/>
        <v>uma</v>
      </c>
      <c r="F16" s="8" t="str">
        <f>IFERROR(__xludf.DUMMYFUNCTION("""COMPUTED_VALUE"""),"valor")</f>
        <v>valor</v>
      </c>
      <c r="G16" s="8" t="str">
        <f t="shared" si="3"/>
        <v>1</v>
      </c>
      <c r="H16" s="9">
        <f t="shared" si="4"/>
        <v>1</v>
      </c>
      <c r="I16" s="10">
        <f>IFERROR(__xludf.DUMMYFUNCTION("MAX(FILTER($H:$H,$E:$E=F16))"),1.0)</f>
        <v>1</v>
      </c>
    </row>
    <row r="17">
      <c r="C17" s="4" t="s">
        <v>2653</v>
      </c>
      <c r="D17" s="4" t="str">
        <f t="shared" si="1"/>
        <v>{"valorA":"ótimo","valorB":3}</v>
      </c>
      <c r="E17" s="8" t="str">
        <f t="shared" si="2"/>
        <v>ótimo</v>
      </c>
      <c r="F17" s="8" t="str">
        <f>IFERROR(__xludf.DUMMYFUNCTION("""COMPUTED_VALUE"""),"vídeo")</f>
        <v>vídeo</v>
      </c>
      <c r="G17" s="8" t="str">
        <f t="shared" si="3"/>
        <v>3</v>
      </c>
      <c r="H17" s="9">
        <f t="shared" si="4"/>
        <v>3</v>
      </c>
      <c r="I17" s="10">
        <f>IFERROR(__xludf.DUMMYFUNCTION("MAX(FILTER($H:$H,$E:$E=F17))"),2.0)</f>
        <v>2</v>
      </c>
    </row>
    <row r="18">
      <c r="C18" s="4" t="s">
        <v>3379</v>
      </c>
      <c r="D18" s="4" t="str">
        <f t="shared" si="1"/>
        <v>{"valorA":"valor","valorB":1}</v>
      </c>
      <c r="E18" s="8" t="str">
        <f t="shared" si="2"/>
        <v>valor</v>
      </c>
      <c r="F18" s="8" t="str">
        <f>IFERROR(__xludf.DUMMYFUNCTION("""COMPUTED_VALUE"""),"e")</f>
        <v>e</v>
      </c>
      <c r="G18" s="8" t="str">
        <f t="shared" si="3"/>
        <v>1</v>
      </c>
      <c r="H18" s="9">
        <f t="shared" si="4"/>
        <v>1</v>
      </c>
      <c r="I18" s="10">
        <f>IFERROR(__xludf.DUMMYFUNCTION("MAX(FILTER($H:$H,$E:$E=F18))"),18.0)</f>
        <v>18</v>
      </c>
    </row>
    <row r="19">
      <c r="C19" s="4" t="s">
        <v>7499</v>
      </c>
      <c r="D19" s="4" t="str">
        <f t="shared" si="1"/>
        <v>{"valorA":"vídeo","valorB":1}</v>
      </c>
      <c r="E19" s="8" t="str">
        <f t="shared" si="2"/>
        <v>vídeo</v>
      </c>
      <c r="F19" s="8" t="str">
        <f>IFERROR(__xludf.DUMMYFUNCTION("""COMPUTED_VALUE"""),"eu")</f>
        <v>eu</v>
      </c>
      <c r="G19" s="8" t="str">
        <f t="shared" si="3"/>
        <v>1</v>
      </c>
      <c r="H19" s="9">
        <f t="shared" si="4"/>
        <v>1</v>
      </c>
      <c r="I19" s="10">
        <f>IFERROR(__xludf.DUMMYFUNCTION("MAX(FILTER($H:$H,$E:$E=F19))"),3.0)</f>
        <v>3</v>
      </c>
    </row>
    <row r="20">
      <c r="C20" s="4" t="s">
        <v>2658</v>
      </c>
      <c r="D20" s="4" t="str">
        <f t="shared" si="1"/>
        <v>{"valorA":"e","valorB":1}</v>
      </c>
      <c r="E20" s="8" t="str">
        <f t="shared" si="2"/>
        <v>e</v>
      </c>
      <c r="F20" s="8" t="str">
        <f>IFERROR(__xludf.DUMMYFUNCTION("""COMPUTED_VALUE"""),"para")</f>
        <v>para</v>
      </c>
      <c r="G20" s="8" t="str">
        <f t="shared" si="3"/>
        <v>1</v>
      </c>
      <c r="H20" s="9">
        <f t="shared" si="4"/>
        <v>1</v>
      </c>
      <c r="I20" s="10">
        <f>IFERROR(__xludf.DUMMYFUNCTION("MAX(FILTER($H:$H,$E:$E=F20))"),17.0)</f>
        <v>17</v>
      </c>
    </row>
    <row r="21">
      <c r="C21" s="4" t="s">
        <v>3146</v>
      </c>
      <c r="D21" s="4" t="str">
        <f t="shared" si="1"/>
        <v>{"valorA":"eu","valorB":1}</v>
      </c>
      <c r="E21" s="8" t="str">
        <f t="shared" si="2"/>
        <v>eu</v>
      </c>
      <c r="F21" s="8" t="str">
        <f>IFERROR(__xludf.DUMMYFUNCTION("""COMPUTED_VALUE"""),"o")</f>
        <v>o</v>
      </c>
      <c r="G21" s="8" t="str">
        <f t="shared" si="3"/>
        <v>1</v>
      </c>
      <c r="H21" s="9">
        <f t="shared" si="4"/>
        <v>1</v>
      </c>
      <c r="I21" s="10">
        <f>IFERROR(__xludf.DUMMYFUNCTION("MAX(FILTER($H:$H,$E:$E=F21))"),9.0)</f>
        <v>9</v>
      </c>
    </row>
    <row r="22">
      <c r="C22" s="4" t="s">
        <v>2714</v>
      </c>
      <c r="D22" s="4" t="str">
        <f t="shared" si="1"/>
        <v>{"valorA":"perfeitamente","valorB":2}</v>
      </c>
      <c r="E22" s="8" t="str">
        <f t="shared" si="2"/>
        <v>perfeitamente</v>
      </c>
      <c r="F22" s="8" t="str">
        <f>IFERROR(__xludf.DUMMYFUNCTION("""COMPUTED_VALUE"""),"placa")</f>
        <v>placa</v>
      </c>
      <c r="G22" s="8" t="str">
        <f t="shared" si="3"/>
        <v>2</v>
      </c>
      <c r="H22" s="9">
        <f t="shared" si="4"/>
        <v>2</v>
      </c>
      <c r="I22" s="10">
        <f>IFERROR(__xludf.DUMMYFUNCTION("MAX(FILTER($H:$H,$E:$E=F22))"),1.0)</f>
        <v>1</v>
      </c>
    </row>
    <row r="23">
      <c r="C23" s="4" t="s">
        <v>2627</v>
      </c>
      <c r="D23" s="4" t="str">
        <f t="shared" si="1"/>
        <v>{"valorA":"para","valorB":1}</v>
      </c>
      <c r="E23" s="8" t="str">
        <f t="shared" si="2"/>
        <v>para</v>
      </c>
      <c r="F23" s="8" t="str">
        <f>IFERROR(__xludf.DUMMYFUNCTION("""COMPUTED_VALUE"""),"gaming")</f>
        <v>gaming</v>
      </c>
      <c r="G23" s="8" t="str">
        <f t="shared" si="3"/>
        <v>1</v>
      </c>
      <c r="H23" s="9">
        <f t="shared" si="4"/>
        <v>1</v>
      </c>
      <c r="I23" s="10">
        <f>IFERROR(__xludf.DUMMYFUNCTION("MAX(FILTER($H:$H,$E:$E=F23))"),1.0)</f>
        <v>1</v>
      </c>
    </row>
    <row r="24">
      <c r="C24" s="4" t="s">
        <v>2808</v>
      </c>
      <c r="D24" s="4" t="str">
        <f t="shared" si="1"/>
        <v>{"valorA":"preço","valorB":2}</v>
      </c>
      <c r="E24" s="8" t="str">
        <f t="shared" si="2"/>
        <v>preço</v>
      </c>
      <c r="F24" s="8" t="str">
        <f>IFERROR(__xludf.DUMMYFUNCTION("""COMPUTED_VALUE"""),"funcionou")</f>
        <v>funcionou</v>
      </c>
      <c r="G24" s="8" t="str">
        <f t="shared" si="3"/>
        <v>2</v>
      </c>
      <c r="H24" s="9">
        <f t="shared" si="4"/>
        <v>2</v>
      </c>
      <c r="I24" s="10">
        <f>IFERROR(__xludf.DUMMYFUNCTION("MAX(FILTER($H:$H,$E:$E=F24))"),1.0)</f>
        <v>1</v>
      </c>
    </row>
    <row r="25">
      <c r="C25" s="4" t="s">
        <v>2638</v>
      </c>
      <c r="D25" s="4" t="str">
        <f t="shared" si="1"/>
        <v>{"valorA":"o","valorB":1}</v>
      </c>
      <c r="E25" s="8" t="str">
        <f t="shared" si="2"/>
        <v>o</v>
      </c>
      <c r="F25" s="8" t="str">
        <f>IFERROR(__xludf.DUMMYFUNCTION("""COMPUTED_VALUE"""),"comprei")</f>
        <v>comprei</v>
      </c>
      <c r="G25" s="8" t="str">
        <f t="shared" si="3"/>
        <v>1</v>
      </c>
      <c r="H25" s="9">
        <f t="shared" si="4"/>
        <v>1</v>
      </c>
      <c r="I25" s="10">
        <f>IFERROR(__xludf.DUMMYFUNCTION("MAX(FILTER($H:$H,$E:$E=F25))"),2.0)</f>
        <v>2</v>
      </c>
    </row>
    <row r="26">
      <c r="C26" s="4" t="s">
        <v>7500</v>
      </c>
      <c r="D26" s="4" t="str">
        <f t="shared" si="1"/>
        <v>{"valorA":"placa","valorB":1}</v>
      </c>
      <c r="E26" s="8" t="str">
        <f t="shared" si="2"/>
        <v>placa</v>
      </c>
      <c r="F26" s="8" t="str">
        <f>IFERROR(__xludf.DUMMYFUNCTION("""COMPUTED_VALUE"""),"televisor")</f>
        <v>televisor</v>
      </c>
      <c r="G26" s="8" t="str">
        <f t="shared" si="3"/>
        <v>1</v>
      </c>
      <c r="H26" s="9">
        <f t="shared" si="4"/>
        <v>1</v>
      </c>
      <c r="I26" s="10">
        <f>IFERROR(__xludf.DUMMYFUNCTION("MAX(FILTER($H:$H,$E:$E=F26))"),3.0)</f>
        <v>3</v>
      </c>
    </row>
    <row r="27">
      <c r="C27" s="4" t="s">
        <v>7501</v>
      </c>
      <c r="D27" s="4" t="str">
        <f t="shared" si="1"/>
        <v>{"valorA":"gaming","valorB":1}</v>
      </c>
      <c r="E27" s="8" t="str">
        <f t="shared" si="2"/>
        <v>gaming</v>
      </c>
      <c r="F27" s="8" t="str">
        <f>IFERROR(__xludf.DUMMYFUNCTION("""COMPUTED_VALUE"""),"muito")</f>
        <v>muito</v>
      </c>
      <c r="G27" s="8" t="str">
        <f t="shared" si="3"/>
        <v>1</v>
      </c>
      <c r="H27" s="9">
        <f t="shared" si="4"/>
        <v>1</v>
      </c>
      <c r="I27" s="10">
        <f>IFERROR(__xludf.DUMMYFUNCTION("MAX(FILTER($H:$H,$E:$E=F27))"),21.0)</f>
        <v>21</v>
      </c>
    </row>
    <row r="28">
      <c r="C28" s="4" t="s">
        <v>7502</v>
      </c>
      <c r="D28" s="4" t="str">
        <f t="shared" si="1"/>
        <v>{"valorA":"funcionou","valorB":1}</v>
      </c>
      <c r="E28" s="8" t="str">
        <f t="shared" si="2"/>
        <v>funcionou</v>
      </c>
      <c r="F28" s="8" t="str">
        <f>IFERROR(__xludf.DUMMYFUNCTION("""COMPUTED_VALUE"""),"razoável")</f>
        <v>razoável</v>
      </c>
      <c r="G28" s="8" t="str">
        <f t="shared" si="3"/>
        <v>1</v>
      </c>
      <c r="H28" s="9">
        <f t="shared" si="4"/>
        <v>1</v>
      </c>
      <c r="I28" s="10">
        <f>IFERROR(__xludf.DUMMYFUNCTION("MAX(FILTER($H:$H,$E:$E=F28))"),1.0)</f>
        <v>1</v>
      </c>
    </row>
    <row r="29">
      <c r="C29" s="4" t="s">
        <v>2700</v>
      </c>
      <c r="D29" s="4" t="str">
        <f t="shared" si="1"/>
        <v>{"valorA":"comprei","valorB":1}</v>
      </c>
      <c r="E29" s="8" t="str">
        <f t="shared" si="2"/>
        <v>comprei</v>
      </c>
      <c r="F29" s="8" t="str">
        <f>IFERROR(__xludf.DUMMYFUNCTION("""COMPUTED_VALUE"""),"tablet")</f>
        <v>tablet</v>
      </c>
      <c r="G29" s="8" t="str">
        <f t="shared" si="3"/>
        <v>1</v>
      </c>
      <c r="H29" s="9">
        <f t="shared" si="4"/>
        <v>1</v>
      </c>
      <c r="I29" s="10">
        <f>IFERROR(__xludf.DUMMYFUNCTION("MAX(FILTER($H:$H,$E:$E=F29))"),4.0)</f>
        <v>4</v>
      </c>
    </row>
    <row r="30">
      <c r="C30" s="4" t="s">
        <v>3031</v>
      </c>
      <c r="D30" s="4" t="str">
        <f t="shared" si="1"/>
        <v>{"valorA":"televisor","valorB":1}</v>
      </c>
      <c r="E30" s="8" t="str">
        <f t="shared" si="2"/>
        <v>televisor</v>
      </c>
      <c r="F30" s="8" t="str">
        <f>IFERROR(__xludf.DUMMYFUNCTION("""COMPUTED_VALUE"""),"preços")</f>
        <v>preços</v>
      </c>
      <c r="G30" s="8" t="str">
        <f t="shared" si="3"/>
        <v>1</v>
      </c>
      <c r="H30" s="9">
        <f t="shared" si="4"/>
        <v>1</v>
      </c>
      <c r="I30" s="10">
        <f>IFERROR(__xludf.DUMMYFUNCTION("MAX(FILTER($H:$H,$E:$E=F30))"),1.0)</f>
        <v>1</v>
      </c>
    </row>
    <row r="31">
      <c r="C31" s="4" t="s">
        <v>2657</v>
      </c>
      <c r="D31" s="4" t="str">
        <f t="shared" si="1"/>
        <v>{"valorA":"ótimo","valorB":4}</v>
      </c>
      <c r="E31" s="8" t="str">
        <f t="shared" si="2"/>
        <v>ótimo</v>
      </c>
      <c r="F31" s="8" t="str">
        <f>IFERROR(__xludf.DUMMYFUNCTION("""COMPUTED_VALUE"""),"econômicos")</f>
        <v>econômicos</v>
      </c>
      <c r="G31" s="8" t="str">
        <f t="shared" si="3"/>
        <v>4</v>
      </c>
      <c r="H31" s="9">
        <f t="shared" si="4"/>
        <v>4</v>
      </c>
      <c r="I31" s="10">
        <f>IFERROR(__xludf.DUMMYFUNCTION("MAX(FILTER($H:$H,$E:$E=F31))"),1.0)</f>
        <v>1</v>
      </c>
    </row>
    <row r="32">
      <c r="C32" s="4" t="s">
        <v>2886</v>
      </c>
      <c r="D32" s="4" t="str">
        <f t="shared" si="1"/>
        <v>{"valorA":"preço","valorB":3}</v>
      </c>
      <c r="E32" s="8" t="str">
        <f t="shared" si="2"/>
        <v>preço</v>
      </c>
      <c r="F32" s="8" t="str">
        <f>IFERROR(__xludf.DUMMYFUNCTION("""COMPUTED_VALUE"""),"bem")</f>
        <v>bem</v>
      </c>
      <c r="G32" s="8" t="str">
        <f t="shared" si="3"/>
        <v>3</v>
      </c>
      <c r="H32" s="9">
        <f t="shared" si="4"/>
        <v>3</v>
      </c>
      <c r="I32" s="10">
        <f>IFERROR(__xludf.DUMMYFUNCTION("MAX(FILTER($H:$H,$E:$E=F32))"),12.0)</f>
        <v>12</v>
      </c>
    </row>
    <row r="33">
      <c r="C33" s="4" t="s">
        <v>2637</v>
      </c>
      <c r="D33" s="4" t="str">
        <f t="shared" si="1"/>
        <v>{"valorA":"muito","valorB":1}</v>
      </c>
      <c r="E33" s="8" t="str">
        <f t="shared" si="2"/>
        <v>muito</v>
      </c>
      <c r="F33" s="8" t="str">
        <f>IFERROR(__xludf.DUMMYFUNCTION("""COMPUTED_VALUE"""),"dois")</f>
        <v>dois</v>
      </c>
      <c r="G33" s="8" t="str">
        <f t="shared" si="3"/>
        <v>1</v>
      </c>
      <c r="H33" s="9">
        <f t="shared" si="4"/>
        <v>1</v>
      </c>
      <c r="I33" s="10">
        <f>IFERROR(__xludf.DUMMYFUNCTION("MAX(FILTER($H:$H,$E:$E=F33))"),1.0)</f>
        <v>1</v>
      </c>
    </row>
    <row r="34">
      <c r="C34" s="4" t="s">
        <v>7503</v>
      </c>
      <c r="D34" s="4" t="str">
        <f t="shared" si="1"/>
        <v>{"valorA":"razoável","valorB":1}</v>
      </c>
      <c r="E34" s="8" t="str">
        <f t="shared" si="2"/>
        <v>razoável</v>
      </c>
      <c r="F34" s="8" t="str">
        <f>IFERROR(__xludf.DUMMYFUNCTION("""COMPUTED_VALUE"""),"a")</f>
        <v>a</v>
      </c>
      <c r="G34" s="8" t="str">
        <f t="shared" si="3"/>
        <v>1</v>
      </c>
      <c r="H34" s="9">
        <f t="shared" si="4"/>
        <v>1</v>
      </c>
      <c r="I34" s="10">
        <f>IFERROR(__xludf.DUMMYFUNCTION("MAX(FILTER($H:$H,$E:$E=F34))"),6.0)</f>
        <v>6</v>
      </c>
    </row>
    <row r="35">
      <c r="C35" s="4" t="s">
        <v>2703</v>
      </c>
      <c r="D35" s="4" t="str">
        <f t="shared" si="1"/>
        <v>{"valorA":"gostei","valorB":2}</v>
      </c>
      <c r="E35" s="8" t="str">
        <f t="shared" si="2"/>
        <v>gostei</v>
      </c>
      <c r="F35" s="8" t="str">
        <f>IFERROR(__xludf.DUMMYFUNCTION("""COMPUTED_VALUE"""),"minha")</f>
        <v>minha</v>
      </c>
      <c r="G35" s="8" t="str">
        <f t="shared" si="3"/>
        <v>2</v>
      </c>
      <c r="H35" s="9">
        <f t="shared" si="4"/>
        <v>2</v>
      </c>
      <c r="I35" s="10">
        <f>IFERROR(__xludf.DUMMYFUNCTION("MAX(FILTER($H:$H,$E:$E=F35))"),2.0)</f>
        <v>2</v>
      </c>
    </row>
    <row r="36">
      <c r="C36" s="4" t="s">
        <v>2659</v>
      </c>
      <c r="D36" s="4" t="str">
        <f t="shared" si="1"/>
        <v>{"valorA":"ótimo","valorB":5}</v>
      </c>
      <c r="E36" s="8" t="str">
        <f t="shared" si="2"/>
        <v>ótimo</v>
      </c>
      <c r="F36" s="8" t="str">
        <f>IFERROR(__xludf.DUMMYFUNCTION("""COMPUTED_VALUE"""),"casa")</f>
        <v>casa</v>
      </c>
      <c r="G36" s="8" t="str">
        <f t="shared" si="3"/>
        <v>5</v>
      </c>
      <c r="H36" s="9">
        <f t="shared" si="4"/>
        <v>5</v>
      </c>
      <c r="I36" s="10">
        <f>IFERROR(__xludf.DUMMYFUNCTION("MAX(FILTER($H:$H,$E:$E=F36))"),2.0)</f>
        <v>2</v>
      </c>
    </row>
    <row r="37">
      <c r="C37" s="4" t="s">
        <v>3028</v>
      </c>
      <c r="D37" s="4" t="str">
        <f t="shared" si="1"/>
        <v>{"valorA":"tablet","valorB":1}</v>
      </c>
      <c r="E37" s="8" t="str">
        <f t="shared" si="2"/>
        <v>tablet</v>
      </c>
      <c r="F37" s="8" t="str">
        <f>IFERROR(__xludf.DUMMYFUNCTION("""COMPUTED_VALUE"""),"faz")</f>
        <v>faz</v>
      </c>
      <c r="G37" s="8" t="str">
        <f t="shared" si="3"/>
        <v>1</v>
      </c>
      <c r="H37" s="9">
        <f t="shared" si="4"/>
        <v>1</v>
      </c>
      <c r="I37" s="10">
        <f>IFERROR(__xludf.DUMMYFUNCTION("MAX(FILTER($H:$H,$E:$E=F37))"),1.0)</f>
        <v>1</v>
      </c>
    </row>
    <row r="38">
      <c r="C38" s="4" t="s">
        <v>3738</v>
      </c>
      <c r="D38" s="4" t="str">
        <f t="shared" si="1"/>
        <v>{"valorA":"preços","valorB":1}</v>
      </c>
      <c r="E38" s="8" t="str">
        <f t="shared" si="2"/>
        <v>preços</v>
      </c>
      <c r="F38" s="8" t="str">
        <f>IFERROR(__xludf.DUMMYFUNCTION("""COMPUTED_VALUE"""),"um")</f>
        <v>um</v>
      </c>
      <c r="G38" s="8" t="str">
        <f t="shared" si="3"/>
        <v>1</v>
      </c>
      <c r="H38" s="9">
        <f t="shared" si="4"/>
        <v>1</v>
      </c>
      <c r="I38" s="10">
        <f>IFERROR(__xludf.DUMMYFUNCTION("MAX(FILTER($H:$H,$E:$E=F38))"),8.0)</f>
        <v>8</v>
      </c>
    </row>
    <row r="39">
      <c r="C39" s="4" t="s">
        <v>2678</v>
      </c>
      <c r="D39" s="4" t="str">
        <f t="shared" si="1"/>
        <v>{"valorA":"funciona","valorB":2}</v>
      </c>
      <c r="E39" s="8" t="str">
        <f t="shared" si="2"/>
        <v>funciona</v>
      </c>
      <c r="F39" s="8" t="str">
        <f>IFERROR(__xludf.DUMMYFUNCTION("""COMPUTED_VALUE"""),"trabalho")</f>
        <v>trabalho</v>
      </c>
      <c r="G39" s="8" t="str">
        <f t="shared" si="3"/>
        <v>2</v>
      </c>
      <c r="H39" s="9">
        <f t="shared" si="4"/>
        <v>2</v>
      </c>
      <c r="I39" s="10">
        <f>IFERROR(__xludf.DUMMYFUNCTION("MAX(FILTER($H:$H,$E:$E=F39))"),1.0)</f>
        <v>1</v>
      </c>
    </row>
    <row r="40">
      <c r="C40" s="4" t="s">
        <v>2727</v>
      </c>
      <c r="D40" s="4" t="str">
        <f t="shared" si="1"/>
        <v>{"valorA":"para","valorB":2}</v>
      </c>
      <c r="E40" s="8" t="str">
        <f t="shared" si="2"/>
        <v>para</v>
      </c>
      <c r="F40" s="8" t="str">
        <f>IFERROR(__xludf.DUMMYFUNCTION("""COMPUTED_VALUE"""),"aspirador")</f>
        <v>aspirador</v>
      </c>
      <c r="G40" s="8" t="str">
        <f t="shared" si="3"/>
        <v>2</v>
      </c>
      <c r="H40" s="9">
        <f t="shared" si="4"/>
        <v>2</v>
      </c>
      <c r="I40" s="10">
        <f>IFERROR(__xludf.DUMMYFUNCTION("MAX(FILTER($H:$H,$E:$E=F40))"),2.0)</f>
        <v>2</v>
      </c>
    </row>
    <row r="41">
      <c r="C41" s="4" t="s">
        <v>7504</v>
      </c>
      <c r="D41" s="4" t="str">
        <f t="shared" si="1"/>
        <v>{"valorA":"econômicos","valorB":1}</v>
      </c>
      <c r="E41" s="8" t="str">
        <f t="shared" si="2"/>
        <v>econômicos</v>
      </c>
      <c r="F41" s="8" t="str">
        <f>IFERROR(__xludf.DUMMYFUNCTION("""COMPUTED_VALUE"""),"limpar")</f>
        <v>limpar</v>
      </c>
      <c r="G41" s="8" t="str">
        <f t="shared" si="3"/>
        <v>1</v>
      </c>
      <c r="H41" s="9">
        <f t="shared" si="4"/>
        <v>1</v>
      </c>
      <c r="I41" s="10">
        <f>IFERROR(__xludf.DUMMYFUNCTION("MAX(FILTER($H:$H,$E:$E=F41))"),1.0)</f>
        <v>1</v>
      </c>
    </row>
    <row r="42">
      <c r="C42" s="4" t="s">
        <v>2675</v>
      </c>
      <c r="D42" s="4" t="str">
        <f t="shared" si="1"/>
        <v>{"valorA":"bem","valorB":1}</v>
      </c>
      <c r="E42" s="8" t="str">
        <f t="shared" si="2"/>
        <v>bem</v>
      </c>
      <c r="F42" s="8" t="str">
        <f>IFERROR(__xludf.DUMMYFUNCTION("""COMPUTED_VALUE"""),"chão")</f>
        <v>chão</v>
      </c>
      <c r="G42" s="8" t="str">
        <f t="shared" si="3"/>
        <v>1</v>
      </c>
      <c r="H42" s="9">
        <f t="shared" si="4"/>
        <v>1</v>
      </c>
      <c r="I42" s="10">
        <f>IFERROR(__xludf.DUMMYFUNCTION("MAX(FILTER($H:$H,$E:$E=F42))"),1.0)</f>
        <v>1</v>
      </c>
    </row>
    <row r="43">
      <c r="C43" s="4" t="s">
        <v>7505</v>
      </c>
      <c r="D43" s="4" t="str">
        <f t="shared" si="1"/>
        <v>{"valorA":"dois","valorB":1}</v>
      </c>
      <c r="E43" s="8" t="str">
        <f t="shared" si="2"/>
        <v>dois</v>
      </c>
      <c r="F43" s="8" t="str">
        <f>IFERROR(__xludf.DUMMYFUNCTION("""COMPUTED_VALUE"""),"em")</f>
        <v>em</v>
      </c>
      <c r="G43" s="8" t="str">
        <f t="shared" si="3"/>
        <v>1</v>
      </c>
      <c r="H43" s="9">
        <f t="shared" si="4"/>
        <v>1</v>
      </c>
      <c r="I43" s="10">
        <f>IFERROR(__xludf.DUMMYFUNCTION("MAX(FILTER($H:$H,$E:$E=F43))"),2.0)</f>
        <v>2</v>
      </c>
    </row>
    <row r="44">
      <c r="C44" s="4" t="s">
        <v>2650</v>
      </c>
      <c r="D44" s="4" t="str">
        <f t="shared" si="1"/>
        <v>{"valorA":"produto","valorB":2}</v>
      </c>
      <c r="E44" s="8" t="str">
        <f t="shared" si="2"/>
        <v>produto</v>
      </c>
      <c r="F44" s="8" t="str">
        <f>IFERROR(__xludf.DUMMYFUNCTION("""COMPUTED_VALUE"""),"confiável")</f>
        <v>confiável</v>
      </c>
      <c r="G44" s="8" t="str">
        <f t="shared" si="3"/>
        <v>2</v>
      </c>
      <c r="H44" s="9">
        <f t="shared" si="4"/>
        <v>2</v>
      </c>
      <c r="I44" s="10">
        <f>IFERROR(__xludf.DUMMYFUNCTION("MAX(FILTER($H:$H,$E:$E=F44))"),1.0)</f>
        <v>1</v>
      </c>
    </row>
    <row r="45">
      <c r="C45" s="4" t="s">
        <v>2662</v>
      </c>
      <c r="D45" s="4" t="str">
        <f t="shared" si="1"/>
        <v>{"valorA":"ótimo","valorB":6}</v>
      </c>
      <c r="E45" s="8" t="str">
        <f t="shared" si="2"/>
        <v>ótimo</v>
      </c>
      <c r="F45" s="8" t="str">
        <f>IFERROR(__xludf.DUMMYFUNCTION("""COMPUTED_VALUE"""),"é")</f>
        <v>é</v>
      </c>
      <c r="G45" s="8" t="str">
        <f t="shared" si="3"/>
        <v>6</v>
      </c>
      <c r="H45" s="9">
        <f t="shared" si="4"/>
        <v>6</v>
      </c>
      <c r="I45" s="10">
        <f>IFERROR(__xludf.DUMMYFUNCTION("MAX(FILTER($H:$H,$E:$E=F45))"),8.0)</f>
        <v>8</v>
      </c>
    </row>
    <row r="46">
      <c r="C46" s="4" t="s">
        <v>2647</v>
      </c>
      <c r="D46" s="4" t="str">
        <f t="shared" si="1"/>
        <v>{"valorA":"a","valorB":1}</v>
      </c>
      <c r="E46" s="8" t="str">
        <f t="shared" si="2"/>
        <v>a</v>
      </c>
      <c r="F46" s="8" t="str">
        <f>IFERROR(__xludf.DUMMYFUNCTION("""COMPUTED_VALUE"""),"pra")</f>
        <v>pra</v>
      </c>
      <c r="G46" s="8" t="str">
        <f t="shared" si="3"/>
        <v>1</v>
      </c>
      <c r="H46" s="9">
        <f t="shared" si="4"/>
        <v>1</v>
      </c>
      <c r="I46" s="10">
        <f>IFERROR(__xludf.DUMMYFUNCTION("MAX(FILTER($H:$H,$E:$E=F46))"),1.0)</f>
        <v>1</v>
      </c>
    </row>
    <row r="47">
      <c r="C47" s="4" t="s">
        <v>2711</v>
      </c>
      <c r="D47" s="4" t="str">
        <f t="shared" si="1"/>
        <v>{"valorA":"comprei","valorB":2}</v>
      </c>
      <c r="E47" s="8" t="str">
        <f t="shared" si="2"/>
        <v>comprei</v>
      </c>
      <c r="F47" s="8" t="str">
        <f>IFERROR(__xludf.DUMMYFUNCTION("""COMPUTED_VALUE"""),"ser")</f>
        <v>ser</v>
      </c>
      <c r="G47" s="8" t="str">
        <f t="shared" si="3"/>
        <v>2</v>
      </c>
      <c r="H47" s="9">
        <f t="shared" si="4"/>
        <v>2</v>
      </c>
      <c r="I47" s="10">
        <f>IFERROR(__xludf.DUMMYFUNCTION("MAX(FILTER($H:$H,$E:$E=F47))"),1.0)</f>
        <v>1</v>
      </c>
    </row>
    <row r="48">
      <c r="C48" s="4" t="s">
        <v>2744</v>
      </c>
      <c r="D48" s="4" t="str">
        <f t="shared" si="1"/>
        <v>{"valorA":"para","valorB":3}</v>
      </c>
      <c r="E48" s="8" t="str">
        <f t="shared" si="2"/>
        <v>para</v>
      </c>
      <c r="F48" s="8" t="str">
        <f>IFERROR(__xludf.DUMMYFUNCTION("""COMPUTED_VALUE"""),"mas")</f>
        <v>mas</v>
      </c>
      <c r="G48" s="8" t="str">
        <f t="shared" si="3"/>
        <v>3</v>
      </c>
      <c r="H48" s="9">
        <f t="shared" si="4"/>
        <v>3</v>
      </c>
      <c r="I48" s="10">
        <f>IFERROR(__xludf.DUMMYFUNCTION("MAX(FILTER($H:$H,$E:$E=F48))"),4.0)</f>
        <v>4</v>
      </c>
    </row>
    <row r="49">
      <c r="C49" s="4" t="s">
        <v>3853</v>
      </c>
      <c r="D49" s="4" t="str">
        <f t="shared" si="1"/>
        <v>{"valorA":"minha","valorB":1}</v>
      </c>
      <c r="E49" s="8" t="str">
        <f t="shared" si="2"/>
        <v>minha</v>
      </c>
      <c r="F49" s="8" t="str">
        <f>IFERROR(__xludf.DUMMYFUNCTION("""COMPUTED_VALUE"""),"caro")</f>
        <v>caro</v>
      </c>
      <c r="G49" s="8" t="str">
        <f t="shared" si="3"/>
        <v>1</v>
      </c>
      <c r="H49" s="9">
        <f t="shared" si="4"/>
        <v>1</v>
      </c>
      <c r="I49" s="10">
        <f>IFERROR(__xludf.DUMMYFUNCTION("MAX(FILTER($H:$H,$E:$E=F49))"),4.0)</f>
        <v>4</v>
      </c>
    </row>
    <row r="50">
      <c r="C50" s="4" t="s">
        <v>3184</v>
      </c>
      <c r="D50" s="4" t="str">
        <f t="shared" si="1"/>
        <v>{"valorA":"casa","valorB":1}</v>
      </c>
      <c r="E50" s="8" t="str">
        <f t="shared" si="2"/>
        <v>casa</v>
      </c>
      <c r="F50" s="8" t="str">
        <f>IFERROR(__xludf.DUMMYFUNCTION("""COMPUTED_VALUE"""),"tudo")</f>
        <v>tudo</v>
      </c>
      <c r="G50" s="8" t="str">
        <f t="shared" si="3"/>
        <v>1</v>
      </c>
      <c r="H50" s="9">
        <f t="shared" si="4"/>
        <v>1</v>
      </c>
      <c r="I50" s="10">
        <f>IFERROR(__xludf.DUMMYFUNCTION("MAX(FILTER($H:$H,$E:$E=F50))"),2.0)</f>
        <v>2</v>
      </c>
    </row>
    <row r="51">
      <c r="C51" s="4" t="s">
        <v>2777</v>
      </c>
      <c r="D51" s="4" t="str">
        <f t="shared" si="1"/>
        <v>{"valorA":"meu","valorB":2}</v>
      </c>
      <c r="E51" s="8" t="str">
        <f t="shared" si="2"/>
        <v>meu</v>
      </c>
      <c r="F51" s="8" t="str">
        <f>IFERROR(__xludf.DUMMYFUNCTION("""COMPUTED_VALUE"""),"certo")</f>
        <v>certo</v>
      </c>
      <c r="G51" s="8" t="str">
        <f t="shared" si="3"/>
        <v>2</v>
      </c>
      <c r="H51" s="9">
        <f t="shared" si="4"/>
        <v>2</v>
      </c>
      <c r="I51" s="10">
        <f>IFERROR(__xludf.DUMMYFUNCTION("MAX(FILTER($H:$H,$E:$E=F51))"),1.0)</f>
        <v>1</v>
      </c>
    </row>
    <row r="52">
      <c r="C52" s="4" t="s">
        <v>2671</v>
      </c>
      <c r="D52" s="4" t="str">
        <f t="shared" si="1"/>
        <v>{"valorA":"ótimo","valorB":7}</v>
      </c>
      <c r="E52" s="8" t="str">
        <f t="shared" si="2"/>
        <v>ótimo</v>
      </c>
      <c r="F52" s="8" t="str">
        <f>IFERROR(__xludf.DUMMYFUNCTION("""COMPUTED_VALUE"""),"gosto")</f>
        <v>gosto</v>
      </c>
      <c r="G52" s="8" t="str">
        <f t="shared" si="3"/>
        <v>7</v>
      </c>
      <c r="H52" s="9">
        <f t="shared" si="4"/>
        <v>7</v>
      </c>
      <c r="I52" s="10">
        <f>IFERROR(__xludf.DUMMYFUNCTION("MAX(FILTER($H:$H,$E:$E=F52))"),3.0)</f>
        <v>3</v>
      </c>
    </row>
    <row r="53">
      <c r="C53" s="4" t="s">
        <v>3958</v>
      </c>
      <c r="D53" s="4" t="str">
        <f t="shared" si="1"/>
        <v>{"valorA":"faz","valorB":1}</v>
      </c>
      <c r="E53" s="8" t="str">
        <f t="shared" si="2"/>
        <v>faz</v>
      </c>
      <c r="F53" s="8" t="str">
        <f>IFERROR(__xludf.DUMMYFUNCTION("""COMPUTED_VALUE"""),"brilho")</f>
        <v>brilho</v>
      </c>
      <c r="G53" s="8" t="str">
        <f t="shared" si="3"/>
        <v>1</v>
      </c>
      <c r="H53" s="9">
        <f t="shared" si="4"/>
        <v>1</v>
      </c>
      <c r="I53" s="10">
        <f>IFERROR(__xludf.DUMMYFUNCTION("MAX(FILTER($H:$H,$E:$E=F53))"),2.0)</f>
        <v>2</v>
      </c>
    </row>
    <row r="54">
      <c r="C54" s="4" t="s">
        <v>3025</v>
      </c>
      <c r="D54" s="4" t="str">
        <f t="shared" si="1"/>
        <v>{"valorA":"um","valorB":1}</v>
      </c>
      <c r="E54" s="8" t="str">
        <f t="shared" si="2"/>
        <v>um</v>
      </c>
      <c r="F54" s="8" t="str">
        <f>IFERROR(__xludf.DUMMYFUNCTION("""COMPUTED_VALUE"""),"quartos")</f>
        <v>quartos</v>
      </c>
      <c r="G54" s="8" t="str">
        <f t="shared" si="3"/>
        <v>1</v>
      </c>
      <c r="H54" s="9">
        <f t="shared" si="4"/>
        <v>1</v>
      </c>
      <c r="I54" s="10">
        <f>IFERROR(__xludf.DUMMYFUNCTION("MAX(FILTER($H:$H,$E:$E=F54))"),1.0)</f>
        <v>1</v>
      </c>
    </row>
    <row r="55">
      <c r="C55" s="4" t="s">
        <v>2691</v>
      </c>
      <c r="D55" s="4" t="str">
        <f t="shared" si="1"/>
        <v>{"valorA":"o","valorB":2}</v>
      </c>
      <c r="E55" s="8" t="str">
        <f t="shared" si="2"/>
        <v>o</v>
      </c>
      <c r="F55" s="8" t="str">
        <f>IFERROR(__xludf.DUMMYFUNCTION("""COMPUTED_VALUE"""),"quem")</f>
        <v>quem</v>
      </c>
      <c r="G55" s="8" t="str">
        <f t="shared" si="3"/>
        <v>2</v>
      </c>
      <c r="H55" s="9">
        <f t="shared" si="4"/>
        <v>2</v>
      </c>
      <c r="I55" s="10">
        <f>IFERROR(__xludf.DUMMYFUNCTION("MAX(FILTER($H:$H,$E:$E=F55))"),4.0)</f>
        <v>4</v>
      </c>
    </row>
    <row r="56">
      <c r="C56" s="4" t="s">
        <v>7101</v>
      </c>
      <c r="D56" s="4" t="str">
        <f t="shared" si="1"/>
        <v>{"valorA":"trabalho","valorB":1}</v>
      </c>
      <c r="E56" s="8" t="str">
        <f t="shared" si="2"/>
        <v>trabalho</v>
      </c>
      <c r="F56" s="8" t="str">
        <f>IFERROR(__xludf.DUMMYFUNCTION("""COMPUTED_VALUE"""),"precisa")</f>
        <v>precisa</v>
      </c>
      <c r="G56" s="8" t="str">
        <f t="shared" si="3"/>
        <v>1</v>
      </c>
      <c r="H56" s="9">
        <f t="shared" si="4"/>
        <v>1</v>
      </c>
      <c r="I56" s="10">
        <f>IFERROR(__xludf.DUMMYFUNCTION("MAX(FILTER($H:$H,$E:$E=F56))"),1.0)</f>
        <v>1</v>
      </c>
    </row>
    <row r="57">
      <c r="C57" s="4" t="s">
        <v>3044</v>
      </c>
      <c r="D57" s="4" t="str">
        <f t="shared" si="1"/>
        <v>{"valorA":"bom","valorB":2}</v>
      </c>
      <c r="E57" s="8" t="str">
        <f t="shared" si="2"/>
        <v>bom</v>
      </c>
      <c r="F57" s="8" t="str">
        <f>IFERROR(__xludf.DUMMYFUNCTION("""COMPUTED_VALUE"""),"tão")</f>
        <v>tão</v>
      </c>
      <c r="G57" s="8" t="str">
        <f t="shared" si="3"/>
        <v>2</v>
      </c>
      <c r="H57" s="9">
        <f t="shared" si="4"/>
        <v>2</v>
      </c>
      <c r="I57" s="10">
        <f>IFERROR(__xludf.DUMMYFUNCTION("MAX(FILTER($H:$H,$E:$E=F57))"),3.0)</f>
        <v>3</v>
      </c>
    </row>
    <row r="58">
      <c r="C58" s="4" t="s">
        <v>2217</v>
      </c>
      <c r="D58" s="4" t="str">
        <f t="shared" si="1"/>
        <v>{"valorA":"aspirador","valorB":1}</v>
      </c>
      <c r="E58" s="8" t="str">
        <f t="shared" si="2"/>
        <v>aspirador</v>
      </c>
      <c r="F58" s="8" t="str">
        <f>IFERROR(__xludf.DUMMYFUNCTION("""COMPUTED_VALUE"""),"qualidade")</f>
        <v>qualidade</v>
      </c>
      <c r="G58" s="8" t="str">
        <f t="shared" si="3"/>
        <v>1</v>
      </c>
      <c r="H58" s="9">
        <f t="shared" si="4"/>
        <v>1</v>
      </c>
      <c r="I58" s="10">
        <f>IFERROR(__xludf.DUMMYFUNCTION("MAX(FILTER($H:$H,$E:$E=F58))"),6.0)</f>
        <v>6</v>
      </c>
    </row>
    <row r="59">
      <c r="C59" s="4" t="s">
        <v>3911</v>
      </c>
      <c r="D59" s="4" t="str">
        <f t="shared" si="1"/>
        <v>{"valorA":"limpar","valorB":1}</v>
      </c>
      <c r="E59" s="8" t="str">
        <f t="shared" si="2"/>
        <v>limpar</v>
      </c>
      <c r="F59" s="8" t="str">
        <f>IFERROR(__xludf.DUMMYFUNCTION("""COMPUTED_VALUE"""),"desse")</f>
        <v>desse</v>
      </c>
      <c r="G59" s="8" t="str">
        <f t="shared" si="3"/>
        <v>1</v>
      </c>
      <c r="H59" s="9">
        <f t="shared" si="4"/>
        <v>1</v>
      </c>
      <c r="I59" s="10">
        <f>IFERROR(__xludf.DUMMYFUNCTION("MAX(FILTER($H:$H,$E:$E=F59))"),2.0)</f>
        <v>2</v>
      </c>
    </row>
    <row r="60">
      <c r="C60" s="4" t="s">
        <v>7506</v>
      </c>
      <c r="D60" s="4" t="str">
        <f t="shared" si="1"/>
        <v>{"valorA":"chão","valorB":1}</v>
      </c>
      <c r="E60" s="8" t="str">
        <f t="shared" si="2"/>
        <v>chão</v>
      </c>
      <c r="F60" s="8" t="str">
        <f>IFERROR(__xludf.DUMMYFUNCTION("""COMPUTED_VALUE"""),"tópico")</f>
        <v>tópico</v>
      </c>
      <c r="G60" s="8" t="str">
        <f t="shared" si="3"/>
        <v>1</v>
      </c>
      <c r="H60" s="9">
        <f t="shared" si="4"/>
        <v>1</v>
      </c>
      <c r="I60" s="10">
        <f>IFERROR(__xludf.DUMMYFUNCTION("MAX(FILTER($H:$H,$E:$E=F60))"),1.0)</f>
        <v>1</v>
      </c>
    </row>
    <row r="61">
      <c r="C61" s="4" t="s">
        <v>3189</v>
      </c>
      <c r="D61" s="4" t="str">
        <f t="shared" si="1"/>
        <v>{"valorA":"em","valorB":1}</v>
      </c>
      <c r="E61" s="8" t="str">
        <f t="shared" si="2"/>
        <v>em</v>
      </c>
      <c r="F61" s="8" t="str">
        <f>IFERROR(__xludf.DUMMYFUNCTION("""COMPUTED_VALUE"""),"bebês")</f>
        <v>bebês</v>
      </c>
      <c r="G61" s="8" t="str">
        <f t="shared" si="3"/>
        <v>1</v>
      </c>
      <c r="H61" s="9">
        <f t="shared" si="4"/>
        <v>1</v>
      </c>
      <c r="I61" s="10">
        <f>IFERROR(__xludf.DUMMYFUNCTION("MAX(FILTER($H:$H,$E:$E=F61))"),1.0)</f>
        <v>1</v>
      </c>
    </row>
    <row r="62">
      <c r="C62" s="4" t="s">
        <v>2781</v>
      </c>
      <c r="D62" s="4" t="str">
        <f t="shared" si="1"/>
        <v>{"valorA":"o","valorB":3}</v>
      </c>
      <c r="E62" s="8" t="str">
        <f t="shared" si="2"/>
        <v>o</v>
      </c>
      <c r="F62" s="8" t="str">
        <f>IFERROR(__xludf.DUMMYFUNCTION("""COMPUTED_VALUE"""),"smartphone")</f>
        <v>smartphone</v>
      </c>
      <c r="G62" s="8" t="str">
        <f t="shared" si="3"/>
        <v>3</v>
      </c>
      <c r="H62" s="9">
        <f t="shared" si="4"/>
        <v>3</v>
      </c>
      <c r="I62" s="10">
        <f>IFERROR(__xludf.DUMMYFUNCTION("MAX(FILTER($H:$H,$E:$E=F62))"),1.0)</f>
        <v>1</v>
      </c>
    </row>
    <row r="63">
      <c r="C63" s="4" t="s">
        <v>2661</v>
      </c>
      <c r="D63" s="4" t="str">
        <f t="shared" si="1"/>
        <v>{"valorA":"produto","valorB":3}</v>
      </c>
      <c r="E63" s="8" t="str">
        <f t="shared" si="2"/>
        <v>produto</v>
      </c>
      <c r="F63" s="8" t="str">
        <f>IFERROR(__xludf.DUMMYFUNCTION("""COMPUTED_VALUE"""),"fácil")</f>
        <v>fácil</v>
      </c>
      <c r="G63" s="8" t="str">
        <f t="shared" si="3"/>
        <v>3</v>
      </c>
      <c r="H63" s="9">
        <f t="shared" si="4"/>
        <v>3</v>
      </c>
      <c r="I63" s="10">
        <f>IFERROR(__xludf.DUMMYFUNCTION("MAX(FILTER($H:$H,$E:$E=F63))"),10.0)</f>
        <v>10</v>
      </c>
    </row>
    <row r="64">
      <c r="C64" s="4" t="s">
        <v>2673</v>
      </c>
      <c r="D64" s="4" t="str">
        <f t="shared" si="1"/>
        <v>{"valorA":"ótimo","valorB":8}</v>
      </c>
      <c r="E64" s="8" t="str">
        <f t="shared" si="2"/>
        <v>ótimo</v>
      </c>
      <c r="F64" s="8" t="str">
        <f>IFERROR(__xludf.DUMMYFUNCTION("""COMPUTED_VALUE"""),"usar")</f>
        <v>usar</v>
      </c>
      <c r="G64" s="8" t="str">
        <f t="shared" si="3"/>
        <v>8</v>
      </c>
      <c r="H64" s="9">
        <f t="shared" si="4"/>
        <v>8</v>
      </c>
      <c r="I64" s="10">
        <f>IFERROR(__xludf.DUMMYFUNCTION("MAX(FILTER($H:$H,$E:$E=F64))"),10.0)</f>
        <v>10</v>
      </c>
    </row>
    <row r="65">
      <c r="C65" s="4" t="s">
        <v>2712</v>
      </c>
      <c r="D65" s="4" t="str">
        <f t="shared" si="1"/>
        <v>{"valorA":"funciona","valorB":3}</v>
      </c>
      <c r="E65" s="8" t="str">
        <f t="shared" si="2"/>
        <v>funciona</v>
      </c>
      <c r="F65" s="8" t="str">
        <f>IFERROR(__xludf.DUMMYFUNCTION("""COMPUTED_VALUE"""),"coment")</f>
        <v>coment</v>
      </c>
      <c r="G65" s="8" t="str">
        <f t="shared" si="3"/>
        <v>3</v>
      </c>
      <c r="H65" s="9">
        <f t="shared" si="4"/>
        <v>3</v>
      </c>
      <c r="I65" s="10">
        <f>IFERROR(__xludf.DUMMYFUNCTION("MAX(FILTER($H:$H,$E:$E=F65))"),1.0)</f>
        <v>1</v>
      </c>
    </row>
    <row r="66">
      <c r="C66" s="4" t="s">
        <v>2622</v>
      </c>
      <c r="D66" s="4" t="str">
        <f t="shared" si="1"/>
        <v>{"valorA":"confiável","valorB":1}</v>
      </c>
      <c r="E66" s="8" t="str">
        <f t="shared" si="2"/>
        <v>confiável</v>
      </c>
      <c r="F66" s="8" t="str">
        <f>IFERROR(__xludf.DUMMYFUNCTION("""COMPUTED_VALUE"""),"pelo")</f>
        <v>pelo</v>
      </c>
      <c r="G66" s="8" t="str">
        <f t="shared" si="3"/>
        <v>1</v>
      </c>
      <c r="H66" s="9">
        <f t="shared" si="4"/>
        <v>1</v>
      </c>
      <c r="I66" s="10">
        <f>IFERROR(__xludf.DUMMYFUNCTION("MAX(FILTER($H:$H,$E:$E=F66))"),1.0)</f>
        <v>1</v>
      </c>
    </row>
    <row r="67">
      <c r="C67" s="4" t="s">
        <v>2679</v>
      </c>
      <c r="D67" s="4" t="str">
        <f t="shared" si="1"/>
        <v>{"valorA":"é","valorB":1}</v>
      </c>
      <c r="E67" s="8" t="str">
        <f t="shared" si="2"/>
        <v>é</v>
      </c>
      <c r="F67" s="8" t="str">
        <f>IFERROR(__xludf.DUMMYFUNCTION("""COMPUTED_VALUE"""),"que")</f>
        <v>que</v>
      </c>
      <c r="G67" s="8" t="str">
        <f t="shared" si="3"/>
        <v>1</v>
      </c>
      <c r="H67" s="9">
        <f t="shared" si="4"/>
        <v>1</v>
      </c>
      <c r="I67" s="10">
        <f>IFERROR(__xludf.DUMMYFUNCTION("MAX(FILTER($H:$H,$E:$E=F67))"),6.0)</f>
        <v>6</v>
      </c>
    </row>
    <row r="68">
      <c r="C68" s="4" t="s">
        <v>2731</v>
      </c>
      <c r="D68" s="4" t="str">
        <f t="shared" si="1"/>
        <v>{"valorA":"bem","valorB":2}</v>
      </c>
      <c r="E68" s="8" t="str">
        <f t="shared" si="2"/>
        <v>bem</v>
      </c>
      <c r="F68" s="8" t="str">
        <f>IFERROR(__xludf.DUMMYFUNCTION("""COMPUTED_VALUE"""),"enganado")</f>
        <v>enganado</v>
      </c>
      <c r="G68" s="8" t="str">
        <f t="shared" si="3"/>
        <v>2</v>
      </c>
      <c r="H68" s="9">
        <f t="shared" si="4"/>
        <v>2</v>
      </c>
      <c r="I68" s="10">
        <f>IFERROR(__xludf.DUMMYFUNCTION("MAX(FILTER($H:$H,$E:$E=F68))"),1.0)</f>
        <v>1</v>
      </c>
    </row>
    <row r="69">
      <c r="C69" s="4" t="s">
        <v>2676</v>
      </c>
      <c r="D69" s="4" t="str">
        <f t="shared" si="1"/>
        <v>{"valorA":"e","valorB":2}</v>
      </c>
      <c r="E69" s="8" t="str">
        <f t="shared" si="2"/>
        <v>e</v>
      </c>
      <c r="F69" s="8" t="str">
        <f>IFERROR(__xludf.DUMMYFUNCTION("""COMPUTED_VALUE"""),"me")</f>
        <v>me</v>
      </c>
      <c r="G69" s="8" t="str">
        <f t="shared" si="3"/>
        <v>2</v>
      </c>
      <c r="H69" s="9">
        <f t="shared" si="4"/>
        <v>2</v>
      </c>
      <c r="I69" s="10">
        <f>IFERROR(__xludf.DUMMYFUNCTION("MAX(FILTER($H:$H,$E:$E=F69))"),1.0)</f>
        <v>1</v>
      </c>
    </row>
    <row r="70">
      <c r="C70" s="4" t="s">
        <v>2684</v>
      </c>
      <c r="D70" s="4" t="str">
        <f t="shared" si="1"/>
        <v>{"valorA":"ótimo","valorB":9}</v>
      </c>
      <c r="E70" s="8" t="str">
        <f t="shared" si="2"/>
        <v>ótimo</v>
      </c>
      <c r="F70" s="8" t="str">
        <f>IFERROR(__xludf.DUMMYFUNCTION("""COMPUTED_VALUE"""),"com")</f>
        <v>com</v>
      </c>
      <c r="G70" s="8" t="str">
        <f t="shared" si="3"/>
        <v>9</v>
      </c>
      <c r="H70" s="9">
        <f t="shared" si="4"/>
        <v>9</v>
      </c>
      <c r="I70" s="10">
        <f>IFERROR(__xludf.DUMMYFUNCTION("MAX(FILTER($H:$H,$E:$E=F70))"),4.0)</f>
        <v>4</v>
      </c>
    </row>
    <row r="71">
      <c r="C71" s="4" t="s">
        <v>2782</v>
      </c>
      <c r="D71" s="4" t="str">
        <f t="shared" si="1"/>
        <v>{"valorA":"bem","valorB":3}</v>
      </c>
      <c r="E71" s="8" t="str">
        <f t="shared" si="2"/>
        <v>bem</v>
      </c>
      <c r="F71" s="8" t="str">
        <f>IFERROR(__xludf.DUMMYFUNCTION("""COMPUTED_VALUE"""),"paguei")</f>
        <v>paguei</v>
      </c>
      <c r="G71" s="8" t="str">
        <f t="shared" si="3"/>
        <v>3</v>
      </c>
      <c r="H71" s="9">
        <f t="shared" si="4"/>
        <v>3</v>
      </c>
      <c r="I71" s="10">
        <f>IFERROR(__xludf.DUMMYFUNCTION("MAX(FILTER($H:$H,$E:$E=F71))"),5.0)</f>
        <v>5</v>
      </c>
    </row>
    <row r="72">
      <c r="C72" s="4" t="s">
        <v>2759</v>
      </c>
      <c r="D72" s="4" t="str">
        <f t="shared" si="1"/>
        <v>{"valorA":"para","valorB":4}</v>
      </c>
      <c r="E72" s="8" t="str">
        <f t="shared" si="2"/>
        <v>para</v>
      </c>
      <c r="F72" s="8" t="str">
        <f>IFERROR(__xludf.DUMMYFUNCTION("""COMPUTED_VALUE"""),"sinto")</f>
        <v>sinto</v>
      </c>
      <c r="G72" s="8" t="str">
        <f t="shared" si="3"/>
        <v>4</v>
      </c>
      <c r="H72" s="9">
        <f t="shared" si="4"/>
        <v>4</v>
      </c>
      <c r="I72" s="10">
        <f>IFERROR(__xludf.DUMMYFUNCTION("MAX(FILTER($H:$H,$E:$E=F72))"),1.0)</f>
        <v>1</v>
      </c>
    </row>
    <row r="73">
      <c r="C73" s="4" t="s">
        <v>3054</v>
      </c>
      <c r="D73" s="4" t="str">
        <f t="shared" si="1"/>
        <v>{"valorA":"preço","valorB":4}</v>
      </c>
      <c r="E73" s="8" t="str">
        <f t="shared" si="2"/>
        <v>preço</v>
      </c>
      <c r="F73" s="8" t="str">
        <f>IFERROR(__xludf.DUMMYFUNCTION("""COMPUTED_VALUE"""),"relógio")</f>
        <v>relógio</v>
      </c>
      <c r="G73" s="8" t="str">
        <f t="shared" si="3"/>
        <v>4</v>
      </c>
      <c r="H73" s="9">
        <f t="shared" si="4"/>
        <v>4</v>
      </c>
      <c r="I73" s="10">
        <f>IFERROR(__xludf.DUMMYFUNCTION("MAX(FILTER($H:$H,$E:$E=F73))"),1.0)</f>
        <v>1</v>
      </c>
    </row>
    <row r="74">
      <c r="C74" s="4" t="s">
        <v>2715</v>
      </c>
      <c r="D74" s="4" t="str">
        <f t="shared" si="1"/>
        <v>{"valorA":"funciona","valorB":4}</v>
      </c>
      <c r="E74" s="8" t="str">
        <f t="shared" si="2"/>
        <v>funciona</v>
      </c>
      <c r="F74" s="8" t="str">
        <f>IFERROR(__xludf.DUMMYFUNCTION("""COMPUTED_VALUE"""),"leve")</f>
        <v>leve</v>
      </c>
      <c r="G74" s="8" t="str">
        <f t="shared" si="3"/>
        <v>4</v>
      </c>
      <c r="H74" s="9">
        <f t="shared" si="4"/>
        <v>4</v>
      </c>
      <c r="I74" s="10">
        <f>IFERROR(__xludf.DUMMYFUNCTION("MAX(FILTER($H:$H,$E:$E=F74))"),2.0)</f>
        <v>2</v>
      </c>
    </row>
    <row r="75">
      <c r="C75" s="4" t="s">
        <v>2810</v>
      </c>
      <c r="D75" s="4" t="str">
        <f t="shared" si="1"/>
        <v>{"valorA":"o","valorB":4}</v>
      </c>
      <c r="E75" s="8" t="str">
        <f t="shared" si="2"/>
        <v>o</v>
      </c>
      <c r="F75" s="8" t="str">
        <f>IFERROR(__xludf.DUMMYFUNCTION("""COMPUTED_VALUE"""),"busca")</f>
        <v>busca</v>
      </c>
      <c r="G75" s="8" t="str">
        <f t="shared" si="3"/>
        <v>4</v>
      </c>
      <c r="H75" s="9">
        <f t="shared" si="4"/>
        <v>4</v>
      </c>
      <c r="I75" s="10">
        <f>IFERROR(__xludf.DUMMYFUNCTION("MAX(FILTER($H:$H,$E:$E=F75))"),2.0)</f>
        <v>2</v>
      </c>
    </row>
    <row r="76">
      <c r="C76" s="4" t="s">
        <v>2667</v>
      </c>
      <c r="D76" s="4" t="str">
        <f t="shared" si="1"/>
        <v>{"valorA":"produto","valorB":4}</v>
      </c>
      <c r="E76" s="8" t="str">
        <f t="shared" si="2"/>
        <v>produto</v>
      </c>
      <c r="F76" s="8" t="str">
        <f>IFERROR(__xludf.DUMMYFUNCTION("""COMPUTED_VALUE"""),"preçoqualidade")</f>
        <v>preçoqualidade</v>
      </c>
      <c r="G76" s="8" t="str">
        <f t="shared" si="3"/>
        <v>4</v>
      </c>
      <c r="H76" s="9">
        <f t="shared" si="4"/>
        <v>4</v>
      </c>
      <c r="I76" s="10">
        <f>IFERROR(__xludf.DUMMYFUNCTION("MAX(FILTER($H:$H,$E:$E=F76))"),2.0)</f>
        <v>2</v>
      </c>
    </row>
    <row r="77">
      <c r="C77" s="4" t="s">
        <v>2690</v>
      </c>
      <c r="D77" s="4" t="str">
        <f t="shared" si="1"/>
        <v>{"valorA":"ótimo","valorB":10}</v>
      </c>
      <c r="E77" s="8" t="str">
        <f t="shared" si="2"/>
        <v>ótimo</v>
      </c>
      <c r="F77" s="8" t="str">
        <f>IFERROR(__xludf.DUMMYFUNCTION("""COMPUTED_VALUE"""),"excelente")</f>
        <v>excelente</v>
      </c>
      <c r="G77" s="8" t="str">
        <f t="shared" si="3"/>
        <v>10</v>
      </c>
      <c r="H77" s="9">
        <f t="shared" si="4"/>
        <v>10</v>
      </c>
      <c r="I77" s="10">
        <f>IFERROR(__xludf.DUMMYFUNCTION("MAX(FILTER($H:$H,$E:$E=F77))"),2.0)</f>
        <v>2</v>
      </c>
    </row>
    <row r="78">
      <c r="C78" s="4" t="s">
        <v>3205</v>
      </c>
      <c r="D78" s="4" t="str">
        <f t="shared" si="1"/>
        <v>{"valorA":"pra","valorB":1}</v>
      </c>
      <c r="E78" s="8" t="str">
        <f t="shared" si="2"/>
        <v>pra</v>
      </c>
      <c r="F78" s="8" t="str">
        <f>IFERROR(__xludf.DUMMYFUNCTION("""COMPUTED_VALUE"""),"computador")</f>
        <v>computador</v>
      </c>
      <c r="G78" s="8" t="str">
        <f t="shared" si="3"/>
        <v>1</v>
      </c>
      <c r="H78" s="9">
        <f t="shared" si="4"/>
        <v>1</v>
      </c>
      <c r="I78" s="10">
        <f>IFERROR(__xludf.DUMMYFUNCTION("MAX(FILTER($H:$H,$E:$E=F78))"),2.0)</f>
        <v>2</v>
      </c>
    </row>
    <row r="79">
      <c r="C79" s="4" t="s">
        <v>7507</v>
      </c>
      <c r="D79" s="4" t="str">
        <f t="shared" si="1"/>
        <v>{"valorA":"ser","valorB":1}</v>
      </c>
      <c r="E79" s="8" t="str">
        <f t="shared" si="2"/>
        <v>ser</v>
      </c>
      <c r="F79" s="8" t="str">
        <f>IFERROR(__xludf.DUMMYFUNCTION("""COMPUTED_VALUE"""),"tivesse")</f>
        <v>tivesse</v>
      </c>
      <c r="G79" s="8" t="str">
        <f t="shared" si="3"/>
        <v>1</v>
      </c>
      <c r="H79" s="9">
        <f t="shared" si="4"/>
        <v>1</v>
      </c>
      <c r="I79" s="10">
        <f>IFERROR(__xludf.DUMMYFUNCTION("MAX(FILTER($H:$H,$E:$E=F79))"),1.0)</f>
        <v>1</v>
      </c>
    </row>
    <row r="80">
      <c r="C80" s="4" t="s">
        <v>2674</v>
      </c>
      <c r="D80" s="4" t="str">
        <f t="shared" si="1"/>
        <v>{"valorA":"produto","valorB":5}</v>
      </c>
      <c r="E80" s="8" t="str">
        <f t="shared" si="2"/>
        <v>produto</v>
      </c>
      <c r="F80" s="8" t="str">
        <f>IFERROR(__xludf.DUMMYFUNCTION("""COMPUTED_VALUE"""),"gostaria")</f>
        <v>gostaria</v>
      </c>
      <c r="G80" s="8" t="str">
        <f t="shared" si="3"/>
        <v>5</v>
      </c>
      <c r="H80" s="9">
        <f t="shared" si="4"/>
        <v>5</v>
      </c>
      <c r="I80" s="10">
        <f>IFERROR(__xludf.DUMMYFUNCTION("MAX(FILTER($H:$H,$E:$E=F80))"),1.0)</f>
        <v>1</v>
      </c>
    </row>
    <row r="81">
      <c r="C81" s="4" t="s">
        <v>2663</v>
      </c>
      <c r="D81" s="4" t="str">
        <f t="shared" si="1"/>
        <v>{"valorA":"muito","valorB":2}</v>
      </c>
      <c r="E81" s="8" t="str">
        <f t="shared" si="2"/>
        <v>muito</v>
      </c>
      <c r="F81" s="8" t="str">
        <f>IFERROR(__xludf.DUMMYFUNCTION("""COMPUTED_VALUE"""),"comprado")</f>
        <v>comprado</v>
      </c>
      <c r="G81" s="8" t="str">
        <f t="shared" si="3"/>
        <v>2</v>
      </c>
      <c r="H81" s="9">
        <f t="shared" si="4"/>
        <v>2</v>
      </c>
      <c r="I81" s="10">
        <f>IFERROR(__xludf.DUMMYFUNCTION("MAX(FILTER($H:$H,$E:$E=F81))"),1.0)</f>
        <v>1</v>
      </c>
    </row>
    <row r="82">
      <c r="C82" s="4" t="s">
        <v>3036</v>
      </c>
      <c r="D82" s="4" t="str">
        <f t="shared" si="1"/>
        <v>{"valorA":"mas","valorB":1}</v>
      </c>
      <c r="E82" s="8" t="str">
        <f t="shared" si="2"/>
        <v>mas</v>
      </c>
      <c r="F82" s="8" t="str">
        <f>IFERROR(__xludf.DUMMYFUNCTION("""COMPUTED_VALUE"""),"tv")</f>
        <v>tv</v>
      </c>
      <c r="G82" s="8" t="str">
        <f t="shared" si="3"/>
        <v>1</v>
      </c>
      <c r="H82" s="9">
        <f t="shared" si="4"/>
        <v>1</v>
      </c>
      <c r="I82" s="10">
        <f>IFERROR(__xludf.DUMMYFUNCTION("MAX(FILTER($H:$H,$E:$E=F82))"),2.0)</f>
        <v>2</v>
      </c>
    </row>
    <row r="83">
      <c r="C83" s="4" t="s">
        <v>3134</v>
      </c>
      <c r="D83" s="4" t="str">
        <f t="shared" si="1"/>
        <v>{"valorA":"caro","valorB":1}</v>
      </c>
      <c r="E83" s="8" t="str">
        <f t="shared" si="2"/>
        <v>caro</v>
      </c>
      <c r="F83" s="8" t="str">
        <f>IFERROR(__xludf.DUMMYFUNCTION("""COMPUTED_VALUE"""),"led")</f>
        <v>led</v>
      </c>
      <c r="G83" s="8" t="str">
        <f t="shared" si="3"/>
        <v>1</v>
      </c>
      <c r="H83" s="9">
        <f t="shared" si="4"/>
        <v>1</v>
      </c>
      <c r="I83" s="10">
        <f>IFERROR(__xludf.DUMMYFUNCTION("MAX(FILTER($H:$H,$E:$E=F83))"),1.0)</f>
        <v>1</v>
      </c>
    </row>
    <row r="84">
      <c r="C84" s="4" t="s">
        <v>3079</v>
      </c>
      <c r="D84" s="4" t="str">
        <f t="shared" si="1"/>
        <v>{"valorA":"tudo","valorB":1}</v>
      </c>
      <c r="E84" s="8" t="str">
        <f t="shared" si="2"/>
        <v>tudo</v>
      </c>
      <c r="F84" s="8" t="str">
        <f>IFERROR(__xludf.DUMMYFUNCTION("""COMPUTED_VALUE"""),"maior")</f>
        <v>maior</v>
      </c>
      <c r="G84" s="8" t="str">
        <f t="shared" si="3"/>
        <v>1</v>
      </c>
      <c r="H84" s="9">
        <f t="shared" si="4"/>
        <v>1</v>
      </c>
      <c r="I84" s="10">
        <f>IFERROR(__xludf.DUMMYFUNCTION("MAX(FILTER($H:$H,$E:$E=F84))"),1.0)</f>
        <v>1</v>
      </c>
    </row>
    <row r="85">
      <c r="C85" s="4" t="s">
        <v>3389</v>
      </c>
      <c r="D85" s="4" t="str">
        <f t="shared" si="1"/>
        <v>{"valorA":"certo","valorB":1}</v>
      </c>
      <c r="E85" s="8" t="str">
        <f t="shared" si="2"/>
        <v>certo</v>
      </c>
      <c r="F85" s="8" t="str">
        <f>IFERROR(__xludf.DUMMYFUNCTION("""COMPUTED_VALUE"""),"modelo")</f>
        <v>modelo</v>
      </c>
      <c r="G85" s="8" t="str">
        <f t="shared" si="3"/>
        <v>1</v>
      </c>
      <c r="H85" s="9">
        <f t="shared" si="4"/>
        <v>1</v>
      </c>
      <c r="I85" s="10">
        <f>IFERROR(__xludf.DUMMYFUNCTION("MAX(FILTER($H:$H,$E:$E=F85))"),1.0)</f>
        <v>1</v>
      </c>
    </row>
    <row r="86">
      <c r="C86" s="4" t="s">
        <v>2705</v>
      </c>
      <c r="D86" s="4" t="str">
        <f t="shared" si="1"/>
        <v>{"valorA":"muito","valorB":3}</v>
      </c>
      <c r="E86" s="8" t="str">
        <f t="shared" si="2"/>
        <v>muito</v>
      </c>
      <c r="F86" s="8" t="str">
        <f>IFERROR(__xludf.DUMMYFUNCTION("""COMPUTED_VALUE"""),"como")</f>
        <v>como</v>
      </c>
      <c r="G86" s="8" t="str">
        <f t="shared" si="3"/>
        <v>3</v>
      </c>
      <c r="H86" s="9">
        <f t="shared" si="4"/>
        <v>3</v>
      </c>
      <c r="I86" s="10">
        <f>IFERROR(__xludf.DUMMYFUNCTION("MAX(FILTER($H:$H,$E:$E=F86))"),1.0)</f>
        <v>1</v>
      </c>
    </row>
    <row r="87">
      <c r="C87" s="4" t="s">
        <v>2660</v>
      </c>
      <c r="D87" s="4" t="str">
        <f t="shared" si="1"/>
        <v>{"valorA":"a","valorB":2}</v>
      </c>
      <c r="E87" s="8" t="str">
        <f t="shared" si="2"/>
        <v>a</v>
      </c>
      <c r="F87" s="8" t="str">
        <f>IFERROR(__xludf.DUMMYFUNCTION("""COMPUTED_VALUE"""),"câmera")</f>
        <v>câmera</v>
      </c>
      <c r="G87" s="8" t="str">
        <f t="shared" si="3"/>
        <v>2</v>
      </c>
      <c r="H87" s="9">
        <f t="shared" si="4"/>
        <v>2</v>
      </c>
      <c r="I87" s="10">
        <f>IFERROR(__xludf.DUMMYFUNCTION("MAX(FILTER($H:$H,$E:$E=F87))"),4.0)</f>
        <v>4</v>
      </c>
    </row>
    <row r="88">
      <c r="C88" s="4" t="s">
        <v>3457</v>
      </c>
      <c r="D88" s="4" t="str">
        <f t="shared" si="1"/>
        <v>{"valorA":"casa","valorB":2}</v>
      </c>
      <c r="E88" s="8" t="str">
        <f t="shared" si="2"/>
        <v>casa</v>
      </c>
      <c r="F88" s="8" t="str">
        <f>IFERROR(__xludf.DUMMYFUNCTION("""COMPUTED_VALUE"""),"esse")</f>
        <v>esse</v>
      </c>
      <c r="G88" s="8" t="str">
        <f t="shared" si="3"/>
        <v>2</v>
      </c>
      <c r="H88" s="9">
        <f t="shared" si="4"/>
        <v>2</v>
      </c>
      <c r="I88" s="10">
        <f>IFERROR(__xludf.DUMMYFUNCTION("MAX(FILTER($H:$H,$E:$E=F88))"),2.0)</f>
        <v>2</v>
      </c>
    </row>
    <row r="89">
      <c r="C89" s="4" t="s">
        <v>2698</v>
      </c>
      <c r="D89" s="4" t="str">
        <f t="shared" si="1"/>
        <v>{"valorA":"ótimo","valorB":11}</v>
      </c>
      <c r="E89" s="8" t="str">
        <f t="shared" si="2"/>
        <v>ótimo</v>
      </c>
      <c r="F89" s="8" t="str">
        <f>IFERROR(__xludf.DUMMYFUNCTION("""COMPUTED_VALUE"""),"fotos")</f>
        <v>fotos</v>
      </c>
      <c r="G89" s="8" t="str">
        <f t="shared" si="3"/>
        <v>11</v>
      </c>
      <c r="H89" s="9">
        <f t="shared" si="4"/>
        <v>11</v>
      </c>
      <c r="I89" s="10">
        <f>IFERROR(__xludf.DUMMYFUNCTION("MAX(FILTER($H:$H,$E:$E=F89))"),1.0)</f>
        <v>1</v>
      </c>
    </row>
    <row r="90">
      <c r="C90" s="4" t="s">
        <v>2895</v>
      </c>
      <c r="D90" s="4" t="str">
        <f t="shared" si="1"/>
        <v>{"valorA":"gosto","valorB":1}</v>
      </c>
      <c r="E90" s="8" t="str">
        <f t="shared" si="2"/>
        <v>gosto</v>
      </c>
      <c r="F90" s="8" t="str">
        <f>IFERROR(__xludf.DUMMYFUNCTION("""COMPUTED_VALUE"""),"todos")</f>
        <v>todos</v>
      </c>
      <c r="G90" s="8" t="str">
        <f t="shared" si="3"/>
        <v>1</v>
      </c>
      <c r="H90" s="9">
        <f t="shared" si="4"/>
        <v>1</v>
      </c>
      <c r="I90" s="10">
        <f>IFERROR(__xludf.DUMMYFUNCTION("MAX(FILTER($H:$H,$E:$E=F90))"),2.0)</f>
        <v>2</v>
      </c>
    </row>
    <row r="91">
      <c r="C91" s="4" t="s">
        <v>3132</v>
      </c>
      <c r="D91" s="4" t="str">
        <f t="shared" si="1"/>
        <v>{"valorA":"brilho","valorB":1}</v>
      </c>
      <c r="E91" s="8" t="str">
        <f t="shared" si="2"/>
        <v>brilho</v>
      </c>
      <c r="F91" s="8" t="str">
        <f>IFERROR(__xludf.DUMMYFUNCTION("""COMPUTED_VALUE"""),"recomendo")</f>
        <v>recomendo</v>
      </c>
      <c r="G91" s="8" t="str">
        <f t="shared" si="3"/>
        <v>1</v>
      </c>
      <c r="H91" s="9">
        <f t="shared" si="4"/>
        <v>1</v>
      </c>
      <c r="I91" s="10">
        <f>IFERROR(__xludf.DUMMYFUNCTION("MAX(FILTER($H:$H,$E:$E=F91))"),4.0)</f>
        <v>4</v>
      </c>
    </row>
    <row r="92">
      <c r="C92" s="4" t="s">
        <v>2805</v>
      </c>
      <c r="D92" s="4" t="str">
        <f t="shared" si="1"/>
        <v>{"valorA":"para","valorB":5}</v>
      </c>
      <c r="E92" s="8" t="str">
        <f t="shared" si="2"/>
        <v>para</v>
      </c>
      <c r="F92" s="8" t="str">
        <f>IFERROR(__xludf.DUMMYFUNCTION("""COMPUTED_VALUE"""),"valeu")</f>
        <v>valeu</v>
      </c>
      <c r="G92" s="8" t="str">
        <f t="shared" si="3"/>
        <v>5</v>
      </c>
      <c r="H92" s="9">
        <f t="shared" si="4"/>
        <v>5</v>
      </c>
      <c r="I92" s="10">
        <f>IFERROR(__xludf.DUMMYFUNCTION("MAX(FILTER($H:$H,$E:$E=F92))"),2.0)</f>
        <v>2</v>
      </c>
    </row>
    <row r="93">
      <c r="C93" s="4" t="s">
        <v>3057</v>
      </c>
      <c r="D93" s="4" t="str">
        <f t="shared" si="1"/>
        <v>{"valorA":"bom","valorB":3}</v>
      </c>
      <c r="E93" s="8" t="str">
        <f t="shared" si="2"/>
        <v>bom</v>
      </c>
      <c r="F93" s="8" t="str">
        <f>IFERROR(__xludf.DUMMYFUNCTION("""COMPUTED_VALUE"""),"espera")</f>
        <v>espera</v>
      </c>
      <c r="G93" s="8" t="str">
        <f t="shared" si="3"/>
        <v>3</v>
      </c>
      <c r="H93" s="9">
        <f t="shared" si="4"/>
        <v>3</v>
      </c>
      <c r="I93" s="10">
        <f>IFERROR(__xludf.DUMMYFUNCTION("MAX(FILTER($H:$H,$E:$E=F93))"),2.0)</f>
        <v>2</v>
      </c>
    </row>
    <row r="94">
      <c r="C94" s="4" t="s">
        <v>2720</v>
      </c>
      <c r="D94" s="4" t="str">
        <f t="shared" si="1"/>
        <v>{"valorA":"de","valorB":2}</v>
      </c>
      <c r="E94" s="8" t="str">
        <f t="shared" si="2"/>
        <v>de</v>
      </c>
      <c r="F94" s="8" t="str">
        <f>IFERROR(__xludf.DUMMYFUNCTION("""COMPUTED_VALUE"""),"ótima")</f>
        <v>ótima</v>
      </c>
      <c r="G94" s="8" t="str">
        <f t="shared" si="3"/>
        <v>2</v>
      </c>
      <c r="H94" s="9">
        <f t="shared" si="4"/>
        <v>2</v>
      </c>
      <c r="I94" s="10">
        <f>IFERROR(__xludf.DUMMYFUNCTION("MAX(FILTER($H:$H,$E:$E=F94))"),1.0)</f>
        <v>1</v>
      </c>
    </row>
    <row r="95">
      <c r="C95" s="4" t="s">
        <v>3046</v>
      </c>
      <c r="D95" s="4" t="str">
        <f t="shared" si="1"/>
        <v>{"valorA":"um","valorB":2}</v>
      </c>
      <c r="E95" s="8" t="str">
        <f t="shared" si="2"/>
        <v>um</v>
      </c>
      <c r="F95" s="8" t="str">
        <f>IFERROR(__xludf.DUMMYFUNCTION("""COMPUTED_VALUE"""),"precio")</f>
        <v>precio</v>
      </c>
      <c r="G95" s="8" t="str">
        <f t="shared" si="3"/>
        <v>2</v>
      </c>
      <c r="H95" s="9">
        <f t="shared" si="4"/>
        <v>2</v>
      </c>
      <c r="I95" s="10">
        <f>IFERROR(__xludf.DUMMYFUNCTION("MAX(FILTER($H:$H,$E:$E=F95))"),1.0)</f>
        <v>1</v>
      </c>
    </row>
    <row r="96">
      <c r="C96" s="4" t="s">
        <v>2702</v>
      </c>
      <c r="D96" s="4" t="str">
        <f t="shared" si="1"/>
        <v>{"valorA":"ótimo","valorB":12}</v>
      </c>
      <c r="E96" s="8" t="str">
        <f t="shared" si="2"/>
        <v>ótimo</v>
      </c>
      <c r="F96" s="8" t="str">
        <f>IFERROR(__xludf.DUMMYFUNCTION("""COMPUTED_VALUE"""),"justo")</f>
        <v>justo</v>
      </c>
      <c r="G96" s="8" t="str">
        <f t="shared" si="3"/>
        <v>12</v>
      </c>
      <c r="H96" s="9">
        <f t="shared" si="4"/>
        <v>12</v>
      </c>
      <c r="I96" s="10">
        <f>IFERROR(__xludf.DUMMYFUNCTION("MAX(FILTER($H:$H,$E:$E=F96))"),1.0)</f>
        <v>1</v>
      </c>
    </row>
    <row r="97">
      <c r="C97" s="4" t="s">
        <v>2682</v>
      </c>
      <c r="D97" s="4" t="str">
        <f t="shared" si="1"/>
        <v>{"valorA":"produto","valorB":6}</v>
      </c>
      <c r="E97" s="8" t="str">
        <f t="shared" si="2"/>
        <v>produto</v>
      </c>
      <c r="F97" s="8" t="str">
        <f>IFERROR(__xludf.DUMMYFUNCTION("""COMPUTED_VALUE"""),"positive")</f>
        <v>positive</v>
      </c>
      <c r="G97" s="8" t="str">
        <f t="shared" si="3"/>
        <v>6</v>
      </c>
      <c r="H97" s="9">
        <f t="shared" si="4"/>
        <v>6</v>
      </c>
      <c r="I97" s="10">
        <f>IFERROR(__xludf.DUMMYFUNCTION("MAX(FILTER($H:$H,$E:$E=F97))"),1.0)</f>
        <v>1</v>
      </c>
    </row>
    <row r="98">
      <c r="C98" s="4" t="s">
        <v>2736</v>
      </c>
      <c r="D98" s="4" t="str">
        <f t="shared" si="1"/>
        <v>{"valorA":"de","valorB":3}</v>
      </c>
      <c r="E98" s="8" t="str">
        <f t="shared" si="2"/>
        <v>de</v>
      </c>
      <c r="F98" s="8" t="str">
        <f>IFERROR(__xludf.DUMMYFUNCTION("""COMPUTED_VALUE"""),"comments")</f>
        <v>comments</v>
      </c>
      <c r="G98" s="8" t="str">
        <f t="shared" si="3"/>
        <v>3</v>
      </c>
      <c r="H98" s="9">
        <f t="shared" si="4"/>
        <v>3</v>
      </c>
      <c r="I98" s="10">
        <f>IFERROR(__xludf.DUMMYFUNCTION("MAX(FILTER($H:$H,$E:$E=F98))"),1.0)</f>
        <v>1</v>
      </c>
    </row>
    <row r="99">
      <c r="C99" s="4" t="s">
        <v>7508</v>
      </c>
      <c r="D99" s="4" t="str">
        <f t="shared" si="1"/>
        <v>{"valorA":"quartos","valorB":1}</v>
      </c>
      <c r="E99" s="8" t="str">
        <f t="shared" si="2"/>
        <v>quartos</v>
      </c>
      <c r="F99" s="8" t="str">
        <f>IFERROR(__xludf.DUMMYFUNCTION("""COMPUTED_VALUE"""),"rápido")</f>
        <v>rápido</v>
      </c>
      <c r="G99" s="8" t="str">
        <f t="shared" si="3"/>
        <v>1</v>
      </c>
      <c r="H99" s="9">
        <f t="shared" si="4"/>
        <v>1</v>
      </c>
      <c r="I99" s="10">
        <f>IFERROR(__xludf.DUMMYFUNCTION("MAX(FILTER($H:$H,$E:$E=F99))"),1.0)</f>
        <v>1</v>
      </c>
    </row>
    <row r="100">
      <c r="C100" s="4" t="s">
        <v>2733</v>
      </c>
      <c r="D100" s="4" t="str">
        <f t="shared" si="1"/>
        <v>{"valorA":"quem","valorB":1}</v>
      </c>
      <c r="E100" s="8" t="str">
        <f t="shared" si="2"/>
        <v>quem</v>
      </c>
      <c r="F100" s="8" t="str">
        <f>IFERROR(__xludf.DUMMYFUNCTION("""COMPUTED_VALUE"""),"laptop")</f>
        <v>laptop</v>
      </c>
      <c r="G100" s="8" t="str">
        <f t="shared" si="3"/>
        <v>1</v>
      </c>
      <c r="H100" s="9">
        <f t="shared" si="4"/>
        <v>1</v>
      </c>
      <c r="I100" s="10">
        <f>IFERROR(__xludf.DUMMYFUNCTION("MAX(FILTER($H:$H,$E:$E=F100))"),3.0)</f>
        <v>3</v>
      </c>
    </row>
    <row r="101">
      <c r="C101" s="4" t="s">
        <v>2827</v>
      </c>
      <c r="D101" s="4" t="str">
        <f t="shared" si="1"/>
        <v>{"valorA":"para","valorB":6}</v>
      </c>
      <c r="E101" s="8" t="str">
        <f t="shared" si="2"/>
        <v>para</v>
      </c>
      <c r="F101" s="8" t="str">
        <f>IFERROR(__xludf.DUMMYFUNCTION("""COMPUTED_VALUE"""),"funcional")</f>
        <v>funcional</v>
      </c>
      <c r="G101" s="8" t="str">
        <f t="shared" si="3"/>
        <v>6</v>
      </c>
      <c r="H101" s="9">
        <f t="shared" si="4"/>
        <v>6</v>
      </c>
      <c r="I101" s="10">
        <f>IFERROR(__xludf.DUMMYFUNCTION("MAX(FILTER($H:$H,$E:$E=F101))"),2.0)</f>
        <v>2</v>
      </c>
    </row>
    <row r="102">
      <c r="C102" s="4" t="s">
        <v>2745</v>
      </c>
      <c r="D102" s="4" t="str">
        <f t="shared" si="1"/>
        <v>{"valorA":"precisa","valorB":1}</v>
      </c>
      <c r="E102" s="8" t="str">
        <f t="shared" si="2"/>
        <v>precisa</v>
      </c>
      <c r="F102" s="8" t="str">
        <f>IFERROR(__xludf.DUMMYFUNCTION("""COMPUTED_VALUE"""),"procurar")</f>
        <v>procurar</v>
      </c>
      <c r="G102" s="8" t="str">
        <f t="shared" si="3"/>
        <v>1</v>
      </c>
      <c r="H102" s="9">
        <f t="shared" si="4"/>
        <v>1</v>
      </c>
      <c r="I102" s="10">
        <f>IFERROR(__xludf.DUMMYFUNCTION("MAX(FILTER($H:$H,$E:$E=F102))"),1.0)</f>
        <v>1</v>
      </c>
    </row>
    <row r="103">
      <c r="C103" s="4" t="s">
        <v>2218</v>
      </c>
      <c r="D103" s="4" t="str">
        <f t="shared" si="1"/>
        <v>{"valorA":"aspirador","valorB":2}</v>
      </c>
      <c r="E103" s="8" t="str">
        <f t="shared" si="2"/>
        <v>aspirador</v>
      </c>
      <c r="F103" s="8" t="str">
        <f>IFERROR(__xludf.DUMMYFUNCTION("""COMPUTED_VALUE"""),"semelhante")</f>
        <v>semelhante</v>
      </c>
      <c r="G103" s="8" t="str">
        <f t="shared" si="3"/>
        <v>2</v>
      </c>
      <c r="H103" s="9">
        <f t="shared" si="4"/>
        <v>2</v>
      </c>
      <c r="I103" s="10">
        <f>IFERROR(__xludf.DUMMYFUNCTION("MAX(FILTER($H:$H,$E:$E=F103))"),1.0)</f>
        <v>1</v>
      </c>
    </row>
    <row r="104">
      <c r="C104" s="4" t="s">
        <v>3055</v>
      </c>
      <c r="D104" s="4" t="str">
        <f t="shared" si="1"/>
        <v>{"valorA":"um","valorB":3}</v>
      </c>
      <c r="E104" s="8" t="str">
        <f t="shared" si="2"/>
        <v>um</v>
      </c>
      <c r="F104" s="8" t="str">
        <f>IFERROR(__xludf.DUMMYFUNCTION("""COMPUTED_VALUE"""),"muy")</f>
        <v>muy</v>
      </c>
      <c r="G104" s="8" t="str">
        <f t="shared" si="3"/>
        <v>3</v>
      </c>
      <c r="H104" s="9">
        <f t="shared" si="4"/>
        <v>3</v>
      </c>
      <c r="I104" s="10">
        <f>IFERROR(__xludf.DUMMYFUNCTION("MAX(FILTER($H:$H,$E:$E=F104))"),1.0)</f>
        <v>1</v>
      </c>
    </row>
    <row r="105">
      <c r="C105" s="4" t="s">
        <v>2710</v>
      </c>
      <c r="D105" s="4" t="str">
        <f t="shared" si="1"/>
        <v>{"valorA":"ótimo","valorB":13}</v>
      </c>
      <c r="E105" s="8" t="str">
        <f t="shared" si="2"/>
        <v>ótimo</v>
      </c>
      <c r="F105" s="8" t="str">
        <f>IFERROR(__xludf.DUMMYFUNCTION("""COMPUTED_VALUE"""),"gostando")</f>
        <v>gostando</v>
      </c>
      <c r="G105" s="8" t="str">
        <f t="shared" si="3"/>
        <v>13</v>
      </c>
      <c r="H105" s="9">
        <f t="shared" si="4"/>
        <v>13</v>
      </c>
      <c r="I105" s="10">
        <f>IFERROR(__xludf.DUMMYFUNCTION("MAX(FILTER($H:$H,$E:$E=F105))"),1.0)</f>
        <v>1</v>
      </c>
    </row>
    <row r="106">
      <c r="C106" s="4" t="s">
        <v>2693</v>
      </c>
      <c r="D106" s="4" t="str">
        <f t="shared" si="1"/>
        <v>{"valorA":"produto","valorB":7}</v>
      </c>
      <c r="E106" s="8" t="str">
        <f t="shared" si="2"/>
        <v>produto</v>
      </c>
      <c r="F106" s="8" t="str">
        <f>IFERROR(__xludf.DUMMYFUNCTION("""COMPUTED_VALUE"""),"da")</f>
        <v>da</v>
      </c>
      <c r="G106" s="8" t="str">
        <f t="shared" si="3"/>
        <v>7</v>
      </c>
      <c r="H106" s="9">
        <f t="shared" si="4"/>
        <v>7</v>
      </c>
      <c r="I106" s="10">
        <f>IFERROR(__xludf.DUMMYFUNCTION("MAX(FILTER($H:$H,$E:$E=F106))"),1.0)</f>
        <v>1</v>
      </c>
    </row>
    <row r="107">
      <c r="C107" s="4" t="s">
        <v>2840</v>
      </c>
      <c r="D107" s="4" t="str">
        <f t="shared" si="1"/>
        <v>{"valorA":"para","valorB":7}</v>
      </c>
      <c r="E107" s="8" t="str">
        <f t="shared" si="2"/>
        <v>para</v>
      </c>
      <c r="F107" s="8" t="str">
        <f>IFERROR(__xludf.DUMMYFUNCTION("""COMPUTED_VALUE"""),"imagem")</f>
        <v>imagem</v>
      </c>
      <c r="G107" s="8" t="str">
        <f t="shared" si="3"/>
        <v>7</v>
      </c>
      <c r="H107" s="9">
        <f t="shared" si="4"/>
        <v>7</v>
      </c>
      <c r="I107" s="10">
        <f>IFERROR(__xludf.DUMMYFUNCTION("MAX(FILTER($H:$H,$E:$E=F107))"),1.0)</f>
        <v>1</v>
      </c>
    </row>
    <row r="108">
      <c r="C108" s="4" t="s">
        <v>3086</v>
      </c>
      <c r="D108" s="4" t="str">
        <f t="shared" si="1"/>
        <v>{"valorA":"preço","valorB":5}</v>
      </c>
      <c r="E108" s="8" t="str">
        <f t="shared" si="2"/>
        <v>preço</v>
      </c>
      <c r="F108" s="8" t="str">
        <f>IFERROR(__xludf.DUMMYFUNCTION("""COMPUTED_VALUE"""),"alta")</f>
        <v>alta</v>
      </c>
      <c r="G108" s="8" t="str">
        <f t="shared" si="3"/>
        <v>5</v>
      </c>
      <c r="H108" s="9">
        <f t="shared" si="4"/>
        <v>5</v>
      </c>
      <c r="I108" s="10">
        <f>IFERROR(__xludf.DUMMYFUNCTION("MAX(FILTER($H:$H,$E:$E=F108))"),1.0)</f>
        <v>1</v>
      </c>
    </row>
    <row r="109">
      <c r="C109" s="4" t="s">
        <v>3024</v>
      </c>
      <c r="D109" s="4" t="str">
        <f t="shared" si="1"/>
        <v>{"valorA":"tão","valorB":1}</v>
      </c>
      <c r="E109" s="8" t="str">
        <f t="shared" si="2"/>
        <v>tão</v>
      </c>
      <c r="F109" s="8" t="str">
        <f>IFERROR(__xludf.DUMMYFUNCTION("""COMPUTED_VALUE"""),"vejo")</f>
        <v>vejo</v>
      </c>
      <c r="G109" s="8" t="str">
        <f t="shared" si="3"/>
        <v>1</v>
      </c>
      <c r="H109" s="9">
        <f t="shared" si="4"/>
        <v>1</v>
      </c>
      <c r="I109" s="10">
        <f>IFERROR(__xludf.DUMMYFUNCTION("MAX(FILTER($H:$H,$E:$E=F109))"),1.0)</f>
        <v>1</v>
      </c>
    </row>
    <row r="110">
      <c r="C110" s="4" t="s">
        <v>3084</v>
      </c>
      <c r="D110" s="4" t="str">
        <f t="shared" si="1"/>
        <v>{"valorA":"bom","valorB":4}</v>
      </c>
      <c r="E110" s="8" t="str">
        <f t="shared" si="2"/>
        <v>bom</v>
      </c>
      <c r="F110" s="8" t="str">
        <f>IFERROR(__xludf.DUMMYFUNCTION("""COMPUTED_VALUE"""),"definição")</f>
        <v>definição</v>
      </c>
      <c r="G110" s="8" t="str">
        <f t="shared" si="3"/>
        <v>4</v>
      </c>
      <c r="H110" s="9">
        <f t="shared" si="4"/>
        <v>4</v>
      </c>
      <c r="I110" s="10">
        <f>IFERROR(__xludf.DUMMYFUNCTION("MAX(FILTER($H:$H,$E:$E=F110))"),1.0)</f>
        <v>1</v>
      </c>
    </row>
    <row r="111">
      <c r="C111" s="4" t="s">
        <v>2756</v>
      </c>
      <c r="D111" s="4" t="str">
        <f t="shared" si="1"/>
        <v>{"valorA":"funciona","valorB":5}</v>
      </c>
      <c r="E111" s="8" t="str">
        <f t="shared" si="2"/>
        <v>funciona</v>
      </c>
      <c r="F111" s="8" t="str">
        <f>IFERROR(__xludf.DUMMYFUNCTION("""COMPUTED_VALUE"""),"funcções")</f>
        <v>funcções</v>
      </c>
      <c r="G111" s="8" t="str">
        <f t="shared" si="3"/>
        <v>5</v>
      </c>
      <c r="H111" s="9">
        <f t="shared" si="4"/>
        <v>5</v>
      </c>
      <c r="I111" s="10">
        <f>IFERROR(__xludf.DUMMYFUNCTION("MAX(FILTER($H:$H,$E:$E=F111))"),1.0)</f>
        <v>1</v>
      </c>
    </row>
    <row r="112">
      <c r="C112" s="4" t="s">
        <v>2716</v>
      </c>
      <c r="D112" s="4" t="str">
        <f t="shared" si="1"/>
        <v>{"valorA":"perfeitamente","valorB":3}</v>
      </c>
      <c r="E112" s="8" t="str">
        <f t="shared" si="2"/>
        <v>perfeitamente</v>
      </c>
      <c r="F112" s="8" t="str">
        <f>IFERROR(__xludf.DUMMYFUNCTION("""COMPUTED_VALUE"""),"muitas")</f>
        <v>muitas</v>
      </c>
      <c r="G112" s="8" t="str">
        <f t="shared" si="3"/>
        <v>3</v>
      </c>
      <c r="H112" s="9">
        <f t="shared" si="4"/>
        <v>3</v>
      </c>
      <c r="I112" s="10">
        <f>IFERROR(__xludf.DUMMYFUNCTION("MAX(FILTER($H:$H,$E:$E=F112))"),1.0)</f>
        <v>1</v>
      </c>
    </row>
    <row r="113">
      <c r="C113" s="4" t="s">
        <v>2878</v>
      </c>
      <c r="D113" s="4" t="str">
        <f t="shared" si="1"/>
        <v>{"valorA":"qualidade","valorB":1}</v>
      </c>
      <c r="E113" s="8" t="str">
        <f t="shared" si="2"/>
        <v>qualidade</v>
      </c>
      <c r="F113" s="8" t="str">
        <f>IFERROR(__xludf.DUMMYFUNCTION("""COMPUTED_VALUE"""),"boa")</f>
        <v>boa</v>
      </c>
      <c r="G113" s="8" t="str">
        <f t="shared" si="3"/>
        <v>1</v>
      </c>
      <c r="H113" s="9">
        <f t="shared" si="4"/>
        <v>1</v>
      </c>
      <c r="I113" s="10">
        <f>IFERROR(__xludf.DUMMYFUNCTION("MAX(FILTER($H:$H,$E:$E=F113))"),2.0)</f>
        <v>2</v>
      </c>
    </row>
    <row r="114">
      <c r="C114" s="4" t="s">
        <v>2718</v>
      </c>
      <c r="D114" s="4" t="str">
        <f t="shared" si="1"/>
        <v>{"valorA":"ótimo","valorB":14}</v>
      </c>
      <c r="E114" s="8" t="str">
        <f t="shared" si="2"/>
        <v>ótimo</v>
      </c>
      <c r="F114" s="8" t="str">
        <f>IFERROR(__xludf.DUMMYFUNCTION("""COMPUTED_VALUE"""),"tamanho")</f>
        <v>tamanho</v>
      </c>
      <c r="G114" s="8" t="str">
        <f t="shared" si="3"/>
        <v>14</v>
      </c>
      <c r="H114" s="9">
        <f t="shared" si="4"/>
        <v>14</v>
      </c>
      <c r="I114" s="10">
        <f>IFERROR(__xludf.DUMMYFUNCTION("MAX(FILTER($H:$H,$E:$E=F114))"),1.0)</f>
        <v>1</v>
      </c>
    </row>
    <row r="115">
      <c r="C115" s="4" t="s">
        <v>2632</v>
      </c>
      <c r="D115" s="4" t="str">
        <f t="shared" si="1"/>
        <v>{"valorA":"desse","valorB":1}</v>
      </c>
      <c r="E115" s="8" t="str">
        <f t="shared" si="2"/>
        <v>desse</v>
      </c>
      <c r="F115" s="8" t="str">
        <f>IFERROR(__xludf.DUMMYFUNCTION("""COMPUTED_VALUE"""),"das")</f>
        <v>das</v>
      </c>
      <c r="G115" s="8" t="str">
        <f t="shared" si="3"/>
        <v>1</v>
      </c>
      <c r="H115" s="9">
        <f t="shared" si="4"/>
        <v>1</v>
      </c>
      <c r="I115" s="10">
        <f>IFERROR(__xludf.DUMMYFUNCTION("MAX(FILTER($H:$H,$E:$E=F115))"),1.0)</f>
        <v>1</v>
      </c>
    </row>
    <row r="116">
      <c r="C116" s="4" t="s">
        <v>2701</v>
      </c>
      <c r="D116" s="4" t="str">
        <f t="shared" si="1"/>
        <v>{"valorA":"e","valorB":3}</v>
      </c>
      <c r="E116" s="8" t="str">
        <f t="shared" si="2"/>
        <v>e</v>
      </c>
      <c r="F116" s="8" t="str">
        <f>IFERROR(__xludf.DUMMYFUNCTION("""COMPUTED_VALUE"""),"características")</f>
        <v>características</v>
      </c>
      <c r="G116" s="8" t="str">
        <f t="shared" si="3"/>
        <v>3</v>
      </c>
      <c r="H116" s="9">
        <f t="shared" si="4"/>
        <v>3</v>
      </c>
      <c r="I116" s="10">
        <f>IFERROR(__xludf.DUMMYFUNCTION("MAX(FILTER($H:$H,$E:$E=F116))"),1.0)</f>
        <v>1</v>
      </c>
    </row>
    <row r="117">
      <c r="C117" s="4" t="s">
        <v>3097</v>
      </c>
      <c r="D117" s="4" t="str">
        <f t="shared" si="1"/>
        <v>{"valorA":"preço","valorB":6}</v>
      </c>
      <c r="E117" s="8" t="str">
        <f t="shared" si="2"/>
        <v>preço</v>
      </c>
      <c r="F117" s="8" t="str">
        <f>IFERROR(__xludf.DUMMYFUNCTION("""COMPUTED_VALUE"""),"resultado")</f>
        <v>resultado</v>
      </c>
      <c r="G117" s="8" t="str">
        <f t="shared" si="3"/>
        <v>6</v>
      </c>
      <c r="H117" s="9">
        <f t="shared" si="4"/>
        <v>6</v>
      </c>
      <c r="I117" s="10">
        <f>IFERROR(__xludf.DUMMYFUNCTION("MAX(FILTER($H:$H,$E:$E=F117))"),1.0)</f>
        <v>1</v>
      </c>
    </row>
    <row r="118">
      <c r="C118" s="4" t="s">
        <v>7509</v>
      </c>
      <c r="D118" s="4" t="str">
        <f t="shared" si="1"/>
        <v>{"valorA":"tópico","valorB":1}</v>
      </c>
      <c r="E118" s="8" t="str">
        <f t="shared" si="2"/>
        <v>tópico</v>
      </c>
      <c r="F118" s="8" t="str">
        <f>IFERROR(__xludf.DUMMYFUNCTION("""COMPUTED_VALUE"""),"valorizado")</f>
        <v>valorizado</v>
      </c>
      <c r="G118" s="8" t="str">
        <f t="shared" si="3"/>
        <v>1</v>
      </c>
      <c r="H118" s="9">
        <f t="shared" si="4"/>
        <v>1</v>
      </c>
      <c r="I118" s="10">
        <f>IFERROR(__xludf.DUMMYFUNCTION("MAX(FILTER($H:$H,$E:$E=F118))"),2.0)</f>
        <v>2</v>
      </c>
    </row>
    <row r="119">
      <c r="C119" s="4" t="s">
        <v>2854</v>
      </c>
      <c r="D119" s="4" t="str">
        <f t="shared" si="1"/>
        <v>{"valorA":"para","valorB":8}</v>
      </c>
      <c r="E119" s="8" t="str">
        <f t="shared" si="2"/>
        <v>para</v>
      </c>
      <c r="F119" s="8" t="str">
        <f>IFERROR(__xludf.DUMMYFUNCTION("""COMPUTED_VALUE"""),"comprai")</f>
        <v>comprai</v>
      </c>
      <c r="G119" s="8" t="str">
        <f t="shared" si="3"/>
        <v>8</v>
      </c>
      <c r="H119" s="9">
        <f t="shared" si="4"/>
        <v>8</v>
      </c>
      <c r="I119" s="10">
        <f>IFERROR(__xludf.DUMMYFUNCTION("MAX(FILTER($H:$H,$E:$E=F119))"),1.0)</f>
        <v>1</v>
      </c>
    </row>
    <row r="120">
      <c r="C120" s="4" t="s">
        <v>7510</v>
      </c>
      <c r="D120" s="4" t="str">
        <f t="shared" si="1"/>
        <v>{"valorA":"bebês","valorB":1}</v>
      </c>
      <c r="E120" s="8" t="str">
        <f t="shared" si="2"/>
        <v>bebês</v>
      </c>
      <c r="F120" s="8" t="str">
        <f>IFERROR(__xludf.DUMMYFUNCTION("""COMPUTED_VALUE"""),"confiança")</f>
        <v>confiança</v>
      </c>
      <c r="G120" s="8" t="str">
        <f t="shared" si="3"/>
        <v>1</v>
      </c>
      <c r="H120" s="9">
        <f t="shared" si="4"/>
        <v>1</v>
      </c>
      <c r="I120" s="10">
        <f>IFERROR(__xludf.DUMMYFUNCTION("MAX(FILTER($H:$H,$E:$E=F120))"),1.0)</f>
        <v>1</v>
      </c>
    </row>
    <row r="121">
      <c r="C121" s="4" t="s">
        <v>7511</v>
      </c>
      <c r="D121" s="4" t="str">
        <f t="shared" si="1"/>
        <v>{"valorA":"smartphone","valorB":1}</v>
      </c>
      <c r="E121" s="8" t="str">
        <f t="shared" si="2"/>
        <v>smartphone</v>
      </c>
      <c r="F121" s="8" t="str">
        <f>IFERROR(__xludf.DUMMYFUNCTION("""COMPUTED_VALUE"""),"tênis")</f>
        <v>tênis</v>
      </c>
      <c r="G121" s="8" t="str">
        <f t="shared" si="3"/>
        <v>1</v>
      </c>
      <c r="H121" s="9">
        <f t="shared" si="4"/>
        <v>1</v>
      </c>
      <c r="I121" s="10">
        <f>IFERROR(__xludf.DUMMYFUNCTION("MAX(FILTER($H:$H,$E:$E=F121))"),1.0)</f>
        <v>1</v>
      </c>
    </row>
    <row r="122">
      <c r="C122" s="4" t="s">
        <v>2726</v>
      </c>
      <c r="D122" s="4" t="str">
        <f t="shared" si="1"/>
        <v>{"valorA":"ótimo","valorB":15}</v>
      </c>
      <c r="E122" s="8" t="str">
        <f t="shared" si="2"/>
        <v>ótimo</v>
      </c>
      <c r="F122" s="8" t="str">
        <f>IFERROR(__xludf.DUMMYFUNCTION("""COMPUTED_VALUE"""),"conforto")</f>
        <v>conforto</v>
      </c>
      <c r="G122" s="8" t="str">
        <f t="shared" si="3"/>
        <v>15</v>
      </c>
      <c r="H122" s="9">
        <f t="shared" si="4"/>
        <v>15</v>
      </c>
      <c r="I122" s="10">
        <f>IFERROR(__xludf.DUMMYFUNCTION("MAX(FILTER($H:$H,$E:$E=F122))"),1.0)</f>
        <v>1</v>
      </c>
    </row>
    <row r="123">
      <c r="C123" s="4" t="s">
        <v>2897</v>
      </c>
      <c r="D123" s="4" t="str">
        <f t="shared" si="1"/>
        <v>{"valorA":"meu","valorB":3}</v>
      </c>
      <c r="E123" s="8" t="str">
        <f t="shared" si="2"/>
        <v>meu</v>
      </c>
      <c r="F123" s="8" t="str">
        <f>IFERROR(__xludf.DUMMYFUNCTION("""COMPUTED_VALUE"""),"fico")</f>
        <v>fico</v>
      </c>
      <c r="G123" s="8" t="str">
        <f t="shared" si="3"/>
        <v>3</v>
      </c>
      <c r="H123" s="9">
        <f t="shared" si="4"/>
        <v>3</v>
      </c>
      <c r="I123" s="10">
        <f>IFERROR(__xludf.DUMMYFUNCTION("MAX(FILTER($H:$H,$E:$E=F123))"),1.0)</f>
        <v>1</v>
      </c>
    </row>
    <row r="124">
      <c r="C124" s="4" t="s">
        <v>2765</v>
      </c>
      <c r="D124" s="4" t="str">
        <f t="shared" si="1"/>
        <v>{"valorA":"funciona","valorB":6}</v>
      </c>
      <c r="E124" s="8" t="str">
        <f t="shared" si="2"/>
        <v>funciona</v>
      </c>
      <c r="F124" s="8" t="str">
        <f>IFERROR(__xludf.DUMMYFUNCTION("""COMPUTED_VALUE"""),"satisfeito")</f>
        <v>satisfeito</v>
      </c>
      <c r="G124" s="8" t="str">
        <f t="shared" si="3"/>
        <v>6</v>
      </c>
      <c r="H124" s="9">
        <f t="shared" si="4"/>
        <v>6</v>
      </c>
      <c r="I124" s="10">
        <f>IFERROR(__xludf.DUMMYFUNCTION("MAX(FILTER($H:$H,$E:$E=F124))"),1.0)</f>
        <v>1</v>
      </c>
    </row>
    <row r="125">
      <c r="C125" s="4" t="s">
        <v>2883</v>
      </c>
      <c r="D125" s="4" t="str">
        <f t="shared" si="1"/>
        <v>{"valorA":"o","valorB":5}</v>
      </c>
      <c r="E125" s="8" t="str">
        <f t="shared" si="2"/>
        <v>o</v>
      </c>
      <c r="F125" s="8" t="str">
        <f>IFERROR(__xludf.DUMMYFUNCTION("""COMPUTED_VALUE"""),"compra")</f>
        <v>compra</v>
      </c>
      <c r="G125" s="8" t="str">
        <f t="shared" si="3"/>
        <v>5</v>
      </c>
      <c r="H125" s="9">
        <f t="shared" si="4"/>
        <v>5</v>
      </c>
      <c r="I125" s="10">
        <f>IFERROR(__xludf.DUMMYFUNCTION("MAX(FILTER($H:$H,$E:$E=F125))"),2.0)</f>
        <v>2</v>
      </c>
    </row>
    <row r="126">
      <c r="C126" s="4" t="s">
        <v>2879</v>
      </c>
      <c r="D126" s="4" t="str">
        <f t="shared" si="1"/>
        <v>{"valorA":"bem","valorB":4}</v>
      </c>
      <c r="E126" s="8" t="str">
        <f t="shared" si="2"/>
        <v>bem</v>
      </c>
      <c r="F126" s="8" t="str">
        <f>IFERROR(__xludf.DUMMYFUNCTION("""COMPUTED_VALUE"""),"mim")</f>
        <v>mim</v>
      </c>
      <c r="G126" s="8" t="str">
        <f t="shared" si="3"/>
        <v>4</v>
      </c>
      <c r="H126" s="9">
        <f t="shared" si="4"/>
        <v>4</v>
      </c>
      <c r="I126" s="10">
        <f>IFERROR(__xludf.DUMMYFUNCTION("MAX(FILTER($H:$H,$E:$E=F126))"),1.0)</f>
        <v>1</v>
      </c>
    </row>
    <row r="127">
      <c r="C127" s="4" t="s">
        <v>2721</v>
      </c>
      <c r="D127" s="4" t="str">
        <f t="shared" si="1"/>
        <v>{"valorA":"e","valorB":4}</v>
      </c>
      <c r="E127" s="8" t="str">
        <f t="shared" si="2"/>
        <v>e</v>
      </c>
      <c r="F127" s="8" t="str">
        <f>IFERROR(__xludf.DUMMYFUNCTION("""COMPUTED_VALUE"""),"demais")</f>
        <v>demais</v>
      </c>
      <c r="G127" s="8" t="str">
        <f t="shared" si="3"/>
        <v>4</v>
      </c>
      <c r="H127" s="9">
        <f t="shared" si="4"/>
        <v>4</v>
      </c>
      <c r="I127" s="10">
        <f>IFERROR(__xludf.DUMMYFUNCTION("MAX(FILTER($H:$H,$E:$E=F127))"),1.0)</f>
        <v>1</v>
      </c>
    </row>
    <row r="128">
      <c r="C128" s="4" t="s">
        <v>2719</v>
      </c>
      <c r="D128" s="4" t="str">
        <f t="shared" si="1"/>
        <v>{"valorA":"é","valorB":2}</v>
      </c>
      <c r="E128" s="8" t="str">
        <f t="shared" si="2"/>
        <v>é</v>
      </c>
      <c r="F128" s="8" t="str">
        <f>IFERROR(__xludf.DUMMYFUNCTION("""COMPUTED_VALUE"""),"não")</f>
        <v>não</v>
      </c>
      <c r="G128" s="8" t="str">
        <f t="shared" si="3"/>
        <v>2</v>
      </c>
      <c r="H128" s="9">
        <f t="shared" si="4"/>
        <v>2</v>
      </c>
      <c r="I128" s="10">
        <f>IFERROR(__xludf.DUMMYFUNCTION("MAX(FILTER($H:$H,$E:$E=F128))"),1.0)</f>
        <v>1</v>
      </c>
    </row>
    <row r="129">
      <c r="C129" s="4" t="s">
        <v>2677</v>
      </c>
      <c r="D129" s="4" t="str">
        <f t="shared" si="1"/>
        <v>{"valorA":"fácil","valorB":1}</v>
      </c>
      <c r="E129" s="8" t="str">
        <f t="shared" si="2"/>
        <v>fácil</v>
      </c>
      <c r="F129" s="8" t="str">
        <f>IFERROR(__xludf.DUMMYFUNCTION("""COMPUTED_VALUE"""),"foi")</f>
        <v>foi</v>
      </c>
      <c r="G129" s="8" t="str">
        <f t="shared" si="3"/>
        <v>1</v>
      </c>
      <c r="H129" s="9">
        <f t="shared" si="4"/>
        <v>1</v>
      </c>
      <c r="I129" s="10">
        <f>IFERROR(__xludf.DUMMYFUNCTION("MAX(FILTER($H:$H,$E:$E=F129))"),1.0)</f>
        <v>1</v>
      </c>
    </row>
    <row r="130">
      <c r="C130" s="4" t="s">
        <v>2738</v>
      </c>
      <c r="D130" s="4" t="str">
        <f t="shared" si="1"/>
        <v>{"valorA":"de","valorB":4}</v>
      </c>
      <c r="E130" s="8" t="str">
        <f t="shared" si="2"/>
        <v>de</v>
      </c>
      <c r="F130" s="8" t="str">
        <f>IFERROR(__xludf.DUMMYFUNCTION("""COMPUTED_VALUE"""),"comentário")</f>
        <v>comentário</v>
      </c>
      <c r="G130" s="8" t="str">
        <f t="shared" si="3"/>
        <v>4</v>
      </c>
      <c r="H130" s="9">
        <f t="shared" si="4"/>
        <v>4</v>
      </c>
      <c r="I130" s="10">
        <f>IFERROR(__xludf.DUMMYFUNCTION("MAX(FILTER($H:$H,$E:$E=F130))"),1.0)</f>
        <v>1</v>
      </c>
    </row>
    <row r="131">
      <c r="C131" s="4" t="s">
        <v>2681</v>
      </c>
      <c r="D131" s="4" t="str">
        <f t="shared" si="1"/>
        <v>{"valorA":"usar","valorB":1}</v>
      </c>
      <c r="E131" s="8" t="str">
        <f t="shared" si="2"/>
        <v>usar</v>
      </c>
      <c r="F131" s="8"/>
      <c r="G131" s="8" t="str">
        <f t="shared" si="3"/>
        <v>1</v>
      </c>
      <c r="H131" s="9">
        <f t="shared" si="4"/>
        <v>1</v>
      </c>
      <c r="I131" s="10">
        <f>IFERROR(__xludf.DUMMYFUNCTION("MAX(FILTER($H:$H,$E:$E=F131))"),0.0)</f>
        <v>0</v>
      </c>
    </row>
    <row r="132">
      <c r="C132" s="4" t="s">
        <v>3341</v>
      </c>
      <c r="D132" s="4" t="str">
        <f t="shared" si="1"/>
        <v>{"valorA":"coment","valorB":1}</v>
      </c>
      <c r="E132" s="8" t="str">
        <f t="shared" si="2"/>
        <v>coment</v>
      </c>
      <c r="F132" s="8"/>
      <c r="G132" s="8" t="str">
        <f t="shared" si="3"/>
        <v>1</v>
      </c>
      <c r="H132" s="9">
        <f t="shared" si="4"/>
        <v>1</v>
      </c>
      <c r="I132" s="10">
        <f>IFERROR(__xludf.DUMMYFUNCTION("MAX(FILTER($H:$H,$E:$E=F132))"),0.0)</f>
        <v>0</v>
      </c>
    </row>
    <row r="133">
      <c r="C133" s="4" t="s">
        <v>7512</v>
      </c>
      <c r="D133" s="4" t="str">
        <f t="shared" si="1"/>
        <v>{"valorA":"pelo","valorB":1}</v>
      </c>
      <c r="E133" s="8" t="str">
        <f t="shared" si="2"/>
        <v>pelo</v>
      </c>
      <c r="F133" s="8"/>
      <c r="G133" s="8" t="str">
        <f t="shared" si="3"/>
        <v>1</v>
      </c>
      <c r="H133" s="9">
        <f t="shared" si="4"/>
        <v>1</v>
      </c>
      <c r="I133" s="10">
        <f>IFERROR(__xludf.DUMMYFUNCTION("MAX(FILTER($H:$H,$E:$E=F133))"),0.0)</f>
        <v>0</v>
      </c>
    </row>
    <row r="134">
      <c r="C134" s="4" t="s">
        <v>2642</v>
      </c>
      <c r="D134" s="4" t="str">
        <f t="shared" si="1"/>
        <v>{"valorA":"que","valorB":1}</v>
      </c>
      <c r="E134" s="8" t="str">
        <f t="shared" si="2"/>
        <v>que</v>
      </c>
      <c r="F134" s="8"/>
      <c r="G134" s="8" t="str">
        <f t="shared" si="3"/>
        <v>1</v>
      </c>
      <c r="H134" s="9">
        <f t="shared" si="4"/>
        <v>1</v>
      </c>
      <c r="I134" s="10">
        <f>IFERROR(__xludf.DUMMYFUNCTION("MAX(FILTER($H:$H,$E:$E=F134))"),0.0)</f>
        <v>0</v>
      </c>
    </row>
    <row r="135">
      <c r="C135" s="4" t="s">
        <v>2686</v>
      </c>
      <c r="D135" s="4" t="str">
        <f t="shared" si="1"/>
        <v>{"valorA":"a","valorB":3}</v>
      </c>
      <c r="E135" s="8" t="str">
        <f t="shared" si="2"/>
        <v>a</v>
      </c>
      <c r="F135" s="8"/>
      <c r="G135" s="8" t="str">
        <f t="shared" si="3"/>
        <v>3</v>
      </c>
      <c r="H135" s="9">
        <f t="shared" si="4"/>
        <v>3</v>
      </c>
      <c r="I135" s="10">
        <f>IFERROR(__xludf.DUMMYFUNCTION("MAX(FILTER($H:$H,$E:$E=F135))"),0.0)</f>
        <v>0</v>
      </c>
    </row>
    <row r="136">
      <c r="C136" s="4" t="s">
        <v>3908</v>
      </c>
      <c r="D136" s="4" t="str">
        <f t="shared" si="1"/>
        <v>{"valorA":"eu","valorB":2}</v>
      </c>
      <c r="E136" s="8" t="str">
        <f t="shared" si="2"/>
        <v>eu</v>
      </c>
      <c r="F136" s="8"/>
      <c r="G136" s="8" t="str">
        <f t="shared" si="3"/>
        <v>2</v>
      </c>
      <c r="H136" s="9">
        <f t="shared" si="4"/>
        <v>2</v>
      </c>
      <c r="I136" s="10">
        <f>IFERROR(__xludf.DUMMYFUNCTION("MAX(FILTER($H:$H,$E:$E=F136))"),0.0)</f>
        <v>0</v>
      </c>
    </row>
    <row r="137">
      <c r="C137" s="4" t="s">
        <v>2729</v>
      </c>
      <c r="D137" s="4" t="str">
        <f t="shared" si="1"/>
        <v>{"valorA":"ótimo","valorB":16}</v>
      </c>
      <c r="E137" s="8" t="str">
        <f t="shared" si="2"/>
        <v>ótimo</v>
      </c>
      <c r="F137" s="8"/>
      <c r="G137" s="8" t="str">
        <f t="shared" si="3"/>
        <v>16</v>
      </c>
      <c r="H137" s="9">
        <f t="shared" si="4"/>
        <v>16</v>
      </c>
      <c r="I137" s="10">
        <f>IFERROR(__xludf.DUMMYFUNCTION("MAX(FILTER($H:$H,$E:$E=F137))"),0.0)</f>
        <v>0</v>
      </c>
    </row>
    <row r="138">
      <c r="C138" s="4" t="s">
        <v>7513</v>
      </c>
      <c r="D138" s="4" t="str">
        <f t="shared" si="1"/>
        <v>{"valorA":"enganado","valorB":1}</v>
      </c>
      <c r="E138" s="8" t="str">
        <f t="shared" si="2"/>
        <v>enganado</v>
      </c>
      <c r="F138" s="8"/>
      <c r="G138" s="8" t="str">
        <f t="shared" si="3"/>
        <v>1</v>
      </c>
      <c r="H138" s="9">
        <f t="shared" si="4"/>
        <v>1</v>
      </c>
      <c r="I138" s="10">
        <f>IFERROR(__xludf.DUMMYFUNCTION("MAX(FILTER($H:$H,$E:$E=F138))"),0.0)</f>
        <v>0</v>
      </c>
    </row>
    <row r="139">
      <c r="C139" s="4" t="s">
        <v>2704</v>
      </c>
      <c r="D139" s="4" t="str">
        <f t="shared" si="1"/>
        <v>{"valorA":"produto","valorB":8}</v>
      </c>
      <c r="E139" s="8" t="str">
        <f t="shared" si="2"/>
        <v>produto</v>
      </c>
      <c r="F139" s="8"/>
      <c r="G139" s="8" t="str">
        <f t="shared" si="3"/>
        <v>8</v>
      </c>
      <c r="H139" s="9">
        <f t="shared" si="4"/>
        <v>8</v>
      </c>
      <c r="I139" s="10">
        <f>IFERROR(__xludf.DUMMYFUNCTION("MAX(FILTER($H:$H,$E:$E=F139))"),0.0)</f>
        <v>0</v>
      </c>
    </row>
    <row r="140">
      <c r="C140" s="4" t="s">
        <v>2848</v>
      </c>
      <c r="D140" s="4" t="str">
        <f t="shared" si="1"/>
        <v>{"valorA":"me","valorB":1}</v>
      </c>
      <c r="E140" s="8" t="str">
        <f t="shared" si="2"/>
        <v>me</v>
      </c>
      <c r="F140" s="8"/>
      <c r="G140" s="8" t="str">
        <f t="shared" si="3"/>
        <v>1</v>
      </c>
      <c r="H140" s="9">
        <f t="shared" si="4"/>
        <v>1</v>
      </c>
      <c r="I140" s="10">
        <f>IFERROR(__xludf.DUMMYFUNCTION("MAX(FILTER($H:$H,$E:$E=F140))"),0.0)</f>
        <v>0</v>
      </c>
    </row>
    <row r="141">
      <c r="C141" s="4" t="s">
        <v>2666</v>
      </c>
      <c r="D141" s="4" t="str">
        <f t="shared" si="1"/>
        <v>{"valorA":"com","valorB":1}</v>
      </c>
      <c r="E141" s="8" t="str">
        <f t="shared" si="2"/>
        <v>com</v>
      </c>
      <c r="F141" s="8"/>
      <c r="G141" s="8" t="str">
        <f t="shared" si="3"/>
        <v>1</v>
      </c>
      <c r="H141" s="9">
        <f t="shared" si="4"/>
        <v>1</v>
      </c>
      <c r="I141" s="10">
        <f>IFERROR(__xludf.DUMMYFUNCTION("MAX(FILTER($H:$H,$E:$E=F141))"),0.0)</f>
        <v>0</v>
      </c>
    </row>
    <row r="142">
      <c r="C142" s="4" t="s">
        <v>2656</v>
      </c>
      <c r="D142" s="4" t="str">
        <f t="shared" si="1"/>
        <v>{"valorA":"paguei","valorB":1}</v>
      </c>
      <c r="E142" s="8" t="str">
        <f t="shared" si="2"/>
        <v>paguei</v>
      </c>
      <c r="F142" s="8"/>
      <c r="G142" s="8" t="str">
        <f t="shared" si="3"/>
        <v>1</v>
      </c>
      <c r="H142" s="9">
        <f t="shared" si="4"/>
        <v>1</v>
      </c>
      <c r="I142" s="10">
        <f>IFERROR(__xludf.DUMMYFUNCTION("MAX(FILTER($H:$H,$E:$E=F142))"),0.0)</f>
        <v>0</v>
      </c>
    </row>
    <row r="143">
      <c r="C143" s="4" t="s">
        <v>3104</v>
      </c>
      <c r="D143" s="4" t="str">
        <f t="shared" si="1"/>
        <v>{"valorA":"preço","valorB":7}</v>
      </c>
      <c r="E143" s="8" t="str">
        <f t="shared" si="2"/>
        <v>preço</v>
      </c>
      <c r="F143" s="8"/>
      <c r="G143" s="8" t="str">
        <f t="shared" si="3"/>
        <v>7</v>
      </c>
      <c r="H143" s="9">
        <f t="shared" si="4"/>
        <v>7</v>
      </c>
      <c r="I143" s="10">
        <f>IFERROR(__xludf.DUMMYFUNCTION("MAX(FILTER($H:$H,$E:$E=F143))"),0.0)</f>
        <v>0</v>
      </c>
    </row>
    <row r="144">
      <c r="C144" s="4" t="s">
        <v>7514</v>
      </c>
      <c r="D144" s="4" t="str">
        <f t="shared" si="1"/>
        <v>{"valorA":"sinto","valorB":1}</v>
      </c>
      <c r="E144" s="8" t="str">
        <f t="shared" si="2"/>
        <v>sinto</v>
      </c>
      <c r="F144" s="8"/>
      <c r="G144" s="8" t="str">
        <f t="shared" si="3"/>
        <v>1</v>
      </c>
      <c r="H144" s="9">
        <f t="shared" si="4"/>
        <v>1</v>
      </c>
      <c r="I144" s="10">
        <f>IFERROR(__xludf.DUMMYFUNCTION("MAX(FILTER($H:$H,$E:$E=F144))"),0.0)</f>
        <v>0</v>
      </c>
    </row>
    <row r="145">
      <c r="C145" s="4" t="s">
        <v>2707</v>
      </c>
      <c r="D145" s="4" t="str">
        <f t="shared" si="1"/>
        <v>{"valorA":"do","valorB":2}</v>
      </c>
      <c r="E145" s="8" t="str">
        <f t="shared" si="2"/>
        <v>do</v>
      </c>
      <c r="F145" s="8"/>
      <c r="G145" s="8" t="str">
        <f t="shared" si="3"/>
        <v>2</v>
      </c>
      <c r="H145" s="9">
        <f t="shared" si="4"/>
        <v>2</v>
      </c>
      <c r="I145" s="10">
        <f>IFERROR(__xludf.DUMMYFUNCTION("MAX(FILTER($H:$H,$E:$E=F145))"),0.0)</f>
        <v>0</v>
      </c>
    </row>
    <row r="146">
      <c r="C146" s="4" t="s">
        <v>2920</v>
      </c>
      <c r="D146" s="4" t="str">
        <f t="shared" si="1"/>
        <v>{"valorA":"qualidade","valorB":2}</v>
      </c>
      <c r="E146" s="8" t="str">
        <f t="shared" si="2"/>
        <v>qualidade</v>
      </c>
      <c r="F146" s="8"/>
      <c r="G146" s="8" t="str">
        <f t="shared" si="3"/>
        <v>2</v>
      </c>
      <c r="H146" s="9">
        <f t="shared" si="4"/>
        <v>2</v>
      </c>
      <c r="I146" s="10">
        <f>IFERROR(__xludf.DUMMYFUNCTION("MAX(FILTER($H:$H,$E:$E=F146))"),0.0)</f>
        <v>0</v>
      </c>
    </row>
    <row r="147">
      <c r="C147" s="4" t="s">
        <v>2863</v>
      </c>
      <c r="D147" s="4" t="str">
        <f t="shared" si="1"/>
        <v>{"valorA":"para","valorB":9}</v>
      </c>
      <c r="E147" s="8" t="str">
        <f t="shared" si="2"/>
        <v>para</v>
      </c>
      <c r="F147" s="8"/>
      <c r="G147" s="8" t="str">
        <f t="shared" si="3"/>
        <v>9</v>
      </c>
      <c r="H147" s="9">
        <f t="shared" si="4"/>
        <v>9</v>
      </c>
      <c r="I147" s="10">
        <f>IFERROR(__xludf.DUMMYFUNCTION("MAX(FILTER($H:$H,$E:$E=F147))"),0.0)</f>
        <v>0</v>
      </c>
    </row>
    <row r="148">
      <c r="C148" s="4" t="s">
        <v>2735</v>
      </c>
      <c r="D148" s="4" t="str">
        <f t="shared" si="1"/>
        <v>{"valorA":"ótimo","valorB":17}</v>
      </c>
      <c r="E148" s="8" t="str">
        <f t="shared" si="2"/>
        <v>ótimo</v>
      </c>
      <c r="F148" s="8"/>
      <c r="G148" s="8" t="str">
        <f t="shared" si="3"/>
        <v>17</v>
      </c>
      <c r="H148" s="9">
        <f t="shared" si="4"/>
        <v>17</v>
      </c>
      <c r="I148" s="10">
        <f>IFERROR(__xludf.DUMMYFUNCTION("MAX(FILTER($H:$H,$E:$E=F148))"),0.0)</f>
        <v>0</v>
      </c>
    </row>
    <row r="149">
      <c r="C149" s="4" t="s">
        <v>2717</v>
      </c>
      <c r="D149" s="4" t="str">
        <f t="shared" si="1"/>
        <v>{"valorA":"produto","valorB":9}</v>
      </c>
      <c r="E149" s="8" t="str">
        <f t="shared" si="2"/>
        <v>produto</v>
      </c>
      <c r="F149" s="8"/>
      <c r="G149" s="8" t="str">
        <f t="shared" si="3"/>
        <v>9</v>
      </c>
      <c r="H149" s="9">
        <f t="shared" si="4"/>
        <v>9</v>
      </c>
      <c r="I149" s="10">
        <f>IFERROR(__xludf.DUMMYFUNCTION("MAX(FILTER($H:$H,$E:$E=F149))"),0.0)</f>
        <v>0</v>
      </c>
    </row>
    <row r="150">
      <c r="C150" s="4" t="s">
        <v>2177</v>
      </c>
      <c r="D150" s="4" t="str">
        <f t="shared" si="1"/>
        <v>{"valorA":"relógio","valorB":1}</v>
      </c>
      <c r="E150" s="8" t="str">
        <f t="shared" si="2"/>
        <v>relógio</v>
      </c>
      <c r="F150" s="8"/>
      <c r="G150" s="8" t="str">
        <f t="shared" si="3"/>
        <v>1</v>
      </c>
      <c r="H150" s="9">
        <f t="shared" si="4"/>
        <v>1</v>
      </c>
      <c r="I150" s="10">
        <f>IFERROR(__xludf.DUMMYFUNCTION("MAX(FILTER($H:$H,$E:$E=F150))"),0.0)</f>
        <v>0</v>
      </c>
    </row>
    <row r="151">
      <c r="C151" s="4" t="s">
        <v>3173</v>
      </c>
      <c r="D151" s="4" t="str">
        <f t="shared" si="1"/>
        <v>{"valorA":"leve","valorB":1}</v>
      </c>
      <c r="E151" s="8" t="str">
        <f t="shared" si="2"/>
        <v>leve</v>
      </c>
      <c r="F151" s="8"/>
      <c r="G151" s="8" t="str">
        <f t="shared" si="3"/>
        <v>1</v>
      </c>
      <c r="H151" s="9">
        <f t="shared" si="4"/>
        <v>1</v>
      </c>
      <c r="I151" s="10">
        <f>IFERROR(__xludf.DUMMYFUNCTION("MAX(FILTER($H:$H,$E:$E=F151))"),0.0)</f>
        <v>0</v>
      </c>
    </row>
    <row r="152">
      <c r="C152" s="4" t="s">
        <v>3089</v>
      </c>
      <c r="D152" s="4" t="str">
        <f t="shared" si="1"/>
        <v>{"valorA":"busca","valorB":1}</v>
      </c>
      <c r="E152" s="8" t="str">
        <f t="shared" si="2"/>
        <v>busca</v>
      </c>
      <c r="F152" s="8"/>
      <c r="G152" s="8" t="str">
        <f t="shared" si="3"/>
        <v>1</v>
      </c>
      <c r="H152" s="9">
        <f t="shared" si="4"/>
        <v>1</v>
      </c>
      <c r="I152" s="10">
        <f>IFERROR(__xludf.DUMMYFUNCTION("MAX(FILTER($H:$H,$E:$E=F152))"),0.0)</f>
        <v>0</v>
      </c>
    </row>
    <row r="153">
      <c r="C153" s="4" t="s">
        <v>2740</v>
      </c>
      <c r="D153" s="4" t="str">
        <f t="shared" si="1"/>
        <v>{"valorA":"e","valorB":5}</v>
      </c>
      <c r="E153" s="8" t="str">
        <f t="shared" si="2"/>
        <v>e</v>
      </c>
      <c r="F153" s="8"/>
      <c r="G153" s="8" t="str">
        <f t="shared" si="3"/>
        <v>5</v>
      </c>
      <c r="H153" s="9">
        <f t="shared" si="4"/>
        <v>5</v>
      </c>
      <c r="I153" s="10">
        <f>IFERROR(__xludf.DUMMYFUNCTION("MAX(FILTER($H:$H,$E:$E=F153))"),0.0)</f>
        <v>0</v>
      </c>
    </row>
    <row r="154">
      <c r="C154" s="4" t="s">
        <v>2722</v>
      </c>
      <c r="D154" s="4" t="str">
        <f t="shared" si="1"/>
        <v>{"valorA":"fácil","valorB":2}</v>
      </c>
      <c r="E154" s="8" t="str">
        <f t="shared" si="2"/>
        <v>fácil</v>
      </c>
      <c r="F154" s="8"/>
      <c r="G154" s="8" t="str">
        <f t="shared" si="3"/>
        <v>2</v>
      </c>
      <c r="H154" s="9">
        <f t="shared" si="4"/>
        <v>2</v>
      </c>
      <c r="I154" s="10">
        <f>IFERROR(__xludf.DUMMYFUNCTION("MAX(FILTER($H:$H,$E:$E=F154))"),0.0)</f>
        <v>0</v>
      </c>
    </row>
    <row r="155">
      <c r="C155" s="4" t="s">
        <v>2748</v>
      </c>
      <c r="D155" s="4" t="str">
        <f t="shared" si="1"/>
        <v>{"valorA":"de","valorB":5}</v>
      </c>
      <c r="E155" s="8" t="str">
        <f t="shared" si="2"/>
        <v>de</v>
      </c>
      <c r="F155" s="8"/>
      <c r="G155" s="8" t="str">
        <f t="shared" si="3"/>
        <v>5</v>
      </c>
      <c r="H155" s="9">
        <f t="shared" si="4"/>
        <v>5</v>
      </c>
      <c r="I155" s="10">
        <f>IFERROR(__xludf.DUMMYFUNCTION("MAX(FILTER($H:$H,$E:$E=F155))"),0.0)</f>
        <v>0</v>
      </c>
    </row>
    <row r="156">
      <c r="C156" s="4" t="s">
        <v>2723</v>
      </c>
      <c r="D156" s="4" t="str">
        <f t="shared" si="1"/>
        <v>{"valorA":"usar","valorB":2}</v>
      </c>
      <c r="E156" s="8" t="str">
        <f t="shared" si="2"/>
        <v>usar</v>
      </c>
      <c r="F156" s="8"/>
      <c r="G156" s="8" t="str">
        <f t="shared" si="3"/>
        <v>2</v>
      </c>
      <c r="H156" s="9">
        <f t="shared" si="4"/>
        <v>2</v>
      </c>
      <c r="I156" s="10">
        <f>IFERROR(__xludf.DUMMYFUNCTION("MAX(FILTER($H:$H,$E:$E=F156))"),0.0)</f>
        <v>0</v>
      </c>
    </row>
    <row r="157">
      <c r="C157" s="4" t="s">
        <v>3123</v>
      </c>
      <c r="D157" s="4" t="str">
        <f t="shared" si="1"/>
        <v>{"valorA":"um","valorB":4}</v>
      </c>
      <c r="E157" s="8" t="str">
        <f t="shared" si="2"/>
        <v>um</v>
      </c>
      <c r="F157" s="8"/>
      <c r="G157" s="8" t="str">
        <f t="shared" si="3"/>
        <v>4</v>
      </c>
      <c r="H157" s="9">
        <f t="shared" si="4"/>
        <v>4</v>
      </c>
      <c r="I157" s="10">
        <f>IFERROR(__xludf.DUMMYFUNCTION("MAX(FILTER($H:$H,$E:$E=F157))"),0.0)</f>
        <v>0</v>
      </c>
    </row>
    <row r="158">
      <c r="C158" s="4" t="s">
        <v>2856</v>
      </c>
      <c r="D158" s="4" t="str">
        <f t="shared" si="1"/>
        <v>{"valorA":"quem","valorB":2}</v>
      </c>
      <c r="E158" s="8" t="str">
        <f t="shared" si="2"/>
        <v>quem</v>
      </c>
      <c r="F158" s="8"/>
      <c r="G158" s="8" t="str">
        <f t="shared" si="3"/>
        <v>2</v>
      </c>
      <c r="H158" s="9">
        <f t="shared" si="4"/>
        <v>2</v>
      </c>
      <c r="I158" s="10">
        <f>IFERROR(__xludf.DUMMYFUNCTION("MAX(FILTER($H:$H,$E:$E=F158))"),0.0)</f>
        <v>0</v>
      </c>
    </row>
    <row r="159">
      <c r="C159" s="4" t="s">
        <v>2876</v>
      </c>
      <c r="D159" s="4" t="str">
        <f t="shared" si="1"/>
        <v>{"valorA":"de","valorB":6}</v>
      </c>
      <c r="E159" s="8" t="str">
        <f t="shared" si="2"/>
        <v>de</v>
      </c>
      <c r="F159" s="8"/>
      <c r="G159" s="8" t="str">
        <f t="shared" si="3"/>
        <v>6</v>
      </c>
      <c r="H159" s="9">
        <f t="shared" si="4"/>
        <v>6</v>
      </c>
      <c r="I159" s="10">
        <f>IFERROR(__xludf.DUMMYFUNCTION("MAX(FILTER($H:$H,$E:$E=F159))"),0.0)</f>
        <v>0</v>
      </c>
    </row>
    <row r="160">
      <c r="C160" s="4" t="s">
        <v>2746</v>
      </c>
      <c r="D160" s="4" t="str">
        <f t="shared" si="1"/>
        <v>{"valorA":"ótimo","valorB":18}</v>
      </c>
      <c r="E160" s="8" t="str">
        <f t="shared" si="2"/>
        <v>ótimo</v>
      </c>
      <c r="F160" s="8"/>
      <c r="G160" s="8" t="str">
        <f t="shared" si="3"/>
        <v>18</v>
      </c>
      <c r="H160" s="9">
        <f t="shared" si="4"/>
        <v>18</v>
      </c>
      <c r="I160" s="10">
        <f>IFERROR(__xludf.DUMMYFUNCTION("MAX(FILTER($H:$H,$E:$E=F160))"),0.0)</f>
        <v>0</v>
      </c>
    </row>
    <row r="161">
      <c r="C161" s="4" t="s">
        <v>3783</v>
      </c>
      <c r="D161" s="4" t="str">
        <f t="shared" si="1"/>
        <v>{"valorA":"monitor","valorB":2}</v>
      </c>
      <c r="E161" s="8" t="str">
        <f t="shared" si="2"/>
        <v>monitor</v>
      </c>
      <c r="F161" s="8"/>
      <c r="G161" s="8" t="str">
        <f t="shared" si="3"/>
        <v>2</v>
      </c>
      <c r="H161" s="9">
        <f t="shared" si="4"/>
        <v>2</v>
      </c>
      <c r="I161" s="10">
        <f>IFERROR(__xludf.DUMMYFUNCTION("MAX(FILTER($H:$H,$E:$E=F161))"),0.0)</f>
        <v>0</v>
      </c>
    </row>
    <row r="162">
      <c r="C162" s="4" t="s">
        <v>7515</v>
      </c>
      <c r="D162" s="4" t="str">
        <f t="shared" si="1"/>
        <v>{"valorA":"preçoqualidade","valorB":1}</v>
      </c>
      <c r="E162" s="8" t="str">
        <f t="shared" si="2"/>
        <v>preçoqualidade</v>
      </c>
      <c r="F162" s="8"/>
      <c r="G162" s="8" t="str">
        <f t="shared" si="3"/>
        <v>1</v>
      </c>
      <c r="H162" s="9">
        <f t="shared" si="4"/>
        <v>1</v>
      </c>
      <c r="I162" s="10">
        <f>IFERROR(__xludf.DUMMYFUNCTION("MAX(FILTER($H:$H,$E:$E=F162))"),0.0)</f>
        <v>0</v>
      </c>
    </row>
    <row r="163">
      <c r="C163" s="4" t="s">
        <v>3034</v>
      </c>
      <c r="D163" s="4" t="str">
        <f t="shared" si="1"/>
        <v>{"valorA":"excelente","valorB":1}</v>
      </c>
      <c r="E163" s="8" t="str">
        <f t="shared" si="2"/>
        <v>excelente</v>
      </c>
      <c r="F163" s="8"/>
      <c r="G163" s="8" t="str">
        <f t="shared" si="3"/>
        <v>1</v>
      </c>
      <c r="H163" s="9">
        <f t="shared" si="4"/>
        <v>1</v>
      </c>
      <c r="I163" s="10">
        <f>IFERROR(__xludf.DUMMYFUNCTION("MAX(FILTER($H:$H,$E:$E=F163))"),0.0)</f>
        <v>0</v>
      </c>
    </row>
    <row r="164">
      <c r="C164" s="4" t="s">
        <v>2180</v>
      </c>
      <c r="D164" s="4" t="str">
        <f t="shared" si="1"/>
        <v>{"valorA":"computador","valorB":1}</v>
      </c>
      <c r="E164" s="8" t="str">
        <f t="shared" si="2"/>
        <v>computador</v>
      </c>
      <c r="F164" s="8"/>
      <c r="G164" s="8" t="str">
        <f t="shared" si="3"/>
        <v>1</v>
      </c>
      <c r="H164" s="9">
        <f t="shared" si="4"/>
        <v>1</v>
      </c>
      <c r="I164" s="10">
        <f>IFERROR(__xludf.DUMMYFUNCTION("MAX(FILTER($H:$H,$E:$E=F164))"),0.0)</f>
        <v>0</v>
      </c>
    </row>
    <row r="165">
      <c r="C165" s="4" t="s">
        <v>2695</v>
      </c>
      <c r="D165" s="4" t="str">
        <f t="shared" si="1"/>
        <v>{"valorA":"que","valorB":2}</v>
      </c>
      <c r="E165" s="8" t="str">
        <f t="shared" si="2"/>
        <v>que</v>
      </c>
      <c r="F165" s="8"/>
      <c r="G165" s="8" t="str">
        <f t="shared" si="3"/>
        <v>2</v>
      </c>
      <c r="H165" s="9">
        <f t="shared" si="4"/>
        <v>2</v>
      </c>
      <c r="I165" s="10">
        <f>IFERROR(__xludf.DUMMYFUNCTION("MAX(FILTER($H:$H,$E:$E=F165))"),0.0)</f>
        <v>0</v>
      </c>
    </row>
    <row r="166">
      <c r="C166" s="4" t="s">
        <v>2761</v>
      </c>
      <c r="D166" s="4" t="str">
        <f t="shared" si="1"/>
        <v>{"valorA":"ótimo","valorB":19}</v>
      </c>
      <c r="E166" s="8" t="str">
        <f t="shared" si="2"/>
        <v>ótimo</v>
      </c>
      <c r="F166" s="8"/>
      <c r="G166" s="8" t="str">
        <f t="shared" si="3"/>
        <v>19</v>
      </c>
      <c r="H166" s="9">
        <f t="shared" si="4"/>
        <v>19</v>
      </c>
      <c r="I166" s="10">
        <f>IFERROR(__xludf.DUMMYFUNCTION("MAX(FILTER($H:$H,$E:$E=F166))"),0.0)</f>
        <v>0</v>
      </c>
    </row>
    <row r="167">
      <c r="C167" s="4" t="s">
        <v>7516</v>
      </c>
      <c r="D167" s="4" t="str">
        <f t="shared" si="1"/>
        <v>{"valorA":"eu","valorB":3}</v>
      </c>
      <c r="E167" s="8" t="str">
        <f t="shared" si="2"/>
        <v>eu</v>
      </c>
      <c r="F167" s="8"/>
      <c r="G167" s="8" t="str">
        <f t="shared" si="3"/>
        <v>3</v>
      </c>
      <c r="H167" s="9">
        <f t="shared" si="4"/>
        <v>3</v>
      </c>
      <c r="I167" s="10">
        <f>IFERROR(__xludf.DUMMYFUNCTION("MAX(FILTER($H:$H,$E:$E=F167))"),0.0)</f>
        <v>0</v>
      </c>
    </row>
    <row r="168">
      <c r="C168" s="4" t="s">
        <v>7517</v>
      </c>
      <c r="D168" s="4" t="str">
        <f t="shared" si="1"/>
        <v>{"valorA":"tivesse","valorB":1}</v>
      </c>
      <c r="E168" s="8" t="str">
        <f t="shared" si="2"/>
        <v>tivesse</v>
      </c>
      <c r="F168" s="8"/>
      <c r="G168" s="8" t="str">
        <f t="shared" si="3"/>
        <v>1</v>
      </c>
      <c r="H168" s="9">
        <f t="shared" si="4"/>
        <v>1</v>
      </c>
      <c r="I168" s="10">
        <f>IFERROR(__xludf.DUMMYFUNCTION("MAX(FILTER($H:$H,$E:$E=F168))"),0.0)</f>
        <v>0</v>
      </c>
    </row>
    <row r="169">
      <c r="C169" s="4" t="s">
        <v>3706</v>
      </c>
      <c r="D169" s="4" t="str">
        <f t="shared" si="1"/>
        <v>{"valorA":"gostaria","valorB":1}</v>
      </c>
      <c r="E169" s="8" t="str">
        <f t="shared" si="2"/>
        <v>gostaria</v>
      </c>
      <c r="F169" s="8"/>
      <c r="G169" s="8" t="str">
        <f t="shared" si="3"/>
        <v>1</v>
      </c>
      <c r="H169" s="9">
        <f t="shared" si="4"/>
        <v>1</v>
      </c>
      <c r="I169" s="10">
        <f>IFERROR(__xludf.DUMMYFUNCTION("MAX(FILTER($H:$H,$E:$E=F169))"),0.0)</f>
        <v>0</v>
      </c>
    </row>
    <row r="170">
      <c r="C170" s="4" t="s">
        <v>3159</v>
      </c>
      <c r="D170" s="4" t="str">
        <f t="shared" si="1"/>
        <v>{"valorA":"comprado","valorB":1}</v>
      </c>
      <c r="E170" s="8" t="str">
        <f t="shared" si="2"/>
        <v>comprado</v>
      </c>
      <c r="F170" s="8"/>
      <c r="G170" s="8" t="str">
        <f t="shared" si="3"/>
        <v>1</v>
      </c>
      <c r="H170" s="9">
        <f t="shared" si="4"/>
        <v>1</v>
      </c>
      <c r="I170" s="10">
        <f>IFERROR(__xludf.DUMMYFUNCTION("MAX(FILTER($H:$H,$E:$E=F170))"),0.0)</f>
        <v>0</v>
      </c>
    </row>
    <row r="171">
      <c r="C171" s="4" t="s">
        <v>3131</v>
      </c>
      <c r="D171" s="4" t="str">
        <f t="shared" si="1"/>
        <v>{"valorA":"tv","valorB":1}</v>
      </c>
      <c r="E171" s="8" t="str">
        <f t="shared" si="2"/>
        <v>tv</v>
      </c>
      <c r="F171" s="8"/>
      <c r="G171" s="8" t="str">
        <f t="shared" si="3"/>
        <v>1</v>
      </c>
      <c r="H171" s="9">
        <f t="shared" si="4"/>
        <v>1</v>
      </c>
      <c r="I171" s="10">
        <f>IFERROR(__xludf.DUMMYFUNCTION("MAX(FILTER($H:$H,$E:$E=F171))"),0.0)</f>
        <v>0</v>
      </c>
    </row>
    <row r="172">
      <c r="C172" s="4" t="s">
        <v>3396</v>
      </c>
      <c r="D172" s="4" t="str">
        <f t="shared" si="1"/>
        <v>{"valorA":"led","valorB":1}</v>
      </c>
      <c r="E172" s="8" t="str">
        <f t="shared" si="2"/>
        <v>led</v>
      </c>
      <c r="F172" s="8"/>
      <c r="G172" s="8" t="str">
        <f t="shared" si="3"/>
        <v>1</v>
      </c>
      <c r="H172" s="9">
        <f t="shared" si="4"/>
        <v>1</v>
      </c>
      <c r="I172" s="10">
        <f>IFERROR(__xludf.DUMMYFUNCTION("MAX(FILTER($H:$H,$E:$E=F172))"),0.0)</f>
        <v>0</v>
      </c>
    </row>
    <row r="173">
      <c r="C173" s="4" t="s">
        <v>3179</v>
      </c>
      <c r="D173" s="4" t="str">
        <f t="shared" si="1"/>
        <v>{"valorA":"um","valorB":5}</v>
      </c>
      <c r="E173" s="8" t="str">
        <f t="shared" si="2"/>
        <v>um</v>
      </c>
      <c r="F173" s="8"/>
      <c r="G173" s="8" t="str">
        <f t="shared" si="3"/>
        <v>5</v>
      </c>
      <c r="H173" s="9">
        <f t="shared" si="4"/>
        <v>5</v>
      </c>
      <c r="I173" s="10">
        <f>IFERROR(__xludf.DUMMYFUNCTION("MAX(FILTER($H:$H,$E:$E=F173))"),0.0)</f>
        <v>0</v>
      </c>
    </row>
    <row r="174">
      <c r="C174" s="4" t="s">
        <v>7518</v>
      </c>
      <c r="D174" s="4" t="str">
        <f t="shared" si="1"/>
        <v>{"valorA":"maior","valorB":1}</v>
      </c>
      <c r="E174" s="8" t="str">
        <f t="shared" si="2"/>
        <v>maior</v>
      </c>
      <c r="F174" s="8"/>
      <c r="G174" s="8" t="str">
        <f t="shared" si="3"/>
        <v>1</v>
      </c>
      <c r="H174" s="9">
        <f t="shared" si="4"/>
        <v>1</v>
      </c>
      <c r="I174" s="10">
        <f>IFERROR(__xludf.DUMMYFUNCTION("MAX(FILTER($H:$H,$E:$E=F174))"),0.0)</f>
        <v>0</v>
      </c>
    </row>
    <row r="175">
      <c r="C175" s="4" t="s">
        <v>3336</v>
      </c>
      <c r="D175" s="4" t="str">
        <f t="shared" si="1"/>
        <v>{"valorA":"modelo","valorB":1}</v>
      </c>
      <c r="E175" s="8" t="str">
        <f t="shared" si="2"/>
        <v>modelo</v>
      </c>
      <c r="F175" s="8"/>
      <c r="G175" s="8" t="str">
        <f t="shared" si="3"/>
        <v>1</v>
      </c>
      <c r="H175" s="9">
        <f t="shared" si="4"/>
        <v>1</v>
      </c>
      <c r="I175" s="10">
        <f>IFERROR(__xludf.DUMMYFUNCTION("MAX(FILTER($H:$H,$E:$E=F175))"),0.0)</f>
        <v>0</v>
      </c>
    </row>
    <row r="176">
      <c r="C176" s="4" t="s">
        <v>2984</v>
      </c>
      <c r="D176" s="4" t="str">
        <f t="shared" si="1"/>
        <v>{"valorA":"de","valorB":7}</v>
      </c>
      <c r="E176" s="8" t="str">
        <f t="shared" si="2"/>
        <v>de</v>
      </c>
      <c r="F176" s="8"/>
      <c r="G176" s="8" t="str">
        <f t="shared" si="3"/>
        <v>7</v>
      </c>
      <c r="H176" s="9">
        <f t="shared" si="4"/>
        <v>7</v>
      </c>
      <c r="I176" s="10">
        <f>IFERROR(__xludf.DUMMYFUNCTION("MAX(FILTER($H:$H,$E:$E=F176))"),0.0)</f>
        <v>0</v>
      </c>
    </row>
    <row r="177">
      <c r="C177" s="4" t="s">
        <v>2766</v>
      </c>
      <c r="D177" s="4" t="str">
        <f t="shared" si="1"/>
        <v>{"valorA":"ótimo","valorB":20}</v>
      </c>
      <c r="E177" s="8" t="str">
        <f t="shared" si="2"/>
        <v>ótimo</v>
      </c>
      <c r="F177" s="8"/>
      <c r="G177" s="8" t="str">
        <f t="shared" si="3"/>
        <v>20</v>
      </c>
      <c r="H177" s="9">
        <f t="shared" si="4"/>
        <v>20</v>
      </c>
      <c r="I177" s="10">
        <f>IFERROR(__xludf.DUMMYFUNCTION("MAX(FILTER($H:$H,$E:$E=F177))"),0.0)</f>
        <v>0</v>
      </c>
    </row>
    <row r="178">
      <c r="C178" s="4" t="s">
        <v>3045</v>
      </c>
      <c r="D178" s="4" t="str">
        <f t="shared" si="1"/>
        <v>{"valorA":"tão","valorB":2}</v>
      </c>
      <c r="E178" s="8" t="str">
        <f t="shared" si="2"/>
        <v>tão</v>
      </c>
      <c r="F178" s="8"/>
      <c r="G178" s="8" t="str">
        <f t="shared" si="3"/>
        <v>2</v>
      </c>
      <c r="H178" s="9">
        <f t="shared" si="4"/>
        <v>2</v>
      </c>
      <c r="I178" s="10">
        <f>IFERROR(__xludf.DUMMYFUNCTION("MAX(FILTER($H:$H,$E:$E=F178))"),0.0)</f>
        <v>0</v>
      </c>
    </row>
    <row r="179">
      <c r="C179" s="4" t="s">
        <v>2725</v>
      </c>
      <c r="D179" s="4" t="str">
        <f t="shared" si="1"/>
        <v>{"valorA":"produto","valorB":10}</v>
      </c>
      <c r="E179" s="8" t="str">
        <f t="shared" si="2"/>
        <v>produto</v>
      </c>
      <c r="F179" s="8"/>
      <c r="G179" s="8" t="str">
        <f t="shared" si="3"/>
        <v>10</v>
      </c>
      <c r="H179" s="9">
        <f t="shared" si="4"/>
        <v>10</v>
      </c>
      <c r="I179" s="10">
        <f>IFERROR(__xludf.DUMMYFUNCTION("MAX(FILTER($H:$H,$E:$E=F179))"),0.0)</f>
        <v>0</v>
      </c>
    </row>
    <row r="180">
      <c r="C180" s="4" t="s">
        <v>3119</v>
      </c>
      <c r="D180" s="4" t="str">
        <f t="shared" si="1"/>
        <v>{"valorA":"bom","valorB":5}</v>
      </c>
      <c r="E180" s="8" t="str">
        <f t="shared" si="2"/>
        <v>bom</v>
      </c>
      <c r="F180" s="8"/>
      <c r="G180" s="8" t="str">
        <f t="shared" si="3"/>
        <v>5</v>
      </c>
      <c r="H180" s="9">
        <f t="shared" si="4"/>
        <v>5</v>
      </c>
      <c r="I180" s="10">
        <f>IFERROR(__xludf.DUMMYFUNCTION("MAX(FILTER($H:$H,$E:$E=F180))"),0.0)</f>
        <v>0</v>
      </c>
    </row>
    <row r="181">
      <c r="C181" s="4" t="s">
        <v>3027</v>
      </c>
      <c r="D181" s="4" t="str">
        <f t="shared" si="1"/>
        <v>{"valorA":"como","valorB":1}</v>
      </c>
      <c r="E181" s="8" t="str">
        <f t="shared" si="2"/>
        <v>como</v>
      </c>
      <c r="F181" s="8"/>
      <c r="G181" s="8" t="str">
        <f t="shared" si="3"/>
        <v>1</v>
      </c>
      <c r="H181" s="9">
        <f t="shared" si="4"/>
        <v>1</v>
      </c>
      <c r="I181" s="10">
        <f>IFERROR(__xludf.DUMMYFUNCTION("MAX(FILTER($H:$H,$E:$E=F181))"),0.0)</f>
        <v>0</v>
      </c>
    </row>
    <row r="182">
      <c r="C182" s="4" t="s">
        <v>2799</v>
      </c>
      <c r="D182" s="4" t="str">
        <f t="shared" si="1"/>
        <v>{"valorA":"câmera","valorB":1}</v>
      </c>
      <c r="E182" s="8" t="str">
        <f t="shared" si="2"/>
        <v>câmera</v>
      </c>
      <c r="F182" s="8"/>
      <c r="G182" s="8" t="str">
        <f t="shared" si="3"/>
        <v>1</v>
      </c>
      <c r="H182" s="9">
        <f t="shared" si="4"/>
        <v>1</v>
      </c>
      <c r="I182" s="10">
        <f>IFERROR(__xludf.DUMMYFUNCTION("MAX(FILTER($H:$H,$E:$E=F182))"),0.0)</f>
        <v>0</v>
      </c>
    </row>
    <row r="183">
      <c r="C183" s="4" t="s">
        <v>2630</v>
      </c>
      <c r="D183" s="4" t="str">
        <f t="shared" si="1"/>
        <v>{"valorA":"esse","valorB":1}</v>
      </c>
      <c r="E183" s="8" t="str">
        <f t="shared" si="2"/>
        <v>esse</v>
      </c>
      <c r="F183" s="8"/>
      <c r="G183" s="8" t="str">
        <f t="shared" si="3"/>
        <v>1</v>
      </c>
      <c r="H183" s="9">
        <f t="shared" si="4"/>
        <v>1</v>
      </c>
      <c r="I183" s="10">
        <f>IFERROR(__xludf.DUMMYFUNCTION("MAX(FILTER($H:$H,$E:$E=F183))"),0.0)</f>
        <v>0</v>
      </c>
    </row>
    <row r="184">
      <c r="C184" s="4" t="s">
        <v>3196</v>
      </c>
      <c r="D184" s="4" t="str">
        <f t="shared" si="1"/>
        <v>{"valorA":"um","valorB":6}</v>
      </c>
      <c r="E184" s="8" t="str">
        <f t="shared" si="2"/>
        <v>um</v>
      </c>
      <c r="F184" s="8"/>
      <c r="G184" s="8" t="str">
        <f t="shared" si="3"/>
        <v>6</v>
      </c>
      <c r="H184" s="9">
        <f t="shared" si="4"/>
        <v>6</v>
      </c>
      <c r="I184" s="10">
        <f>IFERROR(__xludf.DUMMYFUNCTION("MAX(FILTER($H:$H,$E:$E=F184))"),0.0)</f>
        <v>0</v>
      </c>
    </row>
    <row r="185">
      <c r="C185" s="4" t="s">
        <v>3107</v>
      </c>
      <c r="D185" s="4" t="str">
        <f t="shared" si="1"/>
        <v>{"valorA":"preço","valorB":8}</v>
      </c>
      <c r="E185" s="8" t="str">
        <f t="shared" si="2"/>
        <v>preço</v>
      </c>
      <c r="F185" s="8"/>
      <c r="G185" s="8" t="str">
        <f t="shared" si="3"/>
        <v>8</v>
      </c>
      <c r="H185" s="9">
        <f t="shared" si="4"/>
        <v>8</v>
      </c>
      <c r="I185" s="10">
        <f>IFERROR(__xludf.DUMMYFUNCTION("MAX(FILTER($H:$H,$E:$E=F185))"),0.0)</f>
        <v>0</v>
      </c>
    </row>
    <row r="186">
      <c r="C186" s="4" t="s">
        <v>2969</v>
      </c>
      <c r="D186" s="4" t="str">
        <f t="shared" si="1"/>
        <v>{"valorA":"para","valorB":10}</v>
      </c>
      <c r="E186" s="8" t="str">
        <f t="shared" si="2"/>
        <v>para</v>
      </c>
      <c r="F186" s="8"/>
      <c r="G186" s="8" t="str">
        <f t="shared" si="3"/>
        <v>10</v>
      </c>
      <c r="H186" s="9">
        <f t="shared" si="4"/>
        <v>10</v>
      </c>
      <c r="I186" s="10">
        <f>IFERROR(__xludf.DUMMYFUNCTION("MAX(FILTER($H:$H,$E:$E=F186))"),0.0)</f>
        <v>0</v>
      </c>
    </row>
    <row r="187">
      <c r="C187" s="4" t="s">
        <v>3039</v>
      </c>
      <c r="D187" s="4" t="str">
        <f t="shared" si="1"/>
        <v>{"valorA":"fotos","valorB":1}</v>
      </c>
      <c r="E187" s="8" t="str">
        <f t="shared" si="2"/>
        <v>fotos</v>
      </c>
      <c r="F187" s="8"/>
      <c r="G187" s="8" t="str">
        <f t="shared" si="3"/>
        <v>1</v>
      </c>
      <c r="H187" s="9">
        <f t="shared" si="4"/>
        <v>1</v>
      </c>
      <c r="I187" s="10">
        <f>IFERROR(__xludf.DUMMYFUNCTION("MAX(FILTER($H:$H,$E:$E=F187))"),0.0)</f>
        <v>0</v>
      </c>
    </row>
    <row r="188">
      <c r="C188" s="4" t="s">
        <v>2779</v>
      </c>
      <c r="D188" s="4" t="str">
        <f t="shared" si="1"/>
        <v>{"valorA":"ótimo","valorB":21}</v>
      </c>
      <c r="E188" s="8" t="str">
        <f t="shared" si="2"/>
        <v>ótimo</v>
      </c>
      <c r="F188" s="8"/>
      <c r="G188" s="8" t="str">
        <f t="shared" si="3"/>
        <v>21</v>
      </c>
      <c r="H188" s="9">
        <f t="shared" si="4"/>
        <v>21</v>
      </c>
      <c r="I188" s="10">
        <f>IFERROR(__xludf.DUMMYFUNCTION("MAX(FILTER($H:$H,$E:$E=F188))"),0.0)</f>
        <v>0</v>
      </c>
    </row>
    <row r="189">
      <c r="C189" s="4" t="s">
        <v>2728</v>
      </c>
      <c r="D189" s="4" t="str">
        <f t="shared" si="1"/>
        <v>{"valorA":"produto","valorB":11}</v>
      </c>
      <c r="E189" s="8" t="str">
        <f t="shared" si="2"/>
        <v>produto</v>
      </c>
      <c r="F189" s="8"/>
      <c r="G189" s="8" t="str">
        <f t="shared" si="3"/>
        <v>11</v>
      </c>
      <c r="H189" s="9">
        <f t="shared" si="4"/>
        <v>11</v>
      </c>
      <c r="I189" s="10">
        <f>IFERROR(__xludf.DUMMYFUNCTION("MAX(FILTER($H:$H,$E:$E=F189))"),0.0)</f>
        <v>0</v>
      </c>
    </row>
    <row r="190">
      <c r="C190" s="4" t="s">
        <v>2850</v>
      </c>
      <c r="D190" s="4" t="str">
        <f t="shared" si="1"/>
        <v>{"valorA":"a","valorB":4}</v>
      </c>
      <c r="E190" s="8" t="str">
        <f t="shared" si="2"/>
        <v>a</v>
      </c>
      <c r="F190" s="8"/>
      <c r="G190" s="8" t="str">
        <f t="shared" si="3"/>
        <v>4</v>
      </c>
      <c r="H190" s="9">
        <f t="shared" si="4"/>
        <v>4</v>
      </c>
      <c r="I190" s="10">
        <f>IFERROR(__xludf.DUMMYFUNCTION("MAX(FILTER($H:$H,$E:$E=F190))"),0.0)</f>
        <v>0</v>
      </c>
    </row>
    <row r="191">
      <c r="C191" s="4" t="s">
        <v>3100</v>
      </c>
      <c r="D191" s="4" t="str">
        <f t="shared" si="1"/>
        <v>{"valorA":"todos","valorB":1}</v>
      </c>
      <c r="E191" s="8" t="str">
        <f t="shared" si="2"/>
        <v>todos</v>
      </c>
      <c r="F191" s="8"/>
      <c r="G191" s="8" t="str">
        <f t="shared" si="3"/>
        <v>1</v>
      </c>
      <c r="H191" s="9">
        <f t="shared" si="4"/>
        <v>1</v>
      </c>
      <c r="I191" s="10">
        <f>IFERROR(__xludf.DUMMYFUNCTION("MAX(FILTER($H:$H,$E:$E=F191))"),0.0)</f>
        <v>0</v>
      </c>
    </row>
    <row r="192">
      <c r="C192" s="4" t="s">
        <v>2724</v>
      </c>
      <c r="D192" s="4" t="str">
        <f t="shared" si="1"/>
        <v>{"valorA":"recomendo","valorB":1}</v>
      </c>
      <c r="E192" s="8" t="str">
        <f t="shared" si="2"/>
        <v>recomendo</v>
      </c>
      <c r="F192" s="8"/>
      <c r="G192" s="8" t="str">
        <f t="shared" si="3"/>
        <v>1</v>
      </c>
      <c r="H192" s="9">
        <f t="shared" si="4"/>
        <v>1</v>
      </c>
      <c r="I192" s="10">
        <f>IFERROR(__xludf.DUMMYFUNCTION("MAX(FILTER($H:$H,$E:$E=F192))"),0.0)</f>
        <v>0</v>
      </c>
    </row>
    <row r="193">
      <c r="C193" s="4" t="s">
        <v>2788</v>
      </c>
      <c r="D193" s="4" t="str">
        <f t="shared" si="1"/>
        <v>{"valorA":"ótimo","valorB":22}</v>
      </c>
      <c r="E193" s="8" t="str">
        <f t="shared" si="2"/>
        <v>ótimo</v>
      </c>
      <c r="F193" s="8"/>
      <c r="G193" s="8" t="str">
        <f t="shared" si="3"/>
        <v>22</v>
      </c>
      <c r="H193" s="9">
        <f t="shared" si="4"/>
        <v>22</v>
      </c>
      <c r="I193" s="10">
        <f>IFERROR(__xludf.DUMMYFUNCTION("MAX(FILTER($H:$H,$E:$E=F193))"),0.0)</f>
        <v>0</v>
      </c>
    </row>
    <row r="194">
      <c r="C194" s="4" t="s">
        <v>2758</v>
      </c>
      <c r="D194" s="4" t="str">
        <f t="shared" si="1"/>
        <v>{"valorA":"produto","valorB":12}</v>
      </c>
      <c r="E194" s="8" t="str">
        <f t="shared" si="2"/>
        <v>produto</v>
      </c>
      <c r="F194" s="8"/>
      <c r="G194" s="8" t="str">
        <f t="shared" si="3"/>
        <v>12</v>
      </c>
      <c r="H194" s="9">
        <f t="shared" si="4"/>
        <v>12</v>
      </c>
      <c r="I194" s="10">
        <f>IFERROR(__xludf.DUMMYFUNCTION("MAX(FILTER($H:$H,$E:$E=F194))"),0.0)</f>
        <v>0</v>
      </c>
    </row>
    <row r="195">
      <c r="C195" s="4" t="s">
        <v>3037</v>
      </c>
      <c r="D195" s="4" t="str">
        <f t="shared" si="1"/>
        <v>{"valorA":"valeu","valorB":1}</v>
      </c>
      <c r="E195" s="8" t="str">
        <f t="shared" si="2"/>
        <v>valeu</v>
      </c>
      <c r="F195" s="8"/>
      <c r="G195" s="8" t="str">
        <f t="shared" si="3"/>
        <v>1</v>
      </c>
      <c r="H195" s="9">
        <f t="shared" si="4"/>
        <v>1</v>
      </c>
      <c r="I195" s="10">
        <f>IFERROR(__xludf.DUMMYFUNCTION("MAX(FILTER($H:$H,$E:$E=F195))"),0.0)</f>
        <v>0</v>
      </c>
    </row>
    <row r="196">
      <c r="C196" s="4" t="s">
        <v>2785</v>
      </c>
      <c r="D196" s="4" t="str">
        <f t="shared" si="1"/>
        <v>{"valorA":"muito","valorB":4}</v>
      </c>
      <c r="E196" s="8" t="str">
        <f t="shared" si="2"/>
        <v>muito</v>
      </c>
      <c r="F196" s="8"/>
      <c r="G196" s="8" t="str">
        <f t="shared" si="3"/>
        <v>4</v>
      </c>
      <c r="H196" s="9">
        <f t="shared" si="4"/>
        <v>4</v>
      </c>
      <c r="I196" s="10">
        <f>IFERROR(__xludf.DUMMYFUNCTION("MAX(FILTER($H:$H,$E:$E=F196))"),0.0)</f>
        <v>0</v>
      </c>
    </row>
    <row r="197">
      <c r="C197" s="4" t="s">
        <v>3161</v>
      </c>
      <c r="D197" s="4" t="str">
        <f t="shared" si="1"/>
        <v>{"valorA":"espera","valorB":1}</v>
      </c>
      <c r="E197" s="8" t="str">
        <f t="shared" si="2"/>
        <v>espera</v>
      </c>
      <c r="F197" s="8"/>
      <c r="G197" s="8" t="str">
        <f t="shared" si="3"/>
        <v>1</v>
      </c>
      <c r="H197" s="9">
        <f t="shared" si="4"/>
        <v>1</v>
      </c>
      <c r="I197" s="10">
        <f>IFERROR(__xludf.DUMMYFUNCTION("MAX(FILTER($H:$H,$E:$E=F197))"),0.0)</f>
        <v>0</v>
      </c>
    </row>
    <row r="198">
      <c r="C198" s="4" t="s">
        <v>2888</v>
      </c>
      <c r="D198" s="4" t="str">
        <f t="shared" si="1"/>
        <v>{"valorA":"a","valorB":5}</v>
      </c>
      <c r="E198" s="8" t="str">
        <f t="shared" si="2"/>
        <v>a</v>
      </c>
      <c r="F198" s="8"/>
      <c r="G198" s="8" t="str">
        <f t="shared" si="3"/>
        <v>5</v>
      </c>
      <c r="H198" s="9">
        <f t="shared" si="4"/>
        <v>5</v>
      </c>
      <c r="I198" s="10">
        <f>IFERROR(__xludf.DUMMYFUNCTION("MAX(FILTER($H:$H,$E:$E=F198))"),0.0)</f>
        <v>0</v>
      </c>
    </row>
    <row r="199">
      <c r="C199" s="4" t="s">
        <v>2786</v>
      </c>
      <c r="D199" s="4" t="str">
        <f t="shared" si="1"/>
        <v>{"valorA":"gostei","valorB":3}</v>
      </c>
      <c r="E199" s="8" t="str">
        <f t="shared" si="2"/>
        <v>gostei</v>
      </c>
      <c r="F199" s="8"/>
      <c r="G199" s="8" t="str">
        <f t="shared" si="3"/>
        <v>3</v>
      </c>
      <c r="H199" s="9">
        <f t="shared" si="4"/>
        <v>3</v>
      </c>
      <c r="I199" s="10">
        <f>IFERROR(__xludf.DUMMYFUNCTION("MAX(FILTER($H:$H,$E:$E=F199))"),0.0)</f>
        <v>0</v>
      </c>
    </row>
    <row r="200">
      <c r="C200" s="4" t="s">
        <v>3371</v>
      </c>
      <c r="D200" s="4" t="str">
        <f t="shared" si="1"/>
        <v>{"valorA":"câmera","valorB":2}</v>
      </c>
      <c r="E200" s="8" t="str">
        <f t="shared" si="2"/>
        <v>câmera</v>
      </c>
      <c r="F200" s="8"/>
      <c r="G200" s="8" t="str">
        <f t="shared" si="3"/>
        <v>2</v>
      </c>
      <c r="H200" s="9">
        <f t="shared" si="4"/>
        <v>2</v>
      </c>
      <c r="I200" s="10">
        <f>IFERROR(__xludf.DUMMYFUNCTION("MAX(FILTER($H:$H,$E:$E=F200))"),0.0)</f>
        <v>0</v>
      </c>
    </row>
    <row r="201">
      <c r="C201" s="4" t="s">
        <v>3093</v>
      </c>
      <c r="D201" s="4" t="str">
        <f t="shared" si="1"/>
        <v>{"valorA":"ótima","valorB":1}</v>
      </c>
      <c r="E201" s="8" t="str">
        <f t="shared" si="2"/>
        <v>ótima</v>
      </c>
      <c r="F201" s="8"/>
      <c r="G201" s="8" t="str">
        <f t="shared" si="3"/>
        <v>1</v>
      </c>
      <c r="H201" s="9">
        <f t="shared" si="4"/>
        <v>1</v>
      </c>
      <c r="I201" s="10">
        <f>IFERROR(__xludf.DUMMYFUNCTION("MAX(FILTER($H:$H,$E:$E=F201))"),0.0)</f>
        <v>0</v>
      </c>
    </row>
    <row r="202">
      <c r="C202" s="4" t="s">
        <v>2776</v>
      </c>
      <c r="D202" s="4" t="str">
        <f t="shared" si="1"/>
        <v>{"valorA":"funciona","valorB":7}</v>
      </c>
      <c r="E202" s="8" t="str">
        <f t="shared" si="2"/>
        <v>funciona</v>
      </c>
      <c r="F202" s="8"/>
      <c r="G202" s="8" t="str">
        <f t="shared" si="3"/>
        <v>7</v>
      </c>
      <c r="H202" s="9">
        <f t="shared" si="4"/>
        <v>7</v>
      </c>
      <c r="I202" s="10">
        <f>IFERROR(__xludf.DUMMYFUNCTION("MAX(FILTER($H:$H,$E:$E=F202))"),0.0)</f>
        <v>0</v>
      </c>
    </row>
    <row r="203">
      <c r="C203" s="4" t="s">
        <v>2792</v>
      </c>
      <c r="D203" s="4" t="str">
        <f t="shared" si="1"/>
        <v>{"valorA":"muito","valorB":5}</v>
      </c>
      <c r="E203" s="8" t="str">
        <f t="shared" si="2"/>
        <v>muito</v>
      </c>
      <c r="F203" s="8"/>
      <c r="G203" s="8" t="str">
        <f t="shared" si="3"/>
        <v>5</v>
      </c>
      <c r="H203" s="9">
        <f t="shared" si="4"/>
        <v>5</v>
      </c>
      <c r="I203" s="10">
        <f>IFERROR(__xludf.DUMMYFUNCTION("MAX(FILTER($H:$H,$E:$E=F203))"),0.0)</f>
        <v>0</v>
      </c>
    </row>
    <row r="204">
      <c r="C204" s="4" t="s">
        <v>2767</v>
      </c>
      <c r="D204" s="4" t="str">
        <f t="shared" si="1"/>
        <v>{"valorA":"é","valorB":3}</v>
      </c>
      <c r="E204" s="8" t="str">
        <f t="shared" si="2"/>
        <v>é</v>
      </c>
      <c r="F204" s="8"/>
      <c r="G204" s="8" t="str">
        <f t="shared" si="3"/>
        <v>3</v>
      </c>
      <c r="H204" s="9">
        <f t="shared" si="4"/>
        <v>3</v>
      </c>
      <c r="I204" s="10">
        <f>IFERROR(__xludf.DUMMYFUNCTION("MAX(FILTER($H:$H,$E:$E=F204))"),0.0)</f>
        <v>0</v>
      </c>
    </row>
    <row r="205">
      <c r="C205" s="4" t="s">
        <v>2902</v>
      </c>
      <c r="D205" s="4" t="str">
        <f t="shared" si="1"/>
        <v>{"valorA":"bem","valorB":5}</v>
      </c>
      <c r="E205" s="8" t="str">
        <f t="shared" si="2"/>
        <v>bem</v>
      </c>
      <c r="F205" s="8"/>
      <c r="G205" s="8" t="str">
        <f t="shared" si="3"/>
        <v>5</v>
      </c>
      <c r="H205" s="9">
        <f t="shared" si="4"/>
        <v>5</v>
      </c>
      <c r="I205" s="10">
        <f>IFERROR(__xludf.DUMMYFUNCTION("MAX(FILTER($H:$H,$E:$E=F205))"),0.0)</f>
        <v>0</v>
      </c>
    </row>
    <row r="206">
      <c r="C206" s="4" t="s">
        <v>3069</v>
      </c>
      <c r="D206" s="4" t="str">
        <f t="shared" si="1"/>
        <v>{"valorA":"de","valorB":8}</v>
      </c>
      <c r="E206" s="8" t="str">
        <f t="shared" si="2"/>
        <v>de</v>
      </c>
      <c r="F206" s="8"/>
      <c r="G206" s="8" t="str">
        <f t="shared" si="3"/>
        <v>8</v>
      </c>
      <c r="H206" s="9">
        <f t="shared" si="4"/>
        <v>8</v>
      </c>
      <c r="I206" s="10">
        <f>IFERROR(__xludf.DUMMYFUNCTION("MAX(FILTER($H:$H,$E:$E=F206))"),0.0)</f>
        <v>0</v>
      </c>
    </row>
    <row r="207">
      <c r="C207" s="4" t="s">
        <v>2739</v>
      </c>
      <c r="D207" s="4" t="str">
        <f t="shared" si="1"/>
        <v>{"valorA":"usar","valorB":3}</v>
      </c>
      <c r="E207" s="8" t="str">
        <f t="shared" si="2"/>
        <v>usar</v>
      </c>
      <c r="F207" s="8"/>
      <c r="G207" s="8" t="str">
        <f t="shared" si="3"/>
        <v>3</v>
      </c>
      <c r="H207" s="9">
        <f t="shared" si="4"/>
        <v>3</v>
      </c>
      <c r="I207" s="10">
        <f>IFERROR(__xludf.DUMMYFUNCTION("MAX(FILTER($H:$H,$E:$E=F207))"),0.0)</f>
        <v>0</v>
      </c>
    </row>
    <row r="208">
      <c r="C208" s="4" t="s">
        <v>2750</v>
      </c>
      <c r="D208" s="4" t="str">
        <f t="shared" si="1"/>
        <v>{"valorA":"e","valorB":6}</v>
      </c>
      <c r="E208" s="8" t="str">
        <f t="shared" si="2"/>
        <v>e</v>
      </c>
      <c r="F208" s="8"/>
      <c r="G208" s="8" t="str">
        <f t="shared" si="3"/>
        <v>6</v>
      </c>
      <c r="H208" s="9">
        <f t="shared" si="4"/>
        <v>6</v>
      </c>
      <c r="I208" s="10">
        <f>IFERROR(__xludf.DUMMYFUNCTION("MAX(FILTER($H:$H,$E:$E=F208))"),0.0)</f>
        <v>0</v>
      </c>
    </row>
    <row r="209">
      <c r="C209" s="4" t="s">
        <v>2741</v>
      </c>
      <c r="D209" s="4" t="str">
        <f t="shared" si="1"/>
        <v>{"valorA":"fácil","valorB":3}</v>
      </c>
      <c r="E209" s="8" t="str">
        <f t="shared" si="2"/>
        <v>fácil</v>
      </c>
      <c r="F209" s="8"/>
      <c r="G209" s="8" t="str">
        <f t="shared" si="3"/>
        <v>3</v>
      </c>
      <c r="H209" s="9">
        <f t="shared" si="4"/>
        <v>3</v>
      </c>
      <c r="I209" s="10">
        <f>IFERROR(__xludf.DUMMYFUNCTION("MAX(FILTER($H:$H,$E:$E=F209))"),0.0)</f>
        <v>0</v>
      </c>
    </row>
    <row r="210">
      <c r="C210" s="4" t="s">
        <v>2791</v>
      </c>
      <c r="D210" s="4" t="str">
        <f t="shared" si="1"/>
        <v>{"valorA":"ótimo","valorB":23}</v>
      </c>
      <c r="E210" s="8" t="str">
        <f t="shared" si="2"/>
        <v>ótimo</v>
      </c>
      <c r="F210" s="8"/>
      <c r="G210" s="8" t="str">
        <f t="shared" si="3"/>
        <v>23</v>
      </c>
      <c r="H210" s="9">
        <f t="shared" si="4"/>
        <v>23</v>
      </c>
      <c r="I210" s="10">
        <f>IFERROR(__xludf.DUMMYFUNCTION("MAX(FILTER($H:$H,$E:$E=F210))"),0.0)</f>
        <v>0</v>
      </c>
    </row>
    <row r="211">
      <c r="C211" s="4" t="s">
        <v>2774</v>
      </c>
      <c r="D211" s="4" t="str">
        <f t="shared" si="1"/>
        <v>{"valorA":"produto","valorB":13}</v>
      </c>
      <c r="E211" s="8" t="str">
        <f t="shared" si="2"/>
        <v>produto</v>
      </c>
      <c r="F211" s="8"/>
      <c r="G211" s="8" t="str">
        <f t="shared" si="3"/>
        <v>13</v>
      </c>
      <c r="H211" s="9">
        <f t="shared" si="4"/>
        <v>13</v>
      </c>
      <c r="I211" s="10">
        <f>IFERROR(__xludf.DUMMYFUNCTION("MAX(FILTER($H:$H,$E:$E=F211))"),0.0)</f>
        <v>0</v>
      </c>
    </row>
    <row r="212">
      <c r="C212" s="4" t="s">
        <v>3120</v>
      </c>
      <c r="D212" s="4" t="str">
        <f t="shared" si="1"/>
        <v>{"valorA":"para","valorB":11}</v>
      </c>
      <c r="E212" s="8" t="str">
        <f t="shared" si="2"/>
        <v>para</v>
      </c>
      <c r="F212" s="8"/>
      <c r="G212" s="8" t="str">
        <f t="shared" si="3"/>
        <v>11</v>
      </c>
      <c r="H212" s="9">
        <f t="shared" si="4"/>
        <v>11</v>
      </c>
      <c r="I212" s="10">
        <f>IFERROR(__xludf.DUMMYFUNCTION("MAX(FILTER($H:$H,$E:$E=F212))"),0.0)</f>
        <v>0</v>
      </c>
    </row>
    <row r="213">
      <c r="C213" s="4" t="s">
        <v>7519</v>
      </c>
      <c r="D213" s="4" t="str">
        <f t="shared" si="1"/>
        <v>{"valorA":"precio","valorB":1}</v>
      </c>
      <c r="E213" s="8" t="str">
        <f t="shared" si="2"/>
        <v>precio</v>
      </c>
      <c r="F213" s="8"/>
      <c r="G213" s="8" t="str">
        <f t="shared" si="3"/>
        <v>1</v>
      </c>
      <c r="H213" s="9">
        <f t="shared" si="4"/>
        <v>1</v>
      </c>
      <c r="I213" s="10">
        <f>IFERROR(__xludf.DUMMYFUNCTION("MAX(FILTER($H:$H,$E:$E=F213))"),0.0)</f>
        <v>0</v>
      </c>
    </row>
    <row r="214">
      <c r="C214" s="4" t="s">
        <v>7520</v>
      </c>
      <c r="D214" s="4" t="str">
        <f t="shared" si="1"/>
        <v>{"valorA":"justo","valorB":1}</v>
      </c>
      <c r="E214" s="8" t="str">
        <f t="shared" si="2"/>
        <v>justo</v>
      </c>
      <c r="F214" s="8"/>
      <c r="G214" s="8" t="str">
        <f t="shared" si="3"/>
        <v>1</v>
      </c>
      <c r="H214" s="9">
        <f t="shared" si="4"/>
        <v>1</v>
      </c>
      <c r="I214" s="10">
        <f>IFERROR(__xludf.DUMMYFUNCTION("MAX(FILTER($H:$H,$E:$E=F214))"),0.0)</f>
        <v>0</v>
      </c>
    </row>
    <row r="215">
      <c r="C215" s="4" t="s">
        <v>2811</v>
      </c>
      <c r="D215" s="4" t="str">
        <f t="shared" si="1"/>
        <v>{"valorA":"muito","valorB":6}</v>
      </c>
      <c r="E215" s="8" t="str">
        <f t="shared" si="2"/>
        <v>muito</v>
      </c>
      <c r="F215" s="8"/>
      <c r="G215" s="8" t="str">
        <f t="shared" si="3"/>
        <v>6</v>
      </c>
      <c r="H215" s="9">
        <f t="shared" si="4"/>
        <v>6</v>
      </c>
      <c r="I215" s="10">
        <f>IFERROR(__xludf.DUMMYFUNCTION("MAX(FILTER($H:$H,$E:$E=F215))"),0.0)</f>
        <v>0</v>
      </c>
    </row>
    <row r="216">
      <c r="C216" s="4" t="s">
        <v>3218</v>
      </c>
      <c r="D216" s="4" t="str">
        <f t="shared" si="1"/>
        <v>{"valorA":"todos","valorB":2}</v>
      </c>
      <c r="E216" s="8" t="str">
        <f t="shared" si="2"/>
        <v>todos</v>
      </c>
      <c r="F216" s="8"/>
      <c r="G216" s="8" t="str">
        <f t="shared" si="3"/>
        <v>2</v>
      </c>
      <c r="H216" s="9">
        <f t="shared" si="4"/>
        <v>2</v>
      </c>
      <c r="I216" s="10">
        <f>IFERROR(__xludf.DUMMYFUNCTION("MAX(FILTER($H:$H,$E:$E=F216))"),0.0)</f>
        <v>0</v>
      </c>
    </row>
    <row r="217">
      <c r="C217" s="4" t="s">
        <v>3048</v>
      </c>
      <c r="D217" s="4" t="str">
        <f t="shared" si="1"/>
        <v>{"valorA":"recomendo","valorB":2}</v>
      </c>
      <c r="E217" s="8" t="str">
        <f t="shared" si="2"/>
        <v>recomendo</v>
      </c>
      <c r="F217" s="8"/>
      <c r="G217" s="8" t="str">
        <f t="shared" si="3"/>
        <v>2</v>
      </c>
      <c r="H217" s="9">
        <f t="shared" si="4"/>
        <v>2</v>
      </c>
      <c r="I217" s="10">
        <f>IFERROR(__xludf.DUMMYFUNCTION("MAX(FILTER($H:$H,$E:$E=F217))"),0.0)</f>
        <v>0</v>
      </c>
    </row>
    <row r="218">
      <c r="C218" s="4" t="s">
        <v>7521</v>
      </c>
      <c r="D218" s="4" t="str">
        <f t="shared" si="1"/>
        <v>{"valorA":"preçoqualidade","valorB":2}</v>
      </c>
      <c r="E218" s="8" t="str">
        <f t="shared" si="2"/>
        <v>preçoqualidade</v>
      </c>
      <c r="F218" s="8"/>
      <c r="G218" s="8" t="str">
        <f t="shared" si="3"/>
        <v>2</v>
      </c>
      <c r="H218" s="9">
        <f t="shared" si="4"/>
        <v>2</v>
      </c>
      <c r="I218" s="10">
        <f>IFERROR(__xludf.DUMMYFUNCTION("MAX(FILTER($H:$H,$E:$E=F218))"),0.0)</f>
        <v>0</v>
      </c>
    </row>
    <row r="219">
      <c r="C219" s="4" t="s">
        <v>2843</v>
      </c>
      <c r="D219" s="4" t="str">
        <f t="shared" si="1"/>
        <v>{"valorA":"desse","valorB":2}</v>
      </c>
      <c r="E219" s="8" t="str">
        <f t="shared" si="2"/>
        <v>desse</v>
      </c>
      <c r="F219" s="8"/>
      <c r="G219" s="8" t="str">
        <f t="shared" si="3"/>
        <v>2</v>
      </c>
      <c r="H219" s="9">
        <f t="shared" si="4"/>
        <v>2</v>
      </c>
      <c r="I219" s="10">
        <f>IFERROR(__xludf.DUMMYFUNCTION("MAX(FILTER($H:$H,$E:$E=F219))"),0.0)</f>
        <v>0</v>
      </c>
    </row>
    <row r="220">
      <c r="C220" s="4" t="s">
        <v>2798</v>
      </c>
      <c r="D220" s="4" t="str">
        <f t="shared" si="1"/>
        <v>{"valorA":"ótimo","valorB":24}</v>
      </c>
      <c r="E220" s="8" t="str">
        <f t="shared" si="2"/>
        <v>ótimo</v>
      </c>
      <c r="F220" s="8"/>
      <c r="G220" s="8" t="str">
        <f t="shared" si="3"/>
        <v>24</v>
      </c>
      <c r="H220" s="9">
        <f t="shared" si="4"/>
        <v>24</v>
      </c>
      <c r="I220" s="10">
        <f>IFERROR(__xludf.DUMMYFUNCTION("MAX(FILTER($H:$H,$E:$E=F220))"),0.0)</f>
        <v>0</v>
      </c>
    </row>
    <row r="221">
      <c r="C221" s="4" t="s">
        <v>2835</v>
      </c>
      <c r="D221" s="4" t="str">
        <f t="shared" si="1"/>
        <v>{"valorA":"muito","valorB":7}</v>
      </c>
      <c r="E221" s="8" t="str">
        <f t="shared" si="2"/>
        <v>muito</v>
      </c>
      <c r="F221" s="8"/>
      <c r="G221" s="8" t="str">
        <f t="shared" si="3"/>
        <v>7</v>
      </c>
      <c r="H221" s="9">
        <f t="shared" si="4"/>
        <v>7</v>
      </c>
      <c r="I221" s="10">
        <f>IFERROR(__xludf.DUMMYFUNCTION("MAX(FILTER($H:$H,$E:$E=F221))"),0.0)</f>
        <v>0</v>
      </c>
    </row>
    <row r="222">
      <c r="C222" s="4" t="s">
        <v>3072</v>
      </c>
      <c r="D222" s="4" t="str">
        <f t="shared" si="1"/>
        <v>{"valorA":"de","valorB":9}</v>
      </c>
      <c r="E222" s="8" t="str">
        <f t="shared" si="2"/>
        <v>de</v>
      </c>
      <c r="F222" s="8"/>
      <c r="G222" s="8" t="str">
        <f t="shared" si="3"/>
        <v>9</v>
      </c>
      <c r="H222" s="9">
        <f t="shared" si="4"/>
        <v>9</v>
      </c>
      <c r="I222" s="10">
        <f>IFERROR(__xludf.DUMMYFUNCTION("MAX(FILTER($H:$H,$E:$E=F222))"),0.0)</f>
        <v>0</v>
      </c>
    </row>
    <row r="223">
      <c r="C223" s="4" t="s">
        <v>3114</v>
      </c>
      <c r="D223" s="4" t="str">
        <f t="shared" si="1"/>
        <v>{"valorA":"bem","valorB":6}</v>
      </c>
      <c r="E223" s="8" t="str">
        <f t="shared" si="2"/>
        <v>bem</v>
      </c>
      <c r="F223" s="8"/>
      <c r="G223" s="8" t="str">
        <f t="shared" si="3"/>
        <v>6</v>
      </c>
      <c r="H223" s="9">
        <f t="shared" si="4"/>
        <v>6</v>
      </c>
      <c r="I223" s="10">
        <f>IFERROR(__xludf.DUMMYFUNCTION("MAX(FILTER($H:$H,$E:$E=F223))"),0.0)</f>
        <v>0</v>
      </c>
    </row>
    <row r="224">
      <c r="C224" s="4" t="s">
        <v>2198</v>
      </c>
      <c r="D224" s="4" t="str">
        <f t="shared" si="1"/>
        <v>{"valorA":"computador","valorB":2}</v>
      </c>
      <c r="E224" s="8" t="str">
        <f t="shared" si="2"/>
        <v>computador</v>
      </c>
      <c r="F224" s="8"/>
      <c r="G224" s="8" t="str">
        <f t="shared" si="3"/>
        <v>2</v>
      </c>
      <c r="H224" s="9">
        <f t="shared" si="4"/>
        <v>2</v>
      </c>
      <c r="I224" s="10">
        <f>IFERROR(__xludf.DUMMYFUNCTION("MAX(FILTER($H:$H,$E:$E=F224))"),0.0)</f>
        <v>0</v>
      </c>
    </row>
    <row r="225">
      <c r="C225" s="4" t="s">
        <v>2816</v>
      </c>
      <c r="D225" s="4" t="str">
        <f t="shared" si="1"/>
        <v>{"valorA":"funciona","valorB":8}</v>
      </c>
      <c r="E225" s="8" t="str">
        <f t="shared" si="2"/>
        <v>funciona</v>
      </c>
      <c r="F225" s="8"/>
      <c r="G225" s="8" t="str">
        <f t="shared" si="3"/>
        <v>8</v>
      </c>
      <c r="H225" s="9">
        <f t="shared" si="4"/>
        <v>8</v>
      </c>
      <c r="I225" s="10">
        <f>IFERROR(__xludf.DUMMYFUNCTION("MAX(FILTER($H:$H,$E:$E=F225))"),0.0)</f>
        <v>0</v>
      </c>
    </row>
    <row r="226">
      <c r="C226" s="4" t="s">
        <v>7522</v>
      </c>
      <c r="D226" s="4" t="str">
        <f t="shared" si="1"/>
        <v>{"valorA":"monitor","valorB":3}</v>
      </c>
      <c r="E226" s="8" t="str">
        <f t="shared" si="2"/>
        <v>monitor</v>
      </c>
      <c r="F226" s="8"/>
      <c r="G226" s="8" t="str">
        <f t="shared" si="3"/>
        <v>3</v>
      </c>
      <c r="H226" s="9">
        <f t="shared" si="4"/>
        <v>3</v>
      </c>
      <c r="I226" s="10">
        <f>IFERROR(__xludf.DUMMYFUNCTION("MAX(FILTER($H:$H,$E:$E=F226))"),0.0)</f>
        <v>0</v>
      </c>
    </row>
    <row r="227">
      <c r="C227" s="4" t="s">
        <v>7523</v>
      </c>
      <c r="D227" s="4" t="str">
        <f t="shared" si="1"/>
        <v>{"valorA":"positive","valorB":1}</v>
      </c>
      <c r="E227" s="8" t="str">
        <f t="shared" si="2"/>
        <v>positive</v>
      </c>
      <c r="F227" s="8"/>
      <c r="G227" s="8" t="str">
        <f t="shared" si="3"/>
        <v>1</v>
      </c>
      <c r="H227" s="9">
        <f t="shared" si="4"/>
        <v>1</v>
      </c>
      <c r="I227" s="10">
        <f>IFERROR(__xludf.DUMMYFUNCTION("MAX(FILTER($H:$H,$E:$E=F227))"),0.0)</f>
        <v>0</v>
      </c>
    </row>
    <row r="228">
      <c r="C228" s="4" t="s">
        <v>3171</v>
      </c>
      <c r="D228" s="4" t="str">
        <f t="shared" si="1"/>
        <v>{"valorA":"comments","valorB":1}</v>
      </c>
      <c r="E228" s="8" t="str">
        <f t="shared" si="2"/>
        <v>comments</v>
      </c>
      <c r="F228" s="8"/>
      <c r="G228" s="8" t="str">
        <f t="shared" si="3"/>
        <v>1</v>
      </c>
      <c r="H228" s="9">
        <f t="shared" si="4"/>
        <v>1</v>
      </c>
      <c r="I228" s="10">
        <f>IFERROR(__xludf.DUMMYFUNCTION("MAX(FILTER($H:$H,$E:$E=F228))"),0.0)</f>
        <v>0</v>
      </c>
    </row>
    <row r="229">
      <c r="C229" s="4" t="s">
        <v>2793</v>
      </c>
      <c r="D229" s="4" t="str">
        <f t="shared" si="1"/>
        <v>{"valorA":"produto","valorB":14}</v>
      </c>
      <c r="E229" s="8" t="str">
        <f t="shared" si="2"/>
        <v>produto</v>
      </c>
      <c r="F229" s="8"/>
      <c r="G229" s="8" t="str">
        <f t="shared" si="3"/>
        <v>14</v>
      </c>
      <c r="H229" s="9">
        <f t="shared" si="4"/>
        <v>14</v>
      </c>
      <c r="I229" s="10">
        <f>IFERROR(__xludf.DUMMYFUNCTION("MAX(FILTER($H:$H,$E:$E=F229))"),0.0)</f>
        <v>0</v>
      </c>
    </row>
    <row r="230">
      <c r="C230" s="4" t="s">
        <v>2806</v>
      </c>
      <c r="D230" s="4" t="str">
        <f t="shared" si="1"/>
        <v>{"valorA":"ótimo","valorB":25}</v>
      </c>
      <c r="E230" s="8" t="str">
        <f t="shared" si="2"/>
        <v>ótimo</v>
      </c>
      <c r="F230" s="8"/>
      <c r="G230" s="8" t="str">
        <f t="shared" si="3"/>
        <v>25</v>
      </c>
      <c r="H230" s="9">
        <f t="shared" si="4"/>
        <v>25</v>
      </c>
      <c r="I230" s="10">
        <f>IFERROR(__xludf.DUMMYFUNCTION("MAX(FILTER($H:$H,$E:$E=F230))"),0.0)</f>
        <v>0</v>
      </c>
    </row>
    <row r="231">
      <c r="C231" s="4" t="s">
        <v>3174</v>
      </c>
      <c r="D231" s="4" t="str">
        <f t="shared" si="1"/>
        <v>{"valorA":"para","valorB":12}</v>
      </c>
      <c r="E231" s="8" t="str">
        <f t="shared" si="2"/>
        <v>para</v>
      </c>
      <c r="F231" s="8"/>
      <c r="G231" s="8" t="str">
        <f t="shared" si="3"/>
        <v>12</v>
      </c>
      <c r="H231" s="9">
        <f t="shared" si="4"/>
        <v>12</v>
      </c>
      <c r="I231" s="10">
        <f>IFERROR(__xludf.DUMMYFUNCTION("MAX(FILTER($H:$H,$E:$E=F231))"),0.0)</f>
        <v>0</v>
      </c>
    </row>
    <row r="232">
      <c r="C232" s="4" t="s">
        <v>3117</v>
      </c>
      <c r="D232" s="4" t="str">
        <f t="shared" si="1"/>
        <v>{"valorA":"preço","valorB":9}</v>
      </c>
      <c r="E232" s="8" t="str">
        <f t="shared" si="2"/>
        <v>preço</v>
      </c>
      <c r="F232" s="8"/>
      <c r="G232" s="8" t="str">
        <f t="shared" si="3"/>
        <v>9</v>
      </c>
      <c r="H232" s="9">
        <f t="shared" si="4"/>
        <v>9</v>
      </c>
      <c r="I232" s="10">
        <f>IFERROR(__xludf.DUMMYFUNCTION("MAX(FILTER($H:$H,$E:$E=F232))"),0.0)</f>
        <v>0</v>
      </c>
    </row>
    <row r="233">
      <c r="C233" s="4" t="s">
        <v>2898</v>
      </c>
      <c r="D233" s="4" t="str">
        <f t="shared" si="1"/>
        <v>{"valorA":"o","valorB":6}</v>
      </c>
      <c r="E233" s="8" t="str">
        <f t="shared" si="2"/>
        <v>o</v>
      </c>
      <c r="F233" s="8"/>
      <c r="G233" s="8" t="str">
        <f t="shared" si="3"/>
        <v>6</v>
      </c>
      <c r="H233" s="9">
        <f t="shared" si="4"/>
        <v>6</v>
      </c>
      <c r="I233" s="10">
        <f>IFERROR(__xludf.DUMMYFUNCTION("MAX(FILTER($H:$H,$E:$E=F233))"),0.0)</f>
        <v>0</v>
      </c>
    </row>
    <row r="234">
      <c r="C234" s="4" t="s">
        <v>2885</v>
      </c>
      <c r="D234" s="4" t="str">
        <f t="shared" si="1"/>
        <v>{"valorA":"paguei","valorB":2}</v>
      </c>
      <c r="E234" s="8" t="str">
        <f t="shared" si="2"/>
        <v>paguei</v>
      </c>
      <c r="F234" s="8"/>
      <c r="G234" s="8" t="str">
        <f t="shared" si="3"/>
        <v>2</v>
      </c>
      <c r="H234" s="9">
        <f t="shared" si="4"/>
        <v>2</v>
      </c>
      <c r="I234" s="10">
        <f>IFERROR(__xludf.DUMMYFUNCTION("MAX(FILTER($H:$H,$E:$E=F234))"),0.0)</f>
        <v>0</v>
      </c>
    </row>
    <row r="235">
      <c r="C235" s="4" t="s">
        <v>2708</v>
      </c>
      <c r="D235" s="4" t="str">
        <f t="shared" si="1"/>
        <v>{"valorA":"que","valorB":3}</v>
      </c>
      <c r="E235" s="8" t="str">
        <f t="shared" si="2"/>
        <v>que</v>
      </c>
      <c r="F235" s="8"/>
      <c r="G235" s="8" t="str">
        <f t="shared" si="3"/>
        <v>3</v>
      </c>
      <c r="H235" s="9">
        <f t="shared" si="4"/>
        <v>3</v>
      </c>
      <c r="I235" s="10">
        <f>IFERROR(__xludf.DUMMYFUNCTION("MAX(FILTER($H:$H,$E:$E=F235))"),0.0)</f>
        <v>0</v>
      </c>
    </row>
    <row r="236">
      <c r="C236" s="4" t="s">
        <v>3116</v>
      </c>
      <c r="D236" s="4" t="str">
        <f t="shared" si="1"/>
        <v>{"valorA":"bem","valorB":7}</v>
      </c>
      <c r="E236" s="8" t="str">
        <f t="shared" si="2"/>
        <v>bem</v>
      </c>
      <c r="F236" s="8"/>
      <c r="G236" s="8" t="str">
        <f t="shared" si="3"/>
        <v>7</v>
      </c>
      <c r="H236" s="9">
        <f t="shared" si="4"/>
        <v>7</v>
      </c>
      <c r="I236" s="10">
        <f>IFERROR(__xludf.DUMMYFUNCTION("MAX(FILTER($H:$H,$E:$E=F236))"),0.0)</f>
        <v>0</v>
      </c>
    </row>
    <row r="237">
      <c r="C237" s="4" t="s">
        <v>2877</v>
      </c>
      <c r="D237" s="4" t="str">
        <f t="shared" si="1"/>
        <v>{"valorA":"funciona","valorB":9}</v>
      </c>
      <c r="E237" s="8" t="str">
        <f t="shared" si="2"/>
        <v>funciona</v>
      </c>
      <c r="F237" s="8"/>
      <c r="G237" s="8" t="str">
        <f t="shared" si="3"/>
        <v>9</v>
      </c>
      <c r="H237" s="9">
        <f t="shared" si="4"/>
        <v>9</v>
      </c>
      <c r="I237" s="10">
        <f>IFERROR(__xludf.DUMMYFUNCTION("MAX(FILTER($H:$H,$E:$E=F237))"),0.0)</f>
        <v>0</v>
      </c>
    </row>
    <row r="238">
      <c r="C238" s="4" t="s">
        <v>2796</v>
      </c>
      <c r="D238" s="4" t="str">
        <f t="shared" si="1"/>
        <v>{"valorA":"produto","valorB":15}</v>
      </c>
      <c r="E238" s="8" t="str">
        <f t="shared" si="2"/>
        <v>produto</v>
      </c>
      <c r="F238" s="8"/>
      <c r="G238" s="8" t="str">
        <f t="shared" si="3"/>
        <v>15</v>
      </c>
      <c r="H238" s="9">
        <f t="shared" si="4"/>
        <v>15</v>
      </c>
      <c r="I238" s="10">
        <f>IFERROR(__xludf.DUMMYFUNCTION("MAX(FILTER($H:$H,$E:$E=F238))"),0.0)</f>
        <v>0</v>
      </c>
    </row>
    <row r="239">
      <c r="C239" s="4" t="s">
        <v>2809</v>
      </c>
      <c r="D239" s="4" t="str">
        <f t="shared" si="1"/>
        <v>{"valorA":"ótimo","valorB":26}</v>
      </c>
      <c r="E239" s="8" t="str">
        <f t="shared" si="2"/>
        <v>ótimo</v>
      </c>
      <c r="F239" s="8"/>
      <c r="G239" s="8" t="str">
        <f t="shared" si="3"/>
        <v>26</v>
      </c>
      <c r="H239" s="9">
        <f t="shared" si="4"/>
        <v>26</v>
      </c>
      <c r="I239" s="10">
        <f>IFERROR(__xludf.DUMMYFUNCTION("MAX(FILTER($H:$H,$E:$E=F239))"),0.0)</f>
        <v>0</v>
      </c>
    </row>
    <row r="240">
      <c r="C240" s="4" t="s">
        <v>3185</v>
      </c>
      <c r="D240" s="4" t="str">
        <f t="shared" si="1"/>
        <v>{"valorA":"para","valorB":13}</v>
      </c>
      <c r="E240" s="8" t="str">
        <f t="shared" si="2"/>
        <v>para</v>
      </c>
      <c r="F240" s="8"/>
      <c r="G240" s="8" t="str">
        <f t="shared" si="3"/>
        <v>13</v>
      </c>
      <c r="H240" s="9">
        <f t="shared" si="4"/>
        <v>13</v>
      </c>
      <c r="I240" s="10">
        <f>IFERROR(__xludf.DUMMYFUNCTION("MAX(FILTER($H:$H,$E:$E=F240))"),0.0)</f>
        <v>0</v>
      </c>
    </row>
    <row r="241">
      <c r="C241" s="4" t="s">
        <v>3076</v>
      </c>
      <c r="D241" s="4" t="str">
        <f t="shared" si="1"/>
        <v>{"valorA":"de","valorB":10}</v>
      </c>
      <c r="E241" s="8" t="str">
        <f t="shared" si="2"/>
        <v>de</v>
      </c>
      <c r="F241" s="8"/>
      <c r="G241" s="8" t="str">
        <f t="shared" si="3"/>
        <v>10</v>
      </c>
      <c r="H241" s="9">
        <f t="shared" si="4"/>
        <v>10</v>
      </c>
      <c r="I241" s="10">
        <f>IFERROR(__xludf.DUMMYFUNCTION("MAX(FILTER($H:$H,$E:$E=F241))"),0.0)</f>
        <v>0</v>
      </c>
    </row>
    <row r="242">
      <c r="C242" s="4" t="s">
        <v>3373</v>
      </c>
      <c r="D242" s="4" t="str">
        <f t="shared" si="1"/>
        <v>{"valorA":"uma","valorB":2}</v>
      </c>
      <c r="E242" s="8" t="str">
        <f t="shared" si="2"/>
        <v>uma</v>
      </c>
      <c r="F242" s="8"/>
      <c r="G242" s="8" t="str">
        <f t="shared" si="3"/>
        <v>2</v>
      </c>
      <c r="H242" s="9">
        <f t="shared" si="4"/>
        <v>2</v>
      </c>
      <c r="I242" s="10">
        <f>IFERROR(__xludf.DUMMYFUNCTION("MAX(FILTER($H:$H,$E:$E=F242))"),0.0)</f>
        <v>0</v>
      </c>
    </row>
    <row r="243">
      <c r="C243" s="4" t="s">
        <v>3127</v>
      </c>
      <c r="D243" s="4" t="str">
        <f t="shared" si="1"/>
        <v>{"valorA":"qualidade","valorB":3}</v>
      </c>
      <c r="E243" s="8" t="str">
        <f t="shared" si="2"/>
        <v>qualidade</v>
      </c>
      <c r="F243" s="8"/>
      <c r="G243" s="8" t="str">
        <f t="shared" si="3"/>
        <v>3</v>
      </c>
      <c r="H243" s="9">
        <f t="shared" si="4"/>
        <v>3</v>
      </c>
      <c r="I243" s="10">
        <f>IFERROR(__xludf.DUMMYFUNCTION("MAX(FILTER($H:$H,$E:$E=F243))"),0.0)</f>
        <v>0</v>
      </c>
    </row>
    <row r="244">
      <c r="C244" s="4" t="s">
        <v>3743</v>
      </c>
      <c r="D244" s="4" t="str">
        <f t="shared" si="1"/>
        <v>{"valorA":"câmera","valorB":3}</v>
      </c>
      <c r="E244" s="8" t="str">
        <f t="shared" si="2"/>
        <v>câmera</v>
      </c>
      <c r="F244" s="8"/>
      <c r="G244" s="8" t="str">
        <f t="shared" si="3"/>
        <v>3</v>
      </c>
      <c r="H244" s="9">
        <f t="shared" si="4"/>
        <v>3</v>
      </c>
      <c r="I244" s="10">
        <f>IFERROR(__xludf.DUMMYFUNCTION("MAX(FILTER($H:$H,$E:$E=F244))"),0.0)</f>
        <v>0</v>
      </c>
    </row>
    <row r="245">
      <c r="C245" s="4" t="s">
        <v>3176</v>
      </c>
      <c r="D245" s="4" t="str">
        <f t="shared" si="1"/>
        <v>{"valorA":"busca","valorB":2}</v>
      </c>
      <c r="E245" s="8" t="str">
        <f t="shared" si="2"/>
        <v>busca</v>
      </c>
      <c r="F245" s="8"/>
      <c r="G245" s="8" t="str">
        <f t="shared" si="3"/>
        <v>2</v>
      </c>
      <c r="H245" s="9">
        <f t="shared" si="4"/>
        <v>2</v>
      </c>
      <c r="I245" s="10">
        <f>IFERROR(__xludf.DUMMYFUNCTION("MAX(FILTER($H:$H,$E:$E=F245))"),0.0)</f>
        <v>0</v>
      </c>
    </row>
    <row r="246">
      <c r="C246" s="4" t="s">
        <v>3181</v>
      </c>
      <c r="D246" s="4" t="str">
        <f t="shared" si="1"/>
        <v>{"valorA":"quem","valorB":3}</v>
      </c>
      <c r="E246" s="8" t="str">
        <f t="shared" si="2"/>
        <v>quem</v>
      </c>
      <c r="F246" s="8"/>
      <c r="G246" s="8" t="str">
        <f t="shared" si="3"/>
        <v>3</v>
      </c>
      <c r="H246" s="9">
        <f t="shared" si="4"/>
        <v>3</v>
      </c>
      <c r="I246" s="10">
        <f>IFERROR(__xludf.DUMMYFUNCTION("MAX(FILTER($H:$H,$E:$E=F246))"),0.0)</f>
        <v>0</v>
      </c>
    </row>
    <row r="247">
      <c r="C247" s="4" t="s">
        <v>3067</v>
      </c>
      <c r="D247" s="4" t="str">
        <f t="shared" si="1"/>
        <v>{"valorA":"rápido","valorB":1}</v>
      </c>
      <c r="E247" s="8" t="str">
        <f t="shared" si="2"/>
        <v>rápido</v>
      </c>
      <c r="F247" s="8"/>
      <c r="G247" s="8" t="str">
        <f t="shared" si="3"/>
        <v>1</v>
      </c>
      <c r="H247" s="9">
        <f t="shared" si="4"/>
        <v>1</v>
      </c>
      <c r="I247" s="10">
        <f>IFERROR(__xludf.DUMMYFUNCTION("MAX(FILTER($H:$H,$E:$E=F247))"),0.0)</f>
        <v>0</v>
      </c>
    </row>
    <row r="248">
      <c r="C248" s="4" t="s">
        <v>2818</v>
      </c>
      <c r="D248" s="4" t="str">
        <f t="shared" si="1"/>
        <v>{"valorA":"ótimo","valorB":27}</v>
      </c>
      <c r="E248" s="8" t="str">
        <f t="shared" si="2"/>
        <v>ótimo</v>
      </c>
      <c r="F248" s="8"/>
      <c r="G248" s="8" t="str">
        <f t="shared" si="3"/>
        <v>27</v>
      </c>
      <c r="H248" s="9">
        <f t="shared" si="4"/>
        <v>27</v>
      </c>
      <c r="I248" s="10">
        <f>IFERROR(__xludf.DUMMYFUNCTION("MAX(FILTER($H:$H,$E:$E=F248))"),0.0)</f>
        <v>0</v>
      </c>
    </row>
    <row r="249">
      <c r="C249" s="4" t="s">
        <v>3026</v>
      </c>
      <c r="D249" s="4" t="str">
        <f t="shared" si="1"/>
        <v>{"valorA":"laptop","valorB":1}</v>
      </c>
      <c r="E249" s="8" t="str">
        <f t="shared" si="2"/>
        <v>laptop</v>
      </c>
      <c r="F249" s="8"/>
      <c r="G249" s="8" t="str">
        <f t="shared" si="3"/>
        <v>1</v>
      </c>
      <c r="H249" s="9">
        <f t="shared" si="4"/>
        <v>1</v>
      </c>
      <c r="I249" s="10">
        <f>IFERROR(__xludf.DUMMYFUNCTION("MAX(FILTER($H:$H,$E:$E=F249))"),0.0)</f>
        <v>0</v>
      </c>
    </row>
    <row r="250">
      <c r="C250" s="4" t="s">
        <v>3081</v>
      </c>
      <c r="D250" s="4" t="str">
        <f t="shared" si="1"/>
        <v>{"valorA":"de","valorB":11}</v>
      </c>
      <c r="E250" s="8" t="str">
        <f t="shared" si="2"/>
        <v>de</v>
      </c>
      <c r="F250" s="8"/>
      <c r="G250" s="8" t="str">
        <f t="shared" si="3"/>
        <v>11</v>
      </c>
      <c r="H250" s="9">
        <f t="shared" si="4"/>
        <v>11</v>
      </c>
      <c r="I250" s="10">
        <f>IFERROR(__xludf.DUMMYFUNCTION("MAX(FILTER($H:$H,$E:$E=F250))"),0.0)</f>
        <v>0</v>
      </c>
    </row>
    <row r="251">
      <c r="C251" s="4" t="s">
        <v>2770</v>
      </c>
      <c r="D251" s="4" t="str">
        <f t="shared" si="1"/>
        <v>{"valorA":"e","valorB":7}</v>
      </c>
      <c r="E251" s="8" t="str">
        <f t="shared" si="2"/>
        <v>e</v>
      </c>
      <c r="F251" s="8"/>
      <c r="G251" s="8" t="str">
        <f t="shared" si="3"/>
        <v>7</v>
      </c>
      <c r="H251" s="9">
        <f t="shared" si="4"/>
        <v>7</v>
      </c>
      <c r="I251" s="10">
        <f>IFERROR(__xludf.DUMMYFUNCTION("MAX(FILTER($H:$H,$E:$E=F251))"),0.0)</f>
        <v>0</v>
      </c>
    </row>
    <row r="252">
      <c r="C252" s="4" t="s">
        <v>3051</v>
      </c>
      <c r="D252" s="4" t="str">
        <f t="shared" si="1"/>
        <v>{"valorA":"fácil","valorB":4}</v>
      </c>
      <c r="E252" s="8" t="str">
        <f t="shared" si="2"/>
        <v>fácil</v>
      </c>
      <c r="F252" s="8"/>
      <c r="G252" s="8" t="str">
        <f t="shared" si="3"/>
        <v>4</v>
      </c>
      <c r="H252" s="9">
        <f t="shared" si="4"/>
        <v>4</v>
      </c>
      <c r="I252" s="10">
        <f>IFERROR(__xludf.DUMMYFUNCTION("MAX(FILTER($H:$H,$E:$E=F252))"),0.0)</f>
        <v>0</v>
      </c>
    </row>
    <row r="253">
      <c r="C253" s="4" t="s">
        <v>3052</v>
      </c>
      <c r="D253" s="4" t="str">
        <f t="shared" si="1"/>
        <v>{"valorA":"usar","valorB":4}</v>
      </c>
      <c r="E253" s="8" t="str">
        <f t="shared" si="2"/>
        <v>usar</v>
      </c>
      <c r="F253" s="8"/>
      <c r="G253" s="8" t="str">
        <f t="shared" si="3"/>
        <v>4</v>
      </c>
      <c r="H253" s="9">
        <f t="shared" si="4"/>
        <v>4</v>
      </c>
      <c r="I253" s="10">
        <f>IFERROR(__xludf.DUMMYFUNCTION("MAX(FILTER($H:$H,$E:$E=F253))"),0.0)</f>
        <v>0</v>
      </c>
    </row>
    <row r="254">
      <c r="C254" s="4" t="s">
        <v>3110</v>
      </c>
      <c r="D254" s="4" t="str">
        <f t="shared" si="1"/>
        <v>{"valorA":"de","valorB":12}</v>
      </c>
      <c r="E254" s="8" t="str">
        <f t="shared" si="2"/>
        <v>de</v>
      </c>
      <c r="F254" s="8"/>
      <c r="G254" s="8" t="str">
        <f t="shared" si="3"/>
        <v>12</v>
      </c>
      <c r="H254" s="9">
        <f t="shared" si="4"/>
        <v>12</v>
      </c>
      <c r="I254" s="10">
        <f>IFERROR(__xludf.DUMMYFUNCTION("MAX(FILTER($H:$H,$E:$E=F254))"),0.0)</f>
        <v>0</v>
      </c>
    </row>
    <row r="255">
      <c r="C255" s="4" t="s">
        <v>3193</v>
      </c>
      <c r="D255" s="4" t="str">
        <f t="shared" si="1"/>
        <v>{"valorA":"para","valorB":14}</v>
      </c>
      <c r="E255" s="8" t="str">
        <f t="shared" si="2"/>
        <v>para</v>
      </c>
      <c r="F255" s="8"/>
      <c r="G255" s="8" t="str">
        <f t="shared" si="3"/>
        <v>14</v>
      </c>
      <c r="H255" s="9">
        <f t="shared" si="4"/>
        <v>14</v>
      </c>
      <c r="I255" s="10">
        <f>IFERROR(__xludf.DUMMYFUNCTION("MAX(FILTER($H:$H,$E:$E=F255))"),0.0)</f>
        <v>0</v>
      </c>
    </row>
    <row r="256">
      <c r="C256" s="4" t="s">
        <v>2801</v>
      </c>
      <c r="D256" s="4" t="str">
        <f t="shared" si="1"/>
        <v>{"valorA":"produto","valorB":16}</v>
      </c>
      <c r="E256" s="8" t="str">
        <f t="shared" si="2"/>
        <v>produto</v>
      </c>
      <c r="F256" s="8"/>
      <c r="G256" s="8" t="str">
        <f t="shared" si="3"/>
        <v>16</v>
      </c>
      <c r="H256" s="9">
        <f t="shared" si="4"/>
        <v>16</v>
      </c>
      <c r="I256" s="10">
        <f>IFERROR(__xludf.DUMMYFUNCTION("MAX(FILTER($H:$H,$E:$E=F256))"),0.0)</f>
        <v>0</v>
      </c>
    </row>
    <row r="257">
      <c r="C257" s="4" t="s">
        <v>3192</v>
      </c>
      <c r="D257" s="4" t="str">
        <f t="shared" si="1"/>
        <v>{"valorA":"quem","valorB":4}</v>
      </c>
      <c r="E257" s="8" t="str">
        <f t="shared" si="2"/>
        <v>quem</v>
      </c>
      <c r="F257" s="8"/>
      <c r="G257" s="8" t="str">
        <f t="shared" si="3"/>
        <v>4</v>
      </c>
      <c r="H257" s="9">
        <f t="shared" si="4"/>
        <v>4</v>
      </c>
      <c r="I257" s="10">
        <f>IFERROR(__xludf.DUMMYFUNCTION("MAX(FILTER($H:$H,$E:$E=F257))"),0.0)</f>
        <v>0</v>
      </c>
    </row>
    <row r="258">
      <c r="C258" s="4" t="s">
        <v>3752</v>
      </c>
      <c r="D258" s="4" t="str">
        <f t="shared" si="1"/>
        <v>{"valorA":"funcional","valorB":1}</v>
      </c>
      <c r="E258" s="8" t="str">
        <f t="shared" si="2"/>
        <v>funcional</v>
      </c>
      <c r="F258" s="8"/>
      <c r="G258" s="8" t="str">
        <f t="shared" si="3"/>
        <v>1</v>
      </c>
      <c r="H258" s="9">
        <f t="shared" si="4"/>
        <v>1</v>
      </c>
      <c r="I258" s="10">
        <f>IFERROR(__xludf.DUMMYFUNCTION("MAX(FILTER($H:$H,$E:$E=F258))"),0.0)</f>
        <v>0</v>
      </c>
    </row>
    <row r="259">
      <c r="C259" s="4" t="s">
        <v>7524</v>
      </c>
      <c r="D259" s="4" t="str">
        <f t="shared" si="1"/>
        <v>{"valorA":"procurar","valorB":1}</v>
      </c>
      <c r="E259" s="8" t="str">
        <f t="shared" si="2"/>
        <v>procurar</v>
      </c>
      <c r="F259" s="8"/>
      <c r="G259" s="8" t="str">
        <f t="shared" si="3"/>
        <v>1</v>
      </c>
      <c r="H259" s="9">
        <f t="shared" si="4"/>
        <v>1</v>
      </c>
      <c r="I259" s="10">
        <f>IFERROR(__xludf.DUMMYFUNCTION("MAX(FILTER($H:$H,$E:$E=F259))"),0.0)</f>
        <v>0</v>
      </c>
    </row>
    <row r="260">
      <c r="C260" s="4" t="s">
        <v>2828</v>
      </c>
      <c r="D260" s="4" t="str">
        <f t="shared" si="1"/>
        <v>{"valorA":"ótimo","valorB":28}</v>
      </c>
      <c r="E260" s="8" t="str">
        <f t="shared" si="2"/>
        <v>ótimo</v>
      </c>
      <c r="F260" s="8"/>
      <c r="G260" s="8" t="str">
        <f t="shared" si="3"/>
        <v>28</v>
      </c>
      <c r="H260" s="9">
        <f t="shared" si="4"/>
        <v>28</v>
      </c>
      <c r="I260" s="10">
        <f>IFERROR(__xludf.DUMMYFUNCTION("MAX(FILTER($H:$H,$E:$E=F260))"),0.0)</f>
        <v>0</v>
      </c>
    </row>
    <row r="261">
      <c r="C261" s="4" t="s">
        <v>3062</v>
      </c>
      <c r="D261" s="4" t="str">
        <f t="shared" si="1"/>
        <v>{"valorA":"usar","valorB":5}</v>
      </c>
      <c r="E261" s="8" t="str">
        <f t="shared" si="2"/>
        <v>usar</v>
      </c>
      <c r="F261" s="8"/>
      <c r="G261" s="8" t="str">
        <f t="shared" si="3"/>
        <v>5</v>
      </c>
      <c r="H261" s="9">
        <f t="shared" si="4"/>
        <v>5</v>
      </c>
      <c r="I261" s="10">
        <f>IFERROR(__xludf.DUMMYFUNCTION("MAX(FILTER($H:$H,$E:$E=F261))"),0.0)</f>
        <v>0</v>
      </c>
    </row>
    <row r="262">
      <c r="C262" s="4" t="s">
        <v>3061</v>
      </c>
      <c r="D262" s="4" t="str">
        <f t="shared" si="1"/>
        <v>{"valorA":"fácil","valorB":5}</v>
      </c>
      <c r="E262" s="8" t="str">
        <f t="shared" si="2"/>
        <v>fácil</v>
      </c>
      <c r="F262" s="8"/>
      <c r="G262" s="8" t="str">
        <f t="shared" si="3"/>
        <v>5</v>
      </c>
      <c r="H262" s="9">
        <f t="shared" si="4"/>
        <v>5</v>
      </c>
      <c r="I262" s="10">
        <f>IFERROR(__xludf.DUMMYFUNCTION("MAX(FILTER($H:$H,$E:$E=F262))"),0.0)</f>
        <v>0</v>
      </c>
    </row>
    <row r="263">
      <c r="C263" s="4" t="s">
        <v>2784</v>
      </c>
      <c r="D263" s="4" t="str">
        <f t="shared" si="1"/>
        <v>{"valorA":"e","valorB":8}</v>
      </c>
      <c r="E263" s="8" t="str">
        <f t="shared" si="2"/>
        <v>e</v>
      </c>
      <c r="F263" s="8"/>
      <c r="G263" s="8" t="str">
        <f t="shared" si="3"/>
        <v>8</v>
      </c>
      <c r="H263" s="9">
        <f t="shared" si="4"/>
        <v>8</v>
      </c>
      <c r="I263" s="10">
        <f>IFERROR(__xludf.DUMMYFUNCTION("MAX(FILTER($H:$H,$E:$E=F263))"),0.0)</f>
        <v>0</v>
      </c>
    </row>
    <row r="264">
      <c r="C264" s="4" t="s">
        <v>3058</v>
      </c>
      <c r="D264" s="4" t="str">
        <f t="shared" si="1"/>
        <v>{"valorA":"recomendo","valorB":3}</v>
      </c>
      <c r="E264" s="8" t="str">
        <f t="shared" si="2"/>
        <v>recomendo</v>
      </c>
      <c r="F264" s="8"/>
      <c r="G264" s="8" t="str">
        <f t="shared" si="3"/>
        <v>3</v>
      </c>
      <c r="H264" s="9">
        <f t="shared" si="4"/>
        <v>3</v>
      </c>
      <c r="I264" s="10">
        <f>IFERROR(__xludf.DUMMYFUNCTION("MAX(FILTER($H:$H,$E:$E=F264))"),0.0)</f>
        <v>0</v>
      </c>
    </row>
    <row r="265">
      <c r="C265" s="4" t="s">
        <v>3212</v>
      </c>
      <c r="D265" s="4" t="str">
        <f t="shared" si="1"/>
        <v>{"valorA":"um","valorB":7}</v>
      </c>
      <c r="E265" s="8" t="str">
        <f t="shared" si="2"/>
        <v>um</v>
      </c>
      <c r="F265" s="8"/>
      <c r="G265" s="8" t="str">
        <f t="shared" si="3"/>
        <v>7</v>
      </c>
      <c r="H265" s="9">
        <f t="shared" si="4"/>
        <v>7</v>
      </c>
      <c r="I265" s="10">
        <f>IFERROR(__xludf.DUMMYFUNCTION("MAX(FILTER($H:$H,$E:$E=F265))"),0.0)</f>
        <v>0</v>
      </c>
    </row>
    <row r="266">
      <c r="C266" s="4" t="s">
        <v>3124</v>
      </c>
      <c r="D266" s="4" t="str">
        <f t="shared" si="1"/>
        <v>{"valorA":"bem","valorB":8}</v>
      </c>
      <c r="E266" s="8" t="str">
        <f t="shared" si="2"/>
        <v>bem</v>
      </c>
      <c r="F266" s="8"/>
      <c r="G266" s="8" t="str">
        <f t="shared" si="3"/>
        <v>8</v>
      </c>
      <c r="H266" s="9">
        <f t="shared" si="4"/>
        <v>8</v>
      </c>
      <c r="I266" s="10">
        <f>IFERROR(__xludf.DUMMYFUNCTION("MAX(FILTER($H:$H,$E:$E=F266))"),0.0)</f>
        <v>0</v>
      </c>
    </row>
    <row r="267">
      <c r="C267" s="4" t="s">
        <v>7525</v>
      </c>
      <c r="D267" s="4" t="str">
        <f t="shared" si="1"/>
        <v>{"valorA":"semelhante","valorB":1}</v>
      </c>
      <c r="E267" s="8" t="str">
        <f t="shared" si="2"/>
        <v>semelhante</v>
      </c>
      <c r="F267" s="8"/>
      <c r="G267" s="8" t="str">
        <f t="shared" si="3"/>
        <v>1</v>
      </c>
      <c r="H267" s="9">
        <f t="shared" si="4"/>
        <v>1</v>
      </c>
      <c r="I267" s="10">
        <f>IFERROR(__xludf.DUMMYFUNCTION("MAX(FILTER($H:$H,$E:$E=F267))"),0.0)</f>
        <v>0</v>
      </c>
    </row>
    <row r="268">
      <c r="C268" s="4" t="s">
        <v>2812</v>
      </c>
      <c r="D268" s="4" t="str">
        <f t="shared" si="1"/>
        <v>{"valorA":"produto","valorB":17}</v>
      </c>
      <c r="E268" s="8" t="str">
        <f t="shared" si="2"/>
        <v>produto</v>
      </c>
      <c r="F268" s="8"/>
      <c r="G268" s="8" t="str">
        <f t="shared" si="3"/>
        <v>17</v>
      </c>
      <c r="H268" s="9">
        <f t="shared" si="4"/>
        <v>17</v>
      </c>
      <c r="I268" s="10">
        <f>IFERROR(__xludf.DUMMYFUNCTION("MAX(FILTER($H:$H,$E:$E=F268))"),0.0)</f>
        <v>0</v>
      </c>
    </row>
    <row r="269">
      <c r="C269" s="4" t="s">
        <v>2831</v>
      </c>
      <c r="D269" s="4" t="str">
        <f t="shared" si="1"/>
        <v>{"valorA":"ótimo","valorB":29}</v>
      </c>
      <c r="E269" s="8" t="str">
        <f t="shared" si="2"/>
        <v>ótimo</v>
      </c>
      <c r="F269" s="8"/>
      <c r="G269" s="8" t="str">
        <f t="shared" si="3"/>
        <v>29</v>
      </c>
      <c r="H269" s="9">
        <f t="shared" si="4"/>
        <v>29</v>
      </c>
      <c r="I269" s="10">
        <f>IFERROR(__xludf.DUMMYFUNCTION("MAX(FILTER($H:$H,$E:$E=F269))"),0.0)</f>
        <v>0</v>
      </c>
    </row>
    <row r="270">
      <c r="C270" s="4" t="s">
        <v>2832</v>
      </c>
      <c r="D270" s="4" t="str">
        <f t="shared" si="1"/>
        <v>{"valorA":"produto","valorB":18}</v>
      </c>
      <c r="E270" s="8" t="str">
        <f t="shared" si="2"/>
        <v>produto</v>
      </c>
      <c r="F270" s="8"/>
      <c r="G270" s="8" t="str">
        <f t="shared" si="3"/>
        <v>18</v>
      </c>
      <c r="H270" s="9">
        <f t="shared" si="4"/>
        <v>18</v>
      </c>
      <c r="I270" s="10">
        <f>IFERROR(__xludf.DUMMYFUNCTION("MAX(FILTER($H:$H,$E:$E=F270))"),0.0)</f>
        <v>0</v>
      </c>
    </row>
    <row r="271">
      <c r="C271" s="4" t="s">
        <v>2911</v>
      </c>
      <c r="D271" s="4" t="str">
        <f t="shared" si="1"/>
        <v>{"valorA":"a","valorB":6}</v>
      </c>
      <c r="E271" s="8" t="str">
        <f t="shared" si="2"/>
        <v>a</v>
      </c>
      <c r="F271" s="8"/>
      <c r="G271" s="8" t="str">
        <f t="shared" si="3"/>
        <v>6</v>
      </c>
      <c r="H271" s="9">
        <f t="shared" si="4"/>
        <v>6</v>
      </c>
      <c r="I271" s="10">
        <f>IFERROR(__xludf.DUMMYFUNCTION("MAX(FILTER($H:$H,$E:$E=F271))"),0.0)</f>
        <v>0</v>
      </c>
    </row>
    <row r="272">
      <c r="C272" s="4" t="s">
        <v>3709</v>
      </c>
      <c r="D272" s="4" t="str">
        <f t="shared" si="1"/>
        <v>{"valorA":"espera","valorB":2}</v>
      </c>
      <c r="E272" s="8" t="str">
        <f t="shared" si="2"/>
        <v>espera</v>
      </c>
      <c r="F272" s="8"/>
      <c r="G272" s="8" t="str">
        <f t="shared" si="3"/>
        <v>2</v>
      </c>
      <c r="H272" s="9">
        <f t="shared" si="4"/>
        <v>2</v>
      </c>
      <c r="I272" s="10">
        <f>IFERROR(__xludf.DUMMYFUNCTION("MAX(FILTER($H:$H,$E:$E=F272))"),0.0)</f>
        <v>0</v>
      </c>
    </row>
    <row r="273">
      <c r="C273" s="4" t="s">
        <v>3108</v>
      </c>
      <c r="D273" s="4" t="str">
        <f t="shared" si="1"/>
        <v>{"valorA":"valeu","valorB":2}</v>
      </c>
      <c r="E273" s="8" t="str">
        <f t="shared" si="2"/>
        <v>valeu</v>
      </c>
      <c r="F273" s="8"/>
      <c r="G273" s="8" t="str">
        <f t="shared" si="3"/>
        <v>2</v>
      </c>
      <c r="H273" s="9">
        <f t="shared" si="4"/>
        <v>2</v>
      </c>
      <c r="I273" s="10">
        <f>IFERROR(__xludf.DUMMYFUNCTION("MAX(FILTER($H:$H,$E:$E=F273))"),0.0)</f>
        <v>0</v>
      </c>
    </row>
    <row r="274">
      <c r="C274" s="4" t="s">
        <v>2821</v>
      </c>
      <c r="D274" s="4" t="str">
        <f t="shared" si="1"/>
        <v>{"valorA":"e","valorB":9}</v>
      </c>
      <c r="E274" s="8" t="str">
        <f t="shared" si="2"/>
        <v>e</v>
      </c>
      <c r="F274" s="8"/>
      <c r="G274" s="8" t="str">
        <f t="shared" si="3"/>
        <v>9</v>
      </c>
      <c r="H274" s="9">
        <f t="shared" si="4"/>
        <v>9</v>
      </c>
      <c r="I274" s="10">
        <f>IFERROR(__xludf.DUMMYFUNCTION("MAX(FILTER($H:$H,$E:$E=F274))"),0.0)</f>
        <v>0</v>
      </c>
    </row>
    <row r="275">
      <c r="C275" s="4" t="s">
        <v>2942</v>
      </c>
      <c r="D275" s="4" t="str">
        <f t="shared" si="1"/>
        <v>{"valorA":"o","valorB":7}</v>
      </c>
      <c r="E275" s="8" t="str">
        <f t="shared" si="2"/>
        <v>o</v>
      </c>
      <c r="F275" s="8"/>
      <c r="G275" s="8" t="str">
        <f t="shared" si="3"/>
        <v>7</v>
      </c>
      <c r="H275" s="9">
        <f t="shared" si="4"/>
        <v>7</v>
      </c>
      <c r="I275" s="10">
        <f>IFERROR(__xludf.DUMMYFUNCTION("MAX(FILTER($H:$H,$E:$E=F275))"),0.0)</f>
        <v>0</v>
      </c>
    </row>
    <row r="276">
      <c r="C276" s="4" t="s">
        <v>3115</v>
      </c>
      <c r="D276" s="4" t="str">
        <f t="shared" si="1"/>
        <v>{"valorA":"paguei","valorB":3}</v>
      </c>
      <c r="E276" s="8" t="str">
        <f t="shared" si="2"/>
        <v>paguei</v>
      </c>
      <c r="F276" s="8"/>
      <c r="G276" s="8" t="str">
        <f t="shared" si="3"/>
        <v>3</v>
      </c>
      <c r="H276" s="9">
        <f t="shared" si="4"/>
        <v>3</v>
      </c>
      <c r="I276" s="10">
        <f>IFERROR(__xludf.DUMMYFUNCTION("MAX(FILTER($H:$H,$E:$E=F276))"),0.0)</f>
        <v>0</v>
      </c>
    </row>
    <row r="277">
      <c r="C277" s="4" t="s">
        <v>3122</v>
      </c>
      <c r="D277" s="4" t="str">
        <f t="shared" si="1"/>
        <v>{"valorA":"preço","valorB":10}</v>
      </c>
      <c r="E277" s="8" t="str">
        <f t="shared" si="2"/>
        <v>preço</v>
      </c>
      <c r="F277" s="8"/>
      <c r="G277" s="8" t="str">
        <f t="shared" si="3"/>
        <v>10</v>
      </c>
      <c r="H277" s="9">
        <f t="shared" si="4"/>
        <v>10</v>
      </c>
      <c r="I277" s="10">
        <f>IFERROR(__xludf.DUMMYFUNCTION("MAX(FILTER($H:$H,$E:$E=F277))"),0.0)</f>
        <v>0</v>
      </c>
    </row>
    <row r="278">
      <c r="C278" s="4" t="s">
        <v>2754</v>
      </c>
      <c r="D278" s="4" t="str">
        <f t="shared" si="1"/>
        <v>{"valorA":"que","valorB":4}</v>
      </c>
      <c r="E278" s="8" t="str">
        <f t="shared" si="2"/>
        <v>que</v>
      </c>
      <c r="F278" s="8"/>
      <c r="G278" s="8" t="str">
        <f t="shared" si="3"/>
        <v>4</v>
      </c>
      <c r="H278" s="9">
        <f t="shared" si="4"/>
        <v>4</v>
      </c>
      <c r="I278" s="10">
        <f>IFERROR(__xludf.DUMMYFUNCTION("MAX(FILTER($H:$H,$E:$E=F278))"),0.0)</f>
        <v>0</v>
      </c>
    </row>
    <row r="279">
      <c r="C279" s="4" t="s">
        <v>2894</v>
      </c>
      <c r="D279" s="4" t="str">
        <f t="shared" si="1"/>
        <v>{"valorA":"muito","valorB":8}</v>
      </c>
      <c r="E279" s="8" t="str">
        <f t="shared" si="2"/>
        <v>muito</v>
      </c>
      <c r="F279" s="8"/>
      <c r="G279" s="8" t="str">
        <f t="shared" si="3"/>
        <v>8</v>
      </c>
      <c r="H279" s="9">
        <f t="shared" si="4"/>
        <v>8</v>
      </c>
      <c r="I279" s="10">
        <f>IFERROR(__xludf.DUMMYFUNCTION("MAX(FILTER($H:$H,$E:$E=F279))"),0.0)</f>
        <v>0</v>
      </c>
    </row>
    <row r="280">
      <c r="C280" s="4" t="s">
        <v>2867</v>
      </c>
      <c r="D280" s="4" t="str">
        <f t="shared" si="1"/>
        <v>{"valorA":"produto","valorB":19}</v>
      </c>
      <c r="E280" s="8" t="str">
        <f t="shared" si="2"/>
        <v>produto</v>
      </c>
      <c r="F280" s="8"/>
      <c r="G280" s="8" t="str">
        <f t="shared" si="3"/>
        <v>19</v>
      </c>
      <c r="H280" s="9">
        <f t="shared" si="4"/>
        <v>19</v>
      </c>
      <c r="I280" s="10">
        <f>IFERROR(__xludf.DUMMYFUNCTION("MAX(FILTER($H:$H,$E:$E=F280))"),0.0)</f>
        <v>0</v>
      </c>
    </row>
    <row r="281">
      <c r="C281" s="4" t="s">
        <v>3106</v>
      </c>
      <c r="D281" s="4" t="str">
        <f t="shared" si="1"/>
        <v>{"valorA":"mas","valorB":2}</v>
      </c>
      <c r="E281" s="8" t="str">
        <f t="shared" si="2"/>
        <v>mas</v>
      </c>
      <c r="F281" s="8"/>
      <c r="G281" s="8" t="str">
        <f t="shared" si="3"/>
        <v>2</v>
      </c>
      <c r="H281" s="9">
        <f t="shared" si="4"/>
        <v>2</v>
      </c>
      <c r="I281" s="10">
        <f>IFERROR(__xludf.DUMMYFUNCTION("MAX(FILTER($H:$H,$E:$E=F281))"),0.0)</f>
        <v>0</v>
      </c>
    </row>
    <row r="282">
      <c r="C282" s="4" t="s">
        <v>2841</v>
      </c>
      <c r="D282" s="4" t="str">
        <f t="shared" si="1"/>
        <v>{"valorA":"ótimo","valorB":30}</v>
      </c>
      <c r="E282" s="8" t="str">
        <f t="shared" si="2"/>
        <v>ótimo</v>
      </c>
      <c r="F282" s="8"/>
      <c r="G282" s="8" t="str">
        <f t="shared" si="3"/>
        <v>30</v>
      </c>
      <c r="H282" s="9">
        <f t="shared" si="4"/>
        <v>30</v>
      </c>
      <c r="I282" s="10">
        <f>IFERROR(__xludf.DUMMYFUNCTION("MAX(FILTER($H:$H,$E:$E=F282))"),0.0)</f>
        <v>0</v>
      </c>
    </row>
    <row r="283">
      <c r="C283" s="4" t="s">
        <v>3225</v>
      </c>
      <c r="D283" s="4" t="str">
        <f t="shared" si="1"/>
        <v>{"valorA":"caro","valorB":2}</v>
      </c>
      <c r="E283" s="8" t="str">
        <f t="shared" si="2"/>
        <v>caro</v>
      </c>
      <c r="F283" s="8"/>
      <c r="G283" s="8" t="str">
        <f t="shared" si="3"/>
        <v>2</v>
      </c>
      <c r="H283" s="9">
        <f t="shared" si="4"/>
        <v>2</v>
      </c>
      <c r="I283" s="10">
        <f>IFERROR(__xludf.DUMMYFUNCTION("MAX(FILTER($H:$H,$E:$E=F283))"),0.0)</f>
        <v>0</v>
      </c>
    </row>
    <row r="284">
      <c r="C284" s="4" t="s">
        <v>3195</v>
      </c>
      <c r="D284" s="4" t="str">
        <f t="shared" si="1"/>
        <v>{"valorA":"funciona","valorB":10}</v>
      </c>
      <c r="E284" s="8" t="str">
        <f t="shared" si="2"/>
        <v>funciona</v>
      </c>
      <c r="F284" s="8"/>
      <c r="G284" s="8" t="str">
        <f t="shared" si="3"/>
        <v>10</v>
      </c>
      <c r="H284" s="9">
        <f t="shared" si="4"/>
        <v>10</v>
      </c>
      <c r="I284" s="10">
        <f>IFERROR(__xludf.DUMMYFUNCTION("MAX(FILTER($H:$H,$E:$E=F284))"),0.0)</f>
        <v>0</v>
      </c>
    </row>
    <row r="285">
      <c r="C285" s="4" t="s">
        <v>3145</v>
      </c>
      <c r="D285" s="4" t="str">
        <f t="shared" si="1"/>
        <v>{"valorA":"laptop","valorB":2}</v>
      </c>
      <c r="E285" s="8" t="str">
        <f t="shared" si="2"/>
        <v>laptop</v>
      </c>
      <c r="F285" s="8"/>
      <c r="G285" s="8" t="str">
        <f t="shared" si="3"/>
        <v>2</v>
      </c>
      <c r="H285" s="9">
        <f t="shared" si="4"/>
        <v>2</v>
      </c>
      <c r="I285" s="10">
        <f>IFERROR(__xludf.DUMMYFUNCTION("MAX(FILTER($H:$H,$E:$E=F285))"),0.0)</f>
        <v>0</v>
      </c>
    </row>
    <row r="286">
      <c r="C286" s="4" t="s">
        <v>2845</v>
      </c>
      <c r="D286" s="4" t="str">
        <f t="shared" si="1"/>
        <v>{"valorA":"ótimo","valorB":31}</v>
      </c>
      <c r="E286" s="8" t="str">
        <f t="shared" si="2"/>
        <v>ótimo</v>
      </c>
      <c r="F286" s="8"/>
      <c r="G286" s="8" t="str">
        <f t="shared" si="3"/>
        <v>31</v>
      </c>
      <c r="H286" s="9">
        <f t="shared" si="4"/>
        <v>31</v>
      </c>
      <c r="I286" s="10">
        <f>IFERROR(__xludf.DUMMYFUNCTION("MAX(FILTER($H:$H,$E:$E=F286))"),0.0)</f>
        <v>0</v>
      </c>
    </row>
    <row r="287">
      <c r="C287" s="4" t="s">
        <v>3183</v>
      </c>
      <c r="D287" s="4" t="str">
        <f t="shared" si="1"/>
        <v>{"valorA":"bem","valorB":9}</v>
      </c>
      <c r="E287" s="8" t="str">
        <f t="shared" si="2"/>
        <v>bem</v>
      </c>
      <c r="F287" s="8"/>
      <c r="G287" s="8" t="str">
        <f t="shared" si="3"/>
        <v>9</v>
      </c>
      <c r="H287" s="9">
        <f t="shared" si="4"/>
        <v>9</v>
      </c>
      <c r="I287" s="10">
        <f>IFERROR(__xludf.DUMMYFUNCTION("MAX(FILTER($H:$H,$E:$E=F287))"),0.0)</f>
        <v>0</v>
      </c>
    </row>
    <row r="288">
      <c r="C288" s="4" t="s">
        <v>2941</v>
      </c>
      <c r="D288" s="4" t="str">
        <f t="shared" si="1"/>
        <v>{"valorA":"gosto","valorB":2}</v>
      </c>
      <c r="E288" s="8" t="str">
        <f t="shared" si="2"/>
        <v>gosto</v>
      </c>
      <c r="F288" s="8"/>
      <c r="G288" s="8" t="str">
        <f t="shared" si="3"/>
        <v>2</v>
      </c>
      <c r="H288" s="9">
        <f t="shared" si="4"/>
        <v>2</v>
      </c>
      <c r="I288" s="10">
        <f>IFERROR(__xludf.DUMMYFUNCTION("MAX(FILTER($H:$H,$E:$E=F288))"),0.0)</f>
        <v>0</v>
      </c>
    </row>
    <row r="289">
      <c r="C289" s="4" t="s">
        <v>2819</v>
      </c>
      <c r="D289" s="4" t="str">
        <f t="shared" si="1"/>
        <v>{"valorA":"é","valorB":4}</v>
      </c>
      <c r="E289" s="8" t="str">
        <f t="shared" si="2"/>
        <v>é</v>
      </c>
      <c r="F289" s="8"/>
      <c r="G289" s="8" t="str">
        <f t="shared" si="3"/>
        <v>4</v>
      </c>
      <c r="H289" s="9">
        <f t="shared" si="4"/>
        <v>4</v>
      </c>
      <c r="I289" s="10">
        <f>IFERROR(__xludf.DUMMYFUNCTION("MAX(FILTER($H:$H,$E:$E=F289))"),0.0)</f>
        <v>0</v>
      </c>
    </row>
    <row r="290">
      <c r="C290" s="4" t="s">
        <v>2915</v>
      </c>
      <c r="D290" s="4" t="str">
        <f t="shared" si="1"/>
        <v>{"valorA":"muito","valorB":9}</v>
      </c>
      <c r="E290" s="8" t="str">
        <f t="shared" si="2"/>
        <v>muito</v>
      </c>
      <c r="F290" s="8"/>
      <c r="G290" s="8" t="str">
        <f t="shared" si="3"/>
        <v>9</v>
      </c>
      <c r="H290" s="9">
        <f t="shared" si="4"/>
        <v>9</v>
      </c>
      <c r="I290" s="10">
        <f>IFERROR(__xludf.DUMMYFUNCTION("MAX(FILTER($H:$H,$E:$E=F290))"),0.0)</f>
        <v>0</v>
      </c>
    </row>
    <row r="291">
      <c r="C291" s="4" t="s">
        <v>2881</v>
      </c>
      <c r="D291" s="4" t="str">
        <f t="shared" si="1"/>
        <v>{"valorA":"e","valorB":10}</v>
      </c>
      <c r="E291" s="8" t="str">
        <f t="shared" si="2"/>
        <v>e</v>
      </c>
      <c r="F291" s="8"/>
      <c r="G291" s="8" t="str">
        <f t="shared" si="3"/>
        <v>10</v>
      </c>
      <c r="H291" s="9">
        <f t="shared" si="4"/>
        <v>10</v>
      </c>
      <c r="I291" s="10">
        <f>IFERROR(__xludf.DUMMYFUNCTION("MAX(FILTER($H:$H,$E:$E=F291))"),0.0)</f>
        <v>0</v>
      </c>
    </row>
    <row r="292">
      <c r="C292" s="4" t="s">
        <v>7526</v>
      </c>
      <c r="D292" s="4" t="str">
        <f t="shared" si="1"/>
        <v>{"valorA":"muy","valorB":1}</v>
      </c>
      <c r="E292" s="8" t="str">
        <f t="shared" si="2"/>
        <v>muy</v>
      </c>
      <c r="F292" s="8"/>
      <c r="G292" s="8" t="str">
        <f t="shared" si="3"/>
        <v>1</v>
      </c>
      <c r="H292" s="9">
        <f t="shared" si="4"/>
        <v>1</v>
      </c>
      <c r="I292" s="10">
        <f>IFERROR(__xludf.DUMMYFUNCTION("MAX(FILTER($H:$H,$E:$E=F292))"),0.0)</f>
        <v>0</v>
      </c>
    </row>
    <row r="293">
      <c r="C293" s="4" t="s">
        <v>7527</v>
      </c>
      <c r="D293" s="4" t="str">
        <f t="shared" si="1"/>
        <v>{"valorA":"leve","valorB":2}</v>
      </c>
      <c r="E293" s="8" t="str">
        <f t="shared" si="2"/>
        <v>leve</v>
      </c>
      <c r="F293" s="8"/>
      <c r="G293" s="8" t="str">
        <f t="shared" si="3"/>
        <v>2</v>
      </c>
      <c r="H293" s="9">
        <f t="shared" si="4"/>
        <v>2</v>
      </c>
      <c r="I293" s="10">
        <f>IFERROR(__xludf.DUMMYFUNCTION("MAX(FILTER($H:$H,$E:$E=F293))"),0.0)</f>
        <v>0</v>
      </c>
    </row>
    <row r="294">
      <c r="C294" s="4" t="s">
        <v>3211</v>
      </c>
      <c r="D294" s="4" t="str">
        <f t="shared" si="1"/>
        <v>{"valorA":"funciona","valorB":11}</v>
      </c>
      <c r="E294" s="8" t="str">
        <f t="shared" si="2"/>
        <v>funciona</v>
      </c>
      <c r="F294" s="8"/>
      <c r="G294" s="8" t="str">
        <f t="shared" si="3"/>
        <v>11</v>
      </c>
      <c r="H294" s="9">
        <f t="shared" si="4"/>
        <v>11</v>
      </c>
      <c r="I294" s="10">
        <f>IFERROR(__xludf.DUMMYFUNCTION("MAX(FILTER($H:$H,$E:$E=F294))"),0.0)</f>
        <v>0</v>
      </c>
    </row>
    <row r="295">
      <c r="C295" s="4" t="s">
        <v>2934</v>
      </c>
      <c r="D295" s="4" t="str">
        <f t="shared" si="1"/>
        <v>{"valorA":"muito","valorB":10}</v>
      </c>
      <c r="E295" s="8" t="str">
        <f t="shared" si="2"/>
        <v>muito</v>
      </c>
      <c r="F295" s="8"/>
      <c r="G295" s="8" t="str">
        <f t="shared" si="3"/>
        <v>10</v>
      </c>
      <c r="H295" s="9">
        <f t="shared" si="4"/>
        <v>10</v>
      </c>
      <c r="I295" s="10">
        <f>IFERROR(__xludf.DUMMYFUNCTION("MAX(FILTER($H:$H,$E:$E=F295))"),0.0)</f>
        <v>0</v>
      </c>
    </row>
    <row r="296">
      <c r="C296" s="4" t="s">
        <v>3178</v>
      </c>
      <c r="D296" s="4" t="str">
        <f t="shared" si="1"/>
        <v>{"valorA":"laptop","valorB":3}</v>
      </c>
      <c r="E296" s="8" t="str">
        <f t="shared" si="2"/>
        <v>laptop</v>
      </c>
      <c r="F296" s="8"/>
      <c r="G296" s="8" t="str">
        <f t="shared" si="3"/>
        <v>3</v>
      </c>
      <c r="H296" s="9">
        <f t="shared" si="4"/>
        <v>3</v>
      </c>
      <c r="I296" s="10">
        <f>IFERROR(__xludf.DUMMYFUNCTION("MAX(FILTER($H:$H,$E:$E=F296))"),0.0)</f>
        <v>0</v>
      </c>
    </row>
    <row r="297">
      <c r="C297" s="4" t="s">
        <v>2855</v>
      </c>
      <c r="D297" s="4" t="str">
        <f t="shared" si="1"/>
        <v>{"valorA":"ótimo","valorB":32}</v>
      </c>
      <c r="E297" s="8" t="str">
        <f t="shared" si="2"/>
        <v>ótimo</v>
      </c>
      <c r="F297" s="8"/>
      <c r="G297" s="8" t="str">
        <f t="shared" si="3"/>
        <v>32</v>
      </c>
      <c r="H297" s="9">
        <f t="shared" si="4"/>
        <v>32</v>
      </c>
      <c r="I297" s="10">
        <f>IFERROR(__xludf.DUMMYFUNCTION("MAX(FILTER($H:$H,$E:$E=F297))"),0.0)</f>
        <v>0</v>
      </c>
    </row>
    <row r="298">
      <c r="C298" s="4" t="s">
        <v>2862</v>
      </c>
      <c r="D298" s="4" t="str">
        <f t="shared" si="1"/>
        <v>{"valorA":"é","valorB":5}</v>
      </c>
      <c r="E298" s="8" t="str">
        <f t="shared" si="2"/>
        <v>é</v>
      </c>
      <c r="F298" s="8"/>
      <c r="G298" s="8" t="str">
        <f t="shared" si="3"/>
        <v>5</v>
      </c>
      <c r="H298" s="9">
        <f t="shared" si="4"/>
        <v>5</v>
      </c>
      <c r="I298" s="10">
        <f>IFERROR(__xludf.DUMMYFUNCTION("MAX(FILTER($H:$H,$E:$E=F298))"),0.0)</f>
        <v>0</v>
      </c>
    </row>
    <row r="299">
      <c r="C299" s="4" t="s">
        <v>3128</v>
      </c>
      <c r="D299" s="4" t="str">
        <f t="shared" si="1"/>
        <v>{"valorA":"de","valorB":13}</v>
      </c>
      <c r="E299" s="8" t="str">
        <f t="shared" si="2"/>
        <v>de</v>
      </c>
      <c r="F299" s="8"/>
      <c r="G299" s="8" t="str">
        <f t="shared" si="3"/>
        <v>13</v>
      </c>
      <c r="H299" s="9">
        <f t="shared" si="4"/>
        <v>13</v>
      </c>
      <c r="I299" s="10">
        <f>IFERROR(__xludf.DUMMYFUNCTION("MAX(FILTER($H:$H,$E:$E=F299))"),0.0)</f>
        <v>0</v>
      </c>
    </row>
    <row r="300">
      <c r="C300" s="4" t="s">
        <v>3216</v>
      </c>
      <c r="D300" s="4" t="str">
        <f t="shared" si="1"/>
        <v>{"valorA":"bem","valorB":10}</v>
      </c>
      <c r="E300" s="8" t="str">
        <f t="shared" si="2"/>
        <v>bem</v>
      </c>
      <c r="F300" s="8"/>
      <c r="G300" s="8" t="str">
        <f t="shared" si="3"/>
        <v>10</v>
      </c>
      <c r="H300" s="9">
        <f t="shared" si="4"/>
        <v>10</v>
      </c>
      <c r="I300" s="10">
        <f>IFERROR(__xludf.DUMMYFUNCTION("MAX(FILTER($H:$H,$E:$E=F300))"),0.0)</f>
        <v>0</v>
      </c>
    </row>
    <row r="301">
      <c r="C301" s="4" t="s">
        <v>3070</v>
      </c>
      <c r="D301" s="4" t="str">
        <f t="shared" si="1"/>
        <v>{"valorA":"usar","valorB":6}</v>
      </c>
      <c r="E301" s="8" t="str">
        <f t="shared" si="2"/>
        <v>usar</v>
      </c>
      <c r="F301" s="8"/>
      <c r="G301" s="8" t="str">
        <f t="shared" si="3"/>
        <v>6</v>
      </c>
      <c r="H301" s="9">
        <f t="shared" si="4"/>
        <v>6</v>
      </c>
      <c r="I301" s="10">
        <f>IFERROR(__xludf.DUMMYFUNCTION("MAX(FILTER($H:$H,$E:$E=F301))"),0.0)</f>
        <v>0</v>
      </c>
    </row>
    <row r="302">
      <c r="C302" s="4" t="s">
        <v>3103</v>
      </c>
      <c r="D302" s="4" t="str">
        <f t="shared" si="1"/>
        <v>{"valorA":"e","valorB":11}</v>
      </c>
      <c r="E302" s="8" t="str">
        <f t="shared" si="2"/>
        <v>e</v>
      </c>
      <c r="F302" s="8"/>
      <c r="G302" s="8" t="str">
        <f t="shared" si="3"/>
        <v>11</v>
      </c>
      <c r="H302" s="9">
        <f t="shared" si="4"/>
        <v>11</v>
      </c>
      <c r="I302" s="10">
        <f>IFERROR(__xludf.DUMMYFUNCTION("MAX(FILTER($H:$H,$E:$E=F302))"),0.0)</f>
        <v>0</v>
      </c>
    </row>
    <row r="303">
      <c r="C303" s="4" t="s">
        <v>3066</v>
      </c>
      <c r="D303" s="4" t="str">
        <f t="shared" si="1"/>
        <v>{"valorA":"fácil","valorB":6}</v>
      </c>
      <c r="E303" s="8" t="str">
        <f t="shared" si="2"/>
        <v>fácil</v>
      </c>
      <c r="F303" s="8"/>
      <c r="G303" s="8" t="str">
        <f t="shared" si="3"/>
        <v>6</v>
      </c>
      <c r="H303" s="9">
        <f t="shared" si="4"/>
        <v>6</v>
      </c>
      <c r="I303" s="10">
        <f>IFERROR(__xludf.DUMMYFUNCTION("MAX(FILTER($H:$H,$E:$E=F303))"),0.0)</f>
        <v>0</v>
      </c>
    </row>
    <row r="304">
      <c r="C304" s="4" t="s">
        <v>2872</v>
      </c>
      <c r="D304" s="4" t="str">
        <f t="shared" si="1"/>
        <v>{"valorA":"produto","valorB":20}</v>
      </c>
      <c r="E304" s="8" t="str">
        <f t="shared" si="2"/>
        <v>produto</v>
      </c>
      <c r="F304" s="8"/>
      <c r="G304" s="8" t="str">
        <f t="shared" si="3"/>
        <v>20</v>
      </c>
      <c r="H304" s="9">
        <f t="shared" si="4"/>
        <v>20</v>
      </c>
      <c r="I304" s="10">
        <f>IFERROR(__xludf.DUMMYFUNCTION("MAX(FILTER($H:$H,$E:$E=F304))"),0.0)</f>
        <v>0</v>
      </c>
    </row>
    <row r="305">
      <c r="C305" s="4" t="s">
        <v>2859</v>
      </c>
      <c r="D305" s="4" t="str">
        <f t="shared" si="1"/>
        <v>{"valorA":"ótimo","valorB":33}</v>
      </c>
      <c r="E305" s="8" t="str">
        <f t="shared" si="2"/>
        <v>ótimo</v>
      </c>
      <c r="F305" s="8"/>
      <c r="G305" s="8" t="str">
        <f t="shared" si="3"/>
        <v>33</v>
      </c>
      <c r="H305" s="9">
        <f t="shared" si="4"/>
        <v>33</v>
      </c>
      <c r="I305" s="10">
        <f>IFERROR(__xludf.DUMMYFUNCTION("MAX(FILTER($H:$H,$E:$E=F305))"),0.0)</f>
        <v>0</v>
      </c>
    </row>
    <row r="306">
      <c r="C306" s="4" t="s">
        <v>2773</v>
      </c>
      <c r="D306" s="4" t="str">
        <f t="shared" si="1"/>
        <v>{"valorA":"que","valorB":5}</v>
      </c>
      <c r="E306" s="8" t="str">
        <f t="shared" si="2"/>
        <v>que</v>
      </c>
      <c r="F306" s="8"/>
      <c r="G306" s="8" t="str">
        <f t="shared" si="3"/>
        <v>5</v>
      </c>
      <c r="H306" s="9">
        <f t="shared" si="4"/>
        <v>5</v>
      </c>
      <c r="I306" s="10">
        <f>IFERROR(__xludf.DUMMYFUNCTION("MAX(FILTER($H:$H,$E:$E=F306))"),0.0)</f>
        <v>0</v>
      </c>
    </row>
    <row r="307">
      <c r="C307" s="4" t="s">
        <v>3150</v>
      </c>
      <c r="D307" s="4" t="str">
        <f t="shared" si="1"/>
        <v>{"valorA":"paguei","valorB":4}</v>
      </c>
      <c r="E307" s="8" t="str">
        <f t="shared" si="2"/>
        <v>paguei</v>
      </c>
      <c r="F307" s="8"/>
      <c r="G307" s="8" t="str">
        <f t="shared" si="3"/>
        <v>4</v>
      </c>
      <c r="H307" s="9">
        <f t="shared" si="4"/>
        <v>4</v>
      </c>
      <c r="I307" s="10">
        <f>IFERROR(__xludf.DUMMYFUNCTION("MAX(FILTER($H:$H,$E:$E=F307))"),0.0)</f>
        <v>0</v>
      </c>
    </row>
    <row r="308">
      <c r="C308" s="4" t="s">
        <v>3060</v>
      </c>
      <c r="D308" s="4" t="str">
        <f t="shared" si="1"/>
        <v>{"valorA":"recomendo","valorB":4}</v>
      </c>
      <c r="E308" s="8" t="str">
        <f t="shared" si="2"/>
        <v>recomendo</v>
      </c>
      <c r="F308" s="8"/>
      <c r="G308" s="8" t="str">
        <f t="shared" si="3"/>
        <v>4</v>
      </c>
      <c r="H308" s="9">
        <f t="shared" si="4"/>
        <v>4</v>
      </c>
      <c r="I308" s="10">
        <f>IFERROR(__xludf.DUMMYFUNCTION("MAX(FILTER($H:$H,$E:$E=F308))"),0.0)</f>
        <v>0</v>
      </c>
    </row>
    <row r="309">
      <c r="C309" s="4" t="s">
        <v>3135</v>
      </c>
      <c r="D309" s="4" t="str">
        <f t="shared" si="1"/>
        <v>{"valorA":"preço","valorB":11}</v>
      </c>
      <c r="E309" s="8" t="str">
        <f t="shared" si="2"/>
        <v>preço</v>
      </c>
      <c r="F309" s="8"/>
      <c r="G309" s="8" t="str">
        <f t="shared" si="3"/>
        <v>11</v>
      </c>
      <c r="H309" s="9">
        <f t="shared" si="4"/>
        <v>11</v>
      </c>
      <c r="I309" s="10">
        <f>IFERROR(__xludf.DUMMYFUNCTION("MAX(FILTER($H:$H,$E:$E=F309))"),0.0)</f>
        <v>0</v>
      </c>
    </row>
    <row r="310">
      <c r="C310" s="4" t="s">
        <v>3237</v>
      </c>
      <c r="D310" s="4" t="str">
        <f t="shared" si="1"/>
        <v>{"valorA":"para","valorB":15}</v>
      </c>
      <c r="E310" s="8" t="str">
        <f t="shared" si="2"/>
        <v>para</v>
      </c>
      <c r="F310" s="8"/>
      <c r="G310" s="8" t="str">
        <f t="shared" si="3"/>
        <v>15</v>
      </c>
      <c r="H310" s="9">
        <f t="shared" si="4"/>
        <v>15</v>
      </c>
      <c r="I310" s="10">
        <f>IFERROR(__xludf.DUMMYFUNCTION("MAX(FILTER($H:$H,$E:$E=F310))"),0.0)</f>
        <v>0</v>
      </c>
    </row>
    <row r="311">
      <c r="C311" s="4" t="s">
        <v>2983</v>
      </c>
      <c r="D311" s="4" t="str">
        <f t="shared" si="1"/>
        <v>{"valorA":"o","valorB":8}</v>
      </c>
      <c r="E311" s="8" t="str">
        <f t="shared" si="2"/>
        <v>o</v>
      </c>
      <c r="F311" s="8"/>
      <c r="G311" s="8" t="str">
        <f t="shared" si="3"/>
        <v>8</v>
      </c>
      <c r="H311" s="9">
        <f t="shared" si="4"/>
        <v>8</v>
      </c>
      <c r="I311" s="10">
        <f>IFERROR(__xludf.DUMMYFUNCTION("MAX(FILTER($H:$H,$E:$E=F311))"),0.0)</f>
        <v>0</v>
      </c>
    </row>
    <row r="312">
      <c r="C312" s="4" t="s">
        <v>2866</v>
      </c>
      <c r="D312" s="4" t="str">
        <f t="shared" si="1"/>
        <v>{"valorA":"ótimo","valorB":34}</v>
      </c>
      <c r="E312" s="8" t="str">
        <f t="shared" si="2"/>
        <v>ótimo</v>
      </c>
      <c r="F312" s="8"/>
      <c r="G312" s="8" t="str">
        <f t="shared" si="3"/>
        <v>34</v>
      </c>
      <c r="H312" s="9">
        <f t="shared" si="4"/>
        <v>34</v>
      </c>
      <c r="I312" s="10">
        <f>IFERROR(__xludf.DUMMYFUNCTION("MAX(FILTER($H:$H,$E:$E=F312))"),0.0)</f>
        <v>0</v>
      </c>
    </row>
    <row r="313">
      <c r="C313" s="4" t="s">
        <v>3157</v>
      </c>
      <c r="D313" s="4" t="str">
        <f t="shared" si="1"/>
        <v>{"valorA":"excelente","valorB":2}</v>
      </c>
      <c r="E313" s="8" t="str">
        <f t="shared" si="2"/>
        <v>excelente</v>
      </c>
      <c r="F313" s="8"/>
      <c r="G313" s="8" t="str">
        <f t="shared" si="3"/>
        <v>2</v>
      </c>
      <c r="H313" s="9">
        <f t="shared" si="4"/>
        <v>2</v>
      </c>
      <c r="I313" s="10">
        <f>IFERROR(__xludf.DUMMYFUNCTION("MAX(FILTER($H:$H,$E:$E=F313))"),0.0)</f>
        <v>0</v>
      </c>
    </row>
    <row r="314">
      <c r="C314" s="4" t="s">
        <v>2940</v>
      </c>
      <c r="D314" s="4" t="str">
        <f t="shared" si="1"/>
        <v>{"valorA":"muito","valorB":11}</v>
      </c>
      <c r="E314" s="8" t="str">
        <f t="shared" si="2"/>
        <v>muito</v>
      </c>
      <c r="F314" s="8"/>
      <c r="G314" s="8" t="str">
        <f t="shared" si="3"/>
        <v>11</v>
      </c>
      <c r="H314" s="9">
        <f t="shared" si="4"/>
        <v>11</v>
      </c>
      <c r="I314" s="10">
        <f>IFERROR(__xludf.DUMMYFUNCTION("MAX(FILTER($H:$H,$E:$E=F314))"),0.0)</f>
        <v>0</v>
      </c>
    </row>
    <row r="315">
      <c r="C315" s="4" t="s">
        <v>3382</v>
      </c>
      <c r="D315" s="4" t="str">
        <f t="shared" si="1"/>
        <v>{"valorA":"gosto","valorB":3}</v>
      </c>
      <c r="E315" s="8" t="str">
        <f t="shared" si="2"/>
        <v>gosto</v>
      </c>
      <c r="F315" s="8"/>
      <c r="G315" s="8" t="str">
        <f t="shared" si="3"/>
        <v>3</v>
      </c>
      <c r="H315" s="9">
        <f t="shared" si="4"/>
        <v>3</v>
      </c>
      <c r="I315" s="10">
        <f>IFERROR(__xludf.DUMMYFUNCTION("MAX(FILTER($H:$H,$E:$E=F315))"),0.0)</f>
        <v>0</v>
      </c>
    </row>
    <row r="316">
      <c r="C316" s="4" t="s">
        <v>3167</v>
      </c>
      <c r="D316" s="4" t="str">
        <f t="shared" si="1"/>
        <v>{"valorA":"qualidade","valorB":4}</v>
      </c>
      <c r="E316" s="8" t="str">
        <f t="shared" si="2"/>
        <v>qualidade</v>
      </c>
      <c r="F316" s="8"/>
      <c r="G316" s="8" t="str">
        <f t="shared" si="3"/>
        <v>4</v>
      </c>
      <c r="H316" s="9">
        <f t="shared" si="4"/>
        <v>4</v>
      </c>
      <c r="I316" s="10">
        <f>IFERROR(__xludf.DUMMYFUNCTION("MAX(FILTER($H:$H,$E:$E=F316))"),0.0)</f>
        <v>0</v>
      </c>
    </row>
    <row r="317">
      <c r="C317" s="4" t="s">
        <v>3460</v>
      </c>
      <c r="D317" s="4" t="str">
        <f t="shared" si="1"/>
        <v>{"valorA":"tv","valorB":2}</v>
      </c>
      <c r="E317" s="8" t="str">
        <f t="shared" si="2"/>
        <v>tv</v>
      </c>
      <c r="F317" s="8"/>
      <c r="G317" s="8" t="str">
        <f t="shared" si="3"/>
        <v>2</v>
      </c>
      <c r="H317" s="9">
        <f t="shared" si="4"/>
        <v>2</v>
      </c>
      <c r="I317" s="10">
        <f>IFERROR(__xludf.DUMMYFUNCTION("MAX(FILTER($H:$H,$E:$E=F317))"),0.0)</f>
        <v>0</v>
      </c>
    </row>
    <row r="318">
      <c r="C318" s="4" t="s">
        <v>3059</v>
      </c>
      <c r="D318" s="4" t="str">
        <f t="shared" si="1"/>
        <v>{"valorA":"televisor","valorB":2}</v>
      </c>
      <c r="E318" s="8" t="str">
        <f t="shared" si="2"/>
        <v>televisor</v>
      </c>
      <c r="F318" s="8"/>
      <c r="G318" s="8" t="str">
        <f t="shared" si="3"/>
        <v>2</v>
      </c>
      <c r="H318" s="9">
        <f t="shared" si="4"/>
        <v>2</v>
      </c>
      <c r="I318" s="10">
        <f>IFERROR(__xludf.DUMMYFUNCTION("MAX(FILTER($H:$H,$E:$E=F318))"),0.0)</f>
        <v>0</v>
      </c>
    </row>
    <row r="319">
      <c r="C319" s="4" t="s">
        <v>2871</v>
      </c>
      <c r="D319" s="4" t="str">
        <f t="shared" si="1"/>
        <v>{"valorA":"ótimo","valorB":35}</v>
      </c>
      <c r="E319" s="8" t="str">
        <f t="shared" si="2"/>
        <v>ótimo</v>
      </c>
      <c r="F319" s="8"/>
      <c r="G319" s="8" t="str">
        <f t="shared" si="3"/>
        <v>35</v>
      </c>
      <c r="H319" s="9">
        <f t="shared" si="4"/>
        <v>35</v>
      </c>
      <c r="I319" s="10">
        <f>IFERROR(__xludf.DUMMYFUNCTION("MAX(FILTER($H:$H,$E:$E=F319))"),0.0)</f>
        <v>0</v>
      </c>
    </row>
    <row r="320">
      <c r="C320" s="4" t="s">
        <v>2783</v>
      </c>
      <c r="D320" s="4" t="str">
        <f t="shared" si="1"/>
        <v>{"valorA":"do","valorB":3}</v>
      </c>
      <c r="E320" s="8" t="str">
        <f t="shared" si="2"/>
        <v>do</v>
      </c>
      <c r="F320" s="8"/>
      <c r="G320" s="8" t="str">
        <f t="shared" si="3"/>
        <v>3</v>
      </c>
      <c r="H320" s="9">
        <f t="shared" si="4"/>
        <v>3</v>
      </c>
      <c r="I320" s="10">
        <f>IFERROR(__xludf.DUMMYFUNCTION("MAX(FILTER($H:$H,$E:$E=F320))"),0.0)</f>
        <v>0</v>
      </c>
    </row>
    <row r="321">
      <c r="C321" s="4" t="s">
        <v>2953</v>
      </c>
      <c r="D321" s="4" t="str">
        <f t="shared" si="1"/>
        <v>{"valorA":"muito","valorB":12}</v>
      </c>
      <c r="E321" s="8" t="str">
        <f t="shared" si="2"/>
        <v>muito</v>
      </c>
      <c r="F321" s="8"/>
      <c r="G321" s="8" t="str">
        <f t="shared" si="3"/>
        <v>12</v>
      </c>
      <c r="H321" s="9">
        <f t="shared" si="4"/>
        <v>12</v>
      </c>
      <c r="I321" s="10">
        <f>IFERROR(__xludf.DUMMYFUNCTION("MAX(FILTER($H:$H,$E:$E=F321))"),0.0)</f>
        <v>0</v>
      </c>
    </row>
    <row r="322">
      <c r="C322" s="4" t="s">
        <v>3085</v>
      </c>
      <c r="D322" s="4" t="str">
        <f t="shared" si="1"/>
        <v>{"valorA":"gostando","valorB":1}</v>
      </c>
      <c r="E322" s="8" t="str">
        <f t="shared" si="2"/>
        <v>gostando</v>
      </c>
      <c r="F322" s="8"/>
      <c r="G322" s="8" t="str">
        <f t="shared" si="3"/>
        <v>1</v>
      </c>
      <c r="H322" s="9">
        <f t="shared" si="4"/>
        <v>1</v>
      </c>
      <c r="I322" s="10">
        <f>IFERROR(__xludf.DUMMYFUNCTION("MAX(FILTER($H:$H,$E:$E=F322))"),0.0)</f>
        <v>0</v>
      </c>
    </row>
    <row r="323">
      <c r="C323" s="4" t="s">
        <v>3248</v>
      </c>
      <c r="D323" s="4" t="str">
        <f t="shared" si="1"/>
        <v>{"valorA":"brilho","valorB":2}</v>
      </c>
      <c r="E323" s="8" t="str">
        <f t="shared" si="2"/>
        <v>brilho</v>
      </c>
      <c r="F323" s="8"/>
      <c r="G323" s="8" t="str">
        <f t="shared" si="3"/>
        <v>2</v>
      </c>
      <c r="H323" s="9">
        <f t="shared" si="4"/>
        <v>2</v>
      </c>
      <c r="I323" s="10">
        <f>IFERROR(__xludf.DUMMYFUNCTION("MAX(FILTER($H:$H,$E:$E=F323))"),0.0)</f>
        <v>0</v>
      </c>
    </row>
    <row r="324">
      <c r="C324" s="4" t="s">
        <v>3234</v>
      </c>
      <c r="D324" s="4" t="str">
        <f t="shared" si="1"/>
        <v>{"valorA":"qualidade","valorB":5}</v>
      </c>
      <c r="E324" s="8" t="str">
        <f t="shared" si="2"/>
        <v>qualidade</v>
      </c>
      <c r="F324" s="8"/>
      <c r="G324" s="8" t="str">
        <f t="shared" si="3"/>
        <v>5</v>
      </c>
      <c r="H324" s="9">
        <f t="shared" si="4"/>
        <v>5</v>
      </c>
      <c r="I324" s="10">
        <f>IFERROR(__xludf.DUMMYFUNCTION("MAX(FILTER($H:$H,$E:$E=F324))"),0.0)</f>
        <v>0</v>
      </c>
    </row>
    <row r="325">
      <c r="C325" s="4" t="s">
        <v>3136</v>
      </c>
      <c r="D325" s="4" t="str">
        <f t="shared" si="1"/>
        <v>{"valorA":"de","valorB":14}</v>
      </c>
      <c r="E325" s="8" t="str">
        <f t="shared" si="2"/>
        <v>de</v>
      </c>
      <c r="F325" s="8"/>
      <c r="G325" s="8" t="str">
        <f t="shared" si="3"/>
        <v>14</v>
      </c>
      <c r="H325" s="9">
        <f t="shared" si="4"/>
        <v>14</v>
      </c>
      <c r="I325" s="10">
        <f>IFERROR(__xludf.DUMMYFUNCTION("MAX(FILTER($H:$H,$E:$E=F325))"),0.0)</f>
        <v>0</v>
      </c>
    </row>
    <row r="326">
      <c r="C326" s="4" t="s">
        <v>2919</v>
      </c>
      <c r="D326" s="4" t="str">
        <f t="shared" si="1"/>
        <v>{"valorA":"da","valorB":1}</v>
      </c>
      <c r="E326" s="8" t="str">
        <f t="shared" si="2"/>
        <v>da</v>
      </c>
      <c r="F326" s="8"/>
      <c r="G326" s="8" t="str">
        <f t="shared" si="3"/>
        <v>1</v>
      </c>
      <c r="H326" s="9">
        <f t="shared" si="4"/>
        <v>1</v>
      </c>
      <c r="I326" s="10">
        <f>IFERROR(__xludf.DUMMYFUNCTION("MAX(FILTER($H:$H,$E:$E=F326))"),0.0)</f>
        <v>0</v>
      </c>
    </row>
    <row r="327">
      <c r="C327" s="4" t="s">
        <v>3032</v>
      </c>
      <c r="D327" s="4" t="str">
        <f t="shared" si="1"/>
        <v>{"valorA":"imagem","valorB":1}</v>
      </c>
      <c r="E327" s="8" t="str">
        <f t="shared" si="2"/>
        <v>imagem</v>
      </c>
      <c r="F327" s="8"/>
      <c r="G327" s="8" t="str">
        <f t="shared" si="3"/>
        <v>1</v>
      </c>
      <c r="H327" s="9">
        <f t="shared" si="4"/>
        <v>1</v>
      </c>
      <c r="I327" s="10">
        <f>IFERROR(__xludf.DUMMYFUNCTION("MAX(FILTER($H:$H,$E:$E=F327))"),0.0)</f>
        <v>0</v>
      </c>
    </row>
    <row r="328">
      <c r="C328" s="4" t="s">
        <v>3113</v>
      </c>
      <c r="D328" s="4" t="str">
        <f t="shared" si="1"/>
        <v>{"valorA":"e","valorB":12}</v>
      </c>
      <c r="E328" s="8" t="str">
        <f t="shared" si="2"/>
        <v>e</v>
      </c>
      <c r="F328" s="8"/>
      <c r="G328" s="8" t="str">
        <f t="shared" si="3"/>
        <v>12</v>
      </c>
      <c r="H328" s="9">
        <f t="shared" si="4"/>
        <v>12</v>
      </c>
      <c r="I328" s="10">
        <f>IFERROR(__xludf.DUMMYFUNCTION("MAX(FILTER($H:$H,$E:$E=F328))"),0.0)</f>
        <v>0</v>
      </c>
    </row>
    <row r="329">
      <c r="C329" s="4" t="s">
        <v>7528</v>
      </c>
      <c r="D329" s="4" t="str">
        <f t="shared" si="1"/>
        <v>{"valorA":"vídeo","valorB":2}</v>
      </c>
      <c r="E329" s="8" t="str">
        <f t="shared" si="2"/>
        <v>vídeo</v>
      </c>
      <c r="F329" s="8"/>
      <c r="G329" s="8" t="str">
        <f t="shared" si="3"/>
        <v>2</v>
      </c>
      <c r="H329" s="9">
        <f t="shared" si="4"/>
        <v>2</v>
      </c>
      <c r="I329" s="10">
        <f>IFERROR(__xludf.DUMMYFUNCTION("MAX(FILTER($H:$H,$E:$E=F329))"),0.0)</f>
        <v>0</v>
      </c>
    </row>
    <row r="330">
      <c r="C330" s="4" t="s">
        <v>3180</v>
      </c>
      <c r="D330" s="4" t="str">
        <f t="shared" si="1"/>
        <v>{"valorA":"de","valorB":15}</v>
      </c>
      <c r="E330" s="8" t="str">
        <f t="shared" si="2"/>
        <v>de</v>
      </c>
      <c r="F330" s="8"/>
      <c r="G330" s="8" t="str">
        <f t="shared" si="3"/>
        <v>15</v>
      </c>
      <c r="H330" s="9">
        <f t="shared" si="4"/>
        <v>15</v>
      </c>
      <c r="I330" s="10">
        <f>IFERROR(__xludf.DUMMYFUNCTION("MAX(FILTER($H:$H,$E:$E=F330))"),0.0)</f>
        <v>0</v>
      </c>
    </row>
    <row r="331">
      <c r="C331" s="4" t="s">
        <v>2884</v>
      </c>
      <c r="D331" s="4" t="str">
        <f t="shared" si="1"/>
        <v>{"valorA":"ótimo","valorB":36}</v>
      </c>
      <c r="E331" s="8" t="str">
        <f t="shared" si="2"/>
        <v>ótimo</v>
      </c>
      <c r="F331" s="8"/>
      <c r="G331" s="8" t="str">
        <f t="shared" si="3"/>
        <v>36</v>
      </c>
      <c r="H331" s="9">
        <f t="shared" si="4"/>
        <v>36</v>
      </c>
      <c r="I331" s="10">
        <f>IFERROR(__xludf.DUMMYFUNCTION("MAX(FILTER($H:$H,$E:$E=F331))"),0.0)</f>
        <v>0</v>
      </c>
    </row>
    <row r="332">
      <c r="C332" s="4" t="s">
        <v>3759</v>
      </c>
      <c r="D332" s="4" t="str">
        <f t="shared" si="1"/>
        <v>{"valorA":"câmera","valorB":4}</v>
      </c>
      <c r="E332" s="8" t="str">
        <f t="shared" si="2"/>
        <v>câmera</v>
      </c>
      <c r="F332" s="8"/>
      <c r="G332" s="8" t="str">
        <f t="shared" si="3"/>
        <v>4</v>
      </c>
      <c r="H332" s="9">
        <f t="shared" si="4"/>
        <v>4</v>
      </c>
      <c r="I332" s="10">
        <f>IFERROR(__xludf.DUMMYFUNCTION("MAX(FILTER($H:$H,$E:$E=F332))"),0.0)</f>
        <v>0</v>
      </c>
    </row>
    <row r="333">
      <c r="C333" s="4" t="s">
        <v>2989</v>
      </c>
      <c r="D333" s="4" t="str">
        <f t="shared" si="1"/>
        <v>{"valorA":"muito","valorB":13}</v>
      </c>
      <c r="E333" s="8" t="str">
        <f t="shared" si="2"/>
        <v>muito</v>
      </c>
      <c r="F333" s="8"/>
      <c r="G333" s="8" t="str">
        <f t="shared" si="3"/>
        <v>13</v>
      </c>
      <c r="H333" s="9">
        <f t="shared" si="4"/>
        <v>13</v>
      </c>
      <c r="I333" s="10">
        <f>IFERROR(__xludf.DUMMYFUNCTION("MAX(FILTER($H:$H,$E:$E=F333))"),0.0)</f>
        <v>0</v>
      </c>
    </row>
    <row r="334">
      <c r="C334" s="4" t="s">
        <v>3353</v>
      </c>
      <c r="D334" s="4" t="str">
        <f t="shared" si="1"/>
        <v>{"valorA":"tudo","valorB":2}</v>
      </c>
      <c r="E334" s="8" t="str">
        <f t="shared" si="2"/>
        <v>tudo</v>
      </c>
      <c r="F334" s="8"/>
      <c r="G334" s="8" t="str">
        <f t="shared" si="3"/>
        <v>2</v>
      </c>
      <c r="H334" s="9">
        <f t="shared" si="4"/>
        <v>2</v>
      </c>
      <c r="I334" s="10">
        <f>IFERROR(__xludf.DUMMYFUNCTION("MAX(FILTER($H:$H,$E:$E=F334))"),0.0)</f>
        <v>0</v>
      </c>
    </row>
    <row r="335">
      <c r="C335" s="4" t="s">
        <v>3394</v>
      </c>
      <c r="D335" s="4" t="str">
        <f t="shared" si="1"/>
        <v>{"valorA":"em","valorB":2}</v>
      </c>
      <c r="E335" s="8" t="str">
        <f t="shared" si="2"/>
        <v>em</v>
      </c>
      <c r="F335" s="8"/>
      <c r="G335" s="8" t="str">
        <f t="shared" si="3"/>
        <v>2</v>
      </c>
      <c r="H335" s="9">
        <f t="shared" si="4"/>
        <v>2</v>
      </c>
      <c r="I335" s="10">
        <f>IFERROR(__xludf.DUMMYFUNCTION("MAX(FILTER($H:$H,$E:$E=F335))"),0.0)</f>
        <v>0</v>
      </c>
    </row>
    <row r="336">
      <c r="C336" s="4" t="s">
        <v>2875</v>
      </c>
      <c r="D336" s="4" t="str">
        <f t="shared" si="1"/>
        <v>{"valorA":"alta","valorB":1}</v>
      </c>
      <c r="E336" s="8" t="str">
        <f t="shared" si="2"/>
        <v>alta</v>
      </c>
      <c r="F336" s="8"/>
      <c r="G336" s="8" t="str">
        <f t="shared" si="3"/>
        <v>1</v>
      </c>
      <c r="H336" s="9">
        <f t="shared" si="4"/>
        <v>1</v>
      </c>
      <c r="I336" s="10">
        <f>IFERROR(__xludf.DUMMYFUNCTION("MAX(FILTER($H:$H,$E:$E=F336))"),0.0)</f>
        <v>0</v>
      </c>
    </row>
    <row r="337">
      <c r="C337" s="4" t="s">
        <v>3077</v>
      </c>
      <c r="D337" s="4" t="str">
        <f t="shared" si="1"/>
        <v>{"valorA":"vejo","valorB":1}</v>
      </c>
      <c r="E337" s="8" t="str">
        <f t="shared" si="2"/>
        <v>vejo</v>
      </c>
      <c r="F337" s="8"/>
      <c r="G337" s="8" t="str">
        <f t="shared" si="3"/>
        <v>1</v>
      </c>
      <c r="H337" s="9">
        <f t="shared" si="4"/>
        <v>1</v>
      </c>
      <c r="I337" s="10">
        <f>IFERROR(__xludf.DUMMYFUNCTION("MAX(FILTER($H:$H,$E:$E=F337))"),0.0)</f>
        <v>0</v>
      </c>
    </row>
    <row r="338">
      <c r="C338" s="4" t="s">
        <v>3130</v>
      </c>
      <c r="D338" s="4" t="str">
        <f t="shared" si="1"/>
        <v>{"valorA":"e","valorB":13}</v>
      </c>
      <c r="E338" s="8" t="str">
        <f t="shared" si="2"/>
        <v>e</v>
      </c>
      <c r="F338" s="8"/>
      <c r="G338" s="8" t="str">
        <f t="shared" si="3"/>
        <v>13</v>
      </c>
      <c r="H338" s="9">
        <f t="shared" si="4"/>
        <v>13</v>
      </c>
      <c r="I338" s="10">
        <f>IFERROR(__xludf.DUMMYFUNCTION("MAX(FILTER($H:$H,$E:$E=F338))"),0.0)</f>
        <v>0</v>
      </c>
    </row>
    <row r="339">
      <c r="C339" s="4" t="s">
        <v>7529</v>
      </c>
      <c r="D339" s="4" t="str">
        <f t="shared" si="1"/>
        <v>{"valorA":"definição","valorB":1}</v>
      </c>
      <c r="E339" s="8" t="str">
        <f t="shared" si="2"/>
        <v>definição</v>
      </c>
      <c r="F339" s="8"/>
      <c r="G339" s="8" t="str">
        <f t="shared" si="3"/>
        <v>1</v>
      </c>
      <c r="H339" s="9">
        <f t="shared" si="4"/>
        <v>1</v>
      </c>
      <c r="I339" s="10">
        <f>IFERROR(__xludf.DUMMYFUNCTION("MAX(FILTER($H:$H,$E:$E=F339))"),0.0)</f>
        <v>0</v>
      </c>
    </row>
    <row r="340">
      <c r="C340" s="4" t="s">
        <v>2870</v>
      </c>
      <c r="D340" s="4" t="str">
        <f t="shared" si="1"/>
        <v>{"valorA":"é","valorB":6}</v>
      </c>
      <c r="E340" s="8" t="str">
        <f t="shared" si="2"/>
        <v>é</v>
      </c>
      <c r="F340" s="8"/>
      <c r="G340" s="8" t="str">
        <f t="shared" si="3"/>
        <v>6</v>
      </c>
      <c r="H340" s="9">
        <f t="shared" si="4"/>
        <v>6</v>
      </c>
      <c r="I340" s="10">
        <f>IFERROR(__xludf.DUMMYFUNCTION("MAX(FILTER($H:$H,$E:$E=F340))"),0.0)</f>
        <v>0</v>
      </c>
    </row>
    <row r="341">
      <c r="C341" s="4" t="s">
        <v>3207</v>
      </c>
      <c r="D341" s="4" t="str">
        <f t="shared" si="1"/>
        <v>{"valorA":"de","valorB":16}</v>
      </c>
      <c r="E341" s="8" t="str">
        <f t="shared" si="2"/>
        <v>de</v>
      </c>
      <c r="F341" s="8"/>
      <c r="G341" s="8" t="str">
        <f t="shared" si="3"/>
        <v>16</v>
      </c>
      <c r="H341" s="9">
        <f t="shared" si="4"/>
        <v>16</v>
      </c>
      <c r="I341" s="10">
        <f>IFERROR(__xludf.DUMMYFUNCTION("MAX(FILTER($H:$H,$E:$E=F341))"),0.0)</f>
        <v>0</v>
      </c>
    </row>
    <row r="342">
      <c r="C342" s="4" t="s">
        <v>3075</v>
      </c>
      <c r="D342" s="4" t="str">
        <f t="shared" si="1"/>
        <v>{"valorA":"usar","valorB":7}</v>
      </c>
      <c r="E342" s="8" t="str">
        <f t="shared" si="2"/>
        <v>usar</v>
      </c>
      <c r="F342" s="8"/>
      <c r="G342" s="8" t="str">
        <f t="shared" si="3"/>
        <v>7</v>
      </c>
      <c r="H342" s="9">
        <f t="shared" si="4"/>
        <v>7</v>
      </c>
      <c r="I342" s="10">
        <f>IFERROR(__xludf.DUMMYFUNCTION("MAX(FILTER($H:$H,$E:$E=F342))"),0.0)</f>
        <v>0</v>
      </c>
    </row>
    <row r="343">
      <c r="C343" s="4" t="s">
        <v>3074</v>
      </c>
      <c r="D343" s="4" t="str">
        <f t="shared" si="1"/>
        <v>{"valorA":"fácil","valorB":7}</v>
      </c>
      <c r="E343" s="8" t="str">
        <f t="shared" si="2"/>
        <v>fácil</v>
      </c>
      <c r="F343" s="8"/>
      <c r="G343" s="8" t="str">
        <f t="shared" si="3"/>
        <v>7</v>
      </c>
      <c r="H343" s="9">
        <f t="shared" si="4"/>
        <v>7</v>
      </c>
      <c r="I343" s="10">
        <f>IFERROR(__xludf.DUMMYFUNCTION("MAX(FILTER($H:$H,$E:$E=F343))"),0.0)</f>
        <v>0</v>
      </c>
    </row>
    <row r="344">
      <c r="C344" s="4" t="s">
        <v>3065</v>
      </c>
      <c r="D344" s="4" t="str">
        <f t="shared" si="1"/>
        <v>{"valorA":"tablet","valorB":2}</v>
      </c>
      <c r="E344" s="8" t="str">
        <f t="shared" si="2"/>
        <v>tablet</v>
      </c>
      <c r="F344" s="8"/>
      <c r="G344" s="8" t="str">
        <f t="shared" si="3"/>
        <v>2</v>
      </c>
      <c r="H344" s="9">
        <f t="shared" si="4"/>
        <v>2</v>
      </c>
      <c r="I344" s="10">
        <f>IFERROR(__xludf.DUMMYFUNCTION("MAX(FILTER($H:$H,$E:$E=F344))"),0.0)</f>
        <v>0</v>
      </c>
    </row>
    <row r="345">
      <c r="C345" s="4" t="s">
        <v>2893</v>
      </c>
      <c r="D345" s="4" t="str">
        <f t="shared" si="1"/>
        <v>{"valorA":"ótimo","valorB":37}</v>
      </c>
      <c r="E345" s="8" t="str">
        <f t="shared" si="2"/>
        <v>ótimo</v>
      </c>
      <c r="F345" s="8"/>
      <c r="G345" s="8" t="str">
        <f t="shared" si="3"/>
        <v>37</v>
      </c>
      <c r="H345" s="9">
        <f t="shared" si="4"/>
        <v>37</v>
      </c>
      <c r="I345" s="10">
        <f>IFERROR(__xludf.DUMMYFUNCTION("MAX(FILTER($H:$H,$E:$E=F345))"),0.0)</f>
        <v>0</v>
      </c>
    </row>
    <row r="346">
      <c r="C346" s="4" t="s">
        <v>3236</v>
      </c>
      <c r="D346" s="4" t="str">
        <f t="shared" si="1"/>
        <v>{"valorA":"de","valorB":17}</v>
      </c>
      <c r="E346" s="8" t="str">
        <f t="shared" si="2"/>
        <v>de</v>
      </c>
      <c r="F346" s="8"/>
      <c r="G346" s="8" t="str">
        <f t="shared" si="3"/>
        <v>17</v>
      </c>
      <c r="H346" s="9">
        <f t="shared" si="4"/>
        <v>17</v>
      </c>
      <c r="I346" s="10">
        <f>IFERROR(__xludf.DUMMYFUNCTION("MAX(FILTER($H:$H,$E:$E=F346))"),0.0)</f>
        <v>0</v>
      </c>
    </row>
    <row r="347">
      <c r="C347" s="4" t="s">
        <v>3082</v>
      </c>
      <c r="D347" s="4" t="str">
        <f t="shared" si="1"/>
        <v>{"valorA":"usar","valorB":8}</v>
      </c>
      <c r="E347" s="8" t="str">
        <f t="shared" si="2"/>
        <v>usar</v>
      </c>
      <c r="F347" s="8"/>
      <c r="G347" s="8" t="str">
        <f t="shared" si="3"/>
        <v>8</v>
      </c>
      <c r="H347" s="9">
        <f t="shared" si="4"/>
        <v>8</v>
      </c>
      <c r="I347" s="10">
        <f>IFERROR(__xludf.DUMMYFUNCTION("MAX(FILTER($H:$H,$E:$E=F347))"),0.0)</f>
        <v>0</v>
      </c>
    </row>
    <row r="348">
      <c r="C348" s="4" t="s">
        <v>7530</v>
      </c>
      <c r="D348" s="4" t="str">
        <f t="shared" si="1"/>
        <v>{"valorA":"funcções","valorB":1}</v>
      </c>
      <c r="E348" s="8" t="str">
        <f t="shared" si="2"/>
        <v>funcções</v>
      </c>
      <c r="F348" s="8"/>
      <c r="G348" s="8" t="str">
        <f t="shared" si="3"/>
        <v>1</v>
      </c>
      <c r="H348" s="9">
        <f t="shared" si="4"/>
        <v>1</v>
      </c>
      <c r="I348" s="10">
        <f>IFERROR(__xludf.DUMMYFUNCTION("MAX(FILTER($H:$H,$E:$E=F348))"),0.0)</f>
        <v>0</v>
      </c>
    </row>
    <row r="349">
      <c r="C349" s="4" t="s">
        <v>3080</v>
      </c>
      <c r="D349" s="4" t="str">
        <f t="shared" si="1"/>
        <v>{"valorA":"fácil","valorB":8}</v>
      </c>
      <c r="E349" s="8" t="str">
        <f t="shared" si="2"/>
        <v>fácil</v>
      </c>
      <c r="F349" s="8"/>
      <c r="G349" s="8" t="str">
        <f t="shared" si="3"/>
        <v>8</v>
      </c>
      <c r="H349" s="9">
        <f t="shared" si="4"/>
        <v>8</v>
      </c>
      <c r="I349" s="10">
        <f>IFERROR(__xludf.DUMMYFUNCTION("MAX(FILTER($H:$H,$E:$E=F349))"),0.0)</f>
        <v>0</v>
      </c>
    </row>
    <row r="350">
      <c r="C350" s="4" t="s">
        <v>3140</v>
      </c>
      <c r="D350" s="4" t="str">
        <f t="shared" si="1"/>
        <v>{"valorA":"e","valorB":14}</v>
      </c>
      <c r="E350" s="8" t="str">
        <f t="shared" si="2"/>
        <v>e</v>
      </c>
      <c r="F350" s="8"/>
      <c r="G350" s="8" t="str">
        <f t="shared" si="3"/>
        <v>14</v>
      </c>
      <c r="H350" s="9">
        <f t="shared" si="4"/>
        <v>14</v>
      </c>
      <c r="I350" s="10">
        <f>IFERROR(__xludf.DUMMYFUNCTION("MAX(FILTER($H:$H,$E:$E=F350))"),0.0)</f>
        <v>0</v>
      </c>
    </row>
    <row r="351">
      <c r="C351" s="4" t="s">
        <v>2814</v>
      </c>
      <c r="D351" s="4" t="str">
        <f t="shared" si="1"/>
        <v>{"valorA":"com","valorB":2}</v>
      </c>
      <c r="E351" s="8" t="str">
        <f t="shared" si="2"/>
        <v>com</v>
      </c>
      <c r="F351" s="8"/>
      <c r="G351" s="8" t="str">
        <f t="shared" si="3"/>
        <v>2</v>
      </c>
      <c r="H351" s="9">
        <f t="shared" si="4"/>
        <v>2</v>
      </c>
      <c r="I351" s="10">
        <f>IFERROR(__xludf.DUMMYFUNCTION("MAX(FILTER($H:$H,$E:$E=F351))"),0.0)</f>
        <v>0</v>
      </c>
    </row>
    <row r="352">
      <c r="C352" s="4" t="s">
        <v>7531</v>
      </c>
      <c r="D352" s="4" t="str">
        <f t="shared" si="1"/>
        <v>{"valorA":"muitas","valorB":1}</v>
      </c>
      <c r="E352" s="8" t="str">
        <f t="shared" si="2"/>
        <v>muitas</v>
      </c>
      <c r="F352" s="8"/>
      <c r="G352" s="8" t="str">
        <f t="shared" si="3"/>
        <v>1</v>
      </c>
      <c r="H352" s="9">
        <f t="shared" si="4"/>
        <v>1</v>
      </c>
      <c r="I352" s="10">
        <f>IFERROR(__xludf.DUMMYFUNCTION("MAX(FILTER($H:$H,$E:$E=F352))"),0.0)</f>
        <v>0</v>
      </c>
    </row>
    <row r="353">
      <c r="C353" s="4" t="s">
        <v>2901</v>
      </c>
      <c r="D353" s="4" t="str">
        <f t="shared" si="1"/>
        <v>{"valorA":"ótimo","valorB":38}</v>
      </c>
      <c r="E353" s="8" t="str">
        <f t="shared" si="2"/>
        <v>ótimo</v>
      </c>
      <c r="F353" s="8"/>
      <c r="G353" s="8" t="str">
        <f t="shared" si="3"/>
        <v>38</v>
      </c>
      <c r="H353" s="9">
        <f t="shared" si="4"/>
        <v>38</v>
      </c>
      <c r="I353" s="10">
        <f>IFERROR(__xludf.DUMMYFUNCTION("MAX(FILTER($H:$H,$E:$E=F353))"),0.0)</f>
        <v>0</v>
      </c>
    </row>
    <row r="354">
      <c r="C354" s="4" t="s">
        <v>2890</v>
      </c>
      <c r="D354" s="4" t="str">
        <f t="shared" si="1"/>
        <v>{"valorA":"produto","valorB":21}</v>
      </c>
      <c r="E354" s="8" t="str">
        <f t="shared" si="2"/>
        <v>produto</v>
      </c>
      <c r="F354" s="8"/>
      <c r="G354" s="8" t="str">
        <f t="shared" si="3"/>
        <v>21</v>
      </c>
      <c r="H354" s="9">
        <f t="shared" si="4"/>
        <v>21</v>
      </c>
      <c r="I354" s="10">
        <f>IFERROR(__xludf.DUMMYFUNCTION("MAX(FILTER($H:$H,$E:$E=F354))"),0.0)</f>
        <v>0</v>
      </c>
    </row>
    <row r="355">
      <c r="C355" s="4" t="s">
        <v>3166</v>
      </c>
      <c r="D355" s="4" t="str">
        <f t="shared" si="1"/>
        <v>{"valorA":"muito","valorB":14}</v>
      </c>
      <c r="E355" s="8" t="str">
        <f t="shared" si="2"/>
        <v>muito</v>
      </c>
      <c r="F355" s="8"/>
      <c r="G355" s="8" t="str">
        <f t="shared" si="3"/>
        <v>14</v>
      </c>
      <c r="H355" s="9">
        <f t="shared" si="4"/>
        <v>14</v>
      </c>
      <c r="I355" s="10">
        <f>IFERROR(__xludf.DUMMYFUNCTION("MAX(FILTER($H:$H,$E:$E=F355))"),0.0)</f>
        <v>0</v>
      </c>
    </row>
    <row r="356">
      <c r="C356" s="4" t="s">
        <v>7532</v>
      </c>
      <c r="D356" s="4" t="str">
        <f t="shared" si="1"/>
        <v>{"valorA":"caro","valorB":3}</v>
      </c>
      <c r="E356" s="8" t="str">
        <f t="shared" si="2"/>
        <v>caro</v>
      </c>
      <c r="F356" s="8"/>
      <c r="G356" s="8" t="str">
        <f t="shared" si="3"/>
        <v>3</v>
      </c>
      <c r="H356" s="9">
        <f t="shared" si="4"/>
        <v>3</v>
      </c>
      <c r="I356" s="10">
        <f>IFERROR(__xludf.DUMMYFUNCTION("MAX(FILTER($H:$H,$E:$E=F356))"),0.0)</f>
        <v>0</v>
      </c>
    </row>
    <row r="357">
      <c r="C357" s="4" t="s">
        <v>3133</v>
      </c>
      <c r="D357" s="4" t="str">
        <f t="shared" si="1"/>
        <v>{"valorA":"mas","valorB":3}</v>
      </c>
      <c r="E357" s="8" t="str">
        <f t="shared" si="2"/>
        <v>mas</v>
      </c>
      <c r="F357" s="8"/>
      <c r="G357" s="8" t="str">
        <f t="shared" si="3"/>
        <v>3</v>
      </c>
      <c r="H357" s="9">
        <f t="shared" si="4"/>
        <v>3</v>
      </c>
      <c r="I357" s="10">
        <f>IFERROR(__xludf.DUMMYFUNCTION("MAX(FILTER($H:$H,$E:$E=F357))"),0.0)</f>
        <v>0</v>
      </c>
    </row>
    <row r="358">
      <c r="C358" s="4" t="s">
        <v>3078</v>
      </c>
      <c r="D358" s="4" t="str">
        <f t="shared" si="1"/>
        <v>{"valorA":"televisor","valorB":3}</v>
      </c>
      <c r="E358" s="8" t="str">
        <f t="shared" si="2"/>
        <v>televisor</v>
      </c>
      <c r="F358" s="8"/>
      <c r="G358" s="8" t="str">
        <f t="shared" si="3"/>
        <v>3</v>
      </c>
      <c r="H358" s="9">
        <f t="shared" si="4"/>
        <v>3</v>
      </c>
      <c r="I358" s="10">
        <f>IFERROR(__xludf.DUMMYFUNCTION("MAX(FILTER($H:$H,$E:$E=F358))"),0.0)</f>
        <v>0</v>
      </c>
    </row>
    <row r="359">
      <c r="C359" s="4" t="s">
        <v>2905</v>
      </c>
      <c r="D359" s="4" t="str">
        <f t="shared" si="1"/>
        <v>{"valorA":"ótimo","valorB":39}</v>
      </c>
      <c r="E359" s="8" t="str">
        <f t="shared" si="2"/>
        <v>ótimo</v>
      </c>
      <c r="F359" s="8"/>
      <c r="G359" s="8" t="str">
        <f t="shared" si="3"/>
        <v>39</v>
      </c>
      <c r="H359" s="9">
        <f t="shared" si="4"/>
        <v>39</v>
      </c>
      <c r="I359" s="10">
        <f>IFERROR(__xludf.DUMMYFUNCTION("MAX(FILTER($H:$H,$E:$E=F359))"),0.0)</f>
        <v>0</v>
      </c>
    </row>
    <row r="360">
      <c r="C360" s="4" t="s">
        <v>3172</v>
      </c>
      <c r="D360" s="4" t="str">
        <f t="shared" si="1"/>
        <v>{"valorA":"preço","valorB":12}</v>
      </c>
      <c r="E360" s="8" t="str">
        <f t="shared" si="2"/>
        <v>preço</v>
      </c>
      <c r="F360" s="8"/>
      <c r="G360" s="8" t="str">
        <f t="shared" si="3"/>
        <v>12</v>
      </c>
      <c r="H360" s="9">
        <f t="shared" si="4"/>
        <v>12</v>
      </c>
      <c r="I360" s="10">
        <f>IFERROR(__xludf.DUMMYFUNCTION("MAX(FILTER($H:$H,$E:$E=F360))"),0.0)</f>
        <v>0</v>
      </c>
    </row>
    <row r="361">
      <c r="C361" s="4" t="s">
        <v>2836</v>
      </c>
      <c r="D361" s="4" t="str">
        <f t="shared" si="1"/>
        <v>{"valorA":"do","valorB":4}</v>
      </c>
      <c r="E361" s="8" t="str">
        <f t="shared" si="2"/>
        <v>do</v>
      </c>
      <c r="F361" s="8"/>
      <c r="G361" s="8" t="str">
        <f t="shared" si="3"/>
        <v>4</v>
      </c>
      <c r="H361" s="9">
        <f t="shared" si="4"/>
        <v>4</v>
      </c>
      <c r="I361" s="10">
        <f>IFERROR(__xludf.DUMMYFUNCTION("MAX(FILTER($H:$H,$E:$E=F361))"),0.0)</f>
        <v>0</v>
      </c>
    </row>
    <row r="362">
      <c r="C362" s="4" t="s">
        <v>2834</v>
      </c>
      <c r="D362" s="4" t="str">
        <f t="shared" si="1"/>
        <v>{"valorA":"gostei","valorB":4}</v>
      </c>
      <c r="E362" s="8" t="str">
        <f t="shared" si="2"/>
        <v>gostei</v>
      </c>
      <c r="F362" s="8"/>
      <c r="G362" s="8" t="str">
        <f t="shared" si="3"/>
        <v>4</v>
      </c>
      <c r="H362" s="9">
        <f t="shared" si="4"/>
        <v>4</v>
      </c>
      <c r="I362" s="10">
        <f>IFERROR(__xludf.DUMMYFUNCTION("MAX(FILTER($H:$H,$E:$E=F362))"),0.0)</f>
        <v>0</v>
      </c>
    </row>
    <row r="363">
      <c r="C363" s="4" t="s">
        <v>3730</v>
      </c>
      <c r="D363" s="4" t="str">
        <f t="shared" si="1"/>
        <v>{"valorA":"também","valorB":2}</v>
      </c>
      <c r="E363" s="8" t="str">
        <f t="shared" si="2"/>
        <v>também</v>
      </c>
      <c r="F363" s="8"/>
      <c r="G363" s="8" t="str">
        <f t="shared" si="3"/>
        <v>2</v>
      </c>
      <c r="H363" s="9">
        <f t="shared" si="4"/>
        <v>2</v>
      </c>
      <c r="I363" s="10">
        <f>IFERROR(__xludf.DUMMYFUNCTION("MAX(FILTER($H:$H,$E:$E=F363))"),0.0)</f>
        <v>0</v>
      </c>
    </row>
    <row r="364">
      <c r="C364" s="4" t="s">
        <v>3203</v>
      </c>
      <c r="D364" s="4" t="str">
        <f t="shared" si="1"/>
        <v>{"valorA":"bom","valorB":6}</v>
      </c>
      <c r="E364" s="8" t="str">
        <f t="shared" si="2"/>
        <v>bom</v>
      </c>
      <c r="F364" s="8"/>
      <c r="G364" s="8" t="str">
        <f t="shared" si="3"/>
        <v>6</v>
      </c>
      <c r="H364" s="9">
        <f t="shared" si="4"/>
        <v>6</v>
      </c>
      <c r="I364" s="10">
        <f>IFERROR(__xludf.DUMMYFUNCTION("MAX(FILTER($H:$H,$E:$E=F364))"),0.0)</f>
        <v>0</v>
      </c>
    </row>
    <row r="365">
      <c r="C365" s="4" t="s">
        <v>3198</v>
      </c>
      <c r="D365" s="4" t="str">
        <f t="shared" si="1"/>
        <v>{"valorA":"muito","valorB":15}</v>
      </c>
      <c r="E365" s="8" t="str">
        <f t="shared" si="2"/>
        <v>muito</v>
      </c>
      <c r="F365" s="8"/>
      <c r="G365" s="8" t="str">
        <f t="shared" si="3"/>
        <v>15</v>
      </c>
      <c r="H365" s="9">
        <f t="shared" si="4"/>
        <v>15</v>
      </c>
      <c r="I365" s="10">
        <f>IFERROR(__xludf.DUMMYFUNCTION("MAX(FILTER($H:$H,$E:$E=F365))"),0.0)</f>
        <v>0</v>
      </c>
    </row>
    <row r="366">
      <c r="C366" s="4" t="s">
        <v>2892</v>
      </c>
      <c r="D366" s="4" t="str">
        <f t="shared" si="1"/>
        <v>{"valorA":"produto","valorB":22}</v>
      </c>
      <c r="E366" s="8" t="str">
        <f t="shared" si="2"/>
        <v>produto</v>
      </c>
      <c r="F366" s="8"/>
      <c r="G366" s="8" t="str">
        <f t="shared" si="3"/>
        <v>22</v>
      </c>
      <c r="H366" s="9">
        <f t="shared" si="4"/>
        <v>22</v>
      </c>
      <c r="I366" s="10">
        <f>IFERROR(__xludf.DUMMYFUNCTION("MAX(FILTER($H:$H,$E:$E=F366))"),0.0)</f>
        <v>0</v>
      </c>
    </row>
    <row r="367">
      <c r="C367" s="4" t="s">
        <v>2914</v>
      </c>
      <c r="D367" s="4" t="str">
        <f t="shared" si="1"/>
        <v>{"valorA":"ótimo","valorB":40}</v>
      </c>
      <c r="E367" s="8" t="str">
        <f t="shared" si="2"/>
        <v>ótimo</v>
      </c>
      <c r="F367" s="8"/>
      <c r="G367" s="8" t="str">
        <f t="shared" si="3"/>
        <v>40</v>
      </c>
      <c r="H367" s="9">
        <f t="shared" si="4"/>
        <v>40</v>
      </c>
      <c r="I367" s="10">
        <f>IFERROR(__xludf.DUMMYFUNCTION("MAX(FILTER($H:$H,$E:$E=F367))"),0.0)</f>
        <v>0</v>
      </c>
    </row>
    <row r="368">
      <c r="C368" s="4" t="s">
        <v>3164</v>
      </c>
      <c r="D368" s="4" t="str">
        <f t="shared" si="1"/>
        <v>{"valorA":"e","valorB":15}</v>
      </c>
      <c r="E368" s="8" t="str">
        <f t="shared" si="2"/>
        <v>e</v>
      </c>
      <c r="F368" s="8"/>
      <c r="G368" s="8" t="str">
        <f t="shared" si="3"/>
        <v>15</v>
      </c>
      <c r="H368" s="9">
        <f t="shared" si="4"/>
        <v>15</v>
      </c>
      <c r="I368" s="10">
        <f>IFERROR(__xludf.DUMMYFUNCTION("MAX(FILTER($H:$H,$E:$E=F368))"),0.0)</f>
        <v>0</v>
      </c>
    </row>
    <row r="369">
      <c r="C369" s="4" t="s">
        <v>2880</v>
      </c>
      <c r="D369" s="4" t="str">
        <f t="shared" si="1"/>
        <v>{"valorA":"é","valorB":7}</v>
      </c>
      <c r="E369" s="8" t="str">
        <f t="shared" si="2"/>
        <v>é</v>
      </c>
      <c r="F369" s="8"/>
      <c r="G369" s="8" t="str">
        <f t="shared" si="3"/>
        <v>7</v>
      </c>
      <c r="H369" s="9">
        <f t="shared" si="4"/>
        <v>7</v>
      </c>
      <c r="I369" s="10">
        <f>IFERROR(__xludf.DUMMYFUNCTION("MAX(FILTER($H:$H,$E:$E=F369))"),0.0)</f>
        <v>0</v>
      </c>
    </row>
    <row r="370">
      <c r="C370" s="4" t="s">
        <v>7533</v>
      </c>
      <c r="D370" s="4" t="str">
        <f t="shared" si="1"/>
        <v>{"valorA":"também","valorB":3}</v>
      </c>
      <c r="E370" s="8" t="str">
        <f t="shared" si="2"/>
        <v>também</v>
      </c>
      <c r="F370" s="8"/>
      <c r="G370" s="8" t="str">
        <f t="shared" si="3"/>
        <v>3</v>
      </c>
      <c r="H370" s="9">
        <f t="shared" si="4"/>
        <v>3</v>
      </c>
      <c r="I370" s="10">
        <f>IFERROR(__xludf.DUMMYFUNCTION("MAX(FILTER($H:$H,$E:$E=F370))"),0.0)</f>
        <v>0</v>
      </c>
    </row>
    <row r="371">
      <c r="C371" s="4" t="s">
        <v>3242</v>
      </c>
      <c r="D371" s="4" t="str">
        <f t="shared" si="1"/>
        <v>{"valorA":"qualidade","valorB":6}</v>
      </c>
      <c r="E371" s="8" t="str">
        <f t="shared" si="2"/>
        <v>qualidade</v>
      </c>
      <c r="F371" s="8"/>
      <c r="G371" s="8" t="str">
        <f t="shared" si="3"/>
        <v>6</v>
      </c>
      <c r="H371" s="9">
        <f t="shared" si="4"/>
        <v>6</v>
      </c>
      <c r="I371" s="10">
        <f>IFERROR(__xludf.DUMMYFUNCTION("MAX(FILTER($H:$H,$E:$E=F371))"),0.0)</f>
        <v>0</v>
      </c>
    </row>
    <row r="372">
      <c r="C372" s="4" t="s">
        <v>3210</v>
      </c>
      <c r="D372" s="4" t="str">
        <f t="shared" si="1"/>
        <v>{"valorA":"preço","valorB":13}</v>
      </c>
      <c r="E372" s="8" t="str">
        <f t="shared" si="2"/>
        <v>preço</v>
      </c>
      <c r="F372" s="8"/>
      <c r="G372" s="8" t="str">
        <f t="shared" si="3"/>
        <v>13</v>
      </c>
      <c r="H372" s="9">
        <f t="shared" si="4"/>
        <v>13</v>
      </c>
      <c r="I372" s="10">
        <f>IFERROR(__xludf.DUMMYFUNCTION("MAX(FILTER($H:$H,$E:$E=F372))"),0.0)</f>
        <v>0</v>
      </c>
    </row>
    <row r="373">
      <c r="C373" s="4" t="s">
        <v>2918</v>
      </c>
      <c r="D373" s="4" t="str">
        <f t="shared" si="1"/>
        <v>{"valorA":"gostei","valorB":5}</v>
      </c>
      <c r="E373" s="8" t="str">
        <f t="shared" si="2"/>
        <v>gostei</v>
      </c>
      <c r="F373" s="8"/>
      <c r="G373" s="8" t="str">
        <f t="shared" si="3"/>
        <v>5</v>
      </c>
      <c r="H373" s="9">
        <f t="shared" si="4"/>
        <v>5</v>
      </c>
      <c r="I373" s="10">
        <f>IFERROR(__xludf.DUMMYFUNCTION("MAX(FILTER($H:$H,$E:$E=F373))"),0.0)</f>
        <v>0</v>
      </c>
    </row>
    <row r="374">
      <c r="C374" s="4" t="s">
        <v>3092</v>
      </c>
      <c r="D374" s="4" t="str">
        <f t="shared" si="1"/>
        <v>{"valorA":"boa","valorB":1}</v>
      </c>
      <c r="E374" s="8" t="str">
        <f t="shared" si="2"/>
        <v>boa</v>
      </c>
      <c r="F374" s="8"/>
      <c r="G374" s="8" t="str">
        <f t="shared" si="3"/>
        <v>1</v>
      </c>
      <c r="H374" s="9">
        <f t="shared" si="4"/>
        <v>1</v>
      </c>
      <c r="I374" s="10">
        <f>IFERROR(__xludf.DUMMYFUNCTION("MAX(FILTER($H:$H,$E:$E=F374))"),0.0)</f>
        <v>0</v>
      </c>
    </row>
    <row r="375">
      <c r="C375" s="4" t="s">
        <v>2925</v>
      </c>
      <c r="D375" s="4" t="str">
        <f t="shared" si="1"/>
        <v>{"valorA":"ótimo","valorB":41}</v>
      </c>
      <c r="E375" s="8" t="str">
        <f t="shared" si="2"/>
        <v>ótimo</v>
      </c>
      <c r="F375" s="8"/>
      <c r="G375" s="8" t="str">
        <f t="shared" si="3"/>
        <v>41</v>
      </c>
      <c r="H375" s="9">
        <f t="shared" si="4"/>
        <v>41</v>
      </c>
      <c r="I375" s="10">
        <f>IFERROR(__xludf.DUMMYFUNCTION("MAX(FILTER($H:$H,$E:$E=F375))"),0.0)</f>
        <v>0</v>
      </c>
    </row>
    <row r="376">
      <c r="C376" s="4" t="s">
        <v>2903</v>
      </c>
      <c r="D376" s="4" t="str">
        <f t="shared" si="1"/>
        <v>{"valorA":"do","valorB":5}</v>
      </c>
      <c r="E376" s="8" t="str">
        <f t="shared" si="2"/>
        <v>do</v>
      </c>
      <c r="F376" s="8"/>
      <c r="G376" s="8" t="str">
        <f t="shared" si="3"/>
        <v>5</v>
      </c>
      <c r="H376" s="9">
        <f t="shared" si="4"/>
        <v>5</v>
      </c>
      <c r="I376" s="10">
        <f>IFERROR(__xludf.DUMMYFUNCTION("MAX(FILTER($H:$H,$E:$E=F376))"),0.0)</f>
        <v>0</v>
      </c>
    </row>
    <row r="377">
      <c r="C377" s="4" t="s">
        <v>7534</v>
      </c>
      <c r="D377" s="4" t="str">
        <f t="shared" si="1"/>
        <v>{"valorA":"tamanho","valorB":1}</v>
      </c>
      <c r="E377" s="8" t="str">
        <f t="shared" si="2"/>
        <v>tamanho</v>
      </c>
      <c r="F377" s="8"/>
      <c r="G377" s="8" t="str">
        <f t="shared" si="3"/>
        <v>1</v>
      </c>
      <c r="H377" s="9">
        <f t="shared" si="4"/>
        <v>1</v>
      </c>
      <c r="I377" s="10">
        <f>IFERROR(__xludf.DUMMYFUNCTION("MAX(FILTER($H:$H,$E:$E=F377))"),0.0)</f>
        <v>0</v>
      </c>
    </row>
    <row r="378">
      <c r="C378" s="4" t="s">
        <v>3099</v>
      </c>
      <c r="D378" s="4" t="str">
        <f t="shared" si="1"/>
        <v>{"valorA":"tablet","valorB":3}</v>
      </c>
      <c r="E378" s="8" t="str">
        <f t="shared" si="2"/>
        <v>tablet</v>
      </c>
      <c r="F378" s="8"/>
      <c r="G378" s="8" t="str">
        <f t="shared" si="3"/>
        <v>3</v>
      </c>
      <c r="H378" s="9">
        <f t="shared" si="4"/>
        <v>3</v>
      </c>
      <c r="I378" s="10">
        <f>IFERROR(__xludf.DUMMYFUNCTION("MAX(FILTER($H:$H,$E:$E=F378))"),0.0)</f>
        <v>0</v>
      </c>
    </row>
    <row r="379">
      <c r="C379" s="4" t="s">
        <v>3215</v>
      </c>
      <c r="D379" s="4" t="str">
        <f t="shared" si="1"/>
        <v>{"valorA":"muito","valorB":16}</v>
      </c>
      <c r="E379" s="8" t="str">
        <f t="shared" si="2"/>
        <v>muito</v>
      </c>
      <c r="F379" s="8"/>
      <c r="G379" s="8" t="str">
        <f t="shared" si="3"/>
        <v>16</v>
      </c>
      <c r="H379" s="9">
        <f t="shared" si="4"/>
        <v>16</v>
      </c>
      <c r="I379" s="10">
        <f>IFERROR(__xludf.DUMMYFUNCTION("MAX(FILTER($H:$H,$E:$E=F379))"),0.0)</f>
        <v>0</v>
      </c>
    </row>
    <row r="380">
      <c r="C380" s="4" t="s">
        <v>3177</v>
      </c>
      <c r="D380" s="4" t="str">
        <f t="shared" si="1"/>
        <v>{"valorA":"e","valorB":16}</v>
      </c>
      <c r="E380" s="8" t="str">
        <f t="shared" si="2"/>
        <v>e</v>
      </c>
      <c r="F380" s="8"/>
      <c r="G380" s="8" t="str">
        <f t="shared" si="3"/>
        <v>16</v>
      </c>
      <c r="H380" s="9">
        <f t="shared" si="4"/>
        <v>16</v>
      </c>
      <c r="I380" s="10">
        <f>IFERROR(__xludf.DUMMYFUNCTION("MAX(FILTER($H:$H,$E:$E=F380))"),0.0)</f>
        <v>0</v>
      </c>
    </row>
    <row r="381">
      <c r="C381" s="4" t="s">
        <v>2932</v>
      </c>
      <c r="D381" s="4" t="str">
        <f t="shared" si="1"/>
        <v>{"valorA":"gostei","valorB":6}</v>
      </c>
      <c r="E381" s="8" t="str">
        <f t="shared" si="2"/>
        <v>gostei</v>
      </c>
      <c r="F381" s="8"/>
      <c r="G381" s="8" t="str">
        <f t="shared" si="3"/>
        <v>6</v>
      </c>
      <c r="H381" s="9">
        <f t="shared" si="4"/>
        <v>6</v>
      </c>
      <c r="I381" s="10">
        <f>IFERROR(__xludf.DUMMYFUNCTION("MAX(FILTER($H:$H,$E:$E=F381))"),0.0)</f>
        <v>0</v>
      </c>
    </row>
    <row r="382">
      <c r="C382" s="4" t="s">
        <v>3766</v>
      </c>
      <c r="D382" s="4" t="str">
        <f t="shared" si="1"/>
        <v>{"valorA":"das","valorB":1}</v>
      </c>
      <c r="E382" s="8" t="str">
        <f t="shared" si="2"/>
        <v>das</v>
      </c>
      <c r="F382" s="8"/>
      <c r="G382" s="8" t="str">
        <f t="shared" si="3"/>
        <v>1</v>
      </c>
      <c r="H382" s="9">
        <f t="shared" si="4"/>
        <v>1</v>
      </c>
      <c r="I382" s="10">
        <f>IFERROR(__xludf.DUMMYFUNCTION("MAX(FILTER($H:$H,$E:$E=F382))"),0.0)</f>
        <v>0</v>
      </c>
    </row>
    <row r="383">
      <c r="C383" s="4" t="s">
        <v>7535</v>
      </c>
      <c r="D383" s="4" t="str">
        <f t="shared" si="1"/>
        <v>{"valorA":"características","valorB":1}</v>
      </c>
      <c r="E383" s="8" t="str">
        <f t="shared" si="2"/>
        <v>características</v>
      </c>
      <c r="F383" s="8"/>
      <c r="G383" s="8" t="str">
        <f t="shared" si="3"/>
        <v>1</v>
      </c>
      <c r="H383" s="9">
        <f t="shared" si="4"/>
        <v>1</v>
      </c>
      <c r="I383" s="10">
        <f>IFERROR(__xludf.DUMMYFUNCTION("MAX(FILTER($H:$H,$E:$E=F383))"),0.0)</f>
        <v>0</v>
      </c>
    </row>
    <row r="384">
      <c r="C384" s="4" t="s">
        <v>2929</v>
      </c>
      <c r="D384" s="4" t="str">
        <f t="shared" si="1"/>
        <v>{"valorA":"ótimo","valorB":42}</v>
      </c>
      <c r="E384" s="8" t="str">
        <f t="shared" si="2"/>
        <v>ótimo</v>
      </c>
      <c r="F384" s="8"/>
      <c r="G384" s="8" t="str">
        <f t="shared" si="3"/>
        <v>42</v>
      </c>
      <c r="H384" s="9">
        <f t="shared" si="4"/>
        <v>42</v>
      </c>
      <c r="I384" s="10">
        <f>IFERROR(__xludf.DUMMYFUNCTION("MAX(FILTER($H:$H,$E:$E=F384))"),0.0)</f>
        <v>0</v>
      </c>
    </row>
    <row r="385">
      <c r="C385" s="4" t="s">
        <v>2899</v>
      </c>
      <c r="D385" s="4" t="str">
        <f t="shared" si="1"/>
        <v>{"valorA":"produto","valorB":23}</v>
      </c>
      <c r="E385" s="8" t="str">
        <f t="shared" si="2"/>
        <v>produto</v>
      </c>
      <c r="F385" s="8"/>
      <c r="G385" s="8" t="str">
        <f t="shared" si="3"/>
        <v>23</v>
      </c>
      <c r="H385" s="9">
        <f t="shared" si="4"/>
        <v>23</v>
      </c>
      <c r="I385" s="10">
        <f>IFERROR(__xludf.DUMMYFUNCTION("MAX(FILTER($H:$H,$E:$E=F385))"),0.0)</f>
        <v>0</v>
      </c>
    </row>
    <row r="386">
      <c r="C386" s="4" t="s">
        <v>2648</v>
      </c>
      <c r="D386" s="4" t="str">
        <f t="shared" si="1"/>
        <v>{"valorA":"resultado","valorB":1}</v>
      </c>
      <c r="E386" s="8" t="str">
        <f t="shared" si="2"/>
        <v>resultado</v>
      </c>
      <c r="F386" s="8"/>
      <c r="G386" s="8" t="str">
        <f t="shared" si="3"/>
        <v>1</v>
      </c>
      <c r="H386" s="9">
        <f t="shared" si="4"/>
        <v>1</v>
      </c>
      <c r="I386" s="10">
        <f>IFERROR(__xludf.DUMMYFUNCTION("MAX(FILTER($H:$H,$E:$E=F386))"),0.0)</f>
        <v>0</v>
      </c>
    </row>
    <row r="387">
      <c r="C387" s="4" t="s">
        <v>3224</v>
      </c>
      <c r="D387" s="4" t="str">
        <f t="shared" si="1"/>
        <v>{"valorA":"muito","valorB":17}</v>
      </c>
      <c r="E387" s="8" t="str">
        <f t="shared" si="2"/>
        <v>muito</v>
      </c>
      <c r="F387" s="8"/>
      <c r="G387" s="8" t="str">
        <f t="shared" si="3"/>
        <v>17</v>
      </c>
      <c r="H387" s="9">
        <f t="shared" si="4"/>
        <v>17</v>
      </c>
      <c r="I387" s="10">
        <f>IFERROR(__xludf.DUMMYFUNCTION("MAX(FILTER($H:$H,$E:$E=F387))"),0.0)</f>
        <v>0</v>
      </c>
    </row>
    <row r="388">
      <c r="C388" s="4" t="s">
        <v>3095</v>
      </c>
      <c r="D388" s="4" t="str">
        <f t="shared" si="1"/>
        <v>{"valorA":"valorizado","valorB":1}</v>
      </c>
      <c r="E388" s="8" t="str">
        <f t="shared" si="2"/>
        <v>valorizado</v>
      </c>
      <c r="F388" s="8"/>
      <c r="G388" s="8" t="str">
        <f t="shared" si="3"/>
        <v>1</v>
      </c>
      <c r="H388" s="9">
        <f t="shared" si="4"/>
        <v>1</v>
      </c>
      <c r="I388" s="10">
        <f>IFERROR(__xludf.DUMMYFUNCTION("MAX(FILTER($H:$H,$E:$E=F388))"),0.0)</f>
        <v>0</v>
      </c>
    </row>
    <row r="389">
      <c r="C389" s="4" t="s">
        <v>3488</v>
      </c>
      <c r="D389" s="4" t="str">
        <f t="shared" si="1"/>
        <v>{"valorA":"bem","valorB":11}</v>
      </c>
      <c r="E389" s="8" t="str">
        <f t="shared" si="2"/>
        <v>bem</v>
      </c>
      <c r="F389" s="8"/>
      <c r="G389" s="8" t="str">
        <f t="shared" si="3"/>
        <v>11</v>
      </c>
      <c r="H389" s="9">
        <f t="shared" si="4"/>
        <v>11</v>
      </c>
      <c r="I389" s="10">
        <f>IFERROR(__xludf.DUMMYFUNCTION("MAX(FILTER($H:$H,$E:$E=F389))"),0.0)</f>
        <v>0</v>
      </c>
    </row>
    <row r="390">
      <c r="C390" s="4" t="s">
        <v>3741</v>
      </c>
      <c r="D390" s="4" t="str">
        <f t="shared" si="1"/>
        <v>{"valorA":"gostei","valorB":7}</v>
      </c>
      <c r="E390" s="8" t="str">
        <f t="shared" si="2"/>
        <v>gostei</v>
      </c>
      <c r="F390" s="8"/>
      <c r="G390" s="8" t="str">
        <f t="shared" si="3"/>
        <v>7</v>
      </c>
      <c r="H390" s="9">
        <f t="shared" si="4"/>
        <v>7</v>
      </c>
      <c r="I390" s="10">
        <f>IFERROR(__xludf.DUMMYFUNCTION("MAX(FILTER($H:$H,$E:$E=F390))"),0.0)</f>
        <v>0</v>
      </c>
    </row>
    <row r="391">
      <c r="C391" s="4" t="s">
        <v>3742</v>
      </c>
      <c r="D391" s="4" t="str">
        <f t="shared" si="1"/>
        <v>{"valorA":"do","valorB":6}</v>
      </c>
      <c r="E391" s="8" t="str">
        <f t="shared" si="2"/>
        <v>do</v>
      </c>
      <c r="F391" s="8"/>
      <c r="G391" s="8" t="str">
        <f t="shared" si="3"/>
        <v>6</v>
      </c>
      <c r="H391" s="9">
        <f t="shared" si="4"/>
        <v>6</v>
      </c>
      <c r="I391" s="10">
        <f>IFERROR(__xludf.DUMMYFUNCTION("MAX(FILTER($H:$H,$E:$E=F391))"),0.0)</f>
        <v>0</v>
      </c>
    </row>
    <row r="392">
      <c r="C392" s="4" t="s">
        <v>2935</v>
      </c>
      <c r="D392" s="4" t="str">
        <f t="shared" si="1"/>
        <v>{"valorA":"ótimo","valorB":43}</v>
      </c>
      <c r="E392" s="8" t="str">
        <f t="shared" si="2"/>
        <v>ótimo</v>
      </c>
      <c r="F392" s="8"/>
      <c r="G392" s="8" t="str">
        <f t="shared" si="3"/>
        <v>43</v>
      </c>
      <c r="H392" s="9">
        <f t="shared" si="4"/>
        <v>43</v>
      </c>
      <c r="I392" s="10">
        <f>IFERROR(__xludf.DUMMYFUNCTION("MAX(FILTER($H:$H,$E:$E=F392))"),0.0)</f>
        <v>0</v>
      </c>
    </row>
    <row r="393">
      <c r="C393" s="4" t="s">
        <v>3507</v>
      </c>
      <c r="D393" s="4" t="str">
        <f t="shared" si="1"/>
        <v>{"valorA":"bem","valorB":12}</v>
      </c>
      <c r="E393" s="8" t="str">
        <f t="shared" si="2"/>
        <v>bem</v>
      </c>
      <c r="F393" s="8"/>
      <c r="G393" s="8" t="str">
        <f t="shared" si="3"/>
        <v>12</v>
      </c>
      <c r="H393" s="9">
        <f t="shared" si="4"/>
        <v>12</v>
      </c>
      <c r="I393" s="10">
        <f>IFERROR(__xludf.DUMMYFUNCTION("MAX(FILTER($H:$H,$E:$E=F393))"),0.0)</f>
        <v>0</v>
      </c>
    </row>
    <row r="394">
      <c r="C394" s="4" t="s">
        <v>3243</v>
      </c>
      <c r="D394" s="4" t="str">
        <f t="shared" si="1"/>
        <v>{"valorA":"muito","valorB":18}</v>
      </c>
      <c r="E394" s="8" t="str">
        <f t="shared" si="2"/>
        <v>muito</v>
      </c>
      <c r="F394" s="8"/>
      <c r="G394" s="8" t="str">
        <f t="shared" si="3"/>
        <v>18</v>
      </c>
      <c r="H394" s="9">
        <f t="shared" si="4"/>
        <v>18</v>
      </c>
      <c r="I394" s="10">
        <f>IFERROR(__xludf.DUMMYFUNCTION("MAX(FILTER($H:$H,$E:$E=F394))"),0.0)</f>
        <v>0</v>
      </c>
    </row>
    <row r="395">
      <c r="C395" s="4" t="s">
        <v>2907</v>
      </c>
      <c r="D395" s="4" t="str">
        <f t="shared" si="1"/>
        <v>{"valorA":"produto","valorB":24}</v>
      </c>
      <c r="E395" s="8" t="str">
        <f t="shared" si="2"/>
        <v>produto</v>
      </c>
      <c r="F395" s="8"/>
      <c r="G395" s="8" t="str">
        <f t="shared" si="3"/>
        <v>24</v>
      </c>
      <c r="H395" s="9">
        <f t="shared" si="4"/>
        <v>24</v>
      </c>
      <c r="I395" s="10">
        <f>IFERROR(__xludf.DUMMYFUNCTION("MAX(FILTER($H:$H,$E:$E=F395))"),0.0)</f>
        <v>0</v>
      </c>
    </row>
    <row r="396">
      <c r="C396" s="4" t="s">
        <v>3214</v>
      </c>
      <c r="D396" s="4" t="str">
        <f t="shared" si="1"/>
        <v>{"valorA":"valorizado","valorB":2}</v>
      </c>
      <c r="E396" s="8" t="str">
        <f t="shared" si="2"/>
        <v>valorizado</v>
      </c>
      <c r="F396" s="8"/>
      <c r="G396" s="8" t="str">
        <f t="shared" si="3"/>
        <v>2</v>
      </c>
      <c r="H396" s="9">
        <f t="shared" si="4"/>
        <v>2</v>
      </c>
      <c r="I396" s="10">
        <f>IFERROR(__xludf.DUMMYFUNCTION("MAX(FILTER($H:$H,$E:$E=F396))"),0.0)</f>
        <v>0</v>
      </c>
    </row>
    <row r="397">
      <c r="C397" s="4" t="s">
        <v>2824</v>
      </c>
      <c r="D397" s="4" t="str">
        <f t="shared" si="1"/>
        <v>{"valorA":"que","valorB":6}</v>
      </c>
      <c r="E397" s="8" t="str">
        <f t="shared" si="2"/>
        <v>que</v>
      </c>
      <c r="F397" s="8"/>
      <c r="G397" s="8" t="str">
        <f t="shared" si="3"/>
        <v>6</v>
      </c>
      <c r="H397" s="9">
        <f t="shared" si="4"/>
        <v>6</v>
      </c>
      <c r="I397" s="10">
        <f>IFERROR(__xludf.DUMMYFUNCTION("MAX(FILTER($H:$H,$E:$E=F397))"),0.0)</f>
        <v>0</v>
      </c>
    </row>
    <row r="398">
      <c r="C398" s="4" t="s">
        <v>3407</v>
      </c>
      <c r="D398" s="4" t="str">
        <f t="shared" si="1"/>
        <v>{"valorA":"o","valorB":9}</v>
      </c>
      <c r="E398" s="8" t="str">
        <f t="shared" si="2"/>
        <v>o</v>
      </c>
      <c r="F398" s="8"/>
      <c r="G398" s="8" t="str">
        <f t="shared" si="3"/>
        <v>9</v>
      </c>
      <c r="H398" s="9">
        <f t="shared" si="4"/>
        <v>9</v>
      </c>
      <c r="I398" s="10">
        <f>IFERROR(__xludf.DUMMYFUNCTION("MAX(FILTER($H:$H,$E:$E=F398))"),0.0)</f>
        <v>0</v>
      </c>
    </row>
    <row r="399">
      <c r="C399" s="4" t="s">
        <v>3217</v>
      </c>
      <c r="D399" s="4" t="str">
        <f t="shared" si="1"/>
        <v>{"valorA":"preço","valorB":14}</v>
      </c>
      <c r="E399" s="8" t="str">
        <f t="shared" si="2"/>
        <v>preço</v>
      </c>
      <c r="F399" s="8"/>
      <c r="G399" s="8" t="str">
        <f t="shared" si="3"/>
        <v>14</v>
      </c>
      <c r="H399" s="9">
        <f t="shared" si="4"/>
        <v>14</v>
      </c>
      <c r="I399" s="10">
        <f>IFERROR(__xludf.DUMMYFUNCTION("MAX(FILTER($H:$H,$E:$E=F399))"),0.0)</f>
        <v>0</v>
      </c>
    </row>
    <row r="400">
      <c r="C400" s="4" t="s">
        <v>3780</v>
      </c>
      <c r="D400" s="4" t="str">
        <f t="shared" si="1"/>
        <v>{"valorA":"paguei","valorB":5}</v>
      </c>
      <c r="E400" s="8" t="str">
        <f t="shared" si="2"/>
        <v>paguei</v>
      </c>
      <c r="F400" s="8"/>
      <c r="G400" s="8" t="str">
        <f t="shared" si="3"/>
        <v>5</v>
      </c>
      <c r="H400" s="9">
        <f t="shared" si="4"/>
        <v>5</v>
      </c>
      <c r="I400" s="10">
        <f>IFERROR(__xludf.DUMMYFUNCTION("MAX(FILTER($H:$H,$E:$E=F400))"),0.0)</f>
        <v>0</v>
      </c>
    </row>
    <row r="401">
      <c r="C401" s="4" t="s">
        <v>7536</v>
      </c>
      <c r="D401" s="4" t="str">
        <f t="shared" si="1"/>
        <v>{"valorA":"comprai","valorB":1}</v>
      </c>
      <c r="E401" s="8" t="str">
        <f t="shared" si="2"/>
        <v>comprai</v>
      </c>
      <c r="F401" s="8"/>
      <c r="G401" s="8" t="str">
        <f t="shared" si="3"/>
        <v>1</v>
      </c>
      <c r="H401" s="9">
        <f t="shared" si="4"/>
        <v>1</v>
      </c>
      <c r="I401" s="10">
        <f>IFERROR(__xludf.DUMMYFUNCTION("MAX(FILTER($H:$H,$E:$E=F401))"),0.0)</f>
        <v>0</v>
      </c>
    </row>
    <row r="402">
      <c r="C402" s="4" t="s">
        <v>2945</v>
      </c>
      <c r="D402" s="4" t="str">
        <f t="shared" si="1"/>
        <v>{"valorA":"ótimo","valorB":44}</v>
      </c>
      <c r="E402" s="8" t="str">
        <f t="shared" si="2"/>
        <v>ótimo</v>
      </c>
      <c r="F402" s="8"/>
      <c r="G402" s="8" t="str">
        <f t="shared" si="3"/>
        <v>44</v>
      </c>
      <c r="H402" s="9">
        <f t="shared" si="4"/>
        <v>44</v>
      </c>
      <c r="I402" s="10">
        <f>IFERROR(__xludf.DUMMYFUNCTION("MAX(FILTER($H:$H,$E:$E=F402))"),0.0)</f>
        <v>0</v>
      </c>
    </row>
    <row r="403">
      <c r="C403" s="4" t="s">
        <v>2927</v>
      </c>
      <c r="D403" s="4" t="str">
        <f t="shared" si="1"/>
        <v>{"valorA":"com","valorB":3}</v>
      </c>
      <c r="E403" s="8" t="str">
        <f t="shared" si="2"/>
        <v>com</v>
      </c>
      <c r="F403" s="8"/>
      <c r="G403" s="8" t="str">
        <f t="shared" si="3"/>
        <v>3</v>
      </c>
      <c r="H403" s="9">
        <f t="shared" si="4"/>
        <v>3</v>
      </c>
      <c r="I403" s="10">
        <f>IFERROR(__xludf.DUMMYFUNCTION("MAX(FILTER($H:$H,$E:$E=F403))"),0.0)</f>
        <v>0</v>
      </c>
    </row>
    <row r="404">
      <c r="C404" s="4" t="s">
        <v>7537</v>
      </c>
      <c r="D404" s="4" t="str">
        <f t="shared" si="1"/>
        <v>{"valorA":"confiança","valorB":1}</v>
      </c>
      <c r="E404" s="8" t="str">
        <f t="shared" si="2"/>
        <v>confiança</v>
      </c>
      <c r="F404" s="8"/>
      <c r="G404" s="8" t="str">
        <f t="shared" si="3"/>
        <v>1</v>
      </c>
      <c r="H404" s="9">
        <f t="shared" si="4"/>
        <v>1</v>
      </c>
      <c r="I404" s="10">
        <f>IFERROR(__xludf.DUMMYFUNCTION("MAX(FILTER($H:$H,$E:$E=F404))"),0.0)</f>
        <v>0</v>
      </c>
    </row>
    <row r="405">
      <c r="C405" s="4" t="s">
        <v>2916</v>
      </c>
      <c r="D405" s="4" t="str">
        <f t="shared" si="1"/>
        <v>{"valorA":"produto","valorB":25}</v>
      </c>
      <c r="E405" s="8" t="str">
        <f t="shared" si="2"/>
        <v>produto</v>
      </c>
      <c r="F405" s="8"/>
      <c r="G405" s="8" t="str">
        <f t="shared" si="3"/>
        <v>25</v>
      </c>
      <c r="H405" s="9">
        <f t="shared" si="4"/>
        <v>25</v>
      </c>
      <c r="I405" s="10">
        <f>IFERROR(__xludf.DUMMYFUNCTION("MAX(FILTER($H:$H,$E:$E=F405))"),0.0)</f>
        <v>0</v>
      </c>
    </row>
    <row r="406">
      <c r="C406" s="4" t="s">
        <v>3439</v>
      </c>
      <c r="D406" s="4" t="str">
        <f t="shared" si="1"/>
        <v>{"valorA":"muito","valorB":19}</v>
      </c>
      <c r="E406" s="8" t="str">
        <f t="shared" si="2"/>
        <v>muito</v>
      </c>
      <c r="F406" s="8"/>
      <c r="G406" s="8" t="str">
        <f t="shared" si="3"/>
        <v>19</v>
      </c>
      <c r="H406" s="9">
        <f t="shared" si="4"/>
        <v>19</v>
      </c>
      <c r="I406" s="10">
        <f>IFERROR(__xludf.DUMMYFUNCTION("MAX(FILTER($H:$H,$E:$E=F406))"),0.0)</f>
        <v>0</v>
      </c>
    </row>
    <row r="407">
      <c r="C407" s="4" t="s">
        <v>2651</v>
      </c>
      <c r="D407" s="4" t="str">
        <f t="shared" si="1"/>
        <v>{"valorA":"esse","valorB":2}</v>
      </c>
      <c r="E407" s="8" t="str">
        <f t="shared" si="2"/>
        <v>esse</v>
      </c>
      <c r="F407" s="8"/>
      <c r="G407" s="8" t="str">
        <f t="shared" si="3"/>
        <v>2</v>
      </c>
      <c r="H407" s="9">
        <f t="shared" si="4"/>
        <v>2</v>
      </c>
      <c r="I407" s="10">
        <f>IFERROR(__xludf.DUMMYFUNCTION("MAX(FILTER($H:$H,$E:$E=F407))"),0.0)</f>
        <v>0</v>
      </c>
    </row>
    <row r="408">
      <c r="C408" s="4" t="s">
        <v>2961</v>
      </c>
      <c r="D408" s="4" t="str">
        <f t="shared" si="1"/>
        <v>{"valorA":"ótimo","valorB":45}</v>
      </c>
      <c r="E408" s="8" t="str">
        <f t="shared" si="2"/>
        <v>ótimo</v>
      </c>
      <c r="F408" s="8"/>
      <c r="G408" s="8" t="str">
        <f t="shared" si="3"/>
        <v>45</v>
      </c>
      <c r="H408" s="9">
        <f t="shared" si="4"/>
        <v>45</v>
      </c>
      <c r="I408" s="10">
        <f>IFERROR(__xludf.DUMMYFUNCTION("MAX(FILTER($H:$H,$E:$E=F408))"),0.0)</f>
        <v>0</v>
      </c>
    </row>
    <row r="409">
      <c r="C409" s="4" t="s">
        <v>3755</v>
      </c>
      <c r="D409" s="4" t="str">
        <f t="shared" si="1"/>
        <v>{"valorA":"do","valorB":7}</v>
      </c>
      <c r="E409" s="8" t="str">
        <f t="shared" si="2"/>
        <v>do</v>
      </c>
      <c r="F409" s="8"/>
      <c r="G409" s="8" t="str">
        <f t="shared" si="3"/>
        <v>7</v>
      </c>
      <c r="H409" s="9">
        <f t="shared" si="4"/>
        <v>7</v>
      </c>
      <c r="I409" s="10">
        <f>IFERROR(__xludf.DUMMYFUNCTION("MAX(FILTER($H:$H,$E:$E=F409))"),0.0)</f>
        <v>0</v>
      </c>
    </row>
    <row r="410">
      <c r="C410" s="4" t="s">
        <v>3749</v>
      </c>
      <c r="D410" s="4" t="str">
        <f t="shared" si="1"/>
        <v>{"valorA":"preço","valorB":15}</v>
      </c>
      <c r="E410" s="8" t="str">
        <f t="shared" si="2"/>
        <v>preço</v>
      </c>
      <c r="F410" s="8"/>
      <c r="G410" s="8" t="str">
        <f t="shared" si="3"/>
        <v>15</v>
      </c>
      <c r="H410" s="9">
        <f t="shared" si="4"/>
        <v>15</v>
      </c>
      <c r="I410" s="10">
        <f>IFERROR(__xludf.DUMMYFUNCTION("MAX(FILTER($H:$H,$E:$E=F410))"),0.0)</f>
        <v>0</v>
      </c>
    </row>
    <row r="411">
      <c r="C411" s="4" t="s">
        <v>3744</v>
      </c>
      <c r="D411" s="4" t="str">
        <f t="shared" si="1"/>
        <v>{"valorA":"gostei","valorB":8}</v>
      </c>
      <c r="E411" s="8" t="str">
        <f t="shared" si="2"/>
        <v>gostei</v>
      </c>
      <c r="F411" s="8"/>
      <c r="G411" s="8" t="str">
        <f t="shared" si="3"/>
        <v>8</v>
      </c>
      <c r="H411" s="9">
        <f t="shared" si="4"/>
        <v>8</v>
      </c>
      <c r="I411" s="10">
        <f>IFERROR(__xludf.DUMMYFUNCTION("MAX(FILTER($H:$H,$E:$E=F411))"),0.0)</f>
        <v>0</v>
      </c>
    </row>
    <row r="412">
      <c r="C412" s="4" t="s">
        <v>7538</v>
      </c>
      <c r="D412" s="4" t="str">
        <f t="shared" si="1"/>
        <v>{"valorA":"tênis","valorB":1}</v>
      </c>
      <c r="E412" s="8" t="str">
        <f t="shared" si="2"/>
        <v>tênis</v>
      </c>
      <c r="F412" s="8"/>
      <c r="G412" s="8" t="str">
        <f t="shared" si="3"/>
        <v>1</v>
      </c>
      <c r="H412" s="9">
        <f t="shared" si="4"/>
        <v>1</v>
      </c>
      <c r="I412" s="10">
        <f>IFERROR(__xludf.DUMMYFUNCTION("MAX(FILTER($H:$H,$E:$E=F412))"),0.0)</f>
        <v>0</v>
      </c>
    </row>
    <row r="413">
      <c r="C413" s="4" t="s">
        <v>7539</v>
      </c>
      <c r="D413" s="4" t="str">
        <f t="shared" si="1"/>
        <v>{"valorA":"conforto","valorB":1}</v>
      </c>
      <c r="E413" s="8" t="str">
        <f t="shared" si="2"/>
        <v>conforto</v>
      </c>
      <c r="F413" s="8"/>
      <c r="G413" s="8" t="str">
        <f t="shared" si="3"/>
        <v>1</v>
      </c>
      <c r="H413" s="9">
        <f t="shared" si="4"/>
        <v>1</v>
      </c>
      <c r="I413" s="10">
        <f>IFERROR(__xludf.DUMMYFUNCTION("MAX(FILTER($H:$H,$E:$E=F413))"),0.0)</f>
        <v>0</v>
      </c>
    </row>
    <row r="414">
      <c r="C414" s="4" t="s">
        <v>3443</v>
      </c>
      <c r="D414" s="4" t="str">
        <f t="shared" si="1"/>
        <v>{"valorA":"muito","valorB":20}</v>
      </c>
      <c r="E414" s="8" t="str">
        <f t="shared" si="2"/>
        <v>muito</v>
      </c>
      <c r="F414" s="8"/>
      <c r="G414" s="8" t="str">
        <f t="shared" si="3"/>
        <v>20</v>
      </c>
      <c r="H414" s="9">
        <f t="shared" si="4"/>
        <v>20</v>
      </c>
      <c r="I414" s="10">
        <f>IFERROR(__xludf.DUMMYFUNCTION("MAX(FILTER($H:$H,$E:$E=F414))"),0.0)</f>
        <v>0</v>
      </c>
    </row>
    <row r="415">
      <c r="C415" s="4" t="s">
        <v>2924</v>
      </c>
      <c r="D415" s="4" t="str">
        <f t="shared" si="1"/>
        <v>{"valorA":"produto","valorB":26}</v>
      </c>
      <c r="E415" s="8" t="str">
        <f t="shared" si="2"/>
        <v>produto</v>
      </c>
      <c r="F415" s="8"/>
      <c r="G415" s="8" t="str">
        <f t="shared" si="3"/>
        <v>26</v>
      </c>
      <c r="H415" s="9">
        <f t="shared" si="4"/>
        <v>26</v>
      </c>
      <c r="I415" s="10">
        <f>IFERROR(__xludf.DUMMYFUNCTION("MAX(FILTER($H:$H,$E:$E=F415))"),0.0)</f>
        <v>0</v>
      </c>
    </row>
    <row r="416">
      <c r="C416" s="4" t="s">
        <v>3241</v>
      </c>
      <c r="D416" s="4" t="str">
        <f t="shared" si="1"/>
        <v>{"valorA":"de","valorB":18}</v>
      </c>
      <c r="E416" s="8" t="str">
        <f t="shared" si="2"/>
        <v>de</v>
      </c>
      <c r="F416" s="8"/>
      <c r="G416" s="8" t="str">
        <f t="shared" si="3"/>
        <v>18</v>
      </c>
      <c r="H416" s="9">
        <f t="shared" si="4"/>
        <v>18</v>
      </c>
      <c r="I416" s="10">
        <f>IFERROR(__xludf.DUMMYFUNCTION("MAX(FILTER($H:$H,$E:$E=F416))"),0.0)</f>
        <v>0</v>
      </c>
    </row>
    <row r="417">
      <c r="C417" s="4" t="s">
        <v>2971</v>
      </c>
      <c r="D417" s="4" t="str">
        <f t="shared" si="1"/>
        <v>{"valorA":"ótimo","valorB":46}</v>
      </c>
      <c r="E417" s="8" t="str">
        <f t="shared" si="2"/>
        <v>ótimo</v>
      </c>
      <c r="F417" s="8"/>
      <c r="G417" s="8" t="str">
        <f t="shared" si="3"/>
        <v>46</v>
      </c>
      <c r="H417" s="9">
        <f t="shared" si="4"/>
        <v>46</v>
      </c>
      <c r="I417" s="10">
        <f>IFERROR(__xludf.DUMMYFUNCTION("MAX(FILTER($H:$H,$E:$E=F417))"),0.0)</f>
        <v>0</v>
      </c>
    </row>
    <row r="418">
      <c r="C418" s="4" t="s">
        <v>3247</v>
      </c>
      <c r="D418" s="4" t="str">
        <f t="shared" si="1"/>
        <v>{"valorA":"e","valorB":17}</v>
      </c>
      <c r="E418" s="8" t="str">
        <f t="shared" si="2"/>
        <v>e</v>
      </c>
      <c r="F418" s="8"/>
      <c r="G418" s="8" t="str">
        <f t="shared" si="3"/>
        <v>17</v>
      </c>
      <c r="H418" s="9">
        <f t="shared" si="4"/>
        <v>17</v>
      </c>
      <c r="I418" s="10">
        <f>IFERROR(__xludf.DUMMYFUNCTION("MAX(FILTER($H:$H,$E:$E=F418))"),0.0)</f>
        <v>0</v>
      </c>
    </row>
    <row r="419">
      <c r="C419" s="4" t="s">
        <v>3112</v>
      </c>
      <c r="D419" s="4" t="str">
        <f t="shared" si="1"/>
        <v>{"valorA":"fácil","valorB":9}</v>
      </c>
      <c r="E419" s="8" t="str">
        <f t="shared" si="2"/>
        <v>fácil</v>
      </c>
      <c r="F419" s="8"/>
      <c r="G419" s="8" t="str">
        <f t="shared" si="3"/>
        <v>9</v>
      </c>
      <c r="H419" s="9">
        <f t="shared" si="4"/>
        <v>9</v>
      </c>
      <c r="I419" s="10">
        <f>IFERROR(__xludf.DUMMYFUNCTION("MAX(FILTER($H:$H,$E:$E=F419))"),0.0)</f>
        <v>0</v>
      </c>
    </row>
    <row r="420">
      <c r="C420" s="4" t="s">
        <v>3111</v>
      </c>
      <c r="D420" s="4" t="str">
        <f t="shared" si="1"/>
        <v>{"valorA":"usar","valorB":9}</v>
      </c>
      <c r="E420" s="8" t="str">
        <f t="shared" si="2"/>
        <v>usar</v>
      </c>
      <c r="F420" s="8"/>
      <c r="G420" s="8" t="str">
        <f t="shared" si="3"/>
        <v>9</v>
      </c>
      <c r="H420" s="9">
        <f t="shared" si="4"/>
        <v>9</v>
      </c>
      <c r="I420" s="10">
        <f>IFERROR(__xludf.DUMMYFUNCTION("MAX(FILTER($H:$H,$E:$E=F420))"),0.0)</f>
        <v>0</v>
      </c>
    </row>
    <row r="421">
      <c r="C421" s="4" t="s">
        <v>7540</v>
      </c>
      <c r="D421" s="4" t="str">
        <f t="shared" si="1"/>
        <v>{"valorA":"funcional","valorB":2}</v>
      </c>
      <c r="E421" s="8" t="str">
        <f t="shared" si="2"/>
        <v>funcional</v>
      </c>
      <c r="F421" s="8"/>
      <c r="G421" s="8" t="str">
        <f t="shared" si="3"/>
        <v>2</v>
      </c>
      <c r="H421" s="9">
        <f t="shared" si="4"/>
        <v>2</v>
      </c>
      <c r="I421" s="10">
        <f>IFERROR(__xludf.DUMMYFUNCTION("MAX(FILTER($H:$H,$E:$E=F421))"),0.0)</f>
        <v>0</v>
      </c>
    </row>
    <row r="422">
      <c r="C422" s="4" t="s">
        <v>2923</v>
      </c>
      <c r="D422" s="4" t="str">
        <f t="shared" si="1"/>
        <v>{"valorA":"fico","valorB":1}</v>
      </c>
      <c r="E422" s="8" t="str">
        <f t="shared" si="2"/>
        <v>fico</v>
      </c>
      <c r="F422" s="8"/>
      <c r="G422" s="8" t="str">
        <f t="shared" si="3"/>
        <v>1</v>
      </c>
      <c r="H422" s="9">
        <f t="shared" si="4"/>
        <v>1</v>
      </c>
      <c r="I422" s="10">
        <f>IFERROR(__xludf.DUMMYFUNCTION("MAX(FILTER($H:$H,$E:$E=F422))"),0.0)</f>
        <v>0</v>
      </c>
    </row>
    <row r="423">
      <c r="C423" s="4" t="s">
        <v>3053</v>
      </c>
      <c r="D423" s="4" t="str">
        <f t="shared" si="1"/>
        <v>{"valorA":"tão","valorB":3}</v>
      </c>
      <c r="E423" s="8" t="str">
        <f t="shared" si="2"/>
        <v>tão</v>
      </c>
      <c r="F423" s="8"/>
      <c r="G423" s="8" t="str">
        <f t="shared" si="3"/>
        <v>3</v>
      </c>
      <c r="H423" s="9">
        <f t="shared" si="4"/>
        <v>3</v>
      </c>
      <c r="I423" s="10">
        <f>IFERROR(__xludf.DUMMYFUNCTION("MAX(FILTER($H:$H,$E:$E=F423))"),0.0)</f>
        <v>0</v>
      </c>
    </row>
    <row r="424">
      <c r="C424" s="4" t="s">
        <v>2977</v>
      </c>
      <c r="D424" s="4" t="str">
        <f t="shared" si="1"/>
        <v>{"valorA":"ótimo","valorB":47}</v>
      </c>
      <c r="E424" s="8" t="str">
        <f t="shared" si="2"/>
        <v>ótimo</v>
      </c>
      <c r="F424" s="8"/>
      <c r="G424" s="8" t="str">
        <f t="shared" si="3"/>
        <v>47</v>
      </c>
      <c r="H424" s="9">
        <f t="shared" si="4"/>
        <v>47</v>
      </c>
      <c r="I424" s="10">
        <f>IFERROR(__xludf.DUMMYFUNCTION("MAX(FILTER($H:$H,$E:$E=F424))"),0.0)</f>
        <v>0</v>
      </c>
    </row>
    <row r="425">
      <c r="C425" s="4" t="s">
        <v>7541</v>
      </c>
      <c r="D425" s="4" t="str">
        <f t="shared" si="1"/>
        <v>{"valorA":"bom","valorB":7}</v>
      </c>
      <c r="E425" s="8" t="str">
        <f t="shared" si="2"/>
        <v>bom</v>
      </c>
      <c r="F425" s="8"/>
      <c r="G425" s="8" t="str">
        <f t="shared" si="3"/>
        <v>7</v>
      </c>
      <c r="H425" s="9">
        <f t="shared" si="4"/>
        <v>7</v>
      </c>
      <c r="I425" s="10">
        <f>IFERROR(__xludf.DUMMYFUNCTION("MAX(FILTER($H:$H,$E:$E=F425))"),0.0)</f>
        <v>0</v>
      </c>
    </row>
    <row r="426">
      <c r="C426" s="4" t="s">
        <v>2933</v>
      </c>
      <c r="D426" s="4" t="str">
        <f t="shared" si="1"/>
        <v>{"valorA":"produto","valorB":27}</v>
      </c>
      <c r="E426" s="8" t="str">
        <f t="shared" si="2"/>
        <v>produto</v>
      </c>
      <c r="F426" s="8"/>
      <c r="G426" s="8" t="str">
        <f t="shared" si="3"/>
        <v>27</v>
      </c>
      <c r="H426" s="9">
        <f t="shared" si="4"/>
        <v>27</v>
      </c>
      <c r="I426" s="10">
        <f>IFERROR(__xludf.DUMMYFUNCTION("MAX(FILTER($H:$H,$E:$E=F426))"),0.0)</f>
        <v>0</v>
      </c>
    </row>
    <row r="427">
      <c r="C427" s="4" t="s">
        <v>2665</v>
      </c>
      <c r="D427" s="4" t="str">
        <f t="shared" si="1"/>
        <v>{"valorA":"satisfeito","valorB":1}</v>
      </c>
      <c r="E427" s="8" t="str">
        <f t="shared" si="2"/>
        <v>satisfeito</v>
      </c>
      <c r="F427" s="8"/>
      <c r="G427" s="8" t="str">
        <f t="shared" si="3"/>
        <v>1</v>
      </c>
      <c r="H427" s="9">
        <f t="shared" si="4"/>
        <v>1</v>
      </c>
      <c r="I427" s="10">
        <f>IFERROR(__xludf.DUMMYFUNCTION("MAX(FILTER($H:$H,$E:$E=F427))"),0.0)</f>
        <v>0</v>
      </c>
    </row>
    <row r="428">
      <c r="C428" s="4" t="s">
        <v>2664</v>
      </c>
      <c r="D428" s="4" t="str">
        <f t="shared" si="1"/>
        <v>{"valorA":"compra","valorB":1}</v>
      </c>
      <c r="E428" s="8" t="str">
        <f t="shared" si="2"/>
        <v>compra</v>
      </c>
      <c r="F428" s="8"/>
      <c r="G428" s="8" t="str">
        <f t="shared" si="3"/>
        <v>1</v>
      </c>
      <c r="H428" s="9">
        <f t="shared" si="4"/>
        <v>1</v>
      </c>
      <c r="I428" s="10">
        <f>IFERROR(__xludf.DUMMYFUNCTION("MAX(FILTER($H:$H,$E:$E=F428))"),0.0)</f>
        <v>0</v>
      </c>
    </row>
    <row r="429">
      <c r="C429" s="4" t="s">
        <v>2956</v>
      </c>
      <c r="D429" s="4" t="str">
        <f t="shared" si="1"/>
        <v>{"valorA":"com","valorB":4}</v>
      </c>
      <c r="E429" s="8" t="str">
        <f t="shared" si="2"/>
        <v>com</v>
      </c>
      <c r="F429" s="8"/>
      <c r="G429" s="8" t="str">
        <f t="shared" si="3"/>
        <v>4</v>
      </c>
      <c r="H429" s="9">
        <f t="shared" si="4"/>
        <v>4</v>
      </c>
      <c r="I429" s="10">
        <f>IFERROR(__xludf.DUMMYFUNCTION("MAX(FILTER($H:$H,$E:$E=F429))"),0.0)</f>
        <v>0</v>
      </c>
    </row>
    <row r="430">
      <c r="C430" s="4" t="s">
        <v>3240</v>
      </c>
      <c r="D430" s="4" t="str">
        <f t="shared" si="1"/>
        <v>{"valorA":"um","valorB":8}</v>
      </c>
      <c r="E430" s="8" t="str">
        <f t="shared" si="2"/>
        <v>um</v>
      </c>
      <c r="F430" s="8"/>
      <c r="G430" s="8" t="str">
        <f t="shared" si="3"/>
        <v>8</v>
      </c>
      <c r="H430" s="9">
        <f t="shared" si="4"/>
        <v>8</v>
      </c>
      <c r="I430" s="10">
        <f>IFERROR(__xludf.DUMMYFUNCTION("MAX(FILTER($H:$H,$E:$E=F430))"),0.0)</f>
        <v>0</v>
      </c>
    </row>
    <row r="431">
      <c r="C431" s="4" t="s">
        <v>3754</v>
      </c>
      <c r="D431" s="4" t="str">
        <f t="shared" si="1"/>
        <v>{"valorA":"preço","valorB":16}</v>
      </c>
      <c r="E431" s="8" t="str">
        <f t="shared" si="2"/>
        <v>preço</v>
      </c>
      <c r="F431" s="8"/>
      <c r="G431" s="8" t="str">
        <f t="shared" si="3"/>
        <v>16</v>
      </c>
      <c r="H431" s="9">
        <f t="shared" si="4"/>
        <v>16</v>
      </c>
      <c r="I431" s="10">
        <f>IFERROR(__xludf.DUMMYFUNCTION("MAX(FILTER($H:$H,$E:$E=F431))"),0.0)</f>
        <v>0</v>
      </c>
    </row>
    <row r="432">
      <c r="C432" s="4" t="s">
        <v>3756</v>
      </c>
      <c r="D432" s="4" t="str">
        <f t="shared" si="1"/>
        <v>{"valorA":"para","valorB":16}</v>
      </c>
      <c r="E432" s="8" t="str">
        <f t="shared" si="2"/>
        <v>para</v>
      </c>
      <c r="F432" s="8"/>
      <c r="G432" s="8" t="str">
        <f t="shared" si="3"/>
        <v>16</v>
      </c>
      <c r="H432" s="9">
        <f t="shared" si="4"/>
        <v>16</v>
      </c>
      <c r="I432" s="10">
        <f>IFERROR(__xludf.DUMMYFUNCTION("MAX(FILTER($H:$H,$E:$E=F432))"),0.0)</f>
        <v>0</v>
      </c>
    </row>
    <row r="433">
      <c r="C433" s="4" t="s">
        <v>3934</v>
      </c>
      <c r="D433" s="4" t="str">
        <f t="shared" si="1"/>
        <v>{"valorA":"minha","valorB":2}</v>
      </c>
      <c r="E433" s="8" t="str">
        <f t="shared" si="2"/>
        <v>minha</v>
      </c>
      <c r="F433" s="8"/>
      <c r="G433" s="8" t="str">
        <f t="shared" si="3"/>
        <v>2</v>
      </c>
      <c r="H433" s="9">
        <f t="shared" si="4"/>
        <v>2</v>
      </c>
      <c r="I433" s="10">
        <f>IFERROR(__xludf.DUMMYFUNCTION("MAX(FILTER($H:$H,$E:$E=F433))"),0.0)</f>
        <v>0</v>
      </c>
    </row>
    <row r="434">
      <c r="C434" s="4" t="s">
        <v>3471</v>
      </c>
      <c r="D434" s="4" t="str">
        <f t="shared" si="1"/>
        <v>{"valorA":"funciona","valorB":12}</v>
      </c>
      <c r="E434" s="8" t="str">
        <f t="shared" si="2"/>
        <v>funciona</v>
      </c>
      <c r="F434" s="8"/>
      <c r="G434" s="8" t="str">
        <f t="shared" si="3"/>
        <v>12</v>
      </c>
      <c r="H434" s="9">
        <f t="shared" si="4"/>
        <v>12</v>
      </c>
      <c r="I434" s="10">
        <f>IFERROR(__xludf.DUMMYFUNCTION("MAX(FILTER($H:$H,$E:$E=F434))"),0.0)</f>
        <v>0</v>
      </c>
    </row>
    <row r="435">
      <c r="C435" s="4" t="s">
        <v>2757</v>
      </c>
      <c r="D435" s="4" t="str">
        <f t="shared" si="1"/>
        <v>{"valorA":"perfeitamente","valorB":4}</v>
      </c>
      <c r="E435" s="8" t="str">
        <f t="shared" si="2"/>
        <v>perfeitamente</v>
      </c>
      <c r="F435" s="8"/>
      <c r="G435" s="8" t="str">
        <f t="shared" si="3"/>
        <v>4</v>
      </c>
      <c r="H435" s="9">
        <f t="shared" si="4"/>
        <v>4</v>
      </c>
      <c r="I435" s="10">
        <f>IFERROR(__xludf.DUMMYFUNCTION("MAX(FILTER($H:$H,$E:$E=F435))"),0.0)</f>
        <v>0</v>
      </c>
    </row>
    <row r="436">
      <c r="C436" s="4" t="s">
        <v>3478</v>
      </c>
      <c r="D436" s="4" t="str">
        <f t="shared" si="1"/>
        <v>{"valorA":"muito","valorB":21}</v>
      </c>
      <c r="E436" s="8" t="str">
        <f t="shared" si="2"/>
        <v>muito</v>
      </c>
      <c r="F436" s="8"/>
      <c r="G436" s="8" t="str">
        <f t="shared" si="3"/>
        <v>21</v>
      </c>
      <c r="H436" s="9">
        <f t="shared" si="4"/>
        <v>21</v>
      </c>
      <c r="I436" s="10">
        <f>IFERROR(__xludf.DUMMYFUNCTION("MAX(FILTER($H:$H,$E:$E=F436))"),0.0)</f>
        <v>0</v>
      </c>
    </row>
    <row r="437">
      <c r="C437" s="4" t="s">
        <v>7542</v>
      </c>
      <c r="D437" s="4" t="str">
        <f t="shared" si="1"/>
        <v>{"valorA":"tablet","valorB":4}</v>
      </c>
      <c r="E437" s="8" t="str">
        <f t="shared" si="2"/>
        <v>tablet</v>
      </c>
      <c r="F437" s="8"/>
      <c r="G437" s="8" t="str">
        <f t="shared" si="3"/>
        <v>4</v>
      </c>
      <c r="H437" s="9">
        <f t="shared" si="4"/>
        <v>4</v>
      </c>
      <c r="I437" s="10">
        <f>IFERROR(__xludf.DUMMYFUNCTION("MAX(FILTER($H:$H,$E:$E=F437))"),0.0)</f>
        <v>0</v>
      </c>
    </row>
    <row r="438">
      <c r="C438" s="4" t="s">
        <v>2986</v>
      </c>
      <c r="D438" s="4" t="str">
        <f t="shared" si="1"/>
        <v>{"valorA":"ótimo","valorB":48}</v>
      </c>
      <c r="E438" s="8" t="str">
        <f t="shared" si="2"/>
        <v>ótimo</v>
      </c>
      <c r="F438" s="8"/>
      <c r="G438" s="8" t="str">
        <f t="shared" si="3"/>
        <v>48</v>
      </c>
      <c r="H438" s="9">
        <f t="shared" si="4"/>
        <v>48</v>
      </c>
      <c r="I438" s="10">
        <f>IFERROR(__xludf.DUMMYFUNCTION("MAX(FILTER($H:$H,$E:$E=F438))"),0.0)</f>
        <v>0</v>
      </c>
    </row>
    <row r="439">
      <c r="C439" s="4" t="s">
        <v>2908</v>
      </c>
      <c r="D439" s="4" t="str">
        <f t="shared" si="1"/>
        <v>{"valorA":"é","valorB":8}</v>
      </c>
      <c r="E439" s="8" t="str">
        <f t="shared" si="2"/>
        <v>é</v>
      </c>
      <c r="F439" s="8"/>
      <c r="G439" s="8" t="str">
        <f t="shared" si="3"/>
        <v>8</v>
      </c>
      <c r="H439" s="9">
        <f t="shared" si="4"/>
        <v>8</v>
      </c>
      <c r="I439" s="10">
        <f>IFERROR(__xludf.DUMMYFUNCTION("MAX(FILTER($H:$H,$E:$E=F439))"),0.0)</f>
        <v>0</v>
      </c>
    </row>
    <row r="440">
      <c r="C440" s="4" t="s">
        <v>3486</v>
      </c>
      <c r="D440" s="4" t="str">
        <f t="shared" si="1"/>
        <v>{"valorA":"de","valorB":19}</v>
      </c>
      <c r="E440" s="8" t="str">
        <f t="shared" si="2"/>
        <v>de</v>
      </c>
      <c r="F440" s="8"/>
      <c r="G440" s="8" t="str">
        <f t="shared" si="3"/>
        <v>19</v>
      </c>
      <c r="H440" s="9">
        <f t="shared" si="4"/>
        <v>19</v>
      </c>
      <c r="I440" s="10">
        <f>IFERROR(__xludf.DUMMYFUNCTION("MAX(FILTER($H:$H,$E:$E=F440))"),0.0)</f>
        <v>0</v>
      </c>
    </row>
    <row r="441">
      <c r="C441" s="4" t="s">
        <v>3137</v>
      </c>
      <c r="D441" s="4" t="str">
        <f t="shared" si="1"/>
        <v>{"valorA":"usar","valorB":10}</v>
      </c>
      <c r="E441" s="8" t="str">
        <f t="shared" si="2"/>
        <v>usar</v>
      </c>
      <c r="F441" s="8"/>
      <c r="G441" s="8" t="str">
        <f t="shared" si="3"/>
        <v>10</v>
      </c>
      <c r="H441" s="9">
        <f t="shared" si="4"/>
        <v>10</v>
      </c>
      <c r="I441" s="10">
        <f>IFERROR(__xludf.DUMMYFUNCTION("MAX(FILTER($H:$H,$E:$E=F441))"),0.0)</f>
        <v>0</v>
      </c>
    </row>
    <row r="442">
      <c r="C442" s="4" t="s">
        <v>7543</v>
      </c>
      <c r="D442" s="4" t="str">
        <f t="shared" si="1"/>
        <v>{"valorA":"e","valorB":18}</v>
      </c>
      <c r="E442" s="8" t="str">
        <f t="shared" si="2"/>
        <v>e</v>
      </c>
      <c r="F442" s="8"/>
      <c r="G442" s="8" t="str">
        <f t="shared" si="3"/>
        <v>18</v>
      </c>
      <c r="H442" s="9">
        <f t="shared" si="4"/>
        <v>18</v>
      </c>
      <c r="I442" s="10">
        <f>IFERROR(__xludf.DUMMYFUNCTION("MAX(FILTER($H:$H,$E:$E=F442))"),0.0)</f>
        <v>0</v>
      </c>
    </row>
    <row r="443">
      <c r="C443" s="4" t="s">
        <v>3138</v>
      </c>
      <c r="D443" s="4" t="str">
        <f t="shared" si="1"/>
        <v>{"valorA":"fácil","valorB":10}</v>
      </c>
      <c r="E443" s="8" t="str">
        <f t="shared" si="2"/>
        <v>fácil</v>
      </c>
      <c r="F443" s="8"/>
      <c r="G443" s="8" t="str">
        <f t="shared" si="3"/>
        <v>10</v>
      </c>
      <c r="H443" s="9">
        <f t="shared" si="4"/>
        <v>10</v>
      </c>
      <c r="I443" s="10">
        <f>IFERROR(__xludf.DUMMYFUNCTION("MAX(FILTER($H:$H,$E:$E=F443))"),0.0)</f>
        <v>0</v>
      </c>
    </row>
    <row r="444">
      <c r="C444" s="4" t="s">
        <v>3244</v>
      </c>
      <c r="D444" s="4" t="str">
        <f t="shared" si="1"/>
        <v>{"valorA":"ótimo","valorB":49}</v>
      </c>
      <c r="E444" s="8" t="str">
        <f t="shared" si="2"/>
        <v>ótimo</v>
      </c>
      <c r="F444" s="8"/>
      <c r="G444" s="8" t="str">
        <f t="shared" si="3"/>
        <v>49</v>
      </c>
      <c r="H444" s="9">
        <f t="shared" si="4"/>
        <v>49</v>
      </c>
      <c r="I444" s="10">
        <f>IFERROR(__xludf.DUMMYFUNCTION("MAX(FILTER($H:$H,$E:$E=F444))"),0.0)</f>
        <v>0</v>
      </c>
    </row>
    <row r="445">
      <c r="C445" s="4" t="s">
        <v>2938</v>
      </c>
      <c r="D445" s="4" t="str">
        <f t="shared" si="1"/>
        <v>{"valorA":"produto","valorB":28}</v>
      </c>
      <c r="E445" s="8" t="str">
        <f t="shared" si="2"/>
        <v>produto</v>
      </c>
      <c r="F445" s="8"/>
      <c r="G445" s="8" t="str">
        <f t="shared" si="3"/>
        <v>28</v>
      </c>
      <c r="H445" s="9">
        <f t="shared" si="4"/>
        <v>28</v>
      </c>
      <c r="I445" s="10">
        <f>IFERROR(__xludf.DUMMYFUNCTION("MAX(FILTER($H:$H,$E:$E=F445))"),0.0)</f>
        <v>0</v>
      </c>
    </row>
    <row r="446">
      <c r="C446" s="4" t="s">
        <v>3199</v>
      </c>
      <c r="D446" s="4" t="str">
        <f t="shared" si="1"/>
        <v>{"valorA":"mas","valorB":4}</v>
      </c>
      <c r="E446" s="8" t="str">
        <f t="shared" si="2"/>
        <v>mas</v>
      </c>
      <c r="F446" s="8"/>
      <c r="G446" s="8" t="str">
        <f t="shared" si="3"/>
        <v>4</v>
      </c>
      <c r="H446" s="9">
        <f t="shared" si="4"/>
        <v>4</v>
      </c>
      <c r="I446" s="10">
        <f>IFERROR(__xludf.DUMMYFUNCTION("MAX(FILTER($H:$H,$E:$E=F446))"),0.0)</f>
        <v>0</v>
      </c>
    </row>
    <row r="447">
      <c r="C447" s="4" t="s">
        <v>7544</v>
      </c>
      <c r="D447" s="4" t="str">
        <f t="shared" si="1"/>
        <v>{"valorA":"caro","valorB":4}</v>
      </c>
      <c r="E447" s="8" t="str">
        <f t="shared" si="2"/>
        <v>caro</v>
      </c>
      <c r="F447" s="8"/>
      <c r="G447" s="8" t="str">
        <f t="shared" si="3"/>
        <v>4</v>
      </c>
      <c r="H447" s="9">
        <f t="shared" si="4"/>
        <v>4</v>
      </c>
      <c r="I447" s="10">
        <f>IFERROR(__xludf.DUMMYFUNCTION("MAX(FILTER($H:$H,$E:$E=F447))"),0.0)</f>
        <v>0</v>
      </c>
    </row>
    <row r="448">
      <c r="C448" s="4" t="s">
        <v>2687</v>
      </c>
      <c r="D448" s="4" t="str">
        <f t="shared" si="1"/>
        <v>{"valorA":"compra","valorB":2}</v>
      </c>
      <c r="E448" s="8" t="str">
        <f t="shared" si="2"/>
        <v>compra</v>
      </c>
      <c r="F448" s="8"/>
      <c r="G448" s="8" t="str">
        <f t="shared" si="3"/>
        <v>2</v>
      </c>
      <c r="H448" s="9">
        <f t="shared" si="4"/>
        <v>2</v>
      </c>
      <c r="I448" s="10">
        <f>IFERROR(__xludf.DUMMYFUNCTION("MAX(FILTER($H:$H,$E:$E=F448))"),0.0)</f>
        <v>0</v>
      </c>
    </row>
    <row r="449">
      <c r="C449" s="4" t="s">
        <v>2732</v>
      </c>
      <c r="D449" s="4" t="str">
        <f t="shared" si="1"/>
        <v>{"valorA":"mim","valorB":1}</v>
      </c>
      <c r="E449" s="8" t="str">
        <f t="shared" si="2"/>
        <v>mim</v>
      </c>
      <c r="F449" s="8"/>
      <c r="G449" s="8" t="str">
        <f t="shared" si="3"/>
        <v>1</v>
      </c>
      <c r="H449" s="9">
        <f t="shared" si="4"/>
        <v>1</v>
      </c>
      <c r="I449" s="10">
        <f>IFERROR(__xludf.DUMMYFUNCTION("MAX(FILTER($H:$H,$E:$E=F449))"),0.0)</f>
        <v>0</v>
      </c>
    </row>
    <row r="450">
      <c r="C450" s="4" t="s">
        <v>3737</v>
      </c>
      <c r="D450" s="4" t="str">
        <f t="shared" si="1"/>
        <v>{"valorA":"uma","valorB":3}</v>
      </c>
      <c r="E450" s="8" t="str">
        <f t="shared" si="2"/>
        <v>uma</v>
      </c>
      <c r="F450" s="8"/>
      <c r="G450" s="8" t="str">
        <f t="shared" si="3"/>
        <v>3</v>
      </c>
      <c r="H450" s="9">
        <f t="shared" si="4"/>
        <v>3</v>
      </c>
      <c r="I450" s="10">
        <f>IFERROR(__xludf.DUMMYFUNCTION("MAX(FILTER($H:$H,$E:$E=F450))"),0.0)</f>
        <v>0</v>
      </c>
    </row>
    <row r="451">
      <c r="C451" s="4" t="s">
        <v>7545</v>
      </c>
      <c r="D451" s="4" t="str">
        <f t="shared" si="1"/>
        <v>{"valorA":"demais","valorB":1}</v>
      </c>
      <c r="E451" s="8" t="str">
        <f t="shared" si="2"/>
        <v>demais</v>
      </c>
      <c r="F451" s="8"/>
      <c r="G451" s="8" t="str">
        <f t="shared" si="3"/>
        <v>1</v>
      </c>
      <c r="H451" s="9">
        <f t="shared" si="4"/>
        <v>1</v>
      </c>
      <c r="I451" s="10">
        <f>IFERROR(__xludf.DUMMYFUNCTION("MAX(FILTER($H:$H,$E:$E=F451))"),0.0)</f>
        <v>0</v>
      </c>
    </row>
    <row r="452">
      <c r="C452" s="4" t="s">
        <v>3758</v>
      </c>
      <c r="D452" s="4" t="str">
        <f t="shared" si="1"/>
        <v>{"valorA":"para","valorB":17}</v>
      </c>
      <c r="E452" s="8" t="str">
        <f t="shared" si="2"/>
        <v>para</v>
      </c>
      <c r="F452" s="8"/>
      <c r="G452" s="8" t="str">
        <f t="shared" si="3"/>
        <v>17</v>
      </c>
      <c r="H452" s="9">
        <f t="shared" si="4"/>
        <v>17</v>
      </c>
      <c r="I452" s="10">
        <f>IFERROR(__xludf.DUMMYFUNCTION("MAX(FILTER($H:$H,$E:$E=F452))"),0.0)</f>
        <v>0</v>
      </c>
    </row>
    <row r="453">
      <c r="C453" s="4" t="s">
        <v>3747</v>
      </c>
      <c r="D453" s="4" t="str">
        <f t="shared" si="1"/>
        <v>{"valorA":"boa","valorB":2}</v>
      </c>
      <c r="E453" s="8" t="str">
        <f t="shared" si="2"/>
        <v>boa</v>
      </c>
      <c r="F453" s="8"/>
      <c r="G453" s="8" t="str">
        <f t="shared" si="3"/>
        <v>2</v>
      </c>
      <c r="H453" s="9">
        <f t="shared" si="4"/>
        <v>2</v>
      </c>
      <c r="I453" s="10">
        <f>IFERROR(__xludf.DUMMYFUNCTION("MAX(FILTER($H:$H,$E:$E=F453))"),0.0)</f>
        <v>0</v>
      </c>
    </row>
    <row r="454">
      <c r="C454" s="4" t="s">
        <v>3038</v>
      </c>
      <c r="D454" s="4" t="str">
        <f t="shared" si="1"/>
        <v>{"valorA":"não","valorB":1}</v>
      </c>
      <c r="E454" s="8" t="str">
        <f t="shared" si="2"/>
        <v>não</v>
      </c>
      <c r="F454" s="8"/>
      <c r="G454" s="8" t="str">
        <f t="shared" si="3"/>
        <v>1</v>
      </c>
      <c r="H454" s="9">
        <f t="shared" si="4"/>
        <v>1</v>
      </c>
      <c r="I454" s="10">
        <f>IFERROR(__xludf.DUMMYFUNCTION("MAX(FILTER($H:$H,$E:$E=F454))"),0.0)</f>
        <v>0</v>
      </c>
    </row>
    <row r="455">
      <c r="C455" s="4" t="s">
        <v>3409</v>
      </c>
      <c r="D455" s="4" t="str">
        <f t="shared" si="1"/>
        <v>{"valorA":"foi","valorB":1}</v>
      </c>
      <c r="E455" s="8" t="str">
        <f t="shared" si="2"/>
        <v>foi</v>
      </c>
      <c r="F455" s="8"/>
      <c r="G455" s="8" t="str">
        <f t="shared" si="3"/>
        <v>1</v>
      </c>
      <c r="H455" s="9">
        <f t="shared" si="4"/>
        <v>1</v>
      </c>
      <c r="I455" s="10">
        <f>IFERROR(__xludf.DUMMYFUNCTION("MAX(FILTER($H:$H,$E:$E=F455))"),0.0)</f>
        <v>0</v>
      </c>
    </row>
    <row r="456">
      <c r="C456" s="4" t="s">
        <v>3416</v>
      </c>
      <c r="D456" s="4" t="str">
        <f t="shared" si="1"/>
        <v>{"valorA":"comentário","valorB":1}</v>
      </c>
      <c r="E456" s="8" t="str">
        <f t="shared" si="2"/>
        <v>comentário</v>
      </c>
      <c r="F456" s="8"/>
      <c r="G456" s="8" t="str">
        <f t="shared" si="3"/>
        <v>1</v>
      </c>
      <c r="H456" s="9">
        <f t="shared" si="4"/>
        <v>1</v>
      </c>
      <c r="I456" s="10">
        <f>IFERROR(__xludf.DUMMYFUNCTION("MAX(FILTER($H:$H,$E:$E=F456))"),0.0)</f>
        <v>0</v>
      </c>
    </row>
    <row r="457">
      <c r="C457" s="4"/>
      <c r="D457" s="4" t="str">
        <f t="shared" si="1"/>
        <v/>
      </c>
      <c r="E457" s="8"/>
      <c r="F457" s="8"/>
      <c r="G457" s="8"/>
      <c r="H457" s="9"/>
    </row>
    <row r="458">
      <c r="C458" s="4"/>
      <c r="D458" s="4" t="str">
        <f t="shared" si="1"/>
        <v/>
      </c>
      <c r="E458" s="8"/>
      <c r="F458" s="8"/>
      <c r="G458" s="8"/>
      <c r="H458" s="9"/>
    </row>
    <row r="459">
      <c r="C459" s="4"/>
      <c r="D459" s="4" t="str">
        <f t="shared" si="1"/>
        <v/>
      </c>
      <c r="E459" s="8"/>
      <c r="F459" s="8"/>
      <c r="G459" s="8"/>
      <c r="H459" s="9"/>
    </row>
    <row r="460">
      <c r="C460" s="4"/>
      <c r="D460" s="4" t="str">
        <f t="shared" si="1"/>
        <v/>
      </c>
      <c r="E460" s="8"/>
      <c r="F460" s="8"/>
      <c r="G460" s="8"/>
      <c r="H460" s="9"/>
    </row>
    <row r="461">
      <c r="C461" s="4"/>
      <c r="D461" s="4" t="str">
        <f t="shared" si="1"/>
        <v/>
      </c>
      <c r="E461" s="8"/>
      <c r="F461" s="8"/>
      <c r="G461" s="8"/>
      <c r="H461" s="9"/>
    </row>
    <row r="462">
      <c r="C462" s="4"/>
      <c r="D462" s="4" t="str">
        <f t="shared" si="1"/>
        <v/>
      </c>
      <c r="E462" s="8"/>
      <c r="F462" s="8"/>
      <c r="G462" s="8"/>
      <c r="H462" s="9"/>
    </row>
    <row r="463">
      <c r="C463" s="4"/>
      <c r="D463" s="4" t="str">
        <f t="shared" si="1"/>
        <v/>
      </c>
      <c r="E463" s="8"/>
      <c r="F463" s="8"/>
      <c r="G463" s="8"/>
      <c r="H463" s="9"/>
    </row>
    <row r="464">
      <c r="C464" s="4"/>
      <c r="D464" s="4" t="str">
        <f t="shared" si="1"/>
        <v/>
      </c>
      <c r="E464" s="8"/>
      <c r="F464" s="8"/>
      <c r="G464" s="8"/>
      <c r="H464" s="9"/>
    </row>
    <row r="465">
      <c r="C465" s="4"/>
      <c r="D465" s="4" t="str">
        <f t="shared" si="1"/>
        <v/>
      </c>
      <c r="E465" s="8"/>
      <c r="F465" s="8"/>
      <c r="G465" s="8"/>
      <c r="H465" s="9"/>
    </row>
    <row r="466">
      <c r="C466" s="4"/>
      <c r="D466" s="4" t="str">
        <f t="shared" si="1"/>
        <v/>
      </c>
      <c r="E466" s="8"/>
      <c r="F466" s="8"/>
      <c r="G466" s="8"/>
      <c r="H466" s="9"/>
    </row>
    <row r="467">
      <c r="C467" s="4"/>
      <c r="D467" s="4" t="str">
        <f t="shared" si="1"/>
        <v/>
      </c>
      <c r="E467" s="8"/>
      <c r="F467" s="8"/>
      <c r="G467" s="8"/>
      <c r="H467" s="9"/>
    </row>
    <row r="468">
      <c r="C468" s="4"/>
      <c r="D468" s="4" t="str">
        <f t="shared" si="1"/>
        <v/>
      </c>
      <c r="E468" s="8"/>
      <c r="F468" s="8"/>
      <c r="G468" s="8"/>
      <c r="H468" s="9"/>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4957</v>
      </c>
      <c r="D1" s="5">
        <v>0.0</v>
      </c>
      <c r="F1" s="5"/>
      <c r="G1" s="19" t="s">
        <v>4013</v>
      </c>
      <c r="H1" s="19" t="s">
        <v>4247</v>
      </c>
    </row>
    <row r="2">
      <c r="A2" s="4" t="s">
        <v>7546</v>
      </c>
      <c r="B2" s="6" t="str">
        <f t="shared" ref="B2:B456" si="1">MID(A2,FIND(":",A2)+1,LEN(A2)-FIND("segundos",A2))</f>
        <v>104.628</v>
      </c>
      <c r="C2" s="6" t="str">
        <f t="shared" ref="C2:C456" si="2">SUBSTITUTE(B2,".",",")</f>
        <v>104,628</v>
      </c>
      <c r="D2" s="6">
        <f t="shared" ref="D2:D456" si="3">VALUE(C2)</f>
        <v>104.628</v>
      </c>
      <c r="E2" s="6">
        <f t="shared" ref="E2:E456" si="4">D2-D1</f>
        <v>104.628</v>
      </c>
      <c r="G2" s="20">
        <f>AVERAGE(E2:E468)</f>
        <v>1.194492308</v>
      </c>
      <c r="H2" s="20">
        <f>STDEV(E2:E468)</f>
        <v>5.249986096</v>
      </c>
    </row>
    <row r="3">
      <c r="A3" s="4" t="s">
        <v>7547</v>
      </c>
      <c r="B3" s="6" t="str">
        <f t="shared" si="1"/>
        <v>104.757</v>
      </c>
      <c r="C3" s="6" t="str">
        <f t="shared" si="2"/>
        <v>104,757</v>
      </c>
      <c r="D3" s="6">
        <f t="shared" si="3"/>
        <v>104.757</v>
      </c>
      <c r="E3" s="6">
        <f t="shared" si="4"/>
        <v>0.129</v>
      </c>
    </row>
    <row r="4">
      <c r="A4" s="4" t="s">
        <v>7548</v>
      </c>
      <c r="B4" s="6" t="str">
        <f t="shared" si="1"/>
        <v>104.880</v>
      </c>
      <c r="C4" s="6" t="str">
        <f t="shared" si="2"/>
        <v>104,880</v>
      </c>
      <c r="D4" s="6">
        <f t="shared" si="3"/>
        <v>104.88</v>
      </c>
      <c r="E4" s="6">
        <f t="shared" si="4"/>
        <v>0.123</v>
      </c>
    </row>
    <row r="5">
      <c r="A5" s="4" t="s">
        <v>7549</v>
      </c>
      <c r="B5" s="6" t="str">
        <f t="shared" si="1"/>
        <v>105.010</v>
      </c>
      <c r="C5" s="6" t="str">
        <f t="shared" si="2"/>
        <v>105,010</v>
      </c>
      <c r="D5" s="6">
        <f t="shared" si="3"/>
        <v>105.01</v>
      </c>
      <c r="E5" s="6">
        <f t="shared" si="4"/>
        <v>0.13</v>
      </c>
    </row>
    <row r="6">
      <c r="A6" s="4" t="s">
        <v>7550</v>
      </c>
      <c r="B6" s="6" t="str">
        <f t="shared" si="1"/>
        <v>105.170</v>
      </c>
      <c r="C6" s="6" t="str">
        <f t="shared" si="2"/>
        <v>105,170</v>
      </c>
      <c r="D6" s="6">
        <f t="shared" si="3"/>
        <v>105.17</v>
      </c>
      <c r="E6" s="6">
        <f t="shared" si="4"/>
        <v>0.16</v>
      </c>
    </row>
    <row r="7">
      <c r="A7" s="4" t="s">
        <v>7551</v>
      </c>
      <c r="B7" s="6" t="str">
        <f t="shared" si="1"/>
        <v>105.321</v>
      </c>
      <c r="C7" s="6" t="str">
        <f t="shared" si="2"/>
        <v>105,321</v>
      </c>
      <c r="D7" s="6">
        <f t="shared" si="3"/>
        <v>105.321</v>
      </c>
      <c r="E7" s="6">
        <f t="shared" si="4"/>
        <v>0.151</v>
      </c>
    </row>
    <row r="8">
      <c r="A8" s="4" t="s">
        <v>7552</v>
      </c>
      <c r="B8" s="6" t="str">
        <f t="shared" si="1"/>
        <v>105.483</v>
      </c>
      <c r="C8" s="6" t="str">
        <f t="shared" si="2"/>
        <v>105,483</v>
      </c>
      <c r="D8" s="6">
        <f t="shared" si="3"/>
        <v>105.483</v>
      </c>
      <c r="E8" s="6">
        <f t="shared" si="4"/>
        <v>0.162</v>
      </c>
    </row>
    <row r="9">
      <c r="A9" s="4" t="s">
        <v>7553</v>
      </c>
      <c r="B9" s="6" t="str">
        <f t="shared" si="1"/>
        <v>105.718</v>
      </c>
      <c r="C9" s="6" t="str">
        <f t="shared" si="2"/>
        <v>105,718</v>
      </c>
      <c r="D9" s="6">
        <f t="shared" si="3"/>
        <v>105.718</v>
      </c>
      <c r="E9" s="6">
        <f t="shared" si="4"/>
        <v>0.235</v>
      </c>
    </row>
    <row r="10">
      <c r="A10" s="4" t="s">
        <v>7554</v>
      </c>
      <c r="B10" s="6" t="str">
        <f t="shared" si="1"/>
        <v>105.914</v>
      </c>
      <c r="C10" s="6" t="str">
        <f t="shared" si="2"/>
        <v>105,914</v>
      </c>
      <c r="D10" s="6">
        <f t="shared" si="3"/>
        <v>105.914</v>
      </c>
      <c r="E10" s="6">
        <f t="shared" si="4"/>
        <v>0.196</v>
      </c>
    </row>
    <row r="11">
      <c r="A11" s="4" t="s">
        <v>7555</v>
      </c>
      <c r="B11" s="6" t="str">
        <f t="shared" si="1"/>
        <v>106.127</v>
      </c>
      <c r="C11" s="6" t="str">
        <f t="shared" si="2"/>
        <v>106,127</v>
      </c>
      <c r="D11" s="6">
        <f t="shared" si="3"/>
        <v>106.127</v>
      </c>
      <c r="E11" s="6">
        <f t="shared" si="4"/>
        <v>0.213</v>
      </c>
    </row>
    <row r="12">
      <c r="A12" s="4" t="s">
        <v>7556</v>
      </c>
      <c r="B12" s="6" t="str">
        <f t="shared" si="1"/>
        <v>106.327</v>
      </c>
      <c r="C12" s="6" t="str">
        <f t="shared" si="2"/>
        <v>106,327</v>
      </c>
      <c r="D12" s="6">
        <f t="shared" si="3"/>
        <v>106.327</v>
      </c>
      <c r="E12" s="6">
        <f t="shared" si="4"/>
        <v>0.2</v>
      </c>
    </row>
    <row r="13">
      <c r="A13" s="4" t="s">
        <v>7557</v>
      </c>
      <c r="B13" s="6" t="str">
        <f t="shared" si="1"/>
        <v>106.546</v>
      </c>
      <c r="C13" s="6" t="str">
        <f t="shared" si="2"/>
        <v>106,546</v>
      </c>
      <c r="D13" s="6">
        <f t="shared" si="3"/>
        <v>106.546</v>
      </c>
      <c r="E13" s="6">
        <f t="shared" si="4"/>
        <v>0.219</v>
      </c>
    </row>
    <row r="14">
      <c r="A14" s="4" t="s">
        <v>7558</v>
      </c>
      <c r="B14" s="6" t="str">
        <f t="shared" si="1"/>
        <v>106.767</v>
      </c>
      <c r="C14" s="6" t="str">
        <f t="shared" si="2"/>
        <v>106,767</v>
      </c>
      <c r="D14" s="6">
        <f t="shared" si="3"/>
        <v>106.767</v>
      </c>
      <c r="E14" s="6">
        <f t="shared" si="4"/>
        <v>0.221</v>
      </c>
    </row>
    <row r="15">
      <c r="A15" s="4" t="s">
        <v>7559</v>
      </c>
      <c r="B15" s="6" t="str">
        <f t="shared" si="1"/>
        <v>115.346</v>
      </c>
      <c r="C15" s="6" t="str">
        <f t="shared" si="2"/>
        <v>115,346</v>
      </c>
      <c r="D15" s="6">
        <f t="shared" si="3"/>
        <v>115.346</v>
      </c>
      <c r="E15" s="6">
        <f t="shared" si="4"/>
        <v>8.579</v>
      </c>
    </row>
    <row r="16">
      <c r="A16" s="4" t="s">
        <v>7560</v>
      </c>
      <c r="B16" s="6" t="str">
        <f t="shared" si="1"/>
        <v>115.570</v>
      </c>
      <c r="C16" s="6" t="str">
        <f t="shared" si="2"/>
        <v>115,570</v>
      </c>
      <c r="D16" s="6">
        <f t="shared" si="3"/>
        <v>115.57</v>
      </c>
      <c r="E16" s="6">
        <f t="shared" si="4"/>
        <v>0.224</v>
      </c>
    </row>
    <row r="17">
      <c r="A17" s="4" t="s">
        <v>7561</v>
      </c>
      <c r="B17" s="6" t="str">
        <f t="shared" si="1"/>
        <v>115.798</v>
      </c>
      <c r="C17" s="6" t="str">
        <f t="shared" si="2"/>
        <v>115,798</v>
      </c>
      <c r="D17" s="6">
        <f t="shared" si="3"/>
        <v>115.798</v>
      </c>
      <c r="E17" s="6">
        <f t="shared" si="4"/>
        <v>0.228</v>
      </c>
    </row>
    <row r="18">
      <c r="A18" s="4" t="s">
        <v>7562</v>
      </c>
      <c r="B18" s="6" t="str">
        <f t="shared" si="1"/>
        <v>116.066</v>
      </c>
      <c r="C18" s="6" t="str">
        <f t="shared" si="2"/>
        <v>116,066</v>
      </c>
      <c r="D18" s="6">
        <f t="shared" si="3"/>
        <v>116.066</v>
      </c>
      <c r="E18" s="6">
        <f t="shared" si="4"/>
        <v>0.268</v>
      </c>
    </row>
    <row r="19">
      <c r="A19" s="4" t="s">
        <v>7563</v>
      </c>
      <c r="B19" s="6" t="str">
        <f t="shared" si="1"/>
        <v>116.317</v>
      </c>
      <c r="C19" s="6" t="str">
        <f t="shared" si="2"/>
        <v>116,317</v>
      </c>
      <c r="D19" s="6">
        <f t="shared" si="3"/>
        <v>116.317</v>
      </c>
      <c r="E19" s="6">
        <f t="shared" si="4"/>
        <v>0.251</v>
      </c>
    </row>
    <row r="20">
      <c r="A20" s="4" t="s">
        <v>7564</v>
      </c>
      <c r="B20" s="6" t="str">
        <f t="shared" si="1"/>
        <v>116.567</v>
      </c>
      <c r="C20" s="6" t="str">
        <f t="shared" si="2"/>
        <v>116,567</v>
      </c>
      <c r="D20" s="6">
        <f t="shared" si="3"/>
        <v>116.567</v>
      </c>
      <c r="E20" s="6">
        <f t="shared" si="4"/>
        <v>0.25</v>
      </c>
    </row>
    <row r="21">
      <c r="A21" s="4" t="s">
        <v>7565</v>
      </c>
      <c r="B21" s="6" t="str">
        <f t="shared" si="1"/>
        <v>116.813</v>
      </c>
      <c r="C21" s="6" t="str">
        <f t="shared" si="2"/>
        <v>116,813</v>
      </c>
      <c r="D21" s="6">
        <f t="shared" si="3"/>
        <v>116.813</v>
      </c>
      <c r="E21" s="6">
        <f t="shared" si="4"/>
        <v>0.246</v>
      </c>
    </row>
    <row r="22">
      <c r="A22" s="4" t="s">
        <v>7566</v>
      </c>
      <c r="B22" s="6" t="str">
        <f t="shared" si="1"/>
        <v>117.072</v>
      </c>
      <c r="C22" s="6" t="str">
        <f t="shared" si="2"/>
        <v>117,072</v>
      </c>
      <c r="D22" s="6">
        <f t="shared" si="3"/>
        <v>117.072</v>
      </c>
      <c r="E22" s="6">
        <f t="shared" si="4"/>
        <v>0.259</v>
      </c>
    </row>
    <row r="23">
      <c r="A23" s="4" t="s">
        <v>7567</v>
      </c>
      <c r="B23" s="6" t="str">
        <f t="shared" si="1"/>
        <v>117.331</v>
      </c>
      <c r="C23" s="6" t="str">
        <f t="shared" si="2"/>
        <v>117,331</v>
      </c>
      <c r="D23" s="6">
        <f t="shared" si="3"/>
        <v>117.331</v>
      </c>
      <c r="E23" s="6">
        <f t="shared" si="4"/>
        <v>0.259</v>
      </c>
    </row>
    <row r="24">
      <c r="A24" s="4" t="s">
        <v>7568</v>
      </c>
      <c r="B24" s="6" t="str">
        <f t="shared" si="1"/>
        <v>117.591</v>
      </c>
      <c r="C24" s="6" t="str">
        <f t="shared" si="2"/>
        <v>117,591</v>
      </c>
      <c r="D24" s="6">
        <f t="shared" si="3"/>
        <v>117.591</v>
      </c>
      <c r="E24" s="6">
        <f t="shared" si="4"/>
        <v>0.26</v>
      </c>
    </row>
    <row r="25">
      <c r="A25" s="4" t="s">
        <v>7569</v>
      </c>
      <c r="B25" s="6" t="str">
        <f t="shared" si="1"/>
        <v>117.850</v>
      </c>
      <c r="C25" s="6" t="str">
        <f t="shared" si="2"/>
        <v>117,850</v>
      </c>
      <c r="D25" s="6">
        <f t="shared" si="3"/>
        <v>117.85</v>
      </c>
      <c r="E25" s="6">
        <f t="shared" si="4"/>
        <v>0.259</v>
      </c>
    </row>
    <row r="26">
      <c r="A26" s="4" t="s">
        <v>7570</v>
      </c>
      <c r="B26" s="6" t="str">
        <f t="shared" si="1"/>
        <v>118.099</v>
      </c>
      <c r="C26" s="6" t="str">
        <f t="shared" si="2"/>
        <v>118,099</v>
      </c>
      <c r="D26" s="6">
        <f t="shared" si="3"/>
        <v>118.099</v>
      </c>
      <c r="E26" s="6">
        <f t="shared" si="4"/>
        <v>0.249</v>
      </c>
    </row>
    <row r="27">
      <c r="A27" s="4" t="s">
        <v>7571</v>
      </c>
      <c r="B27" s="6" t="str">
        <f t="shared" si="1"/>
        <v>118.357</v>
      </c>
      <c r="C27" s="6" t="str">
        <f t="shared" si="2"/>
        <v>118,357</v>
      </c>
      <c r="D27" s="6">
        <f t="shared" si="3"/>
        <v>118.357</v>
      </c>
      <c r="E27" s="6">
        <f t="shared" si="4"/>
        <v>0.258</v>
      </c>
    </row>
    <row r="28">
      <c r="A28" s="4" t="s">
        <v>7572</v>
      </c>
      <c r="B28" s="6" t="str">
        <f t="shared" si="1"/>
        <v>118.606</v>
      </c>
      <c r="C28" s="6" t="str">
        <f t="shared" si="2"/>
        <v>118,606</v>
      </c>
      <c r="D28" s="6">
        <f t="shared" si="3"/>
        <v>118.606</v>
      </c>
      <c r="E28" s="6">
        <f t="shared" si="4"/>
        <v>0.249</v>
      </c>
    </row>
    <row r="29">
      <c r="A29" s="4" t="s">
        <v>7573</v>
      </c>
      <c r="B29" s="6" t="str">
        <f t="shared" si="1"/>
        <v>118.877</v>
      </c>
      <c r="C29" s="6" t="str">
        <f t="shared" si="2"/>
        <v>118,877</v>
      </c>
      <c r="D29" s="6">
        <f t="shared" si="3"/>
        <v>118.877</v>
      </c>
      <c r="E29" s="6">
        <f t="shared" si="4"/>
        <v>0.271</v>
      </c>
    </row>
    <row r="30">
      <c r="A30" s="4" t="s">
        <v>7574</v>
      </c>
      <c r="B30" s="6" t="str">
        <f t="shared" si="1"/>
        <v>124.622</v>
      </c>
      <c r="C30" s="6" t="str">
        <f t="shared" si="2"/>
        <v>124,622</v>
      </c>
      <c r="D30" s="6">
        <f t="shared" si="3"/>
        <v>124.622</v>
      </c>
      <c r="E30" s="6">
        <f t="shared" si="4"/>
        <v>5.745</v>
      </c>
    </row>
    <row r="31">
      <c r="A31" s="4" t="s">
        <v>7575</v>
      </c>
      <c r="B31" s="6" t="str">
        <f t="shared" si="1"/>
        <v>124.896</v>
      </c>
      <c r="C31" s="6" t="str">
        <f t="shared" si="2"/>
        <v>124,896</v>
      </c>
      <c r="D31" s="6">
        <f t="shared" si="3"/>
        <v>124.896</v>
      </c>
      <c r="E31" s="6">
        <f t="shared" si="4"/>
        <v>0.274</v>
      </c>
    </row>
    <row r="32">
      <c r="A32" s="4" t="s">
        <v>7576</v>
      </c>
      <c r="B32" s="6" t="str">
        <f t="shared" si="1"/>
        <v>125.199</v>
      </c>
      <c r="C32" s="6" t="str">
        <f t="shared" si="2"/>
        <v>125,199</v>
      </c>
      <c r="D32" s="6">
        <f t="shared" si="3"/>
        <v>125.199</v>
      </c>
      <c r="E32" s="6">
        <f t="shared" si="4"/>
        <v>0.303</v>
      </c>
    </row>
    <row r="33">
      <c r="A33" s="4" t="s">
        <v>7577</v>
      </c>
      <c r="B33" s="6" t="str">
        <f t="shared" si="1"/>
        <v>125.482</v>
      </c>
      <c r="C33" s="6" t="str">
        <f t="shared" si="2"/>
        <v>125,482</v>
      </c>
      <c r="D33" s="6">
        <f t="shared" si="3"/>
        <v>125.482</v>
      </c>
      <c r="E33" s="6">
        <f t="shared" si="4"/>
        <v>0.283</v>
      </c>
    </row>
    <row r="34">
      <c r="A34" s="4" t="s">
        <v>7578</v>
      </c>
      <c r="B34" s="6" t="str">
        <f t="shared" si="1"/>
        <v>125.775</v>
      </c>
      <c r="C34" s="6" t="str">
        <f t="shared" si="2"/>
        <v>125,775</v>
      </c>
      <c r="D34" s="6">
        <f t="shared" si="3"/>
        <v>125.775</v>
      </c>
      <c r="E34" s="6">
        <f t="shared" si="4"/>
        <v>0.293</v>
      </c>
    </row>
    <row r="35">
      <c r="A35" s="4" t="s">
        <v>7579</v>
      </c>
      <c r="B35" s="6" t="str">
        <f t="shared" si="1"/>
        <v>126.115</v>
      </c>
      <c r="C35" s="6" t="str">
        <f t="shared" si="2"/>
        <v>126,115</v>
      </c>
      <c r="D35" s="6">
        <f t="shared" si="3"/>
        <v>126.115</v>
      </c>
      <c r="E35" s="6">
        <f t="shared" si="4"/>
        <v>0.34</v>
      </c>
    </row>
    <row r="36">
      <c r="A36" s="4" t="s">
        <v>7580</v>
      </c>
      <c r="B36" s="6" t="str">
        <f t="shared" si="1"/>
        <v>135.460</v>
      </c>
      <c r="C36" s="6" t="str">
        <f t="shared" si="2"/>
        <v>135,460</v>
      </c>
      <c r="D36" s="6">
        <f t="shared" si="3"/>
        <v>135.46</v>
      </c>
      <c r="E36" s="6">
        <f t="shared" si="4"/>
        <v>9.345</v>
      </c>
    </row>
    <row r="37">
      <c r="A37" s="4" t="s">
        <v>7581</v>
      </c>
      <c r="B37" s="6" t="str">
        <f t="shared" si="1"/>
        <v>135.740</v>
      </c>
      <c r="C37" s="6" t="str">
        <f t="shared" si="2"/>
        <v>135,740</v>
      </c>
      <c r="D37" s="6">
        <f t="shared" si="3"/>
        <v>135.74</v>
      </c>
      <c r="E37" s="6">
        <f t="shared" si="4"/>
        <v>0.28</v>
      </c>
    </row>
    <row r="38">
      <c r="A38" s="4" t="s">
        <v>7582</v>
      </c>
      <c r="B38" s="6" t="str">
        <f t="shared" si="1"/>
        <v>136.031</v>
      </c>
      <c r="C38" s="6" t="str">
        <f t="shared" si="2"/>
        <v>136,031</v>
      </c>
      <c r="D38" s="6">
        <f t="shared" si="3"/>
        <v>136.031</v>
      </c>
      <c r="E38" s="6">
        <f t="shared" si="4"/>
        <v>0.291</v>
      </c>
    </row>
    <row r="39">
      <c r="A39" s="4" t="s">
        <v>7583</v>
      </c>
      <c r="B39" s="6" t="str">
        <f t="shared" si="1"/>
        <v>136.376</v>
      </c>
      <c r="C39" s="6" t="str">
        <f t="shared" si="2"/>
        <v>136,376</v>
      </c>
      <c r="D39" s="6">
        <f t="shared" si="3"/>
        <v>136.376</v>
      </c>
      <c r="E39" s="6">
        <f t="shared" si="4"/>
        <v>0.345</v>
      </c>
    </row>
    <row r="40">
      <c r="A40" s="4" t="s">
        <v>7584</v>
      </c>
      <c r="B40" s="6" t="str">
        <f t="shared" si="1"/>
        <v>136.720</v>
      </c>
      <c r="C40" s="6" t="str">
        <f t="shared" si="2"/>
        <v>136,720</v>
      </c>
      <c r="D40" s="6">
        <f t="shared" si="3"/>
        <v>136.72</v>
      </c>
      <c r="E40" s="6">
        <f t="shared" si="4"/>
        <v>0.344</v>
      </c>
    </row>
    <row r="41">
      <c r="A41" s="4" t="s">
        <v>7585</v>
      </c>
      <c r="B41" s="6" t="str">
        <f t="shared" si="1"/>
        <v>137.049</v>
      </c>
      <c r="C41" s="6" t="str">
        <f t="shared" si="2"/>
        <v>137,049</v>
      </c>
      <c r="D41" s="6">
        <f t="shared" si="3"/>
        <v>137.049</v>
      </c>
      <c r="E41" s="6">
        <f t="shared" si="4"/>
        <v>0.329</v>
      </c>
    </row>
    <row r="42">
      <c r="A42" s="4" t="s">
        <v>7586</v>
      </c>
      <c r="B42" s="6" t="str">
        <f t="shared" si="1"/>
        <v>137.371</v>
      </c>
      <c r="C42" s="6" t="str">
        <f t="shared" si="2"/>
        <v>137,371</v>
      </c>
      <c r="D42" s="6">
        <f t="shared" si="3"/>
        <v>137.371</v>
      </c>
      <c r="E42" s="6">
        <f t="shared" si="4"/>
        <v>0.322</v>
      </c>
    </row>
    <row r="43">
      <c r="A43" s="4" t="s">
        <v>7587</v>
      </c>
      <c r="B43" s="6" t="str">
        <f t="shared" si="1"/>
        <v>143.676</v>
      </c>
      <c r="C43" s="6" t="str">
        <f t="shared" si="2"/>
        <v>143,676</v>
      </c>
      <c r="D43" s="6">
        <f t="shared" si="3"/>
        <v>143.676</v>
      </c>
      <c r="E43" s="6">
        <f t="shared" si="4"/>
        <v>6.305</v>
      </c>
    </row>
    <row r="44">
      <c r="A44" s="4" t="s">
        <v>7588</v>
      </c>
      <c r="B44" s="6" t="str">
        <f t="shared" si="1"/>
        <v>144.021</v>
      </c>
      <c r="C44" s="6" t="str">
        <f t="shared" si="2"/>
        <v>144,021</v>
      </c>
      <c r="D44" s="6">
        <f t="shared" si="3"/>
        <v>144.021</v>
      </c>
      <c r="E44" s="6">
        <f t="shared" si="4"/>
        <v>0.345</v>
      </c>
    </row>
    <row r="45">
      <c r="A45" s="4" t="s">
        <v>7589</v>
      </c>
      <c r="B45" s="6" t="str">
        <f t="shared" si="1"/>
        <v>144.350</v>
      </c>
      <c r="C45" s="6" t="str">
        <f t="shared" si="2"/>
        <v>144,350</v>
      </c>
      <c r="D45" s="6">
        <f t="shared" si="3"/>
        <v>144.35</v>
      </c>
      <c r="E45" s="6">
        <f t="shared" si="4"/>
        <v>0.329</v>
      </c>
    </row>
    <row r="46">
      <c r="A46" s="4" t="s">
        <v>7590</v>
      </c>
      <c r="B46" s="6" t="str">
        <f t="shared" si="1"/>
        <v>144.675</v>
      </c>
      <c r="C46" s="6" t="str">
        <f t="shared" si="2"/>
        <v>144,675</v>
      </c>
      <c r="D46" s="6">
        <f t="shared" si="3"/>
        <v>144.675</v>
      </c>
      <c r="E46" s="6">
        <f t="shared" si="4"/>
        <v>0.325</v>
      </c>
    </row>
    <row r="47">
      <c r="A47" s="4" t="s">
        <v>7591</v>
      </c>
      <c r="B47" s="6" t="str">
        <f t="shared" si="1"/>
        <v>145.021</v>
      </c>
      <c r="C47" s="6" t="str">
        <f t="shared" si="2"/>
        <v>145,021</v>
      </c>
      <c r="D47" s="6">
        <f t="shared" si="3"/>
        <v>145.021</v>
      </c>
      <c r="E47" s="6">
        <f t="shared" si="4"/>
        <v>0.346</v>
      </c>
    </row>
    <row r="48">
      <c r="A48" s="4" t="s">
        <v>7592</v>
      </c>
      <c r="B48" s="6" t="str">
        <f t="shared" si="1"/>
        <v>145.403</v>
      </c>
      <c r="C48" s="6" t="str">
        <f t="shared" si="2"/>
        <v>145,403</v>
      </c>
      <c r="D48" s="6">
        <f t="shared" si="3"/>
        <v>145.403</v>
      </c>
      <c r="E48" s="6">
        <f t="shared" si="4"/>
        <v>0.382</v>
      </c>
    </row>
    <row r="49">
      <c r="A49" s="4" t="s">
        <v>7593</v>
      </c>
      <c r="B49" s="6" t="str">
        <f t="shared" si="1"/>
        <v>145.739</v>
      </c>
      <c r="C49" s="6" t="str">
        <f t="shared" si="2"/>
        <v>145,739</v>
      </c>
      <c r="D49" s="6">
        <f t="shared" si="3"/>
        <v>145.739</v>
      </c>
      <c r="E49" s="6">
        <f t="shared" si="4"/>
        <v>0.336</v>
      </c>
    </row>
    <row r="50">
      <c r="A50" s="4" t="s">
        <v>7594</v>
      </c>
      <c r="B50" s="6" t="str">
        <f t="shared" si="1"/>
        <v>146.089</v>
      </c>
      <c r="C50" s="6" t="str">
        <f t="shared" si="2"/>
        <v>146,089</v>
      </c>
      <c r="D50" s="6">
        <f t="shared" si="3"/>
        <v>146.089</v>
      </c>
      <c r="E50" s="6">
        <f t="shared" si="4"/>
        <v>0.35</v>
      </c>
    </row>
    <row r="51">
      <c r="A51" s="4" t="s">
        <v>7595</v>
      </c>
      <c r="B51" s="6" t="str">
        <f t="shared" si="1"/>
        <v>155.094</v>
      </c>
      <c r="C51" s="6" t="str">
        <f t="shared" si="2"/>
        <v>155,094</v>
      </c>
      <c r="D51" s="6">
        <f t="shared" si="3"/>
        <v>155.094</v>
      </c>
      <c r="E51" s="6">
        <f t="shared" si="4"/>
        <v>9.005</v>
      </c>
    </row>
    <row r="52">
      <c r="A52" s="4" t="s">
        <v>7596</v>
      </c>
      <c r="B52" s="6" t="str">
        <f t="shared" si="1"/>
        <v>155.450</v>
      </c>
      <c r="C52" s="6" t="str">
        <f t="shared" si="2"/>
        <v>155,450</v>
      </c>
      <c r="D52" s="6">
        <f t="shared" si="3"/>
        <v>155.45</v>
      </c>
      <c r="E52" s="6">
        <f t="shared" si="4"/>
        <v>0.356</v>
      </c>
    </row>
    <row r="53">
      <c r="A53" s="4" t="s">
        <v>7597</v>
      </c>
      <c r="B53" s="6" t="str">
        <f t="shared" si="1"/>
        <v>155.772</v>
      </c>
      <c r="C53" s="6" t="str">
        <f t="shared" si="2"/>
        <v>155,772</v>
      </c>
      <c r="D53" s="6">
        <f t="shared" si="3"/>
        <v>155.772</v>
      </c>
      <c r="E53" s="6">
        <f t="shared" si="4"/>
        <v>0.322</v>
      </c>
    </row>
    <row r="54">
      <c r="A54" s="4" t="s">
        <v>7598</v>
      </c>
      <c r="B54" s="6" t="str">
        <f t="shared" si="1"/>
        <v>156.129</v>
      </c>
      <c r="C54" s="6" t="str">
        <f t="shared" si="2"/>
        <v>156,129</v>
      </c>
      <c r="D54" s="6">
        <f t="shared" si="3"/>
        <v>156.129</v>
      </c>
      <c r="E54" s="6">
        <f t="shared" si="4"/>
        <v>0.357</v>
      </c>
    </row>
    <row r="55">
      <c r="A55" s="4" t="s">
        <v>7599</v>
      </c>
      <c r="B55" s="6" t="str">
        <f t="shared" si="1"/>
        <v>156.447</v>
      </c>
      <c r="C55" s="6" t="str">
        <f t="shared" si="2"/>
        <v>156,447</v>
      </c>
      <c r="D55" s="6">
        <f t="shared" si="3"/>
        <v>156.447</v>
      </c>
      <c r="E55" s="6">
        <f t="shared" si="4"/>
        <v>0.318</v>
      </c>
    </row>
    <row r="56">
      <c r="A56" s="4" t="s">
        <v>7600</v>
      </c>
      <c r="B56" s="6" t="str">
        <f t="shared" si="1"/>
        <v>156.763</v>
      </c>
      <c r="C56" s="6" t="str">
        <f t="shared" si="2"/>
        <v>156,763</v>
      </c>
      <c r="D56" s="6">
        <f t="shared" si="3"/>
        <v>156.763</v>
      </c>
      <c r="E56" s="6">
        <f t="shared" si="4"/>
        <v>0.316</v>
      </c>
    </row>
    <row r="57">
      <c r="A57" s="4" t="s">
        <v>7601</v>
      </c>
      <c r="B57" s="6" t="str">
        <f t="shared" si="1"/>
        <v>157.103</v>
      </c>
      <c r="C57" s="6" t="str">
        <f t="shared" si="2"/>
        <v>157,103</v>
      </c>
      <c r="D57" s="6">
        <f t="shared" si="3"/>
        <v>157.103</v>
      </c>
      <c r="E57" s="6">
        <f t="shared" si="4"/>
        <v>0.34</v>
      </c>
    </row>
    <row r="58">
      <c r="A58" s="4" t="s">
        <v>7602</v>
      </c>
      <c r="B58" s="6" t="str">
        <f t="shared" si="1"/>
        <v>157.426</v>
      </c>
      <c r="C58" s="6" t="str">
        <f t="shared" si="2"/>
        <v>157,426</v>
      </c>
      <c r="D58" s="6">
        <f t="shared" si="3"/>
        <v>157.426</v>
      </c>
      <c r="E58" s="6">
        <f t="shared" si="4"/>
        <v>0.323</v>
      </c>
    </row>
    <row r="59">
      <c r="A59" s="4" t="s">
        <v>7603</v>
      </c>
      <c r="B59" s="6" t="str">
        <f t="shared" si="1"/>
        <v>157.759</v>
      </c>
      <c r="C59" s="6" t="str">
        <f t="shared" si="2"/>
        <v>157,759</v>
      </c>
      <c r="D59" s="6">
        <f t="shared" si="3"/>
        <v>157.759</v>
      </c>
      <c r="E59" s="6">
        <f t="shared" si="4"/>
        <v>0.333</v>
      </c>
    </row>
    <row r="60">
      <c r="A60" s="4" t="s">
        <v>7604</v>
      </c>
      <c r="B60" s="6" t="str">
        <f t="shared" si="1"/>
        <v>158.069</v>
      </c>
      <c r="C60" s="6" t="str">
        <f t="shared" si="2"/>
        <v>158,069</v>
      </c>
      <c r="D60" s="6">
        <f t="shared" si="3"/>
        <v>158.069</v>
      </c>
      <c r="E60" s="6">
        <f t="shared" si="4"/>
        <v>0.31</v>
      </c>
    </row>
    <row r="61">
      <c r="A61" s="4" t="s">
        <v>7605</v>
      </c>
      <c r="B61" s="6" t="str">
        <f t="shared" si="1"/>
        <v>158.418</v>
      </c>
      <c r="C61" s="6" t="str">
        <f t="shared" si="2"/>
        <v>158,418</v>
      </c>
      <c r="D61" s="6">
        <f t="shared" si="3"/>
        <v>158.418</v>
      </c>
      <c r="E61" s="6">
        <f t="shared" si="4"/>
        <v>0.349</v>
      </c>
    </row>
    <row r="62">
      <c r="A62" s="4" t="s">
        <v>7606</v>
      </c>
      <c r="B62" s="6" t="str">
        <f t="shared" si="1"/>
        <v>158.745</v>
      </c>
      <c r="C62" s="6" t="str">
        <f t="shared" si="2"/>
        <v>158,745</v>
      </c>
      <c r="D62" s="6">
        <f t="shared" si="3"/>
        <v>158.745</v>
      </c>
      <c r="E62" s="6">
        <f t="shared" si="4"/>
        <v>0.327</v>
      </c>
    </row>
    <row r="63">
      <c r="A63" s="4" t="s">
        <v>7607</v>
      </c>
      <c r="B63" s="6" t="str">
        <f t="shared" si="1"/>
        <v>163.890</v>
      </c>
      <c r="C63" s="6" t="str">
        <f t="shared" si="2"/>
        <v>163,890</v>
      </c>
      <c r="D63" s="6">
        <f t="shared" si="3"/>
        <v>163.89</v>
      </c>
      <c r="E63" s="6">
        <f t="shared" si="4"/>
        <v>5.145</v>
      </c>
    </row>
    <row r="64">
      <c r="A64" s="4" t="s">
        <v>7608</v>
      </c>
      <c r="B64" s="6" t="str">
        <f t="shared" si="1"/>
        <v>164.250</v>
      </c>
      <c r="C64" s="6" t="str">
        <f t="shared" si="2"/>
        <v>164,250</v>
      </c>
      <c r="D64" s="6">
        <f t="shared" si="3"/>
        <v>164.25</v>
      </c>
      <c r="E64" s="6">
        <f t="shared" si="4"/>
        <v>0.36</v>
      </c>
    </row>
    <row r="65">
      <c r="A65" s="4" t="s">
        <v>7609</v>
      </c>
      <c r="B65" s="6" t="str">
        <f t="shared" si="1"/>
        <v>164.600</v>
      </c>
      <c r="C65" s="6" t="str">
        <f t="shared" si="2"/>
        <v>164,600</v>
      </c>
      <c r="D65" s="6">
        <f t="shared" si="3"/>
        <v>164.6</v>
      </c>
      <c r="E65" s="6">
        <f t="shared" si="4"/>
        <v>0.35</v>
      </c>
    </row>
    <row r="66">
      <c r="A66" s="4" t="s">
        <v>7610</v>
      </c>
      <c r="B66" s="6" t="str">
        <f t="shared" si="1"/>
        <v>164.920</v>
      </c>
      <c r="C66" s="6" t="str">
        <f t="shared" si="2"/>
        <v>164,920</v>
      </c>
      <c r="D66" s="6">
        <f t="shared" si="3"/>
        <v>164.92</v>
      </c>
      <c r="E66" s="6">
        <f t="shared" si="4"/>
        <v>0.32</v>
      </c>
    </row>
    <row r="67">
      <c r="A67" s="4" t="s">
        <v>7611</v>
      </c>
      <c r="B67" s="6" t="str">
        <f t="shared" si="1"/>
        <v>165.275</v>
      </c>
      <c r="C67" s="6" t="str">
        <f t="shared" si="2"/>
        <v>165,275</v>
      </c>
      <c r="D67" s="6">
        <f t="shared" si="3"/>
        <v>165.275</v>
      </c>
      <c r="E67" s="6">
        <f t="shared" si="4"/>
        <v>0.355</v>
      </c>
    </row>
    <row r="68">
      <c r="A68" s="4" t="s">
        <v>7612</v>
      </c>
      <c r="B68" s="6" t="str">
        <f t="shared" si="1"/>
        <v>165.601</v>
      </c>
      <c r="C68" s="6" t="str">
        <f t="shared" si="2"/>
        <v>165,601</v>
      </c>
      <c r="D68" s="6">
        <f t="shared" si="3"/>
        <v>165.601</v>
      </c>
      <c r="E68" s="6">
        <f t="shared" si="4"/>
        <v>0.326</v>
      </c>
    </row>
    <row r="69">
      <c r="A69" s="4" t="s">
        <v>7613</v>
      </c>
      <c r="B69" s="6" t="str">
        <f t="shared" si="1"/>
        <v>165.938</v>
      </c>
      <c r="C69" s="6" t="str">
        <f t="shared" si="2"/>
        <v>165,938</v>
      </c>
      <c r="D69" s="6">
        <f t="shared" si="3"/>
        <v>165.938</v>
      </c>
      <c r="E69" s="6">
        <f t="shared" si="4"/>
        <v>0.337</v>
      </c>
    </row>
    <row r="70">
      <c r="A70" s="4" t="s">
        <v>7614</v>
      </c>
      <c r="B70" s="6" t="str">
        <f t="shared" si="1"/>
        <v>169.767</v>
      </c>
      <c r="C70" s="6" t="str">
        <f t="shared" si="2"/>
        <v>169,767</v>
      </c>
      <c r="D70" s="6">
        <f t="shared" si="3"/>
        <v>169.767</v>
      </c>
      <c r="E70" s="6">
        <f t="shared" si="4"/>
        <v>3.829</v>
      </c>
    </row>
    <row r="71">
      <c r="A71" s="4" t="s">
        <v>7615</v>
      </c>
      <c r="B71" s="6" t="str">
        <f t="shared" si="1"/>
        <v>170.118</v>
      </c>
      <c r="C71" s="6" t="str">
        <f t="shared" si="2"/>
        <v>170,118</v>
      </c>
      <c r="D71" s="6">
        <f t="shared" si="3"/>
        <v>170.118</v>
      </c>
      <c r="E71" s="6">
        <f t="shared" si="4"/>
        <v>0.351</v>
      </c>
    </row>
    <row r="72">
      <c r="A72" s="4" t="s">
        <v>7616</v>
      </c>
      <c r="B72" s="6" t="str">
        <f t="shared" si="1"/>
        <v>170.427</v>
      </c>
      <c r="C72" s="6" t="str">
        <f t="shared" si="2"/>
        <v>170,427</v>
      </c>
      <c r="D72" s="6">
        <f t="shared" si="3"/>
        <v>170.427</v>
      </c>
      <c r="E72" s="6">
        <f t="shared" si="4"/>
        <v>0.309</v>
      </c>
    </row>
    <row r="73">
      <c r="A73" s="4" t="s">
        <v>7617</v>
      </c>
      <c r="B73" s="6" t="str">
        <f t="shared" si="1"/>
        <v>170.754</v>
      </c>
      <c r="C73" s="6" t="str">
        <f t="shared" si="2"/>
        <v>170,754</v>
      </c>
      <c r="D73" s="6">
        <f t="shared" si="3"/>
        <v>170.754</v>
      </c>
      <c r="E73" s="6">
        <f t="shared" si="4"/>
        <v>0.327</v>
      </c>
    </row>
    <row r="74">
      <c r="A74" s="4" t="s">
        <v>7618</v>
      </c>
      <c r="B74" s="6" t="str">
        <f t="shared" si="1"/>
        <v>171.084</v>
      </c>
      <c r="C74" s="6" t="str">
        <f t="shared" si="2"/>
        <v>171,084</v>
      </c>
      <c r="D74" s="6">
        <f t="shared" si="3"/>
        <v>171.084</v>
      </c>
      <c r="E74" s="6">
        <f t="shared" si="4"/>
        <v>0.33</v>
      </c>
    </row>
    <row r="75">
      <c r="A75" s="4" t="s">
        <v>7619</v>
      </c>
      <c r="B75" s="6" t="str">
        <f t="shared" si="1"/>
        <v>171.435</v>
      </c>
      <c r="C75" s="6" t="str">
        <f t="shared" si="2"/>
        <v>171,435</v>
      </c>
      <c r="D75" s="6">
        <f t="shared" si="3"/>
        <v>171.435</v>
      </c>
      <c r="E75" s="6">
        <f t="shared" si="4"/>
        <v>0.351</v>
      </c>
    </row>
    <row r="76">
      <c r="A76" s="4" t="s">
        <v>7620</v>
      </c>
      <c r="B76" s="6" t="str">
        <f t="shared" si="1"/>
        <v>171.757</v>
      </c>
      <c r="C76" s="6" t="str">
        <f t="shared" si="2"/>
        <v>171,757</v>
      </c>
      <c r="D76" s="6">
        <f t="shared" si="3"/>
        <v>171.757</v>
      </c>
      <c r="E76" s="6">
        <f t="shared" si="4"/>
        <v>0.322</v>
      </c>
    </row>
    <row r="77">
      <c r="A77" s="4" t="s">
        <v>7621</v>
      </c>
      <c r="B77" s="6" t="str">
        <f t="shared" si="1"/>
        <v>178.787</v>
      </c>
      <c r="C77" s="6" t="str">
        <f t="shared" si="2"/>
        <v>178,787</v>
      </c>
      <c r="D77" s="6">
        <f t="shared" si="3"/>
        <v>178.787</v>
      </c>
      <c r="E77" s="6">
        <f t="shared" si="4"/>
        <v>7.03</v>
      </c>
    </row>
    <row r="78">
      <c r="A78" s="4" t="s">
        <v>7622</v>
      </c>
      <c r="B78" s="6" t="str">
        <f t="shared" si="1"/>
        <v>179.097</v>
      </c>
      <c r="C78" s="6" t="str">
        <f t="shared" si="2"/>
        <v>179,097</v>
      </c>
      <c r="D78" s="6">
        <f t="shared" si="3"/>
        <v>179.097</v>
      </c>
      <c r="E78" s="6">
        <f t="shared" si="4"/>
        <v>0.31</v>
      </c>
    </row>
    <row r="79">
      <c r="A79" s="4" t="s">
        <v>7623</v>
      </c>
      <c r="B79" s="6" t="str">
        <f t="shared" si="1"/>
        <v>179.409</v>
      </c>
      <c r="C79" s="6" t="str">
        <f t="shared" si="2"/>
        <v>179,409</v>
      </c>
      <c r="D79" s="6">
        <f t="shared" si="3"/>
        <v>179.409</v>
      </c>
      <c r="E79" s="6">
        <f t="shared" si="4"/>
        <v>0.312</v>
      </c>
    </row>
    <row r="80">
      <c r="A80" s="4" t="s">
        <v>7624</v>
      </c>
      <c r="B80" s="6" t="str">
        <f t="shared" si="1"/>
        <v>179.749</v>
      </c>
      <c r="C80" s="6" t="str">
        <f t="shared" si="2"/>
        <v>179,749</v>
      </c>
      <c r="D80" s="6">
        <f t="shared" si="3"/>
        <v>179.749</v>
      </c>
      <c r="E80" s="6">
        <f t="shared" si="4"/>
        <v>0.34</v>
      </c>
    </row>
    <row r="81">
      <c r="A81" s="4" t="s">
        <v>7625</v>
      </c>
      <c r="B81" s="6" t="str">
        <f t="shared" si="1"/>
        <v>180.051</v>
      </c>
      <c r="C81" s="6" t="str">
        <f t="shared" si="2"/>
        <v>180,051</v>
      </c>
      <c r="D81" s="6">
        <f t="shared" si="3"/>
        <v>180.051</v>
      </c>
      <c r="E81" s="6">
        <f t="shared" si="4"/>
        <v>0.302</v>
      </c>
    </row>
    <row r="82">
      <c r="A82" s="4" t="s">
        <v>7626</v>
      </c>
      <c r="B82" s="6" t="str">
        <f t="shared" si="1"/>
        <v>180.357</v>
      </c>
      <c r="C82" s="6" t="str">
        <f t="shared" si="2"/>
        <v>180,357</v>
      </c>
      <c r="D82" s="6">
        <f t="shared" si="3"/>
        <v>180.357</v>
      </c>
      <c r="E82" s="6">
        <f t="shared" si="4"/>
        <v>0.306</v>
      </c>
    </row>
    <row r="83">
      <c r="A83" s="4" t="s">
        <v>7627</v>
      </c>
      <c r="B83" s="6" t="str">
        <f t="shared" si="1"/>
        <v>180.695</v>
      </c>
      <c r="C83" s="6" t="str">
        <f t="shared" si="2"/>
        <v>180,695</v>
      </c>
      <c r="D83" s="6">
        <f t="shared" si="3"/>
        <v>180.695</v>
      </c>
      <c r="E83" s="6">
        <f t="shared" si="4"/>
        <v>0.338</v>
      </c>
    </row>
    <row r="84">
      <c r="A84" s="4" t="s">
        <v>7628</v>
      </c>
      <c r="B84" s="6" t="str">
        <f t="shared" si="1"/>
        <v>181.015</v>
      </c>
      <c r="C84" s="6" t="str">
        <f t="shared" si="2"/>
        <v>181,015</v>
      </c>
      <c r="D84" s="6">
        <f t="shared" si="3"/>
        <v>181.015</v>
      </c>
      <c r="E84" s="6">
        <f t="shared" si="4"/>
        <v>0.32</v>
      </c>
    </row>
    <row r="85">
      <c r="A85" s="4" t="s">
        <v>7629</v>
      </c>
      <c r="B85" s="6" t="str">
        <f t="shared" si="1"/>
        <v>181.326</v>
      </c>
      <c r="C85" s="6" t="str">
        <f t="shared" si="2"/>
        <v>181,326</v>
      </c>
      <c r="D85" s="6">
        <f t="shared" si="3"/>
        <v>181.326</v>
      </c>
      <c r="E85" s="6">
        <f t="shared" si="4"/>
        <v>0.311</v>
      </c>
    </row>
    <row r="86">
      <c r="A86" s="4" t="s">
        <v>7630</v>
      </c>
      <c r="B86" s="6" t="str">
        <f t="shared" si="1"/>
        <v>184.466</v>
      </c>
      <c r="C86" s="6" t="str">
        <f t="shared" si="2"/>
        <v>184,466</v>
      </c>
      <c r="D86" s="6">
        <f t="shared" si="3"/>
        <v>184.466</v>
      </c>
      <c r="E86" s="6">
        <f t="shared" si="4"/>
        <v>3.14</v>
      </c>
    </row>
    <row r="87">
      <c r="A87" s="4" t="s">
        <v>7631</v>
      </c>
      <c r="B87" s="6" t="str">
        <f t="shared" si="1"/>
        <v>184.782</v>
      </c>
      <c r="C87" s="6" t="str">
        <f t="shared" si="2"/>
        <v>184,782</v>
      </c>
      <c r="D87" s="6">
        <f t="shared" si="3"/>
        <v>184.782</v>
      </c>
      <c r="E87" s="6">
        <f t="shared" si="4"/>
        <v>0.316</v>
      </c>
    </row>
    <row r="88">
      <c r="A88" s="4" t="s">
        <v>7632</v>
      </c>
      <c r="B88" s="6" t="str">
        <f t="shared" si="1"/>
        <v>185.162</v>
      </c>
      <c r="C88" s="6" t="str">
        <f t="shared" si="2"/>
        <v>185,162</v>
      </c>
      <c r="D88" s="6">
        <f t="shared" si="3"/>
        <v>185.162</v>
      </c>
      <c r="E88" s="6">
        <f t="shared" si="4"/>
        <v>0.38</v>
      </c>
    </row>
    <row r="89">
      <c r="A89" s="4" t="s">
        <v>7633</v>
      </c>
      <c r="B89" s="6" t="str">
        <f t="shared" si="1"/>
        <v>185.468</v>
      </c>
      <c r="C89" s="6" t="str">
        <f t="shared" si="2"/>
        <v>185,468</v>
      </c>
      <c r="D89" s="6">
        <f t="shared" si="3"/>
        <v>185.468</v>
      </c>
      <c r="E89" s="6">
        <f t="shared" si="4"/>
        <v>0.306</v>
      </c>
    </row>
    <row r="90">
      <c r="A90" s="4" t="s">
        <v>7634</v>
      </c>
      <c r="B90" s="6" t="str">
        <f t="shared" si="1"/>
        <v>185.777</v>
      </c>
      <c r="C90" s="6" t="str">
        <f t="shared" si="2"/>
        <v>185,777</v>
      </c>
      <c r="D90" s="6">
        <f t="shared" si="3"/>
        <v>185.777</v>
      </c>
      <c r="E90" s="6">
        <f t="shared" si="4"/>
        <v>0.309</v>
      </c>
    </row>
    <row r="91">
      <c r="A91" s="4" t="s">
        <v>7635</v>
      </c>
      <c r="B91" s="6" t="str">
        <f t="shared" si="1"/>
        <v>186.064</v>
      </c>
      <c r="C91" s="6" t="str">
        <f t="shared" si="2"/>
        <v>186,064</v>
      </c>
      <c r="D91" s="6">
        <f t="shared" si="3"/>
        <v>186.064</v>
      </c>
      <c r="E91" s="6">
        <f t="shared" si="4"/>
        <v>0.287</v>
      </c>
    </row>
    <row r="92">
      <c r="A92" s="4" t="s">
        <v>7636</v>
      </c>
      <c r="B92" s="6" t="str">
        <f t="shared" si="1"/>
        <v>186.378</v>
      </c>
      <c r="C92" s="6" t="str">
        <f t="shared" si="2"/>
        <v>186,378</v>
      </c>
      <c r="D92" s="6">
        <f t="shared" si="3"/>
        <v>186.378</v>
      </c>
      <c r="E92" s="6">
        <f t="shared" si="4"/>
        <v>0.314</v>
      </c>
    </row>
    <row r="93">
      <c r="A93" s="4" t="s">
        <v>7637</v>
      </c>
      <c r="B93" s="6" t="str">
        <f t="shared" si="1"/>
        <v>192.402</v>
      </c>
      <c r="C93" s="6" t="str">
        <f t="shared" si="2"/>
        <v>192,402</v>
      </c>
      <c r="D93" s="6">
        <f t="shared" si="3"/>
        <v>192.402</v>
      </c>
      <c r="E93" s="6">
        <f t="shared" si="4"/>
        <v>6.024</v>
      </c>
    </row>
    <row r="94">
      <c r="A94" s="4" t="s">
        <v>7638</v>
      </c>
      <c r="B94" s="6" t="str">
        <f t="shared" si="1"/>
        <v>192.701</v>
      </c>
      <c r="C94" s="6" t="str">
        <f t="shared" si="2"/>
        <v>192,701</v>
      </c>
      <c r="D94" s="6">
        <f t="shared" si="3"/>
        <v>192.701</v>
      </c>
      <c r="E94" s="6">
        <f t="shared" si="4"/>
        <v>0.299</v>
      </c>
    </row>
    <row r="95">
      <c r="A95" s="4" t="s">
        <v>7639</v>
      </c>
      <c r="B95" s="6" t="str">
        <f t="shared" si="1"/>
        <v>193.025</v>
      </c>
      <c r="C95" s="6" t="str">
        <f t="shared" si="2"/>
        <v>193,025</v>
      </c>
      <c r="D95" s="6">
        <f t="shared" si="3"/>
        <v>193.025</v>
      </c>
      <c r="E95" s="6">
        <f t="shared" si="4"/>
        <v>0.324</v>
      </c>
    </row>
    <row r="96">
      <c r="A96" s="4" t="s">
        <v>7640</v>
      </c>
      <c r="B96" s="6" t="str">
        <f t="shared" si="1"/>
        <v>193.355</v>
      </c>
      <c r="C96" s="6" t="str">
        <f t="shared" si="2"/>
        <v>193,355</v>
      </c>
      <c r="D96" s="6">
        <f t="shared" si="3"/>
        <v>193.355</v>
      </c>
      <c r="E96" s="6">
        <f t="shared" si="4"/>
        <v>0.33</v>
      </c>
    </row>
    <row r="97">
      <c r="A97" s="4" t="s">
        <v>7641</v>
      </c>
      <c r="B97" s="6" t="str">
        <f t="shared" si="1"/>
        <v>193.661</v>
      </c>
      <c r="C97" s="6" t="str">
        <f t="shared" si="2"/>
        <v>193,661</v>
      </c>
      <c r="D97" s="6">
        <f t="shared" si="3"/>
        <v>193.661</v>
      </c>
      <c r="E97" s="6">
        <f t="shared" si="4"/>
        <v>0.306</v>
      </c>
    </row>
    <row r="98">
      <c r="A98" s="4" t="s">
        <v>7642</v>
      </c>
      <c r="B98" s="6" t="str">
        <f t="shared" si="1"/>
        <v>193.986</v>
      </c>
      <c r="C98" s="6" t="str">
        <f t="shared" si="2"/>
        <v>193,986</v>
      </c>
      <c r="D98" s="6">
        <f t="shared" si="3"/>
        <v>193.986</v>
      </c>
      <c r="E98" s="6">
        <f t="shared" si="4"/>
        <v>0.325</v>
      </c>
    </row>
    <row r="99">
      <c r="A99" s="4" t="s">
        <v>7643</v>
      </c>
      <c r="B99" s="6" t="str">
        <f t="shared" si="1"/>
        <v>194.298</v>
      </c>
      <c r="C99" s="6" t="str">
        <f t="shared" si="2"/>
        <v>194,298</v>
      </c>
      <c r="D99" s="6">
        <f t="shared" si="3"/>
        <v>194.298</v>
      </c>
      <c r="E99" s="6">
        <f t="shared" si="4"/>
        <v>0.312</v>
      </c>
    </row>
    <row r="100">
      <c r="A100" s="4" t="s">
        <v>7644</v>
      </c>
      <c r="B100" s="6" t="str">
        <f t="shared" si="1"/>
        <v>194.612</v>
      </c>
      <c r="C100" s="6" t="str">
        <f t="shared" si="2"/>
        <v>194,612</v>
      </c>
      <c r="D100" s="6">
        <f t="shared" si="3"/>
        <v>194.612</v>
      </c>
      <c r="E100" s="6">
        <f t="shared" si="4"/>
        <v>0.314</v>
      </c>
    </row>
    <row r="101">
      <c r="A101" s="4" t="s">
        <v>7645</v>
      </c>
      <c r="B101" s="6" t="str">
        <f t="shared" si="1"/>
        <v>195.008</v>
      </c>
      <c r="C101" s="6" t="str">
        <f t="shared" si="2"/>
        <v>195,008</v>
      </c>
      <c r="D101" s="6">
        <f t="shared" si="3"/>
        <v>195.008</v>
      </c>
      <c r="E101" s="6">
        <f t="shared" si="4"/>
        <v>0.396</v>
      </c>
    </row>
    <row r="102">
      <c r="A102" s="4" t="s">
        <v>7646</v>
      </c>
      <c r="B102" s="6" t="str">
        <f t="shared" si="1"/>
        <v>195.323</v>
      </c>
      <c r="C102" s="6" t="str">
        <f t="shared" si="2"/>
        <v>195,323</v>
      </c>
      <c r="D102" s="6">
        <f t="shared" si="3"/>
        <v>195.323</v>
      </c>
      <c r="E102" s="6">
        <f t="shared" si="4"/>
        <v>0.315</v>
      </c>
    </row>
    <row r="103">
      <c r="A103" s="4" t="s">
        <v>7647</v>
      </c>
      <c r="B103" s="6" t="str">
        <f t="shared" si="1"/>
        <v>195.628</v>
      </c>
      <c r="C103" s="6" t="str">
        <f t="shared" si="2"/>
        <v>195,628</v>
      </c>
      <c r="D103" s="6">
        <f t="shared" si="3"/>
        <v>195.628</v>
      </c>
      <c r="E103" s="6">
        <f t="shared" si="4"/>
        <v>0.305</v>
      </c>
    </row>
    <row r="104">
      <c r="A104" s="4" t="s">
        <v>7648</v>
      </c>
      <c r="B104" s="6" t="str">
        <f t="shared" si="1"/>
        <v>202.967</v>
      </c>
      <c r="C104" s="6" t="str">
        <f t="shared" si="2"/>
        <v>202,967</v>
      </c>
      <c r="D104" s="6">
        <f t="shared" si="3"/>
        <v>202.967</v>
      </c>
      <c r="E104" s="6">
        <f t="shared" si="4"/>
        <v>7.339</v>
      </c>
    </row>
    <row r="105">
      <c r="A105" s="4" t="s">
        <v>7649</v>
      </c>
      <c r="B105" s="6" t="str">
        <f t="shared" si="1"/>
        <v>203.285</v>
      </c>
      <c r="C105" s="6" t="str">
        <f t="shared" si="2"/>
        <v>203,285</v>
      </c>
      <c r="D105" s="6">
        <f t="shared" si="3"/>
        <v>203.285</v>
      </c>
      <c r="E105" s="6">
        <f t="shared" si="4"/>
        <v>0.318</v>
      </c>
    </row>
    <row r="106">
      <c r="A106" s="4" t="s">
        <v>7650</v>
      </c>
      <c r="B106" s="6" t="str">
        <f t="shared" si="1"/>
        <v>203.599</v>
      </c>
      <c r="C106" s="6" t="str">
        <f t="shared" si="2"/>
        <v>203,599</v>
      </c>
      <c r="D106" s="6">
        <f t="shared" si="3"/>
        <v>203.599</v>
      </c>
      <c r="E106" s="6">
        <f t="shared" si="4"/>
        <v>0.314</v>
      </c>
    </row>
    <row r="107">
      <c r="A107" s="4" t="s">
        <v>7651</v>
      </c>
      <c r="B107" s="6" t="str">
        <f t="shared" si="1"/>
        <v>203.926</v>
      </c>
      <c r="C107" s="6" t="str">
        <f t="shared" si="2"/>
        <v>203,926</v>
      </c>
      <c r="D107" s="6">
        <f t="shared" si="3"/>
        <v>203.926</v>
      </c>
      <c r="E107" s="6">
        <f t="shared" si="4"/>
        <v>0.327</v>
      </c>
    </row>
    <row r="108">
      <c r="A108" s="4" t="s">
        <v>7652</v>
      </c>
      <c r="B108" s="6" t="str">
        <f t="shared" si="1"/>
        <v>204.234</v>
      </c>
      <c r="C108" s="6" t="str">
        <f t="shared" si="2"/>
        <v>204,234</v>
      </c>
      <c r="D108" s="6">
        <f t="shared" si="3"/>
        <v>204.234</v>
      </c>
      <c r="E108" s="6">
        <f t="shared" si="4"/>
        <v>0.308</v>
      </c>
    </row>
    <row r="109">
      <c r="A109" s="4" t="s">
        <v>7653</v>
      </c>
      <c r="B109" s="6" t="str">
        <f t="shared" si="1"/>
        <v>204.566</v>
      </c>
      <c r="C109" s="6" t="str">
        <f t="shared" si="2"/>
        <v>204,566</v>
      </c>
      <c r="D109" s="6">
        <f t="shared" si="3"/>
        <v>204.566</v>
      </c>
      <c r="E109" s="6">
        <f t="shared" si="4"/>
        <v>0.332</v>
      </c>
    </row>
    <row r="110">
      <c r="A110" s="4" t="s">
        <v>7654</v>
      </c>
      <c r="B110" s="6" t="str">
        <f t="shared" si="1"/>
        <v>204.877</v>
      </c>
      <c r="C110" s="6" t="str">
        <f t="shared" si="2"/>
        <v>204,877</v>
      </c>
      <c r="D110" s="6">
        <f t="shared" si="3"/>
        <v>204.877</v>
      </c>
      <c r="E110" s="6">
        <f t="shared" si="4"/>
        <v>0.311</v>
      </c>
    </row>
    <row r="111">
      <c r="A111" s="4" t="s">
        <v>7655</v>
      </c>
      <c r="B111" s="6" t="str">
        <f t="shared" si="1"/>
        <v>205.174</v>
      </c>
      <c r="C111" s="6" t="str">
        <f t="shared" si="2"/>
        <v>205,174</v>
      </c>
      <c r="D111" s="6">
        <f t="shared" si="3"/>
        <v>205.174</v>
      </c>
      <c r="E111" s="6">
        <f t="shared" si="4"/>
        <v>0.297</v>
      </c>
    </row>
    <row r="112">
      <c r="A112" s="4" t="s">
        <v>7656</v>
      </c>
      <c r="B112" s="6" t="str">
        <f t="shared" si="1"/>
        <v>205.506</v>
      </c>
      <c r="C112" s="6" t="str">
        <f t="shared" si="2"/>
        <v>205,506</v>
      </c>
      <c r="D112" s="6">
        <f t="shared" si="3"/>
        <v>205.506</v>
      </c>
      <c r="E112" s="6">
        <f t="shared" si="4"/>
        <v>0.332</v>
      </c>
    </row>
    <row r="113">
      <c r="A113" s="4" t="s">
        <v>7657</v>
      </c>
      <c r="B113" s="6" t="str">
        <f t="shared" si="1"/>
        <v>210.139</v>
      </c>
      <c r="C113" s="6" t="str">
        <f t="shared" si="2"/>
        <v>210,139</v>
      </c>
      <c r="D113" s="6">
        <f t="shared" si="3"/>
        <v>210.139</v>
      </c>
      <c r="E113" s="6">
        <f t="shared" si="4"/>
        <v>4.633</v>
      </c>
    </row>
    <row r="114">
      <c r="A114" s="4" t="s">
        <v>7658</v>
      </c>
      <c r="B114" s="6" t="str">
        <f t="shared" si="1"/>
        <v>210.540</v>
      </c>
      <c r="C114" s="6" t="str">
        <f t="shared" si="2"/>
        <v>210,540</v>
      </c>
      <c r="D114" s="6">
        <f t="shared" si="3"/>
        <v>210.54</v>
      </c>
      <c r="E114" s="6">
        <f t="shared" si="4"/>
        <v>0.401</v>
      </c>
    </row>
    <row r="115">
      <c r="A115" s="4" t="s">
        <v>7659</v>
      </c>
      <c r="B115" s="6" t="str">
        <f t="shared" si="1"/>
        <v>210.859</v>
      </c>
      <c r="C115" s="6" t="str">
        <f t="shared" si="2"/>
        <v>210,859</v>
      </c>
      <c r="D115" s="6">
        <f t="shared" si="3"/>
        <v>210.859</v>
      </c>
      <c r="E115" s="6">
        <f t="shared" si="4"/>
        <v>0.319</v>
      </c>
    </row>
    <row r="116">
      <c r="A116" s="4" t="s">
        <v>7660</v>
      </c>
      <c r="B116" s="6" t="str">
        <f t="shared" si="1"/>
        <v>211.185</v>
      </c>
      <c r="C116" s="6" t="str">
        <f t="shared" si="2"/>
        <v>211,185</v>
      </c>
      <c r="D116" s="6">
        <f t="shared" si="3"/>
        <v>211.185</v>
      </c>
      <c r="E116" s="6">
        <f t="shared" si="4"/>
        <v>0.326</v>
      </c>
    </row>
    <row r="117">
      <c r="A117" s="4" t="s">
        <v>7661</v>
      </c>
      <c r="B117" s="6" t="str">
        <f t="shared" si="1"/>
        <v>211.498</v>
      </c>
      <c r="C117" s="6" t="str">
        <f t="shared" si="2"/>
        <v>211,498</v>
      </c>
      <c r="D117" s="6">
        <f t="shared" si="3"/>
        <v>211.498</v>
      </c>
      <c r="E117" s="6">
        <f t="shared" si="4"/>
        <v>0.313</v>
      </c>
    </row>
    <row r="118">
      <c r="A118" s="4" t="s">
        <v>7662</v>
      </c>
      <c r="B118" s="6" t="str">
        <f t="shared" si="1"/>
        <v>211.835</v>
      </c>
      <c r="C118" s="6" t="str">
        <f t="shared" si="2"/>
        <v>211,835</v>
      </c>
      <c r="D118" s="6">
        <f t="shared" si="3"/>
        <v>211.835</v>
      </c>
      <c r="E118" s="6">
        <f t="shared" si="4"/>
        <v>0.337</v>
      </c>
    </row>
    <row r="119">
      <c r="A119" s="4" t="s">
        <v>7663</v>
      </c>
      <c r="B119" s="6" t="str">
        <f t="shared" si="1"/>
        <v>212.158</v>
      </c>
      <c r="C119" s="6" t="str">
        <f t="shared" si="2"/>
        <v>212,158</v>
      </c>
      <c r="D119" s="6">
        <f t="shared" si="3"/>
        <v>212.158</v>
      </c>
      <c r="E119" s="6">
        <f t="shared" si="4"/>
        <v>0.323</v>
      </c>
    </row>
    <row r="120">
      <c r="A120" s="4" t="s">
        <v>7664</v>
      </c>
      <c r="B120" s="6" t="str">
        <f t="shared" si="1"/>
        <v>212.496</v>
      </c>
      <c r="C120" s="6" t="str">
        <f t="shared" si="2"/>
        <v>212,496</v>
      </c>
      <c r="D120" s="6">
        <f t="shared" si="3"/>
        <v>212.496</v>
      </c>
      <c r="E120" s="6">
        <f t="shared" si="4"/>
        <v>0.338</v>
      </c>
    </row>
    <row r="121">
      <c r="A121" s="4" t="s">
        <v>7665</v>
      </c>
      <c r="B121" s="6" t="str">
        <f t="shared" si="1"/>
        <v>218.028</v>
      </c>
      <c r="C121" s="6" t="str">
        <f t="shared" si="2"/>
        <v>218,028</v>
      </c>
      <c r="D121" s="6">
        <f t="shared" si="3"/>
        <v>218.028</v>
      </c>
      <c r="E121" s="6">
        <f t="shared" si="4"/>
        <v>5.532</v>
      </c>
    </row>
    <row r="122">
      <c r="A122" s="4" t="s">
        <v>7666</v>
      </c>
      <c r="B122" s="6" t="str">
        <f t="shared" si="1"/>
        <v>218.375</v>
      </c>
      <c r="C122" s="6" t="str">
        <f t="shared" si="2"/>
        <v>218,375</v>
      </c>
      <c r="D122" s="6">
        <f t="shared" si="3"/>
        <v>218.375</v>
      </c>
      <c r="E122" s="6">
        <f t="shared" si="4"/>
        <v>0.347</v>
      </c>
    </row>
    <row r="123">
      <c r="A123" s="4" t="s">
        <v>7667</v>
      </c>
      <c r="B123" s="6" t="str">
        <f t="shared" si="1"/>
        <v>218.696</v>
      </c>
      <c r="C123" s="6" t="str">
        <f t="shared" si="2"/>
        <v>218,696</v>
      </c>
      <c r="D123" s="6">
        <f t="shared" si="3"/>
        <v>218.696</v>
      </c>
      <c r="E123" s="6">
        <f t="shared" si="4"/>
        <v>0.321</v>
      </c>
    </row>
    <row r="124">
      <c r="A124" s="4" t="s">
        <v>7668</v>
      </c>
      <c r="B124" s="6" t="str">
        <f t="shared" si="1"/>
        <v>219.036</v>
      </c>
      <c r="C124" s="6" t="str">
        <f t="shared" si="2"/>
        <v>219,036</v>
      </c>
      <c r="D124" s="6">
        <f t="shared" si="3"/>
        <v>219.036</v>
      </c>
      <c r="E124" s="6">
        <f t="shared" si="4"/>
        <v>0.34</v>
      </c>
    </row>
    <row r="125">
      <c r="A125" s="4" t="s">
        <v>7669</v>
      </c>
      <c r="B125" s="6" t="str">
        <f t="shared" si="1"/>
        <v>219.366</v>
      </c>
      <c r="C125" s="6" t="str">
        <f t="shared" si="2"/>
        <v>219,366</v>
      </c>
      <c r="D125" s="6">
        <f t="shared" si="3"/>
        <v>219.366</v>
      </c>
      <c r="E125" s="6">
        <f t="shared" si="4"/>
        <v>0.33</v>
      </c>
    </row>
    <row r="126">
      <c r="A126" s="4" t="s">
        <v>7670</v>
      </c>
      <c r="B126" s="6" t="str">
        <f t="shared" si="1"/>
        <v>219.668</v>
      </c>
      <c r="C126" s="6" t="str">
        <f t="shared" si="2"/>
        <v>219,668</v>
      </c>
      <c r="D126" s="6">
        <f t="shared" si="3"/>
        <v>219.668</v>
      </c>
      <c r="E126" s="6">
        <f t="shared" si="4"/>
        <v>0.302</v>
      </c>
    </row>
    <row r="127">
      <c r="A127" s="4" t="s">
        <v>7671</v>
      </c>
      <c r="B127" s="6" t="str">
        <f t="shared" si="1"/>
        <v>220.040</v>
      </c>
      <c r="C127" s="6" t="str">
        <f t="shared" si="2"/>
        <v>220,040</v>
      </c>
      <c r="D127" s="6">
        <f t="shared" si="3"/>
        <v>220.04</v>
      </c>
      <c r="E127" s="6">
        <f t="shared" si="4"/>
        <v>0.372</v>
      </c>
    </row>
    <row r="128">
      <c r="A128" s="4" t="s">
        <v>7672</v>
      </c>
      <c r="B128" s="6" t="str">
        <f t="shared" si="1"/>
        <v>220.398</v>
      </c>
      <c r="C128" s="6" t="str">
        <f t="shared" si="2"/>
        <v>220,398</v>
      </c>
      <c r="D128" s="6">
        <f t="shared" si="3"/>
        <v>220.398</v>
      </c>
      <c r="E128" s="6">
        <f t="shared" si="4"/>
        <v>0.358</v>
      </c>
    </row>
    <row r="129">
      <c r="A129" s="4" t="s">
        <v>7673</v>
      </c>
      <c r="B129" s="6" t="str">
        <f t="shared" si="1"/>
        <v>220.708</v>
      </c>
      <c r="C129" s="6" t="str">
        <f t="shared" si="2"/>
        <v>220,708</v>
      </c>
      <c r="D129" s="6">
        <f t="shared" si="3"/>
        <v>220.708</v>
      </c>
      <c r="E129" s="6">
        <f t="shared" si="4"/>
        <v>0.31</v>
      </c>
    </row>
    <row r="130">
      <c r="A130" s="4" t="s">
        <v>7674</v>
      </c>
      <c r="B130" s="6" t="str">
        <f t="shared" si="1"/>
        <v>221.051</v>
      </c>
      <c r="C130" s="6" t="str">
        <f t="shared" si="2"/>
        <v>221,051</v>
      </c>
      <c r="D130" s="6">
        <f t="shared" si="3"/>
        <v>221.051</v>
      </c>
      <c r="E130" s="6">
        <f t="shared" si="4"/>
        <v>0.343</v>
      </c>
    </row>
    <row r="131">
      <c r="A131" s="4" t="s">
        <v>7675</v>
      </c>
      <c r="B131" s="6" t="str">
        <f t="shared" si="1"/>
        <v>221.380</v>
      </c>
      <c r="C131" s="6" t="str">
        <f t="shared" si="2"/>
        <v>221,380</v>
      </c>
      <c r="D131" s="6">
        <f t="shared" si="3"/>
        <v>221.38</v>
      </c>
      <c r="E131" s="6">
        <f t="shared" si="4"/>
        <v>0.329</v>
      </c>
    </row>
    <row r="132">
      <c r="A132" s="4" t="s">
        <v>7676</v>
      </c>
      <c r="B132" s="6" t="str">
        <f t="shared" si="1"/>
        <v>229.886</v>
      </c>
      <c r="C132" s="6" t="str">
        <f t="shared" si="2"/>
        <v>229,886</v>
      </c>
      <c r="D132" s="6">
        <f t="shared" si="3"/>
        <v>229.886</v>
      </c>
      <c r="E132" s="6">
        <f t="shared" si="4"/>
        <v>8.506</v>
      </c>
    </row>
    <row r="133">
      <c r="A133" s="4" t="s">
        <v>7677</v>
      </c>
      <c r="B133" s="6" t="str">
        <f t="shared" si="1"/>
        <v>230.187</v>
      </c>
      <c r="C133" s="6" t="str">
        <f t="shared" si="2"/>
        <v>230,187</v>
      </c>
      <c r="D133" s="6">
        <f t="shared" si="3"/>
        <v>230.187</v>
      </c>
      <c r="E133" s="6">
        <f t="shared" si="4"/>
        <v>0.301</v>
      </c>
    </row>
    <row r="134">
      <c r="A134" s="4" t="s">
        <v>7678</v>
      </c>
      <c r="B134" s="6" t="str">
        <f t="shared" si="1"/>
        <v>230.518</v>
      </c>
      <c r="C134" s="6" t="str">
        <f t="shared" si="2"/>
        <v>230,518</v>
      </c>
      <c r="D134" s="6">
        <f t="shared" si="3"/>
        <v>230.518</v>
      </c>
      <c r="E134" s="6">
        <f t="shared" si="4"/>
        <v>0.331</v>
      </c>
    </row>
    <row r="135">
      <c r="A135" s="4" t="s">
        <v>7679</v>
      </c>
      <c r="B135" s="6" t="str">
        <f t="shared" si="1"/>
        <v>230.844</v>
      </c>
      <c r="C135" s="6" t="str">
        <f t="shared" si="2"/>
        <v>230,844</v>
      </c>
      <c r="D135" s="6">
        <f t="shared" si="3"/>
        <v>230.844</v>
      </c>
      <c r="E135" s="6">
        <f t="shared" si="4"/>
        <v>0.326</v>
      </c>
    </row>
    <row r="136">
      <c r="A136" s="4" t="s">
        <v>7680</v>
      </c>
      <c r="B136" s="6" t="str">
        <f t="shared" si="1"/>
        <v>231.150</v>
      </c>
      <c r="C136" s="6" t="str">
        <f t="shared" si="2"/>
        <v>231,150</v>
      </c>
      <c r="D136" s="6">
        <f t="shared" si="3"/>
        <v>231.15</v>
      </c>
      <c r="E136" s="6">
        <f t="shared" si="4"/>
        <v>0.306</v>
      </c>
    </row>
    <row r="137">
      <c r="A137" s="4" t="s">
        <v>7681</v>
      </c>
      <c r="B137" s="6" t="str">
        <f t="shared" si="1"/>
        <v>231.473</v>
      </c>
      <c r="C137" s="6" t="str">
        <f t="shared" si="2"/>
        <v>231,473</v>
      </c>
      <c r="D137" s="6">
        <f t="shared" si="3"/>
        <v>231.473</v>
      </c>
      <c r="E137" s="6">
        <f t="shared" si="4"/>
        <v>0.323</v>
      </c>
    </row>
    <row r="138">
      <c r="A138" s="4" t="s">
        <v>7682</v>
      </c>
      <c r="B138" s="6" t="str">
        <f t="shared" si="1"/>
        <v>231.810</v>
      </c>
      <c r="C138" s="6" t="str">
        <f t="shared" si="2"/>
        <v>231,810</v>
      </c>
      <c r="D138" s="6">
        <f t="shared" si="3"/>
        <v>231.81</v>
      </c>
      <c r="E138" s="6">
        <f t="shared" si="4"/>
        <v>0.337</v>
      </c>
    </row>
    <row r="139">
      <c r="A139" s="4" t="s">
        <v>7683</v>
      </c>
      <c r="B139" s="6" t="str">
        <f t="shared" si="1"/>
        <v>232.131</v>
      </c>
      <c r="C139" s="6" t="str">
        <f t="shared" si="2"/>
        <v>232,131</v>
      </c>
      <c r="D139" s="6">
        <f t="shared" si="3"/>
        <v>232.131</v>
      </c>
      <c r="E139" s="6">
        <f t="shared" si="4"/>
        <v>0.321</v>
      </c>
    </row>
    <row r="140">
      <c r="A140" s="4" t="s">
        <v>7684</v>
      </c>
      <c r="B140" s="6" t="str">
        <f t="shared" si="1"/>
        <v>232.497</v>
      </c>
      <c r="C140" s="6" t="str">
        <f t="shared" si="2"/>
        <v>232,497</v>
      </c>
      <c r="D140" s="6">
        <f t="shared" si="3"/>
        <v>232.497</v>
      </c>
      <c r="E140" s="6">
        <f t="shared" si="4"/>
        <v>0.366</v>
      </c>
    </row>
    <row r="141">
      <c r="A141" s="4" t="s">
        <v>7685</v>
      </c>
      <c r="B141" s="6" t="str">
        <f t="shared" si="1"/>
        <v>232.808</v>
      </c>
      <c r="C141" s="6" t="str">
        <f t="shared" si="2"/>
        <v>232,808</v>
      </c>
      <c r="D141" s="6">
        <f t="shared" si="3"/>
        <v>232.808</v>
      </c>
      <c r="E141" s="6">
        <f t="shared" si="4"/>
        <v>0.311</v>
      </c>
    </row>
    <row r="142">
      <c r="A142" s="4" t="s">
        <v>7686</v>
      </c>
      <c r="B142" s="6" t="str">
        <f t="shared" si="1"/>
        <v>233.139</v>
      </c>
      <c r="C142" s="6" t="str">
        <f t="shared" si="2"/>
        <v>233,139</v>
      </c>
      <c r="D142" s="6">
        <f t="shared" si="3"/>
        <v>233.139</v>
      </c>
      <c r="E142" s="6">
        <f t="shared" si="4"/>
        <v>0.331</v>
      </c>
    </row>
    <row r="143">
      <c r="A143" s="4" t="s">
        <v>7687</v>
      </c>
      <c r="B143" s="6" t="str">
        <f t="shared" si="1"/>
        <v>233.463</v>
      </c>
      <c r="C143" s="6" t="str">
        <f t="shared" si="2"/>
        <v>233,463</v>
      </c>
      <c r="D143" s="6">
        <f t="shared" si="3"/>
        <v>233.463</v>
      </c>
      <c r="E143" s="6">
        <f t="shared" si="4"/>
        <v>0.324</v>
      </c>
    </row>
    <row r="144">
      <c r="A144" s="4" t="s">
        <v>7688</v>
      </c>
      <c r="B144" s="6" t="str">
        <f t="shared" si="1"/>
        <v>233.789</v>
      </c>
      <c r="C144" s="6" t="str">
        <f t="shared" si="2"/>
        <v>233,789</v>
      </c>
      <c r="D144" s="6">
        <f t="shared" si="3"/>
        <v>233.789</v>
      </c>
      <c r="E144" s="6">
        <f t="shared" si="4"/>
        <v>0.326</v>
      </c>
    </row>
    <row r="145">
      <c r="A145" s="4" t="s">
        <v>7689</v>
      </c>
      <c r="B145" s="6" t="str">
        <f t="shared" si="1"/>
        <v>234.078</v>
      </c>
      <c r="C145" s="6" t="str">
        <f t="shared" si="2"/>
        <v>234,078</v>
      </c>
      <c r="D145" s="6">
        <f t="shared" si="3"/>
        <v>234.078</v>
      </c>
      <c r="E145" s="6">
        <f t="shared" si="4"/>
        <v>0.289</v>
      </c>
    </row>
    <row r="146">
      <c r="A146" s="4" t="s">
        <v>7690</v>
      </c>
      <c r="B146" s="6" t="str">
        <f t="shared" si="1"/>
        <v>234.391</v>
      </c>
      <c r="C146" s="6" t="str">
        <f t="shared" si="2"/>
        <v>234,391</v>
      </c>
      <c r="D146" s="6">
        <f t="shared" si="3"/>
        <v>234.391</v>
      </c>
      <c r="E146" s="6">
        <f t="shared" si="4"/>
        <v>0.313</v>
      </c>
    </row>
    <row r="147">
      <c r="A147" s="4" t="s">
        <v>7691</v>
      </c>
      <c r="B147" s="6" t="str">
        <f t="shared" si="1"/>
        <v>238.538</v>
      </c>
      <c r="C147" s="6" t="str">
        <f t="shared" si="2"/>
        <v>238,538</v>
      </c>
      <c r="D147" s="6">
        <f t="shared" si="3"/>
        <v>238.538</v>
      </c>
      <c r="E147" s="6">
        <f t="shared" si="4"/>
        <v>4.147</v>
      </c>
    </row>
    <row r="148">
      <c r="A148" s="4" t="s">
        <v>7692</v>
      </c>
      <c r="B148" s="6" t="str">
        <f t="shared" si="1"/>
        <v>238.875</v>
      </c>
      <c r="C148" s="6" t="str">
        <f t="shared" si="2"/>
        <v>238,875</v>
      </c>
      <c r="D148" s="6">
        <f t="shared" si="3"/>
        <v>238.875</v>
      </c>
      <c r="E148" s="6">
        <f t="shared" si="4"/>
        <v>0.337</v>
      </c>
    </row>
    <row r="149">
      <c r="A149" s="4" t="s">
        <v>7693</v>
      </c>
      <c r="B149" s="6" t="str">
        <f t="shared" si="1"/>
        <v>239.183</v>
      </c>
      <c r="C149" s="6" t="str">
        <f t="shared" si="2"/>
        <v>239,183</v>
      </c>
      <c r="D149" s="6">
        <f t="shared" si="3"/>
        <v>239.183</v>
      </c>
      <c r="E149" s="6">
        <f t="shared" si="4"/>
        <v>0.308</v>
      </c>
    </row>
    <row r="150">
      <c r="A150" s="4" t="s">
        <v>7694</v>
      </c>
      <c r="B150" s="6" t="str">
        <f t="shared" si="1"/>
        <v>239.498</v>
      </c>
      <c r="C150" s="6" t="str">
        <f t="shared" si="2"/>
        <v>239,498</v>
      </c>
      <c r="D150" s="6">
        <f t="shared" si="3"/>
        <v>239.498</v>
      </c>
      <c r="E150" s="6">
        <f t="shared" si="4"/>
        <v>0.315</v>
      </c>
    </row>
    <row r="151">
      <c r="A151" s="4" t="s">
        <v>7695</v>
      </c>
      <c r="B151" s="6" t="str">
        <f t="shared" si="1"/>
        <v>239.815</v>
      </c>
      <c r="C151" s="6" t="str">
        <f t="shared" si="2"/>
        <v>239,815</v>
      </c>
      <c r="D151" s="6">
        <f t="shared" si="3"/>
        <v>239.815</v>
      </c>
      <c r="E151" s="6">
        <f t="shared" si="4"/>
        <v>0.317</v>
      </c>
    </row>
    <row r="152">
      <c r="A152" s="4" t="s">
        <v>7696</v>
      </c>
      <c r="B152" s="6" t="str">
        <f t="shared" si="1"/>
        <v>240.147</v>
      </c>
      <c r="C152" s="6" t="str">
        <f t="shared" si="2"/>
        <v>240,147</v>
      </c>
      <c r="D152" s="6">
        <f t="shared" si="3"/>
        <v>240.147</v>
      </c>
      <c r="E152" s="6">
        <f t="shared" si="4"/>
        <v>0.332</v>
      </c>
    </row>
    <row r="153">
      <c r="A153" s="4" t="s">
        <v>7697</v>
      </c>
      <c r="B153" s="6" t="str">
        <f t="shared" si="1"/>
        <v>240.518</v>
      </c>
      <c r="C153" s="6" t="str">
        <f t="shared" si="2"/>
        <v>240,518</v>
      </c>
      <c r="D153" s="6">
        <f t="shared" si="3"/>
        <v>240.518</v>
      </c>
      <c r="E153" s="6">
        <f t="shared" si="4"/>
        <v>0.371</v>
      </c>
    </row>
    <row r="154">
      <c r="A154" s="4" t="s">
        <v>7698</v>
      </c>
      <c r="B154" s="6" t="str">
        <f t="shared" si="1"/>
        <v>240.862</v>
      </c>
      <c r="C154" s="6" t="str">
        <f t="shared" si="2"/>
        <v>240,862</v>
      </c>
      <c r="D154" s="6">
        <f t="shared" si="3"/>
        <v>240.862</v>
      </c>
      <c r="E154" s="6">
        <f t="shared" si="4"/>
        <v>0.344</v>
      </c>
    </row>
    <row r="155">
      <c r="A155" s="4" t="s">
        <v>7699</v>
      </c>
      <c r="B155" s="6" t="str">
        <f t="shared" si="1"/>
        <v>241.201</v>
      </c>
      <c r="C155" s="6" t="str">
        <f t="shared" si="2"/>
        <v>241,201</v>
      </c>
      <c r="D155" s="6">
        <f t="shared" si="3"/>
        <v>241.201</v>
      </c>
      <c r="E155" s="6">
        <f t="shared" si="4"/>
        <v>0.339</v>
      </c>
    </row>
    <row r="156">
      <c r="A156" s="4" t="s">
        <v>7700</v>
      </c>
      <c r="B156" s="6" t="str">
        <f t="shared" si="1"/>
        <v>241.513</v>
      </c>
      <c r="C156" s="6" t="str">
        <f t="shared" si="2"/>
        <v>241,513</v>
      </c>
      <c r="D156" s="6">
        <f t="shared" si="3"/>
        <v>241.513</v>
      </c>
      <c r="E156" s="6">
        <f t="shared" si="4"/>
        <v>0.312</v>
      </c>
    </row>
    <row r="157">
      <c r="A157" s="4" t="s">
        <v>7701</v>
      </c>
      <c r="B157" s="6" t="str">
        <f t="shared" si="1"/>
        <v>241.821</v>
      </c>
      <c r="C157" s="6" t="str">
        <f t="shared" si="2"/>
        <v>241,821</v>
      </c>
      <c r="D157" s="6">
        <f t="shared" si="3"/>
        <v>241.821</v>
      </c>
      <c r="E157" s="6">
        <f t="shared" si="4"/>
        <v>0.308</v>
      </c>
    </row>
    <row r="158">
      <c r="A158" s="4" t="s">
        <v>7702</v>
      </c>
      <c r="B158" s="6" t="str">
        <f t="shared" si="1"/>
        <v>242.169</v>
      </c>
      <c r="C158" s="6" t="str">
        <f t="shared" si="2"/>
        <v>242,169</v>
      </c>
      <c r="D158" s="6">
        <f t="shared" si="3"/>
        <v>242.169</v>
      </c>
      <c r="E158" s="6">
        <f t="shared" si="4"/>
        <v>0.348</v>
      </c>
    </row>
    <row r="159">
      <c r="A159" s="4" t="s">
        <v>7703</v>
      </c>
      <c r="B159" s="6" t="str">
        <f t="shared" si="1"/>
        <v>244.948</v>
      </c>
      <c r="C159" s="6" t="str">
        <f t="shared" si="2"/>
        <v>244,948</v>
      </c>
      <c r="D159" s="6">
        <f t="shared" si="3"/>
        <v>244.948</v>
      </c>
      <c r="E159" s="6">
        <f t="shared" si="4"/>
        <v>2.779</v>
      </c>
    </row>
    <row r="160">
      <c r="A160" s="4" t="s">
        <v>7704</v>
      </c>
      <c r="B160" s="6" t="str">
        <f t="shared" si="1"/>
        <v>245.254</v>
      </c>
      <c r="C160" s="6" t="str">
        <f t="shared" si="2"/>
        <v>245,254</v>
      </c>
      <c r="D160" s="6">
        <f t="shared" si="3"/>
        <v>245.254</v>
      </c>
      <c r="E160" s="6">
        <f t="shared" si="4"/>
        <v>0.306</v>
      </c>
    </row>
    <row r="161">
      <c r="A161" s="4" t="s">
        <v>7705</v>
      </c>
      <c r="B161" s="6" t="str">
        <f t="shared" si="1"/>
        <v>245.595</v>
      </c>
      <c r="C161" s="6" t="str">
        <f t="shared" si="2"/>
        <v>245,595</v>
      </c>
      <c r="D161" s="6">
        <f t="shared" si="3"/>
        <v>245.595</v>
      </c>
      <c r="E161" s="6">
        <f t="shared" si="4"/>
        <v>0.341</v>
      </c>
    </row>
    <row r="162">
      <c r="A162" s="4" t="s">
        <v>7706</v>
      </c>
      <c r="B162" s="6" t="str">
        <f t="shared" si="1"/>
        <v>245.910</v>
      </c>
      <c r="C162" s="6" t="str">
        <f t="shared" si="2"/>
        <v>245,910</v>
      </c>
      <c r="D162" s="6">
        <f t="shared" si="3"/>
        <v>245.91</v>
      </c>
      <c r="E162" s="6">
        <f t="shared" si="4"/>
        <v>0.315</v>
      </c>
    </row>
    <row r="163">
      <c r="A163" s="4" t="s">
        <v>7707</v>
      </c>
      <c r="B163" s="6" t="str">
        <f t="shared" si="1"/>
        <v>246.211</v>
      </c>
      <c r="C163" s="6" t="str">
        <f t="shared" si="2"/>
        <v>246,211</v>
      </c>
      <c r="D163" s="6">
        <f t="shared" si="3"/>
        <v>246.211</v>
      </c>
      <c r="E163" s="6">
        <f t="shared" si="4"/>
        <v>0.301</v>
      </c>
    </row>
    <row r="164">
      <c r="A164" s="4" t="s">
        <v>7708</v>
      </c>
      <c r="B164" s="6" t="str">
        <f t="shared" si="1"/>
        <v>246.534</v>
      </c>
      <c r="C164" s="6" t="str">
        <f t="shared" si="2"/>
        <v>246,534</v>
      </c>
      <c r="D164" s="6">
        <f t="shared" si="3"/>
        <v>246.534</v>
      </c>
      <c r="E164" s="6">
        <f t="shared" si="4"/>
        <v>0.323</v>
      </c>
    </row>
    <row r="165">
      <c r="A165" s="4" t="s">
        <v>7709</v>
      </c>
      <c r="B165" s="6" t="str">
        <f t="shared" si="1"/>
        <v>255.067</v>
      </c>
      <c r="C165" s="6" t="str">
        <f t="shared" si="2"/>
        <v>255,067</v>
      </c>
      <c r="D165" s="6">
        <f t="shared" si="3"/>
        <v>255.067</v>
      </c>
      <c r="E165" s="6">
        <f t="shared" si="4"/>
        <v>8.533</v>
      </c>
    </row>
    <row r="166">
      <c r="A166" s="4" t="s">
        <v>7710</v>
      </c>
      <c r="B166" s="6" t="str">
        <f t="shared" si="1"/>
        <v>255.435</v>
      </c>
      <c r="C166" s="6" t="str">
        <f t="shared" si="2"/>
        <v>255,435</v>
      </c>
      <c r="D166" s="6">
        <f t="shared" si="3"/>
        <v>255.435</v>
      </c>
      <c r="E166" s="6">
        <f t="shared" si="4"/>
        <v>0.368</v>
      </c>
    </row>
    <row r="167">
      <c r="A167" s="4" t="s">
        <v>7711</v>
      </c>
      <c r="B167" s="6" t="str">
        <f t="shared" si="1"/>
        <v>255.742</v>
      </c>
      <c r="C167" s="6" t="str">
        <f t="shared" si="2"/>
        <v>255,742</v>
      </c>
      <c r="D167" s="6">
        <f t="shared" si="3"/>
        <v>255.742</v>
      </c>
      <c r="E167" s="6">
        <f t="shared" si="4"/>
        <v>0.307</v>
      </c>
    </row>
    <row r="168">
      <c r="A168" s="4" t="s">
        <v>7712</v>
      </c>
      <c r="B168" s="6" t="str">
        <f t="shared" si="1"/>
        <v>256.078</v>
      </c>
      <c r="C168" s="6" t="str">
        <f t="shared" si="2"/>
        <v>256,078</v>
      </c>
      <c r="D168" s="6">
        <f t="shared" si="3"/>
        <v>256.078</v>
      </c>
      <c r="E168" s="6">
        <f t="shared" si="4"/>
        <v>0.336</v>
      </c>
    </row>
    <row r="169">
      <c r="A169" s="4" t="s">
        <v>7713</v>
      </c>
      <c r="B169" s="6" t="str">
        <f t="shared" si="1"/>
        <v>256.411</v>
      </c>
      <c r="C169" s="6" t="str">
        <f t="shared" si="2"/>
        <v>256,411</v>
      </c>
      <c r="D169" s="6">
        <f t="shared" si="3"/>
        <v>256.411</v>
      </c>
      <c r="E169" s="6">
        <f t="shared" si="4"/>
        <v>0.333</v>
      </c>
    </row>
    <row r="170">
      <c r="A170" s="4" t="s">
        <v>7714</v>
      </c>
      <c r="B170" s="6" t="str">
        <f t="shared" si="1"/>
        <v>256.758</v>
      </c>
      <c r="C170" s="6" t="str">
        <f t="shared" si="2"/>
        <v>256,758</v>
      </c>
      <c r="D170" s="6">
        <f t="shared" si="3"/>
        <v>256.758</v>
      </c>
      <c r="E170" s="6">
        <f t="shared" si="4"/>
        <v>0.347</v>
      </c>
    </row>
    <row r="171">
      <c r="A171" s="4" t="s">
        <v>7715</v>
      </c>
      <c r="B171" s="6" t="str">
        <f t="shared" si="1"/>
        <v>257.081</v>
      </c>
      <c r="C171" s="6" t="str">
        <f t="shared" si="2"/>
        <v>257,081</v>
      </c>
      <c r="D171" s="6">
        <f t="shared" si="3"/>
        <v>257.081</v>
      </c>
      <c r="E171" s="6">
        <f t="shared" si="4"/>
        <v>0.323</v>
      </c>
    </row>
    <row r="172">
      <c r="A172" s="4" t="s">
        <v>7716</v>
      </c>
      <c r="B172" s="6" t="str">
        <f t="shared" si="1"/>
        <v>257.408</v>
      </c>
      <c r="C172" s="6" t="str">
        <f t="shared" si="2"/>
        <v>257,408</v>
      </c>
      <c r="D172" s="6">
        <f t="shared" si="3"/>
        <v>257.408</v>
      </c>
      <c r="E172" s="6">
        <f t="shared" si="4"/>
        <v>0.327</v>
      </c>
    </row>
    <row r="173">
      <c r="A173" s="4" t="s">
        <v>7717</v>
      </c>
      <c r="B173" s="6" t="str">
        <f t="shared" si="1"/>
        <v>257.726</v>
      </c>
      <c r="C173" s="6" t="str">
        <f t="shared" si="2"/>
        <v>257,726</v>
      </c>
      <c r="D173" s="6">
        <f t="shared" si="3"/>
        <v>257.726</v>
      </c>
      <c r="E173" s="6">
        <f t="shared" si="4"/>
        <v>0.318</v>
      </c>
    </row>
    <row r="174">
      <c r="A174" s="4" t="s">
        <v>7718</v>
      </c>
      <c r="B174" s="6" t="str">
        <f t="shared" si="1"/>
        <v>258.051</v>
      </c>
      <c r="C174" s="6" t="str">
        <f t="shared" si="2"/>
        <v>258,051</v>
      </c>
      <c r="D174" s="6">
        <f t="shared" si="3"/>
        <v>258.051</v>
      </c>
      <c r="E174" s="6">
        <f t="shared" si="4"/>
        <v>0.325</v>
      </c>
    </row>
    <row r="175">
      <c r="A175" s="4" t="s">
        <v>7719</v>
      </c>
      <c r="B175" s="6" t="str">
        <f t="shared" si="1"/>
        <v>258.384</v>
      </c>
      <c r="C175" s="6" t="str">
        <f t="shared" si="2"/>
        <v>258,384</v>
      </c>
      <c r="D175" s="6">
        <f t="shared" si="3"/>
        <v>258.384</v>
      </c>
      <c r="E175" s="6">
        <f t="shared" si="4"/>
        <v>0.333</v>
      </c>
    </row>
    <row r="176">
      <c r="A176" s="4" t="s">
        <v>7720</v>
      </c>
      <c r="B176" s="6" t="str">
        <f t="shared" si="1"/>
        <v>264.185</v>
      </c>
      <c r="C176" s="6" t="str">
        <f t="shared" si="2"/>
        <v>264,185</v>
      </c>
      <c r="D176" s="6">
        <f t="shared" si="3"/>
        <v>264.185</v>
      </c>
      <c r="E176" s="6">
        <f t="shared" si="4"/>
        <v>5.801</v>
      </c>
    </row>
    <row r="177">
      <c r="A177" s="4" t="s">
        <v>7721</v>
      </c>
      <c r="B177" s="6" t="str">
        <f t="shared" si="1"/>
        <v>264.502</v>
      </c>
      <c r="C177" s="6" t="str">
        <f t="shared" si="2"/>
        <v>264,502</v>
      </c>
      <c r="D177" s="6">
        <f t="shared" si="3"/>
        <v>264.502</v>
      </c>
      <c r="E177" s="6">
        <f t="shared" si="4"/>
        <v>0.317</v>
      </c>
    </row>
    <row r="178">
      <c r="A178" s="4" t="s">
        <v>7722</v>
      </c>
      <c r="B178" s="6" t="str">
        <f t="shared" si="1"/>
        <v>264.839</v>
      </c>
      <c r="C178" s="6" t="str">
        <f t="shared" si="2"/>
        <v>264,839</v>
      </c>
      <c r="D178" s="6">
        <f t="shared" si="3"/>
        <v>264.839</v>
      </c>
      <c r="E178" s="6">
        <f t="shared" si="4"/>
        <v>0.337</v>
      </c>
    </row>
    <row r="179">
      <c r="A179" s="4" t="s">
        <v>7723</v>
      </c>
      <c r="B179" s="6" t="str">
        <f t="shared" si="1"/>
        <v>265.228</v>
      </c>
      <c r="C179" s="6" t="str">
        <f t="shared" si="2"/>
        <v>265,228</v>
      </c>
      <c r="D179" s="6">
        <f t="shared" si="3"/>
        <v>265.228</v>
      </c>
      <c r="E179" s="6">
        <f t="shared" si="4"/>
        <v>0.389</v>
      </c>
    </row>
    <row r="180">
      <c r="A180" s="4" t="s">
        <v>7724</v>
      </c>
      <c r="B180" s="6" t="str">
        <f t="shared" si="1"/>
        <v>265.560</v>
      </c>
      <c r="C180" s="6" t="str">
        <f t="shared" si="2"/>
        <v>265,560</v>
      </c>
      <c r="D180" s="6">
        <f t="shared" si="3"/>
        <v>265.56</v>
      </c>
      <c r="E180" s="6">
        <f t="shared" si="4"/>
        <v>0.332</v>
      </c>
    </row>
    <row r="181">
      <c r="A181" s="4" t="s">
        <v>7725</v>
      </c>
      <c r="B181" s="6" t="str">
        <f t="shared" si="1"/>
        <v>265.891</v>
      </c>
      <c r="C181" s="6" t="str">
        <f t="shared" si="2"/>
        <v>265,891</v>
      </c>
      <c r="D181" s="6">
        <f t="shared" si="3"/>
        <v>265.891</v>
      </c>
      <c r="E181" s="6">
        <f t="shared" si="4"/>
        <v>0.331</v>
      </c>
    </row>
    <row r="182">
      <c r="A182" s="4" t="s">
        <v>7726</v>
      </c>
      <c r="B182" s="6" t="str">
        <f t="shared" si="1"/>
        <v>266.226</v>
      </c>
      <c r="C182" s="6" t="str">
        <f t="shared" si="2"/>
        <v>266,226</v>
      </c>
      <c r="D182" s="6">
        <f t="shared" si="3"/>
        <v>266.226</v>
      </c>
      <c r="E182" s="6">
        <f t="shared" si="4"/>
        <v>0.335</v>
      </c>
    </row>
    <row r="183">
      <c r="A183" s="4" t="s">
        <v>7727</v>
      </c>
      <c r="B183" s="6" t="str">
        <f t="shared" si="1"/>
        <v>266.562</v>
      </c>
      <c r="C183" s="6" t="str">
        <f t="shared" si="2"/>
        <v>266,562</v>
      </c>
      <c r="D183" s="6">
        <f t="shared" si="3"/>
        <v>266.562</v>
      </c>
      <c r="E183" s="6">
        <f t="shared" si="4"/>
        <v>0.336</v>
      </c>
    </row>
    <row r="184">
      <c r="A184" s="4" t="s">
        <v>7728</v>
      </c>
      <c r="B184" s="6" t="str">
        <f t="shared" si="1"/>
        <v>266.916</v>
      </c>
      <c r="C184" s="6" t="str">
        <f t="shared" si="2"/>
        <v>266,916</v>
      </c>
      <c r="D184" s="6">
        <f t="shared" si="3"/>
        <v>266.916</v>
      </c>
      <c r="E184" s="6">
        <f t="shared" si="4"/>
        <v>0.354</v>
      </c>
    </row>
    <row r="185">
      <c r="A185" s="4" t="s">
        <v>7729</v>
      </c>
      <c r="B185" s="6" t="str">
        <f t="shared" si="1"/>
        <v>267.244</v>
      </c>
      <c r="C185" s="6" t="str">
        <f t="shared" si="2"/>
        <v>267,244</v>
      </c>
      <c r="D185" s="6">
        <f t="shared" si="3"/>
        <v>267.244</v>
      </c>
      <c r="E185" s="6">
        <f t="shared" si="4"/>
        <v>0.328</v>
      </c>
    </row>
    <row r="186">
      <c r="A186" s="4" t="s">
        <v>7730</v>
      </c>
      <c r="B186" s="6" t="str">
        <f t="shared" si="1"/>
        <v>267.568</v>
      </c>
      <c r="C186" s="6" t="str">
        <f t="shared" si="2"/>
        <v>267,568</v>
      </c>
      <c r="D186" s="6">
        <f t="shared" si="3"/>
        <v>267.568</v>
      </c>
      <c r="E186" s="6">
        <f t="shared" si="4"/>
        <v>0.324</v>
      </c>
    </row>
    <row r="187">
      <c r="A187" s="4" t="s">
        <v>7731</v>
      </c>
      <c r="B187" s="6" t="str">
        <f t="shared" si="1"/>
        <v>267.904</v>
      </c>
      <c r="C187" s="6" t="str">
        <f t="shared" si="2"/>
        <v>267,904</v>
      </c>
      <c r="D187" s="6">
        <f t="shared" si="3"/>
        <v>267.904</v>
      </c>
      <c r="E187" s="6">
        <f t="shared" si="4"/>
        <v>0.336</v>
      </c>
    </row>
    <row r="188">
      <c r="A188" s="4" t="s">
        <v>7732</v>
      </c>
      <c r="B188" s="6" t="str">
        <f t="shared" si="1"/>
        <v>271.350</v>
      </c>
      <c r="C188" s="6" t="str">
        <f t="shared" si="2"/>
        <v>271,350</v>
      </c>
      <c r="D188" s="6">
        <f t="shared" si="3"/>
        <v>271.35</v>
      </c>
      <c r="E188" s="6">
        <f t="shared" si="4"/>
        <v>3.446</v>
      </c>
    </row>
    <row r="189">
      <c r="A189" s="4" t="s">
        <v>7733</v>
      </c>
      <c r="B189" s="6" t="str">
        <f t="shared" si="1"/>
        <v>271.677</v>
      </c>
      <c r="C189" s="6" t="str">
        <f t="shared" si="2"/>
        <v>271,677</v>
      </c>
      <c r="D189" s="6">
        <f t="shared" si="3"/>
        <v>271.677</v>
      </c>
      <c r="E189" s="6">
        <f t="shared" si="4"/>
        <v>0.327</v>
      </c>
    </row>
    <row r="190">
      <c r="A190" s="4" t="s">
        <v>7734</v>
      </c>
      <c r="B190" s="6" t="str">
        <f t="shared" si="1"/>
        <v>272.009</v>
      </c>
      <c r="C190" s="6" t="str">
        <f t="shared" si="2"/>
        <v>272,009</v>
      </c>
      <c r="D190" s="6">
        <f t="shared" si="3"/>
        <v>272.009</v>
      </c>
      <c r="E190" s="6">
        <f t="shared" si="4"/>
        <v>0.332</v>
      </c>
    </row>
    <row r="191">
      <c r="A191" s="4" t="s">
        <v>7735</v>
      </c>
      <c r="B191" s="6" t="str">
        <f t="shared" si="1"/>
        <v>272.353</v>
      </c>
      <c r="C191" s="6" t="str">
        <f t="shared" si="2"/>
        <v>272,353</v>
      </c>
      <c r="D191" s="6">
        <f t="shared" si="3"/>
        <v>272.353</v>
      </c>
      <c r="E191" s="6">
        <f t="shared" si="4"/>
        <v>0.344</v>
      </c>
    </row>
    <row r="192">
      <c r="A192" s="4" t="s">
        <v>7736</v>
      </c>
      <c r="B192" s="6" t="str">
        <f t="shared" si="1"/>
        <v>272.735</v>
      </c>
      <c r="C192" s="6" t="str">
        <f t="shared" si="2"/>
        <v>272,735</v>
      </c>
      <c r="D192" s="6">
        <f t="shared" si="3"/>
        <v>272.735</v>
      </c>
      <c r="E192" s="6">
        <f t="shared" si="4"/>
        <v>0.382</v>
      </c>
    </row>
    <row r="193">
      <c r="A193" s="4" t="s">
        <v>7737</v>
      </c>
      <c r="B193" s="6" t="str">
        <f t="shared" si="1"/>
        <v>280.179</v>
      </c>
      <c r="C193" s="6" t="str">
        <f t="shared" si="2"/>
        <v>280,179</v>
      </c>
      <c r="D193" s="6">
        <f t="shared" si="3"/>
        <v>280.179</v>
      </c>
      <c r="E193" s="6">
        <f t="shared" si="4"/>
        <v>7.444</v>
      </c>
    </row>
    <row r="194">
      <c r="A194" s="4" t="s">
        <v>7738</v>
      </c>
      <c r="B194" s="6" t="str">
        <f t="shared" si="1"/>
        <v>280.482</v>
      </c>
      <c r="C194" s="6" t="str">
        <f t="shared" si="2"/>
        <v>280,482</v>
      </c>
      <c r="D194" s="6">
        <f t="shared" si="3"/>
        <v>280.482</v>
      </c>
      <c r="E194" s="6">
        <f t="shared" si="4"/>
        <v>0.303</v>
      </c>
    </row>
    <row r="195">
      <c r="A195" s="4" t="s">
        <v>7739</v>
      </c>
      <c r="B195" s="6" t="str">
        <f t="shared" si="1"/>
        <v>280.783</v>
      </c>
      <c r="C195" s="6" t="str">
        <f t="shared" si="2"/>
        <v>280,783</v>
      </c>
      <c r="D195" s="6">
        <f t="shared" si="3"/>
        <v>280.783</v>
      </c>
      <c r="E195" s="6">
        <f t="shared" si="4"/>
        <v>0.301</v>
      </c>
    </row>
    <row r="196">
      <c r="A196" s="4" t="s">
        <v>7740</v>
      </c>
      <c r="B196" s="6" t="str">
        <f t="shared" si="1"/>
        <v>281.116</v>
      </c>
      <c r="C196" s="6" t="str">
        <f t="shared" si="2"/>
        <v>281,116</v>
      </c>
      <c r="D196" s="6">
        <f t="shared" si="3"/>
        <v>281.116</v>
      </c>
      <c r="E196" s="6">
        <f t="shared" si="4"/>
        <v>0.333</v>
      </c>
    </row>
    <row r="197">
      <c r="A197" s="4" t="s">
        <v>7741</v>
      </c>
      <c r="B197" s="6" t="str">
        <f t="shared" si="1"/>
        <v>281.438</v>
      </c>
      <c r="C197" s="6" t="str">
        <f t="shared" si="2"/>
        <v>281,438</v>
      </c>
      <c r="D197" s="6">
        <f t="shared" si="3"/>
        <v>281.438</v>
      </c>
      <c r="E197" s="6">
        <f t="shared" si="4"/>
        <v>0.322</v>
      </c>
    </row>
    <row r="198">
      <c r="A198" s="4" t="s">
        <v>7742</v>
      </c>
      <c r="B198" s="6" t="str">
        <f t="shared" si="1"/>
        <v>281.768</v>
      </c>
      <c r="C198" s="6" t="str">
        <f t="shared" si="2"/>
        <v>281,768</v>
      </c>
      <c r="D198" s="6">
        <f t="shared" si="3"/>
        <v>281.768</v>
      </c>
      <c r="E198" s="6">
        <f t="shared" si="4"/>
        <v>0.33</v>
      </c>
    </row>
    <row r="199">
      <c r="A199" s="4" t="s">
        <v>7743</v>
      </c>
      <c r="B199" s="6" t="str">
        <f t="shared" si="1"/>
        <v>282.092</v>
      </c>
      <c r="C199" s="6" t="str">
        <f t="shared" si="2"/>
        <v>282,092</v>
      </c>
      <c r="D199" s="6">
        <f t="shared" si="3"/>
        <v>282.092</v>
      </c>
      <c r="E199" s="6">
        <f t="shared" si="4"/>
        <v>0.324</v>
      </c>
    </row>
    <row r="200">
      <c r="A200" s="4" t="s">
        <v>7744</v>
      </c>
      <c r="B200" s="6" t="str">
        <f t="shared" si="1"/>
        <v>288.441</v>
      </c>
      <c r="C200" s="6" t="str">
        <f t="shared" si="2"/>
        <v>288,441</v>
      </c>
      <c r="D200" s="6">
        <f t="shared" si="3"/>
        <v>288.441</v>
      </c>
      <c r="E200" s="6">
        <f t="shared" si="4"/>
        <v>6.349</v>
      </c>
    </row>
    <row r="201">
      <c r="A201" s="4" t="s">
        <v>7745</v>
      </c>
      <c r="B201" s="6" t="str">
        <f t="shared" si="1"/>
        <v>288.766</v>
      </c>
      <c r="C201" s="6" t="str">
        <f t="shared" si="2"/>
        <v>288,766</v>
      </c>
      <c r="D201" s="6">
        <f t="shared" si="3"/>
        <v>288.766</v>
      </c>
      <c r="E201" s="6">
        <f t="shared" si="4"/>
        <v>0.325</v>
      </c>
    </row>
    <row r="202">
      <c r="A202" s="4" t="s">
        <v>7746</v>
      </c>
      <c r="B202" s="6" t="str">
        <f t="shared" si="1"/>
        <v>289.098</v>
      </c>
      <c r="C202" s="6" t="str">
        <f t="shared" si="2"/>
        <v>289,098</v>
      </c>
      <c r="D202" s="6">
        <f t="shared" si="3"/>
        <v>289.098</v>
      </c>
      <c r="E202" s="6">
        <f t="shared" si="4"/>
        <v>0.332</v>
      </c>
    </row>
    <row r="203">
      <c r="A203" s="4" t="s">
        <v>7747</v>
      </c>
      <c r="B203" s="6" t="str">
        <f t="shared" si="1"/>
        <v>289.413</v>
      </c>
      <c r="C203" s="6" t="str">
        <f t="shared" si="2"/>
        <v>289,413</v>
      </c>
      <c r="D203" s="6">
        <f t="shared" si="3"/>
        <v>289.413</v>
      </c>
      <c r="E203" s="6">
        <f t="shared" si="4"/>
        <v>0.315</v>
      </c>
    </row>
    <row r="204">
      <c r="A204" s="4" t="s">
        <v>7748</v>
      </c>
      <c r="B204" s="6" t="str">
        <f t="shared" si="1"/>
        <v>289.719</v>
      </c>
      <c r="C204" s="6" t="str">
        <f t="shared" si="2"/>
        <v>289,719</v>
      </c>
      <c r="D204" s="6">
        <f t="shared" si="3"/>
        <v>289.719</v>
      </c>
      <c r="E204" s="6">
        <f t="shared" si="4"/>
        <v>0.306</v>
      </c>
    </row>
    <row r="205">
      <c r="A205" s="4" t="s">
        <v>7749</v>
      </c>
      <c r="B205" s="6" t="str">
        <f t="shared" si="1"/>
        <v>290.069</v>
      </c>
      <c r="C205" s="6" t="str">
        <f t="shared" si="2"/>
        <v>290,069</v>
      </c>
      <c r="D205" s="6">
        <f t="shared" si="3"/>
        <v>290.069</v>
      </c>
      <c r="E205" s="6">
        <f t="shared" si="4"/>
        <v>0.35</v>
      </c>
    </row>
    <row r="206">
      <c r="A206" s="4" t="s">
        <v>7750</v>
      </c>
      <c r="B206" s="6" t="str">
        <f t="shared" si="1"/>
        <v>290.376</v>
      </c>
      <c r="C206" s="6" t="str">
        <f t="shared" si="2"/>
        <v>290,376</v>
      </c>
      <c r="D206" s="6">
        <f t="shared" si="3"/>
        <v>290.376</v>
      </c>
      <c r="E206" s="6">
        <f t="shared" si="4"/>
        <v>0.307</v>
      </c>
    </row>
    <row r="207">
      <c r="A207" s="4" t="s">
        <v>7751</v>
      </c>
      <c r="B207" s="6" t="str">
        <f t="shared" si="1"/>
        <v>290.689</v>
      </c>
      <c r="C207" s="6" t="str">
        <f t="shared" si="2"/>
        <v>290,689</v>
      </c>
      <c r="D207" s="6">
        <f t="shared" si="3"/>
        <v>290.689</v>
      </c>
      <c r="E207" s="6">
        <f t="shared" si="4"/>
        <v>0.313</v>
      </c>
    </row>
    <row r="208">
      <c r="A208" s="4" t="s">
        <v>7752</v>
      </c>
      <c r="B208" s="6" t="str">
        <f t="shared" si="1"/>
        <v>291.012</v>
      </c>
      <c r="C208" s="6" t="str">
        <f t="shared" si="2"/>
        <v>291,012</v>
      </c>
      <c r="D208" s="6">
        <f t="shared" si="3"/>
        <v>291.012</v>
      </c>
      <c r="E208" s="6">
        <f t="shared" si="4"/>
        <v>0.323</v>
      </c>
    </row>
    <row r="209">
      <c r="A209" s="4" t="s">
        <v>7753</v>
      </c>
      <c r="B209" s="6" t="str">
        <f t="shared" si="1"/>
        <v>291.336</v>
      </c>
      <c r="C209" s="6" t="str">
        <f t="shared" si="2"/>
        <v>291,336</v>
      </c>
      <c r="D209" s="6">
        <f t="shared" si="3"/>
        <v>291.336</v>
      </c>
      <c r="E209" s="6">
        <f t="shared" si="4"/>
        <v>0.324</v>
      </c>
    </row>
    <row r="210">
      <c r="A210" s="4" t="s">
        <v>7754</v>
      </c>
      <c r="B210" s="6" t="str">
        <f t="shared" si="1"/>
        <v>300.490</v>
      </c>
      <c r="C210" s="6" t="str">
        <f t="shared" si="2"/>
        <v>300,490</v>
      </c>
      <c r="D210" s="6">
        <f t="shared" si="3"/>
        <v>300.49</v>
      </c>
      <c r="E210" s="6">
        <f t="shared" si="4"/>
        <v>9.154</v>
      </c>
    </row>
    <row r="211">
      <c r="A211" s="4" t="s">
        <v>7755</v>
      </c>
      <c r="B211" s="6" t="str">
        <f t="shared" si="1"/>
        <v>300.793</v>
      </c>
      <c r="C211" s="6" t="str">
        <f t="shared" si="2"/>
        <v>300,793</v>
      </c>
      <c r="D211" s="6">
        <f t="shared" si="3"/>
        <v>300.793</v>
      </c>
      <c r="E211" s="6">
        <f t="shared" si="4"/>
        <v>0.303</v>
      </c>
    </row>
    <row r="212">
      <c r="A212" s="4" t="s">
        <v>7756</v>
      </c>
      <c r="B212" s="6" t="str">
        <f t="shared" si="1"/>
        <v>301.110</v>
      </c>
      <c r="C212" s="6" t="str">
        <f t="shared" si="2"/>
        <v>301,110</v>
      </c>
      <c r="D212" s="6">
        <f t="shared" si="3"/>
        <v>301.11</v>
      </c>
      <c r="E212" s="6">
        <f t="shared" si="4"/>
        <v>0.317</v>
      </c>
    </row>
    <row r="213">
      <c r="A213" s="4" t="s">
        <v>7757</v>
      </c>
      <c r="B213" s="6" t="str">
        <f t="shared" si="1"/>
        <v>301.432</v>
      </c>
      <c r="C213" s="6" t="str">
        <f t="shared" si="2"/>
        <v>301,432</v>
      </c>
      <c r="D213" s="6">
        <f t="shared" si="3"/>
        <v>301.432</v>
      </c>
      <c r="E213" s="6">
        <f t="shared" si="4"/>
        <v>0.322</v>
      </c>
    </row>
    <row r="214">
      <c r="A214" s="4" t="s">
        <v>7758</v>
      </c>
      <c r="B214" s="6" t="str">
        <f t="shared" si="1"/>
        <v>301.754</v>
      </c>
      <c r="C214" s="6" t="str">
        <f t="shared" si="2"/>
        <v>301,754</v>
      </c>
      <c r="D214" s="6">
        <f t="shared" si="3"/>
        <v>301.754</v>
      </c>
      <c r="E214" s="6">
        <f t="shared" si="4"/>
        <v>0.322</v>
      </c>
    </row>
    <row r="215">
      <c r="A215" s="4" t="s">
        <v>7759</v>
      </c>
      <c r="B215" s="6" t="str">
        <f t="shared" si="1"/>
        <v>302.077</v>
      </c>
      <c r="C215" s="6" t="str">
        <f t="shared" si="2"/>
        <v>302,077</v>
      </c>
      <c r="D215" s="6">
        <f t="shared" si="3"/>
        <v>302.077</v>
      </c>
      <c r="E215" s="6">
        <f t="shared" si="4"/>
        <v>0.323</v>
      </c>
    </row>
    <row r="216">
      <c r="A216" s="4" t="s">
        <v>7760</v>
      </c>
      <c r="B216" s="6" t="str">
        <f t="shared" si="1"/>
        <v>302.389</v>
      </c>
      <c r="C216" s="6" t="str">
        <f t="shared" si="2"/>
        <v>302,389</v>
      </c>
      <c r="D216" s="6">
        <f t="shared" si="3"/>
        <v>302.389</v>
      </c>
      <c r="E216" s="6">
        <f t="shared" si="4"/>
        <v>0.312</v>
      </c>
    </row>
    <row r="217">
      <c r="A217" s="4" t="s">
        <v>7761</v>
      </c>
      <c r="B217" s="6" t="str">
        <f t="shared" si="1"/>
        <v>302.671</v>
      </c>
      <c r="C217" s="6" t="str">
        <f t="shared" si="2"/>
        <v>302,671</v>
      </c>
      <c r="D217" s="6">
        <f t="shared" si="3"/>
        <v>302.671</v>
      </c>
      <c r="E217" s="6">
        <f t="shared" si="4"/>
        <v>0.282</v>
      </c>
    </row>
    <row r="218">
      <c r="A218" s="4" t="s">
        <v>7762</v>
      </c>
      <c r="B218" s="6" t="str">
        <f t="shared" si="1"/>
        <v>312.263</v>
      </c>
      <c r="C218" s="6" t="str">
        <f t="shared" si="2"/>
        <v>312,263</v>
      </c>
      <c r="D218" s="6">
        <f t="shared" si="3"/>
        <v>312.263</v>
      </c>
      <c r="E218" s="6">
        <f t="shared" si="4"/>
        <v>9.592</v>
      </c>
    </row>
    <row r="219">
      <c r="A219" s="4" t="s">
        <v>7763</v>
      </c>
      <c r="B219" s="6" t="str">
        <f t="shared" si="1"/>
        <v>312.642</v>
      </c>
      <c r="C219" s="6" t="str">
        <f t="shared" si="2"/>
        <v>312,642</v>
      </c>
      <c r="D219" s="6">
        <f t="shared" si="3"/>
        <v>312.642</v>
      </c>
      <c r="E219" s="6">
        <f t="shared" si="4"/>
        <v>0.379</v>
      </c>
    </row>
    <row r="220">
      <c r="A220" s="4" t="s">
        <v>7764</v>
      </c>
      <c r="B220" s="6" t="str">
        <f t="shared" si="1"/>
        <v>312.948</v>
      </c>
      <c r="C220" s="6" t="str">
        <f t="shared" si="2"/>
        <v>312,948</v>
      </c>
      <c r="D220" s="6">
        <f t="shared" si="3"/>
        <v>312.948</v>
      </c>
      <c r="E220" s="6">
        <f t="shared" si="4"/>
        <v>0.306</v>
      </c>
    </row>
    <row r="221">
      <c r="A221" s="4" t="s">
        <v>7765</v>
      </c>
      <c r="B221" s="6" t="str">
        <f t="shared" si="1"/>
        <v>313.266</v>
      </c>
      <c r="C221" s="6" t="str">
        <f t="shared" si="2"/>
        <v>313,266</v>
      </c>
      <c r="D221" s="6">
        <f t="shared" si="3"/>
        <v>313.266</v>
      </c>
      <c r="E221" s="6">
        <f t="shared" si="4"/>
        <v>0.318</v>
      </c>
    </row>
    <row r="222">
      <c r="A222" s="4" t="s">
        <v>7766</v>
      </c>
      <c r="B222" s="6" t="str">
        <f t="shared" si="1"/>
        <v>313.571</v>
      </c>
      <c r="C222" s="6" t="str">
        <f t="shared" si="2"/>
        <v>313,571</v>
      </c>
      <c r="D222" s="6">
        <f t="shared" si="3"/>
        <v>313.571</v>
      </c>
      <c r="E222" s="6">
        <f t="shared" si="4"/>
        <v>0.305</v>
      </c>
    </row>
    <row r="223">
      <c r="A223" s="4" t="s">
        <v>7767</v>
      </c>
      <c r="B223" s="6" t="str">
        <f t="shared" si="1"/>
        <v>313.861</v>
      </c>
      <c r="C223" s="6" t="str">
        <f t="shared" si="2"/>
        <v>313,861</v>
      </c>
      <c r="D223" s="6">
        <f t="shared" si="3"/>
        <v>313.861</v>
      </c>
      <c r="E223" s="6">
        <f t="shared" si="4"/>
        <v>0.29</v>
      </c>
    </row>
    <row r="224">
      <c r="A224" s="4" t="s">
        <v>7768</v>
      </c>
      <c r="B224" s="6" t="str">
        <f t="shared" si="1"/>
        <v>314.168</v>
      </c>
      <c r="C224" s="6" t="str">
        <f t="shared" si="2"/>
        <v>314,168</v>
      </c>
      <c r="D224" s="6">
        <f t="shared" si="3"/>
        <v>314.168</v>
      </c>
      <c r="E224" s="6">
        <f t="shared" si="4"/>
        <v>0.307</v>
      </c>
    </row>
    <row r="225">
      <c r="A225" s="4" t="s">
        <v>7769</v>
      </c>
      <c r="B225" s="6" t="str">
        <f t="shared" si="1"/>
        <v>314.466</v>
      </c>
      <c r="C225" s="6" t="str">
        <f t="shared" si="2"/>
        <v>314,466</v>
      </c>
      <c r="D225" s="6">
        <f t="shared" si="3"/>
        <v>314.466</v>
      </c>
      <c r="E225" s="6">
        <f t="shared" si="4"/>
        <v>0.298</v>
      </c>
    </row>
    <row r="226">
      <c r="A226" s="4" t="s">
        <v>7770</v>
      </c>
      <c r="B226" s="6" t="str">
        <f t="shared" si="1"/>
        <v>314.751</v>
      </c>
      <c r="C226" s="6" t="str">
        <f t="shared" si="2"/>
        <v>314,751</v>
      </c>
      <c r="D226" s="6">
        <f t="shared" si="3"/>
        <v>314.751</v>
      </c>
      <c r="E226" s="6">
        <f t="shared" si="4"/>
        <v>0.285</v>
      </c>
    </row>
    <row r="227">
      <c r="A227" s="4" t="s">
        <v>7771</v>
      </c>
      <c r="B227" s="6" t="str">
        <f t="shared" si="1"/>
        <v>315.069</v>
      </c>
      <c r="C227" s="6" t="str">
        <f t="shared" si="2"/>
        <v>315,069</v>
      </c>
      <c r="D227" s="6">
        <f t="shared" si="3"/>
        <v>315.069</v>
      </c>
      <c r="E227" s="6">
        <f t="shared" si="4"/>
        <v>0.318</v>
      </c>
    </row>
    <row r="228">
      <c r="A228" s="4" t="s">
        <v>7772</v>
      </c>
      <c r="B228" s="6" t="str">
        <f t="shared" si="1"/>
        <v>315.389</v>
      </c>
      <c r="C228" s="6" t="str">
        <f t="shared" si="2"/>
        <v>315,389</v>
      </c>
      <c r="D228" s="6">
        <f t="shared" si="3"/>
        <v>315.389</v>
      </c>
      <c r="E228" s="6">
        <f t="shared" si="4"/>
        <v>0.32</v>
      </c>
    </row>
    <row r="229">
      <c r="A229" s="4" t="s">
        <v>7773</v>
      </c>
      <c r="B229" s="6" t="str">
        <f t="shared" si="1"/>
        <v>319.815</v>
      </c>
      <c r="C229" s="6" t="str">
        <f t="shared" si="2"/>
        <v>319,815</v>
      </c>
      <c r="D229" s="6">
        <f t="shared" si="3"/>
        <v>319.815</v>
      </c>
      <c r="E229" s="6">
        <f t="shared" si="4"/>
        <v>4.426</v>
      </c>
    </row>
    <row r="230">
      <c r="A230" s="4" t="s">
        <v>7774</v>
      </c>
      <c r="B230" s="6" t="str">
        <f t="shared" si="1"/>
        <v>320.091</v>
      </c>
      <c r="C230" s="6" t="str">
        <f t="shared" si="2"/>
        <v>320,091</v>
      </c>
      <c r="D230" s="6">
        <f t="shared" si="3"/>
        <v>320.091</v>
      </c>
      <c r="E230" s="6">
        <f t="shared" si="4"/>
        <v>0.276</v>
      </c>
    </row>
    <row r="231">
      <c r="A231" s="4" t="s">
        <v>7775</v>
      </c>
      <c r="B231" s="6" t="str">
        <f t="shared" si="1"/>
        <v>320.363</v>
      </c>
      <c r="C231" s="6" t="str">
        <f t="shared" si="2"/>
        <v>320,363</v>
      </c>
      <c r="D231" s="6">
        <f t="shared" si="3"/>
        <v>320.363</v>
      </c>
      <c r="E231" s="6">
        <f t="shared" si="4"/>
        <v>0.272</v>
      </c>
    </row>
    <row r="232">
      <c r="A232" s="4" t="s">
        <v>7776</v>
      </c>
      <c r="B232" s="6" t="str">
        <f t="shared" si="1"/>
        <v>322.762</v>
      </c>
      <c r="C232" s="6" t="str">
        <f t="shared" si="2"/>
        <v>322,762</v>
      </c>
      <c r="D232" s="6">
        <f t="shared" si="3"/>
        <v>322.762</v>
      </c>
      <c r="E232" s="6">
        <f t="shared" si="4"/>
        <v>2.399</v>
      </c>
    </row>
    <row r="233">
      <c r="A233" s="4" t="s">
        <v>7777</v>
      </c>
      <c r="B233" s="6" t="str">
        <f t="shared" si="1"/>
        <v>323.132</v>
      </c>
      <c r="C233" s="6" t="str">
        <f t="shared" si="2"/>
        <v>323,132</v>
      </c>
      <c r="D233" s="6">
        <f t="shared" si="3"/>
        <v>323.132</v>
      </c>
      <c r="E233" s="6">
        <f t="shared" si="4"/>
        <v>0.37</v>
      </c>
    </row>
    <row r="234">
      <c r="A234" s="4" t="s">
        <v>7778</v>
      </c>
      <c r="B234" s="6" t="str">
        <f t="shared" si="1"/>
        <v>323.482</v>
      </c>
      <c r="C234" s="6" t="str">
        <f t="shared" si="2"/>
        <v>323,482</v>
      </c>
      <c r="D234" s="6">
        <f t="shared" si="3"/>
        <v>323.482</v>
      </c>
      <c r="E234" s="6">
        <f t="shared" si="4"/>
        <v>0.35</v>
      </c>
    </row>
    <row r="235">
      <c r="A235" s="4" t="s">
        <v>7779</v>
      </c>
      <c r="B235" s="6" t="str">
        <f t="shared" si="1"/>
        <v>323.791</v>
      </c>
      <c r="C235" s="6" t="str">
        <f t="shared" si="2"/>
        <v>323,791</v>
      </c>
      <c r="D235" s="6">
        <f t="shared" si="3"/>
        <v>323.791</v>
      </c>
      <c r="E235" s="6">
        <f t="shared" si="4"/>
        <v>0.309</v>
      </c>
    </row>
    <row r="236">
      <c r="A236" s="4" t="s">
        <v>7780</v>
      </c>
      <c r="B236" s="6" t="str">
        <f t="shared" si="1"/>
        <v>324.118</v>
      </c>
      <c r="C236" s="6" t="str">
        <f t="shared" si="2"/>
        <v>324,118</v>
      </c>
      <c r="D236" s="6">
        <f t="shared" si="3"/>
        <v>324.118</v>
      </c>
      <c r="E236" s="6">
        <f t="shared" si="4"/>
        <v>0.327</v>
      </c>
    </row>
    <row r="237">
      <c r="A237" s="4" t="s">
        <v>7781</v>
      </c>
      <c r="B237" s="6" t="str">
        <f t="shared" si="1"/>
        <v>324.413</v>
      </c>
      <c r="C237" s="6" t="str">
        <f t="shared" si="2"/>
        <v>324,413</v>
      </c>
      <c r="D237" s="6">
        <f t="shared" si="3"/>
        <v>324.413</v>
      </c>
      <c r="E237" s="6">
        <f t="shared" si="4"/>
        <v>0.295</v>
      </c>
    </row>
    <row r="238">
      <c r="A238" s="4" t="s">
        <v>7782</v>
      </c>
      <c r="B238" s="6" t="str">
        <f t="shared" si="1"/>
        <v>332.536</v>
      </c>
      <c r="C238" s="6" t="str">
        <f t="shared" si="2"/>
        <v>332,536</v>
      </c>
      <c r="D238" s="6">
        <f t="shared" si="3"/>
        <v>332.536</v>
      </c>
      <c r="E238" s="6">
        <f t="shared" si="4"/>
        <v>8.123</v>
      </c>
    </row>
    <row r="239">
      <c r="A239" s="4" t="s">
        <v>7783</v>
      </c>
      <c r="B239" s="6" t="str">
        <f t="shared" si="1"/>
        <v>332.823</v>
      </c>
      <c r="C239" s="6" t="str">
        <f t="shared" si="2"/>
        <v>332,823</v>
      </c>
      <c r="D239" s="6">
        <f t="shared" si="3"/>
        <v>332.823</v>
      </c>
      <c r="E239" s="6">
        <f t="shared" si="4"/>
        <v>0.287</v>
      </c>
    </row>
    <row r="240">
      <c r="A240" s="4" t="s">
        <v>7784</v>
      </c>
      <c r="B240" s="6" t="str">
        <f t="shared" si="1"/>
        <v>333.154</v>
      </c>
      <c r="C240" s="6" t="str">
        <f t="shared" si="2"/>
        <v>333,154</v>
      </c>
      <c r="D240" s="6">
        <f t="shared" si="3"/>
        <v>333.154</v>
      </c>
      <c r="E240" s="6">
        <f t="shared" si="4"/>
        <v>0.331</v>
      </c>
    </row>
    <row r="241">
      <c r="A241" s="4" t="s">
        <v>7785</v>
      </c>
      <c r="B241" s="6" t="str">
        <f t="shared" si="1"/>
        <v>333.458</v>
      </c>
      <c r="C241" s="6" t="str">
        <f t="shared" si="2"/>
        <v>333,458</v>
      </c>
      <c r="D241" s="6">
        <f t="shared" si="3"/>
        <v>333.458</v>
      </c>
      <c r="E241" s="6">
        <f t="shared" si="4"/>
        <v>0.304</v>
      </c>
    </row>
    <row r="242">
      <c r="A242" s="4" t="s">
        <v>7786</v>
      </c>
      <c r="B242" s="6" t="str">
        <f t="shared" si="1"/>
        <v>333.772</v>
      </c>
      <c r="C242" s="6" t="str">
        <f t="shared" si="2"/>
        <v>333,772</v>
      </c>
      <c r="D242" s="6">
        <f t="shared" si="3"/>
        <v>333.772</v>
      </c>
      <c r="E242" s="6">
        <f t="shared" si="4"/>
        <v>0.314</v>
      </c>
    </row>
    <row r="243">
      <c r="A243" s="4" t="s">
        <v>7787</v>
      </c>
      <c r="B243" s="6" t="str">
        <f t="shared" si="1"/>
        <v>334.095</v>
      </c>
      <c r="C243" s="6" t="str">
        <f t="shared" si="2"/>
        <v>334,095</v>
      </c>
      <c r="D243" s="6">
        <f t="shared" si="3"/>
        <v>334.095</v>
      </c>
      <c r="E243" s="6">
        <f t="shared" si="4"/>
        <v>0.323</v>
      </c>
    </row>
    <row r="244">
      <c r="A244" s="4" t="s">
        <v>7788</v>
      </c>
      <c r="B244" s="6" t="str">
        <f t="shared" si="1"/>
        <v>334.399</v>
      </c>
      <c r="C244" s="6" t="str">
        <f t="shared" si="2"/>
        <v>334,399</v>
      </c>
      <c r="D244" s="6">
        <f t="shared" si="3"/>
        <v>334.399</v>
      </c>
      <c r="E244" s="6">
        <f t="shared" si="4"/>
        <v>0.304</v>
      </c>
    </row>
    <row r="245">
      <c r="A245" s="4" t="s">
        <v>7789</v>
      </c>
      <c r="B245" s="6" t="str">
        <f t="shared" si="1"/>
        <v>334.748</v>
      </c>
      <c r="C245" s="6" t="str">
        <f t="shared" si="2"/>
        <v>334,748</v>
      </c>
      <c r="D245" s="6">
        <f t="shared" si="3"/>
        <v>334.748</v>
      </c>
      <c r="E245" s="6">
        <f t="shared" si="4"/>
        <v>0.349</v>
      </c>
    </row>
    <row r="246">
      <c r="A246" s="4" t="s">
        <v>7790</v>
      </c>
      <c r="B246" s="6" t="str">
        <f t="shared" si="1"/>
        <v>335.060</v>
      </c>
      <c r="C246" s="6" t="str">
        <f t="shared" si="2"/>
        <v>335,060</v>
      </c>
      <c r="D246" s="6">
        <f t="shared" si="3"/>
        <v>335.06</v>
      </c>
      <c r="E246" s="6">
        <f t="shared" si="4"/>
        <v>0.312</v>
      </c>
    </row>
    <row r="247">
      <c r="A247" s="4" t="s">
        <v>7791</v>
      </c>
      <c r="B247" s="6" t="str">
        <f t="shared" si="1"/>
        <v>340.556</v>
      </c>
      <c r="C247" s="6" t="str">
        <f t="shared" si="2"/>
        <v>340,556</v>
      </c>
      <c r="D247" s="6">
        <f t="shared" si="3"/>
        <v>340.556</v>
      </c>
      <c r="E247" s="6">
        <f t="shared" si="4"/>
        <v>5.496</v>
      </c>
    </row>
    <row r="248">
      <c r="A248" s="4" t="s">
        <v>7792</v>
      </c>
      <c r="B248" s="6" t="str">
        <f t="shared" si="1"/>
        <v>340.852</v>
      </c>
      <c r="C248" s="6" t="str">
        <f t="shared" si="2"/>
        <v>340,852</v>
      </c>
      <c r="D248" s="6">
        <f t="shared" si="3"/>
        <v>340.852</v>
      </c>
      <c r="E248" s="6">
        <f t="shared" si="4"/>
        <v>0.296</v>
      </c>
    </row>
    <row r="249">
      <c r="A249" s="4" t="s">
        <v>7793</v>
      </c>
      <c r="B249" s="6" t="str">
        <f t="shared" si="1"/>
        <v>341.161</v>
      </c>
      <c r="C249" s="6" t="str">
        <f t="shared" si="2"/>
        <v>341,161</v>
      </c>
      <c r="D249" s="6">
        <f t="shared" si="3"/>
        <v>341.161</v>
      </c>
      <c r="E249" s="6">
        <f t="shared" si="4"/>
        <v>0.309</v>
      </c>
    </row>
    <row r="250">
      <c r="A250" s="4" t="s">
        <v>7794</v>
      </c>
      <c r="B250" s="6" t="str">
        <f t="shared" si="1"/>
        <v>341.474</v>
      </c>
      <c r="C250" s="6" t="str">
        <f t="shared" si="2"/>
        <v>341,474</v>
      </c>
      <c r="D250" s="6">
        <f t="shared" si="3"/>
        <v>341.474</v>
      </c>
      <c r="E250" s="6">
        <f t="shared" si="4"/>
        <v>0.313</v>
      </c>
    </row>
    <row r="251">
      <c r="A251" s="4" t="s">
        <v>7795</v>
      </c>
      <c r="B251" s="6" t="str">
        <f t="shared" si="1"/>
        <v>341.763</v>
      </c>
      <c r="C251" s="6" t="str">
        <f t="shared" si="2"/>
        <v>341,763</v>
      </c>
      <c r="D251" s="6">
        <f t="shared" si="3"/>
        <v>341.763</v>
      </c>
      <c r="E251" s="6">
        <f t="shared" si="4"/>
        <v>0.289</v>
      </c>
    </row>
    <row r="252">
      <c r="A252" s="4" t="s">
        <v>7796</v>
      </c>
      <c r="B252" s="6" t="str">
        <f t="shared" si="1"/>
        <v>342.098</v>
      </c>
      <c r="C252" s="6" t="str">
        <f t="shared" si="2"/>
        <v>342,098</v>
      </c>
      <c r="D252" s="6">
        <f t="shared" si="3"/>
        <v>342.098</v>
      </c>
      <c r="E252" s="6">
        <f t="shared" si="4"/>
        <v>0.335</v>
      </c>
    </row>
    <row r="253">
      <c r="A253" s="4" t="s">
        <v>7797</v>
      </c>
      <c r="B253" s="6" t="str">
        <f t="shared" si="1"/>
        <v>342.433</v>
      </c>
      <c r="C253" s="6" t="str">
        <f t="shared" si="2"/>
        <v>342,433</v>
      </c>
      <c r="D253" s="6">
        <f t="shared" si="3"/>
        <v>342.433</v>
      </c>
      <c r="E253" s="6">
        <f t="shared" si="4"/>
        <v>0.335</v>
      </c>
    </row>
    <row r="254">
      <c r="A254" s="4" t="s">
        <v>7798</v>
      </c>
      <c r="B254" s="6" t="str">
        <f t="shared" si="1"/>
        <v>352.305</v>
      </c>
      <c r="C254" s="6" t="str">
        <f t="shared" si="2"/>
        <v>352,305</v>
      </c>
      <c r="D254" s="6">
        <f t="shared" si="3"/>
        <v>352.305</v>
      </c>
      <c r="E254" s="6">
        <f t="shared" si="4"/>
        <v>9.872</v>
      </c>
    </row>
    <row r="255">
      <c r="A255" s="4" t="s">
        <v>7799</v>
      </c>
      <c r="B255" s="6" t="str">
        <f t="shared" si="1"/>
        <v>352.611</v>
      </c>
      <c r="C255" s="6" t="str">
        <f t="shared" si="2"/>
        <v>352,611</v>
      </c>
      <c r="D255" s="6">
        <f t="shared" si="3"/>
        <v>352.611</v>
      </c>
      <c r="E255" s="6">
        <f t="shared" si="4"/>
        <v>0.306</v>
      </c>
    </row>
    <row r="256">
      <c r="A256" s="4" t="s">
        <v>7800</v>
      </c>
      <c r="B256" s="6" t="str">
        <f t="shared" si="1"/>
        <v>352.926</v>
      </c>
      <c r="C256" s="6" t="str">
        <f t="shared" si="2"/>
        <v>352,926</v>
      </c>
      <c r="D256" s="6">
        <f t="shared" si="3"/>
        <v>352.926</v>
      </c>
      <c r="E256" s="6">
        <f t="shared" si="4"/>
        <v>0.315</v>
      </c>
    </row>
    <row r="257">
      <c r="A257" s="4" t="s">
        <v>7801</v>
      </c>
      <c r="B257" s="6" t="str">
        <f t="shared" si="1"/>
        <v>353.266</v>
      </c>
      <c r="C257" s="6" t="str">
        <f t="shared" si="2"/>
        <v>353,266</v>
      </c>
      <c r="D257" s="6">
        <f t="shared" si="3"/>
        <v>353.266</v>
      </c>
      <c r="E257" s="6">
        <f t="shared" si="4"/>
        <v>0.34</v>
      </c>
    </row>
    <row r="258">
      <c r="A258" s="4" t="s">
        <v>7802</v>
      </c>
      <c r="B258" s="6" t="str">
        <f t="shared" si="1"/>
        <v>353.578</v>
      </c>
      <c r="C258" s="6" t="str">
        <f t="shared" si="2"/>
        <v>353,578</v>
      </c>
      <c r="D258" s="6">
        <f t="shared" si="3"/>
        <v>353.578</v>
      </c>
      <c r="E258" s="6">
        <f t="shared" si="4"/>
        <v>0.312</v>
      </c>
    </row>
    <row r="259">
      <c r="A259" s="4" t="s">
        <v>7803</v>
      </c>
      <c r="B259" s="6" t="str">
        <f t="shared" si="1"/>
        <v>353.930</v>
      </c>
      <c r="C259" s="6" t="str">
        <f t="shared" si="2"/>
        <v>353,930</v>
      </c>
      <c r="D259" s="6">
        <f t="shared" si="3"/>
        <v>353.93</v>
      </c>
      <c r="E259" s="6">
        <f t="shared" si="4"/>
        <v>0.352</v>
      </c>
    </row>
    <row r="260">
      <c r="A260" s="4" t="s">
        <v>7804</v>
      </c>
      <c r="B260" s="6" t="str">
        <f t="shared" si="1"/>
        <v>354.227</v>
      </c>
      <c r="C260" s="6" t="str">
        <f t="shared" si="2"/>
        <v>354,227</v>
      </c>
      <c r="D260" s="6">
        <f t="shared" si="3"/>
        <v>354.227</v>
      </c>
      <c r="E260" s="6">
        <f t="shared" si="4"/>
        <v>0.297</v>
      </c>
    </row>
    <row r="261">
      <c r="A261" s="4" t="s">
        <v>7805</v>
      </c>
      <c r="B261" s="6" t="str">
        <f t="shared" si="1"/>
        <v>354.555</v>
      </c>
      <c r="C261" s="6" t="str">
        <f t="shared" si="2"/>
        <v>354,555</v>
      </c>
      <c r="D261" s="6">
        <f t="shared" si="3"/>
        <v>354.555</v>
      </c>
      <c r="E261" s="6">
        <f t="shared" si="4"/>
        <v>0.328</v>
      </c>
    </row>
    <row r="262">
      <c r="A262" s="4" t="s">
        <v>7806</v>
      </c>
      <c r="B262" s="6" t="str">
        <f t="shared" si="1"/>
        <v>354.855</v>
      </c>
      <c r="C262" s="6" t="str">
        <f t="shared" si="2"/>
        <v>354,855</v>
      </c>
      <c r="D262" s="6">
        <f t="shared" si="3"/>
        <v>354.855</v>
      </c>
      <c r="E262" s="6">
        <f t="shared" si="4"/>
        <v>0.3</v>
      </c>
    </row>
    <row r="263">
      <c r="A263" s="4" t="s">
        <v>7807</v>
      </c>
      <c r="B263" s="6" t="str">
        <f t="shared" si="1"/>
        <v>355.137</v>
      </c>
      <c r="C263" s="6" t="str">
        <f t="shared" si="2"/>
        <v>355,137</v>
      </c>
      <c r="D263" s="6">
        <f t="shared" si="3"/>
        <v>355.137</v>
      </c>
      <c r="E263" s="6">
        <f t="shared" si="4"/>
        <v>0.282</v>
      </c>
    </row>
    <row r="264">
      <c r="A264" s="4" t="s">
        <v>7808</v>
      </c>
      <c r="B264" s="6" t="str">
        <f t="shared" si="1"/>
        <v>355.443</v>
      </c>
      <c r="C264" s="6" t="str">
        <f t="shared" si="2"/>
        <v>355,443</v>
      </c>
      <c r="D264" s="6">
        <f t="shared" si="3"/>
        <v>355.443</v>
      </c>
      <c r="E264" s="6">
        <f t="shared" si="4"/>
        <v>0.306</v>
      </c>
    </row>
    <row r="265">
      <c r="A265" s="4" t="s">
        <v>7809</v>
      </c>
      <c r="B265" s="6" t="str">
        <f t="shared" si="1"/>
        <v>355.741</v>
      </c>
      <c r="C265" s="6" t="str">
        <f t="shared" si="2"/>
        <v>355,741</v>
      </c>
      <c r="D265" s="6">
        <f t="shared" si="3"/>
        <v>355.741</v>
      </c>
      <c r="E265" s="6">
        <f t="shared" si="4"/>
        <v>0.298</v>
      </c>
    </row>
    <row r="266">
      <c r="A266" s="4" t="s">
        <v>7810</v>
      </c>
      <c r="B266" s="6" t="str">
        <f t="shared" si="1"/>
        <v>356.059</v>
      </c>
      <c r="C266" s="6" t="str">
        <f t="shared" si="2"/>
        <v>356,059</v>
      </c>
      <c r="D266" s="6">
        <f t="shared" si="3"/>
        <v>356.059</v>
      </c>
      <c r="E266" s="6">
        <f t="shared" si="4"/>
        <v>0.318</v>
      </c>
    </row>
    <row r="267">
      <c r="A267" s="4" t="s">
        <v>7811</v>
      </c>
      <c r="B267" s="6" t="str">
        <f t="shared" si="1"/>
        <v>356.389</v>
      </c>
      <c r="C267" s="6" t="str">
        <f t="shared" si="2"/>
        <v>356,389</v>
      </c>
      <c r="D267" s="6">
        <f t="shared" si="3"/>
        <v>356.389</v>
      </c>
      <c r="E267" s="6">
        <f t="shared" si="4"/>
        <v>0.33</v>
      </c>
    </row>
    <row r="268">
      <c r="A268" s="4" t="s">
        <v>7812</v>
      </c>
      <c r="B268" s="6" t="str">
        <f t="shared" si="1"/>
        <v>356.711</v>
      </c>
      <c r="C268" s="6" t="str">
        <f t="shared" si="2"/>
        <v>356,711</v>
      </c>
      <c r="D268" s="6">
        <f t="shared" si="3"/>
        <v>356.711</v>
      </c>
      <c r="E268" s="6">
        <f t="shared" si="4"/>
        <v>0.322</v>
      </c>
    </row>
    <row r="269">
      <c r="A269" s="4" t="s">
        <v>7813</v>
      </c>
      <c r="B269" s="6" t="str">
        <f t="shared" si="1"/>
        <v>362.998</v>
      </c>
      <c r="C269" s="6" t="str">
        <f t="shared" si="2"/>
        <v>362,998</v>
      </c>
      <c r="D269" s="6">
        <f t="shared" si="3"/>
        <v>362.998</v>
      </c>
      <c r="E269" s="6">
        <f t="shared" si="4"/>
        <v>6.287</v>
      </c>
    </row>
    <row r="270">
      <c r="A270" s="4" t="s">
        <v>7814</v>
      </c>
      <c r="B270" s="6" t="str">
        <f t="shared" si="1"/>
        <v>363.318</v>
      </c>
      <c r="C270" s="6" t="str">
        <f t="shared" si="2"/>
        <v>363,318</v>
      </c>
      <c r="D270" s="6">
        <f t="shared" si="3"/>
        <v>363.318</v>
      </c>
      <c r="E270" s="6">
        <f t="shared" si="4"/>
        <v>0.32</v>
      </c>
    </row>
    <row r="271">
      <c r="A271" s="4" t="s">
        <v>7815</v>
      </c>
      <c r="B271" s="6" t="str">
        <f t="shared" si="1"/>
        <v>363.633</v>
      </c>
      <c r="C271" s="6" t="str">
        <f t="shared" si="2"/>
        <v>363,633</v>
      </c>
      <c r="D271" s="6">
        <f t="shared" si="3"/>
        <v>363.633</v>
      </c>
      <c r="E271" s="6">
        <f t="shared" si="4"/>
        <v>0.315</v>
      </c>
    </row>
    <row r="272">
      <c r="A272" s="4" t="s">
        <v>7816</v>
      </c>
      <c r="B272" s="6" t="str">
        <f t="shared" si="1"/>
        <v>364.012</v>
      </c>
      <c r="C272" s="6" t="str">
        <f t="shared" si="2"/>
        <v>364,012</v>
      </c>
      <c r="D272" s="6">
        <f t="shared" si="3"/>
        <v>364.012</v>
      </c>
      <c r="E272" s="6">
        <f t="shared" si="4"/>
        <v>0.379</v>
      </c>
    </row>
    <row r="273">
      <c r="A273" s="4" t="s">
        <v>7817</v>
      </c>
      <c r="B273" s="6" t="str">
        <f t="shared" si="1"/>
        <v>364.322</v>
      </c>
      <c r="C273" s="6" t="str">
        <f t="shared" si="2"/>
        <v>364,322</v>
      </c>
      <c r="D273" s="6">
        <f t="shared" si="3"/>
        <v>364.322</v>
      </c>
      <c r="E273" s="6">
        <f t="shared" si="4"/>
        <v>0.31</v>
      </c>
    </row>
    <row r="274">
      <c r="A274" s="4" t="s">
        <v>7818</v>
      </c>
      <c r="B274" s="6" t="str">
        <f t="shared" si="1"/>
        <v>364.634</v>
      </c>
      <c r="C274" s="6" t="str">
        <f t="shared" si="2"/>
        <v>364,634</v>
      </c>
      <c r="D274" s="6">
        <f t="shared" si="3"/>
        <v>364.634</v>
      </c>
      <c r="E274" s="6">
        <f t="shared" si="4"/>
        <v>0.312</v>
      </c>
    </row>
    <row r="275">
      <c r="A275" s="4" t="s">
        <v>7819</v>
      </c>
      <c r="B275" s="6" t="str">
        <f t="shared" si="1"/>
        <v>364.959</v>
      </c>
      <c r="C275" s="6" t="str">
        <f t="shared" si="2"/>
        <v>364,959</v>
      </c>
      <c r="D275" s="6">
        <f t="shared" si="3"/>
        <v>364.959</v>
      </c>
      <c r="E275" s="6">
        <f t="shared" si="4"/>
        <v>0.325</v>
      </c>
    </row>
    <row r="276">
      <c r="A276" s="4" t="s">
        <v>7820</v>
      </c>
      <c r="B276" s="6" t="str">
        <f t="shared" si="1"/>
        <v>365.253</v>
      </c>
      <c r="C276" s="6" t="str">
        <f t="shared" si="2"/>
        <v>365,253</v>
      </c>
      <c r="D276" s="6">
        <f t="shared" si="3"/>
        <v>365.253</v>
      </c>
      <c r="E276" s="6">
        <f t="shared" si="4"/>
        <v>0.294</v>
      </c>
    </row>
    <row r="277">
      <c r="A277" s="4" t="s">
        <v>7821</v>
      </c>
      <c r="B277" s="6" t="str">
        <f t="shared" si="1"/>
        <v>365.575</v>
      </c>
      <c r="C277" s="6" t="str">
        <f t="shared" si="2"/>
        <v>365,575</v>
      </c>
      <c r="D277" s="6">
        <f t="shared" si="3"/>
        <v>365.575</v>
      </c>
      <c r="E277" s="6">
        <f t="shared" si="4"/>
        <v>0.322</v>
      </c>
    </row>
    <row r="278">
      <c r="A278" s="4" t="s">
        <v>7822</v>
      </c>
      <c r="B278" s="6" t="str">
        <f t="shared" si="1"/>
        <v>365.880</v>
      </c>
      <c r="C278" s="6" t="str">
        <f t="shared" si="2"/>
        <v>365,880</v>
      </c>
      <c r="D278" s="6">
        <f t="shared" si="3"/>
        <v>365.88</v>
      </c>
      <c r="E278" s="6">
        <f t="shared" si="4"/>
        <v>0.305</v>
      </c>
    </row>
    <row r="279">
      <c r="A279" s="4" t="s">
        <v>7823</v>
      </c>
      <c r="B279" s="6" t="str">
        <f t="shared" si="1"/>
        <v>369.815</v>
      </c>
      <c r="C279" s="6" t="str">
        <f t="shared" si="2"/>
        <v>369,815</v>
      </c>
      <c r="D279" s="6">
        <f t="shared" si="3"/>
        <v>369.815</v>
      </c>
      <c r="E279" s="6">
        <f t="shared" si="4"/>
        <v>3.935</v>
      </c>
    </row>
    <row r="280">
      <c r="A280" s="4" t="s">
        <v>7824</v>
      </c>
      <c r="B280" s="6" t="str">
        <f t="shared" si="1"/>
        <v>370.154</v>
      </c>
      <c r="C280" s="6" t="str">
        <f t="shared" si="2"/>
        <v>370,154</v>
      </c>
      <c r="D280" s="6">
        <f t="shared" si="3"/>
        <v>370.154</v>
      </c>
      <c r="E280" s="6">
        <f t="shared" si="4"/>
        <v>0.339</v>
      </c>
    </row>
    <row r="281">
      <c r="A281" s="4" t="s">
        <v>7825</v>
      </c>
      <c r="B281" s="6" t="str">
        <f t="shared" si="1"/>
        <v>370.473</v>
      </c>
      <c r="C281" s="6" t="str">
        <f t="shared" si="2"/>
        <v>370,473</v>
      </c>
      <c r="D281" s="6">
        <f t="shared" si="3"/>
        <v>370.473</v>
      </c>
      <c r="E281" s="6">
        <f t="shared" si="4"/>
        <v>0.319</v>
      </c>
    </row>
    <row r="282">
      <c r="A282" s="4" t="s">
        <v>7826</v>
      </c>
      <c r="B282" s="6" t="str">
        <f t="shared" si="1"/>
        <v>370.822</v>
      </c>
      <c r="C282" s="6" t="str">
        <f t="shared" si="2"/>
        <v>370,822</v>
      </c>
      <c r="D282" s="6">
        <f t="shared" si="3"/>
        <v>370.822</v>
      </c>
      <c r="E282" s="6">
        <f t="shared" si="4"/>
        <v>0.349</v>
      </c>
    </row>
    <row r="283">
      <c r="A283" s="4" t="s">
        <v>7827</v>
      </c>
      <c r="B283" s="6" t="str">
        <f t="shared" si="1"/>
        <v>371.149</v>
      </c>
      <c r="C283" s="6" t="str">
        <f t="shared" si="2"/>
        <v>371,149</v>
      </c>
      <c r="D283" s="6">
        <f t="shared" si="3"/>
        <v>371.149</v>
      </c>
      <c r="E283" s="6">
        <f t="shared" si="4"/>
        <v>0.327</v>
      </c>
    </row>
    <row r="284">
      <c r="A284" s="4" t="s">
        <v>7828</v>
      </c>
      <c r="B284" s="6" t="str">
        <f t="shared" si="1"/>
        <v>379.821</v>
      </c>
      <c r="C284" s="6" t="str">
        <f t="shared" si="2"/>
        <v>379,821</v>
      </c>
      <c r="D284" s="6">
        <f t="shared" si="3"/>
        <v>379.821</v>
      </c>
      <c r="E284" s="6">
        <f t="shared" si="4"/>
        <v>8.672</v>
      </c>
    </row>
    <row r="285">
      <c r="A285" s="4" t="s">
        <v>7829</v>
      </c>
      <c r="B285" s="6" t="str">
        <f t="shared" si="1"/>
        <v>380.202</v>
      </c>
      <c r="C285" s="6" t="str">
        <f t="shared" si="2"/>
        <v>380,202</v>
      </c>
      <c r="D285" s="6">
        <f t="shared" si="3"/>
        <v>380.202</v>
      </c>
      <c r="E285" s="6">
        <f t="shared" si="4"/>
        <v>0.381</v>
      </c>
    </row>
    <row r="286">
      <c r="A286" s="4" t="s">
        <v>7830</v>
      </c>
      <c r="B286" s="6" t="str">
        <f t="shared" si="1"/>
        <v>380.539</v>
      </c>
      <c r="C286" s="6" t="str">
        <f t="shared" si="2"/>
        <v>380,539</v>
      </c>
      <c r="D286" s="6">
        <f t="shared" si="3"/>
        <v>380.539</v>
      </c>
      <c r="E286" s="6">
        <f t="shared" si="4"/>
        <v>0.337</v>
      </c>
    </row>
    <row r="287">
      <c r="A287" s="4" t="s">
        <v>7831</v>
      </c>
      <c r="B287" s="6" t="str">
        <f t="shared" si="1"/>
        <v>380.867</v>
      </c>
      <c r="C287" s="6" t="str">
        <f t="shared" si="2"/>
        <v>380,867</v>
      </c>
      <c r="D287" s="6">
        <f t="shared" si="3"/>
        <v>380.867</v>
      </c>
      <c r="E287" s="6">
        <f t="shared" si="4"/>
        <v>0.328</v>
      </c>
    </row>
    <row r="288">
      <c r="A288" s="4" t="s">
        <v>7832</v>
      </c>
      <c r="B288" s="6" t="str">
        <f t="shared" si="1"/>
        <v>381.174</v>
      </c>
      <c r="C288" s="6" t="str">
        <f t="shared" si="2"/>
        <v>381,174</v>
      </c>
      <c r="D288" s="6">
        <f t="shared" si="3"/>
        <v>381.174</v>
      </c>
      <c r="E288" s="6">
        <f t="shared" si="4"/>
        <v>0.307</v>
      </c>
    </row>
    <row r="289">
      <c r="A289" s="4" t="s">
        <v>7833</v>
      </c>
      <c r="B289" s="6" t="str">
        <f t="shared" si="1"/>
        <v>381.493</v>
      </c>
      <c r="C289" s="6" t="str">
        <f t="shared" si="2"/>
        <v>381,493</v>
      </c>
      <c r="D289" s="6">
        <f t="shared" si="3"/>
        <v>381.493</v>
      </c>
      <c r="E289" s="6">
        <f t="shared" si="4"/>
        <v>0.319</v>
      </c>
    </row>
    <row r="290">
      <c r="A290" s="4" t="s">
        <v>7834</v>
      </c>
      <c r="B290" s="6" t="str">
        <f t="shared" si="1"/>
        <v>381.834</v>
      </c>
      <c r="C290" s="6" t="str">
        <f t="shared" si="2"/>
        <v>381,834</v>
      </c>
      <c r="D290" s="6">
        <f t="shared" si="3"/>
        <v>381.834</v>
      </c>
      <c r="E290" s="6">
        <f t="shared" si="4"/>
        <v>0.341</v>
      </c>
    </row>
    <row r="291">
      <c r="A291" s="4" t="s">
        <v>7835</v>
      </c>
      <c r="B291" s="6" t="str">
        <f t="shared" si="1"/>
        <v>382.181</v>
      </c>
      <c r="C291" s="6" t="str">
        <f t="shared" si="2"/>
        <v>382,181</v>
      </c>
      <c r="D291" s="6">
        <f t="shared" si="3"/>
        <v>382.181</v>
      </c>
      <c r="E291" s="6">
        <f t="shared" si="4"/>
        <v>0.347</v>
      </c>
    </row>
    <row r="292">
      <c r="A292" s="4" t="s">
        <v>7836</v>
      </c>
      <c r="B292" s="6" t="str">
        <f t="shared" si="1"/>
        <v>382.508</v>
      </c>
      <c r="C292" s="6" t="str">
        <f t="shared" si="2"/>
        <v>382,508</v>
      </c>
      <c r="D292" s="6">
        <f t="shared" si="3"/>
        <v>382.508</v>
      </c>
      <c r="E292" s="6">
        <f t="shared" si="4"/>
        <v>0.327</v>
      </c>
    </row>
    <row r="293">
      <c r="A293" s="4" t="s">
        <v>7837</v>
      </c>
      <c r="B293" s="6" t="str">
        <f t="shared" si="1"/>
        <v>382.829</v>
      </c>
      <c r="C293" s="6" t="str">
        <f t="shared" si="2"/>
        <v>382,829</v>
      </c>
      <c r="D293" s="6">
        <f t="shared" si="3"/>
        <v>382.829</v>
      </c>
      <c r="E293" s="6">
        <f t="shared" si="4"/>
        <v>0.321</v>
      </c>
    </row>
    <row r="294">
      <c r="A294" s="4" t="s">
        <v>7838</v>
      </c>
      <c r="B294" s="6" t="str">
        <f t="shared" si="1"/>
        <v>388.930</v>
      </c>
      <c r="C294" s="6" t="str">
        <f t="shared" si="2"/>
        <v>388,930</v>
      </c>
      <c r="D294" s="6">
        <f t="shared" si="3"/>
        <v>388.93</v>
      </c>
      <c r="E294" s="6">
        <f t="shared" si="4"/>
        <v>6.101</v>
      </c>
    </row>
    <row r="295">
      <c r="A295" s="4" t="s">
        <v>7839</v>
      </c>
      <c r="B295" s="6" t="str">
        <f t="shared" si="1"/>
        <v>389.236</v>
      </c>
      <c r="C295" s="6" t="str">
        <f t="shared" si="2"/>
        <v>389,236</v>
      </c>
      <c r="D295" s="6">
        <f t="shared" si="3"/>
        <v>389.236</v>
      </c>
      <c r="E295" s="6">
        <f t="shared" si="4"/>
        <v>0.306</v>
      </c>
    </row>
    <row r="296">
      <c r="A296" s="4" t="s">
        <v>7840</v>
      </c>
      <c r="B296" s="6" t="str">
        <f t="shared" si="1"/>
        <v>389.554</v>
      </c>
      <c r="C296" s="6" t="str">
        <f t="shared" si="2"/>
        <v>389,554</v>
      </c>
      <c r="D296" s="6">
        <f t="shared" si="3"/>
        <v>389.554</v>
      </c>
      <c r="E296" s="6">
        <f t="shared" si="4"/>
        <v>0.318</v>
      </c>
    </row>
    <row r="297">
      <c r="A297" s="4" t="s">
        <v>7841</v>
      </c>
      <c r="B297" s="6" t="str">
        <f t="shared" si="1"/>
        <v>389.876</v>
      </c>
      <c r="C297" s="6" t="str">
        <f t="shared" si="2"/>
        <v>389,876</v>
      </c>
      <c r="D297" s="6">
        <f t="shared" si="3"/>
        <v>389.876</v>
      </c>
      <c r="E297" s="6">
        <f t="shared" si="4"/>
        <v>0.322</v>
      </c>
    </row>
    <row r="298">
      <c r="A298" s="4" t="s">
        <v>7842</v>
      </c>
      <c r="B298" s="6" t="str">
        <f t="shared" si="1"/>
        <v>390.251</v>
      </c>
      <c r="C298" s="6" t="str">
        <f t="shared" si="2"/>
        <v>390,251</v>
      </c>
      <c r="D298" s="6">
        <f t="shared" si="3"/>
        <v>390.251</v>
      </c>
      <c r="E298" s="6">
        <f t="shared" si="4"/>
        <v>0.375</v>
      </c>
    </row>
    <row r="299">
      <c r="A299" s="4" t="s">
        <v>7843</v>
      </c>
      <c r="B299" s="6" t="str">
        <f t="shared" si="1"/>
        <v>390.567</v>
      </c>
      <c r="C299" s="6" t="str">
        <f t="shared" si="2"/>
        <v>390,567</v>
      </c>
      <c r="D299" s="6">
        <f t="shared" si="3"/>
        <v>390.567</v>
      </c>
      <c r="E299" s="6">
        <f t="shared" si="4"/>
        <v>0.316</v>
      </c>
    </row>
    <row r="300">
      <c r="A300" s="4" t="s">
        <v>7844</v>
      </c>
      <c r="B300" s="6" t="str">
        <f t="shared" si="1"/>
        <v>390.878</v>
      </c>
      <c r="C300" s="6" t="str">
        <f t="shared" si="2"/>
        <v>390,878</v>
      </c>
      <c r="D300" s="6">
        <f t="shared" si="3"/>
        <v>390.878</v>
      </c>
      <c r="E300" s="6">
        <f t="shared" si="4"/>
        <v>0.311</v>
      </c>
    </row>
    <row r="301">
      <c r="A301" s="4" t="s">
        <v>7845</v>
      </c>
      <c r="B301" s="6" t="str">
        <f t="shared" si="1"/>
        <v>391.196</v>
      </c>
      <c r="C301" s="6" t="str">
        <f t="shared" si="2"/>
        <v>391,196</v>
      </c>
      <c r="D301" s="6">
        <f t="shared" si="3"/>
        <v>391.196</v>
      </c>
      <c r="E301" s="6">
        <f t="shared" si="4"/>
        <v>0.318</v>
      </c>
    </row>
    <row r="302">
      <c r="A302" s="4" t="s">
        <v>7846</v>
      </c>
      <c r="B302" s="6" t="str">
        <f t="shared" si="1"/>
        <v>391.482</v>
      </c>
      <c r="C302" s="6" t="str">
        <f t="shared" si="2"/>
        <v>391,482</v>
      </c>
      <c r="D302" s="6">
        <f t="shared" si="3"/>
        <v>391.482</v>
      </c>
      <c r="E302" s="6">
        <f t="shared" si="4"/>
        <v>0.286</v>
      </c>
    </row>
    <row r="303">
      <c r="A303" s="4" t="s">
        <v>7847</v>
      </c>
      <c r="B303" s="6" t="str">
        <f t="shared" si="1"/>
        <v>391.771</v>
      </c>
      <c r="C303" s="6" t="str">
        <f t="shared" si="2"/>
        <v>391,771</v>
      </c>
      <c r="D303" s="6">
        <f t="shared" si="3"/>
        <v>391.771</v>
      </c>
      <c r="E303" s="6">
        <f t="shared" si="4"/>
        <v>0.289</v>
      </c>
    </row>
    <row r="304">
      <c r="A304" s="4" t="s">
        <v>7848</v>
      </c>
      <c r="B304" s="6" t="str">
        <f t="shared" si="1"/>
        <v>398.342</v>
      </c>
      <c r="C304" s="6" t="str">
        <f t="shared" si="2"/>
        <v>398,342</v>
      </c>
      <c r="D304" s="6">
        <f t="shared" si="3"/>
        <v>398.342</v>
      </c>
      <c r="E304" s="6">
        <f t="shared" si="4"/>
        <v>6.571</v>
      </c>
    </row>
    <row r="305">
      <c r="A305" s="4" t="s">
        <v>7849</v>
      </c>
      <c r="B305" s="6" t="str">
        <f t="shared" si="1"/>
        <v>398.650</v>
      </c>
      <c r="C305" s="6" t="str">
        <f t="shared" si="2"/>
        <v>398,650</v>
      </c>
      <c r="D305" s="6">
        <f t="shared" si="3"/>
        <v>398.65</v>
      </c>
      <c r="E305" s="6">
        <f t="shared" si="4"/>
        <v>0.308</v>
      </c>
    </row>
    <row r="306">
      <c r="A306" s="4" t="s">
        <v>7850</v>
      </c>
      <c r="B306" s="6" t="str">
        <f t="shared" si="1"/>
        <v>398.968</v>
      </c>
      <c r="C306" s="6" t="str">
        <f t="shared" si="2"/>
        <v>398,968</v>
      </c>
      <c r="D306" s="6">
        <f t="shared" si="3"/>
        <v>398.968</v>
      </c>
      <c r="E306" s="6">
        <f t="shared" si="4"/>
        <v>0.318</v>
      </c>
    </row>
    <row r="307">
      <c r="A307" s="4" t="s">
        <v>7851</v>
      </c>
      <c r="B307" s="6" t="str">
        <f t="shared" si="1"/>
        <v>399.274</v>
      </c>
      <c r="C307" s="6" t="str">
        <f t="shared" si="2"/>
        <v>399,274</v>
      </c>
      <c r="D307" s="6">
        <f t="shared" si="3"/>
        <v>399.274</v>
      </c>
      <c r="E307" s="6">
        <f t="shared" si="4"/>
        <v>0.306</v>
      </c>
    </row>
    <row r="308">
      <c r="A308" s="4" t="s">
        <v>7852</v>
      </c>
      <c r="B308" s="6" t="str">
        <f t="shared" si="1"/>
        <v>399.583</v>
      </c>
      <c r="C308" s="6" t="str">
        <f t="shared" si="2"/>
        <v>399,583</v>
      </c>
      <c r="D308" s="6">
        <f t="shared" si="3"/>
        <v>399.583</v>
      </c>
      <c r="E308" s="6">
        <f t="shared" si="4"/>
        <v>0.309</v>
      </c>
    </row>
    <row r="309">
      <c r="A309" s="4" t="s">
        <v>7853</v>
      </c>
      <c r="B309" s="6" t="str">
        <f t="shared" si="1"/>
        <v>399.900</v>
      </c>
      <c r="C309" s="6" t="str">
        <f t="shared" si="2"/>
        <v>399,900</v>
      </c>
      <c r="D309" s="6">
        <f t="shared" si="3"/>
        <v>399.9</v>
      </c>
      <c r="E309" s="6">
        <f t="shared" si="4"/>
        <v>0.317</v>
      </c>
    </row>
    <row r="310">
      <c r="A310" s="4" t="s">
        <v>7854</v>
      </c>
      <c r="B310" s="6" t="str">
        <f t="shared" si="1"/>
        <v>400.224</v>
      </c>
      <c r="C310" s="6" t="str">
        <f t="shared" si="2"/>
        <v>400,224</v>
      </c>
      <c r="D310" s="6">
        <f t="shared" si="3"/>
        <v>400.224</v>
      </c>
      <c r="E310" s="6">
        <f t="shared" si="4"/>
        <v>0.324</v>
      </c>
    </row>
    <row r="311">
      <c r="A311" s="4" t="s">
        <v>7855</v>
      </c>
      <c r="B311" s="6" t="str">
        <f t="shared" si="1"/>
        <v>400.603</v>
      </c>
      <c r="C311" s="6" t="str">
        <f t="shared" si="2"/>
        <v>400,603</v>
      </c>
      <c r="D311" s="6">
        <f t="shared" si="3"/>
        <v>400.603</v>
      </c>
      <c r="E311" s="6">
        <f t="shared" si="4"/>
        <v>0.379</v>
      </c>
    </row>
    <row r="312">
      <c r="A312" s="4" t="s">
        <v>7856</v>
      </c>
      <c r="B312" s="6" t="str">
        <f t="shared" si="1"/>
        <v>403.853</v>
      </c>
      <c r="C312" s="6" t="str">
        <f t="shared" si="2"/>
        <v>403,853</v>
      </c>
      <c r="D312" s="6">
        <f t="shared" si="3"/>
        <v>403.853</v>
      </c>
      <c r="E312" s="6">
        <f t="shared" si="4"/>
        <v>3.25</v>
      </c>
    </row>
    <row r="313">
      <c r="A313" s="4" t="s">
        <v>7857</v>
      </c>
      <c r="B313" s="6" t="str">
        <f t="shared" si="1"/>
        <v>404.198</v>
      </c>
      <c r="C313" s="6" t="str">
        <f t="shared" si="2"/>
        <v>404,198</v>
      </c>
      <c r="D313" s="6">
        <f t="shared" si="3"/>
        <v>404.198</v>
      </c>
      <c r="E313" s="6">
        <f t="shared" si="4"/>
        <v>0.345</v>
      </c>
    </row>
    <row r="314">
      <c r="A314" s="4" t="s">
        <v>7858</v>
      </c>
      <c r="B314" s="6" t="str">
        <f t="shared" si="1"/>
        <v>404.498</v>
      </c>
      <c r="C314" s="6" t="str">
        <f t="shared" si="2"/>
        <v>404,498</v>
      </c>
      <c r="D314" s="6">
        <f t="shared" si="3"/>
        <v>404.498</v>
      </c>
      <c r="E314" s="6">
        <f t="shared" si="4"/>
        <v>0.3</v>
      </c>
    </row>
    <row r="315">
      <c r="A315" s="4" t="s">
        <v>7859</v>
      </c>
      <c r="B315" s="6" t="str">
        <f t="shared" si="1"/>
        <v>404.828</v>
      </c>
      <c r="C315" s="6" t="str">
        <f t="shared" si="2"/>
        <v>404,828</v>
      </c>
      <c r="D315" s="6">
        <f t="shared" si="3"/>
        <v>404.828</v>
      </c>
      <c r="E315" s="6">
        <f t="shared" si="4"/>
        <v>0.33</v>
      </c>
    </row>
    <row r="316">
      <c r="A316" s="4" t="s">
        <v>7860</v>
      </c>
      <c r="B316" s="6" t="str">
        <f t="shared" si="1"/>
        <v>405.136</v>
      </c>
      <c r="C316" s="6" t="str">
        <f t="shared" si="2"/>
        <v>405,136</v>
      </c>
      <c r="D316" s="6">
        <f t="shared" si="3"/>
        <v>405.136</v>
      </c>
      <c r="E316" s="6">
        <f t="shared" si="4"/>
        <v>0.308</v>
      </c>
    </row>
    <row r="317">
      <c r="A317" s="4" t="s">
        <v>7861</v>
      </c>
      <c r="B317" s="6" t="str">
        <f t="shared" si="1"/>
        <v>405.492</v>
      </c>
      <c r="C317" s="6" t="str">
        <f t="shared" si="2"/>
        <v>405,492</v>
      </c>
      <c r="D317" s="6">
        <f t="shared" si="3"/>
        <v>405.492</v>
      </c>
      <c r="E317" s="6">
        <f t="shared" si="4"/>
        <v>0.356</v>
      </c>
    </row>
    <row r="318">
      <c r="A318" s="4" t="s">
        <v>7862</v>
      </c>
      <c r="B318" s="6" t="str">
        <f t="shared" si="1"/>
        <v>414.968</v>
      </c>
      <c r="C318" s="6" t="str">
        <f t="shared" si="2"/>
        <v>414,968</v>
      </c>
      <c r="D318" s="6">
        <f t="shared" si="3"/>
        <v>414.968</v>
      </c>
      <c r="E318" s="6">
        <f t="shared" si="4"/>
        <v>9.476</v>
      </c>
    </row>
    <row r="319">
      <c r="A319" s="4" t="s">
        <v>7863</v>
      </c>
      <c r="B319" s="6" t="str">
        <f t="shared" si="1"/>
        <v>415.290</v>
      </c>
      <c r="C319" s="6" t="str">
        <f t="shared" si="2"/>
        <v>415,290</v>
      </c>
      <c r="D319" s="6">
        <f t="shared" si="3"/>
        <v>415.29</v>
      </c>
      <c r="E319" s="6">
        <f t="shared" si="4"/>
        <v>0.322</v>
      </c>
    </row>
    <row r="320">
      <c r="A320" s="4" t="s">
        <v>7864</v>
      </c>
      <c r="B320" s="6" t="str">
        <f t="shared" si="1"/>
        <v>415.620</v>
      </c>
      <c r="C320" s="6" t="str">
        <f t="shared" si="2"/>
        <v>415,620</v>
      </c>
      <c r="D320" s="6">
        <f t="shared" si="3"/>
        <v>415.62</v>
      </c>
      <c r="E320" s="6">
        <f t="shared" si="4"/>
        <v>0.33</v>
      </c>
    </row>
    <row r="321">
      <c r="A321" s="4" t="s">
        <v>7865</v>
      </c>
      <c r="B321" s="6" t="str">
        <f t="shared" si="1"/>
        <v>415.911</v>
      </c>
      <c r="C321" s="6" t="str">
        <f t="shared" si="2"/>
        <v>415,911</v>
      </c>
      <c r="D321" s="6">
        <f t="shared" si="3"/>
        <v>415.911</v>
      </c>
      <c r="E321" s="6">
        <f t="shared" si="4"/>
        <v>0.291</v>
      </c>
    </row>
    <row r="322">
      <c r="A322" s="4" t="s">
        <v>7866</v>
      </c>
      <c r="B322" s="6" t="str">
        <f t="shared" si="1"/>
        <v>416.246</v>
      </c>
      <c r="C322" s="6" t="str">
        <f t="shared" si="2"/>
        <v>416,246</v>
      </c>
      <c r="D322" s="6">
        <f t="shared" si="3"/>
        <v>416.246</v>
      </c>
      <c r="E322" s="6">
        <f t="shared" si="4"/>
        <v>0.335</v>
      </c>
    </row>
    <row r="323">
      <c r="A323" s="4" t="s">
        <v>7867</v>
      </c>
      <c r="B323" s="6" t="str">
        <f t="shared" si="1"/>
        <v>416.565</v>
      </c>
      <c r="C323" s="6" t="str">
        <f t="shared" si="2"/>
        <v>416,565</v>
      </c>
      <c r="D323" s="6">
        <f t="shared" si="3"/>
        <v>416.565</v>
      </c>
      <c r="E323" s="6">
        <f t="shared" si="4"/>
        <v>0.319</v>
      </c>
    </row>
    <row r="324">
      <c r="A324" s="4" t="s">
        <v>7868</v>
      </c>
      <c r="B324" s="6" t="str">
        <f t="shared" si="1"/>
        <v>416.875</v>
      </c>
      <c r="C324" s="6" t="str">
        <f t="shared" si="2"/>
        <v>416,875</v>
      </c>
      <c r="D324" s="6">
        <f t="shared" si="3"/>
        <v>416.875</v>
      </c>
      <c r="E324" s="6">
        <f t="shared" si="4"/>
        <v>0.31</v>
      </c>
    </row>
    <row r="325">
      <c r="A325" s="4" t="s">
        <v>7869</v>
      </c>
      <c r="B325" s="6" t="str">
        <f t="shared" si="1"/>
        <v>417.247</v>
      </c>
      <c r="C325" s="6" t="str">
        <f t="shared" si="2"/>
        <v>417,247</v>
      </c>
      <c r="D325" s="6">
        <f t="shared" si="3"/>
        <v>417.247</v>
      </c>
      <c r="E325" s="6">
        <f t="shared" si="4"/>
        <v>0.372</v>
      </c>
    </row>
    <row r="326">
      <c r="A326" s="4" t="s">
        <v>7870</v>
      </c>
      <c r="B326" s="6" t="str">
        <f t="shared" si="1"/>
        <v>417.593</v>
      </c>
      <c r="C326" s="6" t="str">
        <f t="shared" si="2"/>
        <v>417,593</v>
      </c>
      <c r="D326" s="6">
        <f t="shared" si="3"/>
        <v>417.593</v>
      </c>
      <c r="E326" s="6">
        <f t="shared" si="4"/>
        <v>0.346</v>
      </c>
    </row>
    <row r="327">
      <c r="A327" s="4" t="s">
        <v>7871</v>
      </c>
      <c r="B327" s="6" t="str">
        <f t="shared" si="1"/>
        <v>417.925</v>
      </c>
      <c r="C327" s="6" t="str">
        <f t="shared" si="2"/>
        <v>417,925</v>
      </c>
      <c r="D327" s="6">
        <f t="shared" si="3"/>
        <v>417.925</v>
      </c>
      <c r="E327" s="6">
        <f t="shared" si="4"/>
        <v>0.332</v>
      </c>
    </row>
    <row r="328">
      <c r="A328" s="4" t="s">
        <v>7872</v>
      </c>
      <c r="B328" s="6" t="str">
        <f t="shared" si="1"/>
        <v>418.263</v>
      </c>
      <c r="C328" s="6" t="str">
        <f t="shared" si="2"/>
        <v>418,263</v>
      </c>
      <c r="D328" s="6">
        <f t="shared" si="3"/>
        <v>418.263</v>
      </c>
      <c r="E328" s="6">
        <f t="shared" si="4"/>
        <v>0.338</v>
      </c>
    </row>
    <row r="329">
      <c r="A329" s="4" t="s">
        <v>7873</v>
      </c>
      <c r="B329" s="6" t="str">
        <f t="shared" si="1"/>
        <v>426.933</v>
      </c>
      <c r="C329" s="6" t="str">
        <f t="shared" si="2"/>
        <v>426,933</v>
      </c>
      <c r="D329" s="6">
        <f t="shared" si="3"/>
        <v>426.933</v>
      </c>
      <c r="E329" s="6">
        <f t="shared" si="4"/>
        <v>8.67</v>
      </c>
    </row>
    <row r="330">
      <c r="A330" s="4" t="s">
        <v>7874</v>
      </c>
      <c r="B330" s="6" t="str">
        <f t="shared" si="1"/>
        <v>427.293</v>
      </c>
      <c r="C330" s="6" t="str">
        <f t="shared" si="2"/>
        <v>427,293</v>
      </c>
      <c r="D330" s="6">
        <f t="shared" si="3"/>
        <v>427.293</v>
      </c>
      <c r="E330" s="6">
        <f t="shared" si="4"/>
        <v>0.36</v>
      </c>
    </row>
    <row r="331">
      <c r="A331" s="4" t="s">
        <v>7875</v>
      </c>
      <c r="B331" s="6" t="str">
        <f t="shared" si="1"/>
        <v>427.624</v>
      </c>
      <c r="C331" s="6" t="str">
        <f t="shared" si="2"/>
        <v>427,624</v>
      </c>
      <c r="D331" s="6">
        <f t="shared" si="3"/>
        <v>427.624</v>
      </c>
      <c r="E331" s="6">
        <f t="shared" si="4"/>
        <v>0.331</v>
      </c>
    </row>
    <row r="332">
      <c r="A332" s="4" t="s">
        <v>7876</v>
      </c>
      <c r="B332" s="6" t="str">
        <f t="shared" si="1"/>
        <v>427.972</v>
      </c>
      <c r="C332" s="6" t="str">
        <f t="shared" si="2"/>
        <v>427,972</v>
      </c>
      <c r="D332" s="6">
        <f t="shared" si="3"/>
        <v>427.972</v>
      </c>
      <c r="E332" s="6">
        <f t="shared" si="4"/>
        <v>0.348</v>
      </c>
    </row>
    <row r="333">
      <c r="A333" s="4" t="s">
        <v>7877</v>
      </c>
      <c r="B333" s="6" t="str">
        <f t="shared" si="1"/>
        <v>428.288</v>
      </c>
      <c r="C333" s="6" t="str">
        <f t="shared" si="2"/>
        <v>428,288</v>
      </c>
      <c r="D333" s="6">
        <f t="shared" si="3"/>
        <v>428.288</v>
      </c>
      <c r="E333" s="6">
        <f t="shared" si="4"/>
        <v>0.316</v>
      </c>
    </row>
    <row r="334">
      <c r="A334" s="4" t="s">
        <v>7878</v>
      </c>
      <c r="B334" s="6" t="str">
        <f t="shared" si="1"/>
        <v>428.613</v>
      </c>
      <c r="C334" s="6" t="str">
        <f t="shared" si="2"/>
        <v>428,613</v>
      </c>
      <c r="D334" s="6">
        <f t="shared" si="3"/>
        <v>428.613</v>
      </c>
      <c r="E334" s="6">
        <f t="shared" si="4"/>
        <v>0.325</v>
      </c>
    </row>
    <row r="335">
      <c r="A335" s="4" t="s">
        <v>7879</v>
      </c>
      <c r="B335" s="6" t="str">
        <f t="shared" si="1"/>
        <v>428.914</v>
      </c>
      <c r="C335" s="6" t="str">
        <f t="shared" si="2"/>
        <v>428,914</v>
      </c>
      <c r="D335" s="6">
        <f t="shared" si="3"/>
        <v>428.914</v>
      </c>
      <c r="E335" s="6">
        <f t="shared" si="4"/>
        <v>0.301</v>
      </c>
    </row>
    <row r="336">
      <c r="A336" s="4" t="s">
        <v>7880</v>
      </c>
      <c r="B336" s="6" t="str">
        <f t="shared" si="1"/>
        <v>429.243</v>
      </c>
      <c r="C336" s="6" t="str">
        <f t="shared" si="2"/>
        <v>429,243</v>
      </c>
      <c r="D336" s="6">
        <f t="shared" si="3"/>
        <v>429.243</v>
      </c>
      <c r="E336" s="6">
        <f t="shared" si="4"/>
        <v>0.329</v>
      </c>
    </row>
    <row r="337">
      <c r="A337" s="4" t="s">
        <v>7881</v>
      </c>
      <c r="B337" s="6" t="str">
        <f t="shared" si="1"/>
        <v>429.557</v>
      </c>
      <c r="C337" s="6" t="str">
        <f t="shared" si="2"/>
        <v>429,557</v>
      </c>
      <c r="D337" s="6">
        <f t="shared" si="3"/>
        <v>429.557</v>
      </c>
      <c r="E337" s="6">
        <f t="shared" si="4"/>
        <v>0.314</v>
      </c>
    </row>
    <row r="338">
      <c r="A338" s="4" t="s">
        <v>7882</v>
      </c>
      <c r="B338" s="6" t="str">
        <f t="shared" si="1"/>
        <v>429.903</v>
      </c>
      <c r="C338" s="6" t="str">
        <f t="shared" si="2"/>
        <v>429,903</v>
      </c>
      <c r="D338" s="6">
        <f t="shared" si="3"/>
        <v>429.903</v>
      </c>
      <c r="E338" s="6">
        <f t="shared" si="4"/>
        <v>0.346</v>
      </c>
    </row>
    <row r="339">
      <c r="A339" s="4" t="s">
        <v>7883</v>
      </c>
      <c r="B339" s="6" t="str">
        <f t="shared" si="1"/>
        <v>430.214</v>
      </c>
      <c r="C339" s="6" t="str">
        <f t="shared" si="2"/>
        <v>430,214</v>
      </c>
      <c r="D339" s="6">
        <f t="shared" si="3"/>
        <v>430.214</v>
      </c>
      <c r="E339" s="6">
        <f t="shared" si="4"/>
        <v>0.311</v>
      </c>
    </row>
    <row r="340">
      <c r="A340" s="4" t="s">
        <v>7884</v>
      </c>
      <c r="B340" s="6" t="str">
        <f t="shared" si="1"/>
        <v>430.533</v>
      </c>
      <c r="C340" s="6" t="str">
        <f t="shared" si="2"/>
        <v>430,533</v>
      </c>
      <c r="D340" s="6">
        <f t="shared" si="3"/>
        <v>430.533</v>
      </c>
      <c r="E340" s="6">
        <f t="shared" si="4"/>
        <v>0.319</v>
      </c>
    </row>
    <row r="341">
      <c r="A341" s="4" t="s">
        <v>7885</v>
      </c>
      <c r="B341" s="6" t="str">
        <f t="shared" si="1"/>
        <v>430.858</v>
      </c>
      <c r="C341" s="6" t="str">
        <f t="shared" si="2"/>
        <v>430,858</v>
      </c>
      <c r="D341" s="6">
        <f t="shared" si="3"/>
        <v>430.858</v>
      </c>
      <c r="E341" s="6">
        <f t="shared" si="4"/>
        <v>0.325</v>
      </c>
    </row>
    <row r="342">
      <c r="A342" s="4" t="s">
        <v>7886</v>
      </c>
      <c r="B342" s="6" t="str">
        <f t="shared" si="1"/>
        <v>431.170</v>
      </c>
      <c r="C342" s="6" t="str">
        <f t="shared" si="2"/>
        <v>431,170</v>
      </c>
      <c r="D342" s="6">
        <f t="shared" si="3"/>
        <v>431.17</v>
      </c>
      <c r="E342" s="6">
        <f t="shared" si="4"/>
        <v>0.312</v>
      </c>
    </row>
    <row r="343">
      <c r="A343" s="4" t="s">
        <v>7887</v>
      </c>
      <c r="B343" s="6" t="str">
        <f t="shared" si="1"/>
        <v>431.512</v>
      </c>
      <c r="C343" s="6" t="str">
        <f t="shared" si="2"/>
        <v>431,512</v>
      </c>
      <c r="D343" s="6">
        <f t="shared" si="3"/>
        <v>431.512</v>
      </c>
      <c r="E343" s="6">
        <f t="shared" si="4"/>
        <v>0.342</v>
      </c>
    </row>
    <row r="344">
      <c r="A344" s="4" t="s">
        <v>7888</v>
      </c>
      <c r="B344" s="6" t="str">
        <f t="shared" si="1"/>
        <v>436.133</v>
      </c>
      <c r="C344" s="6" t="str">
        <f t="shared" si="2"/>
        <v>436,133</v>
      </c>
      <c r="D344" s="6">
        <f t="shared" si="3"/>
        <v>436.133</v>
      </c>
      <c r="E344" s="6">
        <f t="shared" si="4"/>
        <v>4.621</v>
      </c>
    </row>
    <row r="345">
      <c r="A345" s="4" t="s">
        <v>7889</v>
      </c>
      <c r="B345" s="6" t="str">
        <f t="shared" si="1"/>
        <v>436.459</v>
      </c>
      <c r="C345" s="6" t="str">
        <f t="shared" si="2"/>
        <v>436,459</v>
      </c>
      <c r="D345" s="6">
        <f t="shared" si="3"/>
        <v>436.459</v>
      </c>
      <c r="E345" s="6">
        <f t="shared" si="4"/>
        <v>0.326</v>
      </c>
    </row>
    <row r="346">
      <c r="A346" s="4" t="s">
        <v>7890</v>
      </c>
      <c r="B346" s="6" t="str">
        <f t="shared" si="1"/>
        <v>436.780</v>
      </c>
      <c r="C346" s="6" t="str">
        <f t="shared" si="2"/>
        <v>436,780</v>
      </c>
      <c r="D346" s="6">
        <f t="shared" si="3"/>
        <v>436.78</v>
      </c>
      <c r="E346" s="6">
        <f t="shared" si="4"/>
        <v>0.321</v>
      </c>
    </row>
    <row r="347">
      <c r="A347" s="4" t="s">
        <v>7891</v>
      </c>
      <c r="B347" s="6" t="str">
        <f t="shared" si="1"/>
        <v>437.088</v>
      </c>
      <c r="C347" s="6" t="str">
        <f t="shared" si="2"/>
        <v>437,088</v>
      </c>
      <c r="D347" s="6">
        <f t="shared" si="3"/>
        <v>437.088</v>
      </c>
      <c r="E347" s="6">
        <f t="shared" si="4"/>
        <v>0.308</v>
      </c>
    </row>
    <row r="348">
      <c r="A348" s="4" t="s">
        <v>7892</v>
      </c>
      <c r="B348" s="6" t="str">
        <f t="shared" si="1"/>
        <v>437.400</v>
      </c>
      <c r="C348" s="6" t="str">
        <f t="shared" si="2"/>
        <v>437,400</v>
      </c>
      <c r="D348" s="6">
        <f t="shared" si="3"/>
        <v>437.4</v>
      </c>
      <c r="E348" s="6">
        <f t="shared" si="4"/>
        <v>0.312</v>
      </c>
    </row>
    <row r="349">
      <c r="A349" s="4" t="s">
        <v>7893</v>
      </c>
      <c r="B349" s="6" t="str">
        <f t="shared" si="1"/>
        <v>437.694</v>
      </c>
      <c r="C349" s="6" t="str">
        <f t="shared" si="2"/>
        <v>437,694</v>
      </c>
      <c r="D349" s="6">
        <f t="shared" si="3"/>
        <v>437.694</v>
      </c>
      <c r="E349" s="6">
        <f t="shared" si="4"/>
        <v>0.294</v>
      </c>
    </row>
    <row r="350">
      <c r="A350" s="4" t="s">
        <v>7894</v>
      </c>
      <c r="B350" s="6" t="str">
        <f t="shared" si="1"/>
        <v>438.034</v>
      </c>
      <c r="C350" s="6" t="str">
        <f t="shared" si="2"/>
        <v>438,034</v>
      </c>
      <c r="D350" s="6">
        <f t="shared" si="3"/>
        <v>438.034</v>
      </c>
      <c r="E350" s="6">
        <f t="shared" si="4"/>
        <v>0.34</v>
      </c>
    </row>
    <row r="351">
      <c r="A351" s="4" t="s">
        <v>7895</v>
      </c>
      <c r="B351" s="6" t="str">
        <f t="shared" si="1"/>
        <v>438.414</v>
      </c>
      <c r="C351" s="6" t="str">
        <f t="shared" si="2"/>
        <v>438,414</v>
      </c>
      <c r="D351" s="6">
        <f t="shared" si="3"/>
        <v>438.414</v>
      </c>
      <c r="E351" s="6">
        <f t="shared" si="4"/>
        <v>0.38</v>
      </c>
    </row>
    <row r="352">
      <c r="A352" s="4" t="s">
        <v>7896</v>
      </c>
      <c r="B352" s="6" t="str">
        <f t="shared" si="1"/>
        <v>438.728</v>
      </c>
      <c r="C352" s="6" t="str">
        <f t="shared" si="2"/>
        <v>438,728</v>
      </c>
      <c r="D352" s="6">
        <f t="shared" si="3"/>
        <v>438.728</v>
      </c>
      <c r="E352" s="6">
        <f t="shared" si="4"/>
        <v>0.314</v>
      </c>
    </row>
    <row r="353">
      <c r="A353" s="4" t="s">
        <v>7897</v>
      </c>
      <c r="B353" s="6" t="str">
        <f t="shared" si="1"/>
        <v>442.863</v>
      </c>
      <c r="C353" s="6" t="str">
        <f t="shared" si="2"/>
        <v>442,863</v>
      </c>
      <c r="D353" s="6">
        <f t="shared" si="3"/>
        <v>442.863</v>
      </c>
      <c r="E353" s="6">
        <f t="shared" si="4"/>
        <v>4.135</v>
      </c>
    </row>
    <row r="354">
      <c r="A354" s="4" t="s">
        <v>7898</v>
      </c>
      <c r="B354" s="6" t="str">
        <f t="shared" si="1"/>
        <v>443.169</v>
      </c>
      <c r="C354" s="6" t="str">
        <f t="shared" si="2"/>
        <v>443,169</v>
      </c>
      <c r="D354" s="6">
        <f t="shared" si="3"/>
        <v>443.169</v>
      </c>
      <c r="E354" s="6">
        <f t="shared" si="4"/>
        <v>0.306</v>
      </c>
    </row>
    <row r="355">
      <c r="A355" s="4" t="s">
        <v>7899</v>
      </c>
      <c r="B355" s="6" t="str">
        <f t="shared" si="1"/>
        <v>443.512</v>
      </c>
      <c r="C355" s="6" t="str">
        <f t="shared" si="2"/>
        <v>443,512</v>
      </c>
      <c r="D355" s="6">
        <f t="shared" si="3"/>
        <v>443.512</v>
      </c>
      <c r="E355" s="6">
        <f t="shared" si="4"/>
        <v>0.343</v>
      </c>
    </row>
    <row r="356">
      <c r="A356" s="4" t="s">
        <v>7900</v>
      </c>
      <c r="B356" s="6" t="str">
        <f t="shared" si="1"/>
        <v>443.829</v>
      </c>
      <c r="C356" s="6" t="str">
        <f t="shared" si="2"/>
        <v>443,829</v>
      </c>
      <c r="D356" s="6">
        <f t="shared" si="3"/>
        <v>443.829</v>
      </c>
      <c r="E356" s="6">
        <f t="shared" si="4"/>
        <v>0.317</v>
      </c>
    </row>
    <row r="357">
      <c r="A357" s="4" t="s">
        <v>7901</v>
      </c>
      <c r="B357" s="6" t="str">
        <f t="shared" si="1"/>
        <v>444.174</v>
      </c>
      <c r="C357" s="6" t="str">
        <f t="shared" si="2"/>
        <v>444,174</v>
      </c>
      <c r="D357" s="6">
        <f t="shared" si="3"/>
        <v>444.174</v>
      </c>
      <c r="E357" s="6">
        <f t="shared" si="4"/>
        <v>0.345</v>
      </c>
    </row>
    <row r="358">
      <c r="A358" s="4" t="s">
        <v>7902</v>
      </c>
      <c r="B358" s="6" t="str">
        <f t="shared" si="1"/>
        <v>450.692</v>
      </c>
      <c r="C358" s="6" t="str">
        <f t="shared" si="2"/>
        <v>450,692</v>
      </c>
      <c r="D358" s="6">
        <f t="shared" si="3"/>
        <v>450.692</v>
      </c>
      <c r="E358" s="6">
        <f t="shared" si="4"/>
        <v>6.518</v>
      </c>
    </row>
    <row r="359">
      <c r="A359" s="4" t="s">
        <v>7903</v>
      </c>
      <c r="B359" s="6" t="str">
        <f t="shared" si="1"/>
        <v>451.007</v>
      </c>
      <c r="C359" s="6" t="str">
        <f t="shared" si="2"/>
        <v>451,007</v>
      </c>
      <c r="D359" s="6">
        <f t="shared" si="3"/>
        <v>451.007</v>
      </c>
      <c r="E359" s="6">
        <f t="shared" si="4"/>
        <v>0.315</v>
      </c>
    </row>
    <row r="360">
      <c r="A360" s="4" t="s">
        <v>7904</v>
      </c>
      <c r="B360" s="6" t="str">
        <f t="shared" si="1"/>
        <v>451.342</v>
      </c>
      <c r="C360" s="6" t="str">
        <f t="shared" si="2"/>
        <v>451,342</v>
      </c>
      <c r="D360" s="6">
        <f t="shared" si="3"/>
        <v>451.342</v>
      </c>
      <c r="E360" s="6">
        <f t="shared" si="4"/>
        <v>0.335</v>
      </c>
    </row>
    <row r="361">
      <c r="A361" s="4" t="s">
        <v>7905</v>
      </c>
      <c r="B361" s="6" t="str">
        <f t="shared" si="1"/>
        <v>451.687</v>
      </c>
      <c r="C361" s="6" t="str">
        <f t="shared" si="2"/>
        <v>451,687</v>
      </c>
      <c r="D361" s="6">
        <f t="shared" si="3"/>
        <v>451.687</v>
      </c>
      <c r="E361" s="6">
        <f t="shared" si="4"/>
        <v>0.345</v>
      </c>
    </row>
    <row r="362">
      <c r="A362" s="4" t="s">
        <v>7906</v>
      </c>
      <c r="B362" s="6" t="str">
        <f t="shared" si="1"/>
        <v>452.008</v>
      </c>
      <c r="C362" s="6" t="str">
        <f t="shared" si="2"/>
        <v>452,008</v>
      </c>
      <c r="D362" s="6">
        <f t="shared" si="3"/>
        <v>452.008</v>
      </c>
      <c r="E362" s="6">
        <f t="shared" si="4"/>
        <v>0.321</v>
      </c>
    </row>
    <row r="363">
      <c r="A363" s="4" t="s">
        <v>7907</v>
      </c>
      <c r="B363" s="6" t="str">
        <f t="shared" si="1"/>
        <v>452.337</v>
      </c>
      <c r="C363" s="6" t="str">
        <f t="shared" si="2"/>
        <v>452,337</v>
      </c>
      <c r="D363" s="6">
        <f t="shared" si="3"/>
        <v>452.337</v>
      </c>
      <c r="E363" s="6">
        <f t="shared" si="4"/>
        <v>0.329</v>
      </c>
    </row>
    <row r="364">
      <c r="A364" s="4" t="s">
        <v>7908</v>
      </c>
      <c r="B364" s="6" t="str">
        <f t="shared" si="1"/>
        <v>459.293</v>
      </c>
      <c r="C364" s="6" t="str">
        <f t="shared" si="2"/>
        <v>459,293</v>
      </c>
      <c r="D364" s="6">
        <f t="shared" si="3"/>
        <v>459.293</v>
      </c>
      <c r="E364" s="6">
        <f t="shared" si="4"/>
        <v>6.956</v>
      </c>
    </row>
    <row r="365">
      <c r="A365" s="4" t="s">
        <v>7909</v>
      </c>
      <c r="B365" s="6" t="str">
        <f t="shared" si="1"/>
        <v>459.629</v>
      </c>
      <c r="C365" s="6" t="str">
        <f t="shared" si="2"/>
        <v>459,629</v>
      </c>
      <c r="D365" s="6">
        <f t="shared" si="3"/>
        <v>459.629</v>
      </c>
      <c r="E365" s="6">
        <f t="shared" si="4"/>
        <v>0.336</v>
      </c>
    </row>
    <row r="366">
      <c r="A366" s="4" t="s">
        <v>7910</v>
      </c>
      <c r="B366" s="6" t="str">
        <f t="shared" si="1"/>
        <v>459.919</v>
      </c>
      <c r="C366" s="6" t="str">
        <f t="shared" si="2"/>
        <v>459,919</v>
      </c>
      <c r="D366" s="6">
        <f t="shared" si="3"/>
        <v>459.919</v>
      </c>
      <c r="E366" s="6">
        <f t="shared" si="4"/>
        <v>0.29</v>
      </c>
    </row>
    <row r="367">
      <c r="A367" s="4" t="s">
        <v>7911</v>
      </c>
      <c r="B367" s="6" t="str">
        <f t="shared" si="1"/>
        <v>460.252</v>
      </c>
      <c r="C367" s="6" t="str">
        <f t="shared" si="2"/>
        <v>460,252</v>
      </c>
      <c r="D367" s="6">
        <f t="shared" si="3"/>
        <v>460.252</v>
      </c>
      <c r="E367" s="6">
        <f t="shared" si="4"/>
        <v>0.333</v>
      </c>
    </row>
    <row r="368">
      <c r="A368" s="4" t="s">
        <v>7912</v>
      </c>
      <c r="B368" s="6" t="str">
        <f t="shared" si="1"/>
        <v>460.583</v>
      </c>
      <c r="C368" s="6" t="str">
        <f t="shared" si="2"/>
        <v>460,583</v>
      </c>
      <c r="D368" s="6">
        <f t="shared" si="3"/>
        <v>460.583</v>
      </c>
      <c r="E368" s="6">
        <f t="shared" si="4"/>
        <v>0.331</v>
      </c>
    </row>
    <row r="369">
      <c r="A369" s="4" t="s">
        <v>7913</v>
      </c>
      <c r="B369" s="6" t="str">
        <f t="shared" si="1"/>
        <v>460.928</v>
      </c>
      <c r="C369" s="6" t="str">
        <f t="shared" si="2"/>
        <v>460,928</v>
      </c>
      <c r="D369" s="6">
        <f t="shared" si="3"/>
        <v>460.928</v>
      </c>
      <c r="E369" s="6">
        <f t="shared" si="4"/>
        <v>0.345</v>
      </c>
    </row>
    <row r="370">
      <c r="A370" s="4" t="s">
        <v>7914</v>
      </c>
      <c r="B370" s="6" t="str">
        <f t="shared" si="1"/>
        <v>461.269</v>
      </c>
      <c r="C370" s="6" t="str">
        <f t="shared" si="2"/>
        <v>461,269</v>
      </c>
      <c r="D370" s="6">
        <f t="shared" si="3"/>
        <v>461.269</v>
      </c>
      <c r="E370" s="6">
        <f t="shared" si="4"/>
        <v>0.341</v>
      </c>
    </row>
    <row r="371">
      <c r="A371" s="4" t="s">
        <v>7915</v>
      </c>
      <c r="B371" s="6" t="str">
        <f t="shared" si="1"/>
        <v>461.595</v>
      </c>
      <c r="C371" s="6" t="str">
        <f t="shared" si="2"/>
        <v>461,595</v>
      </c>
      <c r="D371" s="6">
        <f t="shared" si="3"/>
        <v>461.595</v>
      </c>
      <c r="E371" s="6">
        <f t="shared" si="4"/>
        <v>0.326</v>
      </c>
    </row>
    <row r="372">
      <c r="A372" s="4" t="s">
        <v>7916</v>
      </c>
      <c r="B372" s="6" t="str">
        <f t="shared" si="1"/>
        <v>461.943</v>
      </c>
      <c r="C372" s="6" t="str">
        <f t="shared" si="2"/>
        <v>461,943</v>
      </c>
      <c r="D372" s="6">
        <f t="shared" si="3"/>
        <v>461.943</v>
      </c>
      <c r="E372" s="6">
        <f t="shared" si="4"/>
        <v>0.348</v>
      </c>
    </row>
    <row r="373">
      <c r="A373" s="4" t="s">
        <v>7917</v>
      </c>
      <c r="B373" s="6" t="str">
        <f t="shared" si="1"/>
        <v>462.280</v>
      </c>
      <c r="C373" s="6" t="str">
        <f t="shared" si="2"/>
        <v>462,280</v>
      </c>
      <c r="D373" s="6">
        <f t="shared" si="3"/>
        <v>462.28</v>
      </c>
      <c r="E373" s="6">
        <f t="shared" si="4"/>
        <v>0.337</v>
      </c>
    </row>
    <row r="374">
      <c r="A374" s="4" t="s">
        <v>7918</v>
      </c>
      <c r="B374" s="6" t="str">
        <f t="shared" si="1"/>
        <v>462.624</v>
      </c>
      <c r="C374" s="6" t="str">
        <f t="shared" si="2"/>
        <v>462,624</v>
      </c>
      <c r="D374" s="6">
        <f t="shared" si="3"/>
        <v>462.624</v>
      </c>
      <c r="E374" s="6">
        <f t="shared" si="4"/>
        <v>0.344</v>
      </c>
    </row>
    <row r="375">
      <c r="A375" s="4" t="s">
        <v>7919</v>
      </c>
      <c r="B375" s="6" t="str">
        <f t="shared" si="1"/>
        <v>469.050</v>
      </c>
      <c r="C375" s="6" t="str">
        <f t="shared" si="2"/>
        <v>469,050</v>
      </c>
      <c r="D375" s="6">
        <f t="shared" si="3"/>
        <v>469.05</v>
      </c>
      <c r="E375" s="6">
        <f t="shared" si="4"/>
        <v>6.426</v>
      </c>
    </row>
    <row r="376">
      <c r="A376" s="4" t="s">
        <v>7920</v>
      </c>
      <c r="B376" s="6" t="str">
        <f t="shared" si="1"/>
        <v>469.396</v>
      </c>
      <c r="C376" s="6" t="str">
        <f t="shared" si="2"/>
        <v>469,396</v>
      </c>
      <c r="D376" s="6">
        <f t="shared" si="3"/>
        <v>469.396</v>
      </c>
      <c r="E376" s="6">
        <f t="shared" si="4"/>
        <v>0.346</v>
      </c>
    </row>
    <row r="377">
      <c r="A377" s="4" t="s">
        <v>7921</v>
      </c>
      <c r="B377" s="6" t="str">
        <f t="shared" si="1"/>
        <v>469.765</v>
      </c>
      <c r="C377" s="6" t="str">
        <f t="shared" si="2"/>
        <v>469,765</v>
      </c>
      <c r="D377" s="6">
        <f t="shared" si="3"/>
        <v>469.765</v>
      </c>
      <c r="E377" s="6">
        <f t="shared" si="4"/>
        <v>0.369</v>
      </c>
    </row>
    <row r="378">
      <c r="A378" s="4" t="s">
        <v>7922</v>
      </c>
      <c r="B378" s="6" t="str">
        <f t="shared" si="1"/>
        <v>470.072</v>
      </c>
      <c r="C378" s="6" t="str">
        <f t="shared" si="2"/>
        <v>470,072</v>
      </c>
      <c r="D378" s="6">
        <f t="shared" si="3"/>
        <v>470.072</v>
      </c>
      <c r="E378" s="6">
        <f t="shared" si="4"/>
        <v>0.307</v>
      </c>
    </row>
    <row r="379">
      <c r="A379" s="4" t="s">
        <v>7923</v>
      </c>
      <c r="B379" s="6" t="str">
        <f t="shared" si="1"/>
        <v>470.424</v>
      </c>
      <c r="C379" s="6" t="str">
        <f t="shared" si="2"/>
        <v>470,424</v>
      </c>
      <c r="D379" s="6">
        <f t="shared" si="3"/>
        <v>470.424</v>
      </c>
      <c r="E379" s="6">
        <f t="shared" si="4"/>
        <v>0.352</v>
      </c>
    </row>
    <row r="380">
      <c r="A380" s="4" t="s">
        <v>7924</v>
      </c>
      <c r="B380" s="6" t="str">
        <f t="shared" si="1"/>
        <v>470.760</v>
      </c>
      <c r="C380" s="6" t="str">
        <f t="shared" si="2"/>
        <v>470,760</v>
      </c>
      <c r="D380" s="6">
        <f t="shared" si="3"/>
        <v>470.76</v>
      </c>
      <c r="E380" s="6">
        <f t="shared" si="4"/>
        <v>0.336</v>
      </c>
    </row>
    <row r="381">
      <c r="A381" s="4" t="s">
        <v>7925</v>
      </c>
      <c r="B381" s="6" t="str">
        <f t="shared" si="1"/>
        <v>471.110</v>
      </c>
      <c r="C381" s="6" t="str">
        <f t="shared" si="2"/>
        <v>471,110</v>
      </c>
      <c r="D381" s="6">
        <f t="shared" si="3"/>
        <v>471.11</v>
      </c>
      <c r="E381" s="6">
        <f t="shared" si="4"/>
        <v>0.35</v>
      </c>
    </row>
    <row r="382">
      <c r="A382" s="4" t="s">
        <v>7926</v>
      </c>
      <c r="B382" s="6" t="str">
        <f t="shared" si="1"/>
        <v>471.419</v>
      </c>
      <c r="C382" s="6" t="str">
        <f t="shared" si="2"/>
        <v>471,419</v>
      </c>
      <c r="D382" s="6">
        <f t="shared" si="3"/>
        <v>471.419</v>
      </c>
      <c r="E382" s="6">
        <f t="shared" si="4"/>
        <v>0.309</v>
      </c>
    </row>
    <row r="383">
      <c r="A383" s="4" t="s">
        <v>7927</v>
      </c>
      <c r="B383" s="6" t="str">
        <f t="shared" si="1"/>
        <v>471.738</v>
      </c>
      <c r="C383" s="6" t="str">
        <f t="shared" si="2"/>
        <v>471,738</v>
      </c>
      <c r="D383" s="6">
        <f t="shared" si="3"/>
        <v>471.738</v>
      </c>
      <c r="E383" s="6">
        <f t="shared" si="4"/>
        <v>0.319</v>
      </c>
    </row>
    <row r="384">
      <c r="A384" s="4" t="s">
        <v>7928</v>
      </c>
      <c r="B384" s="6" t="str">
        <f t="shared" si="1"/>
        <v>478.066</v>
      </c>
      <c r="C384" s="6" t="str">
        <f t="shared" si="2"/>
        <v>478,066</v>
      </c>
      <c r="D384" s="6">
        <f t="shared" si="3"/>
        <v>478.066</v>
      </c>
      <c r="E384" s="6">
        <f t="shared" si="4"/>
        <v>6.328</v>
      </c>
    </row>
    <row r="385">
      <c r="A385" s="4" t="s">
        <v>7929</v>
      </c>
      <c r="B385" s="6" t="str">
        <f t="shared" si="1"/>
        <v>478.421</v>
      </c>
      <c r="C385" s="6" t="str">
        <f t="shared" si="2"/>
        <v>478,421</v>
      </c>
      <c r="D385" s="6">
        <f t="shared" si="3"/>
        <v>478.421</v>
      </c>
      <c r="E385" s="6">
        <f t="shared" si="4"/>
        <v>0.355</v>
      </c>
    </row>
    <row r="386">
      <c r="A386" s="4" t="s">
        <v>7930</v>
      </c>
      <c r="B386" s="6" t="str">
        <f t="shared" si="1"/>
        <v>478.752</v>
      </c>
      <c r="C386" s="6" t="str">
        <f t="shared" si="2"/>
        <v>478,752</v>
      </c>
      <c r="D386" s="6">
        <f t="shared" si="3"/>
        <v>478.752</v>
      </c>
      <c r="E386" s="6">
        <f t="shared" si="4"/>
        <v>0.331</v>
      </c>
    </row>
    <row r="387">
      <c r="A387" s="4" t="s">
        <v>7931</v>
      </c>
      <c r="B387" s="6" t="str">
        <f t="shared" si="1"/>
        <v>479.059</v>
      </c>
      <c r="C387" s="6" t="str">
        <f t="shared" si="2"/>
        <v>479,059</v>
      </c>
      <c r="D387" s="6">
        <f t="shared" si="3"/>
        <v>479.059</v>
      </c>
      <c r="E387" s="6">
        <f t="shared" si="4"/>
        <v>0.307</v>
      </c>
    </row>
    <row r="388">
      <c r="A388" s="4" t="s">
        <v>7932</v>
      </c>
      <c r="B388" s="6" t="str">
        <f t="shared" si="1"/>
        <v>479.367</v>
      </c>
      <c r="C388" s="6" t="str">
        <f t="shared" si="2"/>
        <v>479,367</v>
      </c>
      <c r="D388" s="6">
        <f t="shared" si="3"/>
        <v>479.367</v>
      </c>
      <c r="E388" s="6">
        <f t="shared" si="4"/>
        <v>0.308</v>
      </c>
    </row>
    <row r="389">
      <c r="A389" s="4" t="s">
        <v>7933</v>
      </c>
      <c r="B389" s="6" t="str">
        <f t="shared" si="1"/>
        <v>479.698</v>
      </c>
      <c r="C389" s="6" t="str">
        <f t="shared" si="2"/>
        <v>479,698</v>
      </c>
      <c r="D389" s="6">
        <f t="shared" si="3"/>
        <v>479.698</v>
      </c>
      <c r="E389" s="6">
        <f t="shared" si="4"/>
        <v>0.331</v>
      </c>
    </row>
    <row r="390">
      <c r="A390" s="4" t="s">
        <v>7934</v>
      </c>
      <c r="B390" s="6" t="str">
        <f t="shared" si="1"/>
        <v>480.086</v>
      </c>
      <c r="C390" s="6" t="str">
        <f t="shared" si="2"/>
        <v>480,086</v>
      </c>
      <c r="D390" s="6">
        <f t="shared" si="3"/>
        <v>480.086</v>
      </c>
      <c r="E390" s="6">
        <f t="shared" si="4"/>
        <v>0.388</v>
      </c>
    </row>
    <row r="391">
      <c r="A391" s="4" t="s">
        <v>7935</v>
      </c>
      <c r="B391" s="6" t="str">
        <f t="shared" si="1"/>
        <v>480.439</v>
      </c>
      <c r="C391" s="6" t="str">
        <f t="shared" si="2"/>
        <v>480,439</v>
      </c>
      <c r="D391" s="6">
        <f t="shared" si="3"/>
        <v>480.439</v>
      </c>
      <c r="E391" s="6">
        <f t="shared" si="4"/>
        <v>0.353</v>
      </c>
    </row>
    <row r="392">
      <c r="A392" s="4" t="s">
        <v>7936</v>
      </c>
      <c r="B392" s="6" t="str">
        <f t="shared" si="1"/>
        <v>485.569</v>
      </c>
      <c r="C392" s="6" t="str">
        <f t="shared" si="2"/>
        <v>485,569</v>
      </c>
      <c r="D392" s="6">
        <f t="shared" si="3"/>
        <v>485.569</v>
      </c>
      <c r="E392" s="6">
        <f t="shared" si="4"/>
        <v>5.13</v>
      </c>
    </row>
    <row r="393">
      <c r="A393" s="4" t="s">
        <v>7937</v>
      </c>
      <c r="B393" s="6" t="str">
        <f t="shared" si="1"/>
        <v>485.888</v>
      </c>
      <c r="C393" s="6" t="str">
        <f t="shared" si="2"/>
        <v>485,888</v>
      </c>
      <c r="D393" s="6">
        <f t="shared" si="3"/>
        <v>485.888</v>
      </c>
      <c r="E393" s="6">
        <f t="shared" si="4"/>
        <v>0.319</v>
      </c>
    </row>
    <row r="394">
      <c r="A394" s="4" t="s">
        <v>7938</v>
      </c>
      <c r="B394" s="6" t="str">
        <f t="shared" si="1"/>
        <v>486.192</v>
      </c>
      <c r="C394" s="6" t="str">
        <f t="shared" si="2"/>
        <v>486,192</v>
      </c>
      <c r="D394" s="6">
        <f t="shared" si="3"/>
        <v>486.192</v>
      </c>
      <c r="E394" s="6">
        <f t="shared" si="4"/>
        <v>0.304</v>
      </c>
    </row>
    <row r="395">
      <c r="A395" s="4" t="s">
        <v>7939</v>
      </c>
      <c r="B395" s="6" t="str">
        <f t="shared" si="1"/>
        <v>486.485</v>
      </c>
      <c r="C395" s="6" t="str">
        <f t="shared" si="2"/>
        <v>486,485</v>
      </c>
      <c r="D395" s="6">
        <f t="shared" si="3"/>
        <v>486.485</v>
      </c>
      <c r="E395" s="6">
        <f t="shared" si="4"/>
        <v>0.293</v>
      </c>
    </row>
    <row r="396">
      <c r="A396" s="4" t="s">
        <v>7940</v>
      </c>
      <c r="B396" s="6" t="str">
        <f t="shared" si="1"/>
        <v>486.806</v>
      </c>
      <c r="C396" s="6" t="str">
        <f t="shared" si="2"/>
        <v>486,806</v>
      </c>
      <c r="D396" s="6">
        <f t="shared" si="3"/>
        <v>486.806</v>
      </c>
      <c r="E396" s="6">
        <f t="shared" si="4"/>
        <v>0.321</v>
      </c>
    </row>
    <row r="397">
      <c r="A397" s="4" t="s">
        <v>7941</v>
      </c>
      <c r="B397" s="6" t="str">
        <f t="shared" si="1"/>
        <v>487.116</v>
      </c>
      <c r="C397" s="6" t="str">
        <f t="shared" si="2"/>
        <v>487,116</v>
      </c>
      <c r="D397" s="6">
        <f t="shared" si="3"/>
        <v>487.116</v>
      </c>
      <c r="E397" s="6">
        <f t="shared" si="4"/>
        <v>0.31</v>
      </c>
    </row>
    <row r="398">
      <c r="A398" s="4" t="s">
        <v>7942</v>
      </c>
      <c r="B398" s="6" t="str">
        <f t="shared" si="1"/>
        <v>487.429</v>
      </c>
      <c r="C398" s="6" t="str">
        <f t="shared" si="2"/>
        <v>487,429</v>
      </c>
      <c r="D398" s="6">
        <f t="shared" si="3"/>
        <v>487.429</v>
      </c>
      <c r="E398" s="6">
        <f t="shared" si="4"/>
        <v>0.313</v>
      </c>
    </row>
    <row r="399">
      <c r="A399" s="4" t="s">
        <v>7943</v>
      </c>
      <c r="B399" s="6" t="str">
        <f t="shared" si="1"/>
        <v>487.719</v>
      </c>
      <c r="C399" s="6" t="str">
        <f t="shared" si="2"/>
        <v>487,719</v>
      </c>
      <c r="D399" s="6">
        <f t="shared" si="3"/>
        <v>487.719</v>
      </c>
      <c r="E399" s="6">
        <f t="shared" si="4"/>
        <v>0.29</v>
      </c>
    </row>
    <row r="400">
      <c r="A400" s="4" t="s">
        <v>7944</v>
      </c>
      <c r="B400" s="6" t="str">
        <f t="shared" si="1"/>
        <v>488.010</v>
      </c>
      <c r="C400" s="6" t="str">
        <f t="shared" si="2"/>
        <v>488,010</v>
      </c>
      <c r="D400" s="6">
        <f t="shared" si="3"/>
        <v>488.01</v>
      </c>
      <c r="E400" s="6">
        <f t="shared" si="4"/>
        <v>0.291</v>
      </c>
    </row>
    <row r="401">
      <c r="A401" s="4" t="s">
        <v>7945</v>
      </c>
      <c r="B401" s="6" t="str">
        <f t="shared" si="1"/>
        <v>493.090</v>
      </c>
      <c r="C401" s="6" t="str">
        <f t="shared" si="2"/>
        <v>493,090</v>
      </c>
      <c r="D401" s="6">
        <f t="shared" si="3"/>
        <v>493.09</v>
      </c>
      <c r="E401" s="6">
        <f t="shared" si="4"/>
        <v>5.08</v>
      </c>
    </row>
    <row r="402">
      <c r="A402" s="4" t="s">
        <v>7946</v>
      </c>
      <c r="B402" s="6" t="str">
        <f t="shared" si="1"/>
        <v>493.414</v>
      </c>
      <c r="C402" s="6" t="str">
        <f t="shared" si="2"/>
        <v>493,414</v>
      </c>
      <c r="D402" s="6">
        <f t="shared" si="3"/>
        <v>493.414</v>
      </c>
      <c r="E402" s="6">
        <f t="shared" si="4"/>
        <v>0.324</v>
      </c>
    </row>
    <row r="403">
      <c r="A403" s="4" t="s">
        <v>7947</v>
      </c>
      <c r="B403" s="6" t="str">
        <f t="shared" si="1"/>
        <v>493.786</v>
      </c>
      <c r="C403" s="6" t="str">
        <f t="shared" si="2"/>
        <v>493,786</v>
      </c>
      <c r="D403" s="6">
        <f t="shared" si="3"/>
        <v>493.786</v>
      </c>
      <c r="E403" s="6">
        <f t="shared" si="4"/>
        <v>0.372</v>
      </c>
    </row>
    <row r="404">
      <c r="A404" s="4" t="s">
        <v>7948</v>
      </c>
      <c r="B404" s="6" t="str">
        <f t="shared" si="1"/>
        <v>494.118</v>
      </c>
      <c r="C404" s="6" t="str">
        <f t="shared" si="2"/>
        <v>494,118</v>
      </c>
      <c r="D404" s="6">
        <f t="shared" si="3"/>
        <v>494.118</v>
      </c>
      <c r="E404" s="6">
        <f t="shared" si="4"/>
        <v>0.332</v>
      </c>
    </row>
    <row r="405">
      <c r="A405" s="4" t="s">
        <v>7949</v>
      </c>
      <c r="B405" s="6" t="str">
        <f t="shared" si="1"/>
        <v>494.424</v>
      </c>
      <c r="C405" s="6" t="str">
        <f t="shared" si="2"/>
        <v>494,424</v>
      </c>
      <c r="D405" s="6">
        <f t="shared" si="3"/>
        <v>494.424</v>
      </c>
      <c r="E405" s="6">
        <f t="shared" si="4"/>
        <v>0.306</v>
      </c>
    </row>
    <row r="406">
      <c r="A406" s="4" t="s">
        <v>7950</v>
      </c>
      <c r="B406" s="6" t="str">
        <f t="shared" si="1"/>
        <v>500.812</v>
      </c>
      <c r="C406" s="6" t="str">
        <f t="shared" si="2"/>
        <v>500,812</v>
      </c>
      <c r="D406" s="6">
        <f t="shared" si="3"/>
        <v>500.812</v>
      </c>
      <c r="E406" s="6">
        <f t="shared" si="4"/>
        <v>6.388</v>
      </c>
    </row>
    <row r="407">
      <c r="A407" s="4" t="s">
        <v>7951</v>
      </c>
      <c r="B407" s="6" t="str">
        <f t="shared" si="1"/>
        <v>501.127</v>
      </c>
      <c r="C407" s="6" t="str">
        <f t="shared" si="2"/>
        <v>501,127</v>
      </c>
      <c r="D407" s="6">
        <f t="shared" si="3"/>
        <v>501.127</v>
      </c>
      <c r="E407" s="6">
        <f t="shared" si="4"/>
        <v>0.315</v>
      </c>
    </row>
    <row r="408">
      <c r="A408" s="4" t="s">
        <v>7952</v>
      </c>
      <c r="B408" s="6" t="str">
        <f t="shared" si="1"/>
        <v>501.435</v>
      </c>
      <c r="C408" s="6" t="str">
        <f t="shared" si="2"/>
        <v>501,435</v>
      </c>
      <c r="D408" s="6">
        <f t="shared" si="3"/>
        <v>501.435</v>
      </c>
      <c r="E408" s="6">
        <f t="shared" si="4"/>
        <v>0.308</v>
      </c>
    </row>
    <row r="409">
      <c r="A409" s="4" t="s">
        <v>7953</v>
      </c>
      <c r="B409" s="6" t="str">
        <f t="shared" si="1"/>
        <v>501.749</v>
      </c>
      <c r="C409" s="6" t="str">
        <f t="shared" si="2"/>
        <v>501,749</v>
      </c>
      <c r="D409" s="6">
        <f t="shared" si="3"/>
        <v>501.749</v>
      </c>
      <c r="E409" s="6">
        <f t="shared" si="4"/>
        <v>0.314</v>
      </c>
    </row>
    <row r="410">
      <c r="A410" s="4" t="s">
        <v>7954</v>
      </c>
      <c r="B410" s="6" t="str">
        <f t="shared" si="1"/>
        <v>502.070</v>
      </c>
      <c r="C410" s="6" t="str">
        <f t="shared" si="2"/>
        <v>502,070</v>
      </c>
      <c r="D410" s="6">
        <f t="shared" si="3"/>
        <v>502.07</v>
      </c>
      <c r="E410" s="6">
        <f t="shared" si="4"/>
        <v>0.321</v>
      </c>
    </row>
    <row r="411">
      <c r="A411" s="4" t="s">
        <v>7955</v>
      </c>
      <c r="B411" s="6" t="str">
        <f t="shared" si="1"/>
        <v>502.364</v>
      </c>
      <c r="C411" s="6" t="str">
        <f t="shared" si="2"/>
        <v>502,364</v>
      </c>
      <c r="D411" s="6">
        <f t="shared" si="3"/>
        <v>502.364</v>
      </c>
      <c r="E411" s="6">
        <f t="shared" si="4"/>
        <v>0.294</v>
      </c>
    </row>
    <row r="412">
      <c r="A412" s="4" t="s">
        <v>7956</v>
      </c>
      <c r="B412" s="6" t="str">
        <f t="shared" si="1"/>
        <v>502.668</v>
      </c>
      <c r="C412" s="6" t="str">
        <f t="shared" si="2"/>
        <v>502,668</v>
      </c>
      <c r="D412" s="6">
        <f t="shared" si="3"/>
        <v>502.668</v>
      </c>
      <c r="E412" s="6">
        <f t="shared" si="4"/>
        <v>0.304</v>
      </c>
    </row>
    <row r="413">
      <c r="A413" s="4" t="s">
        <v>7957</v>
      </c>
      <c r="B413" s="6" t="str">
        <f t="shared" si="1"/>
        <v>502.985</v>
      </c>
      <c r="C413" s="6" t="str">
        <f t="shared" si="2"/>
        <v>502,985</v>
      </c>
      <c r="D413" s="6">
        <f t="shared" si="3"/>
        <v>502.985</v>
      </c>
      <c r="E413" s="6">
        <f t="shared" si="4"/>
        <v>0.317</v>
      </c>
    </row>
    <row r="414">
      <c r="A414" s="4" t="s">
        <v>7958</v>
      </c>
      <c r="B414" s="6" t="str">
        <f t="shared" si="1"/>
        <v>509.062</v>
      </c>
      <c r="C414" s="6" t="str">
        <f t="shared" si="2"/>
        <v>509,062</v>
      </c>
      <c r="D414" s="6">
        <f t="shared" si="3"/>
        <v>509.062</v>
      </c>
      <c r="E414" s="6">
        <f t="shared" si="4"/>
        <v>6.077</v>
      </c>
    </row>
    <row r="415">
      <c r="A415" s="4" t="s">
        <v>7959</v>
      </c>
      <c r="B415" s="6" t="str">
        <f t="shared" si="1"/>
        <v>509.392</v>
      </c>
      <c r="C415" s="6" t="str">
        <f t="shared" si="2"/>
        <v>509,392</v>
      </c>
      <c r="D415" s="6">
        <f t="shared" si="3"/>
        <v>509.392</v>
      </c>
      <c r="E415" s="6">
        <f t="shared" si="4"/>
        <v>0.33</v>
      </c>
    </row>
    <row r="416">
      <c r="A416" s="4" t="s">
        <v>7960</v>
      </c>
      <c r="B416" s="6" t="str">
        <f t="shared" si="1"/>
        <v>509.690</v>
      </c>
      <c r="C416" s="6" t="str">
        <f t="shared" si="2"/>
        <v>509,690</v>
      </c>
      <c r="D416" s="6">
        <f t="shared" si="3"/>
        <v>509.69</v>
      </c>
      <c r="E416" s="6">
        <f t="shared" si="4"/>
        <v>0.298</v>
      </c>
    </row>
    <row r="417">
      <c r="A417" s="4" t="s">
        <v>7961</v>
      </c>
      <c r="B417" s="6" t="str">
        <f t="shared" si="1"/>
        <v>510.045</v>
      </c>
      <c r="C417" s="6" t="str">
        <f t="shared" si="2"/>
        <v>510,045</v>
      </c>
      <c r="D417" s="6">
        <f t="shared" si="3"/>
        <v>510.045</v>
      </c>
      <c r="E417" s="6">
        <f t="shared" si="4"/>
        <v>0.355</v>
      </c>
    </row>
    <row r="418">
      <c r="A418" s="4" t="s">
        <v>7962</v>
      </c>
      <c r="B418" s="6" t="str">
        <f t="shared" si="1"/>
        <v>510.390</v>
      </c>
      <c r="C418" s="6" t="str">
        <f t="shared" si="2"/>
        <v>510,390</v>
      </c>
      <c r="D418" s="6">
        <f t="shared" si="3"/>
        <v>510.39</v>
      </c>
      <c r="E418" s="6">
        <f t="shared" si="4"/>
        <v>0.345</v>
      </c>
    </row>
    <row r="419">
      <c r="A419" s="4" t="s">
        <v>7963</v>
      </c>
      <c r="B419" s="6" t="str">
        <f t="shared" si="1"/>
        <v>510.711</v>
      </c>
      <c r="C419" s="6" t="str">
        <f t="shared" si="2"/>
        <v>510,711</v>
      </c>
      <c r="D419" s="6">
        <f t="shared" si="3"/>
        <v>510.711</v>
      </c>
      <c r="E419" s="6">
        <f t="shared" si="4"/>
        <v>0.321</v>
      </c>
    </row>
    <row r="420">
      <c r="A420" s="4" t="s">
        <v>7964</v>
      </c>
      <c r="B420" s="6" t="str">
        <f t="shared" si="1"/>
        <v>511.021</v>
      </c>
      <c r="C420" s="6" t="str">
        <f t="shared" si="2"/>
        <v>511,021</v>
      </c>
      <c r="D420" s="6">
        <f t="shared" si="3"/>
        <v>511.021</v>
      </c>
      <c r="E420" s="6">
        <f t="shared" si="4"/>
        <v>0.31</v>
      </c>
    </row>
    <row r="421">
      <c r="A421" s="4" t="s">
        <v>7965</v>
      </c>
      <c r="B421" s="6" t="str">
        <f t="shared" si="1"/>
        <v>511.330</v>
      </c>
      <c r="C421" s="6" t="str">
        <f t="shared" si="2"/>
        <v>511,330</v>
      </c>
      <c r="D421" s="6">
        <f t="shared" si="3"/>
        <v>511.33</v>
      </c>
      <c r="E421" s="6">
        <f t="shared" si="4"/>
        <v>0.309</v>
      </c>
    </row>
    <row r="422">
      <c r="A422" s="4" t="s">
        <v>7966</v>
      </c>
      <c r="B422" s="6" t="str">
        <f t="shared" si="1"/>
        <v>518.852</v>
      </c>
      <c r="C422" s="6" t="str">
        <f t="shared" si="2"/>
        <v>518,852</v>
      </c>
      <c r="D422" s="6">
        <f t="shared" si="3"/>
        <v>518.852</v>
      </c>
      <c r="E422" s="6">
        <f t="shared" si="4"/>
        <v>7.522</v>
      </c>
    </row>
    <row r="423">
      <c r="A423" s="4" t="s">
        <v>7967</v>
      </c>
      <c r="B423" s="6" t="str">
        <f t="shared" si="1"/>
        <v>519.182</v>
      </c>
      <c r="C423" s="6" t="str">
        <f t="shared" si="2"/>
        <v>519,182</v>
      </c>
      <c r="D423" s="6">
        <f t="shared" si="3"/>
        <v>519.182</v>
      </c>
      <c r="E423" s="6">
        <f t="shared" si="4"/>
        <v>0.33</v>
      </c>
    </row>
    <row r="424">
      <c r="A424" s="4" t="s">
        <v>7968</v>
      </c>
      <c r="B424" s="6" t="str">
        <f t="shared" si="1"/>
        <v>519.486</v>
      </c>
      <c r="C424" s="6" t="str">
        <f t="shared" si="2"/>
        <v>519,486</v>
      </c>
      <c r="D424" s="6">
        <f t="shared" si="3"/>
        <v>519.486</v>
      </c>
      <c r="E424" s="6">
        <f t="shared" si="4"/>
        <v>0.304</v>
      </c>
    </row>
    <row r="425">
      <c r="A425" s="4" t="s">
        <v>7969</v>
      </c>
      <c r="B425" s="6" t="str">
        <f t="shared" si="1"/>
        <v>519.787</v>
      </c>
      <c r="C425" s="6" t="str">
        <f t="shared" si="2"/>
        <v>519,787</v>
      </c>
      <c r="D425" s="6">
        <f t="shared" si="3"/>
        <v>519.787</v>
      </c>
      <c r="E425" s="6">
        <f t="shared" si="4"/>
        <v>0.301</v>
      </c>
    </row>
    <row r="426">
      <c r="A426" s="4" t="s">
        <v>7970</v>
      </c>
      <c r="B426" s="6" t="str">
        <f t="shared" si="1"/>
        <v>520.112</v>
      </c>
      <c r="C426" s="6" t="str">
        <f t="shared" si="2"/>
        <v>520,112</v>
      </c>
      <c r="D426" s="6">
        <f t="shared" si="3"/>
        <v>520.112</v>
      </c>
      <c r="E426" s="6">
        <f t="shared" si="4"/>
        <v>0.325</v>
      </c>
    </row>
    <row r="427">
      <c r="A427" s="4" t="s">
        <v>7971</v>
      </c>
      <c r="B427" s="6" t="str">
        <f t="shared" si="1"/>
        <v>520.397</v>
      </c>
      <c r="C427" s="6" t="str">
        <f t="shared" si="2"/>
        <v>520,397</v>
      </c>
      <c r="D427" s="6">
        <f t="shared" si="3"/>
        <v>520.397</v>
      </c>
      <c r="E427" s="6">
        <f t="shared" si="4"/>
        <v>0.285</v>
      </c>
    </row>
    <row r="428">
      <c r="A428" s="4" t="s">
        <v>7972</v>
      </c>
      <c r="B428" s="6" t="str">
        <f t="shared" si="1"/>
        <v>520.718</v>
      </c>
      <c r="C428" s="6" t="str">
        <f t="shared" si="2"/>
        <v>520,718</v>
      </c>
      <c r="D428" s="6">
        <f t="shared" si="3"/>
        <v>520.718</v>
      </c>
      <c r="E428" s="6">
        <f t="shared" si="4"/>
        <v>0.321</v>
      </c>
    </row>
    <row r="429">
      <c r="A429" s="4" t="s">
        <v>7973</v>
      </c>
      <c r="B429" s="6" t="str">
        <f t="shared" si="1"/>
        <v>521.008</v>
      </c>
      <c r="C429" s="6" t="str">
        <f t="shared" si="2"/>
        <v>521,008</v>
      </c>
      <c r="D429" s="6">
        <f t="shared" si="3"/>
        <v>521.008</v>
      </c>
      <c r="E429" s="6">
        <f t="shared" si="4"/>
        <v>0.29</v>
      </c>
    </row>
    <row r="430">
      <c r="A430" s="4" t="s">
        <v>7974</v>
      </c>
      <c r="B430" s="6" t="str">
        <f t="shared" si="1"/>
        <v>521.308</v>
      </c>
      <c r="C430" s="6" t="str">
        <f t="shared" si="2"/>
        <v>521,308</v>
      </c>
      <c r="D430" s="6">
        <f t="shared" si="3"/>
        <v>521.308</v>
      </c>
      <c r="E430" s="6">
        <f t="shared" si="4"/>
        <v>0.3</v>
      </c>
    </row>
    <row r="431">
      <c r="A431" s="4" t="s">
        <v>7975</v>
      </c>
      <c r="B431" s="6" t="str">
        <f t="shared" si="1"/>
        <v>521.663</v>
      </c>
      <c r="C431" s="6" t="str">
        <f t="shared" si="2"/>
        <v>521,663</v>
      </c>
      <c r="D431" s="6">
        <f t="shared" si="3"/>
        <v>521.663</v>
      </c>
      <c r="E431" s="6">
        <f t="shared" si="4"/>
        <v>0.355</v>
      </c>
    </row>
    <row r="432">
      <c r="A432" s="4" t="s">
        <v>7976</v>
      </c>
      <c r="B432" s="6" t="str">
        <f t="shared" si="1"/>
        <v>521.965</v>
      </c>
      <c r="C432" s="6" t="str">
        <f t="shared" si="2"/>
        <v>521,965</v>
      </c>
      <c r="D432" s="6">
        <f t="shared" si="3"/>
        <v>521.965</v>
      </c>
      <c r="E432" s="6">
        <f t="shared" si="4"/>
        <v>0.302</v>
      </c>
    </row>
    <row r="433">
      <c r="A433" s="4" t="s">
        <v>7977</v>
      </c>
      <c r="B433" s="6" t="str">
        <f t="shared" si="1"/>
        <v>522.281</v>
      </c>
      <c r="C433" s="6" t="str">
        <f t="shared" si="2"/>
        <v>522,281</v>
      </c>
      <c r="D433" s="6">
        <f t="shared" si="3"/>
        <v>522.281</v>
      </c>
      <c r="E433" s="6">
        <f t="shared" si="4"/>
        <v>0.316</v>
      </c>
    </row>
    <row r="434">
      <c r="A434" s="4" t="s">
        <v>7978</v>
      </c>
      <c r="B434" s="6" t="str">
        <f t="shared" si="1"/>
        <v>529.400</v>
      </c>
      <c r="C434" s="6" t="str">
        <f t="shared" si="2"/>
        <v>529,400</v>
      </c>
      <c r="D434" s="6">
        <f t="shared" si="3"/>
        <v>529.4</v>
      </c>
      <c r="E434" s="6">
        <f t="shared" si="4"/>
        <v>7.119</v>
      </c>
    </row>
    <row r="435">
      <c r="A435" s="4" t="s">
        <v>7979</v>
      </c>
      <c r="B435" s="6" t="str">
        <f t="shared" si="1"/>
        <v>529.714</v>
      </c>
      <c r="C435" s="6" t="str">
        <f t="shared" si="2"/>
        <v>529,714</v>
      </c>
      <c r="D435" s="6">
        <f t="shared" si="3"/>
        <v>529.714</v>
      </c>
      <c r="E435" s="6">
        <f t="shared" si="4"/>
        <v>0.314</v>
      </c>
    </row>
    <row r="436">
      <c r="A436" s="4" t="s">
        <v>7980</v>
      </c>
      <c r="B436" s="6" t="str">
        <f t="shared" si="1"/>
        <v>530.040</v>
      </c>
      <c r="C436" s="6" t="str">
        <f t="shared" si="2"/>
        <v>530,040</v>
      </c>
      <c r="D436" s="6">
        <f t="shared" si="3"/>
        <v>530.04</v>
      </c>
      <c r="E436" s="6">
        <f t="shared" si="4"/>
        <v>0.326</v>
      </c>
    </row>
    <row r="437">
      <c r="A437" s="4" t="s">
        <v>7981</v>
      </c>
      <c r="B437" s="6" t="str">
        <f t="shared" si="1"/>
        <v>530.364</v>
      </c>
      <c r="C437" s="6" t="str">
        <f t="shared" si="2"/>
        <v>530,364</v>
      </c>
      <c r="D437" s="6">
        <f t="shared" si="3"/>
        <v>530.364</v>
      </c>
      <c r="E437" s="6">
        <f t="shared" si="4"/>
        <v>0.324</v>
      </c>
    </row>
    <row r="438">
      <c r="A438" s="4" t="s">
        <v>7982</v>
      </c>
      <c r="B438" s="6" t="str">
        <f t="shared" si="1"/>
        <v>530.660</v>
      </c>
      <c r="C438" s="6" t="str">
        <f t="shared" si="2"/>
        <v>530,660</v>
      </c>
      <c r="D438" s="6">
        <f t="shared" si="3"/>
        <v>530.66</v>
      </c>
      <c r="E438" s="6">
        <f t="shared" si="4"/>
        <v>0.296</v>
      </c>
    </row>
    <row r="439">
      <c r="A439" s="4" t="s">
        <v>7983</v>
      </c>
      <c r="B439" s="6" t="str">
        <f t="shared" si="1"/>
        <v>530.967</v>
      </c>
      <c r="C439" s="6" t="str">
        <f t="shared" si="2"/>
        <v>530,967</v>
      </c>
      <c r="D439" s="6">
        <f t="shared" si="3"/>
        <v>530.967</v>
      </c>
      <c r="E439" s="6">
        <f t="shared" si="4"/>
        <v>0.307</v>
      </c>
    </row>
    <row r="440">
      <c r="A440" s="4" t="s">
        <v>7984</v>
      </c>
      <c r="B440" s="6" t="str">
        <f t="shared" si="1"/>
        <v>531.270</v>
      </c>
      <c r="C440" s="6" t="str">
        <f t="shared" si="2"/>
        <v>531,270</v>
      </c>
      <c r="D440" s="6">
        <f t="shared" si="3"/>
        <v>531.27</v>
      </c>
      <c r="E440" s="6">
        <f t="shared" si="4"/>
        <v>0.303</v>
      </c>
    </row>
    <row r="441">
      <c r="A441" s="4" t="s">
        <v>7985</v>
      </c>
      <c r="B441" s="6" t="str">
        <f t="shared" si="1"/>
        <v>531.584</v>
      </c>
      <c r="C441" s="6" t="str">
        <f t="shared" si="2"/>
        <v>531,584</v>
      </c>
      <c r="D441" s="6">
        <f t="shared" si="3"/>
        <v>531.584</v>
      </c>
      <c r="E441" s="6">
        <f t="shared" si="4"/>
        <v>0.314</v>
      </c>
    </row>
    <row r="442">
      <c r="A442" s="4" t="s">
        <v>7986</v>
      </c>
      <c r="B442" s="6" t="str">
        <f t="shared" si="1"/>
        <v>531.884</v>
      </c>
      <c r="C442" s="6" t="str">
        <f t="shared" si="2"/>
        <v>531,884</v>
      </c>
      <c r="D442" s="6">
        <f t="shared" si="3"/>
        <v>531.884</v>
      </c>
      <c r="E442" s="6">
        <f t="shared" si="4"/>
        <v>0.3</v>
      </c>
    </row>
    <row r="443">
      <c r="A443" s="4" t="s">
        <v>7987</v>
      </c>
      <c r="B443" s="6" t="str">
        <f t="shared" si="1"/>
        <v>532.203</v>
      </c>
      <c r="C443" s="6" t="str">
        <f t="shared" si="2"/>
        <v>532,203</v>
      </c>
      <c r="D443" s="6">
        <f t="shared" si="3"/>
        <v>532.203</v>
      </c>
      <c r="E443" s="6">
        <f t="shared" si="4"/>
        <v>0.319</v>
      </c>
    </row>
    <row r="444">
      <c r="A444" s="4" t="s">
        <v>7988</v>
      </c>
      <c r="B444" s="6" t="str">
        <f t="shared" si="1"/>
        <v>541.007</v>
      </c>
      <c r="C444" s="6" t="str">
        <f t="shared" si="2"/>
        <v>541,007</v>
      </c>
      <c r="D444" s="6">
        <f t="shared" si="3"/>
        <v>541.007</v>
      </c>
      <c r="E444" s="6">
        <f t="shared" si="4"/>
        <v>8.804</v>
      </c>
    </row>
    <row r="445">
      <c r="A445" s="4" t="s">
        <v>7989</v>
      </c>
      <c r="B445" s="6" t="str">
        <f t="shared" si="1"/>
        <v>541.253</v>
      </c>
      <c r="C445" s="6" t="str">
        <f t="shared" si="2"/>
        <v>541,253</v>
      </c>
      <c r="D445" s="6">
        <f t="shared" si="3"/>
        <v>541.253</v>
      </c>
      <c r="E445" s="6">
        <f t="shared" si="4"/>
        <v>0.246</v>
      </c>
    </row>
    <row r="446">
      <c r="A446" s="4" t="s">
        <v>7990</v>
      </c>
      <c r="B446" s="6" t="str">
        <f t="shared" si="1"/>
        <v>541.463</v>
      </c>
      <c r="C446" s="6" t="str">
        <f t="shared" si="2"/>
        <v>541,463</v>
      </c>
      <c r="D446" s="6">
        <f t="shared" si="3"/>
        <v>541.463</v>
      </c>
      <c r="E446" s="6">
        <f t="shared" si="4"/>
        <v>0.21</v>
      </c>
    </row>
    <row r="447">
      <c r="A447" s="4" t="s">
        <v>7991</v>
      </c>
      <c r="B447" s="6" t="str">
        <f t="shared" si="1"/>
        <v>541.668</v>
      </c>
      <c r="C447" s="6" t="str">
        <f t="shared" si="2"/>
        <v>541,668</v>
      </c>
      <c r="D447" s="6">
        <f t="shared" si="3"/>
        <v>541.668</v>
      </c>
      <c r="E447" s="6">
        <f t="shared" si="4"/>
        <v>0.205</v>
      </c>
    </row>
    <row r="448">
      <c r="A448" s="4" t="s">
        <v>7992</v>
      </c>
      <c r="B448" s="6" t="str">
        <f t="shared" si="1"/>
        <v>541.870</v>
      </c>
      <c r="C448" s="6" t="str">
        <f t="shared" si="2"/>
        <v>541,870</v>
      </c>
      <c r="D448" s="6">
        <f t="shared" si="3"/>
        <v>541.87</v>
      </c>
      <c r="E448" s="6">
        <f t="shared" si="4"/>
        <v>0.202</v>
      </c>
    </row>
    <row r="449">
      <c r="A449" s="4" t="s">
        <v>7993</v>
      </c>
      <c r="B449" s="6" t="str">
        <f t="shared" si="1"/>
        <v>542.096</v>
      </c>
      <c r="C449" s="6" t="str">
        <f t="shared" si="2"/>
        <v>542,096</v>
      </c>
      <c r="D449" s="6">
        <f t="shared" si="3"/>
        <v>542.096</v>
      </c>
      <c r="E449" s="6">
        <f t="shared" si="4"/>
        <v>0.226</v>
      </c>
    </row>
    <row r="450">
      <c r="A450" s="4" t="s">
        <v>7994</v>
      </c>
      <c r="B450" s="6" t="str">
        <f t="shared" si="1"/>
        <v>542.342</v>
      </c>
      <c r="C450" s="6" t="str">
        <f t="shared" si="2"/>
        <v>542,342</v>
      </c>
      <c r="D450" s="6">
        <f t="shared" si="3"/>
        <v>542.342</v>
      </c>
      <c r="E450" s="6">
        <f t="shared" si="4"/>
        <v>0.246</v>
      </c>
    </row>
    <row r="451">
      <c r="A451" s="4" t="s">
        <v>7995</v>
      </c>
      <c r="B451" s="6" t="str">
        <f t="shared" si="1"/>
        <v>542.530</v>
      </c>
      <c r="C451" s="6" t="str">
        <f t="shared" si="2"/>
        <v>542,530</v>
      </c>
      <c r="D451" s="6">
        <f t="shared" si="3"/>
        <v>542.53</v>
      </c>
      <c r="E451" s="6">
        <f t="shared" si="4"/>
        <v>0.188</v>
      </c>
    </row>
    <row r="452">
      <c r="A452" s="4" t="s">
        <v>7996</v>
      </c>
      <c r="B452" s="6" t="str">
        <f t="shared" si="1"/>
        <v>542.713</v>
      </c>
      <c r="C452" s="6" t="str">
        <f t="shared" si="2"/>
        <v>542,713</v>
      </c>
      <c r="D452" s="6">
        <f t="shared" si="3"/>
        <v>542.713</v>
      </c>
      <c r="E452" s="6">
        <f t="shared" si="4"/>
        <v>0.183</v>
      </c>
    </row>
    <row r="453">
      <c r="A453" s="4" t="s">
        <v>7997</v>
      </c>
      <c r="B453" s="6" t="str">
        <f t="shared" si="1"/>
        <v>542.918</v>
      </c>
      <c r="C453" s="6" t="str">
        <f t="shared" si="2"/>
        <v>542,918</v>
      </c>
      <c r="D453" s="6">
        <f t="shared" si="3"/>
        <v>542.918</v>
      </c>
      <c r="E453" s="6">
        <f t="shared" si="4"/>
        <v>0.205</v>
      </c>
    </row>
    <row r="454">
      <c r="A454" s="4" t="s">
        <v>7998</v>
      </c>
      <c r="B454" s="6" t="str">
        <f t="shared" si="1"/>
        <v>543.118</v>
      </c>
      <c r="C454" s="6" t="str">
        <f t="shared" si="2"/>
        <v>543,118</v>
      </c>
      <c r="D454" s="6">
        <f t="shared" si="3"/>
        <v>543.118</v>
      </c>
      <c r="E454" s="6">
        <f t="shared" si="4"/>
        <v>0.2</v>
      </c>
    </row>
    <row r="455">
      <c r="A455" s="4" t="s">
        <v>7999</v>
      </c>
      <c r="B455" s="6" t="str">
        <f t="shared" si="1"/>
        <v>543.312</v>
      </c>
      <c r="C455" s="6" t="str">
        <f t="shared" si="2"/>
        <v>543,312</v>
      </c>
      <c r="D455" s="6">
        <f t="shared" si="3"/>
        <v>543.312</v>
      </c>
      <c r="E455" s="6">
        <f t="shared" si="4"/>
        <v>0.194</v>
      </c>
    </row>
    <row r="456">
      <c r="A456" s="4" t="s">
        <v>8000</v>
      </c>
      <c r="B456" s="6" t="str">
        <f t="shared" si="1"/>
        <v>543.494</v>
      </c>
      <c r="C456" s="6" t="str">
        <f t="shared" si="2"/>
        <v>543,494</v>
      </c>
      <c r="D456" s="6">
        <f t="shared" si="3"/>
        <v>543.494</v>
      </c>
      <c r="E456" s="6">
        <f t="shared" si="4"/>
        <v>0.182</v>
      </c>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30</v>
      </c>
      <c r="H1" s="7"/>
    </row>
    <row r="2">
      <c r="A2" s="4" t="s">
        <v>8001</v>
      </c>
      <c r="C2" s="4"/>
      <c r="D2" s="4"/>
      <c r="E2" s="8"/>
      <c r="F2" s="8"/>
      <c r="G2" s="8"/>
      <c r="H2" s="9"/>
    </row>
    <row r="3">
      <c r="A3" s="4"/>
      <c r="C3" s="4"/>
      <c r="D3" s="4"/>
      <c r="E3" s="8"/>
      <c r="F3" s="8"/>
      <c r="G3" s="8"/>
      <c r="H3" s="9"/>
    </row>
    <row r="4">
      <c r="A4" s="4"/>
      <c r="C4" s="4"/>
      <c r="D4" s="4"/>
      <c r="E4" s="8"/>
      <c r="F4" s="8"/>
      <c r="G4" s="8"/>
      <c r="H4" s="9"/>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32</v>
      </c>
      <c r="H1" s="7"/>
    </row>
    <row r="2">
      <c r="A2" s="4" t="s">
        <v>33</v>
      </c>
      <c r="C2" s="4"/>
      <c r="D2" s="4"/>
      <c r="E2" s="8"/>
      <c r="F2" s="8"/>
      <c r="G2" s="8"/>
      <c r="H2" s="9"/>
    </row>
    <row r="3">
      <c r="A3" s="4" t="s">
        <v>876</v>
      </c>
    </row>
    <row r="4">
      <c r="A4" s="4" t="s">
        <v>44</v>
      </c>
    </row>
    <row r="5">
      <c r="A5" s="4" t="s">
        <v>119</v>
      </c>
    </row>
    <row r="6">
      <c r="A6" s="4" t="s">
        <v>500</v>
      </c>
    </row>
    <row r="7">
      <c r="A7" s="4" t="s">
        <v>62</v>
      </c>
    </row>
    <row r="8">
      <c r="A8" s="4" t="s">
        <v>3280</v>
      </c>
    </row>
    <row r="9">
      <c r="A9" s="4" t="s">
        <v>894</v>
      </c>
    </row>
    <row r="10">
      <c r="A10" s="4" t="s">
        <v>88</v>
      </c>
    </row>
    <row r="11">
      <c r="A11" s="4" t="s">
        <v>40</v>
      </c>
    </row>
    <row r="12">
      <c r="A12" s="4" t="s">
        <v>75</v>
      </c>
    </row>
    <row r="13">
      <c r="A13" s="4" t="s">
        <v>33</v>
      </c>
    </row>
    <row r="14">
      <c r="A14" s="4" t="s">
        <v>34</v>
      </c>
    </row>
    <row r="15">
      <c r="A15" s="4" t="s">
        <v>36</v>
      </c>
    </row>
    <row r="16">
      <c r="A16" s="4" t="s">
        <v>8002</v>
      </c>
    </row>
    <row r="17">
      <c r="A17" s="4" t="s">
        <v>40</v>
      </c>
    </row>
    <row r="18">
      <c r="A18" s="4" t="s">
        <v>49</v>
      </c>
    </row>
    <row r="19">
      <c r="A19" s="4" t="s">
        <v>1362</v>
      </c>
    </row>
    <row r="20">
      <c r="A20" s="4" t="s">
        <v>553</v>
      </c>
    </row>
    <row r="21">
      <c r="A21" s="4" t="s">
        <v>891</v>
      </c>
    </row>
    <row r="22">
      <c r="A22" s="4" t="s">
        <v>96</v>
      </c>
    </row>
    <row r="23">
      <c r="A23" s="4" t="s">
        <v>8003</v>
      </c>
    </row>
    <row r="24">
      <c r="A24" s="4" t="s">
        <v>119</v>
      </c>
    </row>
    <row r="25">
      <c r="A25" s="4" t="s">
        <v>62</v>
      </c>
    </row>
    <row r="26">
      <c r="A26" s="4" t="s">
        <v>166</v>
      </c>
    </row>
    <row r="27">
      <c r="A27" s="4" t="s">
        <v>115</v>
      </c>
    </row>
    <row r="28">
      <c r="A28" s="4" t="s">
        <v>521</v>
      </c>
    </row>
    <row r="29">
      <c r="A29" s="4" t="s">
        <v>34</v>
      </c>
    </row>
    <row r="30">
      <c r="A30" s="4" t="s">
        <v>33</v>
      </c>
    </row>
    <row r="31">
      <c r="A31" s="4" t="s">
        <v>540</v>
      </c>
    </row>
    <row r="32">
      <c r="A32" s="4" t="s">
        <v>41</v>
      </c>
    </row>
    <row r="33">
      <c r="A33" s="4" t="s">
        <v>939</v>
      </c>
    </row>
    <row r="34">
      <c r="A34" s="4" t="s">
        <v>947</v>
      </c>
    </row>
    <row r="35">
      <c r="A35" s="4" t="s">
        <v>119</v>
      </c>
    </row>
    <row r="36">
      <c r="A36" s="4" t="s">
        <v>128</v>
      </c>
    </row>
    <row r="37">
      <c r="A37" s="4" t="s">
        <v>8004</v>
      </c>
    </row>
    <row r="38">
      <c r="A38" s="4" t="s">
        <v>44</v>
      </c>
    </row>
    <row r="39">
      <c r="A39" s="4" t="s">
        <v>62</v>
      </c>
    </row>
    <row r="40">
      <c r="A40" s="4" t="s">
        <v>8005</v>
      </c>
    </row>
    <row r="41">
      <c r="A41" s="4" t="s">
        <v>8006</v>
      </c>
    </row>
    <row r="42">
      <c r="A42" s="4" t="s">
        <v>57</v>
      </c>
    </row>
    <row r="43">
      <c r="A43" s="4" t="s">
        <v>553</v>
      </c>
    </row>
    <row r="44">
      <c r="A44" s="4" t="s">
        <v>5411</v>
      </c>
    </row>
    <row r="45">
      <c r="A45" s="4" t="s">
        <v>41</v>
      </c>
    </row>
    <row r="46">
      <c r="A46" s="4" t="s">
        <v>5412</v>
      </c>
    </row>
    <row r="47">
      <c r="A47" s="4" t="s">
        <v>947</v>
      </c>
    </row>
    <row r="48">
      <c r="A48" s="4" t="s">
        <v>40</v>
      </c>
    </row>
    <row r="49">
      <c r="A49" s="4" t="s">
        <v>1509</v>
      </c>
    </row>
    <row r="50">
      <c r="A50" s="4" t="s">
        <v>44</v>
      </c>
    </row>
    <row r="51">
      <c r="A51" s="4" t="s">
        <v>892</v>
      </c>
    </row>
    <row r="52">
      <c r="A52" s="4" t="s">
        <v>81</v>
      </c>
    </row>
    <row r="53">
      <c r="A53" s="4" t="s">
        <v>8007</v>
      </c>
    </row>
    <row r="54">
      <c r="A54" s="4" t="s">
        <v>8008</v>
      </c>
    </row>
    <row r="55">
      <c r="A55" s="4" t="s">
        <v>8009</v>
      </c>
    </row>
    <row r="56">
      <c r="A56" s="4" t="s">
        <v>973</v>
      </c>
    </row>
    <row r="57">
      <c r="A57" s="4" t="s">
        <v>8010</v>
      </c>
    </row>
    <row r="58">
      <c r="A58" s="4" t="s">
        <v>553</v>
      </c>
    </row>
    <row r="59">
      <c r="A59" s="4" t="s">
        <v>955</v>
      </c>
    </row>
    <row r="60">
      <c r="A60" s="4" t="s">
        <v>80</v>
      </c>
    </row>
    <row r="61">
      <c r="A61" s="4" t="s">
        <v>8011</v>
      </c>
    </row>
    <row r="62">
      <c r="A62" s="4" t="s">
        <v>109</v>
      </c>
    </row>
    <row r="63">
      <c r="A63" s="4" t="s">
        <v>509</v>
      </c>
    </row>
    <row r="64">
      <c r="A64" s="4" t="s">
        <v>92</v>
      </c>
    </row>
    <row r="65">
      <c r="A65" s="4" t="s">
        <v>122</v>
      </c>
    </row>
    <row r="66">
      <c r="A66" s="4" t="s">
        <v>129</v>
      </c>
    </row>
    <row r="67">
      <c r="A67" s="4" t="s">
        <v>8012</v>
      </c>
    </row>
    <row r="68">
      <c r="A68" s="4" t="s">
        <v>3293</v>
      </c>
    </row>
    <row r="69">
      <c r="A69" s="4" t="s">
        <v>33</v>
      </c>
    </row>
    <row r="70">
      <c r="A70" s="4" t="s">
        <v>3292</v>
      </c>
    </row>
    <row r="71">
      <c r="A71" s="4" t="s">
        <v>36</v>
      </c>
    </row>
    <row r="72">
      <c r="A72" s="4" t="s">
        <v>897</v>
      </c>
    </row>
    <row r="73">
      <c r="A73" s="4" t="s">
        <v>41</v>
      </c>
    </row>
    <row r="74">
      <c r="A74" s="4" t="s">
        <v>913</v>
      </c>
    </row>
    <row r="75">
      <c r="A75" s="4" t="s">
        <v>90</v>
      </c>
    </row>
    <row r="76">
      <c r="A76" s="4" t="s">
        <v>553</v>
      </c>
    </row>
    <row r="77">
      <c r="A77" s="4" t="s">
        <v>925</v>
      </c>
    </row>
    <row r="78">
      <c r="A78" s="4" t="s">
        <v>525</v>
      </c>
    </row>
    <row r="79">
      <c r="A79" s="4" t="s">
        <v>8013</v>
      </c>
    </row>
    <row r="80">
      <c r="A80" s="4" t="s">
        <v>40</v>
      </c>
    </row>
    <row r="81">
      <c r="A81" s="4" t="s">
        <v>4882</v>
      </c>
    </row>
    <row r="82">
      <c r="A82" s="4" t="s">
        <v>3829</v>
      </c>
    </row>
    <row r="83">
      <c r="A83" s="4" t="s">
        <v>129</v>
      </c>
    </row>
    <row r="84">
      <c r="A84" s="4" t="s">
        <v>109</v>
      </c>
    </row>
    <row r="85">
      <c r="A85" s="4" t="s">
        <v>119</v>
      </c>
    </row>
    <row r="86">
      <c r="A86" s="4" t="s">
        <v>946</v>
      </c>
    </row>
    <row r="87">
      <c r="A87" s="4" t="s">
        <v>2608</v>
      </c>
    </row>
    <row r="88">
      <c r="A88" s="4" t="s">
        <v>57</v>
      </c>
    </row>
    <row r="89">
      <c r="A89" s="4" t="s">
        <v>553</v>
      </c>
    </row>
    <row r="90">
      <c r="A90" s="4" t="s">
        <v>891</v>
      </c>
    </row>
    <row r="91">
      <c r="A91" s="4" t="s">
        <v>8014</v>
      </c>
    </row>
    <row r="92">
      <c r="A92" s="4" t="s">
        <v>40</v>
      </c>
    </row>
    <row r="93">
      <c r="A93" s="4" t="s">
        <v>75</v>
      </c>
    </row>
    <row r="94">
      <c r="A94" s="4" t="s">
        <v>877</v>
      </c>
    </row>
    <row r="95">
      <c r="A95" s="4" t="s">
        <v>119</v>
      </c>
    </row>
    <row r="96">
      <c r="A96" s="4" t="s">
        <v>8015</v>
      </c>
    </row>
    <row r="97">
      <c r="A97" s="4" t="s">
        <v>3281</v>
      </c>
    </row>
    <row r="98">
      <c r="A98" s="4" t="s">
        <v>1504</v>
      </c>
    </row>
    <row r="99">
      <c r="A99" s="4" t="s">
        <v>873</v>
      </c>
    </row>
    <row r="100">
      <c r="A100" s="4" t="s">
        <v>48</v>
      </c>
    </row>
    <row r="101">
      <c r="A101" s="4" t="s">
        <v>40</v>
      </c>
    </row>
    <row r="102">
      <c r="A102" s="4" t="s">
        <v>5414</v>
      </c>
    </row>
    <row r="103">
      <c r="A103" s="4" t="s">
        <v>36</v>
      </c>
    </row>
    <row r="104">
      <c r="A104" s="4" t="s">
        <v>108</v>
      </c>
    </row>
    <row r="105">
      <c r="A105" s="4" t="s">
        <v>33</v>
      </c>
    </row>
    <row r="106">
      <c r="A106" s="4" t="s">
        <v>113</v>
      </c>
    </row>
    <row r="107">
      <c r="A107" s="4" t="s">
        <v>3278</v>
      </c>
    </row>
    <row r="108">
      <c r="A108" s="4" t="s">
        <v>44</v>
      </c>
    </row>
    <row r="109">
      <c r="A109" s="4" t="s">
        <v>513</v>
      </c>
    </row>
    <row r="110">
      <c r="A110" s="4" t="s">
        <v>902</v>
      </c>
    </row>
    <row r="111">
      <c r="A111" s="4" t="s">
        <v>119</v>
      </c>
    </row>
    <row r="112">
      <c r="A112" s="4" t="s">
        <v>113</v>
      </c>
    </row>
    <row r="113">
      <c r="A113" s="4" t="s">
        <v>8016</v>
      </c>
    </row>
    <row r="114">
      <c r="A114" s="4" t="s">
        <v>138</v>
      </c>
    </row>
    <row r="115">
      <c r="A115" s="4" t="s">
        <v>549</v>
      </c>
    </row>
    <row r="116">
      <c r="A116" s="4" t="s">
        <v>33</v>
      </c>
    </row>
    <row r="117">
      <c r="A117" s="4" t="s">
        <v>534</v>
      </c>
    </row>
    <row r="118">
      <c r="A118" s="4" t="s">
        <v>41</v>
      </c>
    </row>
    <row r="119">
      <c r="A119" s="4" t="s">
        <v>908</v>
      </c>
    </row>
    <row r="120">
      <c r="A120" s="4" t="s">
        <v>909</v>
      </c>
    </row>
    <row r="121">
      <c r="A121" s="4" t="s">
        <v>960</v>
      </c>
    </row>
    <row r="122">
      <c r="A122" s="4" t="s">
        <v>40</v>
      </c>
    </row>
    <row r="123">
      <c r="A123" s="4" t="s">
        <v>147</v>
      </c>
    </row>
    <row r="124">
      <c r="A124" s="4" t="s">
        <v>553</v>
      </c>
    </row>
    <row r="125">
      <c r="A125" s="4" t="s">
        <v>891</v>
      </c>
    </row>
    <row r="126">
      <c r="A126" s="4" t="s">
        <v>41</v>
      </c>
    </row>
    <row r="127">
      <c r="A127" s="4" t="s">
        <v>896</v>
      </c>
    </row>
    <row r="128">
      <c r="A128" s="4" t="s">
        <v>90</v>
      </c>
    </row>
    <row r="129">
      <c r="A129" s="4" t="s">
        <v>94</v>
      </c>
    </row>
    <row r="130">
      <c r="A130" s="4" t="s">
        <v>3302</v>
      </c>
    </row>
    <row r="131">
      <c r="A131" s="4" t="s">
        <v>33</v>
      </c>
    </row>
    <row r="132">
      <c r="A132" s="4" t="s">
        <v>897</v>
      </c>
    </row>
    <row r="133">
      <c r="A133" s="4" t="s">
        <v>41</v>
      </c>
    </row>
    <row r="134">
      <c r="A134" s="4" t="s">
        <v>913</v>
      </c>
    </row>
    <row r="135">
      <c r="A135" s="4" t="s">
        <v>88</v>
      </c>
    </row>
    <row r="136">
      <c r="A136" s="4" t="s">
        <v>40</v>
      </c>
    </row>
    <row r="137">
      <c r="A137" s="4" t="s">
        <v>75</v>
      </c>
    </row>
    <row r="138">
      <c r="A138" s="4" t="s">
        <v>48</v>
      </c>
    </row>
    <row r="139">
      <c r="A139" s="4" t="s">
        <v>1365</v>
      </c>
    </row>
    <row r="140">
      <c r="A140" s="4" t="s">
        <v>3834</v>
      </c>
    </row>
    <row r="141">
      <c r="A141" s="4" t="s">
        <v>48</v>
      </c>
    </row>
    <row r="142">
      <c r="A142" s="4" t="s">
        <v>3829</v>
      </c>
    </row>
    <row r="143">
      <c r="A143" s="4" t="s">
        <v>961</v>
      </c>
    </row>
    <row r="144">
      <c r="A144" s="4" t="s">
        <v>33</v>
      </c>
    </row>
    <row r="145">
      <c r="A145" s="4" t="s">
        <v>8017</v>
      </c>
    </row>
    <row r="146">
      <c r="A146" s="4" t="s">
        <v>107</v>
      </c>
    </row>
    <row r="147">
      <c r="A147" s="4" t="s">
        <v>41</v>
      </c>
    </row>
    <row r="148">
      <c r="A148" s="4" t="s">
        <v>892</v>
      </c>
    </row>
    <row r="149">
      <c r="A149" s="4" t="s">
        <v>48</v>
      </c>
    </row>
    <row r="150">
      <c r="A150" s="4" t="s">
        <v>8018</v>
      </c>
    </row>
    <row r="151">
      <c r="A151" s="4" t="s">
        <v>41</v>
      </c>
    </row>
    <row r="152">
      <c r="A152" s="4" t="s">
        <v>3834</v>
      </c>
    </row>
    <row r="153">
      <c r="A153" s="4" t="s">
        <v>40</v>
      </c>
    </row>
    <row r="154">
      <c r="A154" s="4" t="s">
        <v>3819</v>
      </c>
    </row>
    <row r="155">
      <c r="A155" s="4" t="s">
        <v>33</v>
      </c>
    </row>
    <row r="156">
      <c r="A156" s="4" t="s">
        <v>44</v>
      </c>
    </row>
    <row r="157">
      <c r="A157" s="4" t="s">
        <v>513</v>
      </c>
    </row>
    <row r="158">
      <c r="A158" s="4" t="s">
        <v>1339</v>
      </c>
    </row>
    <row r="159">
      <c r="A159" s="4" t="s">
        <v>1369</v>
      </c>
    </row>
    <row r="160">
      <c r="A160" s="4" t="s">
        <v>518</v>
      </c>
    </row>
    <row r="161">
      <c r="A161" s="4" t="s">
        <v>4468</v>
      </c>
    </row>
    <row r="162">
      <c r="A162" s="4" t="s">
        <v>49</v>
      </c>
    </row>
    <row r="163">
      <c r="A163" s="4" t="s">
        <v>62</v>
      </c>
    </row>
    <row r="164">
      <c r="A164" s="4" t="s">
        <v>946</v>
      </c>
    </row>
    <row r="165">
      <c r="A165" s="4" t="s">
        <v>7023</v>
      </c>
    </row>
    <row r="166">
      <c r="A166" s="4" t="s">
        <v>8019</v>
      </c>
    </row>
    <row r="167">
      <c r="A167" s="4" t="s">
        <v>40</v>
      </c>
    </row>
    <row r="168">
      <c r="A168" s="4" t="s">
        <v>8020</v>
      </c>
    </row>
    <row r="169">
      <c r="A169" s="4" t="s">
        <v>33</v>
      </c>
    </row>
    <row r="170">
      <c r="A170" s="4" t="s">
        <v>897</v>
      </c>
    </row>
    <row r="171">
      <c r="A171" s="4" t="s">
        <v>41</v>
      </c>
    </row>
    <row r="172">
      <c r="A172" s="4" t="s">
        <v>971</v>
      </c>
    </row>
    <row r="173">
      <c r="A173" s="4" t="s">
        <v>88</v>
      </c>
    </row>
    <row r="174">
      <c r="A174" s="4" t="s">
        <v>89</v>
      </c>
    </row>
    <row r="175">
      <c r="A175" s="4" t="s">
        <v>877</v>
      </c>
    </row>
    <row r="176">
      <c r="A176" s="4" t="s">
        <v>119</v>
      </c>
    </row>
    <row r="177">
      <c r="A177" s="4" t="s">
        <v>878</v>
      </c>
    </row>
    <row r="178">
      <c r="A178" s="4" t="s">
        <v>879</v>
      </c>
    </row>
    <row r="179">
      <c r="A179" s="4" t="s">
        <v>33</v>
      </c>
    </row>
    <row r="180">
      <c r="A180" s="4" t="s">
        <v>897</v>
      </c>
    </row>
    <row r="181">
      <c r="A181" s="4" t="s">
        <v>41</v>
      </c>
    </row>
    <row r="182">
      <c r="A182" s="4" t="s">
        <v>913</v>
      </c>
    </row>
    <row r="183">
      <c r="A183" s="4" t="s">
        <v>107</v>
      </c>
    </row>
    <row r="184">
      <c r="A184" s="4" t="s">
        <v>41</v>
      </c>
    </row>
    <row r="185">
      <c r="A185" s="4" t="s">
        <v>892</v>
      </c>
    </row>
    <row r="186">
      <c r="A186" s="4" t="s">
        <v>33</v>
      </c>
    </row>
    <row r="187">
      <c r="A187" s="4" t="s">
        <v>897</v>
      </c>
    </row>
    <row r="188">
      <c r="A188" s="4" t="s">
        <v>41</v>
      </c>
    </row>
    <row r="189">
      <c r="A189" s="4" t="s">
        <v>898</v>
      </c>
    </row>
    <row r="190">
      <c r="A190" s="4" t="s">
        <v>940</v>
      </c>
    </row>
    <row r="191">
      <c r="A191" s="4" t="s">
        <v>74</v>
      </c>
    </row>
    <row r="192">
      <c r="A192" s="4" t="s">
        <v>8021</v>
      </c>
    </row>
    <row r="193">
      <c r="A193" s="4" t="s">
        <v>48</v>
      </c>
    </row>
    <row r="194">
      <c r="A194" s="4" t="s">
        <v>107</v>
      </c>
    </row>
    <row r="195">
      <c r="A195" s="4" t="s">
        <v>41</v>
      </c>
    </row>
    <row r="196">
      <c r="A196" s="4" t="s">
        <v>42</v>
      </c>
    </row>
    <row r="197">
      <c r="A197" s="4" t="s">
        <v>961</v>
      </c>
    </row>
    <row r="198">
      <c r="A198" s="4" t="s">
        <v>873</v>
      </c>
    </row>
    <row r="199">
      <c r="A199" s="4" t="s">
        <v>48</v>
      </c>
    </row>
    <row r="200">
      <c r="A200" s="4" t="s">
        <v>8022</v>
      </c>
    </row>
    <row r="201">
      <c r="A201" s="4" t="s">
        <v>80</v>
      </c>
    </row>
    <row r="202">
      <c r="A202" s="4" t="s">
        <v>866</v>
      </c>
    </row>
    <row r="203">
      <c r="A203" s="4" t="s">
        <v>90</v>
      </c>
    </row>
    <row r="204">
      <c r="A204" s="4" t="s">
        <v>40</v>
      </c>
    </row>
    <row r="205">
      <c r="A205" s="4" t="s">
        <v>33</v>
      </c>
    </row>
    <row r="206">
      <c r="A206" s="4" t="s">
        <v>939</v>
      </c>
    </row>
    <row r="207">
      <c r="A207" s="4" t="s">
        <v>44</v>
      </c>
    </row>
    <row r="208">
      <c r="A208" s="4" t="s">
        <v>867</v>
      </c>
    </row>
    <row r="209">
      <c r="A209" s="4" t="s">
        <v>33</v>
      </c>
    </row>
    <row r="210">
      <c r="A210" s="4" t="s">
        <v>3292</v>
      </c>
    </row>
    <row r="211">
      <c r="A211" s="4" t="s">
        <v>521</v>
      </c>
    </row>
    <row r="212">
      <c r="A212" s="4" t="s">
        <v>897</v>
      </c>
    </row>
    <row r="213">
      <c r="A213" s="4" t="s">
        <v>8023</v>
      </c>
    </row>
    <row r="214">
      <c r="A214" s="4" t="s">
        <v>1227</v>
      </c>
    </row>
    <row r="215">
      <c r="A215" s="4" t="s">
        <v>3829</v>
      </c>
    </row>
    <row r="216">
      <c r="A216" s="4" t="s">
        <v>48</v>
      </c>
    </row>
    <row r="217">
      <c r="A217" s="4" t="s">
        <v>547</v>
      </c>
    </row>
    <row r="218">
      <c r="A218" s="4" t="s">
        <v>871</v>
      </c>
    </row>
    <row r="219">
      <c r="A219" s="4" t="s">
        <v>75</v>
      </c>
    </row>
    <row r="220">
      <c r="A220" s="4" t="s">
        <v>57</v>
      </c>
    </row>
    <row r="221">
      <c r="A221" s="4" t="s">
        <v>33</v>
      </c>
    </row>
    <row r="222">
      <c r="A222" s="4" t="s">
        <v>887</v>
      </c>
    </row>
    <row r="223">
      <c r="A223" s="4" t="s">
        <v>544</v>
      </c>
    </row>
    <row r="224">
      <c r="A224" s="4" t="s">
        <v>868</v>
      </c>
    </row>
    <row r="225">
      <c r="A225" s="4" t="s">
        <v>512</v>
      </c>
    </row>
    <row r="226">
      <c r="A226" s="4" t="s">
        <v>8024</v>
      </c>
    </row>
    <row r="227">
      <c r="A227" s="4" t="s">
        <v>8025</v>
      </c>
    </row>
    <row r="228">
      <c r="A228" s="4" t="s">
        <v>120</v>
      </c>
    </row>
    <row r="229">
      <c r="A229" s="4" t="s">
        <v>33</v>
      </c>
    </row>
    <row r="230">
      <c r="A230" s="4" t="s">
        <v>876</v>
      </c>
    </row>
    <row r="231">
      <c r="A231" s="4" t="s">
        <v>44</v>
      </c>
    </row>
    <row r="232">
      <c r="A232" s="4" t="s">
        <v>1524</v>
      </c>
    </row>
    <row r="233">
      <c r="A233" s="4" t="s">
        <v>109</v>
      </c>
    </row>
    <row r="234">
      <c r="A234" s="4" t="s">
        <v>8026</v>
      </c>
    </row>
    <row r="235">
      <c r="A235" s="4" t="s">
        <v>8027</v>
      </c>
    </row>
    <row r="236">
      <c r="A236" s="4" t="s">
        <v>8028</v>
      </c>
    </row>
    <row r="237">
      <c r="A237" s="4" t="s">
        <v>115</v>
      </c>
    </row>
    <row r="238">
      <c r="A238" s="4" t="s">
        <v>8029</v>
      </c>
    </row>
    <row r="239">
      <c r="A239" s="4" t="s">
        <v>33</v>
      </c>
    </row>
    <row r="240">
      <c r="A240" s="4" t="s">
        <v>897</v>
      </c>
    </row>
    <row r="241">
      <c r="A241" s="4" t="s">
        <v>41</v>
      </c>
    </row>
    <row r="242">
      <c r="A242" s="4" t="s">
        <v>896</v>
      </c>
    </row>
    <row r="243">
      <c r="A243" s="4" t="s">
        <v>39</v>
      </c>
    </row>
    <row r="244">
      <c r="A244" s="4" t="s">
        <v>40</v>
      </c>
    </row>
    <row r="245">
      <c r="A245" s="4" t="s">
        <v>51</v>
      </c>
    </row>
    <row r="246">
      <c r="A246" s="4" t="s">
        <v>946</v>
      </c>
    </row>
    <row r="247">
      <c r="A247" s="4" t="s">
        <v>33</v>
      </c>
    </row>
    <row r="248">
      <c r="A248" s="4" t="s">
        <v>44</v>
      </c>
    </row>
    <row r="249">
      <c r="A249" s="4" t="s">
        <v>513</v>
      </c>
    </row>
    <row r="250">
      <c r="A250" s="4" t="s">
        <v>902</v>
      </c>
    </row>
    <row r="251">
      <c r="A251" s="4" t="s">
        <v>919</v>
      </c>
    </row>
    <row r="252">
      <c r="A252" s="4" t="s">
        <v>8030</v>
      </c>
    </row>
    <row r="253">
      <c r="A253" s="4" t="s">
        <v>8031</v>
      </c>
    </row>
    <row r="254">
      <c r="A254" s="4" t="s">
        <v>160</v>
      </c>
    </row>
    <row r="255">
      <c r="A255" s="4" t="s">
        <v>3301</v>
      </c>
    </row>
    <row r="256">
      <c r="A256" s="4" t="s">
        <v>527</v>
      </c>
    </row>
    <row r="257">
      <c r="A257" s="4" t="s">
        <v>88</v>
      </c>
    </row>
    <row r="258">
      <c r="A258" s="4" t="s">
        <v>89</v>
      </c>
    </row>
    <row r="259">
      <c r="A259" s="4" t="s">
        <v>57</v>
      </c>
    </row>
    <row r="260">
      <c r="A260" s="4" t="s">
        <v>33</v>
      </c>
    </row>
    <row r="261">
      <c r="A261" s="4" t="s">
        <v>36</v>
      </c>
    </row>
    <row r="262">
      <c r="A262" s="4" t="s">
        <v>43</v>
      </c>
    </row>
    <row r="263">
      <c r="A263" s="4" t="s">
        <v>41</v>
      </c>
    </row>
    <row r="264">
      <c r="A264" s="4" t="s">
        <v>45</v>
      </c>
    </row>
    <row r="265">
      <c r="A265" s="4" t="s">
        <v>107</v>
      </c>
    </row>
    <row r="266">
      <c r="A266" s="4" t="s">
        <v>41</v>
      </c>
    </row>
    <row r="267">
      <c r="A267" s="4" t="s">
        <v>5418</v>
      </c>
    </row>
    <row r="268">
      <c r="A268" s="4" t="s">
        <v>48</v>
      </c>
    </row>
    <row r="269">
      <c r="A269" s="4" t="s">
        <v>40</v>
      </c>
    </row>
    <row r="270">
      <c r="A270" s="4" t="s">
        <v>935</v>
      </c>
    </row>
    <row r="271">
      <c r="A271" s="4" t="s">
        <v>961</v>
      </c>
    </row>
    <row r="272">
      <c r="A272" s="4" t="s">
        <v>33</v>
      </c>
    </row>
    <row r="273">
      <c r="A273" s="4" t="s">
        <v>946</v>
      </c>
    </row>
    <row r="274">
      <c r="A274" s="4" t="s">
        <v>51</v>
      </c>
    </row>
    <row r="275">
      <c r="A275" s="4" t="s">
        <v>108</v>
      </c>
    </row>
    <row r="276">
      <c r="A276" s="4" t="s">
        <v>115</v>
      </c>
    </row>
    <row r="277">
      <c r="A277" s="4" t="s">
        <v>979</v>
      </c>
    </row>
    <row r="278">
      <c r="A278" s="4" t="s">
        <v>1367</v>
      </c>
    </row>
    <row r="279">
      <c r="A279" s="4" t="s">
        <v>8032</v>
      </c>
    </row>
    <row r="280">
      <c r="A280" s="4" t="s">
        <v>88</v>
      </c>
    </row>
    <row r="281">
      <c r="A281" s="4" t="s">
        <v>89</v>
      </c>
    </row>
    <row r="282">
      <c r="A282" s="4" t="s">
        <v>961</v>
      </c>
    </row>
    <row r="283">
      <c r="A283" s="4" t="s">
        <v>33</v>
      </c>
    </row>
    <row r="284">
      <c r="A284" s="4" t="s">
        <v>946</v>
      </c>
    </row>
    <row r="285">
      <c r="A285" s="4" t="s">
        <v>41</v>
      </c>
    </row>
    <row r="286">
      <c r="A286" s="4" t="s">
        <v>8033</v>
      </c>
    </row>
    <row r="287">
      <c r="A287" s="4" t="s">
        <v>81</v>
      </c>
    </row>
    <row r="288">
      <c r="A288" s="4" t="s">
        <v>84</v>
      </c>
    </row>
    <row r="289">
      <c r="A289" s="4" t="s">
        <v>8034</v>
      </c>
    </row>
    <row r="290">
      <c r="A290" s="4" t="s">
        <v>45</v>
      </c>
    </row>
    <row r="291">
      <c r="A291" s="4" t="s">
        <v>8035</v>
      </c>
    </row>
    <row r="292">
      <c r="A292" s="4" t="s">
        <v>8036</v>
      </c>
    </row>
    <row r="293">
      <c r="A293" s="4" t="s">
        <v>40</v>
      </c>
    </row>
    <row r="294">
      <c r="A294" s="4" t="s">
        <v>75</v>
      </c>
    </row>
    <row r="295">
      <c r="A295" s="4" t="s">
        <v>8037</v>
      </c>
    </row>
    <row r="296">
      <c r="A296" s="4" t="s">
        <v>33</v>
      </c>
    </row>
    <row r="297">
      <c r="A297" s="4" t="s">
        <v>8038</v>
      </c>
    </row>
    <row r="298">
      <c r="A298" s="4" t="s">
        <v>8039</v>
      </c>
    </row>
    <row r="299">
      <c r="A299" s="4" t="s">
        <v>39</v>
      </c>
    </row>
    <row r="300">
      <c r="A300" s="4" t="s">
        <v>40</v>
      </c>
    </row>
    <row r="301">
      <c r="A301" s="4" t="s">
        <v>33</v>
      </c>
    </row>
    <row r="302">
      <c r="A302" s="4" t="s">
        <v>8040</v>
      </c>
    </row>
    <row r="303">
      <c r="A303" s="4" t="s">
        <v>110</v>
      </c>
    </row>
    <row r="304">
      <c r="A304" s="4" t="s">
        <v>111</v>
      </c>
    </row>
    <row r="305">
      <c r="A305" s="4" t="s">
        <v>88</v>
      </c>
    </row>
    <row r="306">
      <c r="A306" s="4" t="s">
        <v>89</v>
      </c>
    </row>
    <row r="307">
      <c r="A307" s="4" t="s">
        <v>3281</v>
      </c>
    </row>
    <row r="308">
      <c r="A308" s="4" t="s">
        <v>1504</v>
      </c>
    </row>
    <row r="309">
      <c r="A309" s="4" t="s">
        <v>961</v>
      </c>
    </row>
    <row r="310">
      <c r="A310" s="4" t="s">
        <v>33</v>
      </c>
    </row>
    <row r="311">
      <c r="A311" s="4" t="s">
        <v>918</v>
      </c>
    </row>
    <row r="312">
      <c r="A312" s="4" t="s">
        <v>115</v>
      </c>
    </row>
    <row r="313">
      <c r="A313" s="4" t="s">
        <v>5427</v>
      </c>
    </row>
    <row r="314">
      <c r="A314" s="4" t="s">
        <v>4861</v>
      </c>
    </row>
    <row r="315">
      <c r="A315" s="4" t="s">
        <v>44</v>
      </c>
    </row>
    <row r="316">
      <c r="A316" s="4" t="s">
        <v>8041</v>
      </c>
    </row>
    <row r="317">
      <c r="A317" s="4" t="s">
        <v>126</v>
      </c>
    </row>
    <row r="318">
      <c r="A318" s="4" t="s">
        <v>8042</v>
      </c>
    </row>
    <row r="319">
      <c r="A319" s="4" t="s">
        <v>129</v>
      </c>
    </row>
    <row r="320">
      <c r="A320" s="4" t="s">
        <v>3834</v>
      </c>
    </row>
    <row r="321">
      <c r="A321" s="4" t="s">
        <v>33</v>
      </c>
    </row>
    <row r="322">
      <c r="A322" s="4" t="s">
        <v>1241</v>
      </c>
    </row>
    <row r="323">
      <c r="A323" s="4" t="s">
        <v>40</v>
      </c>
    </row>
    <row r="324">
      <c r="A324" s="4" t="s">
        <v>107</v>
      </c>
    </row>
    <row r="325">
      <c r="A325" s="4" t="s">
        <v>41</v>
      </c>
    </row>
    <row r="326">
      <c r="A326" s="4" t="s">
        <v>42</v>
      </c>
    </row>
    <row r="327">
      <c r="A327" s="4" t="s">
        <v>3794</v>
      </c>
    </row>
    <row r="328">
      <c r="A328" s="4" t="s">
        <v>40</v>
      </c>
    </row>
    <row r="329">
      <c r="A329" s="4" t="s">
        <v>520</v>
      </c>
    </row>
    <row r="330">
      <c r="A330" s="4" t="s">
        <v>44</v>
      </c>
    </row>
    <row r="331">
      <c r="A331" s="4" t="s">
        <v>939</v>
      </c>
    </row>
    <row r="332">
      <c r="A332" s="4" t="s">
        <v>3269</v>
      </c>
    </row>
    <row r="333">
      <c r="A333" s="4" t="s">
        <v>921</v>
      </c>
    </row>
    <row r="334">
      <c r="A334" s="4" t="s">
        <v>115</v>
      </c>
    </row>
    <row r="335">
      <c r="A335" s="4" t="s">
        <v>92</v>
      </c>
    </row>
    <row r="336">
      <c r="A336" s="4" t="s">
        <v>93</v>
      </c>
    </row>
    <row r="337">
      <c r="A337" s="4" t="s">
        <v>33</v>
      </c>
    </row>
    <row r="338">
      <c r="A338" s="4" t="s">
        <v>1506</v>
      </c>
    </row>
    <row r="339">
      <c r="A339" s="4" t="s">
        <v>41</v>
      </c>
    </row>
    <row r="340">
      <c r="A340" s="4" t="s">
        <v>8043</v>
      </c>
    </row>
    <row r="341">
      <c r="A341" s="4" t="s">
        <v>88</v>
      </c>
    </row>
    <row r="342">
      <c r="A342" s="4" t="s">
        <v>89</v>
      </c>
    </row>
    <row r="343">
      <c r="A343" s="4" t="s">
        <v>33</v>
      </c>
    </row>
    <row r="344">
      <c r="A344" s="4" t="s">
        <v>918</v>
      </c>
    </row>
    <row r="345">
      <c r="A345" s="4" t="s">
        <v>972</v>
      </c>
    </row>
    <row r="346">
      <c r="A346" s="4" t="s">
        <v>119</v>
      </c>
    </row>
    <row r="347">
      <c r="A347" s="4" t="s">
        <v>8044</v>
      </c>
    </row>
    <row r="348">
      <c r="A348" s="4" t="s">
        <v>562</v>
      </c>
    </row>
    <row r="349">
      <c r="A349" s="4" t="s">
        <v>899</v>
      </c>
    </row>
    <row r="350">
      <c r="A350" s="4" t="s">
        <v>48</v>
      </c>
    </row>
    <row r="351">
      <c r="A351" s="4" t="s">
        <v>94</v>
      </c>
    </row>
    <row r="352">
      <c r="A352" s="4" t="s">
        <v>8045</v>
      </c>
    </row>
    <row r="353">
      <c r="A353" s="4" t="s">
        <v>8046</v>
      </c>
    </row>
    <row r="354">
      <c r="A354" s="4" t="s">
        <v>57</v>
      </c>
    </row>
    <row r="355">
      <c r="A355" s="4" t="s">
        <v>33</v>
      </c>
    </row>
    <row r="356">
      <c r="A356" s="4" t="s">
        <v>946</v>
      </c>
    </row>
    <row r="357">
      <c r="A357" s="4" t="s">
        <v>933</v>
      </c>
    </row>
    <row r="358">
      <c r="A358" s="4" t="s">
        <v>939</v>
      </c>
    </row>
    <row r="359">
      <c r="A359" s="4" t="s">
        <v>544</v>
      </c>
    </row>
    <row r="360">
      <c r="A360" s="4" t="s">
        <v>33</v>
      </c>
    </row>
    <row r="361">
      <c r="A361" s="4" t="s">
        <v>44</v>
      </c>
    </row>
    <row r="362">
      <c r="A362" s="4" t="s">
        <v>513</v>
      </c>
    </row>
    <row r="363">
      <c r="A363" s="4" t="s">
        <v>543</v>
      </c>
    </row>
    <row r="364">
      <c r="A364" s="4" t="s">
        <v>41</v>
      </c>
    </row>
    <row r="365">
      <c r="A365" s="4" t="s">
        <v>518</v>
      </c>
    </row>
    <row r="366">
      <c r="A366" s="4" t="s">
        <v>7030</v>
      </c>
    </row>
    <row r="367">
      <c r="A367" s="4" t="s">
        <v>3300</v>
      </c>
    </row>
    <row r="368">
      <c r="A368" s="4" t="s">
        <v>44</v>
      </c>
    </row>
    <row r="369">
      <c r="A369" s="4" t="s">
        <v>1532</v>
      </c>
    </row>
    <row r="370">
      <c r="A370" s="4" t="s">
        <v>33</v>
      </c>
    </row>
    <row r="371">
      <c r="A371" s="4" t="s">
        <v>869</v>
      </c>
    </row>
    <row r="372">
      <c r="A372" s="4" t="s">
        <v>88</v>
      </c>
    </row>
    <row r="373">
      <c r="A373" s="4" t="s">
        <v>89</v>
      </c>
    </row>
    <row r="374">
      <c r="A374" s="4" t="s">
        <v>877</v>
      </c>
    </row>
    <row r="375">
      <c r="A375" s="4" t="s">
        <v>119</v>
      </c>
    </row>
    <row r="376">
      <c r="A376" s="4" t="s">
        <v>878</v>
      </c>
    </row>
    <row r="377">
      <c r="A377" s="4" t="s">
        <v>879</v>
      </c>
    </row>
    <row r="378">
      <c r="A378" s="4" t="s">
        <v>33</v>
      </c>
    </row>
    <row r="379">
      <c r="A379" s="4" t="s">
        <v>959</v>
      </c>
    </row>
    <row r="380">
      <c r="A380" s="4" t="s">
        <v>44</v>
      </c>
    </row>
    <row r="381">
      <c r="A381" s="4" t="s">
        <v>92</v>
      </c>
    </row>
    <row r="382">
      <c r="A382" s="4" t="s">
        <v>527</v>
      </c>
    </row>
    <row r="383">
      <c r="A383" s="4" t="s">
        <v>62</v>
      </c>
    </row>
    <row r="384">
      <c r="A384" s="4" t="s">
        <v>1363</v>
      </c>
    </row>
    <row r="385">
      <c r="A385" s="4" t="s">
        <v>1356</v>
      </c>
    </row>
    <row r="386">
      <c r="A386" s="4" t="s">
        <v>553</v>
      </c>
    </row>
    <row r="387">
      <c r="A387" s="4" t="s">
        <v>866</v>
      </c>
    </row>
    <row r="388">
      <c r="A388" s="4" t="s">
        <v>41</v>
      </c>
    </row>
    <row r="389">
      <c r="A389" s="4" t="s">
        <v>867</v>
      </c>
    </row>
    <row r="390">
      <c r="A390" s="4" t="s">
        <v>929</v>
      </c>
    </row>
    <row r="391">
      <c r="A391" s="4" t="s">
        <v>147</v>
      </c>
    </row>
    <row r="392">
      <c r="A392" s="4" t="s">
        <v>8047</v>
      </c>
    </row>
    <row r="393">
      <c r="A393" s="4" t="s">
        <v>1391</v>
      </c>
    </row>
    <row r="394">
      <c r="A394" s="4" t="s">
        <v>33</v>
      </c>
    </row>
    <row r="395">
      <c r="A395" s="4" t="s">
        <v>36</v>
      </c>
    </row>
    <row r="396">
      <c r="A396" s="4" t="s">
        <v>8048</v>
      </c>
    </row>
    <row r="397">
      <c r="A397" s="4" t="s">
        <v>44</v>
      </c>
    </row>
    <row r="398">
      <c r="A398" s="4" t="s">
        <v>978</v>
      </c>
    </row>
    <row r="399">
      <c r="A399" s="4" t="s">
        <v>90</v>
      </c>
    </row>
    <row r="400">
      <c r="A400" s="4" t="s">
        <v>1510</v>
      </c>
    </row>
    <row r="401">
      <c r="A401" s="4" t="s">
        <v>33</v>
      </c>
    </row>
    <row r="402">
      <c r="A402" s="4" t="s">
        <v>869</v>
      </c>
    </row>
    <row r="403">
      <c r="A403" s="4" t="s">
        <v>871</v>
      </c>
    </row>
    <row r="404">
      <c r="A404" s="4" t="s">
        <v>88</v>
      </c>
    </row>
    <row r="405">
      <c r="A405" s="4" t="s">
        <v>75</v>
      </c>
    </row>
    <row r="406">
      <c r="A406" s="4" t="s">
        <v>33</v>
      </c>
    </row>
    <row r="407">
      <c r="A407" s="4" t="s">
        <v>8049</v>
      </c>
    </row>
    <row r="408">
      <c r="A408" s="4" t="s">
        <v>44</v>
      </c>
    </row>
    <row r="409">
      <c r="A409" s="4" t="s">
        <v>1532</v>
      </c>
    </row>
    <row r="410">
      <c r="A410" s="4" t="s">
        <v>107</v>
      </c>
    </row>
    <row r="411">
      <c r="A411" s="4" t="s">
        <v>41</v>
      </c>
    </row>
    <row r="412">
      <c r="A412" s="4" t="s">
        <v>892</v>
      </c>
    </row>
    <row r="413">
      <c r="A413" s="4" t="s">
        <v>33</v>
      </c>
    </row>
    <row r="414">
      <c r="A414" s="4" t="s">
        <v>897</v>
      </c>
    </row>
    <row r="415">
      <c r="A415" s="4" t="s">
        <v>41</v>
      </c>
    </row>
    <row r="416">
      <c r="A416" s="4" t="s">
        <v>971</v>
      </c>
    </row>
    <row r="417">
      <c r="A417" s="4" t="s">
        <v>96</v>
      </c>
    </row>
    <row r="418">
      <c r="A418" s="4" t="s">
        <v>8050</v>
      </c>
    </row>
    <row r="419">
      <c r="A419" s="4" t="s">
        <v>92</v>
      </c>
    </row>
    <row r="420">
      <c r="A420" s="4" t="s">
        <v>99</v>
      </c>
    </row>
    <row r="421">
      <c r="A421" s="4" t="s">
        <v>553</v>
      </c>
    </row>
    <row r="422">
      <c r="A422" s="4" t="s">
        <v>8051</v>
      </c>
    </row>
    <row r="423">
      <c r="A423" s="4" t="s">
        <v>521</v>
      </c>
    </row>
    <row r="424">
      <c r="A424" s="4" t="s">
        <v>876</v>
      </c>
    </row>
    <row r="425">
      <c r="A425" s="4" t="s">
        <v>41</v>
      </c>
    </row>
    <row r="426">
      <c r="A426" s="4" t="s">
        <v>516</v>
      </c>
    </row>
    <row r="427">
      <c r="A427" s="4" t="s">
        <v>947</v>
      </c>
    </row>
    <row r="428">
      <c r="A428" s="4" t="s">
        <v>40</v>
      </c>
    </row>
    <row r="429">
      <c r="A429" s="4" t="s">
        <v>1509</v>
      </c>
    </row>
    <row r="430">
      <c r="A430" s="4" t="s">
        <v>44</v>
      </c>
    </row>
    <row r="431">
      <c r="A431" s="4" t="s">
        <v>2604</v>
      </c>
    </row>
    <row r="432">
      <c r="A432" s="4" t="s">
        <v>33</v>
      </c>
    </row>
    <row r="433">
      <c r="A433" s="4" t="s">
        <v>897</v>
      </c>
    </row>
    <row r="434">
      <c r="A434" s="4" t="s">
        <v>41</v>
      </c>
    </row>
    <row r="435">
      <c r="A435" s="4" t="s">
        <v>896</v>
      </c>
    </row>
    <row r="436">
      <c r="A436" s="4" t="s">
        <v>947</v>
      </c>
    </row>
    <row r="437">
      <c r="A437" s="4" t="s">
        <v>92</v>
      </c>
    </row>
    <row r="438">
      <c r="A438" s="4" t="s">
        <v>1505</v>
      </c>
    </row>
    <row r="439">
      <c r="A439" s="4" t="s">
        <v>93</v>
      </c>
    </row>
    <row r="440">
      <c r="A440" s="4" t="s">
        <v>129</v>
      </c>
    </row>
    <row r="441">
      <c r="A441" s="4" t="s">
        <v>8052</v>
      </c>
    </row>
    <row r="442">
      <c r="A442" s="4" t="s">
        <v>8053</v>
      </c>
    </row>
    <row r="443">
      <c r="A443" s="4" t="s">
        <v>33</v>
      </c>
    </row>
    <row r="444">
      <c r="A444" s="4" t="s">
        <v>938</v>
      </c>
    </row>
    <row r="445">
      <c r="A445" s="4" t="s">
        <v>8014</v>
      </c>
    </row>
    <row r="446">
      <c r="A446" s="4" t="s">
        <v>40</v>
      </c>
    </row>
    <row r="447">
      <c r="A447" s="4" t="s">
        <v>75</v>
      </c>
    </row>
    <row r="448">
      <c r="A448" s="4" t="s">
        <v>115</v>
      </c>
    </row>
    <row r="449">
      <c r="A449" s="4" t="s">
        <v>119</v>
      </c>
    </row>
    <row r="450">
      <c r="A450" s="4" t="s">
        <v>62</v>
      </c>
    </row>
    <row r="451">
      <c r="A451" s="4" t="s">
        <v>534</v>
      </c>
    </row>
    <row r="452">
      <c r="A452" s="4" t="s">
        <v>874</v>
      </c>
    </row>
    <row r="453">
      <c r="A453" s="4" t="s">
        <v>33</v>
      </c>
    </row>
    <row r="454">
      <c r="A454" s="4" t="s">
        <v>918</v>
      </c>
    </row>
    <row r="455">
      <c r="A455" s="4" t="s">
        <v>547</v>
      </c>
    </row>
    <row r="456">
      <c r="A456" s="4" t="s">
        <v>871</v>
      </c>
    </row>
    <row r="457">
      <c r="A457" s="4" t="s">
        <v>115</v>
      </c>
    </row>
    <row r="458">
      <c r="A458" s="4" t="s">
        <v>116</v>
      </c>
    </row>
    <row r="459">
      <c r="A459" s="4" t="s">
        <v>8054</v>
      </c>
    </row>
    <row r="460">
      <c r="A460" s="4" t="s">
        <v>8055</v>
      </c>
    </row>
    <row r="461">
      <c r="A461" s="4" t="s">
        <v>33</v>
      </c>
    </row>
    <row r="462">
      <c r="A462" s="4" t="s">
        <v>34</v>
      </c>
    </row>
    <row r="463">
      <c r="A463" s="4" t="s">
        <v>895</v>
      </c>
    </row>
    <row r="464">
      <c r="A464" s="4" t="s">
        <v>109</v>
      </c>
    </row>
    <row r="465">
      <c r="A465" s="4" t="s">
        <v>121</v>
      </c>
    </row>
    <row r="466">
      <c r="A466" s="4" t="s">
        <v>92</v>
      </c>
    </row>
    <row r="467">
      <c r="A467" s="4" t="s">
        <v>122</v>
      </c>
    </row>
    <row r="468">
      <c r="A468" s="4" t="s">
        <v>119</v>
      </c>
    </row>
    <row r="469">
      <c r="A469" s="4" t="s">
        <v>500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6" width="28.13"/>
    <col customWidth="1" min="7" max="7" width="14.88"/>
    <col customWidth="1" min="8" max="8" width="10.75"/>
    <col customWidth="1" min="9" max="9" width="8.38"/>
    <col customWidth="1" min="10" max="10" width="10.88"/>
    <col customWidth="1" min="11" max="11" width="8.38"/>
  </cols>
  <sheetData>
    <row r="1">
      <c r="C1" s="5" t="s">
        <v>168</v>
      </c>
      <c r="D1" s="5" t="s">
        <v>169</v>
      </c>
      <c r="E1" s="5" t="s">
        <v>170</v>
      </c>
      <c r="F1" s="5" t="s">
        <v>171</v>
      </c>
      <c r="G1" s="5" t="s">
        <v>172</v>
      </c>
      <c r="H1" s="7" t="s">
        <v>173</v>
      </c>
      <c r="I1" s="5" t="s">
        <v>174</v>
      </c>
    </row>
    <row r="2">
      <c r="C2" s="4" t="s">
        <v>2655</v>
      </c>
      <c r="D2" s="4" t="str">
        <f t="shared" ref="D2:D469" si="1">C2</f>
        <v>{"valorA":"preço","valorB":1}</v>
      </c>
      <c r="E2" s="8" t="str">
        <f t="shared" ref="E2:E469" si="2">SUBSTITUTE(MID(C2,FIND(":",C2)+1,FIND(",",C2)-FIND(":",C2)-1),"""","")</f>
        <v>preço</v>
      </c>
      <c r="F2" s="8" t="str">
        <f>IFERROR(__xludf.DUMMYFUNCTION("UNIQUE(E2:E469)"),"preço")</f>
        <v>preço</v>
      </c>
      <c r="G2" s="8" t="str">
        <f t="shared" ref="G2:G469" si="3">MID(C2,FIND("valorB",C2)+8,FIND("}",C2)-FIND("valorB",C2)-8)</f>
        <v>1</v>
      </c>
      <c r="H2" s="9">
        <f t="shared" ref="H2:H469" si="4">VALUE(SUBSTITUTE(G2,".",","))</f>
        <v>1</v>
      </c>
      <c r="I2" s="10">
        <f>IFERROR(__xludf.DUMMYFUNCTION("MAX(FILTER($H:$H,$E:$E=F2))"),2.0)</f>
        <v>2</v>
      </c>
    </row>
    <row r="3">
      <c r="C3" s="4" t="s">
        <v>2624</v>
      </c>
      <c r="D3" s="4" t="str">
        <f t="shared" si="1"/>
        <v>{"valorA":"funciona","valorB":1}</v>
      </c>
      <c r="E3" s="8" t="str">
        <f t="shared" si="2"/>
        <v>funciona</v>
      </c>
      <c r="F3" s="8" t="str">
        <f>IFERROR(__xludf.DUMMYFUNCTION("""COMPUTED_VALUE"""),"funciona")</f>
        <v>funciona</v>
      </c>
      <c r="G3" s="8" t="str">
        <f t="shared" si="3"/>
        <v>1</v>
      </c>
      <c r="H3" s="9">
        <f t="shared" si="4"/>
        <v>1</v>
      </c>
      <c r="I3" s="10">
        <f>IFERROR(__xludf.DUMMYFUNCTION("MAX(FILTER($H:$H,$E:$E=F3))"),9.0)</f>
        <v>9</v>
      </c>
    </row>
    <row r="4">
      <c r="C4" s="4" t="s">
        <v>2670</v>
      </c>
      <c r="D4" s="4" t="str">
        <f t="shared" si="1"/>
        <v>{"valorA":"meu","valorB":1}</v>
      </c>
      <c r="E4" s="8" t="str">
        <f t="shared" si="2"/>
        <v>meu</v>
      </c>
      <c r="F4" s="8" t="str">
        <f>IFERROR(__xludf.DUMMYFUNCTION("""COMPUTED_VALUE"""),"meu")</f>
        <v>meu</v>
      </c>
      <c r="G4" s="8" t="str">
        <f t="shared" si="3"/>
        <v>1</v>
      </c>
      <c r="H4" s="9">
        <f t="shared" si="4"/>
        <v>1</v>
      </c>
      <c r="I4" s="10">
        <f>IFERROR(__xludf.DUMMYFUNCTION("MAX(FILTER($H:$H,$E:$E=F4))"),6.0)</f>
        <v>6</v>
      </c>
    </row>
    <row r="5">
      <c r="C5" s="4" t="s">
        <v>3325</v>
      </c>
      <c r="D5" s="4" t="str">
        <f t="shared" si="1"/>
        <v>{"valorA":"aparelho","valorB":1}</v>
      </c>
      <c r="E5" s="8" t="str">
        <f t="shared" si="2"/>
        <v>aparelho</v>
      </c>
      <c r="F5" s="8" t="str">
        <f>IFERROR(__xludf.DUMMYFUNCTION("""COMPUTED_VALUE"""),"aparelho")</f>
        <v>aparelho</v>
      </c>
      <c r="G5" s="8" t="str">
        <f t="shared" si="3"/>
        <v>1</v>
      </c>
      <c r="H5" s="9">
        <f t="shared" si="4"/>
        <v>1</v>
      </c>
      <c r="I5" s="10">
        <f>IFERROR(__xludf.DUMMYFUNCTION("MAX(FILTER($H:$H,$E:$E=F5))"),3.0)</f>
        <v>3</v>
      </c>
    </row>
    <row r="6">
      <c r="C6" s="4" t="s">
        <v>2639</v>
      </c>
      <c r="D6" s="4" t="str">
        <f t="shared" si="1"/>
        <v>{"valorA":"ótimo","valorB":1}</v>
      </c>
      <c r="E6" s="8" t="str">
        <f t="shared" si="2"/>
        <v>ótimo</v>
      </c>
      <c r="F6" s="8" t="str">
        <f>IFERROR(__xludf.DUMMYFUNCTION("""COMPUTED_VALUE"""),"ótimo")</f>
        <v>ótimo</v>
      </c>
      <c r="G6" s="8" t="str">
        <f t="shared" si="3"/>
        <v>1</v>
      </c>
      <c r="H6" s="9">
        <f t="shared" si="4"/>
        <v>1</v>
      </c>
      <c r="I6" s="10">
        <f>IFERROR(__xludf.DUMMYFUNCTION("MAX(FILTER($H:$H,$E:$E=F6))"),39.0)</f>
        <v>39</v>
      </c>
    </row>
    <row r="7">
      <c r="C7" s="4" t="s">
        <v>2675</v>
      </c>
      <c r="D7" s="4" t="str">
        <f t="shared" si="1"/>
        <v>{"valorA":"bem","valorB":1}</v>
      </c>
      <c r="E7" s="8" t="str">
        <f t="shared" si="2"/>
        <v>bem</v>
      </c>
      <c r="F7" s="8" t="str">
        <f>IFERROR(__xludf.DUMMYFUNCTION("""COMPUTED_VALUE"""),"bem")</f>
        <v>bem</v>
      </c>
      <c r="G7" s="8" t="str">
        <f t="shared" si="3"/>
        <v>1</v>
      </c>
      <c r="H7" s="9">
        <f t="shared" si="4"/>
        <v>1</v>
      </c>
      <c r="I7" s="10">
        <f>IFERROR(__xludf.DUMMYFUNCTION("MAX(FILTER($H:$H,$E:$E=F7))"),7.0)</f>
        <v>7</v>
      </c>
    </row>
    <row r="8">
      <c r="C8" s="4" t="s">
        <v>3406</v>
      </c>
      <c r="D8" s="4" t="str">
        <f t="shared" si="1"/>
        <v>{"valorA":"dvd","valorB":1}</v>
      </c>
      <c r="E8" s="8" t="str">
        <f t="shared" si="2"/>
        <v>dvd</v>
      </c>
      <c r="F8" s="8" t="str">
        <f>IFERROR(__xludf.DUMMYFUNCTION("""COMPUTED_VALUE"""),"dvd")</f>
        <v>dvd</v>
      </c>
      <c r="G8" s="8" t="str">
        <f t="shared" si="3"/>
        <v>1</v>
      </c>
      <c r="H8" s="9">
        <f t="shared" si="4"/>
        <v>1</v>
      </c>
      <c r="I8" s="10">
        <f>IFERROR(__xludf.DUMMYFUNCTION("MAX(FILTER($H:$H,$E:$E=F8))"),1.0)</f>
        <v>1</v>
      </c>
    </row>
    <row r="9">
      <c r="C9" s="4" t="s">
        <v>2637</v>
      </c>
      <c r="D9" s="4" t="str">
        <f t="shared" si="1"/>
        <v>{"valorA":"muito","valorB":1}</v>
      </c>
      <c r="E9" s="8" t="str">
        <f t="shared" si="2"/>
        <v>muito</v>
      </c>
      <c r="F9" s="8" t="str">
        <f>IFERROR(__xludf.DUMMYFUNCTION("""COMPUTED_VALUE"""),"muito")</f>
        <v>muito</v>
      </c>
      <c r="G9" s="8" t="str">
        <f t="shared" si="3"/>
        <v>1</v>
      </c>
      <c r="H9" s="9">
        <f t="shared" si="4"/>
        <v>1</v>
      </c>
      <c r="I9" s="10">
        <f>IFERROR(__xludf.DUMMYFUNCTION("MAX(FILTER($H:$H,$E:$E=F9))"),19.0)</f>
        <v>19</v>
      </c>
    </row>
    <row r="10">
      <c r="C10" s="4" t="s">
        <v>2627</v>
      </c>
      <c r="D10" s="4" t="str">
        <f t="shared" si="1"/>
        <v>{"valorA":"para","valorB":1}</v>
      </c>
      <c r="E10" s="8" t="str">
        <f t="shared" si="2"/>
        <v>para</v>
      </c>
      <c r="F10" s="8" t="str">
        <f>IFERROR(__xludf.DUMMYFUNCTION("""COMPUTED_VALUE"""),"para")</f>
        <v>para</v>
      </c>
      <c r="G10" s="8" t="str">
        <f t="shared" si="3"/>
        <v>1</v>
      </c>
      <c r="H10" s="9">
        <f t="shared" si="4"/>
        <v>1</v>
      </c>
      <c r="I10" s="10">
        <f>IFERROR(__xludf.DUMMYFUNCTION("MAX(FILTER($H:$H,$E:$E=F10))"),16.0)</f>
        <v>16</v>
      </c>
    </row>
    <row r="11">
      <c r="C11" s="4" t="s">
        <v>2638</v>
      </c>
      <c r="D11" s="4" t="str">
        <f t="shared" si="1"/>
        <v>{"valorA":"o","valorB":1}</v>
      </c>
      <c r="E11" s="8" t="str">
        <f t="shared" si="2"/>
        <v>o</v>
      </c>
      <c r="F11" s="8" t="str">
        <f>IFERROR(__xludf.DUMMYFUNCTION("""COMPUTED_VALUE"""),"o")</f>
        <v>o</v>
      </c>
      <c r="G11" s="8" t="str">
        <f t="shared" si="3"/>
        <v>1</v>
      </c>
      <c r="H11" s="9">
        <f t="shared" si="4"/>
        <v>1</v>
      </c>
      <c r="I11" s="10">
        <f>IFERROR(__xludf.DUMMYFUNCTION("MAX(FILTER($H:$H,$E:$E=F11))"),11.0)</f>
        <v>11</v>
      </c>
    </row>
    <row r="12">
      <c r="C12" s="4" t="s">
        <v>3312</v>
      </c>
      <c r="D12" s="4" t="str">
        <f t="shared" si="1"/>
        <v>{"valorA":"player","valorB":1}</v>
      </c>
      <c r="E12" s="8" t="str">
        <f t="shared" si="2"/>
        <v>player</v>
      </c>
      <c r="F12" s="8" t="str">
        <f>IFERROR(__xludf.DUMMYFUNCTION("""COMPUTED_VALUE"""),"player")</f>
        <v>player</v>
      </c>
      <c r="G12" s="8" t="str">
        <f t="shared" si="3"/>
        <v>1</v>
      </c>
      <c r="H12" s="9">
        <f t="shared" si="4"/>
        <v>1</v>
      </c>
      <c r="I12" s="10">
        <f>IFERROR(__xludf.DUMMYFUNCTION("MAX(FILTER($H:$H,$E:$E=F12))"),1.0)</f>
        <v>1</v>
      </c>
    </row>
    <row r="13">
      <c r="C13" s="4" t="s">
        <v>8056</v>
      </c>
      <c r="D13" s="4" t="str">
        <f t="shared" si="1"/>
        <v>{"valorA":"chegou","valorB":1}</v>
      </c>
      <c r="E13" s="8" t="str">
        <f t="shared" si="2"/>
        <v>chegou</v>
      </c>
      <c r="F13" s="8" t="str">
        <f>IFERROR(__xludf.DUMMYFUNCTION("""COMPUTED_VALUE"""),"chegou")</f>
        <v>chegou</v>
      </c>
      <c r="G13" s="8" t="str">
        <f t="shared" si="3"/>
        <v>1</v>
      </c>
      <c r="H13" s="9">
        <f t="shared" si="4"/>
        <v>1</v>
      </c>
      <c r="I13" s="10">
        <f>IFERROR(__xludf.DUMMYFUNCTION("MAX(FILTER($H:$H,$E:$E=F13))"),1.0)</f>
        <v>1</v>
      </c>
    </row>
    <row r="14">
      <c r="C14" s="4" t="s">
        <v>2652</v>
      </c>
      <c r="D14" s="4" t="str">
        <f t="shared" si="1"/>
        <v>{"valorA":"ótimo","valorB":2}</v>
      </c>
      <c r="E14" s="8" t="str">
        <f t="shared" si="2"/>
        <v>ótimo</v>
      </c>
      <c r="F14" s="8" t="str">
        <f>IFERROR(__xludf.DUMMYFUNCTION("""COMPUTED_VALUE"""),"rápido")</f>
        <v>rápido</v>
      </c>
      <c r="G14" s="8" t="str">
        <f t="shared" si="3"/>
        <v>2</v>
      </c>
      <c r="H14" s="9">
        <f t="shared" si="4"/>
        <v>2</v>
      </c>
      <c r="I14" s="10">
        <f>IFERROR(__xludf.DUMMYFUNCTION("MAX(FILTER($H:$H,$E:$E=F14))"),2.0)</f>
        <v>2</v>
      </c>
    </row>
    <row r="15">
      <c r="C15" s="4" t="s">
        <v>2663</v>
      </c>
      <c r="D15" s="4" t="str">
        <f t="shared" si="1"/>
        <v>{"valorA":"muito","valorB":2}</v>
      </c>
      <c r="E15" s="8" t="str">
        <f t="shared" si="2"/>
        <v>muito</v>
      </c>
      <c r="F15" s="8" t="str">
        <f>IFERROR(__xludf.DUMMYFUNCTION("""COMPUTED_VALUE"""),"também")</f>
        <v>também</v>
      </c>
      <c r="G15" s="8" t="str">
        <f t="shared" si="3"/>
        <v>2</v>
      </c>
      <c r="H15" s="9">
        <f t="shared" si="4"/>
        <v>2</v>
      </c>
      <c r="I15" s="10">
        <f>IFERROR(__xludf.DUMMYFUNCTION("MAX(FILTER($H:$H,$E:$E=F15))"),1.0)</f>
        <v>1</v>
      </c>
    </row>
    <row r="16">
      <c r="C16" s="4" t="s">
        <v>3067</v>
      </c>
      <c r="D16" s="4" t="str">
        <f t="shared" si="1"/>
        <v>{"valorA":"rápido","valorB":1}</v>
      </c>
      <c r="E16" s="8" t="str">
        <f t="shared" si="2"/>
        <v>rápido</v>
      </c>
      <c r="F16" s="8" t="str">
        <f>IFERROR(__xludf.DUMMYFUNCTION("""COMPUTED_VALUE"""),"esse")</f>
        <v>esse</v>
      </c>
      <c r="G16" s="8" t="str">
        <f t="shared" si="3"/>
        <v>1</v>
      </c>
      <c r="H16" s="9">
        <f t="shared" si="4"/>
        <v>1</v>
      </c>
      <c r="I16" s="10">
        <f>IFERROR(__xludf.DUMMYFUNCTION("MAX(FILTER($H:$H,$E:$E=F16))"),5.0)</f>
        <v>5</v>
      </c>
    </row>
    <row r="17">
      <c r="C17" s="4" t="s">
        <v>2822</v>
      </c>
      <c r="D17" s="4" t="str">
        <f t="shared" si="1"/>
        <v>{"valorA":"também","valorB":1}</v>
      </c>
      <c r="E17" s="8" t="str">
        <f t="shared" si="2"/>
        <v>também</v>
      </c>
      <c r="F17" s="8" t="str">
        <f>IFERROR(__xludf.DUMMYFUNCTION("""COMPUTED_VALUE"""),"produto")</f>
        <v>produto</v>
      </c>
      <c r="G17" s="8" t="str">
        <f t="shared" si="3"/>
        <v>1</v>
      </c>
      <c r="H17" s="9">
        <f t="shared" si="4"/>
        <v>1</v>
      </c>
      <c r="I17" s="10">
        <f>IFERROR(__xludf.DUMMYFUNCTION("MAX(FILTER($H:$H,$E:$E=F17))"),3.0)</f>
        <v>3</v>
      </c>
    </row>
    <row r="18">
      <c r="C18" s="4" t="s">
        <v>2630</v>
      </c>
      <c r="D18" s="4" t="str">
        <f t="shared" si="1"/>
        <v>{"valorA":"esse","valorB":1}</v>
      </c>
      <c r="E18" s="8" t="str">
        <f t="shared" si="2"/>
        <v>esse</v>
      </c>
      <c r="F18" s="8" t="str">
        <f>IFERROR(__xludf.DUMMYFUNCTION("""COMPUTED_VALUE"""),"satisfaço")</f>
        <v>satisfaço</v>
      </c>
      <c r="G18" s="8" t="str">
        <f t="shared" si="3"/>
        <v>1</v>
      </c>
      <c r="H18" s="9">
        <f t="shared" si="4"/>
        <v>1</v>
      </c>
      <c r="I18" s="10">
        <f>IFERROR(__xludf.DUMMYFUNCTION("MAX(FILTER($H:$H,$E:$E=F18))"),1.0)</f>
        <v>1</v>
      </c>
    </row>
    <row r="19">
      <c r="C19" s="4" t="s">
        <v>2634</v>
      </c>
      <c r="D19" s="4" t="str">
        <f t="shared" si="1"/>
        <v>{"valorA":"produto","valorB":1}</v>
      </c>
      <c r="E19" s="8" t="str">
        <f t="shared" si="2"/>
        <v>produto</v>
      </c>
      <c r="F19" s="8" t="str">
        <f>IFERROR(__xludf.DUMMYFUNCTION("""COMPUTED_VALUE"""),"lavadora")</f>
        <v>lavadora</v>
      </c>
      <c r="G19" s="8" t="str">
        <f t="shared" si="3"/>
        <v>1</v>
      </c>
      <c r="H19" s="9">
        <f t="shared" si="4"/>
        <v>1</v>
      </c>
      <c r="I19" s="10">
        <f>IFERROR(__xludf.DUMMYFUNCTION("MAX(FILTER($H:$H,$E:$E=F19))"),3.0)</f>
        <v>3</v>
      </c>
    </row>
    <row r="20">
      <c r="C20" s="4" t="s">
        <v>2777</v>
      </c>
      <c r="D20" s="4" t="str">
        <f t="shared" si="1"/>
        <v>{"valorA":"meu","valorB":2}</v>
      </c>
      <c r="E20" s="8" t="str">
        <f t="shared" si="2"/>
        <v>meu</v>
      </c>
      <c r="F20" s="8" t="str">
        <f>IFERROR(__xludf.DUMMYFUNCTION("""COMPUTED_VALUE"""),"ótima")</f>
        <v>ótima</v>
      </c>
      <c r="G20" s="8" t="str">
        <f t="shared" si="3"/>
        <v>2</v>
      </c>
      <c r="H20" s="9">
        <f t="shared" si="4"/>
        <v>2</v>
      </c>
      <c r="I20" s="10">
        <f>IFERROR(__xludf.DUMMYFUNCTION("MAX(FILTER($H:$H,$E:$E=F20))"),8.0)</f>
        <v>8</v>
      </c>
    </row>
    <row r="21">
      <c r="C21" s="4" t="s">
        <v>8057</v>
      </c>
      <c r="D21" s="4" t="str">
        <f t="shared" si="1"/>
        <v>{"valorA":"satisfaço","valorB":1}</v>
      </c>
      <c r="E21" s="8" t="str">
        <f t="shared" si="2"/>
        <v>satisfaço</v>
      </c>
      <c r="F21" s="8" t="str">
        <f>IFERROR(__xludf.DUMMYFUNCTION("""COMPUTED_VALUE"""),"realmente")</f>
        <v>realmente</v>
      </c>
      <c r="G21" s="8" t="str">
        <f t="shared" si="3"/>
        <v>1</v>
      </c>
      <c r="H21" s="9">
        <f t="shared" si="4"/>
        <v>1</v>
      </c>
      <c r="I21" s="10">
        <f>IFERROR(__xludf.DUMMYFUNCTION("MAX(FILTER($H:$H,$E:$E=F21))"),2.0)</f>
        <v>2</v>
      </c>
    </row>
    <row r="22">
      <c r="C22" s="4" t="s">
        <v>3450</v>
      </c>
      <c r="D22" s="4" t="str">
        <f t="shared" si="1"/>
        <v>{"valorA":"lavadora","valorB":1}</v>
      </c>
      <c r="E22" s="8" t="str">
        <f t="shared" si="2"/>
        <v>lavadora</v>
      </c>
      <c r="F22" s="8" t="str">
        <f>IFERROR(__xludf.DUMMYFUNCTION("""COMPUTED_VALUE"""),"com")</f>
        <v>com</v>
      </c>
      <c r="G22" s="8" t="str">
        <f t="shared" si="3"/>
        <v>1</v>
      </c>
      <c r="H22" s="9">
        <f t="shared" si="4"/>
        <v>1</v>
      </c>
      <c r="I22" s="10">
        <f>IFERROR(__xludf.DUMMYFUNCTION("MAX(FILTER($H:$H,$E:$E=F22))"),7.0)</f>
        <v>7</v>
      </c>
    </row>
    <row r="23">
      <c r="C23" s="4" t="s">
        <v>2691</v>
      </c>
      <c r="D23" s="4" t="str">
        <f t="shared" si="1"/>
        <v>{"valorA":"o","valorB":2}</v>
      </c>
      <c r="E23" s="8" t="str">
        <f t="shared" si="2"/>
        <v>o</v>
      </c>
      <c r="F23" s="8" t="str">
        <f>IFERROR(__xludf.DUMMYFUNCTION("""COMPUTED_VALUE"""),"dinheiro")</f>
        <v>dinheiro</v>
      </c>
      <c r="G23" s="8" t="str">
        <f t="shared" si="3"/>
        <v>2</v>
      </c>
      <c r="H23" s="9">
        <f t="shared" si="4"/>
        <v>2</v>
      </c>
      <c r="I23" s="10">
        <f>IFERROR(__xludf.DUMMYFUNCTION("MAX(FILTER($H:$H,$E:$E=F23))"),1.0)</f>
        <v>1</v>
      </c>
    </row>
    <row r="24">
      <c r="C24" s="4" t="s">
        <v>3093</v>
      </c>
      <c r="D24" s="4" t="str">
        <f t="shared" si="1"/>
        <v>{"valorA":"ótima","valorB":1}</v>
      </c>
      <c r="E24" s="8" t="str">
        <f t="shared" si="2"/>
        <v>ótima</v>
      </c>
      <c r="F24" s="8" t="str">
        <f>IFERROR(__xludf.DUMMYFUNCTION("""COMPUTED_VALUE"""),"este")</f>
        <v>este</v>
      </c>
      <c r="G24" s="8" t="str">
        <f t="shared" si="3"/>
        <v>1</v>
      </c>
      <c r="H24" s="9">
        <f t="shared" si="4"/>
        <v>1</v>
      </c>
      <c r="I24" s="10">
        <f>IFERROR(__xludf.DUMMYFUNCTION("MAX(FILTER($H:$H,$E:$E=F24))"),3.0)</f>
        <v>3</v>
      </c>
    </row>
    <row r="25">
      <c r="C25" s="4" t="s">
        <v>2869</v>
      </c>
      <c r="D25" s="4" t="str">
        <f t="shared" si="1"/>
        <v>{"valorA":"realmente","valorB":1}</v>
      </c>
      <c r="E25" s="8" t="str">
        <f t="shared" si="2"/>
        <v>realmente</v>
      </c>
      <c r="F25" s="8" t="str">
        <f>IFERROR(__xludf.DUMMYFUNCTION("""COMPUTED_VALUE"""),"computador")</f>
        <v>computador</v>
      </c>
      <c r="G25" s="8" t="str">
        <f t="shared" si="3"/>
        <v>1</v>
      </c>
      <c r="H25" s="9">
        <f t="shared" si="4"/>
        <v>1</v>
      </c>
      <c r="I25" s="10">
        <f>IFERROR(__xludf.DUMMYFUNCTION("MAX(FILTER($H:$H,$E:$E=F25))"),4.0)</f>
        <v>4</v>
      </c>
    </row>
    <row r="26">
      <c r="C26" s="4" t="s">
        <v>2666</v>
      </c>
      <c r="D26" s="4" t="str">
        <f t="shared" si="1"/>
        <v>{"valorA":"com","valorB":1}</v>
      </c>
      <c r="E26" s="8" t="str">
        <f t="shared" si="2"/>
        <v>com</v>
      </c>
      <c r="F26" s="8" t="str">
        <f>IFERROR(__xludf.DUMMYFUNCTION("""COMPUTED_VALUE"""),"de")</f>
        <v>de</v>
      </c>
      <c r="G26" s="8" t="str">
        <f t="shared" si="3"/>
        <v>1</v>
      </c>
      <c r="H26" s="9">
        <f t="shared" si="4"/>
        <v>1</v>
      </c>
      <c r="I26" s="10">
        <f>IFERROR(__xludf.DUMMYFUNCTION("MAX(FILTER($H:$H,$E:$E=F26))"),25.0)</f>
        <v>25</v>
      </c>
    </row>
    <row r="27">
      <c r="C27" s="4" t="s">
        <v>3200</v>
      </c>
      <c r="D27" s="4" t="str">
        <f t="shared" si="1"/>
        <v>{"valorA":"dinheiro","valorB":1}</v>
      </c>
      <c r="E27" s="8" t="str">
        <f t="shared" si="2"/>
        <v>dinheiro</v>
      </c>
      <c r="F27" s="8" t="str">
        <f>IFERROR(__xludf.DUMMYFUNCTION("""COMPUTED_VALUE"""),"monitor")</f>
        <v>monitor</v>
      </c>
      <c r="G27" s="8" t="str">
        <f t="shared" si="3"/>
        <v>1</v>
      </c>
      <c r="H27" s="9">
        <f t="shared" si="4"/>
        <v>1</v>
      </c>
      <c r="I27" s="10">
        <f>IFERROR(__xludf.DUMMYFUNCTION("MAX(FILTER($H:$H,$E:$E=F27))"),1.0)</f>
        <v>1</v>
      </c>
    </row>
    <row r="28">
      <c r="C28" s="4" t="s">
        <v>2650</v>
      </c>
      <c r="D28" s="4" t="str">
        <f t="shared" si="1"/>
        <v>{"valorA":"produto","valorB":2}</v>
      </c>
      <c r="E28" s="8" t="str">
        <f t="shared" si="2"/>
        <v>produto</v>
      </c>
      <c r="F28" s="8" t="str">
        <f>IFERROR(__xludf.DUMMYFUNCTION("""COMPUTED_VALUE"""),"doméstico")</f>
        <v>doméstico</v>
      </c>
      <c r="G28" s="8" t="str">
        <f t="shared" si="3"/>
        <v>2</v>
      </c>
      <c r="H28" s="9">
        <f t="shared" si="4"/>
        <v>2</v>
      </c>
      <c r="I28" s="10">
        <f>IFERROR(__xludf.DUMMYFUNCTION("MAX(FILTER($H:$H,$E:$E=F28))"),1.0)</f>
        <v>1</v>
      </c>
    </row>
    <row r="29">
      <c r="C29" s="4" t="s">
        <v>2629</v>
      </c>
      <c r="D29" s="4" t="str">
        <f t="shared" si="1"/>
        <v>{"valorA":"este","valorB":1}</v>
      </c>
      <c r="E29" s="8" t="str">
        <f t="shared" si="2"/>
        <v>este</v>
      </c>
      <c r="F29" s="8" t="str">
        <f>IFERROR(__xludf.DUMMYFUNCTION("""COMPUTED_VALUE"""),"foi")</f>
        <v>foi</v>
      </c>
      <c r="G29" s="8" t="str">
        <f t="shared" si="3"/>
        <v>1</v>
      </c>
      <c r="H29" s="9">
        <f t="shared" si="4"/>
        <v>1</v>
      </c>
      <c r="I29" s="10">
        <f>IFERROR(__xludf.DUMMYFUNCTION("MAX(FILTER($H:$H,$E:$E=F29))"),4.0)</f>
        <v>4</v>
      </c>
    </row>
    <row r="30">
      <c r="C30" s="4" t="s">
        <v>2653</v>
      </c>
      <c r="D30" s="4" t="str">
        <f t="shared" si="1"/>
        <v>{"valorA":"ótimo","valorB":3}</v>
      </c>
      <c r="E30" s="8" t="str">
        <f t="shared" si="2"/>
        <v>ótimo</v>
      </c>
      <c r="F30" s="8" t="str">
        <f>IFERROR(__xludf.DUMMYFUNCTION("""COMPUTED_VALUE"""),"uso")</f>
        <v>uso</v>
      </c>
      <c r="G30" s="8" t="str">
        <f t="shared" si="3"/>
        <v>3</v>
      </c>
      <c r="H30" s="9">
        <f t="shared" si="4"/>
        <v>3</v>
      </c>
      <c r="I30" s="10">
        <f>IFERROR(__xludf.DUMMYFUNCTION("MAX(FILTER($H:$H,$E:$E=F30))"),1.0)</f>
        <v>1</v>
      </c>
    </row>
    <row r="31">
      <c r="C31" s="4" t="s">
        <v>2180</v>
      </c>
      <c r="D31" s="4" t="str">
        <f t="shared" si="1"/>
        <v>{"valorA":"computador","valorB":1}</v>
      </c>
      <c r="E31" s="8" t="str">
        <f t="shared" si="2"/>
        <v>computador</v>
      </c>
      <c r="F31" s="8" t="str">
        <f>IFERROR(__xludf.DUMMYFUNCTION("""COMPUTED_VALUE"""),"adequado")</f>
        <v>adequado</v>
      </c>
      <c r="G31" s="8" t="str">
        <f t="shared" si="3"/>
        <v>1</v>
      </c>
      <c r="H31" s="9">
        <f t="shared" si="4"/>
        <v>1</v>
      </c>
      <c r="I31" s="10">
        <f>IFERROR(__xludf.DUMMYFUNCTION("MAX(FILTER($H:$H,$E:$E=F31))"),1.0)</f>
        <v>1</v>
      </c>
    </row>
    <row r="32">
      <c r="C32" s="4" t="s">
        <v>2680</v>
      </c>
      <c r="D32" s="4" t="str">
        <f t="shared" si="1"/>
        <v>{"valorA":"de","valorB":1}</v>
      </c>
      <c r="E32" s="8" t="str">
        <f t="shared" si="2"/>
        <v>de</v>
      </c>
      <c r="F32" s="8" t="str">
        <f>IFERROR(__xludf.DUMMYFUNCTION("""COMPUTED_VALUE"""),"comentário")</f>
        <v>comentário</v>
      </c>
      <c r="G32" s="8" t="str">
        <f t="shared" si="3"/>
        <v>1</v>
      </c>
      <c r="H32" s="9">
        <f t="shared" si="4"/>
        <v>1</v>
      </c>
      <c r="I32" s="10">
        <f>IFERROR(__xludf.DUMMYFUNCTION("MAX(FILTER($H:$H,$E:$E=F32))"),5.0)</f>
        <v>5</v>
      </c>
    </row>
    <row r="33">
      <c r="C33" s="4" t="s">
        <v>3704</v>
      </c>
      <c r="D33" s="4" t="str">
        <f t="shared" si="1"/>
        <v>{"valorA":"monitor","valorB":1}</v>
      </c>
      <c r="E33" s="8" t="str">
        <f t="shared" si="2"/>
        <v>monitor</v>
      </c>
      <c r="F33" s="8" t="str">
        <f>IFERROR(__xludf.DUMMYFUNCTION("""COMPUTED_VALUE"""),"mais")</f>
        <v>mais</v>
      </c>
      <c r="G33" s="8" t="str">
        <f t="shared" si="3"/>
        <v>1</v>
      </c>
      <c r="H33" s="9">
        <f t="shared" si="4"/>
        <v>1</v>
      </c>
      <c r="I33" s="10">
        <f>IFERROR(__xludf.DUMMYFUNCTION("MAX(FILTER($H:$H,$E:$E=F33))"),1.0)</f>
        <v>1</v>
      </c>
    </row>
    <row r="34">
      <c r="C34" s="4" t="s">
        <v>8058</v>
      </c>
      <c r="D34" s="4" t="str">
        <f t="shared" si="1"/>
        <v>{"valorA":"doméstico","valorB":1}</v>
      </c>
      <c r="E34" s="8" t="str">
        <f t="shared" si="2"/>
        <v>doméstico</v>
      </c>
      <c r="F34" s="8" t="str">
        <f>IFERROR(__xludf.DUMMYFUNCTION("""COMPUTED_VALUE"""),"dentes")</f>
        <v>dentes</v>
      </c>
      <c r="G34" s="8" t="str">
        <f t="shared" si="3"/>
        <v>1</v>
      </c>
      <c r="H34" s="9">
        <f t="shared" si="4"/>
        <v>1</v>
      </c>
      <c r="I34" s="10">
        <f>IFERROR(__xludf.DUMMYFUNCTION("MAX(FILTER($H:$H,$E:$E=F34))"),1.0)</f>
        <v>1</v>
      </c>
    </row>
    <row r="35">
      <c r="C35" s="4" t="s">
        <v>3409</v>
      </c>
      <c r="D35" s="4" t="str">
        <f t="shared" si="1"/>
        <v>{"valorA":"foi","valorB":1}</v>
      </c>
      <c r="E35" s="8" t="str">
        <f t="shared" si="2"/>
        <v>foi</v>
      </c>
      <c r="F35" s="8" t="str">
        <f>IFERROR(__xludf.DUMMYFUNCTION("""COMPUTED_VALUE"""),"as")</f>
        <v>as</v>
      </c>
      <c r="G35" s="8" t="str">
        <f t="shared" si="3"/>
        <v>1</v>
      </c>
      <c r="H35" s="9">
        <f t="shared" si="4"/>
        <v>1</v>
      </c>
      <c r="I35" s="10">
        <f>IFERROR(__xludf.DUMMYFUNCTION("MAX(FILTER($H:$H,$E:$E=F35))"),2.0)</f>
        <v>2</v>
      </c>
    </row>
    <row r="36">
      <c r="C36" s="4" t="s">
        <v>2897</v>
      </c>
      <c r="D36" s="4" t="str">
        <f t="shared" si="1"/>
        <v>{"valorA":"meu","valorB":3}</v>
      </c>
      <c r="E36" s="8" t="str">
        <f t="shared" si="2"/>
        <v>meu</v>
      </c>
      <c r="F36" s="8" t="str">
        <f>IFERROR(__xludf.DUMMYFUNCTION("""COMPUTED_VALUE"""),"limpar")</f>
        <v>limpar</v>
      </c>
      <c r="G36" s="8" t="str">
        <f t="shared" si="3"/>
        <v>3</v>
      </c>
      <c r="H36" s="9">
        <f t="shared" si="4"/>
        <v>3</v>
      </c>
      <c r="I36" s="10">
        <f>IFERROR(__xludf.DUMMYFUNCTION("MAX(FILTER($H:$H,$E:$E=F36))"),4.0)</f>
        <v>4</v>
      </c>
    </row>
    <row r="37">
      <c r="C37" s="4" t="s">
        <v>8059</v>
      </c>
      <c r="D37" s="4" t="str">
        <f t="shared" si="1"/>
        <v>{"valorA":"uso","valorB":1}</v>
      </c>
      <c r="E37" s="8" t="str">
        <f t="shared" si="2"/>
        <v>uso</v>
      </c>
      <c r="F37" s="8" t="str">
        <f>IFERROR(__xludf.DUMMYFUNCTION("""COMPUTED_VALUE"""),"pequenas")</f>
        <v>pequenas</v>
      </c>
      <c r="G37" s="8" t="str">
        <f t="shared" si="3"/>
        <v>1</v>
      </c>
      <c r="H37" s="9">
        <f t="shared" si="4"/>
        <v>1</v>
      </c>
      <c r="I37" s="10">
        <f>IFERROR(__xludf.DUMMYFUNCTION("MAX(FILTER($H:$H,$E:$E=F37))"),1.0)</f>
        <v>1</v>
      </c>
    </row>
    <row r="38">
      <c r="C38" s="4" t="s">
        <v>2781</v>
      </c>
      <c r="D38" s="4" t="str">
        <f t="shared" si="1"/>
        <v>{"valorA":"o","valorB":3}</v>
      </c>
      <c r="E38" s="8" t="str">
        <f t="shared" si="2"/>
        <v>o</v>
      </c>
      <c r="F38" s="8" t="str">
        <f>IFERROR(__xludf.DUMMYFUNCTION("""COMPUTED_VALUE"""),"pasta")</f>
        <v>pasta</v>
      </c>
      <c r="G38" s="8" t="str">
        <f t="shared" si="3"/>
        <v>3</v>
      </c>
      <c r="H38" s="9">
        <f t="shared" si="4"/>
        <v>3</v>
      </c>
      <c r="I38" s="10">
        <f>IFERROR(__xludf.DUMMYFUNCTION("MAX(FILTER($H:$H,$E:$E=F38))"),1.0)</f>
        <v>1</v>
      </c>
    </row>
    <row r="39">
      <c r="C39" s="4" t="s">
        <v>8060</v>
      </c>
      <c r="D39" s="4" t="str">
        <f t="shared" si="1"/>
        <v>{"valorA":"adequado","valorB":1}</v>
      </c>
      <c r="E39" s="8" t="str">
        <f t="shared" si="2"/>
        <v>adequado</v>
      </c>
      <c r="F39" s="8" t="str">
        <f>IFERROR(__xludf.DUMMYFUNCTION("""COMPUTED_VALUE"""),"cavidades")</f>
        <v>cavidades</v>
      </c>
      <c r="G39" s="8" t="str">
        <f t="shared" si="3"/>
        <v>1</v>
      </c>
      <c r="H39" s="9">
        <f t="shared" si="4"/>
        <v>1</v>
      </c>
      <c r="I39" s="10">
        <f>IFERROR(__xludf.DUMMYFUNCTION("MAX(FILTER($H:$H,$E:$E=F39))"),1.0)</f>
        <v>1</v>
      </c>
    </row>
    <row r="40">
      <c r="C40" s="4" t="s">
        <v>2727</v>
      </c>
      <c r="D40" s="4" t="str">
        <f t="shared" si="1"/>
        <v>{"valorA":"para","valorB":2}</v>
      </c>
      <c r="E40" s="8" t="str">
        <f t="shared" si="2"/>
        <v>para</v>
      </c>
      <c r="F40" s="8" t="str">
        <f>IFERROR(__xludf.DUMMYFUNCTION("""COMPUTED_VALUE"""),"dente")</f>
        <v>dente</v>
      </c>
      <c r="G40" s="8" t="str">
        <f t="shared" si="3"/>
        <v>2</v>
      </c>
      <c r="H40" s="9">
        <f t="shared" si="4"/>
        <v>2</v>
      </c>
      <c r="I40" s="10">
        <f>IFERROR(__xludf.DUMMYFUNCTION("MAX(FILTER($H:$H,$E:$E=F40))"),1.0)</f>
        <v>1</v>
      </c>
    </row>
    <row r="41">
      <c r="C41" s="4" t="s">
        <v>3416</v>
      </c>
      <c r="D41" s="4" t="str">
        <f t="shared" si="1"/>
        <v>{"valorA":"comentário","valorB":1}</v>
      </c>
      <c r="E41" s="8" t="str">
        <f t="shared" si="2"/>
        <v>comentário</v>
      </c>
      <c r="F41" s="8" t="str">
        <f>IFERROR(__xludf.DUMMYFUNCTION("""COMPUTED_VALUE"""),"entre")</f>
        <v>entre</v>
      </c>
      <c r="G41" s="8" t="str">
        <f t="shared" si="3"/>
        <v>1</v>
      </c>
      <c r="H41" s="9">
        <f t="shared" si="4"/>
        <v>1</v>
      </c>
      <c r="I41" s="10">
        <f>IFERROR(__xludf.DUMMYFUNCTION("MAX(FILTER($H:$H,$E:$E=F41))"),1.0)</f>
        <v>1</v>
      </c>
    </row>
    <row r="42">
      <c r="C42" s="4" t="s">
        <v>2772</v>
      </c>
      <c r="D42" s="4" t="str">
        <f t="shared" si="1"/>
        <v>{"valorA":"mais","valorB":1}</v>
      </c>
      <c r="E42" s="8" t="str">
        <f t="shared" si="2"/>
        <v>mais</v>
      </c>
      <c r="F42" s="8" t="str">
        <f>IFERROR(__xludf.DUMMYFUNCTION("""COMPUTED_VALUE"""),"útil")</f>
        <v>útil</v>
      </c>
      <c r="G42" s="8" t="str">
        <f t="shared" si="3"/>
        <v>1</v>
      </c>
      <c r="H42" s="9">
        <f t="shared" si="4"/>
        <v>1</v>
      </c>
      <c r="I42" s="10">
        <f>IFERROR(__xludf.DUMMYFUNCTION("MAX(FILTER($H:$H,$E:$E=F42))"),2.0)</f>
        <v>2</v>
      </c>
    </row>
    <row r="43">
      <c r="C43" s="4" t="s">
        <v>8061</v>
      </c>
      <c r="D43" s="4" t="str">
        <f t="shared" si="1"/>
        <v>{"valorA":"dentes","valorB":1}</v>
      </c>
      <c r="E43" s="8" t="str">
        <f t="shared" si="2"/>
        <v>dentes</v>
      </c>
      <c r="F43" s="8" t="str">
        <f>IFERROR(__xludf.DUMMYFUNCTION("""COMPUTED_VALUE"""),"os")</f>
        <v>os</v>
      </c>
      <c r="G43" s="8" t="str">
        <f t="shared" si="3"/>
        <v>1</v>
      </c>
      <c r="H43" s="9">
        <f t="shared" si="4"/>
        <v>1</v>
      </c>
      <c r="I43" s="10">
        <f>IFERROR(__xludf.DUMMYFUNCTION("MAX(FILTER($H:$H,$E:$E=F43))"),1.0)</f>
        <v>1</v>
      </c>
    </row>
    <row r="44">
      <c r="C44" s="4" t="s">
        <v>2763</v>
      </c>
      <c r="D44" s="4" t="str">
        <f t="shared" si="1"/>
        <v>{"valorA":"as","valorB":1}</v>
      </c>
      <c r="E44" s="8" t="str">
        <f t="shared" si="2"/>
        <v>as</v>
      </c>
      <c r="F44" s="8" t="str">
        <f>IFERROR(__xludf.DUMMYFUNCTION("""COMPUTED_VALUE"""),"essa")</f>
        <v>essa</v>
      </c>
      <c r="G44" s="8" t="str">
        <f t="shared" si="3"/>
        <v>1</v>
      </c>
      <c r="H44" s="9">
        <f t="shared" si="4"/>
        <v>1</v>
      </c>
      <c r="I44" s="10">
        <f>IFERROR(__xludf.DUMMYFUNCTION("MAX(FILTER($H:$H,$E:$E=F44))"),2.0)</f>
        <v>2</v>
      </c>
    </row>
    <row r="45">
      <c r="C45" s="4" t="s">
        <v>3911</v>
      </c>
      <c r="D45" s="4" t="str">
        <f t="shared" si="1"/>
        <v>{"valorA":"limpar","valorB":1}</v>
      </c>
      <c r="E45" s="8" t="str">
        <f t="shared" si="2"/>
        <v>limpar</v>
      </c>
      <c r="F45" s="8" t="str">
        <f>IFERROR(__xludf.DUMMYFUNCTION("""COMPUTED_VALUE"""),"investimento")</f>
        <v>investimento</v>
      </c>
      <c r="G45" s="8" t="str">
        <f t="shared" si="3"/>
        <v>1</v>
      </c>
      <c r="H45" s="9">
        <f t="shared" si="4"/>
        <v>1</v>
      </c>
      <c r="I45" s="10">
        <f>IFERROR(__xludf.DUMMYFUNCTION("MAX(FILTER($H:$H,$E:$E=F45))"),1.0)</f>
        <v>1</v>
      </c>
    </row>
    <row r="46">
      <c r="C46" s="4" t="s">
        <v>8062</v>
      </c>
      <c r="D46" s="4" t="str">
        <f t="shared" si="1"/>
        <v>{"valorA":"pequenas","valorB":1}</v>
      </c>
      <c r="E46" s="8" t="str">
        <f t="shared" si="2"/>
        <v>pequenas</v>
      </c>
      <c r="F46" s="8" t="str">
        <f>IFERROR(__xludf.DUMMYFUNCTION("""COMPUTED_VALUE"""),"a")</f>
        <v>a</v>
      </c>
      <c r="G46" s="8" t="str">
        <f t="shared" si="3"/>
        <v>1</v>
      </c>
      <c r="H46" s="9">
        <f t="shared" si="4"/>
        <v>1</v>
      </c>
      <c r="I46" s="10">
        <f>IFERROR(__xludf.DUMMYFUNCTION("MAX(FILTER($H:$H,$E:$E=F46))"),6.0)</f>
        <v>6</v>
      </c>
    </row>
    <row r="47">
      <c r="C47" s="4" t="s">
        <v>8063</v>
      </c>
      <c r="D47" s="4" t="str">
        <f t="shared" si="1"/>
        <v>{"valorA":"pasta","valorB":1}</v>
      </c>
      <c r="E47" s="8" t="str">
        <f t="shared" si="2"/>
        <v>pasta</v>
      </c>
      <c r="F47" s="8" t="str">
        <f>IFERROR(__xludf.DUMMYFUNCTION("""COMPUTED_VALUE"""),"cama")</f>
        <v>cama</v>
      </c>
      <c r="G47" s="8" t="str">
        <f t="shared" si="3"/>
        <v>1</v>
      </c>
      <c r="H47" s="9">
        <f t="shared" si="4"/>
        <v>1</v>
      </c>
      <c r="I47" s="10">
        <f>IFERROR(__xludf.DUMMYFUNCTION("MAX(FILTER($H:$H,$E:$E=F47))"),1.0)</f>
        <v>1</v>
      </c>
    </row>
    <row r="48">
      <c r="C48" s="4" t="s">
        <v>8064</v>
      </c>
      <c r="D48" s="4" t="str">
        <f t="shared" si="1"/>
        <v>{"valorA":"cavidades","valorB":1}</v>
      </c>
      <c r="E48" s="8" t="str">
        <f t="shared" si="2"/>
        <v>cavidades</v>
      </c>
      <c r="F48" s="8" t="str">
        <f>IFERROR(__xludf.DUMMYFUNCTION("""COMPUTED_VALUE"""),"do")</f>
        <v>do</v>
      </c>
      <c r="G48" s="8" t="str">
        <f t="shared" si="3"/>
        <v>1</v>
      </c>
      <c r="H48" s="9">
        <f t="shared" si="4"/>
        <v>1</v>
      </c>
      <c r="I48" s="10">
        <f>IFERROR(__xludf.DUMMYFUNCTION("MAX(FILTER($H:$H,$E:$E=F48))"),4.0)</f>
        <v>4</v>
      </c>
    </row>
    <row r="49">
      <c r="C49" s="4" t="s">
        <v>3425</v>
      </c>
      <c r="D49" s="4" t="str">
        <f t="shared" si="1"/>
        <v>{"valorA":"foi","valorB":2}</v>
      </c>
      <c r="E49" s="8" t="str">
        <f t="shared" si="2"/>
        <v>foi</v>
      </c>
      <c r="F49" s="8" t="str">
        <f>IFERROR(__xludf.DUMMYFUNCTION("""COMPUTED_VALUE"""),"que")</f>
        <v>que</v>
      </c>
      <c r="G49" s="8" t="str">
        <f t="shared" si="3"/>
        <v>2</v>
      </c>
      <c r="H49" s="9">
        <f t="shared" si="4"/>
        <v>2</v>
      </c>
      <c r="I49" s="10">
        <f>IFERROR(__xludf.DUMMYFUNCTION("MAX(FILTER($H:$H,$E:$E=F49))"),4.0)</f>
        <v>4</v>
      </c>
    </row>
    <row r="50">
      <c r="C50" s="4" t="s">
        <v>2744</v>
      </c>
      <c r="D50" s="4" t="str">
        <f t="shared" si="1"/>
        <v>{"valorA":"para","valorB":3}</v>
      </c>
      <c r="E50" s="8" t="str">
        <f t="shared" si="2"/>
        <v>para</v>
      </c>
      <c r="F50" s="8" t="str">
        <f>IFERROR(__xludf.DUMMYFUNCTION("""COMPUTED_VALUE"""),"valeu")</f>
        <v>valeu</v>
      </c>
      <c r="G50" s="8" t="str">
        <f t="shared" si="3"/>
        <v>3</v>
      </c>
      <c r="H50" s="9">
        <f t="shared" si="4"/>
        <v>3</v>
      </c>
      <c r="I50" s="10">
        <f>IFERROR(__xludf.DUMMYFUNCTION("MAX(FILTER($H:$H,$E:$E=F50))"),1.0)</f>
        <v>1</v>
      </c>
    </row>
    <row r="51">
      <c r="C51" s="4" t="s">
        <v>3314</v>
      </c>
      <c r="D51" s="4" t="str">
        <f t="shared" si="1"/>
        <v>{"valorA":"ótima","valorB":2}</v>
      </c>
      <c r="E51" s="8" t="str">
        <f t="shared" si="2"/>
        <v>ótima</v>
      </c>
      <c r="F51" s="8" t="str">
        <f>IFERROR(__xludf.DUMMYFUNCTION("""COMPUTED_VALUE"""),"pena")</f>
        <v>pena</v>
      </c>
      <c r="G51" s="8" t="str">
        <f t="shared" si="3"/>
        <v>2</v>
      </c>
      <c r="H51" s="9">
        <f t="shared" si="4"/>
        <v>2</v>
      </c>
      <c r="I51" s="10">
        <f>IFERROR(__xludf.DUMMYFUNCTION("MAX(FILTER($H:$H,$E:$E=F51))"),2.0)</f>
        <v>2</v>
      </c>
    </row>
    <row r="52">
      <c r="C52" s="4" t="s">
        <v>2720</v>
      </c>
      <c r="D52" s="4" t="str">
        <f t="shared" si="1"/>
        <v>{"valorA":"de","valorB":2}</v>
      </c>
      <c r="E52" s="8" t="str">
        <f t="shared" si="2"/>
        <v>de</v>
      </c>
      <c r="F52" s="8" t="str">
        <f>IFERROR(__xludf.DUMMYFUNCTION("""COMPUTED_VALUE"""),"duplo")</f>
        <v>duplo</v>
      </c>
      <c r="G52" s="8" t="str">
        <f t="shared" si="3"/>
        <v>2</v>
      </c>
      <c r="H52" s="9">
        <f t="shared" si="4"/>
        <v>2</v>
      </c>
      <c r="I52" s="10">
        <f>IFERROR(__xludf.DUMMYFUNCTION("MAX(FILTER($H:$H,$E:$E=F52))"),1.0)</f>
        <v>1</v>
      </c>
    </row>
    <row r="53">
      <c r="C53" s="4" t="s">
        <v>8065</v>
      </c>
      <c r="D53" s="4" t="str">
        <f t="shared" si="1"/>
        <v>{"valorA":"dente","valorB":1}</v>
      </c>
      <c r="E53" s="8" t="str">
        <f t="shared" si="2"/>
        <v>dente</v>
      </c>
      <c r="F53" s="8" t="str">
        <f>IFERROR(__xludf.DUMMYFUNCTION("""COMPUTED_VALUE"""),"penso")</f>
        <v>penso</v>
      </c>
      <c r="G53" s="8" t="str">
        <f t="shared" si="3"/>
        <v>1</v>
      </c>
      <c r="H53" s="9">
        <f t="shared" si="4"/>
        <v>1</v>
      </c>
      <c r="I53" s="10">
        <f>IFERROR(__xludf.DUMMYFUNCTION("MAX(FILTER($H:$H,$E:$E=F53))"),1.0)</f>
        <v>1</v>
      </c>
    </row>
    <row r="54">
      <c r="C54" s="4" t="s">
        <v>8066</v>
      </c>
      <c r="D54" s="4" t="str">
        <f t="shared" si="1"/>
        <v>{"valorA":"entre","valorB":1}</v>
      </c>
      <c r="E54" s="8" t="str">
        <f t="shared" si="2"/>
        <v>entre</v>
      </c>
      <c r="F54" s="8" t="str">
        <f>IFERROR(__xludf.DUMMYFUNCTION("""COMPUTED_VALUE"""),"eficiente")</f>
        <v>eficiente</v>
      </c>
      <c r="G54" s="8" t="str">
        <f t="shared" si="3"/>
        <v>1</v>
      </c>
      <c r="H54" s="9">
        <f t="shared" si="4"/>
        <v>1</v>
      </c>
      <c r="I54" s="10">
        <f>IFERROR(__xludf.DUMMYFUNCTION("MAX(FILTER($H:$H,$E:$E=F54))"),2.0)</f>
        <v>2</v>
      </c>
    </row>
    <row r="55">
      <c r="C55" s="4" t="s">
        <v>2705</v>
      </c>
      <c r="D55" s="4" t="str">
        <f t="shared" si="1"/>
        <v>{"valorA":"muito","valorB":3}</v>
      </c>
      <c r="E55" s="8" t="str">
        <f t="shared" si="2"/>
        <v>muito</v>
      </c>
      <c r="F55" s="8" t="str">
        <f>IFERROR(__xludf.DUMMYFUNCTION("""COMPUTED_VALUE"""),"lavador")</f>
        <v>lavador</v>
      </c>
      <c r="G55" s="8" t="str">
        <f t="shared" si="3"/>
        <v>3</v>
      </c>
      <c r="H55" s="9">
        <f t="shared" si="4"/>
        <v>3</v>
      </c>
      <c r="I55" s="10">
        <f>IFERROR(__xludf.DUMMYFUNCTION("MAX(FILTER($H:$H,$E:$E=F55))"),9.0)</f>
        <v>9</v>
      </c>
    </row>
    <row r="56">
      <c r="C56" s="4" t="s">
        <v>2963</v>
      </c>
      <c r="D56" s="4" t="str">
        <f t="shared" si="1"/>
        <v>{"valorA":"útil","valorB":1}</v>
      </c>
      <c r="E56" s="8" t="str">
        <f t="shared" si="2"/>
        <v>útil</v>
      </c>
      <c r="F56" s="8" t="str">
        <f>IFERROR(__xludf.DUMMYFUNCTION("""COMPUTED_VALUE"""),"pratos")</f>
        <v>pratos</v>
      </c>
      <c r="G56" s="8" t="str">
        <f t="shared" si="3"/>
        <v>1</v>
      </c>
      <c r="H56" s="9">
        <f t="shared" si="4"/>
        <v>1</v>
      </c>
      <c r="I56" s="10">
        <f>IFERROR(__xludf.DUMMYFUNCTION("MAX(FILTER($H:$H,$E:$E=F56))"),3.0)</f>
        <v>3</v>
      </c>
    </row>
    <row r="57">
      <c r="C57" s="4" t="s">
        <v>3220</v>
      </c>
      <c r="D57" s="4" t="str">
        <f t="shared" si="1"/>
        <v>{"valorA":"os","valorB":1}</v>
      </c>
      <c r="E57" s="8" t="str">
        <f t="shared" si="2"/>
        <v>os</v>
      </c>
      <c r="F57" s="8" t="str">
        <f>IFERROR(__xludf.DUMMYFUNCTION("""COMPUTED_VALUE"""),"recomendo")</f>
        <v>recomendo</v>
      </c>
      <c r="G57" s="8" t="str">
        <f t="shared" si="3"/>
        <v>1</v>
      </c>
      <c r="H57" s="9">
        <f t="shared" si="4"/>
        <v>1</v>
      </c>
      <c r="I57" s="10">
        <f>IFERROR(__xludf.DUMMYFUNCTION("MAX(FILTER($H:$H,$E:$E=F57))"),4.0)</f>
        <v>4</v>
      </c>
    </row>
    <row r="58">
      <c r="C58" s="4" t="s">
        <v>2683</v>
      </c>
      <c r="D58" s="4" t="str">
        <f t="shared" si="1"/>
        <v>{"valorA":"essa","valorB":1}</v>
      </c>
      <c r="E58" s="8" t="str">
        <f t="shared" si="2"/>
        <v>essa</v>
      </c>
      <c r="F58" s="8" t="str">
        <f>IFERROR(__xludf.DUMMYFUNCTION("""COMPUTED_VALUE"""),"energia")</f>
        <v>energia</v>
      </c>
      <c r="G58" s="8" t="str">
        <f t="shared" si="3"/>
        <v>1</v>
      </c>
      <c r="H58" s="9">
        <f t="shared" si="4"/>
        <v>1</v>
      </c>
      <c r="I58" s="10">
        <f>IFERROR(__xludf.DUMMYFUNCTION("MAX(FILTER($H:$H,$E:$E=F58))"),3.0)</f>
        <v>3</v>
      </c>
    </row>
    <row r="59">
      <c r="C59" s="4" t="s">
        <v>3453</v>
      </c>
      <c r="D59" s="4" t="str">
        <f t="shared" si="1"/>
        <v>{"valorA":"investimento","valorB":1}</v>
      </c>
      <c r="E59" s="8" t="str">
        <f t="shared" si="2"/>
        <v>investimento</v>
      </c>
      <c r="F59" s="8" t="str">
        <f>IFERROR(__xludf.DUMMYFUNCTION("""COMPUTED_VALUE"""),"antigo")</f>
        <v>antigo</v>
      </c>
      <c r="G59" s="8" t="str">
        <f t="shared" si="3"/>
        <v>1</v>
      </c>
      <c r="H59" s="9">
        <f t="shared" si="4"/>
        <v>1</v>
      </c>
      <c r="I59" s="10">
        <f>IFERROR(__xludf.DUMMYFUNCTION("MAX(FILTER($H:$H,$E:$E=F59))"),1.0)</f>
        <v>1</v>
      </c>
    </row>
    <row r="60">
      <c r="C60" s="4" t="s">
        <v>2647</v>
      </c>
      <c r="D60" s="4" t="str">
        <f t="shared" si="1"/>
        <v>{"valorA":"a","valorB":1}</v>
      </c>
      <c r="E60" s="8" t="str">
        <f t="shared" si="2"/>
        <v>a</v>
      </c>
      <c r="F60" s="8" t="str">
        <f>IFERROR(__xludf.DUMMYFUNCTION("""COMPUTED_VALUE"""),"menos")</f>
        <v>menos</v>
      </c>
      <c r="G60" s="8" t="str">
        <f t="shared" si="3"/>
        <v>1</v>
      </c>
      <c r="H60" s="9">
        <f t="shared" si="4"/>
        <v>1</v>
      </c>
      <c r="I60" s="10">
        <f>IFERROR(__xludf.DUMMYFUNCTION("MAX(FILTER($H:$H,$E:$E=F60))"),1.0)</f>
        <v>1</v>
      </c>
    </row>
    <row r="61">
      <c r="C61" s="4" t="s">
        <v>8067</v>
      </c>
      <c r="D61" s="4" t="str">
        <f t="shared" si="1"/>
        <v>{"valorA":"cama","valorB":1}</v>
      </c>
      <c r="E61" s="8" t="str">
        <f t="shared" si="2"/>
        <v>cama</v>
      </c>
      <c r="F61" s="8" t="str">
        <f>IFERROR(__xludf.DUMMYFUNCTION("""COMPUTED_VALUE"""),"lâmpada")</f>
        <v>lâmpada</v>
      </c>
      <c r="G61" s="8" t="str">
        <f t="shared" si="3"/>
        <v>1</v>
      </c>
      <c r="H61" s="9">
        <f t="shared" si="4"/>
        <v>1</v>
      </c>
      <c r="I61" s="10">
        <f>IFERROR(__xludf.DUMMYFUNCTION("MAX(FILTER($H:$H,$E:$E=F61))"),1.0)</f>
        <v>1</v>
      </c>
    </row>
    <row r="62">
      <c r="C62" s="4" t="s">
        <v>2654</v>
      </c>
      <c r="D62" s="4" t="str">
        <f t="shared" si="1"/>
        <v>{"valorA":"do","valorB":1}</v>
      </c>
      <c r="E62" s="8" t="str">
        <f t="shared" si="2"/>
        <v>do</v>
      </c>
      <c r="F62" s="8" t="str">
        <f>IFERROR(__xludf.DUMMYFUNCTION("""COMPUTED_VALUE"""),"led")</f>
        <v>led</v>
      </c>
      <c r="G62" s="8" t="str">
        <f t="shared" si="3"/>
        <v>1</v>
      </c>
      <c r="H62" s="9">
        <f t="shared" si="4"/>
        <v>1</v>
      </c>
      <c r="I62" s="10">
        <f>IFERROR(__xludf.DUMMYFUNCTION("MAX(FILTER($H:$H,$E:$E=F62))"),1.0)</f>
        <v>1</v>
      </c>
    </row>
    <row r="63">
      <c r="C63" s="4" t="s">
        <v>3359</v>
      </c>
      <c r="D63" s="4" t="str">
        <f t="shared" si="1"/>
        <v>{"valorA":"ótima","valorB":3}</v>
      </c>
      <c r="E63" s="8" t="str">
        <f t="shared" si="2"/>
        <v>ótima</v>
      </c>
      <c r="F63" s="8" t="str">
        <f>IFERROR(__xludf.DUMMYFUNCTION("""COMPUTED_VALUE"""),"consuma")</f>
        <v>consuma</v>
      </c>
      <c r="G63" s="8" t="str">
        <f t="shared" si="3"/>
        <v>3</v>
      </c>
      <c r="H63" s="9">
        <f t="shared" si="4"/>
        <v>3</v>
      </c>
      <c r="I63" s="10">
        <f>IFERROR(__xludf.DUMMYFUNCTION("MAX(FILTER($H:$H,$E:$E=F63))"),1.0)</f>
        <v>1</v>
      </c>
    </row>
    <row r="64">
      <c r="C64" s="4" t="s">
        <v>2642</v>
      </c>
      <c r="D64" s="4" t="str">
        <f t="shared" si="1"/>
        <v>{"valorA":"que","valorB":1}</v>
      </c>
      <c r="E64" s="8" t="str">
        <f t="shared" si="2"/>
        <v>que</v>
      </c>
      <c r="F64" s="8" t="str">
        <f>IFERROR(__xludf.DUMMYFUNCTION("""COMPUTED_VALUE"""),"modelo")</f>
        <v>modelo</v>
      </c>
      <c r="G64" s="8" t="str">
        <f t="shared" si="3"/>
        <v>1</v>
      </c>
      <c r="H64" s="9">
        <f t="shared" si="4"/>
        <v>1</v>
      </c>
      <c r="I64" s="10">
        <f>IFERROR(__xludf.DUMMYFUNCTION("MAX(FILTER($H:$H,$E:$E=F64))"),6.0)</f>
        <v>6</v>
      </c>
    </row>
    <row r="65">
      <c r="C65" s="4" t="s">
        <v>3037</v>
      </c>
      <c r="D65" s="4" t="str">
        <f t="shared" si="1"/>
        <v>{"valorA":"valeu","valorB":1}</v>
      </c>
      <c r="E65" s="8" t="str">
        <f t="shared" si="2"/>
        <v>valeu</v>
      </c>
      <c r="F65" s="8" t="str">
        <f>IFERROR(__xludf.DUMMYFUNCTION("""COMPUTED_VALUE"""),"início")</f>
        <v>início</v>
      </c>
      <c r="G65" s="8" t="str">
        <f t="shared" si="3"/>
        <v>1</v>
      </c>
      <c r="H65" s="9">
        <f t="shared" si="4"/>
        <v>1</v>
      </c>
      <c r="I65" s="10">
        <f>IFERROR(__xludf.DUMMYFUNCTION("MAX(FILTER($H:$H,$E:$E=F65))"),1.0)</f>
        <v>1</v>
      </c>
    </row>
    <row r="66">
      <c r="C66" s="4" t="s">
        <v>2649</v>
      </c>
      <c r="D66" s="4" t="str">
        <f t="shared" si="1"/>
        <v>{"valorA":"pena","valorB":1}</v>
      </c>
      <c r="E66" s="8" t="str">
        <f t="shared" si="2"/>
        <v>pena</v>
      </c>
      <c r="F66" s="8" t="str">
        <f>IFERROR(__xludf.DUMMYFUNCTION("""COMPUTED_VALUE"""),"trabalha")</f>
        <v>trabalha</v>
      </c>
      <c r="G66" s="8" t="str">
        <f t="shared" si="3"/>
        <v>1</v>
      </c>
      <c r="H66" s="9">
        <f t="shared" si="4"/>
        <v>1</v>
      </c>
      <c r="I66" s="10">
        <f>IFERROR(__xludf.DUMMYFUNCTION("MAX(FILTER($H:$H,$E:$E=F66))"),2.0)</f>
        <v>2</v>
      </c>
    </row>
    <row r="67">
      <c r="C67" s="4" t="s">
        <v>8068</v>
      </c>
      <c r="D67" s="4" t="str">
        <f t="shared" si="1"/>
        <v>{"valorA":"duplo","valorB":1}</v>
      </c>
      <c r="E67" s="8" t="str">
        <f t="shared" si="2"/>
        <v>duplo</v>
      </c>
      <c r="F67" s="8" t="str">
        <f>IFERROR(__xludf.DUMMYFUNCTION("""COMPUTED_VALUE"""),"desde")</f>
        <v>desde</v>
      </c>
      <c r="G67" s="8" t="str">
        <f t="shared" si="3"/>
        <v>1</v>
      </c>
      <c r="H67" s="9">
        <f t="shared" si="4"/>
        <v>1</v>
      </c>
      <c r="I67" s="10">
        <f>IFERROR(__xludf.DUMMYFUNCTION("MAX(FILTER($H:$H,$E:$E=F67))"),3.0)</f>
        <v>3</v>
      </c>
    </row>
    <row r="68">
      <c r="C68" s="4" t="s">
        <v>8069</v>
      </c>
      <c r="D68" s="4" t="str">
        <f t="shared" si="1"/>
        <v>{"valorA":"penso","valorB":1}</v>
      </c>
      <c r="E68" s="8" t="str">
        <f t="shared" si="2"/>
        <v>penso</v>
      </c>
      <c r="F68" s="8" t="str">
        <f>IFERROR(__xludf.DUMMYFUNCTION("""COMPUTED_VALUE"""),"hoje")</f>
        <v>hoje</v>
      </c>
      <c r="G68" s="8" t="str">
        <f t="shared" si="3"/>
        <v>1</v>
      </c>
      <c r="H68" s="9">
        <f t="shared" si="4"/>
        <v>1</v>
      </c>
      <c r="I68" s="10">
        <f>IFERROR(__xludf.DUMMYFUNCTION("MAX(FILTER($H:$H,$E:$E=F68))"),2.0)</f>
        <v>2</v>
      </c>
    </row>
    <row r="69">
      <c r="C69" s="4" t="s">
        <v>3451</v>
      </c>
      <c r="D69" s="4" t="str">
        <f t="shared" si="1"/>
        <v>{"valorA":"eficiente","valorB":1}</v>
      </c>
      <c r="E69" s="8" t="str">
        <f t="shared" si="2"/>
        <v>eficiente</v>
      </c>
      <c r="F69" s="8" t="str">
        <f>IFERROR(__xludf.DUMMYFUNCTION("""COMPUTED_VALUE"""),"até")</f>
        <v>até</v>
      </c>
      <c r="G69" s="8" t="str">
        <f t="shared" si="3"/>
        <v>1</v>
      </c>
      <c r="H69" s="9">
        <f t="shared" si="4"/>
        <v>1</v>
      </c>
      <c r="I69" s="10">
        <f>IFERROR(__xludf.DUMMYFUNCTION("MAX(FILTER($H:$H,$E:$E=F69))"),2.0)</f>
        <v>2</v>
      </c>
    </row>
    <row r="70">
      <c r="C70" s="4" t="s">
        <v>2657</v>
      </c>
      <c r="D70" s="4" t="str">
        <f t="shared" si="1"/>
        <v>{"valorA":"ótimo","valorB":4}</v>
      </c>
      <c r="E70" s="8" t="str">
        <f t="shared" si="2"/>
        <v>ótimo</v>
      </c>
      <c r="F70" s="8" t="str">
        <f>IFERROR(__xludf.DUMMYFUNCTION("""COMPUTED_VALUE"""),"e")</f>
        <v>e</v>
      </c>
      <c r="G70" s="8" t="str">
        <f t="shared" si="3"/>
        <v>4</v>
      </c>
      <c r="H70" s="9">
        <f t="shared" si="4"/>
        <v>4</v>
      </c>
      <c r="I70" s="10">
        <f>IFERROR(__xludf.DUMMYFUNCTION("MAX(FILTER($H:$H,$E:$E=F70))"),9.0)</f>
        <v>9</v>
      </c>
    </row>
    <row r="71">
      <c r="C71" s="4" t="s">
        <v>2736</v>
      </c>
      <c r="D71" s="4" t="str">
        <f t="shared" si="1"/>
        <v>{"valorA":"de","valorB":3}</v>
      </c>
      <c r="E71" s="8" t="str">
        <f t="shared" si="2"/>
        <v>de</v>
      </c>
      <c r="F71" s="8" t="str">
        <f>IFERROR(__xludf.DUMMYFUNCTION("""COMPUTED_VALUE"""),"óptimo")</f>
        <v>óptimo</v>
      </c>
      <c r="G71" s="8" t="str">
        <f t="shared" si="3"/>
        <v>3</v>
      </c>
      <c r="H71" s="9">
        <f t="shared" si="4"/>
        <v>3</v>
      </c>
      <c r="I71" s="10">
        <f>IFERROR(__xludf.DUMMYFUNCTION("MAX(FILTER($H:$H,$E:$E=F71))"),2.0)</f>
        <v>2</v>
      </c>
    </row>
    <row r="72">
      <c r="C72" s="4" t="s">
        <v>3317</v>
      </c>
      <c r="D72" s="4" t="str">
        <f t="shared" si="1"/>
        <v>{"valorA":"lavador","valorB":1}</v>
      </c>
      <c r="E72" s="8" t="str">
        <f t="shared" si="2"/>
        <v>lavador</v>
      </c>
      <c r="F72" s="8" t="str">
        <f>IFERROR(__xludf.DUMMYFUNCTION("""COMPUTED_VALUE"""),"conveniente")</f>
        <v>conveniente</v>
      </c>
      <c r="G72" s="8" t="str">
        <f t="shared" si="3"/>
        <v>1</v>
      </c>
      <c r="H72" s="9">
        <f t="shared" si="4"/>
        <v>1</v>
      </c>
      <c r="I72" s="10">
        <f>IFERROR(__xludf.DUMMYFUNCTION("MAX(FILTER($H:$H,$E:$E=F72))"),1.0)</f>
        <v>1</v>
      </c>
    </row>
    <row r="73">
      <c r="C73" s="4" t="s">
        <v>2651</v>
      </c>
      <c r="D73" s="4" t="str">
        <f t="shared" si="1"/>
        <v>{"valorA":"esse","valorB":2}</v>
      </c>
      <c r="E73" s="8" t="str">
        <f t="shared" si="2"/>
        <v>esse</v>
      </c>
      <c r="F73" s="8" t="str">
        <f>IFERROR(__xludf.DUMMYFUNCTION("""COMPUTED_VALUE"""),"refrigerador")</f>
        <v>refrigerador</v>
      </c>
      <c r="G73" s="8" t="str">
        <f t="shared" si="3"/>
        <v>2</v>
      </c>
      <c r="H73" s="9">
        <f t="shared" si="4"/>
        <v>2</v>
      </c>
      <c r="I73" s="10">
        <f>IFERROR(__xludf.DUMMYFUNCTION("MAX(FILTER($H:$H,$E:$E=F73))"),2.0)</f>
        <v>2</v>
      </c>
    </row>
    <row r="74">
      <c r="C74" s="4" t="s">
        <v>3319</v>
      </c>
      <c r="D74" s="4" t="str">
        <f t="shared" si="1"/>
        <v>{"valorA":"pratos","valorB":1}</v>
      </c>
      <c r="E74" s="8" t="str">
        <f t="shared" si="2"/>
        <v>pratos</v>
      </c>
      <c r="F74" s="8" t="str">
        <f>IFERROR(__xludf.DUMMYFUNCTION("""COMPUTED_VALUE"""),"eu")</f>
        <v>eu</v>
      </c>
      <c r="G74" s="8" t="str">
        <f t="shared" si="3"/>
        <v>1</v>
      </c>
      <c r="H74" s="9">
        <f t="shared" si="4"/>
        <v>1</v>
      </c>
      <c r="I74" s="10">
        <f>IFERROR(__xludf.DUMMYFUNCTION("MAX(FILTER($H:$H,$E:$E=F74))"),1.0)</f>
        <v>1</v>
      </c>
    </row>
    <row r="75">
      <c r="C75" s="4" t="s">
        <v>2724</v>
      </c>
      <c r="D75" s="4" t="str">
        <f t="shared" si="1"/>
        <v>{"valorA":"recomendo","valorB":1}</v>
      </c>
      <c r="E75" s="8" t="str">
        <f t="shared" si="2"/>
        <v>recomendo</v>
      </c>
      <c r="F75" s="8" t="str">
        <f>IFERROR(__xludf.DUMMYFUNCTION("""COMPUTED_VALUE"""),"como")</f>
        <v>como</v>
      </c>
      <c r="G75" s="8" t="str">
        <f t="shared" si="3"/>
        <v>1</v>
      </c>
      <c r="H75" s="9">
        <f t="shared" si="4"/>
        <v>1</v>
      </c>
      <c r="I75" s="10">
        <f>IFERROR(__xludf.DUMMYFUNCTION("MAX(FILTER($H:$H,$E:$E=F75))"),1.0)</f>
        <v>1</v>
      </c>
    </row>
    <row r="76">
      <c r="C76" s="4" t="s">
        <v>3938</v>
      </c>
      <c r="D76" s="4" t="str">
        <f t="shared" si="1"/>
        <v>{"valorA":"energia","valorB":1}</v>
      </c>
      <c r="E76" s="8" t="str">
        <f t="shared" si="2"/>
        <v>energia</v>
      </c>
      <c r="F76" s="8" t="str">
        <f>IFERROR(__xludf.DUMMYFUNCTION("""COMPUTED_VALUE"""),"quem")</f>
        <v>quem</v>
      </c>
      <c r="G76" s="8" t="str">
        <f t="shared" si="3"/>
        <v>1</v>
      </c>
      <c r="H76" s="9">
        <f t="shared" si="4"/>
        <v>1</v>
      </c>
      <c r="I76" s="10">
        <f>IFERROR(__xludf.DUMMYFUNCTION("MAX(FILTER($H:$H,$E:$E=F76))"),4.0)</f>
        <v>4</v>
      </c>
    </row>
    <row r="77">
      <c r="C77" s="4" t="s">
        <v>2695</v>
      </c>
      <c r="D77" s="4" t="str">
        <f t="shared" si="1"/>
        <v>{"valorA":"que","valorB":2}</v>
      </c>
      <c r="E77" s="8" t="str">
        <f t="shared" si="2"/>
        <v>que</v>
      </c>
      <c r="F77" s="8" t="str">
        <f>IFERROR(__xludf.DUMMYFUNCTION("""COMPUTED_VALUE"""),"certo")</f>
        <v>certo</v>
      </c>
      <c r="G77" s="8" t="str">
        <f t="shared" si="3"/>
        <v>2</v>
      </c>
      <c r="H77" s="9">
        <f t="shared" si="4"/>
        <v>2</v>
      </c>
      <c r="I77" s="10">
        <f>IFERROR(__xludf.DUMMYFUNCTION("MAX(FILTER($H:$H,$E:$E=F77))"),1.0)</f>
        <v>1</v>
      </c>
    </row>
    <row r="78">
      <c r="C78" s="4" t="s">
        <v>3366</v>
      </c>
      <c r="D78" s="4" t="str">
        <f t="shared" si="1"/>
        <v>{"valorA":"ótima","valorB":4}</v>
      </c>
      <c r="E78" s="8" t="str">
        <f t="shared" si="2"/>
        <v>ótima</v>
      </c>
      <c r="F78" s="8" t="str">
        <f>IFERROR(__xludf.DUMMYFUNCTION("""COMPUTED_VALUE"""),"tem")</f>
        <v>tem</v>
      </c>
      <c r="G78" s="8" t="str">
        <f t="shared" si="3"/>
        <v>4</v>
      </c>
      <c r="H78" s="9">
        <f t="shared" si="4"/>
        <v>4</v>
      </c>
      <c r="I78" s="10">
        <f>IFERROR(__xludf.DUMMYFUNCTION("MAX(FILTER($H:$H,$E:$E=F78))"),2.0)</f>
        <v>2</v>
      </c>
    </row>
    <row r="79">
      <c r="C79" s="4" t="s">
        <v>2778</v>
      </c>
      <c r="D79" s="4" t="str">
        <f t="shared" si="1"/>
        <v>{"valorA":"antigo","valorB":1}</v>
      </c>
      <c r="E79" s="8" t="str">
        <f t="shared" si="2"/>
        <v>antigo</v>
      </c>
      <c r="F79" s="8" t="str">
        <f>IFERROR(__xludf.DUMMYFUNCTION("""COMPUTED_VALUE"""),"delgado")</f>
        <v>delgado</v>
      </c>
      <c r="G79" s="8" t="str">
        <f t="shared" si="3"/>
        <v>1</v>
      </c>
      <c r="H79" s="9">
        <f t="shared" si="4"/>
        <v>1</v>
      </c>
      <c r="I79" s="10">
        <f>IFERROR(__xludf.DUMMYFUNCTION("MAX(FILTER($H:$H,$E:$E=F79))"),1.0)</f>
        <v>1</v>
      </c>
    </row>
    <row r="80">
      <c r="C80" s="4" t="s">
        <v>8070</v>
      </c>
      <c r="D80" s="4" t="str">
        <f t="shared" si="1"/>
        <v>{"valorA":"menos","valorB":1}</v>
      </c>
      <c r="E80" s="8" t="str">
        <f t="shared" si="2"/>
        <v>menos</v>
      </c>
      <c r="F80" s="8" t="str">
        <f>IFERROR(__xludf.DUMMYFUNCTION("""COMPUTED_VALUE"""),"cabelo")</f>
        <v>cabelo</v>
      </c>
      <c r="G80" s="8" t="str">
        <f t="shared" si="3"/>
        <v>1</v>
      </c>
      <c r="H80" s="9">
        <f t="shared" si="4"/>
        <v>1</v>
      </c>
      <c r="I80" s="10">
        <f>IFERROR(__xludf.DUMMYFUNCTION("MAX(FILTER($H:$H,$E:$E=F80))"),2.0)</f>
        <v>2</v>
      </c>
    </row>
    <row r="81">
      <c r="C81" s="4" t="s">
        <v>3397</v>
      </c>
      <c r="D81" s="4" t="str">
        <f t="shared" si="1"/>
        <v>{"valorA":"lâmpada","valorB":1}</v>
      </c>
      <c r="E81" s="8" t="str">
        <f t="shared" si="2"/>
        <v>lâmpada</v>
      </c>
      <c r="F81" s="8" t="str">
        <f>IFERROR(__xludf.DUMMYFUNCTION("""COMPUTED_VALUE"""),"condicionado")</f>
        <v>condicionado</v>
      </c>
      <c r="G81" s="8" t="str">
        <f t="shared" si="3"/>
        <v>1</v>
      </c>
      <c r="H81" s="9">
        <f t="shared" si="4"/>
        <v>1</v>
      </c>
      <c r="I81" s="10">
        <f>IFERROR(__xludf.DUMMYFUNCTION("MAX(FILTER($H:$H,$E:$E=F81))"),1.0)</f>
        <v>1</v>
      </c>
    </row>
    <row r="82">
      <c r="C82" s="4" t="s">
        <v>2707</v>
      </c>
      <c r="D82" s="4" t="str">
        <f t="shared" si="1"/>
        <v>{"valorA":"do","valorB":2}</v>
      </c>
      <c r="E82" s="8" t="str">
        <f t="shared" si="2"/>
        <v>do</v>
      </c>
      <c r="F82" s="8" t="str">
        <f>IFERROR(__xludf.DUMMYFUNCTION("""COMPUTED_VALUE"""),"achei")</f>
        <v>achei</v>
      </c>
      <c r="G82" s="8" t="str">
        <f t="shared" si="3"/>
        <v>2</v>
      </c>
      <c r="H82" s="9">
        <f t="shared" si="4"/>
        <v>2</v>
      </c>
      <c r="I82" s="10">
        <f>IFERROR(__xludf.DUMMYFUNCTION("MAX(FILTER($H:$H,$E:$E=F82))"),1.0)</f>
        <v>1</v>
      </c>
    </row>
    <row r="83">
      <c r="C83" s="4" t="s">
        <v>3396</v>
      </c>
      <c r="D83" s="4" t="str">
        <f t="shared" si="1"/>
        <v>{"valorA":"led","valorB":1}</v>
      </c>
      <c r="E83" s="8" t="str">
        <f t="shared" si="2"/>
        <v>led</v>
      </c>
      <c r="F83" s="8" t="str">
        <f>IFERROR(__xludf.DUMMYFUNCTION("""COMPUTED_VALUE"""),"sistema")</f>
        <v>sistema</v>
      </c>
      <c r="G83" s="8" t="str">
        <f t="shared" si="3"/>
        <v>1</v>
      </c>
      <c r="H83" s="9">
        <f t="shared" si="4"/>
        <v>1</v>
      </c>
      <c r="I83" s="10">
        <f>IFERROR(__xludf.DUMMYFUNCTION("MAX(FILTER($H:$H,$E:$E=F83))"),2.0)</f>
        <v>2</v>
      </c>
    </row>
    <row r="84">
      <c r="C84" s="4" t="s">
        <v>8071</v>
      </c>
      <c r="D84" s="4" t="str">
        <f t="shared" si="1"/>
        <v>{"valorA":"consuma","valorB":1}</v>
      </c>
      <c r="E84" s="8" t="str">
        <f t="shared" si="2"/>
        <v>consuma</v>
      </c>
      <c r="F84" s="8" t="str">
        <f>IFERROR(__xludf.DUMMYFUNCTION("""COMPUTED_VALUE"""),"confortável")</f>
        <v>confortável</v>
      </c>
      <c r="G84" s="8" t="str">
        <f t="shared" si="3"/>
        <v>1</v>
      </c>
      <c r="H84" s="9">
        <f t="shared" si="4"/>
        <v>1</v>
      </c>
      <c r="I84" s="10">
        <f>IFERROR(__xludf.DUMMYFUNCTION("MAX(FILTER($H:$H,$E:$E=F84))"),2.0)</f>
        <v>2</v>
      </c>
    </row>
    <row r="85">
      <c r="C85" s="4" t="s">
        <v>2810</v>
      </c>
      <c r="D85" s="4" t="str">
        <f t="shared" si="1"/>
        <v>{"valorA":"o","valorB":4}</v>
      </c>
      <c r="E85" s="8" t="str">
        <f t="shared" si="2"/>
        <v>o</v>
      </c>
      <c r="F85" s="8" t="str">
        <f>IFERROR(__xludf.DUMMYFUNCTION("""COMPUTED_VALUE"""),"ar")</f>
        <v>ar</v>
      </c>
      <c r="G85" s="8" t="str">
        <f t="shared" si="3"/>
        <v>4</v>
      </c>
      <c r="H85" s="9">
        <f t="shared" si="4"/>
        <v>4</v>
      </c>
      <c r="I85" s="10">
        <f>IFERROR(__xludf.DUMMYFUNCTION("MAX(FILTER($H:$H,$E:$E=F85))"),1.0)</f>
        <v>1</v>
      </c>
    </row>
    <row r="86">
      <c r="C86" s="4" t="s">
        <v>3336</v>
      </c>
      <c r="D86" s="4" t="str">
        <f t="shared" si="1"/>
        <v>{"valorA":"modelo","valorB":1}</v>
      </c>
      <c r="E86" s="8" t="str">
        <f t="shared" si="2"/>
        <v>modelo</v>
      </c>
      <c r="F86" s="8" t="str">
        <f>IFERROR(__xludf.DUMMYFUNCTION("""COMPUTED_VALUE"""),"sem")</f>
        <v>sem</v>
      </c>
      <c r="G86" s="8" t="str">
        <f t="shared" si="3"/>
        <v>1</v>
      </c>
      <c r="H86" s="9">
        <f t="shared" si="4"/>
        <v>1</v>
      </c>
      <c r="I86" s="10">
        <f>IFERROR(__xludf.DUMMYFUNCTION("MAX(FILTER($H:$H,$E:$E=F86))"),2.0)</f>
        <v>2</v>
      </c>
    </row>
    <row r="87">
      <c r="C87" s="4" t="s">
        <v>3454</v>
      </c>
      <c r="D87" s="4" t="str">
        <f t="shared" si="1"/>
        <v>{"valorA":"comentário","valorB":2}</v>
      </c>
      <c r="E87" s="8" t="str">
        <f t="shared" si="2"/>
        <v>comentário</v>
      </c>
      <c r="F87" s="8" t="str">
        <f>IFERROR(__xludf.DUMMYFUNCTION("""COMPUTED_VALUE"""),"roupa")</f>
        <v>roupa</v>
      </c>
      <c r="G87" s="8" t="str">
        <f t="shared" si="3"/>
        <v>2</v>
      </c>
      <c r="H87" s="9">
        <f t="shared" si="4"/>
        <v>2</v>
      </c>
      <c r="I87" s="10">
        <f>IFERROR(__xludf.DUMMYFUNCTION("MAX(FILTER($H:$H,$E:$E=F87))"),3.0)</f>
        <v>3</v>
      </c>
    </row>
    <row r="88">
      <c r="C88" s="4" t="s">
        <v>2785</v>
      </c>
      <c r="D88" s="4" t="str">
        <f t="shared" si="1"/>
        <v>{"valorA":"muito","valorB":4}</v>
      </c>
      <c r="E88" s="8" t="str">
        <f t="shared" si="2"/>
        <v>muito</v>
      </c>
      <c r="F88" s="8" t="str">
        <f>IFERROR(__xludf.DUMMYFUNCTION("""COMPUTED_VALUE"""),"reservas")</f>
        <v>reservas</v>
      </c>
      <c r="G88" s="8" t="str">
        <f t="shared" si="3"/>
        <v>4</v>
      </c>
      <c r="H88" s="9">
        <f t="shared" si="4"/>
        <v>4</v>
      </c>
      <c r="I88" s="10">
        <f>IFERROR(__xludf.DUMMYFUNCTION("MAX(FILTER($H:$H,$E:$E=F88))"),1.0)</f>
        <v>1</v>
      </c>
    </row>
    <row r="89">
      <c r="C89" s="4" t="s">
        <v>8072</v>
      </c>
      <c r="D89" s="4" t="str">
        <f t="shared" si="1"/>
        <v>{"valorA":"início","valorB":1}</v>
      </c>
      <c r="E89" s="8" t="str">
        <f t="shared" si="2"/>
        <v>início</v>
      </c>
      <c r="F89" s="8" t="str">
        <f>IFERROR(__xludf.DUMMYFUNCTION("""COMPUTED_VALUE"""),"economiza")</f>
        <v>economiza</v>
      </c>
      <c r="G89" s="8" t="str">
        <f t="shared" si="3"/>
        <v>1</v>
      </c>
      <c r="H89" s="9">
        <f t="shared" si="4"/>
        <v>1</v>
      </c>
      <c r="I89" s="10">
        <f>IFERROR(__xludf.DUMMYFUNCTION("MAX(FILTER($H:$H,$E:$E=F89))"),1.0)</f>
        <v>1</v>
      </c>
    </row>
    <row r="90">
      <c r="C90" s="4" t="s">
        <v>8073</v>
      </c>
      <c r="D90" s="4" t="str">
        <f t="shared" si="1"/>
        <v>{"valorA":"trabalha","valorB":1}</v>
      </c>
      <c r="E90" s="8" t="str">
        <f t="shared" si="2"/>
        <v>trabalha</v>
      </c>
      <c r="F90" s="8" t="str">
        <f>IFERROR(__xludf.DUMMYFUNCTION("""COMPUTED_VALUE"""),"água")</f>
        <v>água</v>
      </c>
      <c r="G90" s="8" t="str">
        <f t="shared" si="3"/>
        <v>1</v>
      </c>
      <c r="H90" s="9">
        <f t="shared" si="4"/>
        <v>1</v>
      </c>
      <c r="I90" s="10">
        <f>IFERROR(__xludf.DUMMYFUNCTION("MAX(FILTER($H:$H,$E:$E=F90))"),3.0)</f>
        <v>3</v>
      </c>
    </row>
    <row r="91">
      <c r="C91" s="4" t="s">
        <v>3499</v>
      </c>
      <c r="D91" s="4" t="str">
        <f t="shared" si="1"/>
        <v>{"valorA":"lavadora","valorB":2}</v>
      </c>
      <c r="E91" s="8" t="str">
        <f t="shared" si="2"/>
        <v>lavadora</v>
      </c>
      <c r="F91" s="8" t="str">
        <f>IFERROR(__xludf.DUMMYFUNCTION("""COMPUTED_VALUE"""),"coment")</f>
        <v>coment</v>
      </c>
      <c r="G91" s="8" t="str">
        <f t="shared" si="3"/>
        <v>2</v>
      </c>
      <c r="H91" s="9">
        <f t="shared" si="4"/>
        <v>2</v>
      </c>
      <c r="I91" s="10">
        <f>IFERROR(__xludf.DUMMYFUNCTION("MAX(FILTER($H:$H,$E:$E=F91))"),5.0)</f>
        <v>5</v>
      </c>
    </row>
    <row r="92">
      <c r="C92" s="4" t="s">
        <v>2883</v>
      </c>
      <c r="D92" s="4" t="str">
        <f t="shared" si="1"/>
        <v>{"valorA":"o","valorB":5}</v>
      </c>
      <c r="E92" s="8" t="str">
        <f t="shared" si="2"/>
        <v>o</v>
      </c>
      <c r="F92" s="8" t="str">
        <f>IFERROR(__xludf.DUMMYFUNCTION("""COMPUTED_VALUE"""),"consumidor")</f>
        <v>consumidor</v>
      </c>
      <c r="G92" s="8" t="str">
        <f t="shared" si="3"/>
        <v>5</v>
      </c>
      <c r="H92" s="9">
        <f t="shared" si="4"/>
        <v>5</v>
      </c>
      <c r="I92" s="10">
        <f>IFERROR(__xludf.DUMMYFUNCTION("MAX(FILTER($H:$H,$E:$E=F92))"),1.0)</f>
        <v>1</v>
      </c>
    </row>
    <row r="93">
      <c r="C93" s="4" t="s">
        <v>3369</v>
      </c>
      <c r="D93" s="4" t="str">
        <f t="shared" si="1"/>
        <v>{"valorA":"ótima","valorB":5}</v>
      </c>
      <c r="E93" s="8" t="str">
        <f t="shared" si="2"/>
        <v>ótima</v>
      </c>
      <c r="F93" s="8" t="str">
        <f>IFERROR(__xludf.DUMMYFUNCTION("""COMPUTED_VALUE"""),"baixo")</f>
        <v>baixo</v>
      </c>
      <c r="G93" s="8" t="str">
        <f t="shared" si="3"/>
        <v>5</v>
      </c>
      <c r="H93" s="9">
        <f t="shared" si="4"/>
        <v>5</v>
      </c>
      <c r="I93" s="10">
        <f>IFERROR(__xludf.DUMMYFUNCTION("MAX(FILTER($H:$H,$E:$E=F93))"),1.0)</f>
        <v>1</v>
      </c>
    </row>
    <row r="94">
      <c r="C94" s="4" t="s">
        <v>2731</v>
      </c>
      <c r="D94" s="4" t="str">
        <f t="shared" si="1"/>
        <v>{"valorA":"bem","valorB":2}</v>
      </c>
      <c r="E94" s="8" t="str">
        <f t="shared" si="2"/>
        <v>bem</v>
      </c>
      <c r="F94" s="8" t="str">
        <f>IFERROR(__xludf.DUMMYFUNCTION("""COMPUTED_VALUE"""),"fácil")</f>
        <v>fácil</v>
      </c>
      <c r="G94" s="8" t="str">
        <f t="shared" si="3"/>
        <v>2</v>
      </c>
      <c r="H94" s="9">
        <f t="shared" si="4"/>
        <v>2</v>
      </c>
      <c r="I94" s="10">
        <f>IFERROR(__xludf.DUMMYFUNCTION("MAX(FILTER($H:$H,$E:$E=F94))"),6.0)</f>
        <v>6</v>
      </c>
    </row>
    <row r="95">
      <c r="C95" s="4" t="s">
        <v>3392</v>
      </c>
      <c r="D95" s="4" t="str">
        <f t="shared" si="1"/>
        <v>{"valorA":"desde","valorB":1}</v>
      </c>
      <c r="E95" s="8" t="str">
        <f t="shared" si="2"/>
        <v>desde</v>
      </c>
      <c r="F95" s="8" t="str">
        <f>IFERROR(__xludf.DUMMYFUNCTION("""COMPUTED_VALUE"""),"lavadeira")</f>
        <v>lavadeira</v>
      </c>
      <c r="G95" s="8" t="str">
        <f t="shared" si="3"/>
        <v>1</v>
      </c>
      <c r="H95" s="9">
        <f t="shared" si="4"/>
        <v>1</v>
      </c>
      <c r="I95" s="10">
        <f>IFERROR(__xludf.DUMMYFUNCTION("MAX(FILTER($H:$H,$E:$E=F95))"),1.0)</f>
        <v>1</v>
      </c>
    </row>
    <row r="96">
      <c r="C96" s="4" t="s">
        <v>3875</v>
      </c>
      <c r="D96" s="4" t="str">
        <f t="shared" si="1"/>
        <v>{"valorA":"hoje","valorB":1}</v>
      </c>
      <c r="E96" s="8" t="str">
        <f t="shared" si="2"/>
        <v>hoje</v>
      </c>
      <c r="F96" s="8" t="str">
        <f>IFERROR(__xludf.DUMMYFUNCTION("""COMPUTED_VALUE"""),"quer")</f>
        <v>quer</v>
      </c>
      <c r="G96" s="8" t="str">
        <f t="shared" si="3"/>
        <v>1</v>
      </c>
      <c r="H96" s="9">
        <f t="shared" si="4"/>
        <v>1</v>
      </c>
      <c r="I96" s="10">
        <f>IFERROR(__xludf.DUMMYFUNCTION("MAX(FILTER($H:$H,$E:$E=F96))"),1.0)</f>
        <v>1</v>
      </c>
    </row>
    <row r="97">
      <c r="C97" s="4" t="s">
        <v>3411</v>
      </c>
      <c r="D97" s="4" t="str">
        <f t="shared" si="1"/>
        <v>{"valorA":"até","valorB":1}</v>
      </c>
      <c r="E97" s="8" t="str">
        <f t="shared" si="2"/>
        <v>até</v>
      </c>
      <c r="F97" s="8" t="str">
        <f>IFERROR(__xludf.DUMMYFUNCTION("""COMPUTED_VALUE"""),"um")</f>
        <v>um</v>
      </c>
      <c r="G97" s="8" t="str">
        <f t="shared" si="3"/>
        <v>1</v>
      </c>
      <c r="H97" s="9">
        <f t="shared" si="4"/>
        <v>1</v>
      </c>
      <c r="I97" s="10">
        <f>IFERROR(__xludf.DUMMYFUNCTION("MAX(FILTER($H:$H,$E:$E=F97))"),2.0)</f>
        <v>2</v>
      </c>
    </row>
    <row r="98">
      <c r="C98" s="4" t="s">
        <v>2792</v>
      </c>
      <c r="D98" s="4" t="str">
        <f t="shared" si="1"/>
        <v>{"valorA":"muito","valorB":5}</v>
      </c>
      <c r="E98" s="8" t="str">
        <f t="shared" si="2"/>
        <v>muito</v>
      </c>
      <c r="F98" s="8" t="str">
        <f>IFERROR(__xludf.DUMMYFUNCTION("""COMPUTED_VALUE"""),"fazer")</f>
        <v>fazer</v>
      </c>
      <c r="G98" s="8" t="str">
        <f t="shared" si="3"/>
        <v>5</v>
      </c>
      <c r="H98" s="9">
        <f t="shared" si="4"/>
        <v>5</v>
      </c>
      <c r="I98" s="10">
        <f>IFERROR(__xludf.DUMMYFUNCTION("MAX(FILTER($H:$H,$E:$E=F98))"),1.0)</f>
        <v>1</v>
      </c>
    </row>
    <row r="99">
      <c r="C99" s="4" t="s">
        <v>2658</v>
      </c>
      <c r="D99" s="4" t="str">
        <f t="shared" si="1"/>
        <v>{"valorA":"e","valorB":1}</v>
      </c>
      <c r="E99" s="8" t="str">
        <f t="shared" si="2"/>
        <v>e</v>
      </c>
      <c r="F99" s="8" t="str">
        <f>IFERROR(__xludf.DUMMYFUNCTION("""COMPUTED_VALUE"""),"anterior")</f>
        <v>anterior</v>
      </c>
      <c r="G99" s="8" t="str">
        <f t="shared" si="3"/>
        <v>1</v>
      </c>
      <c r="H99" s="9">
        <f t="shared" si="4"/>
        <v>1</v>
      </c>
      <c r="I99" s="10">
        <f>IFERROR(__xludf.DUMMYFUNCTION("MAX(FILTER($H:$H,$E:$E=F99))"),1.0)</f>
        <v>1</v>
      </c>
    </row>
    <row r="100">
      <c r="C100" s="4" t="s">
        <v>3342</v>
      </c>
      <c r="D100" s="4" t="str">
        <f t="shared" si="1"/>
        <v>{"valorA":"óptimo","valorB":1}</v>
      </c>
      <c r="E100" s="8" t="str">
        <f t="shared" si="2"/>
        <v>óptimo</v>
      </c>
      <c r="F100" s="8" t="str">
        <f>IFERROR(__xludf.DUMMYFUNCTION("""COMPUTED_VALUE"""),"café")</f>
        <v>café</v>
      </c>
      <c r="G100" s="8" t="str">
        <f t="shared" si="3"/>
        <v>1</v>
      </c>
      <c r="H100" s="9">
        <f t="shared" si="4"/>
        <v>1</v>
      </c>
      <c r="I100" s="10">
        <f>IFERROR(__xludf.DUMMYFUNCTION("MAX(FILTER($H:$H,$E:$E=F100))"),1.0)</f>
        <v>1</v>
      </c>
    </row>
    <row r="101">
      <c r="C101" s="4" t="s">
        <v>8074</v>
      </c>
      <c r="D101" s="4" t="str">
        <f t="shared" si="1"/>
        <v>{"valorA":"conveniente","valorB":1}</v>
      </c>
      <c r="E101" s="8" t="str">
        <f t="shared" si="2"/>
        <v>conveniente</v>
      </c>
      <c r="F101" s="8" t="str">
        <f>IFERROR(__xludf.DUMMYFUNCTION("""COMPUTED_VALUE"""),"lento")</f>
        <v>lento</v>
      </c>
      <c r="G101" s="8" t="str">
        <f t="shared" si="3"/>
        <v>1</v>
      </c>
      <c r="H101" s="9">
        <f t="shared" si="4"/>
        <v>1</v>
      </c>
      <c r="I101" s="10">
        <f>IFERROR(__xludf.DUMMYFUNCTION("MAX(FILTER($H:$H,$E:$E=F101))"),1.0)</f>
        <v>1</v>
      </c>
    </row>
    <row r="102">
      <c r="C102" s="4" t="s">
        <v>2811</v>
      </c>
      <c r="D102" s="4" t="str">
        <f t="shared" si="1"/>
        <v>{"valorA":"muito","valorB":6}</v>
      </c>
      <c r="E102" s="8" t="str">
        <f t="shared" si="2"/>
        <v>muito</v>
      </c>
      <c r="F102" s="8" t="str">
        <f>IFERROR(__xludf.DUMMYFUNCTION("""COMPUTED_VALUE"""),"era")</f>
        <v>era</v>
      </c>
      <c r="G102" s="8" t="str">
        <f t="shared" si="3"/>
        <v>6</v>
      </c>
      <c r="H102" s="9">
        <f t="shared" si="4"/>
        <v>6</v>
      </c>
      <c r="I102" s="10">
        <f>IFERROR(__xludf.DUMMYFUNCTION("MAX(FILTER($H:$H,$E:$E=F102))"),1.0)</f>
        <v>1</v>
      </c>
    </row>
    <row r="103">
      <c r="C103" s="4" t="s">
        <v>3337</v>
      </c>
      <c r="D103" s="4" t="str">
        <f t="shared" si="1"/>
        <v>{"valorA":"refrigerador","valorB":1}</v>
      </c>
      <c r="E103" s="8" t="str">
        <f t="shared" si="2"/>
        <v>refrigerador</v>
      </c>
      <c r="F103" s="8" t="str">
        <f>IFERROR(__xludf.DUMMYFUNCTION("""COMPUTED_VALUE"""),"prataria")</f>
        <v>prataria</v>
      </c>
      <c r="G103" s="8" t="str">
        <f t="shared" si="3"/>
        <v>1</v>
      </c>
      <c r="H103" s="9">
        <f t="shared" si="4"/>
        <v>1</v>
      </c>
      <c r="I103" s="10">
        <f>IFERROR(__xludf.DUMMYFUNCTION("MAX(FILTER($H:$H,$E:$E=F103))"),2.0)</f>
        <v>2</v>
      </c>
    </row>
    <row r="104">
      <c r="C104" s="4" t="s">
        <v>2789</v>
      </c>
      <c r="D104" s="4" t="str">
        <f t="shared" si="1"/>
        <v>{"valorA":"esse","valorB":3}</v>
      </c>
      <c r="E104" s="8" t="str">
        <f t="shared" si="2"/>
        <v>esse</v>
      </c>
      <c r="F104" s="8" t="str">
        <f>IFERROR(__xludf.DUMMYFUNCTION("""COMPUTED_VALUE"""),"momento")</f>
        <v>momento</v>
      </c>
      <c r="G104" s="8" t="str">
        <f t="shared" si="3"/>
        <v>3</v>
      </c>
      <c r="H104" s="9">
        <f t="shared" si="4"/>
        <v>3</v>
      </c>
      <c r="I104" s="10">
        <f>IFERROR(__xludf.DUMMYFUNCTION("MAX(FILTER($H:$H,$E:$E=F104))"),2.0)</f>
        <v>2</v>
      </c>
    </row>
    <row r="105">
      <c r="C105" s="4" t="s">
        <v>3146</v>
      </c>
      <c r="D105" s="4" t="str">
        <f t="shared" si="1"/>
        <v>{"valorA":"eu","valorB":1}</v>
      </c>
      <c r="E105" s="8" t="str">
        <f t="shared" si="2"/>
        <v>eu</v>
      </c>
      <c r="F105" s="8" t="str">
        <f>IFERROR(__xludf.DUMMYFUNCTION("""COMPUTED_VALUE"""),"perfeitamente")</f>
        <v>perfeitamente</v>
      </c>
      <c r="G105" s="8" t="str">
        <f t="shared" si="3"/>
        <v>1</v>
      </c>
      <c r="H105" s="9">
        <f t="shared" si="4"/>
        <v>1</v>
      </c>
      <c r="I105" s="10">
        <f>IFERROR(__xludf.DUMMYFUNCTION("MAX(FILTER($H:$H,$E:$E=F105))"),6.0)</f>
        <v>6</v>
      </c>
    </row>
    <row r="106">
      <c r="C106" s="4" t="s">
        <v>3027</v>
      </c>
      <c r="D106" s="4" t="str">
        <f t="shared" si="1"/>
        <v>{"valorA":"como","valorB":1}</v>
      </c>
      <c r="E106" s="8" t="str">
        <f t="shared" si="2"/>
        <v>como</v>
      </c>
      <c r="F106" s="8" t="str">
        <f>IFERROR(__xludf.DUMMYFUNCTION("""COMPUTED_VALUE"""),"primeiro")</f>
        <v>primeiro</v>
      </c>
      <c r="G106" s="8" t="str">
        <f t="shared" si="3"/>
        <v>1</v>
      </c>
      <c r="H106" s="9">
        <f t="shared" si="4"/>
        <v>1</v>
      </c>
      <c r="I106" s="10">
        <f>IFERROR(__xludf.DUMMYFUNCTION("MAX(FILTER($H:$H,$E:$E=F106))"),2.0)</f>
        <v>2</v>
      </c>
    </row>
    <row r="107">
      <c r="C107" s="4" t="s">
        <v>2733</v>
      </c>
      <c r="D107" s="4" t="str">
        <f t="shared" si="1"/>
        <v>{"valorA":"quem","valorB":1}</v>
      </c>
      <c r="E107" s="8" t="str">
        <f t="shared" si="2"/>
        <v>quem</v>
      </c>
      <c r="F107" s="8" t="str">
        <f>IFERROR(__xludf.DUMMYFUNCTION("""COMPUTED_VALUE"""),"muitas")</f>
        <v>muitas</v>
      </c>
      <c r="G107" s="8" t="str">
        <f t="shared" si="3"/>
        <v>1</v>
      </c>
      <c r="H107" s="9">
        <f t="shared" si="4"/>
        <v>1</v>
      </c>
      <c r="I107" s="10">
        <f>IFERROR(__xludf.DUMMYFUNCTION("MAX(FILTER($H:$H,$E:$E=F107))"),1.0)</f>
        <v>1</v>
      </c>
    </row>
    <row r="108">
      <c r="C108" s="4" t="s">
        <v>2659</v>
      </c>
      <c r="D108" s="4" t="str">
        <f t="shared" si="1"/>
        <v>{"valorA":"ótimo","valorB":5}</v>
      </c>
      <c r="E108" s="8" t="str">
        <f t="shared" si="2"/>
        <v>ótimo</v>
      </c>
      <c r="F108" s="8" t="str">
        <f>IFERROR(__xludf.DUMMYFUNCTION("""COMPUTED_VALUE"""),"louça")</f>
        <v>louça</v>
      </c>
      <c r="G108" s="8" t="str">
        <f t="shared" si="3"/>
        <v>5</v>
      </c>
      <c r="H108" s="9">
        <f t="shared" si="4"/>
        <v>5</v>
      </c>
      <c r="I108" s="10">
        <f>IFERROR(__xludf.DUMMYFUNCTION("MAX(FILTER($H:$H,$E:$E=F108))"),1.0)</f>
        <v>1</v>
      </c>
    </row>
    <row r="109">
      <c r="C109" s="4" t="s">
        <v>3389</v>
      </c>
      <c r="D109" s="4" t="str">
        <f t="shared" si="1"/>
        <v>{"valorA":"certo","valorB":1}</v>
      </c>
      <c r="E109" s="8" t="str">
        <f t="shared" si="2"/>
        <v>certo</v>
      </c>
      <c r="F109" s="8" t="str">
        <f>IFERROR(__xludf.DUMMYFUNCTION("""COMPUTED_VALUE"""),"funções")</f>
        <v>funções</v>
      </c>
      <c r="G109" s="8" t="str">
        <f t="shared" si="3"/>
        <v>1</v>
      </c>
      <c r="H109" s="9">
        <f t="shared" si="4"/>
        <v>1</v>
      </c>
      <c r="I109" s="10">
        <f>IFERROR(__xludf.DUMMYFUNCTION("MAX(FILTER($H:$H,$E:$E=F109))"),1.0)</f>
        <v>1</v>
      </c>
    </row>
    <row r="110">
      <c r="C110" s="4" t="s">
        <v>3480</v>
      </c>
      <c r="D110" s="4" t="str">
        <f t="shared" si="1"/>
        <v>{"valorA":"tem","valorB":1}</v>
      </c>
      <c r="E110" s="8" t="str">
        <f t="shared" si="2"/>
        <v>tem</v>
      </c>
      <c r="F110" s="8" t="str">
        <f>IFERROR(__xludf.DUMMYFUNCTION("""COMPUTED_VALUE"""),"úteis")</f>
        <v>úteis</v>
      </c>
      <c r="G110" s="8" t="str">
        <f t="shared" si="3"/>
        <v>1</v>
      </c>
      <c r="H110" s="9">
        <f t="shared" si="4"/>
        <v>1</v>
      </c>
      <c r="I110" s="10">
        <f>IFERROR(__xludf.DUMMYFUNCTION("MAX(FILTER($H:$H,$E:$E=F110))"),1.0)</f>
        <v>1</v>
      </c>
    </row>
    <row r="111">
      <c r="C111" s="4" t="s">
        <v>8075</v>
      </c>
      <c r="D111" s="4" t="str">
        <f t="shared" si="1"/>
        <v>{"valorA":"delgado","valorB":1}</v>
      </c>
      <c r="E111" s="8" t="str">
        <f t="shared" si="2"/>
        <v>delgado</v>
      </c>
      <c r="F111" s="8" t="str">
        <f>IFERROR(__xludf.DUMMYFUNCTION("""COMPUTED_VALUE"""),"usar")</f>
        <v>usar</v>
      </c>
      <c r="G111" s="8" t="str">
        <f t="shared" si="3"/>
        <v>1</v>
      </c>
      <c r="H111" s="9">
        <f t="shared" si="4"/>
        <v>1</v>
      </c>
      <c r="I111" s="10">
        <f>IFERROR(__xludf.DUMMYFUNCTION("MAX(FILTER($H:$H,$E:$E=F111))"),2.0)</f>
        <v>2</v>
      </c>
    </row>
    <row r="112">
      <c r="C112" s="4" t="s">
        <v>3462</v>
      </c>
      <c r="D112" s="4" t="str">
        <f t="shared" si="1"/>
        <v>{"valorA":"cabelo","valorB":1}</v>
      </c>
      <c r="E112" s="8" t="str">
        <f t="shared" si="2"/>
        <v>cabelo</v>
      </c>
      <c r="F112" s="8" t="str">
        <f>IFERROR(__xludf.DUMMYFUNCTION("""COMPUTED_VALUE"""),"versátil")</f>
        <v>versátil</v>
      </c>
      <c r="G112" s="8" t="str">
        <f t="shared" si="3"/>
        <v>1</v>
      </c>
      <c r="H112" s="9">
        <f t="shared" si="4"/>
        <v>1</v>
      </c>
      <c r="I112" s="10">
        <f>IFERROR(__xludf.DUMMYFUNCTION("MAX(FILTER($H:$H,$E:$E=F112))"),1.0)</f>
        <v>1</v>
      </c>
    </row>
    <row r="113">
      <c r="C113" s="4" t="s">
        <v>2759</v>
      </c>
      <c r="D113" s="4" t="str">
        <f t="shared" si="1"/>
        <v>{"valorA":"para","valorB":4}</v>
      </c>
      <c r="E113" s="8" t="str">
        <f t="shared" si="2"/>
        <v>para</v>
      </c>
      <c r="F113" s="8" t="str">
        <f>IFERROR(__xludf.DUMMYFUNCTION("""COMPUTED_VALUE"""),"cadeira")</f>
        <v>cadeira</v>
      </c>
      <c r="G113" s="8" t="str">
        <f t="shared" si="3"/>
        <v>4</v>
      </c>
      <c r="H113" s="9">
        <f t="shared" si="4"/>
        <v>4</v>
      </c>
      <c r="I113" s="10">
        <f>IFERROR(__xludf.DUMMYFUNCTION("MAX(FILTER($H:$H,$E:$E=F113))"),2.0)</f>
        <v>2</v>
      </c>
    </row>
    <row r="114">
      <c r="C114" s="4" t="s">
        <v>2898</v>
      </c>
      <c r="D114" s="4" t="str">
        <f t="shared" si="1"/>
        <v>{"valorA":"o","valorB":6}</v>
      </c>
      <c r="E114" s="8" t="str">
        <f t="shared" si="2"/>
        <v>o</v>
      </c>
      <c r="F114" s="8" t="str">
        <f>IFERROR(__xludf.DUMMYFUNCTION("""COMPUTED_VALUE"""),"escritório")</f>
        <v>escritório</v>
      </c>
      <c r="G114" s="8" t="str">
        <f t="shared" si="3"/>
        <v>6</v>
      </c>
      <c r="H114" s="9">
        <f t="shared" si="4"/>
        <v>6</v>
      </c>
      <c r="I114" s="10">
        <f>IFERROR(__xludf.DUMMYFUNCTION("MAX(FILTER($H:$H,$E:$E=F114))"),2.0)</f>
        <v>2</v>
      </c>
    </row>
    <row r="115">
      <c r="C115" s="4" t="s">
        <v>3850</v>
      </c>
      <c r="D115" s="4" t="str">
        <f t="shared" si="1"/>
        <v>{"valorA":"cabelo","valorB":2}</v>
      </c>
      <c r="E115" s="8" t="str">
        <f t="shared" si="2"/>
        <v>cabelo</v>
      </c>
      <c r="F115" s="8" t="str">
        <f>IFERROR(__xludf.DUMMYFUNCTION("""COMPUTED_VALUE"""),"pouco")</f>
        <v>pouco</v>
      </c>
      <c r="G115" s="8" t="str">
        <f t="shared" si="3"/>
        <v>2</v>
      </c>
      <c r="H115" s="9">
        <f t="shared" si="4"/>
        <v>2</v>
      </c>
      <c r="I115" s="10">
        <f>IFERROR(__xludf.DUMMYFUNCTION("MAX(FILTER($H:$H,$E:$E=F115))"),1.0)</f>
        <v>1</v>
      </c>
    </row>
    <row r="116">
      <c r="C116" s="4" t="s">
        <v>3441</v>
      </c>
      <c r="D116" s="4" t="str">
        <f t="shared" si="1"/>
        <v>{"valorA":"condicionado","valorB":1}</v>
      </c>
      <c r="E116" s="8" t="str">
        <f t="shared" si="2"/>
        <v>condicionado</v>
      </c>
      <c r="F116" s="8" t="str">
        <f>IFERROR(__xludf.DUMMYFUNCTION("""COMPUTED_VALUE"""),"tudo")</f>
        <v>tudo</v>
      </c>
      <c r="G116" s="8" t="str">
        <f t="shared" si="3"/>
        <v>1</v>
      </c>
      <c r="H116" s="9">
        <f t="shared" si="4"/>
        <v>1</v>
      </c>
      <c r="I116" s="10">
        <f>IFERROR(__xludf.DUMMYFUNCTION("MAX(FILTER($H:$H,$E:$E=F116))"),3.0)</f>
        <v>3</v>
      </c>
    </row>
    <row r="117">
      <c r="C117" s="4" t="s">
        <v>2662</v>
      </c>
      <c r="D117" s="4" t="str">
        <f t="shared" si="1"/>
        <v>{"valorA":"ótimo","valorB":6}</v>
      </c>
      <c r="E117" s="8" t="str">
        <f t="shared" si="2"/>
        <v>ótimo</v>
      </c>
      <c r="F117" s="8" t="str">
        <f>IFERROR(__xludf.DUMMYFUNCTION("""COMPUTED_VALUE"""),"limpa")</f>
        <v>limpa</v>
      </c>
      <c r="G117" s="8" t="str">
        <f t="shared" si="3"/>
        <v>6</v>
      </c>
      <c r="H117" s="9">
        <f t="shared" si="4"/>
        <v>6</v>
      </c>
      <c r="I117" s="10">
        <f>IFERROR(__xludf.DUMMYFUNCTION("MAX(FILTER($H:$H,$E:$E=F117))"),2.0)</f>
        <v>2</v>
      </c>
    </row>
    <row r="118">
      <c r="C118" s="4" t="s">
        <v>3374</v>
      </c>
      <c r="D118" s="4" t="str">
        <f t="shared" si="1"/>
        <v>{"valorA":"achei","valorB":1}</v>
      </c>
      <c r="E118" s="8" t="str">
        <f t="shared" si="2"/>
        <v>achei</v>
      </c>
      <c r="F118" s="8" t="str">
        <f>IFERROR(__xludf.DUMMYFUNCTION("""COMPUTED_VALUE"""),"consume")</f>
        <v>consume</v>
      </c>
      <c r="G118" s="8" t="str">
        <f t="shared" si="3"/>
        <v>1</v>
      </c>
      <c r="H118" s="9">
        <f t="shared" si="4"/>
        <v>1</v>
      </c>
      <c r="I118" s="10">
        <f>IFERROR(__xludf.DUMMYFUNCTION("MAX(FILTER($H:$H,$E:$E=F118))"),1.0)</f>
        <v>1</v>
      </c>
    </row>
    <row r="119">
      <c r="C119" s="4" t="s">
        <v>3442</v>
      </c>
      <c r="D119" s="4" t="str">
        <f t="shared" si="1"/>
        <v>{"valorA":"sistema","valorB":1}</v>
      </c>
      <c r="E119" s="8" t="str">
        <f t="shared" si="2"/>
        <v>sistema</v>
      </c>
      <c r="F119" s="8" t="str">
        <f>IFERROR(__xludf.DUMMYFUNCTION("""COMPUTED_VALUE"""),"portátil")</f>
        <v>portátil</v>
      </c>
      <c r="G119" s="8" t="str">
        <f t="shared" si="3"/>
        <v>1</v>
      </c>
      <c r="H119" s="9">
        <f t="shared" si="4"/>
        <v>1</v>
      </c>
      <c r="I119" s="10">
        <f>IFERROR(__xludf.DUMMYFUNCTION("MAX(FILTER($H:$H,$E:$E=F119))"),2.0)</f>
        <v>2</v>
      </c>
    </row>
    <row r="120">
      <c r="C120" s="4" t="s">
        <v>2835</v>
      </c>
      <c r="D120" s="4" t="str">
        <f t="shared" si="1"/>
        <v>{"valorA":"muito","valorB":7}</v>
      </c>
      <c r="E120" s="8" t="str">
        <f t="shared" si="2"/>
        <v>muito</v>
      </c>
      <c r="F120" s="8" t="str">
        <f>IFERROR(__xludf.DUMMYFUNCTION("""COMPUTED_VALUE"""),"el")</f>
        <v>el</v>
      </c>
      <c r="G120" s="8" t="str">
        <f t="shared" si="3"/>
        <v>7</v>
      </c>
      <c r="H120" s="9">
        <f t="shared" si="4"/>
        <v>7</v>
      </c>
      <c r="I120" s="10">
        <f>IFERROR(__xludf.DUMMYFUNCTION("MAX(FILTER($H:$H,$E:$E=F120))"),1.0)</f>
        <v>1</v>
      </c>
    </row>
    <row r="121">
      <c r="C121" s="4" t="s">
        <v>2738</v>
      </c>
      <c r="D121" s="4" t="str">
        <f t="shared" si="1"/>
        <v>{"valorA":"de","valorB":4}</v>
      </c>
      <c r="E121" s="8" t="str">
        <f t="shared" si="2"/>
        <v>de</v>
      </c>
      <c r="F121" s="8" t="str">
        <f>IFERROR(__xludf.DUMMYFUNCTION("""COMPUTED_VALUE"""),"rádio")</f>
        <v>rádio</v>
      </c>
      <c r="G121" s="8" t="str">
        <f t="shared" si="3"/>
        <v>4</v>
      </c>
      <c r="H121" s="9">
        <f t="shared" si="4"/>
        <v>4</v>
      </c>
      <c r="I121" s="10">
        <f>IFERROR(__xludf.DUMMYFUNCTION("MAX(FILTER($H:$H,$E:$E=F121))"),1.0)</f>
        <v>1</v>
      </c>
    </row>
    <row r="122">
      <c r="C122" s="4" t="s">
        <v>2699</v>
      </c>
      <c r="D122" s="4" t="str">
        <f t="shared" si="1"/>
        <v>{"valorA":"confortável","valorB":1}</v>
      </c>
      <c r="E122" s="8" t="str">
        <f t="shared" si="2"/>
        <v>confortável</v>
      </c>
      <c r="F122" s="8" t="str">
        <f>IFERROR(__xludf.DUMMYFUNCTION("""COMPUTED_VALUE"""),"feliz")</f>
        <v>feliz</v>
      </c>
      <c r="G122" s="8" t="str">
        <f t="shared" si="3"/>
        <v>1</v>
      </c>
      <c r="H122" s="9">
        <f t="shared" si="4"/>
        <v>1</v>
      </c>
      <c r="I122" s="10">
        <f>IFERROR(__xludf.DUMMYFUNCTION("MAX(FILTER($H:$H,$E:$E=F122))"),1.0)</f>
        <v>1</v>
      </c>
    </row>
    <row r="123">
      <c r="C123" s="4" t="s">
        <v>3444</v>
      </c>
      <c r="D123" s="4" t="str">
        <f t="shared" si="1"/>
        <v>{"valorA":"ar","valorB":1}</v>
      </c>
      <c r="E123" s="8" t="str">
        <f t="shared" si="2"/>
        <v>ar</v>
      </c>
      <c r="F123" s="8" t="str">
        <f>IFERROR(__xludf.DUMMYFUNCTION("""COMPUTED_VALUE"""),"muy")</f>
        <v>muy</v>
      </c>
      <c r="G123" s="8" t="str">
        <f t="shared" si="3"/>
        <v>1</v>
      </c>
      <c r="H123" s="9">
        <f t="shared" si="4"/>
        <v>1</v>
      </c>
      <c r="I123" s="10">
        <f>IFERROR(__xludf.DUMMYFUNCTION("MAX(FILTER($H:$H,$E:$E=F123))"),1.0)</f>
        <v>1</v>
      </c>
    </row>
    <row r="124">
      <c r="C124" s="4" t="s">
        <v>3493</v>
      </c>
      <c r="D124" s="4" t="str">
        <f t="shared" si="1"/>
        <v>{"valorA":"sem","valorB":1}</v>
      </c>
      <c r="E124" s="8" t="str">
        <f t="shared" si="2"/>
        <v>sem</v>
      </c>
      <c r="F124" s="8" t="str">
        <f>IFERROR(__xludf.DUMMYFUNCTION("""COMPUTED_VALUE"""),"resultado")</f>
        <v>resultado</v>
      </c>
      <c r="G124" s="8" t="str">
        <f t="shared" si="3"/>
        <v>1</v>
      </c>
      <c r="H124" s="9">
        <f t="shared" si="4"/>
        <v>1</v>
      </c>
      <c r="I124" s="10">
        <f>IFERROR(__xludf.DUMMYFUNCTION("MAX(FILTER($H:$H,$E:$E=F124))"),1.0)</f>
        <v>1</v>
      </c>
    </row>
    <row r="125">
      <c r="C125" s="4" t="s">
        <v>3957</v>
      </c>
      <c r="D125" s="4" t="str">
        <f t="shared" si="1"/>
        <v>{"valorA":"lavadora","valorB":3}</v>
      </c>
      <c r="E125" s="8" t="str">
        <f t="shared" si="2"/>
        <v>lavadora</v>
      </c>
      <c r="F125" s="8" t="str">
        <f>IFERROR(__xludf.DUMMYFUNCTION("""COMPUTED_VALUE"""),"con")</f>
        <v>con</v>
      </c>
      <c r="G125" s="8" t="str">
        <f t="shared" si="3"/>
        <v>3</v>
      </c>
      <c r="H125" s="9">
        <f t="shared" si="4"/>
        <v>3</v>
      </c>
      <c r="I125" s="10">
        <f>IFERROR(__xludf.DUMMYFUNCTION("MAX(FILTER($H:$H,$E:$E=F125))"),1.0)</f>
        <v>1</v>
      </c>
    </row>
    <row r="126">
      <c r="C126" s="4" t="s">
        <v>3868</v>
      </c>
      <c r="D126" s="4" t="str">
        <f t="shared" si="1"/>
        <v>{"valorA":"roupa","valorB":1}</v>
      </c>
      <c r="E126" s="8" t="str">
        <f t="shared" si="2"/>
        <v>roupa</v>
      </c>
      <c r="F126" s="8" t="str">
        <f>IFERROR(__xludf.DUMMYFUNCTION("""COMPUTED_VALUE"""),"ganhar")</f>
        <v>ganhar</v>
      </c>
      <c r="G126" s="8" t="str">
        <f t="shared" si="3"/>
        <v>1</v>
      </c>
      <c r="H126" s="9">
        <f t="shared" si="4"/>
        <v>1</v>
      </c>
      <c r="I126" s="10">
        <f>IFERROR(__xludf.DUMMYFUNCTION("MAX(FILTER($H:$H,$E:$E=F126))"),1.0)</f>
        <v>1</v>
      </c>
    </row>
    <row r="127">
      <c r="C127" s="4" t="s">
        <v>3048</v>
      </c>
      <c r="D127" s="4" t="str">
        <f t="shared" si="1"/>
        <v>{"valorA":"recomendo","valorB":2}</v>
      </c>
      <c r="E127" s="8" t="str">
        <f t="shared" si="2"/>
        <v>recomendo</v>
      </c>
      <c r="F127" s="8" t="str">
        <f>IFERROR(__xludf.DUMMYFUNCTION("""COMPUTED_VALUE"""),"querem")</f>
        <v>querem</v>
      </c>
      <c r="G127" s="8" t="str">
        <f t="shared" si="3"/>
        <v>2</v>
      </c>
      <c r="H127" s="9">
        <f t="shared" si="4"/>
        <v>2</v>
      </c>
      <c r="I127" s="10">
        <f>IFERROR(__xludf.DUMMYFUNCTION("MAX(FILTER($H:$H,$E:$E=F127))"),1.0)</f>
        <v>1</v>
      </c>
    </row>
    <row r="128">
      <c r="C128" s="4" t="s">
        <v>3384</v>
      </c>
      <c r="D128" s="4" t="str">
        <f t="shared" si="1"/>
        <v>{"valorA":"ótima","valorB":6}</v>
      </c>
      <c r="E128" s="8" t="str">
        <f t="shared" si="2"/>
        <v>ótima</v>
      </c>
      <c r="F128" s="8" t="str">
        <f>IFERROR(__xludf.DUMMYFUNCTION("""COMPUTED_VALUE"""),"segurança")</f>
        <v>segurança</v>
      </c>
      <c r="G128" s="8" t="str">
        <f t="shared" si="3"/>
        <v>6</v>
      </c>
      <c r="H128" s="9">
        <f t="shared" si="4"/>
        <v>6</v>
      </c>
      <c r="I128" s="10">
        <f>IFERROR(__xludf.DUMMYFUNCTION("MAX(FILTER($H:$H,$E:$E=F128))"),1.0)</f>
        <v>1</v>
      </c>
    </row>
    <row r="129">
      <c r="C129" s="4" t="s">
        <v>2748</v>
      </c>
      <c r="D129" s="4" t="str">
        <f t="shared" si="1"/>
        <v>{"valorA":"de","valorB":5}</v>
      </c>
      <c r="E129" s="8" t="str">
        <f t="shared" si="2"/>
        <v>de</v>
      </c>
      <c r="F129" s="8" t="str">
        <f>IFERROR(__xludf.DUMMYFUNCTION("""COMPUTED_VALUE"""),"aqueles")</f>
        <v>aqueles</v>
      </c>
      <c r="G129" s="8" t="str">
        <f t="shared" si="3"/>
        <v>5</v>
      </c>
      <c r="H129" s="9">
        <f t="shared" si="4"/>
        <v>5</v>
      </c>
      <c r="I129" s="10">
        <f>IFERROR(__xludf.DUMMYFUNCTION("MAX(FILTER($H:$H,$E:$E=F129))"),1.0)</f>
        <v>1</v>
      </c>
    </row>
    <row r="130">
      <c r="C130" s="4" t="s">
        <v>3495</v>
      </c>
      <c r="D130" s="4" t="str">
        <f t="shared" si="1"/>
        <v>{"valorA":"reservas","valorB":1}</v>
      </c>
      <c r="E130" s="8" t="str">
        <f t="shared" si="2"/>
        <v>reservas</v>
      </c>
      <c r="F130" s="8" t="str">
        <f>IFERROR(__xludf.DUMMYFUNCTION("""COMPUTED_VALUE"""),"pesos")</f>
        <v>pesos</v>
      </c>
      <c r="G130" s="8" t="str">
        <f t="shared" si="3"/>
        <v>1</v>
      </c>
      <c r="H130" s="9">
        <f t="shared" si="4"/>
        <v>1</v>
      </c>
      <c r="I130" s="10">
        <f>IFERROR(__xludf.DUMMYFUNCTION("MAX(FILTER($H:$H,$E:$E=F130))"),1.0)</f>
        <v>1</v>
      </c>
    </row>
    <row r="131">
      <c r="C131" s="4" t="s">
        <v>8076</v>
      </c>
      <c r="D131" s="4" t="str">
        <f t="shared" si="1"/>
        <v>{"valorA":"energia","valorB":2}</v>
      </c>
      <c r="E131" s="8" t="str">
        <f t="shared" si="2"/>
        <v>energia</v>
      </c>
      <c r="F131" s="8" t="str">
        <f>IFERROR(__xludf.DUMMYFUNCTION("""COMPUTED_VALUE"""),"desse")</f>
        <v>desse</v>
      </c>
      <c r="G131" s="8" t="str">
        <f t="shared" si="3"/>
        <v>2</v>
      </c>
      <c r="H131" s="9">
        <f t="shared" si="4"/>
        <v>2</v>
      </c>
      <c r="I131" s="10">
        <f>IFERROR(__xludf.DUMMYFUNCTION("MAX(FILTER($H:$H,$E:$E=F131))"),2.0)</f>
        <v>2</v>
      </c>
    </row>
    <row r="132">
      <c r="C132" s="4" t="s">
        <v>3321</v>
      </c>
      <c r="D132" s="4" t="str">
        <f t="shared" si="1"/>
        <v>{"valorA":"lavador","valorB":2}</v>
      </c>
      <c r="E132" s="8" t="str">
        <f t="shared" si="2"/>
        <v>lavador</v>
      </c>
      <c r="F132" s="8" t="str">
        <f>IFERROR(__xludf.DUMMYFUNCTION("""COMPUTED_VALUE"""),"gosto")</f>
        <v>gosto</v>
      </c>
      <c r="G132" s="8" t="str">
        <f t="shared" si="3"/>
        <v>2</v>
      </c>
      <c r="H132" s="9">
        <f t="shared" si="4"/>
        <v>2</v>
      </c>
      <c r="I132" s="10">
        <f>IFERROR(__xludf.DUMMYFUNCTION("MAX(FILTER($H:$H,$E:$E=F132))"),2.0)</f>
        <v>2</v>
      </c>
    </row>
    <row r="133">
      <c r="C133" s="4" t="s">
        <v>2671</v>
      </c>
      <c r="D133" s="4" t="str">
        <f t="shared" si="1"/>
        <v>{"valorA":"ótimo","valorB":7}</v>
      </c>
      <c r="E133" s="8" t="str">
        <f t="shared" si="2"/>
        <v>ótimo</v>
      </c>
      <c r="F133" s="8" t="str">
        <f>IFERROR(__xludf.DUMMYFUNCTION("""COMPUTED_VALUE"""),"sua")</f>
        <v>sua</v>
      </c>
      <c r="G133" s="8" t="str">
        <f t="shared" si="3"/>
        <v>7</v>
      </c>
      <c r="H133" s="9">
        <f t="shared" si="4"/>
        <v>7</v>
      </c>
      <c r="I133" s="10">
        <f>IFERROR(__xludf.DUMMYFUNCTION("MAX(FILTER($H:$H,$E:$E=F133))"),1.0)</f>
        <v>1</v>
      </c>
    </row>
    <row r="134">
      <c r="C134" s="4" t="s">
        <v>3401</v>
      </c>
      <c r="D134" s="4" t="str">
        <f t="shared" si="1"/>
        <v>{"valorA":"economiza","valorB":1}</v>
      </c>
      <c r="E134" s="8" t="str">
        <f t="shared" si="2"/>
        <v>economiza</v>
      </c>
      <c r="F134" s="8" t="str">
        <f>IFERROR(__xludf.DUMMYFUNCTION("""COMPUTED_VALUE"""),"natural")</f>
        <v>natural</v>
      </c>
      <c r="G134" s="8" t="str">
        <f t="shared" si="3"/>
        <v>1</v>
      </c>
      <c r="H134" s="9">
        <f t="shared" si="4"/>
        <v>1</v>
      </c>
      <c r="I134" s="10">
        <f>IFERROR(__xludf.DUMMYFUNCTION("MAX(FILTER($H:$H,$E:$E=F134))"),1.0)</f>
        <v>1</v>
      </c>
    </row>
    <row r="135">
      <c r="C135" s="4" t="s">
        <v>3955</v>
      </c>
      <c r="D135" s="4" t="str">
        <f t="shared" si="1"/>
        <v>{"valorA":"água","valorB":1}</v>
      </c>
      <c r="E135" s="8" t="str">
        <f t="shared" si="2"/>
        <v>água</v>
      </c>
      <c r="F135" s="8" t="str">
        <f>IFERROR(__xludf.DUMMYFUNCTION("""COMPUTED_VALUE"""),"luz")</f>
        <v>luz</v>
      </c>
      <c r="G135" s="8" t="str">
        <f t="shared" si="3"/>
        <v>1</v>
      </c>
      <c r="H135" s="9">
        <f t="shared" si="4"/>
        <v>1</v>
      </c>
      <c r="I135" s="10">
        <f>IFERROR(__xludf.DUMMYFUNCTION("MAX(FILTER($H:$H,$E:$E=F135))"),1.0)</f>
        <v>1</v>
      </c>
    </row>
    <row r="136">
      <c r="C136" s="4" t="s">
        <v>2782</v>
      </c>
      <c r="D136" s="4" t="str">
        <f t="shared" si="1"/>
        <v>{"valorA":"bem","valorB":3}</v>
      </c>
      <c r="E136" s="8" t="str">
        <f t="shared" si="2"/>
        <v>bem</v>
      </c>
      <c r="F136" s="8" t="str">
        <f>IFERROR(__xludf.DUMMYFUNCTION("""COMPUTED_VALUE"""),"muita")</f>
        <v>muita</v>
      </c>
      <c r="G136" s="8" t="str">
        <f t="shared" si="3"/>
        <v>3</v>
      </c>
      <c r="H136" s="9">
        <f t="shared" si="4"/>
        <v>3</v>
      </c>
      <c r="I136" s="10">
        <f>IFERROR(__xludf.DUMMYFUNCTION("MAX(FILTER($H:$H,$E:$E=F136))"),1.0)</f>
        <v>1</v>
      </c>
    </row>
    <row r="137">
      <c r="C137" s="4" t="s">
        <v>2676</v>
      </c>
      <c r="D137" s="4" t="str">
        <f t="shared" si="1"/>
        <v>{"valorA":"e","valorB":2}</v>
      </c>
      <c r="E137" s="8" t="str">
        <f t="shared" si="2"/>
        <v>e</v>
      </c>
      <c r="F137" s="8" t="str">
        <f>IFERROR(__xludf.DUMMYFUNCTION("""COMPUTED_VALUE"""),"em")</f>
        <v>em</v>
      </c>
      <c r="G137" s="8" t="str">
        <f t="shared" si="3"/>
        <v>2</v>
      </c>
      <c r="H137" s="9">
        <f t="shared" si="4"/>
        <v>2</v>
      </c>
      <c r="I137" s="10">
        <f>IFERROR(__xludf.DUMMYFUNCTION("MAX(FILTER($H:$H,$E:$E=F137))"),1.0)</f>
        <v>1</v>
      </c>
    </row>
    <row r="138">
      <c r="C138" s="4" t="s">
        <v>2894</v>
      </c>
      <c r="D138" s="4" t="str">
        <f t="shared" si="1"/>
        <v>{"valorA":"muito","valorB":8}</v>
      </c>
      <c r="E138" s="8" t="str">
        <f t="shared" si="2"/>
        <v>muito</v>
      </c>
      <c r="F138" s="8" t="str">
        <f>IFERROR(__xludf.DUMMYFUNCTION("""COMPUTED_VALUE"""),"casa")</f>
        <v>casa</v>
      </c>
      <c r="G138" s="8" t="str">
        <f t="shared" si="3"/>
        <v>8</v>
      </c>
      <c r="H138" s="9">
        <f t="shared" si="4"/>
        <v>8</v>
      </c>
      <c r="I138" s="10">
        <f>IFERROR(__xludf.DUMMYFUNCTION("MAX(FILTER($H:$H,$E:$E=F138))"),2.0)</f>
        <v>2</v>
      </c>
    </row>
    <row r="139">
      <c r="C139" s="4" t="s">
        <v>2701</v>
      </c>
      <c r="D139" s="4" t="str">
        <f t="shared" si="1"/>
        <v>{"valorA":"e","valorB":3}</v>
      </c>
      <c r="E139" s="8" t="str">
        <f t="shared" si="2"/>
        <v>e</v>
      </c>
      <c r="F139" s="8" t="str">
        <f>IFERROR(__xludf.DUMMYFUNCTION("""COMPUTED_VALUE"""),"compras")</f>
        <v>compras</v>
      </c>
      <c r="G139" s="8" t="str">
        <f t="shared" si="3"/>
        <v>3</v>
      </c>
      <c r="H139" s="9">
        <f t="shared" si="4"/>
        <v>3</v>
      </c>
      <c r="I139" s="10">
        <f>IFERROR(__xludf.DUMMYFUNCTION("MAX(FILTER($H:$H,$E:$E=F139))"),2.0)</f>
        <v>2</v>
      </c>
    </row>
    <row r="140">
      <c r="C140" s="4" t="s">
        <v>2876</v>
      </c>
      <c r="D140" s="4" t="str">
        <f t="shared" si="1"/>
        <v>{"valorA":"de","valorB":6}</v>
      </c>
      <c r="E140" s="8" t="str">
        <f t="shared" si="2"/>
        <v>de</v>
      </c>
      <c r="F140" s="8" t="str">
        <f>IFERROR(__xludf.DUMMYFUNCTION("""COMPUTED_VALUE"""),"carrinho")</f>
        <v>carrinho</v>
      </c>
      <c r="G140" s="8" t="str">
        <f t="shared" si="3"/>
        <v>6</v>
      </c>
      <c r="H140" s="9">
        <f t="shared" si="4"/>
        <v>6</v>
      </c>
      <c r="I140" s="10">
        <f>IFERROR(__xludf.DUMMYFUNCTION("MAX(FILTER($H:$H,$E:$E=F140))"),1.0)</f>
        <v>1</v>
      </c>
    </row>
    <row r="141">
      <c r="C141" s="4" t="s">
        <v>3341</v>
      </c>
      <c r="D141" s="4" t="str">
        <f t="shared" si="1"/>
        <v>{"valorA":"coment","valorB":1}</v>
      </c>
      <c r="E141" s="8" t="str">
        <f t="shared" si="2"/>
        <v>coment</v>
      </c>
      <c r="F141" s="8" t="str">
        <f>IFERROR(__xludf.DUMMYFUNCTION("""COMPUTED_VALUE"""),"empurrar")</f>
        <v>empurrar</v>
      </c>
      <c r="G141" s="8" t="str">
        <f t="shared" si="3"/>
        <v>1</v>
      </c>
      <c r="H141" s="9">
        <f t="shared" si="4"/>
        <v>1</v>
      </c>
      <c r="I141" s="10">
        <f>IFERROR(__xludf.DUMMYFUNCTION("MAX(FILTER($H:$H,$E:$E=F141))"),1.0)</f>
        <v>1</v>
      </c>
    </row>
    <row r="142">
      <c r="C142" s="4" t="s">
        <v>3322</v>
      </c>
      <c r="D142" s="4" t="str">
        <f t="shared" si="1"/>
        <v>{"valorA":"pratos","valorB":2}</v>
      </c>
      <c r="E142" s="8" t="str">
        <f t="shared" si="2"/>
        <v>pratos</v>
      </c>
      <c r="F142" s="8" t="str">
        <f>IFERROR(__xludf.DUMMYFUNCTION("""COMPUTED_VALUE"""),"leve")</f>
        <v>leve</v>
      </c>
      <c r="G142" s="8" t="str">
        <f t="shared" si="3"/>
        <v>2</v>
      </c>
      <c r="H142" s="9">
        <f t="shared" si="4"/>
        <v>2</v>
      </c>
      <c r="I142" s="10">
        <f>IFERROR(__xludf.DUMMYFUNCTION("MAX(FILTER($H:$H,$E:$E=F142))"),1.0)</f>
        <v>1</v>
      </c>
    </row>
    <row r="143">
      <c r="C143" s="4" t="s">
        <v>2678</v>
      </c>
      <c r="D143" s="4" t="str">
        <f t="shared" si="1"/>
        <v>{"valorA":"funciona","valorB":2}</v>
      </c>
      <c r="E143" s="8" t="str">
        <f t="shared" si="2"/>
        <v>funciona</v>
      </c>
      <c r="F143" s="8" t="str">
        <f>IFERROR(__xludf.DUMMYFUNCTION("""COMPUTED_VALUE"""),"na")</f>
        <v>na</v>
      </c>
      <c r="G143" s="8" t="str">
        <f t="shared" si="3"/>
        <v>2</v>
      </c>
      <c r="H143" s="9">
        <f t="shared" si="4"/>
        <v>2</v>
      </c>
      <c r="I143" s="10">
        <f>IFERROR(__xludf.DUMMYFUNCTION("MAX(FILTER($H:$H,$E:$E=F143))"),1.0)</f>
        <v>1</v>
      </c>
    </row>
    <row r="144">
      <c r="C144" s="4" t="s">
        <v>3971</v>
      </c>
      <c r="D144" s="4" t="str">
        <f t="shared" si="1"/>
        <v>{"valorA":"água","valorB":2}</v>
      </c>
      <c r="E144" s="8" t="str">
        <f t="shared" si="2"/>
        <v>água</v>
      </c>
      <c r="F144" s="8" t="str">
        <f>IFERROR(__xludf.DUMMYFUNCTION("""COMPUTED_VALUE"""),"congelador")</f>
        <v>congelador</v>
      </c>
      <c r="G144" s="8" t="str">
        <f t="shared" si="3"/>
        <v>2</v>
      </c>
      <c r="H144" s="9">
        <f t="shared" si="4"/>
        <v>2</v>
      </c>
      <c r="I144" s="10">
        <f>IFERROR(__xludf.DUMMYFUNCTION("MAX(FILTER($H:$H,$E:$E=F144))"),1.0)</f>
        <v>1</v>
      </c>
    </row>
    <row r="145">
      <c r="C145" s="4" t="s">
        <v>2915</v>
      </c>
      <c r="D145" s="4" t="str">
        <f t="shared" si="1"/>
        <v>{"valorA":"muito","valorB":9}</v>
      </c>
      <c r="E145" s="8" t="str">
        <f t="shared" si="2"/>
        <v>muito</v>
      </c>
      <c r="F145" s="8" t="str">
        <f>IFERROR(__xludf.DUMMYFUNCTION("""COMPUTED_VALUE"""),"cima")</f>
        <v>cima</v>
      </c>
      <c r="G145" s="8" t="str">
        <f t="shared" si="3"/>
        <v>9</v>
      </c>
      <c r="H145" s="9">
        <f t="shared" si="4"/>
        <v>9</v>
      </c>
      <c r="I145" s="10">
        <f>IFERROR(__xludf.DUMMYFUNCTION("MAX(FILTER($H:$H,$E:$E=F145))"),1.0)</f>
        <v>1</v>
      </c>
    </row>
    <row r="146">
      <c r="C146" s="4" t="s">
        <v>8077</v>
      </c>
      <c r="D146" s="4" t="str">
        <f t="shared" si="1"/>
        <v>{"valorA":"consumidor","valorB":1}</v>
      </c>
      <c r="E146" s="8" t="str">
        <f t="shared" si="2"/>
        <v>consumidor</v>
      </c>
      <c r="F146" s="8" t="str">
        <f>IFERROR(__xludf.DUMMYFUNCTION("""COMPUTED_VALUE"""),"parecem")</f>
        <v>parecem</v>
      </c>
      <c r="G146" s="8" t="str">
        <f t="shared" si="3"/>
        <v>1</v>
      </c>
      <c r="H146" s="9">
        <f t="shared" si="4"/>
        <v>1</v>
      </c>
      <c r="I146" s="10">
        <f>IFERROR(__xludf.DUMMYFUNCTION("MAX(FILTER($H:$H,$E:$E=F146))"),1.0)</f>
        <v>1</v>
      </c>
    </row>
    <row r="147">
      <c r="C147" s="4" t="s">
        <v>8078</v>
      </c>
      <c r="D147" s="4" t="str">
        <f t="shared" si="1"/>
        <v>{"valorA":"limpar","valorB":2}</v>
      </c>
      <c r="E147" s="8" t="str">
        <f t="shared" si="2"/>
        <v>limpar</v>
      </c>
      <c r="F147" s="8" t="str">
        <f>IFERROR(__xludf.DUMMYFUNCTION("""COMPUTED_VALUE"""),"últimas")</f>
        <v>últimas</v>
      </c>
      <c r="G147" s="8" t="str">
        <f t="shared" si="3"/>
        <v>2</v>
      </c>
      <c r="H147" s="9">
        <f t="shared" si="4"/>
        <v>2</v>
      </c>
      <c r="I147" s="10">
        <f>IFERROR(__xludf.DUMMYFUNCTION("MAX(FILTER($H:$H,$E:$E=F147))"),1.0)</f>
        <v>1</v>
      </c>
    </row>
    <row r="148">
      <c r="C148" s="4" t="s">
        <v>2673</v>
      </c>
      <c r="D148" s="4" t="str">
        <f t="shared" si="1"/>
        <v>{"valorA":"ótimo","valorB":8}</v>
      </c>
      <c r="E148" s="8" t="str">
        <f t="shared" si="2"/>
        <v>ótimo</v>
      </c>
      <c r="F148" s="8" t="str">
        <f>IFERROR(__xludf.DUMMYFUNCTION("""COMPUTED_VALUE"""),"estar")</f>
        <v>estar</v>
      </c>
      <c r="G148" s="8" t="str">
        <f t="shared" si="3"/>
        <v>8</v>
      </c>
      <c r="H148" s="9">
        <f t="shared" si="4"/>
        <v>8</v>
      </c>
      <c r="I148" s="10">
        <f>IFERROR(__xludf.DUMMYFUNCTION("MAX(FILTER($H:$H,$E:$E=F148))"),1.0)</f>
        <v>1</v>
      </c>
    </row>
    <row r="149">
      <c r="C149" s="4" t="s">
        <v>3914</v>
      </c>
      <c r="D149" s="4" t="str">
        <f t="shared" si="1"/>
        <v>{"valorA":"baixo","valorB":1}</v>
      </c>
      <c r="E149" s="8" t="str">
        <f t="shared" si="2"/>
        <v>baixo</v>
      </c>
      <c r="F149" s="8" t="str">
        <f>IFERROR(__xludf.DUMMYFUNCTION("""COMPUTED_VALUE"""),"construídas")</f>
        <v>construídas</v>
      </c>
      <c r="G149" s="8" t="str">
        <f t="shared" si="3"/>
        <v>1</v>
      </c>
      <c r="H149" s="9">
        <f t="shared" si="4"/>
        <v>1</v>
      </c>
      <c r="I149" s="10">
        <f>IFERROR(__xludf.DUMMYFUNCTION("MAX(FILTER($H:$H,$E:$E=F149))"),1.0)</f>
        <v>1</v>
      </c>
    </row>
    <row r="150">
      <c r="C150" s="4" t="s">
        <v>2677</v>
      </c>
      <c r="D150" s="4" t="str">
        <f t="shared" si="1"/>
        <v>{"valorA":"fácil","valorB":1}</v>
      </c>
      <c r="E150" s="8" t="str">
        <f t="shared" si="2"/>
        <v>fácil</v>
      </c>
      <c r="F150" s="8" t="str">
        <f>IFERROR(__xludf.DUMMYFUNCTION("""COMPUTED_VALUE"""),"minhas")</f>
        <v>minhas</v>
      </c>
      <c r="G150" s="8" t="str">
        <f t="shared" si="3"/>
        <v>1</v>
      </c>
      <c r="H150" s="9">
        <f t="shared" si="4"/>
        <v>1</v>
      </c>
      <c r="I150" s="10">
        <f>IFERROR(__xludf.DUMMYFUNCTION("MAX(FILTER($H:$H,$E:$E=F150))"),1.0)</f>
        <v>1</v>
      </c>
    </row>
    <row r="151">
      <c r="C151" s="4" t="s">
        <v>2984</v>
      </c>
      <c r="D151" s="4" t="str">
        <f t="shared" si="1"/>
        <v>{"valorA":"de","valorB":7}</v>
      </c>
      <c r="E151" s="8" t="str">
        <f t="shared" si="2"/>
        <v>de</v>
      </c>
      <c r="F151" s="8" t="str">
        <f>IFERROR(__xludf.DUMMYFUNCTION("""COMPUTED_VALUE"""),"canetas")</f>
        <v>canetas</v>
      </c>
      <c r="G151" s="8" t="str">
        <f t="shared" si="3"/>
        <v>7</v>
      </c>
      <c r="H151" s="9">
        <f t="shared" si="4"/>
        <v>7</v>
      </c>
      <c r="I151" s="10">
        <f>IFERROR(__xludf.DUMMYFUNCTION("MAX(FILTER($H:$H,$E:$E=F151))"),1.0)</f>
        <v>1</v>
      </c>
    </row>
    <row r="152">
      <c r="C152" s="4" t="s">
        <v>8079</v>
      </c>
      <c r="D152" s="4" t="str">
        <f t="shared" si="1"/>
        <v>{"valorA":"lavadeira","valorB":1}</v>
      </c>
      <c r="E152" s="8" t="str">
        <f t="shared" si="2"/>
        <v>lavadeira</v>
      </c>
      <c r="F152" s="8" t="str">
        <f>IFERROR(__xludf.DUMMYFUNCTION("""COMPUTED_VALUE"""),"industrial")</f>
        <v>industrial</v>
      </c>
      <c r="G152" s="8" t="str">
        <f t="shared" si="3"/>
        <v>1</v>
      </c>
      <c r="H152" s="9">
        <f t="shared" si="4"/>
        <v>1</v>
      </c>
      <c r="I152" s="10">
        <f>IFERROR(__xludf.DUMMYFUNCTION("MAX(FILTER($H:$H,$E:$E=F152))"),1.0)</f>
        <v>1</v>
      </c>
    </row>
    <row r="153">
      <c r="C153" s="4" t="s">
        <v>2721</v>
      </c>
      <c r="D153" s="4" t="str">
        <f t="shared" si="1"/>
        <v>{"valorA":"e","valorB":4}</v>
      </c>
      <c r="E153" s="8" t="str">
        <f t="shared" si="2"/>
        <v>e</v>
      </c>
      <c r="F153" s="8" t="str">
        <f>IFERROR(__xludf.DUMMYFUNCTION("""COMPUTED_VALUE"""),"míniforno")</f>
        <v>míniforno</v>
      </c>
      <c r="G153" s="8" t="str">
        <f t="shared" si="3"/>
        <v>4</v>
      </c>
      <c r="H153" s="9">
        <f t="shared" si="4"/>
        <v>4</v>
      </c>
      <c r="I153" s="10">
        <f>IFERROR(__xludf.DUMMYFUNCTION("MAX(FILTER($H:$H,$E:$E=F153))"),1.0)</f>
        <v>1</v>
      </c>
    </row>
    <row r="154">
      <c r="C154" s="4" t="s">
        <v>3069</v>
      </c>
      <c r="D154" s="4" t="str">
        <f t="shared" si="1"/>
        <v>{"valorA":"de","valorB":8}</v>
      </c>
      <c r="E154" s="8" t="str">
        <f t="shared" si="2"/>
        <v>de</v>
      </c>
      <c r="F154" s="8" t="str">
        <f>IFERROR(__xludf.DUMMYFUNCTION("""COMPUTED_VALUE"""),"ontem")</f>
        <v>ontem</v>
      </c>
      <c r="G154" s="8" t="str">
        <f t="shared" si="3"/>
        <v>8</v>
      </c>
      <c r="H154" s="9">
        <f t="shared" si="4"/>
        <v>8</v>
      </c>
      <c r="I154" s="10">
        <f>IFERROR(__xludf.DUMMYFUNCTION("MAX(FILTER($H:$H,$E:$E=F154))"),1.0)</f>
        <v>1</v>
      </c>
    </row>
    <row r="155">
      <c r="C155" s="4" t="s">
        <v>3370</v>
      </c>
      <c r="D155" s="4" t="str">
        <f t="shared" si="1"/>
        <v>{"valorA":"quer","valorB":1}</v>
      </c>
      <c r="E155" s="8" t="str">
        <f t="shared" si="2"/>
        <v>quer</v>
      </c>
      <c r="F155" s="8" t="str">
        <f>IFERROR(__xludf.DUMMYFUNCTION("""COMPUTED_VALUE"""),"tocadiscos")</f>
        <v>tocadiscos</v>
      </c>
      <c r="G155" s="8" t="str">
        <f t="shared" si="3"/>
        <v>1</v>
      </c>
      <c r="H155" s="9">
        <f t="shared" si="4"/>
        <v>1</v>
      </c>
      <c r="I155" s="10">
        <f>IFERROR(__xludf.DUMMYFUNCTION("MAX(FILTER($H:$H,$E:$E=F155))"),1.0)</f>
        <v>1</v>
      </c>
    </row>
    <row r="156">
      <c r="C156" s="4" t="s">
        <v>2856</v>
      </c>
      <c r="D156" s="4" t="str">
        <f t="shared" si="1"/>
        <v>{"valorA":"quem","valorB":2}</v>
      </c>
      <c r="E156" s="8" t="str">
        <f t="shared" si="2"/>
        <v>quem</v>
      </c>
      <c r="F156" s="8" t="str">
        <f>IFERROR(__xludf.DUMMYFUNCTION("""COMPUTED_VALUE"""),"comprei")</f>
        <v>comprei</v>
      </c>
      <c r="G156" s="8" t="str">
        <f t="shared" si="3"/>
        <v>2</v>
      </c>
      <c r="H156" s="9">
        <f t="shared" si="4"/>
        <v>2</v>
      </c>
      <c r="I156" s="10">
        <f>IFERROR(__xludf.DUMMYFUNCTION("MAX(FILTER($H:$H,$E:$E=F156))"),1.0)</f>
        <v>1</v>
      </c>
    </row>
    <row r="157">
      <c r="C157" s="4" t="s">
        <v>3025</v>
      </c>
      <c r="D157" s="4" t="str">
        <f t="shared" si="1"/>
        <v>{"valorA":"um","valorB":1}</v>
      </c>
      <c r="E157" s="8" t="str">
        <f t="shared" si="2"/>
        <v>um</v>
      </c>
      <c r="F157" s="8" t="str">
        <f>IFERROR(__xludf.DUMMYFUNCTION("""COMPUTED_VALUE"""),"várias")</f>
        <v>várias</v>
      </c>
      <c r="G157" s="8" t="str">
        <f t="shared" si="3"/>
        <v>1</v>
      </c>
      <c r="H157" s="9">
        <f t="shared" si="4"/>
        <v>1</v>
      </c>
      <c r="I157" s="10">
        <f>IFERROR(__xludf.DUMMYFUNCTION("MAX(FILTER($H:$H,$E:$E=F157))"),1.0)</f>
        <v>1</v>
      </c>
    </row>
    <row r="158">
      <c r="C158" s="4" t="s">
        <v>8080</v>
      </c>
      <c r="D158" s="4" t="str">
        <f t="shared" si="1"/>
        <v>{"valorA":"fazer","valorB":1}</v>
      </c>
      <c r="E158" s="8" t="str">
        <f t="shared" si="2"/>
        <v>fazer</v>
      </c>
      <c r="F158" s="8" t="str">
        <f>IFERROR(__xludf.DUMMYFUNCTION("""COMPUTED_VALUE"""),"lavabo")</f>
        <v>lavabo</v>
      </c>
      <c r="G158" s="8" t="str">
        <f t="shared" si="3"/>
        <v>1</v>
      </c>
      <c r="H158" s="9">
        <f t="shared" si="4"/>
        <v>1</v>
      </c>
      <c r="I158" s="10">
        <f>IFERROR(__xludf.DUMMYFUNCTION("MAX(FILTER($H:$H,$E:$E=F158))"),3.0)</f>
        <v>3</v>
      </c>
    </row>
    <row r="159">
      <c r="C159" s="4" t="s">
        <v>2684</v>
      </c>
      <c r="D159" s="4" t="str">
        <f t="shared" si="1"/>
        <v>{"valorA":"ótimo","valorB":9}</v>
      </c>
      <c r="E159" s="8" t="str">
        <f t="shared" si="2"/>
        <v>ótimo</v>
      </c>
      <c r="F159" s="8" t="str">
        <f>IFERROR(__xludf.DUMMYFUNCTION("""COMPUTED_VALUE"""),"ajuste")</f>
        <v>ajuste</v>
      </c>
      <c r="G159" s="8" t="str">
        <f t="shared" si="3"/>
        <v>9</v>
      </c>
      <c r="H159" s="9">
        <f t="shared" si="4"/>
        <v>9</v>
      </c>
      <c r="I159" s="10">
        <f>IFERROR(__xludf.DUMMYFUNCTION("MAX(FILTER($H:$H,$E:$E=F159))"),1.0)</f>
        <v>1</v>
      </c>
    </row>
    <row r="160">
      <c r="C160" s="4" t="s">
        <v>3942</v>
      </c>
      <c r="D160" s="4" t="str">
        <f t="shared" si="1"/>
        <v>{"valorA":"rápido","valorB":2}</v>
      </c>
      <c r="E160" s="8" t="str">
        <f t="shared" si="2"/>
        <v>rápido</v>
      </c>
      <c r="F160" s="8" t="str">
        <f>IFERROR(__xludf.DUMMYFUNCTION("""COMPUTED_VALUE"""),"da")</f>
        <v>da</v>
      </c>
      <c r="G160" s="8" t="str">
        <f t="shared" si="3"/>
        <v>2</v>
      </c>
      <c r="H160" s="9">
        <f t="shared" si="4"/>
        <v>2</v>
      </c>
      <c r="I160" s="10">
        <f>IFERROR(__xludf.DUMMYFUNCTION("MAX(FILTER($H:$H,$E:$E=F160))"),1.0)</f>
        <v>1</v>
      </c>
    </row>
    <row r="161">
      <c r="C161" s="4" t="s">
        <v>2950</v>
      </c>
      <c r="D161" s="4" t="str">
        <f t="shared" si="1"/>
        <v>{"valorA":"meu","valorB":4}</v>
      </c>
      <c r="E161" s="8" t="str">
        <f t="shared" si="2"/>
        <v>meu</v>
      </c>
      <c r="F161" s="8" t="str">
        <f>IFERROR(__xludf.DUMMYFUNCTION("""COMPUTED_VALUE"""),"opções")</f>
        <v>opções</v>
      </c>
      <c r="G161" s="8" t="str">
        <f t="shared" si="3"/>
        <v>4</v>
      </c>
      <c r="H161" s="9">
        <f t="shared" si="4"/>
        <v>4</v>
      </c>
      <c r="I161" s="10">
        <f>IFERROR(__xludf.DUMMYFUNCTION("MAX(FILTER($H:$H,$E:$E=F161))"),1.0)</f>
        <v>1</v>
      </c>
    </row>
    <row r="162">
      <c r="C162" s="4" t="s">
        <v>2805</v>
      </c>
      <c r="D162" s="4" t="str">
        <f t="shared" si="1"/>
        <v>{"valorA":"para","valorB":5}</v>
      </c>
      <c r="E162" s="8" t="str">
        <f t="shared" si="2"/>
        <v>para</v>
      </c>
      <c r="F162" s="8" t="str">
        <f>IFERROR(__xludf.DUMMYFUNCTION("""COMPUTED_VALUE"""),"temperatura")</f>
        <v>temperatura</v>
      </c>
      <c r="G162" s="8" t="str">
        <f t="shared" si="3"/>
        <v>5</v>
      </c>
      <c r="H162" s="9">
        <f t="shared" si="4"/>
        <v>5</v>
      </c>
      <c r="I162" s="10">
        <f>IFERROR(__xludf.DUMMYFUNCTION("MAX(FILTER($H:$H,$E:$E=F162))"),1.0)</f>
        <v>1</v>
      </c>
    </row>
    <row r="163">
      <c r="C163" s="4" t="s">
        <v>7050</v>
      </c>
      <c r="D163" s="4" t="str">
        <f t="shared" si="1"/>
        <v>{"valorA":"anterior","valorB":1}</v>
      </c>
      <c r="E163" s="8" t="str">
        <f t="shared" si="2"/>
        <v>anterior</v>
      </c>
      <c r="F163" s="8" t="str">
        <f>IFERROR(__xludf.DUMMYFUNCTION("""COMPUTED_VALUE"""),"bluetooth")</f>
        <v>bluetooth</v>
      </c>
      <c r="G163" s="8" t="str">
        <f t="shared" si="3"/>
        <v>1</v>
      </c>
      <c r="H163" s="9">
        <f t="shared" si="4"/>
        <v>1</v>
      </c>
      <c r="I163" s="10">
        <f>IFERROR(__xludf.DUMMYFUNCTION("MAX(FILTER($H:$H,$E:$E=F163))"),1.0)</f>
        <v>1</v>
      </c>
    </row>
    <row r="164">
      <c r="C164" s="4" t="s">
        <v>8081</v>
      </c>
      <c r="D164" s="4" t="str">
        <f t="shared" si="1"/>
        <v>{"valorA":"café","valorB":1}</v>
      </c>
      <c r="E164" s="8" t="str">
        <f t="shared" si="2"/>
        <v>café</v>
      </c>
      <c r="F164" s="8" t="str">
        <f>IFERROR(__xludf.DUMMYFUNCTION("""COMPUTED_VALUE"""),"bom")</f>
        <v>bom</v>
      </c>
      <c r="G164" s="8" t="str">
        <f t="shared" si="3"/>
        <v>1</v>
      </c>
      <c r="H164" s="9">
        <f t="shared" si="4"/>
        <v>1</v>
      </c>
      <c r="I164" s="10">
        <f>IFERROR(__xludf.DUMMYFUNCTION("MAX(FILTER($H:$H,$E:$E=F164))"),1.0)</f>
        <v>1</v>
      </c>
    </row>
    <row r="165">
      <c r="C165" s="4" t="s">
        <v>3387</v>
      </c>
      <c r="D165" s="4" t="str">
        <f t="shared" si="1"/>
        <v>{"valorA":"modelo","valorB":2}</v>
      </c>
      <c r="E165" s="8" t="str">
        <f t="shared" si="2"/>
        <v>modelo</v>
      </c>
      <c r="F165" s="8" t="str">
        <f>IFERROR(__xludf.DUMMYFUNCTION("""COMPUTED_VALUE"""),"fiquei")</f>
        <v>fiquei</v>
      </c>
      <c r="G165" s="8" t="str">
        <f t="shared" si="3"/>
        <v>2</v>
      </c>
      <c r="H165" s="9">
        <f t="shared" si="4"/>
        <v>2</v>
      </c>
      <c r="I165" s="10">
        <f>IFERROR(__xludf.DUMMYFUNCTION("MAX(FILTER($H:$H,$E:$E=F165))"),1.0)</f>
        <v>1</v>
      </c>
    </row>
    <row r="166">
      <c r="C166" s="4" t="s">
        <v>2934</v>
      </c>
      <c r="D166" s="4" t="str">
        <f t="shared" si="1"/>
        <v>{"valorA":"muito","valorB":10}</v>
      </c>
      <c r="E166" s="8" t="str">
        <f t="shared" si="2"/>
        <v>muito</v>
      </c>
      <c r="F166" s="8" t="str">
        <f>IFERROR(__xludf.DUMMYFUNCTION("""COMPUTED_VALUE"""),"óptico")</f>
        <v>óptico</v>
      </c>
      <c r="G166" s="8" t="str">
        <f t="shared" si="3"/>
        <v>10</v>
      </c>
      <c r="H166" s="9">
        <f t="shared" si="4"/>
        <v>10</v>
      </c>
      <c r="I166" s="10">
        <f>IFERROR(__xludf.DUMMYFUNCTION("MAX(FILTER($H:$H,$E:$E=F166))"),1.0)</f>
        <v>1</v>
      </c>
    </row>
    <row r="167">
      <c r="C167" s="4" t="s">
        <v>8082</v>
      </c>
      <c r="D167" s="4" t="str">
        <f t="shared" si="1"/>
        <v>{"valorA":"lento","valorB":1}</v>
      </c>
      <c r="E167" s="8" t="str">
        <f t="shared" si="2"/>
        <v>lento</v>
      </c>
      <c r="F167" s="8" t="str">
        <f>IFERROR(__xludf.DUMMYFUNCTION("""COMPUTED_VALUE"""),"compra")</f>
        <v>compra</v>
      </c>
      <c r="G167" s="8" t="str">
        <f t="shared" si="3"/>
        <v>1</v>
      </c>
      <c r="H167" s="9">
        <f t="shared" si="4"/>
        <v>1</v>
      </c>
      <c r="I167" s="10">
        <f>IFERROR(__xludf.DUMMYFUNCTION("MAX(FILTER($H:$H,$E:$E=F167))"),2.0)</f>
        <v>2</v>
      </c>
    </row>
    <row r="168">
      <c r="C168" s="4" t="s">
        <v>8083</v>
      </c>
      <c r="D168" s="4" t="str">
        <f t="shared" si="1"/>
        <v>{"valorA":"era","valorB":1}</v>
      </c>
      <c r="E168" s="8" t="str">
        <f t="shared" si="2"/>
        <v>era</v>
      </c>
      <c r="F168" s="8" t="str">
        <f>IFERROR(__xludf.DUMMYFUNCTION("""COMPUTED_VALUE"""),"satisfeita")</f>
        <v>satisfeita</v>
      </c>
      <c r="G168" s="8" t="str">
        <f t="shared" si="3"/>
        <v>1</v>
      </c>
      <c r="H168" s="9">
        <f t="shared" si="4"/>
        <v>1</v>
      </c>
      <c r="I168" s="10">
        <f>IFERROR(__xludf.DUMMYFUNCTION("MAX(FILTER($H:$H,$E:$E=F168))"),1.0)</f>
        <v>1</v>
      </c>
    </row>
    <row r="169">
      <c r="C169" s="4" t="s">
        <v>2690</v>
      </c>
      <c r="D169" s="4" t="str">
        <f t="shared" si="1"/>
        <v>{"valorA":"ótimo","valorB":10}</v>
      </c>
      <c r="E169" s="8" t="str">
        <f t="shared" si="2"/>
        <v>ótimo</v>
      </c>
      <c r="F169" s="8" t="str">
        <f>IFERROR(__xludf.DUMMYFUNCTION("""COMPUTED_VALUE"""),"raspador")</f>
        <v>raspador</v>
      </c>
      <c r="G169" s="8" t="str">
        <f t="shared" si="3"/>
        <v>10</v>
      </c>
      <c r="H169" s="9">
        <f t="shared" si="4"/>
        <v>10</v>
      </c>
      <c r="I169" s="10">
        <f>IFERROR(__xludf.DUMMYFUNCTION("MAX(FILTER($H:$H,$E:$E=F169))"),1.0)</f>
        <v>1</v>
      </c>
    </row>
    <row r="170">
      <c r="C170" s="4" t="s">
        <v>3072</v>
      </c>
      <c r="D170" s="4" t="str">
        <f t="shared" si="1"/>
        <v>{"valorA":"de","valorB":9}</v>
      </c>
      <c r="E170" s="8" t="str">
        <f t="shared" si="2"/>
        <v>de</v>
      </c>
      <c r="F170" s="8" t="str">
        <f>IFERROR(__xludf.DUMMYFUNCTION("""COMPUTED_VALUE"""),"frutas")</f>
        <v>frutas</v>
      </c>
      <c r="G170" s="8" t="str">
        <f t="shared" si="3"/>
        <v>9</v>
      </c>
      <c r="H170" s="9">
        <f t="shared" si="4"/>
        <v>9</v>
      </c>
      <c r="I170" s="10">
        <f>IFERROR(__xludf.DUMMYFUNCTION("MAX(FILTER($H:$H,$E:$E=F170))"),1.0)</f>
        <v>1</v>
      </c>
    </row>
    <row r="171">
      <c r="C171" s="4" t="s">
        <v>3350</v>
      </c>
      <c r="D171" s="4" t="str">
        <f t="shared" si="1"/>
        <v>{"valorA":"lavador","valorB":3}</v>
      </c>
      <c r="E171" s="8" t="str">
        <f t="shared" si="2"/>
        <v>lavador</v>
      </c>
      <c r="F171" s="8" t="str">
        <f>IFERROR(__xludf.DUMMYFUNCTION("""COMPUTED_VALUE"""),"limpo")</f>
        <v>limpo</v>
      </c>
      <c r="G171" s="8" t="str">
        <f t="shared" si="3"/>
        <v>3</v>
      </c>
      <c r="H171" s="9">
        <f t="shared" si="4"/>
        <v>3</v>
      </c>
      <c r="I171" s="10">
        <f>IFERROR(__xludf.DUMMYFUNCTION("MAX(FILTER($H:$H,$E:$E=F171))"),1.0)</f>
        <v>1</v>
      </c>
    </row>
    <row r="172">
      <c r="C172" s="4" t="s">
        <v>2942</v>
      </c>
      <c r="D172" s="4" t="str">
        <f t="shared" si="1"/>
        <v>{"valorA":"o","valorB":7}</v>
      </c>
      <c r="E172" s="8" t="str">
        <f t="shared" si="2"/>
        <v>o</v>
      </c>
      <c r="F172" s="8" t="str">
        <f>IFERROR(__xludf.DUMMYFUNCTION("""COMPUTED_VALUE"""),"sempre")</f>
        <v>sempre</v>
      </c>
      <c r="G172" s="8" t="str">
        <f t="shared" si="3"/>
        <v>7</v>
      </c>
      <c r="H172" s="9">
        <f t="shared" si="4"/>
        <v>7</v>
      </c>
      <c r="I172" s="10">
        <f>IFERROR(__xludf.DUMMYFUNCTION("MAX(FILTER($H:$H,$E:$E=F172))"),1.0)</f>
        <v>1</v>
      </c>
    </row>
    <row r="173">
      <c r="C173" s="4" t="s">
        <v>3847</v>
      </c>
      <c r="D173" s="4" t="str">
        <f t="shared" si="1"/>
        <v>{"valorA":"prataria","valorB":1}</v>
      </c>
      <c r="E173" s="8" t="str">
        <f t="shared" si="2"/>
        <v>prataria</v>
      </c>
      <c r="F173" s="8" t="str">
        <f>IFERROR(__xludf.DUMMYFUNCTION("""COMPUTED_VALUE"""),"mantém")</f>
        <v>mantém</v>
      </c>
      <c r="G173" s="8" t="str">
        <f t="shared" si="3"/>
        <v>1</v>
      </c>
      <c r="H173" s="9">
        <f t="shared" si="4"/>
        <v>1</v>
      </c>
      <c r="I173" s="10">
        <f>IFERROR(__xludf.DUMMYFUNCTION("MAX(FILTER($H:$H,$E:$E=F173))"),1.0)</f>
        <v>1</v>
      </c>
    </row>
    <row r="174">
      <c r="C174" s="4" t="s">
        <v>3391</v>
      </c>
      <c r="D174" s="4" t="str">
        <f t="shared" si="1"/>
        <v>{"valorA":"momento","valorB":1}</v>
      </c>
      <c r="E174" s="8" t="str">
        <f t="shared" si="2"/>
        <v>momento</v>
      </c>
      <c r="F174" s="8" t="str">
        <f>IFERROR(__xludf.DUMMYFUNCTION("""COMPUTED_VALUE"""),"banheiro")</f>
        <v>banheiro</v>
      </c>
      <c r="G174" s="8" t="str">
        <f t="shared" si="3"/>
        <v>1</v>
      </c>
      <c r="H174" s="9">
        <f t="shared" si="4"/>
        <v>1</v>
      </c>
      <c r="I174" s="10">
        <f>IFERROR(__xludf.DUMMYFUNCTION("MAX(FILTER($H:$H,$E:$E=F174))"),1.0)</f>
        <v>1</v>
      </c>
    </row>
    <row r="175">
      <c r="C175" s="4" t="s">
        <v>2646</v>
      </c>
      <c r="D175" s="4" t="str">
        <f t="shared" si="1"/>
        <v>{"valorA":"perfeitamente","valorB":1}</v>
      </c>
      <c r="E175" s="8" t="str">
        <f t="shared" si="2"/>
        <v>perfeitamente</v>
      </c>
      <c r="F175" s="8" t="str">
        <f>IFERROR(__xludf.DUMMYFUNCTION("""COMPUTED_VALUE"""),"bordas")</f>
        <v>bordas</v>
      </c>
      <c r="G175" s="8" t="str">
        <f t="shared" si="3"/>
        <v>1</v>
      </c>
      <c r="H175" s="9">
        <f t="shared" si="4"/>
        <v>1</v>
      </c>
      <c r="I175" s="10">
        <f>IFERROR(__xludf.DUMMYFUNCTION("MAX(FILTER($H:$H,$E:$E=F175))"),1.0)</f>
        <v>1</v>
      </c>
    </row>
    <row r="176">
      <c r="C176" s="4" t="s">
        <v>3951</v>
      </c>
      <c r="D176" s="4" t="str">
        <f t="shared" si="1"/>
        <v>{"valorA":"primeiro","valorB":1}</v>
      </c>
      <c r="E176" s="8" t="str">
        <f t="shared" si="2"/>
        <v>primeiro</v>
      </c>
      <c r="F176" s="8" t="str">
        <f>IFERROR(__xludf.DUMMYFUNCTION("""COMPUTED_VALUE"""),"sujas")</f>
        <v>sujas</v>
      </c>
      <c r="G176" s="8" t="str">
        <f t="shared" si="3"/>
        <v>1</v>
      </c>
      <c r="H176" s="9">
        <f t="shared" si="4"/>
        <v>1</v>
      </c>
      <c r="I176" s="10">
        <f>IFERROR(__xludf.DUMMYFUNCTION("MAX(FILTER($H:$H,$E:$E=F176))"),1.0)</f>
        <v>1</v>
      </c>
    </row>
    <row r="177">
      <c r="C177" s="4" t="s">
        <v>2712</v>
      </c>
      <c r="D177" s="4" t="str">
        <f t="shared" si="1"/>
        <v>{"valorA":"funciona","valorB":3}</v>
      </c>
      <c r="E177" s="8" t="str">
        <f t="shared" si="2"/>
        <v>funciona</v>
      </c>
      <c r="F177" s="8" t="str">
        <f>IFERROR(__xludf.DUMMYFUNCTION("""COMPUTED_VALUE"""),"deste")</f>
        <v>deste</v>
      </c>
      <c r="G177" s="8" t="str">
        <f t="shared" si="3"/>
        <v>3</v>
      </c>
      <c r="H177" s="9">
        <f t="shared" si="4"/>
        <v>3</v>
      </c>
      <c r="I177" s="10">
        <f>IFERROR(__xludf.DUMMYFUNCTION("MAX(FILTER($H:$H,$E:$E=F177))"),1.0)</f>
        <v>1</v>
      </c>
    </row>
    <row r="178">
      <c r="C178" s="4" t="s">
        <v>3893</v>
      </c>
      <c r="D178" s="4" t="str">
        <f t="shared" si="1"/>
        <v>{"valorA":"desde","valorB":2}</v>
      </c>
      <c r="E178" s="8" t="str">
        <f t="shared" si="2"/>
        <v>desde</v>
      </c>
      <c r="F178" s="8" t="str">
        <f>IFERROR(__xludf.DUMMYFUNCTION("""COMPUTED_VALUE"""),"espaço")</f>
        <v>espaço</v>
      </c>
      <c r="G178" s="8" t="str">
        <f t="shared" si="3"/>
        <v>2</v>
      </c>
      <c r="H178" s="9">
        <f t="shared" si="4"/>
        <v>2</v>
      </c>
      <c r="I178" s="10">
        <f>IFERROR(__xludf.DUMMYFUNCTION("MAX(FILTER($H:$H,$E:$E=F178))"),1.0)</f>
        <v>1</v>
      </c>
    </row>
    <row r="179">
      <c r="C179" s="4" t="s">
        <v>2698</v>
      </c>
      <c r="D179" s="4" t="str">
        <f t="shared" si="1"/>
        <v>{"valorA":"ótimo","valorB":11}</v>
      </c>
      <c r="E179" s="8" t="str">
        <f t="shared" si="2"/>
        <v>ótimo</v>
      </c>
      <c r="F179" s="8" t="str">
        <f>IFERROR(__xludf.DUMMYFUNCTION("""COMPUTED_VALUE"""),"armazenamento")</f>
        <v>armazenamento</v>
      </c>
      <c r="G179" s="8" t="str">
        <f t="shared" si="3"/>
        <v>11</v>
      </c>
      <c r="H179" s="9">
        <f t="shared" si="4"/>
        <v>11</v>
      </c>
      <c r="I179" s="10">
        <f>IFERROR(__xludf.DUMMYFUNCTION("MAX(FILTER($H:$H,$E:$E=F179))"),2.0)</f>
        <v>2</v>
      </c>
    </row>
    <row r="180">
      <c r="C180" s="4" t="s">
        <v>3076</v>
      </c>
      <c r="D180" s="4" t="str">
        <f t="shared" si="1"/>
        <v>{"valorA":"de","valorB":10}</v>
      </c>
      <c r="E180" s="8" t="str">
        <f t="shared" si="2"/>
        <v>de</v>
      </c>
      <c r="F180" s="8" t="str">
        <f>IFERROR(__xludf.DUMMYFUNCTION("""COMPUTED_VALUE"""),"precisa")</f>
        <v>precisa</v>
      </c>
      <c r="G180" s="8" t="str">
        <f t="shared" si="3"/>
        <v>10</v>
      </c>
      <c r="H180" s="9">
        <f t="shared" si="4"/>
        <v>10</v>
      </c>
      <c r="I180" s="10">
        <f>IFERROR(__xludf.DUMMYFUNCTION("MAX(FILTER($H:$H,$E:$E=F180))"),1.0)</f>
        <v>1</v>
      </c>
    </row>
    <row r="181">
      <c r="C181" s="4" t="s">
        <v>8084</v>
      </c>
      <c r="D181" s="4" t="str">
        <f t="shared" si="1"/>
        <v>{"valorA":"limpar","valorB":3}</v>
      </c>
      <c r="E181" s="8" t="str">
        <f t="shared" si="2"/>
        <v>limpar</v>
      </c>
      <c r="F181" s="8" t="str">
        <f>IFERROR(__xludf.DUMMYFUNCTION("""COMPUTED_VALUE"""),"grande")</f>
        <v>grande</v>
      </c>
      <c r="G181" s="8" t="str">
        <f t="shared" si="3"/>
        <v>3</v>
      </c>
      <c r="H181" s="9">
        <f t="shared" si="4"/>
        <v>3</v>
      </c>
      <c r="I181" s="10">
        <f>IFERROR(__xludf.DUMMYFUNCTION("MAX(FILTER($H:$H,$E:$E=F181))"),1.0)</f>
        <v>1</v>
      </c>
    </row>
    <row r="182">
      <c r="C182" s="4" t="s">
        <v>3467</v>
      </c>
      <c r="D182" s="4" t="str">
        <f t="shared" si="1"/>
        <v>{"valorA":"lavador","valorB":4}</v>
      </c>
      <c r="E182" s="8" t="str">
        <f t="shared" si="2"/>
        <v>lavador</v>
      </c>
      <c r="F182" s="8" t="str">
        <f>IFERROR(__xludf.DUMMYFUNCTION("""COMPUTED_VALUE"""),"celular")</f>
        <v>celular</v>
      </c>
      <c r="G182" s="8" t="str">
        <f t="shared" si="3"/>
        <v>4</v>
      </c>
      <c r="H182" s="9">
        <f t="shared" si="4"/>
        <v>4</v>
      </c>
      <c r="I182" s="10">
        <f>IFERROR(__xludf.DUMMYFUNCTION("MAX(FILTER($H:$H,$E:$E=F182))"),2.0)</f>
        <v>2</v>
      </c>
    </row>
    <row r="183">
      <c r="C183" s="4" t="s">
        <v>2722</v>
      </c>
      <c r="D183" s="4" t="str">
        <f t="shared" si="1"/>
        <v>{"valorA":"fácil","valorB":2}</v>
      </c>
      <c r="E183" s="8" t="str">
        <f t="shared" si="2"/>
        <v>fácil</v>
      </c>
      <c r="F183" s="8" t="str">
        <f>IFERROR(__xludf.DUMMYFUNCTION("""COMPUTED_VALUE"""),"filho")</f>
        <v>filho</v>
      </c>
      <c r="G183" s="8" t="str">
        <f t="shared" si="3"/>
        <v>2</v>
      </c>
      <c r="H183" s="9">
        <f t="shared" si="4"/>
        <v>2</v>
      </c>
      <c r="I183" s="10">
        <f>IFERROR(__xludf.DUMMYFUNCTION("MAX(FILTER($H:$H,$E:$E=F183))"),1.0)</f>
        <v>1</v>
      </c>
    </row>
    <row r="184">
      <c r="C184" s="4" t="s">
        <v>3351</v>
      </c>
      <c r="D184" s="4" t="str">
        <f t="shared" si="1"/>
        <v>{"valorA":"pratos","valorB":3}</v>
      </c>
      <c r="E184" s="8" t="str">
        <f t="shared" si="2"/>
        <v>pratos</v>
      </c>
      <c r="F184" s="8" t="str">
        <f>IFERROR(__xludf.DUMMYFUNCTION("""COMPUTED_VALUE"""),"balanço")</f>
        <v>balanço</v>
      </c>
      <c r="G184" s="8" t="str">
        <f t="shared" si="3"/>
        <v>3</v>
      </c>
      <c r="H184" s="9">
        <f t="shared" si="4"/>
        <v>3</v>
      </c>
      <c r="I184" s="10">
        <f>IFERROR(__xludf.DUMMYFUNCTION("MAX(FILTER($H:$H,$E:$E=F184))"),1.0)</f>
        <v>1</v>
      </c>
    </row>
    <row r="185">
      <c r="C185" s="4" t="s">
        <v>3081</v>
      </c>
      <c r="D185" s="4" t="str">
        <f t="shared" si="1"/>
        <v>{"valorA":"de","valorB":11}</v>
      </c>
      <c r="E185" s="8" t="str">
        <f t="shared" si="2"/>
        <v>de</v>
      </c>
      <c r="F185" s="8" t="str">
        <f>IFERROR(__xludf.DUMMYFUNCTION("""COMPUTED_VALUE"""),"adora")</f>
        <v>adora</v>
      </c>
      <c r="G185" s="8" t="str">
        <f t="shared" si="3"/>
        <v>11</v>
      </c>
      <c r="H185" s="9">
        <f t="shared" si="4"/>
        <v>11</v>
      </c>
      <c r="I185" s="10">
        <f>IFERROR(__xludf.DUMMYFUNCTION("MAX(FILTER($H:$H,$E:$E=F185))"),1.0)</f>
        <v>1</v>
      </c>
    </row>
    <row r="186">
      <c r="C186" s="4" t="s">
        <v>8085</v>
      </c>
      <c r="D186" s="4" t="str">
        <f t="shared" si="1"/>
        <v>{"valorA":"lavador","valorB":5}</v>
      </c>
      <c r="E186" s="8" t="str">
        <f t="shared" si="2"/>
        <v>lavador</v>
      </c>
      <c r="F186" s="8" t="str">
        <f>IFERROR(__xludf.DUMMYFUNCTION("""COMPUTED_VALUE"""),"fica")</f>
        <v>fica</v>
      </c>
      <c r="G186" s="8" t="str">
        <f t="shared" si="3"/>
        <v>5</v>
      </c>
      <c r="H186" s="9">
        <f t="shared" si="4"/>
        <v>5</v>
      </c>
      <c r="I186" s="10">
        <f>IFERROR(__xludf.DUMMYFUNCTION("MAX(FILTER($H:$H,$E:$E=F186))"),1.0)</f>
        <v>1</v>
      </c>
    </row>
    <row r="187">
      <c r="C187" s="4" t="s">
        <v>2702</v>
      </c>
      <c r="D187" s="4" t="str">
        <f t="shared" si="1"/>
        <v>{"valorA":"ótimo","valorB":12}</v>
      </c>
      <c r="E187" s="8" t="str">
        <f t="shared" si="2"/>
        <v>ótimo</v>
      </c>
      <c r="F187" s="8" t="str">
        <f>IFERROR(__xludf.DUMMYFUNCTION("""COMPUTED_VALUE"""),"horas")</f>
        <v>horas</v>
      </c>
      <c r="G187" s="8" t="str">
        <f t="shared" si="3"/>
        <v>12</v>
      </c>
      <c r="H187" s="9">
        <f t="shared" si="4"/>
        <v>12</v>
      </c>
      <c r="I187" s="10">
        <f>IFERROR(__xludf.DUMMYFUNCTION("MAX(FILTER($H:$H,$E:$E=F187))"),1.0)</f>
        <v>1</v>
      </c>
    </row>
    <row r="188">
      <c r="C188" s="4" t="s">
        <v>7531</v>
      </c>
      <c r="D188" s="4" t="str">
        <f t="shared" si="1"/>
        <v>{"valorA":"muitas","valorB":1}</v>
      </c>
      <c r="E188" s="8" t="str">
        <f t="shared" si="2"/>
        <v>muitas</v>
      </c>
      <c r="F188" s="8" t="str">
        <f>IFERROR(__xludf.DUMMYFUNCTION("""COMPUTED_VALUE"""),"durante")</f>
        <v>durante</v>
      </c>
      <c r="G188" s="8" t="str">
        <f t="shared" si="3"/>
        <v>1</v>
      </c>
      <c r="H188" s="9">
        <f t="shared" si="4"/>
        <v>1</v>
      </c>
      <c r="I188" s="10">
        <f>IFERROR(__xludf.DUMMYFUNCTION("MAX(FILTER($H:$H,$E:$E=F188))"),1.0)</f>
        <v>1</v>
      </c>
    </row>
    <row r="189">
      <c r="C189" s="4" t="s">
        <v>3953</v>
      </c>
      <c r="D189" s="4" t="str">
        <f t="shared" si="1"/>
        <v>{"valorA":"louça","valorB":1}</v>
      </c>
      <c r="E189" s="8" t="str">
        <f t="shared" si="2"/>
        <v>louça</v>
      </c>
      <c r="F189" s="8" t="str">
        <f>IFERROR(__xludf.DUMMYFUNCTION("""COMPUTED_VALUE"""),"mágnum")</f>
        <v>mágnum</v>
      </c>
      <c r="G189" s="8" t="str">
        <f t="shared" si="3"/>
        <v>1</v>
      </c>
      <c r="H189" s="9">
        <f t="shared" si="4"/>
        <v>1</v>
      </c>
      <c r="I189" s="10">
        <f>IFERROR(__xludf.DUMMYFUNCTION("MAX(FILTER($H:$H,$E:$E=F189))"),1.0)</f>
        <v>1</v>
      </c>
    </row>
    <row r="190">
      <c r="C190" s="4" t="s">
        <v>2740</v>
      </c>
      <c r="D190" s="4" t="str">
        <f t="shared" si="1"/>
        <v>{"valorA":"e","valorB":5}</v>
      </c>
      <c r="E190" s="8" t="str">
        <f t="shared" si="2"/>
        <v>e</v>
      </c>
      <c r="F190" s="8" t="str">
        <f>IFERROR(__xludf.DUMMYFUNCTION("""COMPUTED_VALUE"""),"geladeira")</f>
        <v>geladeira</v>
      </c>
      <c r="G190" s="8" t="str">
        <f t="shared" si="3"/>
        <v>5</v>
      </c>
      <c r="H190" s="9">
        <f t="shared" si="4"/>
        <v>5</v>
      </c>
      <c r="I190" s="10">
        <f>IFERROR(__xludf.DUMMYFUNCTION("MAX(FILTER($H:$H,$E:$E=F190))"),1.0)</f>
        <v>1</v>
      </c>
    </row>
    <row r="191">
      <c r="C191" s="4" t="s">
        <v>8086</v>
      </c>
      <c r="D191" s="4" t="str">
        <f t="shared" si="1"/>
        <v>{"valorA":"funções","valorB":1}</v>
      </c>
      <c r="E191" s="8" t="str">
        <f t="shared" si="2"/>
        <v>funções</v>
      </c>
      <c r="F191" s="8" t="str">
        <f>IFERROR(__xludf.DUMMYFUNCTION("""COMPUTED_VALUE"""),"fortemente")</f>
        <v>fortemente</v>
      </c>
      <c r="G191" s="8" t="str">
        <f t="shared" si="3"/>
        <v>1</v>
      </c>
      <c r="H191" s="9">
        <f t="shared" si="4"/>
        <v>1</v>
      </c>
      <c r="I191" s="10">
        <f>IFERROR(__xludf.DUMMYFUNCTION("MAX(FILTER($H:$H,$E:$E=F191))"),1.0)</f>
        <v>1</v>
      </c>
    </row>
    <row r="192">
      <c r="C192" s="4" t="s">
        <v>3110</v>
      </c>
      <c r="D192" s="4" t="str">
        <f t="shared" si="1"/>
        <v>{"valorA":"de","valorB":12}</v>
      </c>
      <c r="E192" s="8" t="str">
        <f t="shared" si="2"/>
        <v>de</v>
      </c>
      <c r="F192" s="8" t="str">
        <f>IFERROR(__xludf.DUMMYFUNCTION("""COMPUTED_VALUE"""),"caixote")</f>
        <v>caixote</v>
      </c>
      <c r="G192" s="8" t="str">
        <f t="shared" si="3"/>
        <v>12</v>
      </c>
      <c r="H192" s="9">
        <f t="shared" si="4"/>
        <v>12</v>
      </c>
      <c r="I192" s="10">
        <f>IFERROR(__xludf.DUMMYFUNCTION("MAX(FILTER($H:$H,$E:$E=F192))"),1.0)</f>
        <v>1</v>
      </c>
    </row>
    <row r="193">
      <c r="C193" s="4" t="s">
        <v>8087</v>
      </c>
      <c r="D193" s="4" t="str">
        <f t="shared" si="1"/>
        <v>{"valorA":"úteis","valorB":1}</v>
      </c>
      <c r="E193" s="8" t="str">
        <f t="shared" si="2"/>
        <v>úteis</v>
      </c>
      <c r="F193" s="8" t="str">
        <f>IFERROR(__xludf.DUMMYFUNCTION("""COMPUTED_VALUE"""),"facilita")</f>
        <v>facilita</v>
      </c>
      <c r="G193" s="8" t="str">
        <f t="shared" si="3"/>
        <v>1</v>
      </c>
      <c r="H193" s="9">
        <f t="shared" si="4"/>
        <v>1</v>
      </c>
      <c r="I193" s="10">
        <f>IFERROR(__xludf.DUMMYFUNCTION("MAX(FILTER($H:$H,$E:$E=F193))"),1.0)</f>
        <v>1</v>
      </c>
    </row>
    <row r="194">
      <c r="C194" s="4" t="s">
        <v>3128</v>
      </c>
      <c r="D194" s="4" t="str">
        <f t="shared" si="1"/>
        <v>{"valorA":"de","valorB":13}</v>
      </c>
      <c r="E194" s="8" t="str">
        <f t="shared" si="2"/>
        <v>de</v>
      </c>
      <c r="F194" s="8" t="str">
        <f>IFERROR(__xludf.DUMMYFUNCTION("""COMPUTED_VALUE"""),"vida")</f>
        <v>vida</v>
      </c>
      <c r="G194" s="8" t="str">
        <f t="shared" si="3"/>
        <v>13</v>
      </c>
      <c r="H194" s="9">
        <f t="shared" si="4"/>
        <v>13</v>
      </c>
      <c r="I194" s="10">
        <f>IFERROR(__xludf.DUMMYFUNCTION("MAX(FILTER($H:$H,$E:$E=F194))"),1.0)</f>
        <v>1</v>
      </c>
    </row>
    <row r="195">
      <c r="C195" s="4" t="s">
        <v>2741</v>
      </c>
      <c r="D195" s="4" t="str">
        <f t="shared" si="1"/>
        <v>{"valorA":"fácil","valorB":3}</v>
      </c>
      <c r="E195" s="8" t="str">
        <f t="shared" si="2"/>
        <v>fácil</v>
      </c>
      <c r="F195" s="8" t="str">
        <f>IFERROR(__xludf.DUMMYFUNCTION("""COMPUTED_VALUE"""),"escolha")</f>
        <v>escolha</v>
      </c>
      <c r="G195" s="8" t="str">
        <f t="shared" si="3"/>
        <v>3</v>
      </c>
      <c r="H195" s="9">
        <f t="shared" si="4"/>
        <v>3</v>
      </c>
      <c r="I195" s="10">
        <f>IFERROR(__xludf.DUMMYFUNCTION("MAX(FILTER($H:$H,$E:$E=F195))"),1.0)</f>
        <v>1</v>
      </c>
    </row>
    <row r="196">
      <c r="C196" s="4" t="s">
        <v>3347</v>
      </c>
      <c r="D196" s="4" t="str">
        <f t="shared" si="1"/>
        <v>{"valorA":"coment","valorB":2}</v>
      </c>
      <c r="E196" s="8" t="str">
        <f t="shared" si="2"/>
        <v>coment</v>
      </c>
      <c r="F196" s="8" t="str">
        <f>IFERROR(__xludf.DUMMYFUNCTION("""COMPUTED_VALUE"""),"tv")</f>
        <v>tv</v>
      </c>
      <c r="G196" s="8" t="str">
        <f t="shared" si="3"/>
        <v>2</v>
      </c>
      <c r="H196" s="9">
        <f t="shared" si="4"/>
        <v>2</v>
      </c>
      <c r="I196" s="10">
        <f>IFERROR(__xludf.DUMMYFUNCTION("MAX(FILTER($H:$H,$E:$E=F196))"),1.0)</f>
        <v>1</v>
      </c>
    </row>
    <row r="197">
      <c r="C197" s="4" t="s">
        <v>2681</v>
      </c>
      <c r="D197" s="4" t="str">
        <f t="shared" si="1"/>
        <v>{"valorA":"usar","valorB":1}</v>
      </c>
      <c r="E197" s="8" t="str">
        <f t="shared" si="2"/>
        <v>usar</v>
      </c>
      <c r="F197" s="8" t="str">
        <f>IFERROR(__xludf.DUMMYFUNCTION("""COMPUTED_VALUE"""),"mim")</f>
        <v>mim</v>
      </c>
      <c r="G197" s="8" t="str">
        <f t="shared" si="3"/>
        <v>1</v>
      </c>
      <c r="H197" s="9">
        <f t="shared" si="4"/>
        <v>1</v>
      </c>
      <c r="I197" s="10">
        <f>IFERROR(__xludf.DUMMYFUNCTION("MAX(FILTER($H:$H,$E:$E=F197))"),1.0)</f>
        <v>1</v>
      </c>
    </row>
    <row r="198">
      <c r="C198" s="4" t="s">
        <v>8088</v>
      </c>
      <c r="D198" s="4" t="str">
        <f t="shared" si="1"/>
        <v>{"valorA":"versátil","valorB":1}</v>
      </c>
      <c r="E198" s="8" t="str">
        <f t="shared" si="2"/>
        <v>versátil</v>
      </c>
      <c r="F198" s="8" t="str">
        <f>IFERROR(__xludf.DUMMYFUNCTION("""COMPUTED_VALUE"""),"melhor")</f>
        <v>melhor</v>
      </c>
      <c r="G198" s="8" t="str">
        <f t="shared" si="3"/>
        <v>1</v>
      </c>
      <c r="H198" s="9">
        <f t="shared" si="4"/>
        <v>1</v>
      </c>
      <c r="I198" s="10">
        <f>IFERROR(__xludf.DUMMYFUNCTION("MAX(FILTER($H:$H,$E:$E=F198))"),1.0)</f>
        <v>1</v>
      </c>
    </row>
    <row r="199">
      <c r="C199" s="4" t="s">
        <v>2697</v>
      </c>
      <c r="D199" s="4" t="str">
        <f t="shared" si="1"/>
        <v>{"valorA":"cadeira","valorB":1}</v>
      </c>
      <c r="E199" s="8" t="str">
        <f t="shared" si="2"/>
        <v>cadeira</v>
      </c>
      <c r="F199" s="8" t="str">
        <f>IFERROR(__xludf.DUMMYFUNCTION("""COMPUTED_VALUE"""),"ano")</f>
        <v>ano</v>
      </c>
      <c r="G199" s="8" t="str">
        <f t="shared" si="3"/>
        <v>1</v>
      </c>
      <c r="H199" s="9">
        <f t="shared" si="4"/>
        <v>1</v>
      </c>
      <c r="I199" s="10">
        <f>IFERROR(__xludf.DUMMYFUNCTION("MAX(FILTER($H:$H,$E:$E=F199))"),1.0)</f>
        <v>1</v>
      </c>
    </row>
    <row r="200">
      <c r="C200" s="4" t="s">
        <v>2750</v>
      </c>
      <c r="D200" s="4" t="str">
        <f t="shared" si="1"/>
        <v>{"valorA":"e","valorB":6}</v>
      </c>
      <c r="E200" s="8" t="str">
        <f t="shared" si="2"/>
        <v>e</v>
      </c>
      <c r="F200" s="8" t="str">
        <f>IFERROR(__xludf.DUMMYFUNCTION("""COMPUTED_VALUE"""),"passado")</f>
        <v>passado</v>
      </c>
      <c r="G200" s="8" t="str">
        <f t="shared" si="3"/>
        <v>6</v>
      </c>
      <c r="H200" s="9">
        <f t="shared" si="4"/>
        <v>6</v>
      </c>
      <c r="I200" s="10">
        <f>IFERROR(__xludf.DUMMYFUNCTION("MAX(FILTER($H:$H,$E:$E=F200))"),1.0)</f>
        <v>1</v>
      </c>
    </row>
    <row r="201">
      <c r="C201" s="4" t="s">
        <v>3058</v>
      </c>
      <c r="D201" s="4" t="str">
        <f t="shared" si="1"/>
        <v>{"valorA":"recomendo","valorB":3}</v>
      </c>
      <c r="E201" s="8" t="str">
        <f t="shared" si="2"/>
        <v>recomendo</v>
      </c>
      <c r="F201" s="8" t="str">
        <f>IFERROR(__xludf.DUMMYFUNCTION("""COMPUTED_VALUE"""),"processador")</f>
        <v>processador</v>
      </c>
      <c r="G201" s="8" t="str">
        <f t="shared" si="3"/>
        <v>3</v>
      </c>
      <c r="H201" s="9">
        <f t="shared" si="4"/>
        <v>3</v>
      </c>
      <c r="I201" s="10">
        <f>IFERROR(__xludf.DUMMYFUNCTION("MAX(FILTER($H:$H,$E:$E=F201))"),1.0)</f>
        <v>1</v>
      </c>
    </row>
    <row r="202">
      <c r="C202" s="4" t="s">
        <v>2696</v>
      </c>
      <c r="D202" s="4" t="str">
        <f t="shared" si="1"/>
        <v>{"valorA":"essa","valorB":2}</v>
      </c>
      <c r="E202" s="8" t="str">
        <f t="shared" si="2"/>
        <v>essa</v>
      </c>
      <c r="F202" s="8" t="str">
        <f>IFERROR(__xludf.DUMMYFUNCTION("""COMPUTED_VALUE"""),"operacional")</f>
        <v>operacional</v>
      </c>
      <c r="G202" s="8" t="str">
        <f t="shared" si="3"/>
        <v>2</v>
      </c>
      <c r="H202" s="9">
        <f t="shared" si="4"/>
        <v>2</v>
      </c>
      <c r="I202" s="10">
        <f>IFERROR(__xludf.DUMMYFUNCTION("MAX(FILTER($H:$H,$E:$E=F202))"),1.0)</f>
        <v>1</v>
      </c>
    </row>
    <row r="203">
      <c r="C203" s="4" t="s">
        <v>2940</v>
      </c>
      <c r="D203" s="4" t="str">
        <f t="shared" si="1"/>
        <v>{"valorA":"muito","valorB":11}</v>
      </c>
      <c r="E203" s="8" t="str">
        <f t="shared" si="2"/>
        <v>muito</v>
      </c>
      <c r="F203" s="8" t="str">
        <f>IFERROR(__xludf.DUMMYFUNCTION("""COMPUTED_VALUE"""),"uma")</f>
        <v>uma</v>
      </c>
      <c r="G203" s="8" t="str">
        <f t="shared" si="3"/>
        <v>11</v>
      </c>
      <c r="H203" s="9">
        <f t="shared" si="4"/>
        <v>11</v>
      </c>
      <c r="I203" s="10">
        <f>IFERROR(__xludf.DUMMYFUNCTION("MAX(FILTER($H:$H,$E:$E=F203))"),1.0)</f>
        <v>1</v>
      </c>
    </row>
    <row r="204">
      <c r="C204" s="4" t="s">
        <v>3463</v>
      </c>
      <c r="D204" s="4" t="str">
        <f t="shared" si="1"/>
        <v>{"valorA":"óptimo","valorB":2}</v>
      </c>
      <c r="E204" s="8" t="str">
        <f t="shared" si="2"/>
        <v>óptimo</v>
      </c>
      <c r="F204" s="8" t="str">
        <f>IFERROR(__xludf.DUMMYFUNCTION("""COMPUTED_VALUE"""),"única")</f>
        <v>única</v>
      </c>
      <c r="G204" s="8" t="str">
        <f t="shared" si="3"/>
        <v>2</v>
      </c>
      <c r="H204" s="9">
        <f t="shared" si="4"/>
        <v>2</v>
      </c>
      <c r="I204" s="10">
        <f>IFERROR(__xludf.DUMMYFUNCTION("MAX(FILTER($H:$H,$E:$E=F204))"),1.0)</f>
        <v>1</v>
      </c>
    </row>
    <row r="205">
      <c r="C205" s="4" t="s">
        <v>2710</v>
      </c>
      <c r="D205" s="4" t="str">
        <f t="shared" si="1"/>
        <v>{"valorA":"ótimo","valorB":13}</v>
      </c>
      <c r="E205" s="8" t="str">
        <f t="shared" si="2"/>
        <v>ótimo</v>
      </c>
      <c r="F205" s="8" t="str">
        <f>IFERROR(__xludf.DUMMYFUNCTION("""COMPUTED_VALUE"""),"vezada")</f>
        <v>vezada</v>
      </c>
      <c r="G205" s="8" t="str">
        <f t="shared" si="3"/>
        <v>13</v>
      </c>
      <c r="H205" s="9">
        <f t="shared" si="4"/>
        <v>13</v>
      </c>
      <c r="I205" s="10">
        <f>IFERROR(__xludf.DUMMYFUNCTION("MAX(FILTER($H:$H,$E:$E=F205))"),1.0)</f>
        <v>1</v>
      </c>
    </row>
    <row r="206">
      <c r="C206" s="4" t="s">
        <v>2753</v>
      </c>
      <c r="D206" s="4" t="str">
        <f t="shared" si="1"/>
        <v>{"valorA":"escritório","valorB":1}</v>
      </c>
      <c r="E206" s="8" t="str">
        <f t="shared" si="2"/>
        <v>escritório</v>
      </c>
      <c r="F206" s="8" t="str">
        <f>IFERROR(__xludf.DUMMYFUNCTION("""COMPUTED_VALUE"""),"acho")</f>
        <v>acho</v>
      </c>
      <c r="G206" s="8" t="str">
        <f t="shared" si="3"/>
        <v>1</v>
      </c>
      <c r="H206" s="9">
        <f t="shared" si="4"/>
        <v>1</v>
      </c>
      <c r="I206" s="10">
        <f>IFERROR(__xludf.DUMMYFUNCTION("MAX(FILTER($H:$H,$E:$E=F206))"),1.0)</f>
        <v>1</v>
      </c>
    </row>
    <row r="207">
      <c r="C207" s="4" t="s">
        <v>2198</v>
      </c>
      <c r="D207" s="4" t="str">
        <f t="shared" si="1"/>
        <v>{"valorA":"computador","valorB":2}</v>
      </c>
      <c r="E207" s="8" t="str">
        <f t="shared" si="2"/>
        <v>computador</v>
      </c>
      <c r="F207" s="8" t="str">
        <f>IFERROR(__xludf.DUMMYFUNCTION("""COMPUTED_VALUE"""),"vale")</f>
        <v>vale</v>
      </c>
      <c r="G207" s="8" t="str">
        <f t="shared" si="3"/>
        <v>2</v>
      </c>
      <c r="H207" s="9">
        <f t="shared" si="4"/>
        <v>2</v>
      </c>
      <c r="I207" s="10">
        <f>IFERROR(__xludf.DUMMYFUNCTION("MAX(FILTER($H:$H,$E:$E=F207))"),1.0)</f>
        <v>1</v>
      </c>
    </row>
    <row r="208">
      <c r="C208" s="4" t="s">
        <v>2827</v>
      </c>
      <c r="D208" s="4" t="str">
        <f t="shared" si="1"/>
        <v>{"valorA":"para","valorB":6}</v>
      </c>
      <c r="E208" s="8" t="str">
        <f t="shared" si="2"/>
        <v>para</v>
      </c>
      <c r="F208" s="8"/>
      <c r="G208" s="8" t="str">
        <f t="shared" si="3"/>
        <v>6</v>
      </c>
      <c r="H208" s="9">
        <f t="shared" si="4"/>
        <v>6</v>
      </c>
      <c r="I208" s="6" t="str">
        <f>IFERROR(__xludf.DUMMYFUNCTION("MAX(FILTER($H:$H,$E:$E=F208))"),"#N/A")</f>
        <v>#N/A</v>
      </c>
    </row>
    <row r="209">
      <c r="C209" s="4" t="s">
        <v>3956</v>
      </c>
      <c r="D209" s="4" t="str">
        <f t="shared" si="1"/>
        <v>{"valorA":"eficiente","valorB":2}</v>
      </c>
      <c r="E209" s="8" t="str">
        <f t="shared" si="2"/>
        <v>eficiente</v>
      </c>
      <c r="F209" s="8"/>
      <c r="G209" s="8" t="str">
        <f t="shared" si="3"/>
        <v>2</v>
      </c>
      <c r="H209" s="9">
        <f t="shared" si="4"/>
        <v>2</v>
      </c>
      <c r="I209" s="6" t="str">
        <f>IFERROR(__xludf.DUMMYFUNCTION("MAX(FILTER($H:$H,$E:$E=F209))"),"#N/A")</f>
        <v>#N/A</v>
      </c>
    </row>
    <row r="210">
      <c r="C210" s="4" t="s">
        <v>2909</v>
      </c>
      <c r="D210" s="4" t="str">
        <f t="shared" si="1"/>
        <v>{"valorA":"este","valorB":2}</v>
      </c>
      <c r="E210" s="8" t="str">
        <f t="shared" si="2"/>
        <v>este</v>
      </c>
      <c r="F210" s="8"/>
      <c r="G210" s="8" t="str">
        <f t="shared" si="3"/>
        <v>2</v>
      </c>
      <c r="H210" s="9">
        <f t="shared" si="4"/>
        <v>2</v>
      </c>
      <c r="I210" s="6" t="str">
        <f>IFERROR(__xludf.DUMMYFUNCTION("MAX(FILTER($H:$H,$E:$E=F210))"),"#N/A")</f>
        <v>#N/A</v>
      </c>
    </row>
    <row r="211">
      <c r="C211" s="4" t="s">
        <v>2718</v>
      </c>
      <c r="D211" s="4" t="str">
        <f t="shared" si="1"/>
        <v>{"valorA":"ótimo","valorB":14}</v>
      </c>
      <c r="E211" s="8" t="str">
        <f t="shared" si="2"/>
        <v>ótimo</v>
      </c>
      <c r="F211" s="8"/>
      <c r="G211" s="8" t="str">
        <f t="shared" si="3"/>
        <v>14</v>
      </c>
      <c r="H211" s="9">
        <f t="shared" si="4"/>
        <v>14</v>
      </c>
      <c r="I211" s="6" t="str">
        <f>IFERROR(__xludf.DUMMYFUNCTION("MAX(FILTER($H:$H,$E:$E=F211))"),"#N/A")</f>
        <v>#N/A</v>
      </c>
    </row>
    <row r="212">
      <c r="C212" s="4" t="s">
        <v>3483</v>
      </c>
      <c r="D212" s="4" t="str">
        <f t="shared" si="1"/>
        <v>{"valorA":"pouco","valorB":1}</v>
      </c>
      <c r="E212" s="8" t="str">
        <f t="shared" si="2"/>
        <v>pouco</v>
      </c>
      <c r="F212" s="8"/>
      <c r="G212" s="8" t="str">
        <f t="shared" si="3"/>
        <v>1</v>
      </c>
      <c r="H212" s="9">
        <f t="shared" si="4"/>
        <v>1</v>
      </c>
      <c r="I212" s="6" t="str">
        <f>IFERROR(__xludf.DUMMYFUNCTION("MAX(FILTER($H:$H,$E:$E=F212))"),"#N/A")</f>
        <v>#N/A</v>
      </c>
    </row>
    <row r="213">
      <c r="C213" s="4" t="s">
        <v>2770</v>
      </c>
      <c r="D213" s="4" t="str">
        <f t="shared" si="1"/>
        <v>{"valorA":"e","valorB":7}</v>
      </c>
      <c r="E213" s="8" t="str">
        <f t="shared" si="2"/>
        <v>e</v>
      </c>
      <c r="F213" s="8"/>
      <c r="G213" s="8" t="str">
        <f t="shared" si="3"/>
        <v>7</v>
      </c>
      <c r="H213" s="9">
        <f t="shared" si="4"/>
        <v>7</v>
      </c>
      <c r="I213" s="6" t="str">
        <f>IFERROR(__xludf.DUMMYFUNCTION("MAX(FILTER($H:$H,$E:$E=F213))"),"#N/A")</f>
        <v>#N/A</v>
      </c>
    </row>
    <row r="214">
      <c r="C214" s="4" t="s">
        <v>3079</v>
      </c>
      <c r="D214" s="4" t="str">
        <f t="shared" si="1"/>
        <v>{"valorA":"tudo","valorB":1}</v>
      </c>
      <c r="E214" s="8" t="str">
        <f t="shared" si="2"/>
        <v>tudo</v>
      </c>
      <c r="F214" s="8"/>
      <c r="G214" s="8" t="str">
        <f t="shared" si="3"/>
        <v>1</v>
      </c>
      <c r="H214" s="9">
        <f t="shared" si="4"/>
        <v>1</v>
      </c>
      <c r="I214" s="6" t="str">
        <f>IFERROR(__xludf.DUMMYFUNCTION("MAX(FILTER($H:$H,$E:$E=F214))"),"#N/A")</f>
        <v>#N/A</v>
      </c>
    </row>
    <row r="215">
      <c r="C215" s="4" t="s">
        <v>8089</v>
      </c>
      <c r="D215" s="4" t="str">
        <f t="shared" si="1"/>
        <v>{"valorA":"lavador","valorB":6}</v>
      </c>
      <c r="E215" s="8" t="str">
        <f t="shared" si="2"/>
        <v>lavador</v>
      </c>
      <c r="F215" s="8"/>
      <c r="G215" s="8" t="str">
        <f t="shared" si="3"/>
        <v>6</v>
      </c>
      <c r="H215" s="9">
        <f t="shared" si="4"/>
        <v>6</v>
      </c>
      <c r="I215" s="6" t="str">
        <f>IFERROR(__xludf.DUMMYFUNCTION("MAX(FILTER($H:$H,$E:$E=F215))"),"#N/A")</f>
        <v>#N/A</v>
      </c>
    </row>
    <row r="216">
      <c r="C216" s="4" t="s">
        <v>3323</v>
      </c>
      <c r="D216" s="4" t="str">
        <f t="shared" si="1"/>
        <v>{"valorA":"limpa","valorB":1}</v>
      </c>
      <c r="E216" s="8" t="str">
        <f t="shared" si="2"/>
        <v>limpa</v>
      </c>
      <c r="F216" s="8"/>
      <c r="G216" s="8" t="str">
        <f t="shared" si="3"/>
        <v>1</v>
      </c>
      <c r="H216" s="9">
        <f t="shared" si="4"/>
        <v>1</v>
      </c>
      <c r="I216" s="6" t="str">
        <f>IFERROR(__xludf.DUMMYFUNCTION("MAX(FILTER($H:$H,$E:$E=F216))"),"#N/A")</f>
        <v>#N/A</v>
      </c>
    </row>
    <row r="217">
      <c r="C217" s="4" t="s">
        <v>8090</v>
      </c>
      <c r="D217" s="4" t="str">
        <f t="shared" si="1"/>
        <v>{"valorA":"energia","valorB":3}</v>
      </c>
      <c r="E217" s="8" t="str">
        <f t="shared" si="2"/>
        <v>energia</v>
      </c>
      <c r="F217" s="8"/>
      <c r="G217" s="8" t="str">
        <f t="shared" si="3"/>
        <v>3</v>
      </c>
      <c r="H217" s="9">
        <f t="shared" si="4"/>
        <v>3</v>
      </c>
      <c r="I217" s="6" t="str">
        <f>IFERROR(__xludf.DUMMYFUNCTION("MAX(FILTER($H:$H,$E:$E=F217))"),"#N/A")</f>
        <v>#N/A</v>
      </c>
    </row>
    <row r="218">
      <c r="C218" s="4" t="s">
        <v>2879</v>
      </c>
      <c r="D218" s="4" t="str">
        <f t="shared" si="1"/>
        <v>{"valorA":"bem","valorB":4}</v>
      </c>
      <c r="E218" s="8" t="str">
        <f t="shared" si="2"/>
        <v>bem</v>
      </c>
      <c r="F218" s="8"/>
      <c r="G218" s="8" t="str">
        <f t="shared" si="3"/>
        <v>4</v>
      </c>
      <c r="H218" s="9">
        <f t="shared" si="4"/>
        <v>4</v>
      </c>
      <c r="I218" s="6" t="str">
        <f>IFERROR(__xludf.DUMMYFUNCTION("MAX(FILTER($H:$H,$E:$E=F218))"),"#N/A")</f>
        <v>#N/A</v>
      </c>
    </row>
    <row r="219">
      <c r="C219" s="4" t="s">
        <v>3935</v>
      </c>
      <c r="D219" s="4" t="str">
        <f t="shared" si="1"/>
        <v>{"valorA":"comentário","valorB":3}</v>
      </c>
      <c r="E219" s="8" t="str">
        <f t="shared" si="2"/>
        <v>comentário</v>
      </c>
      <c r="F219" s="8"/>
      <c r="G219" s="8" t="str">
        <f t="shared" si="3"/>
        <v>3</v>
      </c>
      <c r="H219" s="9">
        <f t="shared" si="4"/>
        <v>3</v>
      </c>
      <c r="I219" s="6" t="str">
        <f>IFERROR(__xludf.DUMMYFUNCTION("MAX(FILTER($H:$H,$E:$E=F219))"),"#N/A")</f>
        <v>#N/A</v>
      </c>
    </row>
    <row r="220">
      <c r="C220" s="4" t="s">
        <v>8091</v>
      </c>
      <c r="D220" s="4" t="str">
        <f t="shared" si="1"/>
        <v>{"valorA":"consume","valorB":1}</v>
      </c>
      <c r="E220" s="8" t="str">
        <f t="shared" si="2"/>
        <v>consume</v>
      </c>
      <c r="F220" s="8"/>
      <c r="G220" s="8" t="str">
        <f t="shared" si="3"/>
        <v>1</v>
      </c>
      <c r="H220" s="9">
        <f t="shared" si="4"/>
        <v>1</v>
      </c>
      <c r="I220" s="6" t="str">
        <f>IFERROR(__xludf.DUMMYFUNCTION("MAX(FILTER($H:$H,$E:$E=F220))"),"#N/A")</f>
        <v>#N/A</v>
      </c>
    </row>
    <row r="221">
      <c r="C221" s="4" t="s">
        <v>3197</v>
      </c>
      <c r="D221" s="4" t="str">
        <f t="shared" si="1"/>
        <v>{"valorA":"portátil","valorB":1}</v>
      </c>
      <c r="E221" s="8" t="str">
        <f t="shared" si="2"/>
        <v>portátil</v>
      </c>
      <c r="F221" s="8"/>
      <c r="G221" s="8" t="str">
        <f t="shared" si="3"/>
        <v>1</v>
      </c>
      <c r="H221" s="9">
        <f t="shared" si="4"/>
        <v>1</v>
      </c>
      <c r="I221" s="6" t="str">
        <f>IFERROR(__xludf.DUMMYFUNCTION("MAX(FILTER($H:$H,$E:$E=F221))"),"#N/A")</f>
        <v>#N/A</v>
      </c>
    </row>
    <row r="222">
      <c r="C222" s="4" t="s">
        <v>8092</v>
      </c>
      <c r="D222" s="4" t="str">
        <f t="shared" si="1"/>
        <v>{"valorA":"el","valorB":1}</v>
      </c>
      <c r="E222" s="8" t="str">
        <f t="shared" si="2"/>
        <v>el</v>
      </c>
      <c r="F222" s="8"/>
      <c r="G222" s="8" t="str">
        <f t="shared" si="3"/>
        <v>1</v>
      </c>
      <c r="H222" s="9">
        <f t="shared" si="4"/>
        <v>1</v>
      </c>
      <c r="I222" s="6" t="str">
        <f>IFERROR(__xludf.DUMMYFUNCTION("MAX(FILTER($H:$H,$E:$E=F222))"),"#N/A")</f>
        <v>#N/A</v>
      </c>
    </row>
    <row r="223">
      <c r="C223" s="4" t="s">
        <v>2726</v>
      </c>
      <c r="D223" s="4" t="str">
        <f t="shared" si="1"/>
        <v>{"valorA":"ótimo","valorB":15}</v>
      </c>
      <c r="E223" s="8" t="str">
        <f t="shared" si="2"/>
        <v>ótimo</v>
      </c>
      <c r="F223" s="8"/>
      <c r="G223" s="8" t="str">
        <f t="shared" si="3"/>
        <v>15</v>
      </c>
      <c r="H223" s="9">
        <f t="shared" si="4"/>
        <v>15</v>
      </c>
      <c r="I223" s="6" t="str">
        <f>IFERROR(__xludf.DUMMYFUNCTION("MAX(FILTER($H:$H,$E:$E=F223))"),"#N/A")</f>
        <v>#N/A</v>
      </c>
    </row>
    <row r="224">
      <c r="C224" s="4" t="s">
        <v>3854</v>
      </c>
      <c r="D224" s="4" t="str">
        <f t="shared" si="1"/>
        <v>{"valorA":"rádio","valorB":1}</v>
      </c>
      <c r="E224" s="8" t="str">
        <f t="shared" si="2"/>
        <v>rádio</v>
      </c>
      <c r="F224" s="8"/>
      <c r="G224" s="8" t="str">
        <f t="shared" si="3"/>
        <v>1</v>
      </c>
      <c r="H224" s="9">
        <f t="shared" si="4"/>
        <v>1</v>
      </c>
      <c r="I224" s="6" t="str">
        <f>IFERROR(__xludf.DUMMYFUNCTION("MAX(FILTER($H:$H,$E:$E=F224))"),"#N/A")</f>
        <v>#N/A</v>
      </c>
    </row>
    <row r="225">
      <c r="C225" s="4" t="s">
        <v>2926</v>
      </c>
      <c r="D225" s="4" t="str">
        <f t="shared" si="1"/>
        <v>{"valorA":"feliz","valorB":1}</v>
      </c>
      <c r="E225" s="8" t="str">
        <f t="shared" si="2"/>
        <v>feliz</v>
      </c>
      <c r="F225" s="8"/>
      <c r="G225" s="8" t="str">
        <f t="shared" si="3"/>
        <v>1</v>
      </c>
      <c r="H225" s="9">
        <f t="shared" si="4"/>
        <v>1</v>
      </c>
      <c r="I225" s="6" t="str">
        <f>IFERROR(__xludf.DUMMYFUNCTION("MAX(FILTER($H:$H,$E:$E=F225))"),"#N/A")</f>
        <v>#N/A</v>
      </c>
    </row>
    <row r="226">
      <c r="C226" s="4" t="s">
        <v>7526</v>
      </c>
      <c r="D226" s="4" t="str">
        <f t="shared" si="1"/>
        <v>{"valorA":"muy","valorB":1}</v>
      </c>
      <c r="E226" s="8" t="str">
        <f t="shared" si="2"/>
        <v>muy</v>
      </c>
      <c r="F226" s="8"/>
      <c r="G226" s="8" t="str">
        <f t="shared" si="3"/>
        <v>1</v>
      </c>
      <c r="H226" s="9">
        <f t="shared" si="4"/>
        <v>1</v>
      </c>
      <c r="I226" s="6" t="str">
        <f>IFERROR(__xludf.DUMMYFUNCTION("MAX(FILTER($H:$H,$E:$E=F226))"),"#N/A")</f>
        <v>#N/A</v>
      </c>
    </row>
    <row r="227">
      <c r="C227" s="4" t="s">
        <v>2648</v>
      </c>
      <c r="D227" s="4" t="str">
        <f t="shared" si="1"/>
        <v>{"valorA":"resultado","valorB":1}</v>
      </c>
      <c r="E227" s="8" t="str">
        <f t="shared" si="2"/>
        <v>resultado</v>
      </c>
      <c r="F227" s="8"/>
      <c r="G227" s="8" t="str">
        <f t="shared" si="3"/>
        <v>1</v>
      </c>
      <c r="H227" s="9">
        <f t="shared" si="4"/>
        <v>1</v>
      </c>
      <c r="I227" s="6" t="str">
        <f>IFERROR(__xludf.DUMMYFUNCTION("MAX(FILTER($H:$H,$E:$E=F227))"),"#N/A")</f>
        <v>#N/A</v>
      </c>
    </row>
    <row r="228">
      <c r="C228" s="4" t="s">
        <v>8093</v>
      </c>
      <c r="D228" s="4" t="str">
        <f t="shared" si="1"/>
        <v>{"valorA":"con","valorB":1}</v>
      </c>
      <c r="E228" s="8" t="str">
        <f t="shared" si="2"/>
        <v>con</v>
      </c>
      <c r="F228" s="8"/>
      <c r="G228" s="8" t="str">
        <f t="shared" si="3"/>
        <v>1</v>
      </c>
      <c r="H228" s="9">
        <f t="shared" si="4"/>
        <v>1</v>
      </c>
      <c r="I228" s="6" t="str">
        <f>IFERROR(__xludf.DUMMYFUNCTION("MAX(FILTER($H:$H,$E:$E=F228))"),"#N/A")</f>
        <v>#N/A</v>
      </c>
    </row>
    <row r="229">
      <c r="C229" s="4" t="s">
        <v>8094</v>
      </c>
      <c r="D229" s="4" t="str">
        <f t="shared" si="1"/>
        <v>{"valorA":"ganhar","valorB":1}</v>
      </c>
      <c r="E229" s="8" t="str">
        <f t="shared" si="2"/>
        <v>ganhar</v>
      </c>
      <c r="F229" s="8"/>
      <c r="G229" s="8" t="str">
        <f t="shared" si="3"/>
        <v>1</v>
      </c>
      <c r="H229" s="9">
        <f t="shared" si="4"/>
        <v>1</v>
      </c>
      <c r="I229" s="6" t="str">
        <f>IFERROR(__xludf.DUMMYFUNCTION("MAX(FILTER($H:$H,$E:$E=F229))"),"#N/A")</f>
        <v>#N/A</v>
      </c>
    </row>
    <row r="230">
      <c r="C230" s="4" t="s">
        <v>2729</v>
      </c>
      <c r="D230" s="4" t="str">
        <f t="shared" si="1"/>
        <v>{"valorA":"ótimo","valorB":16}</v>
      </c>
      <c r="E230" s="8" t="str">
        <f t="shared" si="2"/>
        <v>ótimo</v>
      </c>
      <c r="F230" s="8"/>
      <c r="G230" s="8" t="str">
        <f t="shared" si="3"/>
        <v>16</v>
      </c>
      <c r="H230" s="9">
        <f t="shared" si="4"/>
        <v>16</v>
      </c>
      <c r="I230" s="6" t="str">
        <f>IFERROR(__xludf.DUMMYFUNCTION("MAX(FILTER($H:$H,$E:$E=F230))"),"#N/A")</f>
        <v>#N/A</v>
      </c>
    </row>
    <row r="231">
      <c r="C231" s="4" t="s">
        <v>3327</v>
      </c>
      <c r="D231" s="4" t="str">
        <f t="shared" si="1"/>
        <v>{"valorA":"aparelho","valorB":2}</v>
      </c>
      <c r="E231" s="8" t="str">
        <f t="shared" si="2"/>
        <v>aparelho</v>
      </c>
      <c r="F231" s="8"/>
      <c r="G231" s="8" t="str">
        <f t="shared" si="3"/>
        <v>2</v>
      </c>
      <c r="H231" s="9">
        <f t="shared" si="4"/>
        <v>2</v>
      </c>
      <c r="I231" s="6" t="str">
        <f>IFERROR(__xludf.DUMMYFUNCTION("MAX(FILTER($H:$H,$E:$E=F231))"),"#N/A")</f>
        <v>#N/A</v>
      </c>
    </row>
    <row r="232">
      <c r="C232" s="4" t="s">
        <v>8095</v>
      </c>
      <c r="D232" s="4" t="str">
        <f t="shared" si="1"/>
        <v>{"valorA":"querem","valorB":1}</v>
      </c>
      <c r="E232" s="8" t="str">
        <f t="shared" si="2"/>
        <v>querem</v>
      </c>
      <c r="F232" s="8"/>
      <c r="G232" s="8" t="str">
        <f t="shared" si="3"/>
        <v>1</v>
      </c>
      <c r="H232" s="9">
        <f t="shared" si="4"/>
        <v>1</v>
      </c>
      <c r="I232" s="6" t="str">
        <f>IFERROR(__xludf.DUMMYFUNCTION("MAX(FILTER($H:$H,$E:$E=F232))"),"#N/A")</f>
        <v>#N/A</v>
      </c>
    </row>
    <row r="233">
      <c r="C233" s="4" t="s">
        <v>2840</v>
      </c>
      <c r="D233" s="4" t="str">
        <f t="shared" si="1"/>
        <v>{"valorA":"para","valorB":7}</v>
      </c>
      <c r="E233" s="8" t="str">
        <f t="shared" si="2"/>
        <v>para</v>
      </c>
      <c r="F233" s="8"/>
      <c r="G233" s="8" t="str">
        <f t="shared" si="3"/>
        <v>7</v>
      </c>
      <c r="H233" s="9">
        <f t="shared" si="4"/>
        <v>7</v>
      </c>
      <c r="I233" s="6" t="str">
        <f>IFERROR(__xludf.DUMMYFUNCTION("MAX(FILTER($H:$H,$E:$E=F233))"),"#N/A")</f>
        <v>#N/A</v>
      </c>
    </row>
    <row r="234">
      <c r="C234" s="4" t="s">
        <v>2814</v>
      </c>
      <c r="D234" s="4" t="str">
        <f t="shared" si="1"/>
        <v>{"valorA":"com","valorB":2}</v>
      </c>
      <c r="E234" s="8" t="str">
        <f t="shared" si="2"/>
        <v>com</v>
      </c>
      <c r="F234" s="8"/>
      <c r="G234" s="8" t="str">
        <f t="shared" si="3"/>
        <v>2</v>
      </c>
      <c r="H234" s="9">
        <f t="shared" si="4"/>
        <v>2</v>
      </c>
      <c r="I234" s="6" t="str">
        <f>IFERROR(__xludf.DUMMYFUNCTION("MAX(FILTER($H:$H,$E:$E=F234))"),"#N/A")</f>
        <v>#N/A</v>
      </c>
    </row>
    <row r="235">
      <c r="C235" s="4" t="s">
        <v>8096</v>
      </c>
      <c r="D235" s="4" t="str">
        <f t="shared" si="1"/>
        <v>{"valorA":"segurança","valorB":1}</v>
      </c>
      <c r="E235" s="8" t="str">
        <f t="shared" si="2"/>
        <v>segurança</v>
      </c>
      <c r="F235" s="8"/>
      <c r="G235" s="8" t="str">
        <f t="shared" si="3"/>
        <v>1</v>
      </c>
      <c r="H235" s="9">
        <f t="shared" si="4"/>
        <v>1</v>
      </c>
      <c r="I235" s="6" t="str">
        <f>IFERROR(__xludf.DUMMYFUNCTION("MAX(FILTER($H:$H,$E:$E=F235))"),"#N/A")</f>
        <v>#N/A</v>
      </c>
    </row>
    <row r="236">
      <c r="C236" s="4" t="s">
        <v>8097</v>
      </c>
      <c r="D236" s="4" t="str">
        <f t="shared" si="1"/>
        <v>{"valorA":"aqueles","valorB":1}</v>
      </c>
      <c r="E236" s="8" t="str">
        <f t="shared" si="2"/>
        <v>aqueles</v>
      </c>
      <c r="F236" s="8"/>
      <c r="G236" s="8" t="str">
        <f t="shared" si="3"/>
        <v>1</v>
      </c>
      <c r="H236" s="9">
        <f t="shared" si="4"/>
        <v>1</v>
      </c>
      <c r="I236" s="6" t="str">
        <f>IFERROR(__xludf.DUMMYFUNCTION("MAX(FILTER($H:$H,$E:$E=F236))"),"#N/A")</f>
        <v>#N/A</v>
      </c>
    </row>
    <row r="237">
      <c r="C237" s="4" t="s">
        <v>8098</v>
      </c>
      <c r="D237" s="4" t="str">
        <f t="shared" si="1"/>
        <v>{"valorA":"pesos","valorB":1}</v>
      </c>
      <c r="E237" s="8" t="str">
        <f t="shared" si="2"/>
        <v>pesos</v>
      </c>
      <c r="F237" s="8"/>
      <c r="G237" s="8" t="str">
        <f t="shared" si="3"/>
        <v>1</v>
      </c>
      <c r="H237" s="9">
        <f t="shared" si="4"/>
        <v>1</v>
      </c>
      <c r="I237" s="6" t="str">
        <f>IFERROR(__xludf.DUMMYFUNCTION("MAX(FILTER($H:$H,$E:$E=F237))"),"#N/A")</f>
        <v>#N/A</v>
      </c>
    </row>
    <row r="238">
      <c r="C238" s="4" t="s">
        <v>2708</v>
      </c>
      <c r="D238" s="4" t="str">
        <f t="shared" si="1"/>
        <v>{"valorA":"que","valorB":3}</v>
      </c>
      <c r="E238" s="8" t="str">
        <f t="shared" si="2"/>
        <v>que</v>
      </c>
      <c r="F238" s="8"/>
      <c r="G238" s="8" t="str">
        <f t="shared" si="3"/>
        <v>3</v>
      </c>
      <c r="H238" s="9">
        <f t="shared" si="4"/>
        <v>3</v>
      </c>
      <c r="I238" s="6" t="str">
        <f>IFERROR(__xludf.DUMMYFUNCTION("MAX(FILTER($H:$H,$E:$E=F238))"),"#N/A")</f>
        <v>#N/A</v>
      </c>
    </row>
    <row r="239">
      <c r="C239" s="4" t="s">
        <v>8099</v>
      </c>
      <c r="D239" s="4" t="str">
        <f t="shared" si="1"/>
        <v>{"valorA":"lavador","valorB":7}</v>
      </c>
      <c r="E239" s="8" t="str">
        <f t="shared" si="2"/>
        <v>lavador</v>
      </c>
      <c r="F239" s="8"/>
      <c r="G239" s="8" t="str">
        <f t="shared" si="3"/>
        <v>7</v>
      </c>
      <c r="H239" s="9">
        <f t="shared" si="4"/>
        <v>7</v>
      </c>
      <c r="I239" s="6" t="str">
        <f>IFERROR(__xludf.DUMMYFUNCTION("MAX(FILTER($H:$H,$E:$E=F239))"),"#N/A")</f>
        <v>#N/A</v>
      </c>
    </row>
    <row r="240">
      <c r="C240" s="4" t="s">
        <v>2735</v>
      </c>
      <c r="D240" s="4" t="str">
        <f t="shared" si="1"/>
        <v>{"valorA":"ótimo","valorB":17}</v>
      </c>
      <c r="E240" s="8" t="str">
        <f t="shared" si="2"/>
        <v>ótimo</v>
      </c>
      <c r="F240" s="8"/>
      <c r="G240" s="8" t="str">
        <f t="shared" si="3"/>
        <v>17</v>
      </c>
      <c r="H240" s="9">
        <f t="shared" si="4"/>
        <v>17</v>
      </c>
      <c r="I240" s="6" t="str">
        <f>IFERROR(__xludf.DUMMYFUNCTION("MAX(FILTER($H:$H,$E:$E=F240))"),"#N/A")</f>
        <v>#N/A</v>
      </c>
    </row>
    <row r="241">
      <c r="C241" s="4" t="s">
        <v>3947</v>
      </c>
      <c r="D241" s="4" t="str">
        <f t="shared" si="1"/>
        <v>{"valorA":"roupa","valorB":2}</v>
      </c>
      <c r="E241" s="8" t="str">
        <f t="shared" si="2"/>
        <v>roupa</v>
      </c>
      <c r="F241" s="8"/>
      <c r="G241" s="8" t="str">
        <f t="shared" si="3"/>
        <v>2</v>
      </c>
      <c r="H241" s="9">
        <f t="shared" si="4"/>
        <v>2</v>
      </c>
      <c r="I241" s="6" t="str">
        <f>IFERROR(__xludf.DUMMYFUNCTION("MAX(FILTER($H:$H,$E:$E=F241))"),"#N/A")</f>
        <v>#N/A</v>
      </c>
    </row>
    <row r="242">
      <c r="C242" s="4" t="s">
        <v>3136</v>
      </c>
      <c r="D242" s="4" t="str">
        <f t="shared" si="1"/>
        <v>{"valorA":"de","valorB":14}</v>
      </c>
      <c r="E242" s="8" t="str">
        <f t="shared" si="2"/>
        <v>de</v>
      </c>
      <c r="F242" s="8"/>
      <c r="G242" s="8" t="str">
        <f t="shared" si="3"/>
        <v>14</v>
      </c>
      <c r="H242" s="9">
        <f t="shared" si="4"/>
        <v>14</v>
      </c>
      <c r="I242" s="6" t="str">
        <f>IFERROR(__xludf.DUMMYFUNCTION("MAX(FILTER($H:$H,$E:$E=F242))"),"#N/A")</f>
        <v>#N/A</v>
      </c>
    </row>
    <row r="243">
      <c r="C243" s="4" t="s">
        <v>8100</v>
      </c>
      <c r="D243" s="4" t="str">
        <f t="shared" si="1"/>
        <v>{"valorA":"modelo","valorB":3}</v>
      </c>
      <c r="E243" s="8" t="str">
        <f t="shared" si="2"/>
        <v>modelo</v>
      </c>
      <c r="F243" s="8"/>
      <c r="G243" s="8" t="str">
        <f t="shared" si="3"/>
        <v>3</v>
      </c>
      <c r="H243" s="9">
        <f t="shared" si="4"/>
        <v>3</v>
      </c>
      <c r="I243" s="6" t="str">
        <f>IFERROR(__xludf.DUMMYFUNCTION("MAX(FILTER($H:$H,$E:$E=F243))"),"#N/A")</f>
        <v>#N/A</v>
      </c>
    </row>
    <row r="244">
      <c r="C244" s="4" t="s">
        <v>2632</v>
      </c>
      <c r="D244" s="4" t="str">
        <f t="shared" si="1"/>
        <v>{"valorA":"desse","valorB":1}</v>
      </c>
      <c r="E244" s="8" t="str">
        <f t="shared" si="2"/>
        <v>desse</v>
      </c>
      <c r="F244" s="8"/>
      <c r="G244" s="8" t="str">
        <f t="shared" si="3"/>
        <v>1</v>
      </c>
      <c r="H244" s="9">
        <f t="shared" si="4"/>
        <v>1</v>
      </c>
      <c r="I244" s="6" t="str">
        <f>IFERROR(__xludf.DUMMYFUNCTION("MAX(FILTER($H:$H,$E:$E=F244))"),"#N/A")</f>
        <v>#N/A</v>
      </c>
    </row>
    <row r="245">
      <c r="C245" s="4" t="s">
        <v>2895</v>
      </c>
      <c r="D245" s="4" t="str">
        <f t="shared" si="1"/>
        <v>{"valorA":"gosto","valorB":1}</v>
      </c>
      <c r="E245" s="8" t="str">
        <f t="shared" si="2"/>
        <v>gosto</v>
      </c>
      <c r="F245" s="8"/>
      <c r="G245" s="8" t="str">
        <f t="shared" si="3"/>
        <v>1</v>
      </c>
      <c r="H245" s="9">
        <f t="shared" si="4"/>
        <v>1</v>
      </c>
      <c r="I245" s="6" t="str">
        <f>IFERROR(__xludf.DUMMYFUNCTION("MAX(FILTER($H:$H,$E:$E=F245))"),"#N/A")</f>
        <v>#N/A</v>
      </c>
    </row>
    <row r="246">
      <c r="C246" s="4" t="s">
        <v>2953</v>
      </c>
      <c r="D246" s="4" t="str">
        <f t="shared" si="1"/>
        <v>{"valorA":"muito","valorB":12}</v>
      </c>
      <c r="E246" s="8" t="str">
        <f t="shared" si="2"/>
        <v>muito</v>
      </c>
      <c r="F246" s="8"/>
      <c r="G246" s="8" t="str">
        <f t="shared" si="3"/>
        <v>12</v>
      </c>
      <c r="H246" s="9">
        <f t="shared" si="4"/>
        <v>12</v>
      </c>
      <c r="I246" s="6" t="str">
        <f>IFERROR(__xludf.DUMMYFUNCTION("MAX(FILTER($H:$H,$E:$E=F246))"),"#N/A")</f>
        <v>#N/A</v>
      </c>
    </row>
    <row r="247">
      <c r="C247" s="4" t="s">
        <v>3485</v>
      </c>
      <c r="D247" s="4" t="str">
        <f t="shared" si="1"/>
        <v>{"valorA":"sua","valorB":1}</v>
      </c>
      <c r="E247" s="8" t="str">
        <f t="shared" si="2"/>
        <v>sua</v>
      </c>
      <c r="F247" s="8"/>
      <c r="G247" s="8" t="str">
        <f t="shared" si="3"/>
        <v>1</v>
      </c>
      <c r="H247" s="9">
        <f t="shared" si="4"/>
        <v>1</v>
      </c>
      <c r="I247" s="6" t="str">
        <f>IFERROR(__xludf.DUMMYFUNCTION("MAX(FILTER($H:$H,$E:$E=F247))"),"#N/A")</f>
        <v>#N/A</v>
      </c>
    </row>
    <row r="248">
      <c r="C248" s="4" t="s">
        <v>8101</v>
      </c>
      <c r="D248" s="4" t="str">
        <f t="shared" si="1"/>
        <v>{"valorA":"natural","valorB":1}</v>
      </c>
      <c r="E248" s="8" t="str">
        <f t="shared" si="2"/>
        <v>natural</v>
      </c>
      <c r="F248" s="8"/>
      <c r="G248" s="8" t="str">
        <f t="shared" si="3"/>
        <v>1</v>
      </c>
      <c r="H248" s="9">
        <f t="shared" si="4"/>
        <v>1</v>
      </c>
      <c r="I248" s="6" t="str">
        <f>IFERROR(__xludf.DUMMYFUNCTION("MAX(FILTER($H:$H,$E:$E=F248))"),"#N/A")</f>
        <v>#N/A</v>
      </c>
    </row>
    <row r="249">
      <c r="C249" s="4" t="s">
        <v>3181</v>
      </c>
      <c r="D249" s="4" t="str">
        <f t="shared" si="1"/>
        <v>{"valorA":"quem","valorB":3}</v>
      </c>
      <c r="E249" s="8" t="str">
        <f t="shared" si="2"/>
        <v>quem</v>
      </c>
      <c r="F249" s="8"/>
      <c r="G249" s="8" t="str">
        <f t="shared" si="3"/>
        <v>3</v>
      </c>
      <c r="H249" s="9">
        <f t="shared" si="4"/>
        <v>3</v>
      </c>
      <c r="I249" s="6" t="str">
        <f>IFERROR(__xludf.DUMMYFUNCTION("MAX(FILTER($H:$H,$E:$E=F249))"),"#N/A")</f>
        <v>#N/A</v>
      </c>
    </row>
    <row r="250">
      <c r="C250" s="4" t="s">
        <v>8102</v>
      </c>
      <c r="D250" s="4" t="str">
        <f t="shared" si="1"/>
        <v>{"valorA":"luz","valorB":1}</v>
      </c>
      <c r="E250" s="8" t="str">
        <f t="shared" si="2"/>
        <v>luz</v>
      </c>
      <c r="F250" s="8"/>
      <c r="G250" s="8" t="str">
        <f t="shared" si="3"/>
        <v>1</v>
      </c>
      <c r="H250" s="9">
        <f t="shared" si="4"/>
        <v>1</v>
      </c>
      <c r="I250" s="6" t="str">
        <f>IFERROR(__xludf.DUMMYFUNCTION("MAX(FILTER($H:$H,$E:$E=F250))"),"#N/A")</f>
        <v>#N/A</v>
      </c>
    </row>
    <row r="251">
      <c r="C251" s="4" t="s">
        <v>2746</v>
      </c>
      <c r="D251" s="4" t="str">
        <f t="shared" si="1"/>
        <v>{"valorA":"ótimo","valorB":18}</v>
      </c>
      <c r="E251" s="8" t="str">
        <f t="shared" si="2"/>
        <v>ótimo</v>
      </c>
      <c r="F251" s="8"/>
      <c r="G251" s="8" t="str">
        <f t="shared" si="3"/>
        <v>18</v>
      </c>
      <c r="H251" s="9">
        <f t="shared" si="4"/>
        <v>18</v>
      </c>
      <c r="I251" s="6" t="str">
        <f>IFERROR(__xludf.DUMMYFUNCTION("MAX(FILTER($H:$H,$E:$E=F251))"),"#N/A")</f>
        <v>#N/A</v>
      </c>
    </row>
    <row r="252">
      <c r="C252" s="4" t="s">
        <v>2854</v>
      </c>
      <c r="D252" s="4" t="str">
        <f t="shared" si="1"/>
        <v>{"valorA":"para","valorB":8}</v>
      </c>
      <c r="E252" s="8" t="str">
        <f t="shared" si="2"/>
        <v>para</v>
      </c>
      <c r="F252" s="8"/>
      <c r="G252" s="8" t="str">
        <f t="shared" si="3"/>
        <v>8</v>
      </c>
      <c r="H252" s="9">
        <f t="shared" si="4"/>
        <v>8</v>
      </c>
      <c r="I252" s="6" t="str">
        <f>IFERROR(__xludf.DUMMYFUNCTION("MAX(FILTER($H:$H,$E:$E=F252))"),"#N/A")</f>
        <v>#N/A</v>
      </c>
    </row>
    <row r="253">
      <c r="C253" s="4" t="s">
        <v>2714</v>
      </c>
      <c r="D253" s="4" t="str">
        <f t="shared" si="1"/>
        <v>{"valorA":"perfeitamente","valorB":2}</v>
      </c>
      <c r="E253" s="8" t="str">
        <f t="shared" si="2"/>
        <v>perfeitamente</v>
      </c>
      <c r="F253" s="8"/>
      <c r="G253" s="8" t="str">
        <f t="shared" si="3"/>
        <v>2</v>
      </c>
      <c r="H253" s="9">
        <f t="shared" si="4"/>
        <v>2</v>
      </c>
      <c r="I253" s="6" t="str">
        <f>IFERROR(__xludf.DUMMYFUNCTION("MAX(FILTER($H:$H,$E:$E=F253))"),"#N/A")</f>
        <v>#N/A</v>
      </c>
    </row>
    <row r="254">
      <c r="C254" s="4" t="s">
        <v>8103</v>
      </c>
      <c r="D254" s="4" t="str">
        <f t="shared" si="1"/>
        <v>{"valorA":"tem","valorB":2}</v>
      </c>
      <c r="E254" s="8" t="str">
        <f t="shared" si="2"/>
        <v>tem</v>
      </c>
      <c r="F254" s="8"/>
      <c r="G254" s="8" t="str">
        <f t="shared" si="3"/>
        <v>2</v>
      </c>
      <c r="H254" s="9">
        <f t="shared" si="4"/>
        <v>2</v>
      </c>
      <c r="I254" s="6" t="str">
        <f>IFERROR(__xludf.DUMMYFUNCTION("MAX(FILTER($H:$H,$E:$E=F254))"),"#N/A")</f>
        <v>#N/A</v>
      </c>
    </row>
    <row r="255">
      <c r="C255" s="4" t="s">
        <v>3143</v>
      </c>
      <c r="D255" s="4" t="str">
        <f t="shared" si="1"/>
        <v>{"valorA":"muita","valorB":1}</v>
      </c>
      <c r="E255" s="8" t="str">
        <f t="shared" si="2"/>
        <v>muita</v>
      </c>
      <c r="F255" s="8"/>
      <c r="G255" s="8" t="str">
        <f t="shared" si="3"/>
        <v>1</v>
      </c>
      <c r="H255" s="9">
        <f t="shared" si="4"/>
        <v>1</v>
      </c>
      <c r="I255" s="6" t="str">
        <f>IFERROR(__xludf.DUMMYFUNCTION("MAX(FILTER($H:$H,$E:$E=F255))"),"#N/A")</f>
        <v>#N/A</v>
      </c>
    </row>
    <row r="256">
      <c r="C256" s="4" t="s">
        <v>3189</v>
      </c>
      <c r="D256" s="4" t="str">
        <f t="shared" si="1"/>
        <v>{"valorA":"em","valorB":1}</v>
      </c>
      <c r="E256" s="8" t="str">
        <f t="shared" si="2"/>
        <v>em</v>
      </c>
      <c r="F256" s="8"/>
      <c r="G256" s="8" t="str">
        <f t="shared" si="3"/>
        <v>1</v>
      </c>
      <c r="H256" s="9">
        <f t="shared" si="4"/>
        <v>1</v>
      </c>
      <c r="I256" s="6" t="str">
        <f>IFERROR(__xludf.DUMMYFUNCTION("MAX(FILTER($H:$H,$E:$E=F256))"),"#N/A")</f>
        <v>#N/A</v>
      </c>
    </row>
    <row r="257">
      <c r="C257" s="4" t="s">
        <v>3184</v>
      </c>
      <c r="D257" s="4" t="str">
        <f t="shared" si="1"/>
        <v>{"valorA":"casa","valorB":1}</v>
      </c>
      <c r="E257" s="8" t="str">
        <f t="shared" si="2"/>
        <v>casa</v>
      </c>
      <c r="F257" s="8"/>
      <c r="G257" s="8" t="str">
        <f t="shared" si="3"/>
        <v>1</v>
      </c>
      <c r="H257" s="9">
        <f t="shared" si="4"/>
        <v>1</v>
      </c>
      <c r="I257" s="6" t="str">
        <f>IFERROR(__xludf.DUMMYFUNCTION("MAX(FILTER($H:$H,$E:$E=F257))"),"#N/A")</f>
        <v>#N/A</v>
      </c>
    </row>
    <row r="258">
      <c r="C258" s="4" t="s">
        <v>3952</v>
      </c>
      <c r="D258" s="4" t="str">
        <f t="shared" si="1"/>
        <v>{"valorA":"comentário","valorB":4}</v>
      </c>
      <c r="E258" s="8" t="str">
        <f t="shared" si="2"/>
        <v>comentário</v>
      </c>
      <c r="F258" s="8"/>
      <c r="G258" s="8" t="str">
        <f t="shared" si="3"/>
        <v>4</v>
      </c>
      <c r="H258" s="9">
        <f t="shared" si="4"/>
        <v>4</v>
      </c>
      <c r="I258" s="6" t="str">
        <f>IFERROR(__xludf.DUMMYFUNCTION("MAX(FILTER($H:$H,$E:$E=F258))"),"#N/A")</f>
        <v>#N/A</v>
      </c>
    </row>
    <row r="259">
      <c r="C259" s="4" t="s">
        <v>2715</v>
      </c>
      <c r="D259" s="4" t="str">
        <f t="shared" si="1"/>
        <v>{"valorA":"funciona","valorB":4}</v>
      </c>
      <c r="E259" s="8" t="str">
        <f t="shared" si="2"/>
        <v>funciona</v>
      </c>
      <c r="F259" s="8"/>
      <c r="G259" s="8" t="str">
        <f t="shared" si="3"/>
        <v>4</v>
      </c>
      <c r="H259" s="9">
        <f t="shared" si="4"/>
        <v>4</v>
      </c>
      <c r="I259" s="6" t="str">
        <f>IFERROR(__xludf.DUMMYFUNCTION("MAX(FILTER($H:$H,$E:$E=F259))"),"#N/A")</f>
        <v>#N/A</v>
      </c>
    </row>
    <row r="260">
      <c r="C260" s="4" t="s">
        <v>2761</v>
      </c>
      <c r="D260" s="4" t="str">
        <f t="shared" si="1"/>
        <v>{"valorA":"ótimo","valorB":19}</v>
      </c>
      <c r="E260" s="8" t="str">
        <f t="shared" si="2"/>
        <v>ótimo</v>
      </c>
      <c r="F260" s="8"/>
      <c r="G260" s="8" t="str">
        <f t="shared" si="3"/>
        <v>19</v>
      </c>
      <c r="H260" s="9">
        <f t="shared" si="4"/>
        <v>19</v>
      </c>
      <c r="I260" s="6" t="str">
        <f>IFERROR(__xludf.DUMMYFUNCTION("MAX(FILTER($H:$H,$E:$E=F260))"),"#N/A")</f>
        <v>#N/A</v>
      </c>
    </row>
    <row r="261">
      <c r="C261" s="4" t="s">
        <v>7053</v>
      </c>
      <c r="D261" s="4" t="str">
        <f t="shared" si="1"/>
        <v>{"valorA":"compras","valorB":1}</v>
      </c>
      <c r="E261" s="8" t="str">
        <f t="shared" si="2"/>
        <v>compras</v>
      </c>
      <c r="F261" s="8"/>
      <c r="G261" s="8" t="str">
        <f t="shared" si="3"/>
        <v>1</v>
      </c>
      <c r="H261" s="9">
        <f t="shared" si="4"/>
        <v>1</v>
      </c>
      <c r="I261" s="6" t="str">
        <f>IFERROR(__xludf.DUMMYFUNCTION("MAX(FILTER($H:$H,$E:$E=F261))"),"#N/A")</f>
        <v>#N/A</v>
      </c>
    </row>
    <row r="262">
      <c r="C262" s="4" t="s">
        <v>3051</v>
      </c>
      <c r="D262" s="4" t="str">
        <f t="shared" si="1"/>
        <v>{"valorA":"fácil","valorB":4}</v>
      </c>
      <c r="E262" s="8" t="str">
        <f t="shared" si="2"/>
        <v>fácil</v>
      </c>
      <c r="F262" s="8"/>
      <c r="G262" s="8" t="str">
        <f t="shared" si="3"/>
        <v>4</v>
      </c>
      <c r="H262" s="9">
        <f t="shared" si="4"/>
        <v>4</v>
      </c>
      <c r="I262" s="6" t="str">
        <f>IFERROR(__xludf.DUMMYFUNCTION("MAX(FILTER($H:$H,$E:$E=F262))"),"#N/A")</f>
        <v>#N/A</v>
      </c>
    </row>
    <row r="263">
      <c r="C263" s="4" t="s">
        <v>3180</v>
      </c>
      <c r="D263" s="4" t="str">
        <f t="shared" si="1"/>
        <v>{"valorA":"de","valorB":15}</v>
      </c>
      <c r="E263" s="8" t="str">
        <f t="shared" si="2"/>
        <v>de</v>
      </c>
      <c r="F263" s="8"/>
      <c r="G263" s="8" t="str">
        <f t="shared" si="3"/>
        <v>15</v>
      </c>
      <c r="H263" s="9">
        <f t="shared" si="4"/>
        <v>15</v>
      </c>
      <c r="I263" s="6" t="str">
        <f>IFERROR(__xludf.DUMMYFUNCTION("MAX(FILTER($H:$H,$E:$E=F263))"),"#N/A")</f>
        <v>#N/A</v>
      </c>
    </row>
    <row r="264">
      <c r="C264" s="4" t="s">
        <v>2874</v>
      </c>
      <c r="D264" s="4" t="str">
        <f t="shared" si="1"/>
        <v>{"valorA":"esse","valorB":4}</v>
      </c>
      <c r="E264" s="8" t="str">
        <f t="shared" si="2"/>
        <v>esse</v>
      </c>
      <c r="F264" s="8"/>
      <c r="G264" s="8" t="str">
        <f t="shared" si="3"/>
        <v>4</v>
      </c>
      <c r="H264" s="9">
        <f t="shared" si="4"/>
        <v>4</v>
      </c>
      <c r="I264" s="6" t="str">
        <f>IFERROR(__xludf.DUMMYFUNCTION("MAX(FILTER($H:$H,$E:$E=F264))"),"#N/A")</f>
        <v>#N/A</v>
      </c>
    </row>
    <row r="265">
      <c r="C265" s="4" t="s">
        <v>7054</v>
      </c>
      <c r="D265" s="4" t="str">
        <f t="shared" si="1"/>
        <v>{"valorA":"carrinho","valorB":1}</v>
      </c>
      <c r="E265" s="8" t="str">
        <f t="shared" si="2"/>
        <v>carrinho</v>
      </c>
      <c r="F265" s="8"/>
      <c r="G265" s="8" t="str">
        <f t="shared" si="3"/>
        <v>1</v>
      </c>
      <c r="H265" s="9">
        <f t="shared" si="4"/>
        <v>1</v>
      </c>
      <c r="I265" s="6" t="str">
        <f>IFERROR(__xludf.DUMMYFUNCTION("MAX(FILTER($H:$H,$E:$E=F265))"),"#N/A")</f>
        <v>#N/A</v>
      </c>
    </row>
    <row r="266">
      <c r="C266" s="4" t="s">
        <v>2784</v>
      </c>
      <c r="D266" s="4" t="str">
        <f t="shared" si="1"/>
        <v>{"valorA":"e","valorB":8}</v>
      </c>
      <c r="E266" s="8" t="str">
        <f t="shared" si="2"/>
        <v>e</v>
      </c>
      <c r="F266" s="8"/>
      <c r="G266" s="8" t="str">
        <f t="shared" si="3"/>
        <v>8</v>
      </c>
      <c r="H266" s="9">
        <f t="shared" si="4"/>
        <v>8</v>
      </c>
      <c r="I266" s="6" t="str">
        <f>IFERROR(__xludf.DUMMYFUNCTION("MAX(FILTER($H:$H,$E:$E=F266))"),"#N/A")</f>
        <v>#N/A</v>
      </c>
    </row>
    <row r="267">
      <c r="C267" s="4" t="s">
        <v>8104</v>
      </c>
      <c r="D267" s="4" t="str">
        <f t="shared" si="1"/>
        <v>{"valorA":"empurrar","valorB":1}</v>
      </c>
      <c r="E267" s="8" t="str">
        <f t="shared" si="2"/>
        <v>empurrar</v>
      </c>
      <c r="F267" s="8"/>
      <c r="G267" s="8" t="str">
        <f t="shared" si="3"/>
        <v>1</v>
      </c>
      <c r="H267" s="9">
        <f t="shared" si="4"/>
        <v>1</v>
      </c>
      <c r="I267" s="6" t="str">
        <f>IFERROR(__xludf.DUMMYFUNCTION("MAX(FILTER($H:$H,$E:$E=F267))"),"#N/A")</f>
        <v>#N/A</v>
      </c>
    </row>
    <row r="268">
      <c r="C268" s="4" t="s">
        <v>2989</v>
      </c>
      <c r="D268" s="4" t="str">
        <f t="shared" si="1"/>
        <v>{"valorA":"muito","valorB":13}</v>
      </c>
      <c r="E268" s="8" t="str">
        <f t="shared" si="2"/>
        <v>muito</v>
      </c>
      <c r="F268" s="8"/>
      <c r="G268" s="8" t="str">
        <f t="shared" si="3"/>
        <v>13</v>
      </c>
      <c r="H268" s="9">
        <f t="shared" si="4"/>
        <v>13</v>
      </c>
      <c r="I268" s="6" t="str">
        <f>IFERROR(__xludf.DUMMYFUNCTION("MAX(FILTER($H:$H,$E:$E=F268))"),"#N/A")</f>
        <v>#N/A</v>
      </c>
    </row>
    <row r="269">
      <c r="C269" s="4" t="s">
        <v>3207</v>
      </c>
      <c r="D269" s="4" t="str">
        <f t="shared" si="1"/>
        <v>{"valorA":"de","valorB":16}</v>
      </c>
      <c r="E269" s="8" t="str">
        <f t="shared" si="2"/>
        <v>de</v>
      </c>
      <c r="F269" s="8"/>
      <c r="G269" s="8" t="str">
        <f t="shared" si="3"/>
        <v>16</v>
      </c>
      <c r="H269" s="9">
        <f t="shared" si="4"/>
        <v>16</v>
      </c>
      <c r="I269" s="6" t="str">
        <f>IFERROR(__xludf.DUMMYFUNCTION("MAX(FILTER($H:$H,$E:$E=F269))"),"#N/A")</f>
        <v>#N/A</v>
      </c>
    </row>
    <row r="270">
      <c r="C270" s="4" t="s">
        <v>3393</v>
      </c>
      <c r="D270" s="4" t="str">
        <f t="shared" si="1"/>
        <v>{"valorA":"coment","valorB":3}</v>
      </c>
      <c r="E270" s="8" t="str">
        <f t="shared" si="2"/>
        <v>coment</v>
      </c>
      <c r="F270" s="8"/>
      <c r="G270" s="8" t="str">
        <f t="shared" si="3"/>
        <v>3</v>
      </c>
      <c r="H270" s="9">
        <f t="shared" si="4"/>
        <v>3</v>
      </c>
      <c r="I270" s="6" t="str">
        <f>IFERROR(__xludf.DUMMYFUNCTION("MAX(FILTER($H:$H,$E:$E=F270))"),"#N/A")</f>
        <v>#N/A</v>
      </c>
    </row>
    <row r="271">
      <c r="C271" s="4" t="s">
        <v>3173</v>
      </c>
      <c r="D271" s="4" t="str">
        <f t="shared" si="1"/>
        <v>{"valorA":"leve","valorB":1}</v>
      </c>
      <c r="E271" s="8" t="str">
        <f t="shared" si="2"/>
        <v>leve</v>
      </c>
      <c r="F271" s="8"/>
      <c r="G271" s="8" t="str">
        <f t="shared" si="3"/>
        <v>1</v>
      </c>
      <c r="H271" s="9">
        <f t="shared" si="4"/>
        <v>1</v>
      </c>
      <c r="I271" s="6" t="str">
        <f>IFERROR(__xludf.DUMMYFUNCTION("MAX(FILTER($H:$H,$E:$E=F271))"),"#N/A")</f>
        <v>#N/A</v>
      </c>
    </row>
    <row r="272">
      <c r="C272" s="4" t="s">
        <v>3618</v>
      </c>
      <c r="D272" s="4" t="str">
        <f t="shared" si="1"/>
        <v>{"valorA":"refrigerador","valorB":2}</v>
      </c>
      <c r="E272" s="8" t="str">
        <f t="shared" si="2"/>
        <v>refrigerador</v>
      </c>
      <c r="F272" s="8"/>
      <c r="G272" s="8" t="str">
        <f t="shared" si="3"/>
        <v>2</v>
      </c>
      <c r="H272" s="9">
        <f t="shared" si="4"/>
        <v>2</v>
      </c>
      <c r="I272" s="6" t="str">
        <f>IFERROR(__xludf.DUMMYFUNCTION("MAX(FILTER($H:$H,$E:$E=F272))"),"#N/A")</f>
        <v>#N/A</v>
      </c>
    </row>
    <row r="273">
      <c r="C273" s="4" t="s">
        <v>2766</v>
      </c>
      <c r="D273" s="4" t="str">
        <f t="shared" si="1"/>
        <v>{"valorA":"ótimo","valorB":20}</v>
      </c>
      <c r="E273" s="8" t="str">
        <f t="shared" si="2"/>
        <v>ótimo</v>
      </c>
      <c r="F273" s="8"/>
      <c r="G273" s="8" t="str">
        <f t="shared" si="3"/>
        <v>20</v>
      </c>
      <c r="H273" s="9">
        <f t="shared" si="4"/>
        <v>20</v>
      </c>
      <c r="I273" s="6" t="str">
        <f>IFERROR(__xludf.DUMMYFUNCTION("MAX(FILTER($H:$H,$E:$E=F273))"),"#N/A")</f>
        <v>#N/A</v>
      </c>
    </row>
    <row r="274">
      <c r="C274" s="4" t="s">
        <v>2843</v>
      </c>
      <c r="D274" s="4" t="str">
        <f t="shared" si="1"/>
        <v>{"valorA":"desse","valorB":2}</v>
      </c>
      <c r="E274" s="8" t="str">
        <f t="shared" si="2"/>
        <v>desse</v>
      </c>
      <c r="F274" s="8"/>
      <c r="G274" s="8" t="str">
        <f t="shared" si="3"/>
        <v>2</v>
      </c>
      <c r="H274" s="9">
        <f t="shared" si="4"/>
        <v>2</v>
      </c>
      <c r="I274" s="6" t="str">
        <f>IFERROR(__xludf.DUMMYFUNCTION("MAX(FILTER($H:$H,$E:$E=F274))"),"#N/A")</f>
        <v>#N/A</v>
      </c>
    </row>
    <row r="275">
      <c r="C275" s="4" t="s">
        <v>3399</v>
      </c>
      <c r="D275" s="4" t="str">
        <f t="shared" si="1"/>
        <v>{"valorA":"na","valorB":1}</v>
      </c>
      <c r="E275" s="8" t="str">
        <f t="shared" si="2"/>
        <v>na</v>
      </c>
      <c r="F275" s="8"/>
      <c r="G275" s="8" t="str">
        <f t="shared" si="3"/>
        <v>1</v>
      </c>
      <c r="H275" s="9">
        <f t="shared" si="4"/>
        <v>1</v>
      </c>
      <c r="I275" s="6" t="str">
        <f>IFERROR(__xludf.DUMMYFUNCTION("MAX(FILTER($H:$H,$E:$E=F275))"),"#N/A")</f>
        <v>#N/A</v>
      </c>
    </row>
    <row r="276">
      <c r="C276" s="4" t="s">
        <v>8105</v>
      </c>
      <c r="D276" s="4" t="str">
        <f t="shared" si="1"/>
        <v>{"valorA":"modelo","valorB":4}</v>
      </c>
      <c r="E276" s="8" t="str">
        <f t="shared" si="2"/>
        <v>modelo</v>
      </c>
      <c r="F276" s="8"/>
      <c r="G276" s="8" t="str">
        <f t="shared" si="3"/>
        <v>4</v>
      </c>
      <c r="H276" s="9">
        <f t="shared" si="4"/>
        <v>4</v>
      </c>
      <c r="I276" s="6" t="str">
        <f>IFERROR(__xludf.DUMMYFUNCTION("MAX(FILTER($H:$H,$E:$E=F276))"),"#N/A")</f>
        <v>#N/A</v>
      </c>
    </row>
    <row r="277">
      <c r="C277" s="4" t="s">
        <v>2927</v>
      </c>
      <c r="D277" s="4" t="str">
        <f t="shared" si="1"/>
        <v>{"valorA":"com","valorB":3}</v>
      </c>
      <c r="E277" s="8" t="str">
        <f t="shared" si="2"/>
        <v>com</v>
      </c>
      <c r="F277" s="8"/>
      <c r="G277" s="8" t="str">
        <f t="shared" si="3"/>
        <v>3</v>
      </c>
      <c r="H277" s="9">
        <f t="shared" si="4"/>
        <v>3</v>
      </c>
      <c r="I277" s="6" t="str">
        <f>IFERROR(__xludf.DUMMYFUNCTION("MAX(FILTER($H:$H,$E:$E=F277))"),"#N/A")</f>
        <v>#N/A</v>
      </c>
    </row>
    <row r="278">
      <c r="C278" s="4" t="s">
        <v>8106</v>
      </c>
      <c r="D278" s="4" t="str">
        <f t="shared" si="1"/>
        <v>{"valorA":"congelador","valorB":1}</v>
      </c>
      <c r="E278" s="8" t="str">
        <f t="shared" si="2"/>
        <v>congelador</v>
      </c>
      <c r="F278" s="8"/>
      <c r="G278" s="8" t="str">
        <f t="shared" si="3"/>
        <v>1</v>
      </c>
      <c r="H278" s="9">
        <f t="shared" si="4"/>
        <v>1</v>
      </c>
      <c r="I278" s="6" t="str">
        <f>IFERROR(__xludf.DUMMYFUNCTION("MAX(FILTER($H:$H,$E:$E=F278))"),"#N/A")</f>
        <v>#N/A</v>
      </c>
    </row>
    <row r="279">
      <c r="C279" s="4" t="s">
        <v>8107</v>
      </c>
      <c r="D279" s="4" t="str">
        <f t="shared" si="1"/>
        <v>{"valorA":"cima","valorB":1}</v>
      </c>
      <c r="E279" s="8" t="str">
        <f t="shared" si="2"/>
        <v>cima</v>
      </c>
      <c r="F279" s="8"/>
      <c r="G279" s="8" t="str">
        <f t="shared" si="3"/>
        <v>1</v>
      </c>
      <c r="H279" s="9">
        <f t="shared" si="4"/>
        <v>1</v>
      </c>
      <c r="I279" s="6" t="str">
        <f>IFERROR(__xludf.DUMMYFUNCTION("MAX(FILTER($H:$H,$E:$E=F279))"),"#N/A")</f>
        <v>#N/A</v>
      </c>
    </row>
    <row r="280">
      <c r="C280" s="4" t="s">
        <v>2716</v>
      </c>
      <c r="D280" s="4" t="str">
        <f t="shared" si="1"/>
        <v>{"valorA":"perfeitamente","valorB":3}</v>
      </c>
      <c r="E280" s="8" t="str">
        <f t="shared" si="2"/>
        <v>perfeitamente</v>
      </c>
      <c r="F280" s="8"/>
      <c r="G280" s="8" t="str">
        <f t="shared" si="3"/>
        <v>3</v>
      </c>
      <c r="H280" s="9">
        <f t="shared" si="4"/>
        <v>3</v>
      </c>
      <c r="I280" s="6" t="str">
        <f>IFERROR(__xludf.DUMMYFUNCTION("MAX(FILTER($H:$H,$E:$E=F280))"),"#N/A")</f>
        <v>#N/A</v>
      </c>
    </row>
    <row r="281">
      <c r="C281" s="4" t="s">
        <v>2756</v>
      </c>
      <c r="D281" s="4" t="str">
        <f t="shared" si="1"/>
        <v>{"valorA":"funciona","valorB":5}</v>
      </c>
      <c r="E281" s="8" t="str">
        <f t="shared" si="2"/>
        <v>funciona</v>
      </c>
      <c r="F281" s="8"/>
      <c r="G281" s="8" t="str">
        <f t="shared" si="3"/>
        <v>5</v>
      </c>
      <c r="H281" s="9">
        <f t="shared" si="4"/>
        <v>5</v>
      </c>
      <c r="I281" s="6" t="str">
        <f>IFERROR(__xludf.DUMMYFUNCTION("MAX(FILTER($H:$H,$E:$E=F281))"),"#N/A")</f>
        <v>#N/A</v>
      </c>
    </row>
    <row r="282">
      <c r="C282" s="4" t="s">
        <v>8108</v>
      </c>
      <c r="D282" s="4" t="str">
        <f t="shared" si="1"/>
        <v>{"valorA":"coment","valorB":4}</v>
      </c>
      <c r="E282" s="8" t="str">
        <f t="shared" si="2"/>
        <v>coment</v>
      </c>
      <c r="F282" s="8"/>
      <c r="G282" s="8" t="str">
        <f t="shared" si="3"/>
        <v>4</v>
      </c>
      <c r="H282" s="9">
        <f t="shared" si="4"/>
        <v>4</v>
      </c>
      <c r="I282" s="6" t="str">
        <f>IFERROR(__xludf.DUMMYFUNCTION("MAX(FILTER($H:$H,$E:$E=F282))"),"#N/A")</f>
        <v>#N/A</v>
      </c>
    </row>
    <row r="283">
      <c r="C283" s="4" t="s">
        <v>3236</v>
      </c>
      <c r="D283" s="4" t="str">
        <f t="shared" si="1"/>
        <v>{"valorA":"de","valorB":17}</v>
      </c>
      <c r="E283" s="8" t="str">
        <f t="shared" si="2"/>
        <v>de</v>
      </c>
      <c r="F283" s="8"/>
      <c r="G283" s="8" t="str">
        <f t="shared" si="3"/>
        <v>17</v>
      </c>
      <c r="H283" s="9">
        <f t="shared" si="4"/>
        <v>17</v>
      </c>
      <c r="I283" s="6" t="str">
        <f>IFERROR(__xludf.DUMMYFUNCTION("MAX(FILTER($H:$H,$E:$E=F283))"),"#N/A")</f>
        <v>#N/A</v>
      </c>
    </row>
    <row r="284">
      <c r="C284" s="4" t="s">
        <v>8109</v>
      </c>
      <c r="D284" s="4" t="str">
        <f t="shared" si="1"/>
        <v>{"valorA":"modelo","valorB":5}</v>
      </c>
      <c r="E284" s="8" t="str">
        <f t="shared" si="2"/>
        <v>modelo</v>
      </c>
      <c r="F284" s="8"/>
      <c r="G284" s="8" t="str">
        <f t="shared" si="3"/>
        <v>5</v>
      </c>
      <c r="H284" s="9">
        <f t="shared" si="4"/>
        <v>5</v>
      </c>
      <c r="I284" s="6" t="str">
        <f>IFERROR(__xludf.DUMMYFUNCTION("MAX(FILTER($H:$H,$E:$E=F284))"),"#N/A")</f>
        <v>#N/A</v>
      </c>
    </row>
    <row r="285">
      <c r="C285" s="4" t="s">
        <v>2779</v>
      </c>
      <c r="D285" s="4" t="str">
        <f t="shared" si="1"/>
        <v>{"valorA":"ótimo","valorB":21}</v>
      </c>
      <c r="E285" s="8" t="str">
        <f t="shared" si="2"/>
        <v>ótimo</v>
      </c>
      <c r="F285" s="8"/>
      <c r="G285" s="8" t="str">
        <f t="shared" si="3"/>
        <v>21</v>
      </c>
      <c r="H285" s="9">
        <f t="shared" si="4"/>
        <v>21</v>
      </c>
      <c r="I285" s="6" t="str">
        <f>IFERROR(__xludf.DUMMYFUNCTION("MAX(FILTER($H:$H,$E:$E=F285))"),"#N/A")</f>
        <v>#N/A</v>
      </c>
    </row>
    <row r="286">
      <c r="C286" s="4" t="s">
        <v>8110</v>
      </c>
      <c r="D286" s="4" t="str">
        <f t="shared" si="1"/>
        <v>{"valorA":"parecem","valorB":1}</v>
      </c>
      <c r="E286" s="8" t="str">
        <f t="shared" si="2"/>
        <v>parecem</v>
      </c>
      <c r="F286" s="8"/>
      <c r="G286" s="8" t="str">
        <f t="shared" si="3"/>
        <v>1</v>
      </c>
      <c r="H286" s="9">
        <f t="shared" si="4"/>
        <v>1</v>
      </c>
      <c r="I286" s="6" t="str">
        <f>IFERROR(__xludf.DUMMYFUNCTION("MAX(FILTER($H:$H,$E:$E=F286))"),"#N/A")</f>
        <v>#N/A</v>
      </c>
    </row>
    <row r="287">
      <c r="C287" s="4" t="s">
        <v>7105</v>
      </c>
      <c r="D287" s="4" t="str">
        <f t="shared" si="1"/>
        <v>{"valorA":"compras","valorB":2}</v>
      </c>
      <c r="E287" s="8" t="str">
        <f t="shared" si="2"/>
        <v>compras</v>
      </c>
      <c r="F287" s="8"/>
      <c r="G287" s="8" t="str">
        <f t="shared" si="3"/>
        <v>2</v>
      </c>
      <c r="H287" s="9">
        <f t="shared" si="4"/>
        <v>2</v>
      </c>
      <c r="I287" s="6" t="str">
        <f>IFERROR(__xludf.DUMMYFUNCTION("MAX(FILTER($H:$H,$E:$E=F287))"),"#N/A")</f>
        <v>#N/A</v>
      </c>
    </row>
    <row r="288">
      <c r="C288" s="4" t="s">
        <v>8111</v>
      </c>
      <c r="D288" s="4" t="str">
        <f t="shared" si="1"/>
        <v>{"valorA":"as","valorB":2}</v>
      </c>
      <c r="E288" s="8" t="str">
        <f t="shared" si="2"/>
        <v>as</v>
      </c>
      <c r="F288" s="8"/>
      <c r="G288" s="8" t="str">
        <f t="shared" si="3"/>
        <v>2</v>
      </c>
      <c r="H288" s="9">
        <f t="shared" si="4"/>
        <v>2</v>
      </c>
      <c r="I288" s="6" t="str">
        <f>IFERROR(__xludf.DUMMYFUNCTION("MAX(FILTER($H:$H,$E:$E=F288))"),"#N/A")</f>
        <v>#N/A</v>
      </c>
    </row>
    <row r="289">
      <c r="C289" s="4" t="s">
        <v>2902</v>
      </c>
      <c r="D289" s="4" t="str">
        <f t="shared" si="1"/>
        <v>{"valorA":"bem","valorB":5}</v>
      </c>
      <c r="E289" s="8" t="str">
        <f t="shared" si="2"/>
        <v>bem</v>
      </c>
      <c r="F289" s="8"/>
      <c r="G289" s="8" t="str">
        <f t="shared" si="3"/>
        <v>5</v>
      </c>
      <c r="H289" s="9">
        <f t="shared" si="4"/>
        <v>5</v>
      </c>
      <c r="I289" s="6" t="str">
        <f>IFERROR(__xludf.DUMMYFUNCTION("MAX(FILTER($H:$H,$E:$E=F289))"),"#N/A")</f>
        <v>#N/A</v>
      </c>
    </row>
    <row r="290">
      <c r="C290" s="4" t="s">
        <v>8112</v>
      </c>
      <c r="D290" s="4" t="str">
        <f t="shared" si="1"/>
        <v>{"valorA":"últimas","valorB":1}</v>
      </c>
      <c r="E290" s="8" t="str">
        <f t="shared" si="2"/>
        <v>últimas</v>
      </c>
      <c r="F290" s="8"/>
      <c r="G290" s="8" t="str">
        <f t="shared" si="3"/>
        <v>1</v>
      </c>
      <c r="H290" s="9">
        <f t="shared" si="4"/>
        <v>1</v>
      </c>
      <c r="I290" s="6" t="str">
        <f>IFERROR(__xludf.DUMMYFUNCTION("MAX(FILTER($H:$H,$E:$E=F290))"),"#N/A")</f>
        <v>#N/A</v>
      </c>
    </row>
    <row r="291">
      <c r="C291" s="4" t="s">
        <v>8113</v>
      </c>
      <c r="D291" s="4" t="str">
        <f t="shared" si="1"/>
        <v>{"valorA":"estar","valorB":1}</v>
      </c>
      <c r="E291" s="8" t="str">
        <f t="shared" si="2"/>
        <v>estar</v>
      </c>
      <c r="F291" s="8"/>
      <c r="G291" s="8" t="str">
        <f t="shared" si="3"/>
        <v>1</v>
      </c>
      <c r="H291" s="9">
        <f t="shared" si="4"/>
        <v>1</v>
      </c>
      <c r="I291" s="6" t="str">
        <f>IFERROR(__xludf.DUMMYFUNCTION("MAX(FILTER($H:$H,$E:$E=F291))"),"#N/A")</f>
        <v>#N/A</v>
      </c>
    </row>
    <row r="292">
      <c r="C292" s="4" t="s">
        <v>3166</v>
      </c>
      <c r="D292" s="4" t="str">
        <f t="shared" si="1"/>
        <v>{"valorA":"muito","valorB":14}</v>
      </c>
      <c r="E292" s="8" t="str">
        <f t="shared" si="2"/>
        <v>muito</v>
      </c>
      <c r="F292" s="8"/>
      <c r="G292" s="8" t="str">
        <f t="shared" si="3"/>
        <v>14</v>
      </c>
      <c r="H292" s="9">
        <f t="shared" si="4"/>
        <v>14</v>
      </c>
      <c r="I292" s="6" t="str">
        <f>IFERROR(__xludf.DUMMYFUNCTION("MAX(FILTER($H:$H,$E:$E=F292))"),"#N/A")</f>
        <v>#N/A</v>
      </c>
    </row>
    <row r="293">
      <c r="C293" s="4" t="s">
        <v>8114</v>
      </c>
      <c r="D293" s="4" t="str">
        <f t="shared" si="1"/>
        <v>{"valorA":"construídas","valorB":1}</v>
      </c>
      <c r="E293" s="8" t="str">
        <f t="shared" si="2"/>
        <v>construídas</v>
      </c>
      <c r="F293" s="8"/>
      <c r="G293" s="8" t="str">
        <f t="shared" si="3"/>
        <v>1</v>
      </c>
      <c r="H293" s="9">
        <f t="shared" si="4"/>
        <v>1</v>
      </c>
      <c r="I293" s="6" t="str">
        <f>IFERROR(__xludf.DUMMYFUNCTION("MAX(FILTER($H:$H,$E:$E=F293))"),"#N/A")</f>
        <v>#N/A</v>
      </c>
    </row>
    <row r="294">
      <c r="C294" s="4" t="s">
        <v>2803</v>
      </c>
      <c r="D294" s="4" t="str">
        <f t="shared" si="1"/>
        <v>{"valorA":"minhas","valorB":1}</v>
      </c>
      <c r="E294" s="8" t="str">
        <f t="shared" si="2"/>
        <v>minhas</v>
      </c>
      <c r="F294" s="8"/>
      <c r="G294" s="8" t="str">
        <f t="shared" si="3"/>
        <v>1</v>
      </c>
      <c r="H294" s="9">
        <f t="shared" si="4"/>
        <v>1</v>
      </c>
      <c r="I294" s="6" t="str">
        <f>IFERROR(__xludf.DUMMYFUNCTION("MAX(FILTER($H:$H,$E:$E=F294))"),"#N/A")</f>
        <v>#N/A</v>
      </c>
    </row>
    <row r="295">
      <c r="C295" s="4" t="s">
        <v>8115</v>
      </c>
      <c r="D295" s="4" t="str">
        <f t="shared" si="1"/>
        <v>{"valorA":"canetas","valorB":1}</v>
      </c>
      <c r="E295" s="8" t="str">
        <f t="shared" si="2"/>
        <v>canetas</v>
      </c>
      <c r="F295" s="8"/>
      <c r="G295" s="8" t="str">
        <f t="shared" si="3"/>
        <v>1</v>
      </c>
      <c r="H295" s="9">
        <f t="shared" si="4"/>
        <v>1</v>
      </c>
      <c r="I295" s="6" t="str">
        <f>IFERROR(__xludf.DUMMYFUNCTION("MAX(FILTER($H:$H,$E:$E=F295))"),"#N/A")</f>
        <v>#N/A</v>
      </c>
    </row>
    <row r="296">
      <c r="C296" s="4" t="s">
        <v>8116</v>
      </c>
      <c r="D296" s="4" t="str">
        <f t="shared" si="1"/>
        <v>{"valorA":"industrial","valorB":1}</v>
      </c>
      <c r="E296" s="8" t="str">
        <f t="shared" si="2"/>
        <v>industrial</v>
      </c>
      <c r="F296" s="8"/>
      <c r="G296" s="8" t="str">
        <f t="shared" si="3"/>
        <v>1</v>
      </c>
      <c r="H296" s="9">
        <f t="shared" si="4"/>
        <v>1</v>
      </c>
      <c r="I296" s="6" t="str">
        <f>IFERROR(__xludf.DUMMYFUNCTION("MAX(FILTER($H:$H,$E:$E=F296))"),"#N/A")</f>
        <v>#N/A</v>
      </c>
    </row>
    <row r="297">
      <c r="C297" s="4" t="s">
        <v>8117</v>
      </c>
      <c r="D297" s="4" t="str">
        <f t="shared" si="1"/>
        <v>{"valorA":"míniforno","valorB":1}</v>
      </c>
      <c r="E297" s="8" t="str">
        <f t="shared" si="2"/>
        <v>míniforno</v>
      </c>
      <c r="F297" s="8"/>
      <c r="G297" s="8" t="str">
        <f t="shared" si="3"/>
        <v>1</v>
      </c>
      <c r="H297" s="9">
        <f t="shared" si="4"/>
        <v>1</v>
      </c>
      <c r="I297" s="6" t="str">
        <f>IFERROR(__xludf.DUMMYFUNCTION("MAX(FILTER($H:$H,$E:$E=F297))"),"#N/A")</f>
        <v>#N/A</v>
      </c>
    </row>
    <row r="298">
      <c r="C298" s="4" t="s">
        <v>2788</v>
      </c>
      <c r="D298" s="4" t="str">
        <f t="shared" si="1"/>
        <v>{"valorA":"ótimo","valorB":22}</v>
      </c>
      <c r="E298" s="8" t="str">
        <f t="shared" si="2"/>
        <v>ótimo</v>
      </c>
      <c r="F298" s="8"/>
      <c r="G298" s="8" t="str">
        <f t="shared" si="3"/>
        <v>22</v>
      </c>
      <c r="H298" s="9">
        <f t="shared" si="4"/>
        <v>22</v>
      </c>
      <c r="I298" s="6" t="str">
        <f>IFERROR(__xludf.DUMMYFUNCTION("MAX(FILTER($H:$H,$E:$E=F298))"),"#N/A")</f>
        <v>#N/A</v>
      </c>
    </row>
    <row r="299">
      <c r="C299" s="4" t="s">
        <v>3198</v>
      </c>
      <c r="D299" s="4" t="str">
        <f t="shared" si="1"/>
        <v>{"valorA":"muito","valorB":15}</v>
      </c>
      <c r="E299" s="8" t="str">
        <f t="shared" si="2"/>
        <v>muito</v>
      </c>
      <c r="F299" s="8"/>
      <c r="G299" s="8" t="str">
        <f t="shared" si="3"/>
        <v>15</v>
      </c>
      <c r="H299" s="9">
        <f t="shared" si="4"/>
        <v>15</v>
      </c>
      <c r="I299" s="6" t="str">
        <f>IFERROR(__xludf.DUMMYFUNCTION("MAX(FILTER($H:$H,$E:$E=F299))"),"#N/A")</f>
        <v>#N/A</v>
      </c>
    </row>
    <row r="300">
      <c r="C300" s="4" t="s">
        <v>2941</v>
      </c>
      <c r="D300" s="4" t="str">
        <f t="shared" si="1"/>
        <v>{"valorA":"gosto","valorB":2}</v>
      </c>
      <c r="E300" s="8" t="str">
        <f t="shared" si="2"/>
        <v>gosto</v>
      </c>
      <c r="F300" s="8"/>
      <c r="G300" s="8" t="str">
        <f t="shared" si="3"/>
        <v>2</v>
      </c>
      <c r="H300" s="9">
        <f t="shared" si="4"/>
        <v>2</v>
      </c>
      <c r="I300" s="6" t="str">
        <f>IFERROR(__xludf.DUMMYFUNCTION("MAX(FILTER($H:$H,$E:$E=F300))"),"#N/A")</f>
        <v>#N/A</v>
      </c>
    </row>
    <row r="301">
      <c r="C301" s="4" t="s">
        <v>2713</v>
      </c>
      <c r="D301" s="4" t="str">
        <f t="shared" si="1"/>
        <v>{"valorA":"ontem","valorB":1}</v>
      </c>
      <c r="E301" s="8" t="str">
        <f t="shared" si="2"/>
        <v>ontem</v>
      </c>
      <c r="F301" s="8"/>
      <c r="G301" s="8" t="str">
        <f t="shared" si="3"/>
        <v>1</v>
      </c>
      <c r="H301" s="9">
        <f t="shared" si="4"/>
        <v>1</v>
      </c>
      <c r="I301" s="6" t="str">
        <f>IFERROR(__xludf.DUMMYFUNCTION("MAX(FILTER($H:$H,$E:$E=F301))"),"#N/A")</f>
        <v>#N/A</v>
      </c>
    </row>
    <row r="302">
      <c r="C302" s="4" t="s">
        <v>8118</v>
      </c>
      <c r="D302" s="4" t="str">
        <f t="shared" si="1"/>
        <v>{"valorA":"tocadiscos","valorB":1}</v>
      </c>
      <c r="E302" s="8" t="str">
        <f t="shared" si="2"/>
        <v>tocadiscos</v>
      </c>
      <c r="F302" s="8"/>
      <c r="G302" s="8" t="str">
        <f t="shared" si="3"/>
        <v>1</v>
      </c>
      <c r="H302" s="9">
        <f t="shared" si="4"/>
        <v>1</v>
      </c>
      <c r="I302" s="6" t="str">
        <f>IFERROR(__xludf.DUMMYFUNCTION("MAX(FILTER($H:$H,$E:$E=F302))"),"#N/A")</f>
        <v>#N/A</v>
      </c>
    </row>
    <row r="303">
      <c r="C303" s="4" t="s">
        <v>2791</v>
      </c>
      <c r="D303" s="4" t="str">
        <f t="shared" si="1"/>
        <v>{"valorA":"ótimo","valorB":23}</v>
      </c>
      <c r="E303" s="8" t="str">
        <f t="shared" si="2"/>
        <v>ótimo</v>
      </c>
      <c r="F303" s="8"/>
      <c r="G303" s="8" t="str">
        <f t="shared" si="3"/>
        <v>23</v>
      </c>
      <c r="H303" s="9">
        <f t="shared" si="4"/>
        <v>23</v>
      </c>
      <c r="I303" s="6" t="str">
        <f>IFERROR(__xludf.DUMMYFUNCTION("MAX(FILTER($H:$H,$E:$E=F303))"),"#N/A")</f>
        <v>#N/A</v>
      </c>
    </row>
    <row r="304">
      <c r="C304" s="4" t="s">
        <v>2700</v>
      </c>
      <c r="D304" s="4" t="str">
        <f t="shared" si="1"/>
        <v>{"valorA":"comprei","valorB":1}</v>
      </c>
      <c r="E304" s="8" t="str">
        <f t="shared" si="2"/>
        <v>comprei</v>
      </c>
      <c r="F304" s="8"/>
      <c r="G304" s="8" t="str">
        <f t="shared" si="3"/>
        <v>1</v>
      </c>
      <c r="H304" s="9">
        <f t="shared" si="4"/>
        <v>1</v>
      </c>
      <c r="I304" s="6" t="str">
        <f>IFERROR(__xludf.DUMMYFUNCTION("MAX(FILTER($H:$H,$E:$E=F304))"),"#N/A")</f>
        <v>#N/A</v>
      </c>
    </row>
    <row r="305">
      <c r="C305" s="4" t="s">
        <v>2757</v>
      </c>
      <c r="D305" s="4" t="str">
        <f t="shared" si="1"/>
        <v>{"valorA":"perfeitamente","valorB":4}</v>
      </c>
      <c r="E305" s="8" t="str">
        <f t="shared" si="2"/>
        <v>perfeitamente</v>
      </c>
      <c r="F305" s="8"/>
      <c r="G305" s="8" t="str">
        <f t="shared" si="3"/>
        <v>4</v>
      </c>
      <c r="H305" s="9">
        <f t="shared" si="4"/>
        <v>4</v>
      </c>
      <c r="I305" s="6" t="str">
        <f>IFERROR(__xludf.DUMMYFUNCTION("MAX(FILTER($H:$H,$E:$E=F305))"),"#N/A")</f>
        <v>#N/A</v>
      </c>
    </row>
    <row r="306">
      <c r="C306" s="4" t="s">
        <v>2765</v>
      </c>
      <c r="D306" s="4" t="str">
        <f t="shared" si="1"/>
        <v>{"valorA":"funciona","valorB":6}</v>
      </c>
      <c r="E306" s="8" t="str">
        <f t="shared" si="2"/>
        <v>funciona</v>
      </c>
      <c r="F306" s="8"/>
      <c r="G306" s="8" t="str">
        <f t="shared" si="3"/>
        <v>6</v>
      </c>
      <c r="H306" s="9">
        <f t="shared" si="4"/>
        <v>6</v>
      </c>
      <c r="I306" s="6" t="str">
        <f>IFERROR(__xludf.DUMMYFUNCTION("MAX(FILTER($H:$H,$E:$E=F306))"),"#N/A")</f>
        <v>#N/A</v>
      </c>
    </row>
    <row r="307">
      <c r="C307" s="4" t="s">
        <v>8119</v>
      </c>
      <c r="D307" s="4" t="str">
        <f t="shared" si="1"/>
        <v>{"valorA":"até","valorB":2}</v>
      </c>
      <c r="E307" s="8" t="str">
        <f t="shared" si="2"/>
        <v>até</v>
      </c>
      <c r="F307" s="8"/>
      <c r="G307" s="8" t="str">
        <f t="shared" si="3"/>
        <v>2</v>
      </c>
      <c r="H307" s="9">
        <f t="shared" si="4"/>
        <v>2</v>
      </c>
      <c r="I307" s="6" t="str">
        <f>IFERROR(__xludf.DUMMYFUNCTION("MAX(FILTER($H:$H,$E:$E=F307))"),"#N/A")</f>
        <v>#N/A</v>
      </c>
    </row>
    <row r="308">
      <c r="C308" s="4" t="s">
        <v>8120</v>
      </c>
      <c r="D308" s="4" t="str">
        <f t="shared" si="1"/>
        <v>{"valorA":"hoje","valorB":2}</v>
      </c>
      <c r="E308" s="8" t="str">
        <f t="shared" si="2"/>
        <v>hoje</v>
      </c>
      <c r="F308" s="8"/>
      <c r="G308" s="8" t="str">
        <f t="shared" si="3"/>
        <v>2</v>
      </c>
      <c r="H308" s="9">
        <f t="shared" si="4"/>
        <v>2</v>
      </c>
      <c r="I308" s="6" t="str">
        <f>IFERROR(__xludf.DUMMYFUNCTION("MAX(FILTER($H:$H,$E:$E=F308))"),"#N/A")</f>
        <v>#N/A</v>
      </c>
    </row>
    <row r="309">
      <c r="C309" s="4" t="s">
        <v>8121</v>
      </c>
      <c r="D309" s="4" t="str">
        <f t="shared" si="1"/>
        <v>{"valorA":"coment","valorB":5}</v>
      </c>
      <c r="E309" s="8" t="str">
        <f t="shared" si="2"/>
        <v>coment</v>
      </c>
      <c r="F309" s="8"/>
      <c r="G309" s="8" t="str">
        <f t="shared" si="3"/>
        <v>5</v>
      </c>
      <c r="H309" s="9">
        <f t="shared" si="4"/>
        <v>5</v>
      </c>
      <c r="I309" s="6" t="str">
        <f>IFERROR(__xludf.DUMMYFUNCTION("MAX(FILTER($H:$H,$E:$E=F309))"),"#N/A")</f>
        <v>#N/A</v>
      </c>
    </row>
    <row r="310">
      <c r="C310" s="4" t="s">
        <v>8122</v>
      </c>
      <c r="D310" s="4" t="str">
        <f t="shared" si="1"/>
        <v>{"valorA":"várias","valorB":1}</v>
      </c>
      <c r="E310" s="8" t="str">
        <f t="shared" si="2"/>
        <v>várias</v>
      </c>
      <c r="F310" s="8"/>
      <c r="G310" s="8" t="str">
        <f t="shared" si="3"/>
        <v>1</v>
      </c>
      <c r="H310" s="9">
        <f t="shared" si="4"/>
        <v>1</v>
      </c>
      <c r="I310" s="6" t="str">
        <f>IFERROR(__xludf.DUMMYFUNCTION("MAX(FILTER($H:$H,$E:$E=F310))"),"#N/A")</f>
        <v>#N/A</v>
      </c>
    </row>
    <row r="311">
      <c r="C311" s="4" t="s">
        <v>3348</v>
      </c>
      <c r="D311" s="4" t="str">
        <f t="shared" si="1"/>
        <v>{"valorA":"lavabo","valorB":1}</v>
      </c>
      <c r="E311" s="8" t="str">
        <f t="shared" si="2"/>
        <v>lavabo</v>
      </c>
      <c r="F311" s="8"/>
      <c r="G311" s="8" t="str">
        <f t="shared" si="3"/>
        <v>1</v>
      </c>
      <c r="H311" s="9">
        <f t="shared" si="4"/>
        <v>1</v>
      </c>
      <c r="I311" s="6" t="str">
        <f>IFERROR(__xludf.DUMMYFUNCTION("MAX(FILTER($H:$H,$E:$E=F311))"),"#N/A")</f>
        <v>#N/A</v>
      </c>
    </row>
    <row r="312">
      <c r="C312" s="4" t="s">
        <v>2798</v>
      </c>
      <c r="D312" s="4" t="str">
        <f t="shared" si="1"/>
        <v>{"valorA":"ótimo","valorB":24}</v>
      </c>
      <c r="E312" s="8" t="str">
        <f t="shared" si="2"/>
        <v>ótimo</v>
      </c>
      <c r="F312" s="8"/>
      <c r="G312" s="8" t="str">
        <f t="shared" si="3"/>
        <v>24</v>
      </c>
      <c r="H312" s="9">
        <f t="shared" si="4"/>
        <v>24</v>
      </c>
      <c r="I312" s="6" t="str">
        <f>IFERROR(__xludf.DUMMYFUNCTION("MAX(FILTER($H:$H,$E:$E=F312))"),"#N/A")</f>
        <v>#N/A</v>
      </c>
    </row>
    <row r="313">
      <c r="C313" s="4" t="s">
        <v>8123</v>
      </c>
      <c r="D313" s="4" t="str">
        <f t="shared" si="1"/>
        <v>{"valorA":"ajuste","valorB":1}</v>
      </c>
      <c r="E313" s="8" t="str">
        <f t="shared" si="2"/>
        <v>ajuste</v>
      </c>
      <c r="F313" s="8"/>
      <c r="G313" s="8" t="str">
        <f t="shared" si="3"/>
        <v>1</v>
      </c>
      <c r="H313" s="9">
        <f t="shared" si="4"/>
        <v>1</v>
      </c>
      <c r="I313" s="6" t="str">
        <f>IFERROR(__xludf.DUMMYFUNCTION("MAX(FILTER($H:$H,$E:$E=F313))"),"#N/A")</f>
        <v>#N/A</v>
      </c>
    </row>
    <row r="314">
      <c r="C314" s="4" t="s">
        <v>2863</v>
      </c>
      <c r="D314" s="4" t="str">
        <f t="shared" si="1"/>
        <v>{"valorA":"para","valorB":9}</v>
      </c>
      <c r="E314" s="8" t="str">
        <f t="shared" si="2"/>
        <v>para</v>
      </c>
      <c r="F314" s="8"/>
      <c r="G314" s="8" t="str">
        <f t="shared" si="3"/>
        <v>9</v>
      </c>
      <c r="H314" s="9">
        <f t="shared" si="4"/>
        <v>9</v>
      </c>
      <c r="I314" s="6" t="str">
        <f>IFERROR(__xludf.DUMMYFUNCTION("MAX(FILTER($H:$H,$E:$E=F314))"),"#N/A")</f>
        <v>#N/A</v>
      </c>
    </row>
    <row r="315">
      <c r="C315" s="4" t="s">
        <v>2919</v>
      </c>
      <c r="D315" s="4" t="str">
        <f t="shared" si="1"/>
        <v>{"valorA":"da","valorB":1}</v>
      </c>
      <c r="E315" s="8" t="str">
        <f t="shared" si="2"/>
        <v>da</v>
      </c>
      <c r="F315" s="8"/>
      <c r="G315" s="8" t="str">
        <f t="shared" si="3"/>
        <v>1</v>
      </c>
      <c r="H315" s="9">
        <f t="shared" si="4"/>
        <v>1</v>
      </c>
      <c r="I315" s="6" t="str">
        <f>IFERROR(__xludf.DUMMYFUNCTION("MAX(FILTER($H:$H,$E:$E=F315))"),"#N/A")</f>
        <v>#N/A</v>
      </c>
    </row>
    <row r="316">
      <c r="C316" s="4" t="s">
        <v>2956</v>
      </c>
      <c r="D316" s="4" t="str">
        <f t="shared" si="1"/>
        <v>{"valorA":"com","valorB":4}</v>
      </c>
      <c r="E316" s="8" t="str">
        <f t="shared" si="2"/>
        <v>com</v>
      </c>
      <c r="F316" s="8"/>
      <c r="G316" s="8" t="str">
        <f t="shared" si="3"/>
        <v>4</v>
      </c>
      <c r="H316" s="9">
        <f t="shared" si="4"/>
        <v>4</v>
      </c>
      <c r="I316" s="6" t="str">
        <f>IFERROR(__xludf.DUMMYFUNCTION("MAX(FILTER($H:$H,$E:$E=F316))"),"#N/A")</f>
        <v>#N/A</v>
      </c>
    </row>
    <row r="317">
      <c r="C317" s="4" t="s">
        <v>8124</v>
      </c>
      <c r="D317" s="4" t="str">
        <f t="shared" si="1"/>
        <v>{"valorA":"opções","valorB":1}</v>
      </c>
      <c r="E317" s="8" t="str">
        <f t="shared" si="2"/>
        <v>opções</v>
      </c>
      <c r="F317" s="8"/>
      <c r="G317" s="8" t="str">
        <f t="shared" si="3"/>
        <v>1</v>
      </c>
      <c r="H317" s="9">
        <f t="shared" si="4"/>
        <v>1</v>
      </c>
      <c r="I317" s="6" t="str">
        <f>IFERROR(__xludf.DUMMYFUNCTION("MAX(FILTER($H:$H,$E:$E=F317))"),"#N/A")</f>
        <v>#N/A</v>
      </c>
    </row>
    <row r="318">
      <c r="C318" s="4" t="s">
        <v>8125</v>
      </c>
      <c r="D318" s="4" t="str">
        <f t="shared" si="1"/>
        <v>{"valorA":"água","valorB":3}</v>
      </c>
      <c r="E318" s="8" t="str">
        <f t="shared" si="2"/>
        <v>água</v>
      </c>
      <c r="F318" s="8"/>
      <c r="G318" s="8" t="str">
        <f t="shared" si="3"/>
        <v>3</v>
      </c>
      <c r="H318" s="9">
        <f t="shared" si="4"/>
        <v>3</v>
      </c>
      <c r="I318" s="6" t="str">
        <f>IFERROR(__xludf.DUMMYFUNCTION("MAX(FILTER($H:$H,$E:$E=F318))"),"#N/A")</f>
        <v>#N/A</v>
      </c>
    </row>
    <row r="319">
      <c r="C319" s="4" t="s">
        <v>2783</v>
      </c>
      <c r="D319" s="4" t="str">
        <f t="shared" si="1"/>
        <v>{"valorA":"do","valorB":3}</v>
      </c>
      <c r="E319" s="8" t="str">
        <f t="shared" si="2"/>
        <v>do</v>
      </c>
      <c r="F319" s="8"/>
      <c r="G319" s="8" t="str">
        <f t="shared" si="3"/>
        <v>3</v>
      </c>
      <c r="H319" s="9">
        <f t="shared" si="4"/>
        <v>3</v>
      </c>
      <c r="I319" s="6" t="str">
        <f>IFERROR(__xludf.DUMMYFUNCTION("MAX(FILTER($H:$H,$E:$E=F319))"),"#N/A")</f>
        <v>#N/A</v>
      </c>
    </row>
    <row r="320">
      <c r="C320" s="4" t="s">
        <v>8126</v>
      </c>
      <c r="D320" s="4" t="str">
        <f t="shared" si="1"/>
        <v>{"valorA":"temperatura","valorB":1}</v>
      </c>
      <c r="E320" s="8" t="str">
        <f t="shared" si="2"/>
        <v>temperatura</v>
      </c>
      <c r="F320" s="8"/>
      <c r="G320" s="8" t="str">
        <f t="shared" si="3"/>
        <v>1</v>
      </c>
      <c r="H320" s="9">
        <f t="shared" si="4"/>
        <v>1</v>
      </c>
      <c r="I320" s="6" t="str">
        <f>IFERROR(__xludf.DUMMYFUNCTION("MAX(FILTER($H:$H,$E:$E=F320))"),"#N/A")</f>
        <v>#N/A</v>
      </c>
    </row>
    <row r="321">
      <c r="C321" s="4" t="s">
        <v>2790</v>
      </c>
      <c r="D321" s="4" t="str">
        <f t="shared" si="1"/>
        <v>{"valorA":"bluetooth","valorB":1}</v>
      </c>
      <c r="E321" s="8" t="str">
        <f t="shared" si="2"/>
        <v>bluetooth</v>
      </c>
      <c r="F321" s="8"/>
      <c r="G321" s="8" t="str">
        <f t="shared" si="3"/>
        <v>1</v>
      </c>
      <c r="H321" s="9">
        <f t="shared" si="4"/>
        <v>1</v>
      </c>
      <c r="I321" s="6" t="str">
        <f>IFERROR(__xludf.DUMMYFUNCTION("MAX(FILTER($H:$H,$E:$E=F321))"),"#N/A")</f>
        <v>#N/A</v>
      </c>
    </row>
    <row r="322">
      <c r="C322" s="4" t="s">
        <v>2806</v>
      </c>
      <c r="D322" s="4" t="str">
        <f t="shared" si="1"/>
        <v>{"valorA":"ótimo","valorB":25}</v>
      </c>
      <c r="E322" s="8" t="str">
        <f t="shared" si="2"/>
        <v>ótimo</v>
      </c>
      <c r="F322" s="8"/>
      <c r="G322" s="8" t="str">
        <f t="shared" si="3"/>
        <v>25</v>
      </c>
      <c r="H322" s="9">
        <f t="shared" si="4"/>
        <v>25</v>
      </c>
      <c r="I322" s="6" t="str">
        <f>IFERROR(__xludf.DUMMYFUNCTION("MAX(FILTER($H:$H,$E:$E=F322))"),"#N/A")</f>
        <v>#N/A</v>
      </c>
    </row>
    <row r="323">
      <c r="C323" s="4" t="s">
        <v>3061</v>
      </c>
      <c r="D323" s="4" t="str">
        <f t="shared" si="1"/>
        <v>{"valorA":"fácil","valorB":5}</v>
      </c>
      <c r="E323" s="8" t="str">
        <f t="shared" si="2"/>
        <v>fácil</v>
      </c>
      <c r="F323" s="8"/>
      <c r="G323" s="8" t="str">
        <f t="shared" si="3"/>
        <v>5</v>
      </c>
      <c r="H323" s="9">
        <f t="shared" si="4"/>
        <v>5</v>
      </c>
      <c r="I323" s="6" t="str">
        <f>IFERROR(__xludf.DUMMYFUNCTION("MAX(FILTER($H:$H,$E:$E=F323))"),"#N/A")</f>
        <v>#N/A</v>
      </c>
    </row>
    <row r="324">
      <c r="C324" s="4" t="s">
        <v>3241</v>
      </c>
      <c r="D324" s="4" t="str">
        <f t="shared" si="1"/>
        <v>{"valorA":"de","valorB":18}</v>
      </c>
      <c r="E324" s="8" t="str">
        <f t="shared" si="2"/>
        <v>de</v>
      </c>
      <c r="F324" s="8"/>
      <c r="G324" s="8" t="str">
        <f t="shared" si="3"/>
        <v>18</v>
      </c>
      <c r="H324" s="9">
        <f t="shared" si="4"/>
        <v>18</v>
      </c>
      <c r="I324" s="6" t="str">
        <f>IFERROR(__xludf.DUMMYFUNCTION("MAX(FILTER($H:$H,$E:$E=F324))"),"#N/A")</f>
        <v>#N/A</v>
      </c>
    </row>
    <row r="325">
      <c r="C325" s="4" t="s">
        <v>3215</v>
      </c>
      <c r="D325" s="4" t="str">
        <f t="shared" si="1"/>
        <v>{"valorA":"muito","valorB":16}</v>
      </c>
      <c r="E325" s="8" t="str">
        <f t="shared" si="2"/>
        <v>muito</v>
      </c>
      <c r="F325" s="8"/>
      <c r="G325" s="8" t="str">
        <f t="shared" si="3"/>
        <v>16</v>
      </c>
      <c r="H325" s="9">
        <f t="shared" si="4"/>
        <v>16</v>
      </c>
      <c r="I325" s="6" t="str">
        <f>IFERROR(__xludf.DUMMYFUNCTION("MAX(FILTER($H:$H,$E:$E=F325))"),"#N/A")</f>
        <v>#N/A</v>
      </c>
    </row>
    <row r="326">
      <c r="C326" s="4" t="s">
        <v>2723</v>
      </c>
      <c r="D326" s="4" t="str">
        <f t="shared" si="1"/>
        <v>{"valorA":"usar","valorB":2}</v>
      </c>
      <c r="E326" s="8" t="str">
        <f t="shared" si="2"/>
        <v>usar</v>
      </c>
      <c r="F326" s="8"/>
      <c r="G326" s="8" t="str">
        <f t="shared" si="3"/>
        <v>2</v>
      </c>
      <c r="H326" s="9">
        <f t="shared" si="4"/>
        <v>2</v>
      </c>
      <c r="I326" s="6" t="str">
        <f>IFERROR(__xludf.DUMMYFUNCTION("MAX(FILTER($H:$H,$E:$E=F326))"),"#N/A")</f>
        <v>#N/A</v>
      </c>
    </row>
    <row r="327">
      <c r="C327" s="4" t="s">
        <v>3023</v>
      </c>
      <c r="D327" s="4" t="str">
        <f t="shared" si="1"/>
        <v>{"valorA":"bom","valorB":1}</v>
      </c>
      <c r="E327" s="8" t="str">
        <f t="shared" si="2"/>
        <v>bom</v>
      </c>
      <c r="F327" s="8"/>
      <c r="G327" s="8" t="str">
        <f t="shared" si="3"/>
        <v>1</v>
      </c>
      <c r="H327" s="9">
        <f t="shared" si="4"/>
        <v>1</v>
      </c>
      <c r="I327" s="6" t="str">
        <f>IFERROR(__xludf.DUMMYFUNCTION("MAX(FILTER($H:$H,$E:$E=F327))"),"#N/A")</f>
        <v>#N/A</v>
      </c>
    </row>
    <row r="328">
      <c r="C328" s="4" t="s">
        <v>3358</v>
      </c>
      <c r="D328" s="4" t="str">
        <f t="shared" si="1"/>
        <v>{"valorA":"fiquei","valorB":1}</v>
      </c>
      <c r="E328" s="8" t="str">
        <f t="shared" si="2"/>
        <v>fiquei</v>
      </c>
      <c r="F328" s="8"/>
      <c r="G328" s="8" t="str">
        <f t="shared" si="3"/>
        <v>1</v>
      </c>
      <c r="H328" s="9">
        <f t="shared" si="4"/>
        <v>1</v>
      </c>
      <c r="I328" s="6" t="str">
        <f>IFERROR(__xludf.DUMMYFUNCTION("MAX(FILTER($H:$H,$E:$E=F328))"),"#N/A")</f>
        <v>#N/A</v>
      </c>
    </row>
    <row r="329">
      <c r="C329" s="4" t="s">
        <v>2969</v>
      </c>
      <c r="D329" s="4" t="str">
        <f t="shared" si="1"/>
        <v>{"valorA":"para","valorB":10}</v>
      </c>
      <c r="E329" s="8" t="str">
        <f t="shared" si="2"/>
        <v>para</v>
      </c>
      <c r="F329" s="8"/>
      <c r="G329" s="8" t="str">
        <f t="shared" si="3"/>
        <v>10</v>
      </c>
      <c r="H329" s="9">
        <f t="shared" si="4"/>
        <v>10</v>
      </c>
      <c r="I329" s="6" t="str">
        <f>IFERROR(__xludf.DUMMYFUNCTION("MAX(FILTER($H:$H,$E:$E=F329))"),"#N/A")</f>
        <v>#N/A</v>
      </c>
    </row>
    <row r="330">
      <c r="C330" s="4" t="s">
        <v>2206</v>
      </c>
      <c r="D330" s="4" t="str">
        <f t="shared" si="1"/>
        <v>{"valorA":"computador","valorB":3}</v>
      </c>
      <c r="E330" s="8" t="str">
        <f t="shared" si="2"/>
        <v>computador</v>
      </c>
      <c r="F330" s="8"/>
      <c r="G330" s="8" t="str">
        <f t="shared" si="3"/>
        <v>3</v>
      </c>
      <c r="H330" s="9">
        <f t="shared" si="4"/>
        <v>3</v>
      </c>
      <c r="I330" s="6" t="str">
        <f>IFERROR(__xludf.DUMMYFUNCTION("MAX(FILTER($H:$H,$E:$E=F330))"),"#N/A")</f>
        <v>#N/A</v>
      </c>
    </row>
    <row r="331">
      <c r="C331" s="4" t="s">
        <v>3862</v>
      </c>
      <c r="D331" s="4" t="str">
        <f t="shared" si="1"/>
        <v>{"valorA":"óptico","valorB":1}</v>
      </c>
      <c r="E331" s="8" t="str">
        <f t="shared" si="2"/>
        <v>óptico</v>
      </c>
      <c r="F331" s="8"/>
      <c r="G331" s="8" t="str">
        <f t="shared" si="3"/>
        <v>1</v>
      </c>
      <c r="H331" s="9">
        <f t="shared" si="4"/>
        <v>1</v>
      </c>
      <c r="I331" s="6" t="str">
        <f>IFERROR(__xludf.DUMMYFUNCTION("MAX(FILTER($H:$H,$E:$E=F331))"),"#N/A")</f>
        <v>#N/A</v>
      </c>
    </row>
    <row r="332">
      <c r="C332" s="4" t="s">
        <v>2660</v>
      </c>
      <c r="D332" s="4" t="str">
        <f t="shared" si="1"/>
        <v>{"valorA":"a","valorB":2}</v>
      </c>
      <c r="E332" s="8" t="str">
        <f t="shared" si="2"/>
        <v>a</v>
      </c>
      <c r="F332" s="8"/>
      <c r="G332" s="8" t="str">
        <f t="shared" si="3"/>
        <v>2</v>
      </c>
      <c r="H332" s="9">
        <f t="shared" si="4"/>
        <v>2</v>
      </c>
      <c r="I332" s="6" t="str">
        <f>IFERROR(__xludf.DUMMYFUNCTION("MAX(FILTER($H:$H,$E:$E=F332))"),"#N/A")</f>
        <v>#N/A</v>
      </c>
    </row>
    <row r="333">
      <c r="C333" s="4" t="s">
        <v>2664</v>
      </c>
      <c r="D333" s="4" t="str">
        <f t="shared" si="1"/>
        <v>{"valorA":"compra","valorB":1}</v>
      </c>
      <c r="E333" s="8" t="str">
        <f t="shared" si="2"/>
        <v>compra</v>
      </c>
      <c r="F333" s="8"/>
      <c r="G333" s="8" t="str">
        <f t="shared" si="3"/>
        <v>1</v>
      </c>
      <c r="H333" s="9">
        <f t="shared" si="4"/>
        <v>1</v>
      </c>
      <c r="I333" s="6" t="str">
        <f>IFERROR(__xludf.DUMMYFUNCTION("MAX(FILTER($H:$H,$E:$E=F333))"),"#N/A")</f>
        <v>#N/A</v>
      </c>
    </row>
    <row r="334">
      <c r="C334" s="4" t="s">
        <v>3356</v>
      </c>
      <c r="D334" s="4" t="str">
        <f t="shared" si="1"/>
        <v>{"valorA":"com","valorB":5}</v>
      </c>
      <c r="E334" s="8" t="str">
        <f t="shared" si="2"/>
        <v>com</v>
      </c>
      <c r="F334" s="8"/>
      <c r="G334" s="8" t="str">
        <f t="shared" si="3"/>
        <v>5</v>
      </c>
      <c r="H334" s="9">
        <f t="shared" si="4"/>
        <v>5</v>
      </c>
      <c r="I334" s="6" t="str">
        <f>IFERROR(__xludf.DUMMYFUNCTION("MAX(FILTER($H:$H,$E:$E=F334))"),"#N/A")</f>
        <v>#N/A</v>
      </c>
    </row>
    <row r="335">
      <c r="C335" s="4" t="s">
        <v>3224</v>
      </c>
      <c r="D335" s="4" t="str">
        <f t="shared" si="1"/>
        <v>{"valorA":"muito","valorB":17}</v>
      </c>
      <c r="E335" s="8" t="str">
        <f t="shared" si="2"/>
        <v>muito</v>
      </c>
      <c r="F335" s="8"/>
      <c r="G335" s="8" t="str">
        <f t="shared" si="3"/>
        <v>17</v>
      </c>
      <c r="H335" s="9">
        <f t="shared" si="4"/>
        <v>17</v>
      </c>
      <c r="I335" s="6" t="str">
        <f>IFERROR(__xludf.DUMMYFUNCTION("MAX(FILTER($H:$H,$E:$E=F335))"),"#N/A")</f>
        <v>#N/A</v>
      </c>
    </row>
    <row r="336">
      <c r="C336" s="4" t="s">
        <v>3357</v>
      </c>
      <c r="D336" s="4" t="str">
        <f t="shared" si="1"/>
        <v>{"valorA":"satisfeita","valorB":1}</v>
      </c>
      <c r="E336" s="8" t="str">
        <f t="shared" si="2"/>
        <v>satisfeita</v>
      </c>
      <c r="F336" s="8"/>
      <c r="G336" s="8" t="str">
        <f t="shared" si="3"/>
        <v>1</v>
      </c>
      <c r="H336" s="9">
        <f t="shared" si="4"/>
        <v>1</v>
      </c>
      <c r="I336" s="6" t="str">
        <f>IFERROR(__xludf.DUMMYFUNCTION("MAX(FILTER($H:$H,$E:$E=F336))"),"#N/A")</f>
        <v>#N/A</v>
      </c>
    </row>
    <row r="337">
      <c r="C337" s="4" t="s">
        <v>3486</v>
      </c>
      <c r="D337" s="4" t="str">
        <f t="shared" si="1"/>
        <v>{"valorA":"de","valorB":19}</v>
      </c>
      <c r="E337" s="8" t="str">
        <f t="shared" si="2"/>
        <v>de</v>
      </c>
      <c r="F337" s="8"/>
      <c r="G337" s="8" t="str">
        <f t="shared" si="3"/>
        <v>19</v>
      </c>
      <c r="H337" s="9">
        <f t="shared" si="4"/>
        <v>19</v>
      </c>
      <c r="I337" s="6" t="str">
        <f>IFERROR(__xludf.DUMMYFUNCTION("MAX(FILTER($H:$H,$E:$E=F337))"),"#N/A")</f>
        <v>#N/A</v>
      </c>
    </row>
    <row r="338">
      <c r="C338" s="4" t="s">
        <v>8127</v>
      </c>
      <c r="D338" s="4" t="str">
        <f t="shared" si="1"/>
        <v>{"valorA":"raspador","valorB":1}</v>
      </c>
      <c r="E338" s="8" t="str">
        <f t="shared" si="2"/>
        <v>raspador</v>
      </c>
      <c r="F338" s="8"/>
      <c r="G338" s="8" t="str">
        <f t="shared" si="3"/>
        <v>1</v>
      </c>
      <c r="H338" s="9">
        <f t="shared" si="4"/>
        <v>1</v>
      </c>
      <c r="I338" s="6" t="str">
        <f>IFERROR(__xludf.DUMMYFUNCTION("MAX(FILTER($H:$H,$E:$E=F338))"),"#N/A")</f>
        <v>#N/A</v>
      </c>
    </row>
    <row r="339">
      <c r="C339" s="4" t="s">
        <v>2764</v>
      </c>
      <c r="D339" s="4" t="str">
        <f t="shared" si="1"/>
        <v>{"valorA":"perfeitamente","valorB":5}</v>
      </c>
      <c r="E339" s="8" t="str">
        <f t="shared" si="2"/>
        <v>perfeitamente</v>
      </c>
      <c r="F339" s="8"/>
      <c r="G339" s="8" t="str">
        <f t="shared" si="3"/>
        <v>5</v>
      </c>
      <c r="H339" s="9">
        <f t="shared" si="4"/>
        <v>5</v>
      </c>
      <c r="I339" s="6" t="str">
        <f>IFERROR(__xludf.DUMMYFUNCTION("MAX(FILTER($H:$H,$E:$E=F339))"),"#N/A")</f>
        <v>#N/A</v>
      </c>
    </row>
    <row r="340">
      <c r="C340" s="4" t="s">
        <v>8128</v>
      </c>
      <c r="D340" s="4" t="str">
        <f t="shared" si="1"/>
        <v>{"valorA":"frutas","valorB":1}</v>
      </c>
      <c r="E340" s="8" t="str">
        <f t="shared" si="2"/>
        <v>frutas</v>
      </c>
      <c r="F340" s="8"/>
      <c r="G340" s="8" t="str">
        <f t="shared" si="3"/>
        <v>1</v>
      </c>
      <c r="H340" s="9">
        <f t="shared" si="4"/>
        <v>1</v>
      </c>
      <c r="I340" s="6" t="str">
        <f>IFERROR(__xludf.DUMMYFUNCTION("MAX(FILTER($H:$H,$E:$E=F340))"),"#N/A")</f>
        <v>#N/A</v>
      </c>
    </row>
    <row r="341">
      <c r="C341" s="4" t="s">
        <v>2809</v>
      </c>
      <c r="D341" s="4" t="str">
        <f t="shared" si="1"/>
        <v>{"valorA":"ótimo","valorB":26}</v>
      </c>
      <c r="E341" s="8" t="str">
        <f t="shared" si="2"/>
        <v>ótimo</v>
      </c>
      <c r="F341" s="8"/>
      <c r="G341" s="8" t="str">
        <f t="shared" si="3"/>
        <v>26</v>
      </c>
      <c r="H341" s="9">
        <f t="shared" si="4"/>
        <v>26</v>
      </c>
      <c r="I341" s="6" t="str">
        <f>IFERROR(__xludf.DUMMYFUNCTION("MAX(FILTER($H:$H,$E:$E=F341))"),"#N/A")</f>
        <v>#N/A</v>
      </c>
    </row>
    <row r="342">
      <c r="C342" s="4" t="s">
        <v>2776</v>
      </c>
      <c r="D342" s="4" t="str">
        <f t="shared" si="1"/>
        <v>{"valorA":"funciona","valorB":7}</v>
      </c>
      <c r="E342" s="8" t="str">
        <f t="shared" si="2"/>
        <v>funciona</v>
      </c>
      <c r="F342" s="8"/>
      <c r="G342" s="8" t="str">
        <f t="shared" si="3"/>
        <v>7</v>
      </c>
      <c r="H342" s="9">
        <f t="shared" si="4"/>
        <v>7</v>
      </c>
      <c r="I342" s="6" t="str">
        <f>IFERROR(__xludf.DUMMYFUNCTION("MAX(FILTER($H:$H,$E:$E=F342))"),"#N/A")</f>
        <v>#N/A</v>
      </c>
    </row>
    <row r="343">
      <c r="C343" s="4" t="s">
        <v>3869</v>
      </c>
      <c r="D343" s="4" t="str">
        <f t="shared" si="1"/>
        <v>{"valorA":"limpo","valorB":1}</v>
      </c>
      <c r="E343" s="8" t="str">
        <f t="shared" si="2"/>
        <v>limpo</v>
      </c>
      <c r="F343" s="8"/>
      <c r="G343" s="8" t="str">
        <f t="shared" si="3"/>
        <v>1</v>
      </c>
      <c r="H343" s="9">
        <f t="shared" si="4"/>
        <v>1</v>
      </c>
      <c r="I343" s="6" t="str">
        <f>IFERROR(__xludf.DUMMYFUNCTION("MAX(FILTER($H:$H,$E:$E=F343))"),"#N/A")</f>
        <v>#N/A</v>
      </c>
    </row>
    <row r="344">
      <c r="C344" s="4" t="s">
        <v>8129</v>
      </c>
      <c r="D344" s="4" t="str">
        <f t="shared" si="1"/>
        <v>{"valorA":"lavabo","valorB":2}</v>
      </c>
      <c r="E344" s="8" t="str">
        <f t="shared" si="2"/>
        <v>lavabo</v>
      </c>
      <c r="F344" s="8"/>
      <c r="G344" s="8" t="str">
        <f t="shared" si="3"/>
        <v>2</v>
      </c>
      <c r="H344" s="9">
        <f t="shared" si="4"/>
        <v>2</v>
      </c>
      <c r="I344" s="6" t="str">
        <f>IFERROR(__xludf.DUMMYFUNCTION("MAX(FILTER($H:$H,$E:$E=F344))"),"#N/A")</f>
        <v>#N/A</v>
      </c>
    </row>
    <row r="345">
      <c r="C345" s="4" t="s">
        <v>2818</v>
      </c>
      <c r="D345" s="4" t="str">
        <f t="shared" si="1"/>
        <v>{"valorA":"ótimo","valorB":27}</v>
      </c>
      <c r="E345" s="8" t="str">
        <f t="shared" si="2"/>
        <v>ótimo</v>
      </c>
      <c r="F345" s="8"/>
      <c r="G345" s="8" t="str">
        <f t="shared" si="3"/>
        <v>27</v>
      </c>
      <c r="H345" s="9">
        <f t="shared" si="4"/>
        <v>27</v>
      </c>
      <c r="I345" s="6" t="str">
        <f>IFERROR(__xludf.DUMMYFUNCTION("MAX(FILTER($H:$H,$E:$E=F345))"),"#N/A")</f>
        <v>#N/A</v>
      </c>
    </row>
    <row r="346">
      <c r="C346" s="4" t="s">
        <v>2983</v>
      </c>
      <c r="D346" s="4" t="str">
        <f t="shared" si="1"/>
        <v>{"valorA":"o","valorB":8}</v>
      </c>
      <c r="E346" s="8" t="str">
        <f t="shared" si="2"/>
        <v>o</v>
      </c>
      <c r="F346" s="8"/>
      <c r="G346" s="8" t="str">
        <f t="shared" si="3"/>
        <v>8</v>
      </c>
      <c r="H346" s="9">
        <f t="shared" si="4"/>
        <v>8</v>
      </c>
      <c r="I346" s="6" t="str">
        <f>IFERROR(__xludf.DUMMYFUNCTION("MAX(FILTER($H:$H,$E:$E=F346))"),"#N/A")</f>
        <v>#N/A</v>
      </c>
    </row>
    <row r="347">
      <c r="C347" s="4" t="s">
        <v>2821</v>
      </c>
      <c r="D347" s="4" t="str">
        <f t="shared" si="1"/>
        <v>{"valorA":"e","valorB":9}</v>
      </c>
      <c r="E347" s="8" t="str">
        <f t="shared" si="2"/>
        <v>e</v>
      </c>
      <c r="F347" s="8"/>
      <c r="G347" s="8" t="str">
        <f t="shared" si="3"/>
        <v>9</v>
      </c>
      <c r="H347" s="9">
        <f t="shared" si="4"/>
        <v>9</v>
      </c>
      <c r="I347" s="6" t="str">
        <f>IFERROR(__xludf.DUMMYFUNCTION("MAX(FILTER($H:$H,$E:$E=F347))"),"#N/A")</f>
        <v>#N/A</v>
      </c>
    </row>
    <row r="348">
      <c r="C348" s="4" t="s">
        <v>3316</v>
      </c>
      <c r="D348" s="4" t="str">
        <f t="shared" si="1"/>
        <v>{"valorA":"sempre","valorB":1}</v>
      </c>
      <c r="E348" s="8" t="str">
        <f t="shared" si="2"/>
        <v>sempre</v>
      </c>
      <c r="F348" s="8"/>
      <c r="G348" s="8" t="str">
        <f t="shared" si="3"/>
        <v>1</v>
      </c>
      <c r="H348" s="9">
        <f t="shared" si="4"/>
        <v>1</v>
      </c>
      <c r="I348" s="6" t="str">
        <f>IFERROR(__xludf.DUMMYFUNCTION("MAX(FILTER($H:$H,$E:$E=F348))"),"#N/A")</f>
        <v>#N/A</v>
      </c>
    </row>
    <row r="349">
      <c r="C349" s="4" t="s">
        <v>8130</v>
      </c>
      <c r="D349" s="4" t="str">
        <f t="shared" si="1"/>
        <v>{"valorA":"mantém","valorB":1}</v>
      </c>
      <c r="E349" s="8" t="str">
        <f t="shared" si="2"/>
        <v>mantém</v>
      </c>
      <c r="F349" s="8"/>
      <c r="G349" s="8" t="str">
        <f t="shared" si="3"/>
        <v>1</v>
      </c>
      <c r="H349" s="9">
        <f t="shared" si="4"/>
        <v>1</v>
      </c>
      <c r="I349" s="6" t="str">
        <f>IFERROR(__xludf.DUMMYFUNCTION("MAX(FILTER($H:$H,$E:$E=F349))"),"#N/A")</f>
        <v>#N/A</v>
      </c>
    </row>
    <row r="350">
      <c r="C350" s="4" t="s">
        <v>8131</v>
      </c>
      <c r="D350" s="4" t="str">
        <f t="shared" si="1"/>
        <v>{"valorA":"banheiro","valorB":1}</v>
      </c>
      <c r="E350" s="8" t="str">
        <f t="shared" si="2"/>
        <v>banheiro</v>
      </c>
      <c r="F350" s="8"/>
      <c r="G350" s="8" t="str">
        <f t="shared" si="3"/>
        <v>1</v>
      </c>
      <c r="H350" s="9">
        <f t="shared" si="4"/>
        <v>1</v>
      </c>
      <c r="I350" s="6" t="str">
        <f>IFERROR(__xludf.DUMMYFUNCTION("MAX(FILTER($H:$H,$E:$E=F350))"),"#N/A")</f>
        <v>#N/A</v>
      </c>
    </row>
    <row r="351">
      <c r="C351" s="4" t="s">
        <v>8132</v>
      </c>
      <c r="D351" s="4" t="str">
        <f t="shared" si="1"/>
        <v>{"valorA":"bordas","valorB":1}</v>
      </c>
      <c r="E351" s="8" t="str">
        <f t="shared" si="2"/>
        <v>bordas</v>
      </c>
      <c r="F351" s="8"/>
      <c r="G351" s="8" t="str">
        <f t="shared" si="3"/>
        <v>1</v>
      </c>
      <c r="H351" s="9">
        <f t="shared" si="4"/>
        <v>1</v>
      </c>
      <c r="I351" s="6" t="str">
        <f>IFERROR(__xludf.DUMMYFUNCTION("MAX(FILTER($H:$H,$E:$E=F351))"),"#N/A")</f>
        <v>#N/A</v>
      </c>
    </row>
    <row r="352">
      <c r="C352" s="4" t="s">
        <v>8133</v>
      </c>
      <c r="D352" s="4" t="str">
        <f t="shared" si="1"/>
        <v>{"valorA":"sujas","valorB":1}</v>
      </c>
      <c r="E352" s="8" t="str">
        <f t="shared" si="2"/>
        <v>sujas</v>
      </c>
      <c r="F352" s="8"/>
      <c r="G352" s="8" t="str">
        <f t="shared" si="3"/>
        <v>1</v>
      </c>
      <c r="H352" s="9">
        <f t="shared" si="4"/>
        <v>1</v>
      </c>
      <c r="I352" s="6" t="str">
        <f>IFERROR(__xludf.DUMMYFUNCTION("MAX(FILTER($H:$H,$E:$E=F352))"),"#N/A")</f>
        <v>#N/A</v>
      </c>
    </row>
    <row r="353">
      <c r="C353" s="4" t="s">
        <v>8134</v>
      </c>
      <c r="D353" s="4" t="str">
        <f t="shared" si="1"/>
        <v>{"valorA":"comentário","valorB":5}</v>
      </c>
      <c r="E353" s="8" t="str">
        <f t="shared" si="2"/>
        <v>comentário</v>
      </c>
      <c r="F353" s="8"/>
      <c r="G353" s="8" t="str">
        <f t="shared" si="3"/>
        <v>5</v>
      </c>
      <c r="H353" s="9">
        <f t="shared" si="4"/>
        <v>5</v>
      </c>
      <c r="I353" s="6" t="str">
        <f>IFERROR(__xludf.DUMMYFUNCTION("MAX(FILTER($H:$H,$E:$E=F353))"),"#N/A")</f>
        <v>#N/A</v>
      </c>
    </row>
    <row r="354">
      <c r="C354" s="4" t="s">
        <v>3968</v>
      </c>
      <c r="D354" s="4" t="str">
        <f t="shared" si="1"/>
        <v>{"valorA":"sem","valorB":2}</v>
      </c>
      <c r="E354" s="8" t="str">
        <f t="shared" si="2"/>
        <v>sem</v>
      </c>
      <c r="F354" s="8"/>
      <c r="G354" s="8" t="str">
        <f t="shared" si="3"/>
        <v>2</v>
      </c>
      <c r="H354" s="9">
        <f t="shared" si="4"/>
        <v>2</v>
      </c>
      <c r="I354" s="6" t="str">
        <f>IFERROR(__xludf.DUMMYFUNCTION("MAX(FILTER($H:$H,$E:$E=F354))"),"#N/A")</f>
        <v>#N/A</v>
      </c>
    </row>
    <row r="355">
      <c r="C355" s="4" t="s">
        <v>3232</v>
      </c>
      <c r="D355" s="4" t="str">
        <f t="shared" si="1"/>
        <v>{"valorA":"portátil","valorB":2}</v>
      </c>
      <c r="E355" s="8" t="str">
        <f t="shared" si="2"/>
        <v>portátil</v>
      </c>
      <c r="F355" s="8"/>
      <c r="G355" s="8" t="str">
        <f t="shared" si="3"/>
        <v>2</v>
      </c>
      <c r="H355" s="9">
        <f t="shared" si="4"/>
        <v>2</v>
      </c>
      <c r="I355" s="6" t="str">
        <f>IFERROR(__xludf.DUMMYFUNCTION("MAX(FILTER($H:$H,$E:$E=F355))"),"#N/A")</f>
        <v>#N/A</v>
      </c>
    </row>
    <row r="356">
      <c r="C356" s="4" t="s">
        <v>2861</v>
      </c>
      <c r="D356" s="4" t="str">
        <f t="shared" si="1"/>
        <v>{"valorA":"deste","valorB":1}</v>
      </c>
      <c r="E356" s="8" t="str">
        <f t="shared" si="2"/>
        <v>deste</v>
      </c>
      <c r="F356" s="8"/>
      <c r="G356" s="8" t="str">
        <f t="shared" si="3"/>
        <v>1</v>
      </c>
      <c r="H356" s="9">
        <f t="shared" si="4"/>
        <v>1</v>
      </c>
      <c r="I356" s="6" t="str">
        <f>IFERROR(__xludf.DUMMYFUNCTION("MAX(FILTER($H:$H,$E:$E=F356))"),"#N/A")</f>
        <v>#N/A</v>
      </c>
    </row>
    <row r="357">
      <c r="C357" s="4" t="s">
        <v>2828</v>
      </c>
      <c r="D357" s="4" t="str">
        <f t="shared" si="1"/>
        <v>{"valorA":"ótimo","valorB":28}</v>
      </c>
      <c r="E357" s="8" t="str">
        <f t="shared" si="2"/>
        <v>ótimo</v>
      </c>
      <c r="F357" s="8"/>
      <c r="G357" s="8" t="str">
        <f t="shared" si="3"/>
        <v>28</v>
      </c>
      <c r="H357" s="9">
        <f t="shared" si="4"/>
        <v>28</v>
      </c>
      <c r="I357" s="6" t="str">
        <f>IFERROR(__xludf.DUMMYFUNCTION("MAX(FILTER($H:$H,$E:$E=F357))"),"#N/A")</f>
        <v>#N/A</v>
      </c>
    </row>
    <row r="358">
      <c r="C358" s="4" t="s">
        <v>8135</v>
      </c>
      <c r="D358" s="4" t="str">
        <f t="shared" si="1"/>
        <v>{"valorA":"modelo","valorB":6}</v>
      </c>
      <c r="E358" s="8" t="str">
        <f t="shared" si="2"/>
        <v>modelo</v>
      </c>
      <c r="F358" s="8"/>
      <c r="G358" s="8" t="str">
        <f t="shared" si="3"/>
        <v>6</v>
      </c>
      <c r="H358" s="9">
        <f t="shared" si="4"/>
        <v>6</v>
      </c>
      <c r="I358" s="6" t="str">
        <f>IFERROR(__xludf.DUMMYFUNCTION("MAX(FILTER($H:$H,$E:$E=F358))"),"#N/A")</f>
        <v>#N/A</v>
      </c>
    </row>
    <row r="359">
      <c r="C359" s="4" t="s">
        <v>2220</v>
      </c>
      <c r="D359" s="4" t="str">
        <f t="shared" si="1"/>
        <v>{"valorA":"computador","valorB":4}</v>
      </c>
      <c r="E359" s="8" t="str">
        <f t="shared" si="2"/>
        <v>computador</v>
      </c>
      <c r="F359" s="8"/>
      <c r="G359" s="8" t="str">
        <f t="shared" si="3"/>
        <v>4</v>
      </c>
      <c r="H359" s="9">
        <f t="shared" si="4"/>
        <v>4</v>
      </c>
      <c r="I359" s="6" t="str">
        <f>IFERROR(__xludf.DUMMYFUNCTION("MAX(FILTER($H:$H,$E:$E=F359))"),"#N/A")</f>
        <v>#N/A</v>
      </c>
    </row>
    <row r="360">
      <c r="C360" s="4" t="s">
        <v>3484</v>
      </c>
      <c r="D360" s="4" t="str">
        <f t="shared" si="1"/>
        <v>{"valorA":"espaço","valorB":1}</v>
      </c>
      <c r="E360" s="8" t="str">
        <f t="shared" si="2"/>
        <v>espaço</v>
      </c>
      <c r="F360" s="8"/>
      <c r="G360" s="8" t="str">
        <f t="shared" si="3"/>
        <v>1</v>
      </c>
      <c r="H360" s="9">
        <f t="shared" si="4"/>
        <v>1</v>
      </c>
      <c r="I360" s="6" t="str">
        <f>IFERROR(__xludf.DUMMYFUNCTION("MAX(FILTER($H:$H,$E:$E=F360))"),"#N/A")</f>
        <v>#N/A</v>
      </c>
    </row>
    <row r="361">
      <c r="C361" s="4" t="s">
        <v>2831</v>
      </c>
      <c r="D361" s="4" t="str">
        <f t="shared" si="1"/>
        <v>{"valorA":"ótimo","valorB":29}</v>
      </c>
      <c r="E361" s="8" t="str">
        <f t="shared" si="2"/>
        <v>ótimo</v>
      </c>
      <c r="F361" s="8"/>
      <c r="G361" s="8" t="str">
        <f t="shared" si="3"/>
        <v>29</v>
      </c>
      <c r="H361" s="9">
        <f t="shared" si="4"/>
        <v>29</v>
      </c>
      <c r="I361" s="6" t="str">
        <f>IFERROR(__xludf.DUMMYFUNCTION("MAX(FILTER($H:$H,$E:$E=F361))"),"#N/A")</f>
        <v>#N/A</v>
      </c>
    </row>
    <row r="362">
      <c r="C362" s="4" t="s">
        <v>3046</v>
      </c>
      <c r="D362" s="4" t="str">
        <f t="shared" si="1"/>
        <v>{"valorA":"um","valorB":2}</v>
      </c>
      <c r="E362" s="8" t="str">
        <f t="shared" si="2"/>
        <v>um</v>
      </c>
      <c r="F362" s="8"/>
      <c r="G362" s="8" t="str">
        <f t="shared" si="3"/>
        <v>2</v>
      </c>
      <c r="H362" s="9">
        <f t="shared" si="4"/>
        <v>2</v>
      </c>
      <c r="I362" s="6" t="str">
        <f>IFERROR(__xludf.DUMMYFUNCTION("MAX(FILTER($H:$H,$E:$E=F362))"),"#N/A")</f>
        <v>#N/A</v>
      </c>
    </row>
    <row r="363">
      <c r="C363" s="4" t="s">
        <v>3306</v>
      </c>
      <c r="D363" s="4" t="str">
        <f t="shared" si="1"/>
        <v>{"valorA":"armazenamento","valorB":1}</v>
      </c>
      <c r="E363" s="8" t="str">
        <f t="shared" si="2"/>
        <v>armazenamento</v>
      </c>
      <c r="F363" s="8"/>
      <c r="G363" s="8" t="str">
        <f t="shared" si="3"/>
        <v>1</v>
      </c>
      <c r="H363" s="9">
        <f t="shared" si="4"/>
        <v>1</v>
      </c>
      <c r="I363" s="6" t="str">
        <f>IFERROR(__xludf.DUMMYFUNCTION("MAX(FILTER($H:$H,$E:$E=F363))"),"#N/A")</f>
        <v>#N/A</v>
      </c>
    </row>
    <row r="364">
      <c r="C364" s="4" t="s">
        <v>3192</v>
      </c>
      <c r="D364" s="4" t="str">
        <f t="shared" si="1"/>
        <v>{"valorA":"quem","valorB":4}</v>
      </c>
      <c r="E364" s="8" t="str">
        <f t="shared" si="2"/>
        <v>quem</v>
      </c>
      <c r="F364" s="8"/>
      <c r="G364" s="8" t="str">
        <f t="shared" si="3"/>
        <v>4</v>
      </c>
      <c r="H364" s="9">
        <f t="shared" si="4"/>
        <v>4</v>
      </c>
      <c r="I364" s="6" t="str">
        <f>IFERROR(__xludf.DUMMYFUNCTION("MAX(FILTER($H:$H,$E:$E=F364))"),"#N/A")</f>
        <v>#N/A</v>
      </c>
    </row>
    <row r="365">
      <c r="C365" s="4" t="s">
        <v>3120</v>
      </c>
      <c r="D365" s="4" t="str">
        <f t="shared" si="1"/>
        <v>{"valorA":"para","valorB":11}</v>
      </c>
      <c r="E365" s="8" t="str">
        <f t="shared" si="2"/>
        <v>para</v>
      </c>
      <c r="F365" s="8"/>
      <c r="G365" s="8" t="str">
        <f t="shared" si="3"/>
        <v>11</v>
      </c>
      <c r="H365" s="9">
        <f t="shared" si="4"/>
        <v>11</v>
      </c>
      <c r="I365" s="6" t="str">
        <f>IFERROR(__xludf.DUMMYFUNCTION("MAX(FILTER($H:$H,$E:$E=F365))"),"#N/A")</f>
        <v>#N/A</v>
      </c>
    </row>
    <row r="366">
      <c r="C366" s="4" t="s">
        <v>2745</v>
      </c>
      <c r="D366" s="4" t="str">
        <f t="shared" si="1"/>
        <v>{"valorA":"precisa","valorB":1}</v>
      </c>
      <c r="E366" s="8" t="str">
        <f t="shared" si="2"/>
        <v>precisa</v>
      </c>
      <c r="F366" s="8"/>
      <c r="G366" s="8" t="str">
        <f t="shared" si="3"/>
        <v>1</v>
      </c>
      <c r="H366" s="9">
        <f t="shared" si="4"/>
        <v>1</v>
      </c>
      <c r="I366" s="6" t="str">
        <f>IFERROR(__xludf.DUMMYFUNCTION("MAX(FILTER($H:$H,$E:$E=F366))"),"#N/A")</f>
        <v>#N/A</v>
      </c>
    </row>
    <row r="367">
      <c r="C367" s="4" t="s">
        <v>7066</v>
      </c>
      <c r="D367" s="4" t="str">
        <f t="shared" si="1"/>
        <v>{"valorA":"grande","valorB":1}</v>
      </c>
      <c r="E367" s="8" t="str">
        <f t="shared" si="2"/>
        <v>grande</v>
      </c>
      <c r="F367" s="8"/>
      <c r="G367" s="8" t="str">
        <f t="shared" si="3"/>
        <v>1</v>
      </c>
      <c r="H367" s="9">
        <f t="shared" si="4"/>
        <v>1</v>
      </c>
      <c r="I367" s="6" t="str">
        <f>IFERROR(__xludf.DUMMYFUNCTION("MAX(FILTER($H:$H,$E:$E=F367))"),"#N/A")</f>
        <v>#N/A</v>
      </c>
    </row>
    <row r="368">
      <c r="C368" s="4" t="s">
        <v>3174</v>
      </c>
      <c r="D368" s="4" t="str">
        <f t="shared" si="1"/>
        <v>{"valorA":"para","valorB":12}</v>
      </c>
      <c r="E368" s="8" t="str">
        <f t="shared" si="2"/>
        <v>para</v>
      </c>
      <c r="F368" s="8"/>
      <c r="G368" s="8" t="str">
        <f t="shared" si="3"/>
        <v>12</v>
      </c>
      <c r="H368" s="9">
        <f t="shared" si="4"/>
        <v>12</v>
      </c>
      <c r="I368" s="6" t="str">
        <f>IFERROR(__xludf.DUMMYFUNCTION("MAX(FILTER($H:$H,$E:$E=F368))"),"#N/A")</f>
        <v>#N/A</v>
      </c>
    </row>
    <row r="369">
      <c r="C369" s="4" t="s">
        <v>3491</v>
      </c>
      <c r="D369" s="4" t="str">
        <f t="shared" si="1"/>
        <v>{"valorA":"de","valorB":20}</v>
      </c>
      <c r="E369" s="8" t="str">
        <f t="shared" si="2"/>
        <v>de</v>
      </c>
      <c r="F369" s="8"/>
      <c r="G369" s="8" t="str">
        <f t="shared" si="3"/>
        <v>20</v>
      </c>
      <c r="H369" s="9">
        <f t="shared" si="4"/>
        <v>20</v>
      </c>
      <c r="I369" s="6" t="str">
        <f>IFERROR(__xludf.DUMMYFUNCTION("MAX(FILTER($H:$H,$E:$E=F369))"),"#N/A")</f>
        <v>#N/A</v>
      </c>
    </row>
    <row r="370">
      <c r="C370" s="4" t="s">
        <v>3407</v>
      </c>
      <c r="D370" s="4" t="str">
        <f t="shared" si="1"/>
        <v>{"valorA":"o","valorB":9}</v>
      </c>
      <c r="E370" s="8" t="str">
        <f t="shared" si="2"/>
        <v>o</v>
      </c>
      <c r="F370" s="8"/>
      <c r="G370" s="8" t="str">
        <f t="shared" si="3"/>
        <v>9</v>
      </c>
      <c r="H370" s="9">
        <f t="shared" si="4"/>
        <v>9</v>
      </c>
      <c r="I370" s="6" t="str">
        <f>IFERROR(__xludf.DUMMYFUNCTION("MAX(FILTER($H:$H,$E:$E=F370))"),"#N/A")</f>
        <v>#N/A</v>
      </c>
    </row>
    <row r="371">
      <c r="C371" s="4" t="s">
        <v>2841</v>
      </c>
      <c r="D371" s="4" t="str">
        <f t="shared" si="1"/>
        <v>{"valorA":"ótimo","valorB":30}</v>
      </c>
      <c r="E371" s="8" t="str">
        <f t="shared" si="2"/>
        <v>ótimo</v>
      </c>
      <c r="F371" s="8"/>
      <c r="G371" s="8" t="str">
        <f t="shared" si="3"/>
        <v>30</v>
      </c>
      <c r="H371" s="9">
        <f t="shared" si="4"/>
        <v>30</v>
      </c>
      <c r="I371" s="6" t="str">
        <f>IFERROR(__xludf.DUMMYFUNCTION("MAX(FILTER($H:$H,$E:$E=F371))"),"#N/A")</f>
        <v>#N/A</v>
      </c>
    </row>
    <row r="372">
      <c r="C372" s="4" t="s">
        <v>3897</v>
      </c>
      <c r="D372" s="4" t="str">
        <f t="shared" si="1"/>
        <v>{"valorA":"momento","valorB":2}</v>
      </c>
      <c r="E372" s="8" t="str">
        <f t="shared" si="2"/>
        <v>momento</v>
      </c>
      <c r="F372" s="8"/>
      <c r="G372" s="8" t="str">
        <f t="shared" si="3"/>
        <v>2</v>
      </c>
      <c r="H372" s="9">
        <f t="shared" si="4"/>
        <v>2</v>
      </c>
      <c r="I372" s="6" t="str">
        <f>IFERROR(__xludf.DUMMYFUNCTION("MAX(FILTER($H:$H,$E:$E=F372))"),"#N/A")</f>
        <v>#N/A</v>
      </c>
    </row>
    <row r="373">
      <c r="C373" s="4" t="s">
        <v>2780</v>
      </c>
      <c r="D373" s="4" t="str">
        <f t="shared" si="1"/>
        <v>{"valorA":"perfeitamente","valorB":6}</v>
      </c>
      <c r="E373" s="8" t="str">
        <f t="shared" si="2"/>
        <v>perfeitamente</v>
      </c>
      <c r="F373" s="8"/>
      <c r="G373" s="8" t="str">
        <f t="shared" si="3"/>
        <v>6</v>
      </c>
      <c r="H373" s="9">
        <f t="shared" si="4"/>
        <v>6</v>
      </c>
      <c r="I373" s="6" t="str">
        <f>IFERROR(__xludf.DUMMYFUNCTION("MAX(FILTER($H:$H,$E:$E=F373))"),"#N/A")</f>
        <v>#N/A</v>
      </c>
    </row>
    <row r="374">
      <c r="C374" s="4" t="s">
        <v>2171</v>
      </c>
      <c r="D374" s="4" t="str">
        <f t="shared" si="1"/>
        <v>{"valorA":"celular","valorB":1}</v>
      </c>
      <c r="E374" s="8" t="str">
        <f t="shared" si="2"/>
        <v>celular</v>
      </c>
      <c r="F374" s="8"/>
      <c r="G374" s="8" t="str">
        <f t="shared" si="3"/>
        <v>1</v>
      </c>
      <c r="H374" s="9">
        <f t="shared" si="4"/>
        <v>1</v>
      </c>
      <c r="I374" s="6" t="str">
        <f>IFERROR(__xludf.DUMMYFUNCTION("MAX(FILTER($H:$H,$E:$E=F374))"),"#N/A")</f>
        <v>#N/A</v>
      </c>
    </row>
    <row r="375">
      <c r="C375" s="4" t="s">
        <v>8136</v>
      </c>
      <c r="D375" s="4" t="str">
        <f t="shared" si="1"/>
        <v>{"valorA":"primeiro","valorB":2}</v>
      </c>
      <c r="E375" s="8" t="str">
        <f t="shared" si="2"/>
        <v>primeiro</v>
      </c>
      <c r="F375" s="8"/>
      <c r="G375" s="8" t="str">
        <f t="shared" si="3"/>
        <v>2</v>
      </c>
      <c r="H375" s="9">
        <f t="shared" si="4"/>
        <v>2</v>
      </c>
      <c r="I375" s="6" t="str">
        <f>IFERROR(__xludf.DUMMYFUNCTION("MAX(FILTER($H:$H,$E:$E=F375))"),"#N/A")</f>
        <v>#N/A</v>
      </c>
    </row>
    <row r="376">
      <c r="C376" s="4" t="s">
        <v>2816</v>
      </c>
      <c r="D376" s="4" t="str">
        <f t="shared" si="1"/>
        <v>{"valorA":"funciona","valorB":8}</v>
      </c>
      <c r="E376" s="8" t="str">
        <f t="shared" si="2"/>
        <v>funciona</v>
      </c>
      <c r="F376" s="8"/>
      <c r="G376" s="8" t="str">
        <f t="shared" si="3"/>
        <v>8</v>
      </c>
      <c r="H376" s="9">
        <f t="shared" si="4"/>
        <v>8</v>
      </c>
      <c r="I376" s="6" t="str">
        <f>IFERROR(__xludf.DUMMYFUNCTION("MAX(FILTER($H:$H,$E:$E=F376))"),"#N/A")</f>
        <v>#N/A</v>
      </c>
    </row>
    <row r="377">
      <c r="C377" s="4" t="s">
        <v>3896</v>
      </c>
      <c r="D377" s="4" t="str">
        <f t="shared" si="1"/>
        <v>{"valorA":"desde","valorB":3}</v>
      </c>
      <c r="E377" s="8" t="str">
        <f t="shared" si="2"/>
        <v>desde</v>
      </c>
      <c r="F377" s="8"/>
      <c r="G377" s="8" t="str">
        <f t="shared" si="3"/>
        <v>3</v>
      </c>
      <c r="H377" s="9">
        <f t="shared" si="4"/>
        <v>3</v>
      </c>
      <c r="I377" s="6" t="str">
        <f>IFERROR(__xludf.DUMMYFUNCTION("MAX(FILTER($H:$H,$E:$E=F377))"),"#N/A")</f>
        <v>#N/A</v>
      </c>
    </row>
    <row r="378">
      <c r="C378" s="4" t="s">
        <v>2668</v>
      </c>
      <c r="D378" s="4" t="str">
        <f t="shared" si="1"/>
        <v>{"valorA":"filho","valorB":1}</v>
      </c>
      <c r="E378" s="8" t="str">
        <f t="shared" si="2"/>
        <v>filho</v>
      </c>
      <c r="F378" s="8"/>
      <c r="G378" s="8" t="str">
        <f t="shared" si="3"/>
        <v>1</v>
      </c>
      <c r="H378" s="9">
        <f t="shared" si="4"/>
        <v>1</v>
      </c>
      <c r="I378" s="6" t="str">
        <f>IFERROR(__xludf.DUMMYFUNCTION("MAX(FILTER($H:$H,$E:$E=F378))"),"#N/A")</f>
        <v>#N/A</v>
      </c>
    </row>
    <row r="379">
      <c r="C379" s="4" t="s">
        <v>3185</v>
      </c>
      <c r="D379" s="4" t="str">
        <f t="shared" si="1"/>
        <v>{"valorA":"para","valorB":13}</v>
      </c>
      <c r="E379" s="8" t="str">
        <f t="shared" si="2"/>
        <v>para</v>
      </c>
      <c r="F379" s="8"/>
      <c r="G379" s="8" t="str">
        <f t="shared" si="3"/>
        <v>13</v>
      </c>
      <c r="H379" s="9">
        <f t="shared" si="4"/>
        <v>13</v>
      </c>
      <c r="I379" s="6" t="str">
        <f>IFERROR(__xludf.DUMMYFUNCTION("MAX(FILTER($H:$H,$E:$E=F379))"),"#N/A")</f>
        <v>#N/A</v>
      </c>
    </row>
    <row r="380">
      <c r="C380" s="4" t="s">
        <v>2845</v>
      </c>
      <c r="D380" s="4" t="str">
        <f t="shared" si="1"/>
        <v>{"valorA":"ótimo","valorB":31}</v>
      </c>
      <c r="E380" s="8" t="str">
        <f t="shared" si="2"/>
        <v>ótimo</v>
      </c>
      <c r="F380" s="8"/>
      <c r="G380" s="8" t="str">
        <f t="shared" si="3"/>
        <v>31</v>
      </c>
      <c r="H380" s="9">
        <f t="shared" si="4"/>
        <v>31</v>
      </c>
      <c r="I380" s="6" t="str">
        <f>IFERROR(__xludf.DUMMYFUNCTION("MAX(FILTER($H:$H,$E:$E=F380))"),"#N/A")</f>
        <v>#N/A</v>
      </c>
    </row>
    <row r="381">
      <c r="C381" s="4" t="s">
        <v>3456</v>
      </c>
      <c r="D381" s="4" t="str">
        <f t="shared" si="1"/>
        <v>{"valorA":"balanço","valorB":1}</v>
      </c>
      <c r="E381" s="8" t="str">
        <f t="shared" si="2"/>
        <v>balanço</v>
      </c>
      <c r="F381" s="8"/>
      <c r="G381" s="8" t="str">
        <f t="shared" si="3"/>
        <v>1</v>
      </c>
      <c r="H381" s="9">
        <f t="shared" si="4"/>
        <v>1</v>
      </c>
      <c r="I381" s="6" t="str">
        <f>IFERROR(__xludf.DUMMYFUNCTION("MAX(FILTER($H:$H,$E:$E=F381))"),"#N/A")</f>
        <v>#N/A</v>
      </c>
    </row>
    <row r="382">
      <c r="C382" s="4" t="s">
        <v>3457</v>
      </c>
      <c r="D382" s="4" t="str">
        <f t="shared" si="1"/>
        <v>{"valorA":"casa","valorB":2}</v>
      </c>
      <c r="E382" s="8" t="str">
        <f t="shared" si="2"/>
        <v>casa</v>
      </c>
      <c r="F382" s="8"/>
      <c r="G382" s="8" t="str">
        <f t="shared" si="3"/>
        <v>2</v>
      </c>
      <c r="H382" s="9">
        <f t="shared" si="4"/>
        <v>2</v>
      </c>
      <c r="I382" s="6" t="str">
        <f>IFERROR(__xludf.DUMMYFUNCTION("MAX(FILTER($H:$H,$E:$E=F382))"),"#N/A")</f>
        <v>#N/A</v>
      </c>
    </row>
    <row r="383">
      <c r="C383" s="4" t="s">
        <v>2686</v>
      </c>
      <c r="D383" s="4" t="str">
        <f t="shared" si="1"/>
        <v>{"valorA":"a","valorB":3}</v>
      </c>
      <c r="E383" s="8" t="str">
        <f t="shared" si="2"/>
        <v>a</v>
      </c>
      <c r="F383" s="8"/>
      <c r="G383" s="8" t="str">
        <f t="shared" si="3"/>
        <v>3</v>
      </c>
      <c r="H383" s="9">
        <f t="shared" si="4"/>
        <v>3</v>
      </c>
      <c r="I383" s="6" t="str">
        <f>IFERROR(__xludf.DUMMYFUNCTION("MAX(FILTER($H:$H,$E:$E=F383))"),"#N/A")</f>
        <v>#N/A</v>
      </c>
    </row>
    <row r="384">
      <c r="C384" s="4" t="s">
        <v>2967</v>
      </c>
      <c r="D384" s="4" t="str">
        <f t="shared" si="1"/>
        <v>{"valorA":"meu","valorB":5}</v>
      </c>
      <c r="E384" s="8" t="str">
        <f t="shared" si="2"/>
        <v>meu</v>
      </c>
      <c r="F384" s="8"/>
      <c r="G384" s="8" t="str">
        <f t="shared" si="3"/>
        <v>5</v>
      </c>
      <c r="H384" s="9">
        <f t="shared" si="4"/>
        <v>5</v>
      </c>
      <c r="I384" s="6" t="str">
        <f>IFERROR(__xludf.DUMMYFUNCTION("MAX(FILTER($H:$H,$E:$E=F384))"),"#N/A")</f>
        <v>#N/A</v>
      </c>
    </row>
    <row r="385">
      <c r="C385" s="4" t="s">
        <v>2669</v>
      </c>
      <c r="D385" s="4" t="str">
        <f t="shared" si="1"/>
        <v>{"valorA":"adora","valorB":1}</v>
      </c>
      <c r="E385" s="8" t="str">
        <f t="shared" si="2"/>
        <v>adora</v>
      </c>
      <c r="F385" s="8"/>
      <c r="G385" s="8" t="str">
        <f t="shared" si="3"/>
        <v>1</v>
      </c>
      <c r="H385" s="9">
        <f t="shared" si="4"/>
        <v>1</v>
      </c>
      <c r="I385" s="6" t="str">
        <f>IFERROR(__xludf.DUMMYFUNCTION("MAX(FILTER($H:$H,$E:$E=F385))"),"#N/A")</f>
        <v>#N/A</v>
      </c>
    </row>
    <row r="386">
      <c r="C386" s="4" t="s">
        <v>2751</v>
      </c>
      <c r="D386" s="4" t="str">
        <f t="shared" si="1"/>
        <v>{"valorA":"cadeira","valorB":2}</v>
      </c>
      <c r="E386" s="8" t="str">
        <f t="shared" si="2"/>
        <v>cadeira</v>
      </c>
      <c r="F386" s="8"/>
      <c r="G386" s="8" t="str">
        <f t="shared" si="3"/>
        <v>2</v>
      </c>
      <c r="H386" s="9">
        <f t="shared" si="4"/>
        <v>2</v>
      </c>
      <c r="I386" s="6" t="str">
        <f>IFERROR(__xludf.DUMMYFUNCTION("MAX(FILTER($H:$H,$E:$E=F386))"),"#N/A")</f>
        <v>#N/A</v>
      </c>
    </row>
    <row r="387">
      <c r="C387" s="4" t="s">
        <v>3395</v>
      </c>
      <c r="D387" s="4" t="str">
        <f t="shared" si="1"/>
        <v>{"valorA":"ótima","valorB":7}</v>
      </c>
      <c r="E387" s="8" t="str">
        <f t="shared" si="2"/>
        <v>ótima</v>
      </c>
      <c r="F387" s="8"/>
      <c r="G387" s="8" t="str">
        <f t="shared" si="3"/>
        <v>7</v>
      </c>
      <c r="H387" s="9">
        <f t="shared" si="4"/>
        <v>7</v>
      </c>
      <c r="I387" s="6" t="str">
        <f>IFERROR(__xludf.DUMMYFUNCTION("MAX(FILTER($H:$H,$E:$E=F387))"),"#N/A")</f>
        <v>#N/A</v>
      </c>
    </row>
    <row r="388">
      <c r="C388" s="4" t="s">
        <v>3362</v>
      </c>
      <c r="D388" s="4" t="str">
        <f t="shared" si="1"/>
        <v>{"valorA":"escritório","valorB":2}</v>
      </c>
      <c r="E388" s="8" t="str">
        <f t="shared" si="2"/>
        <v>escritório</v>
      </c>
      <c r="F388" s="8"/>
      <c r="G388" s="8" t="str">
        <f t="shared" si="3"/>
        <v>2</v>
      </c>
      <c r="H388" s="9">
        <f t="shared" si="4"/>
        <v>2</v>
      </c>
      <c r="I388" s="6" t="str">
        <f>IFERROR(__xludf.DUMMYFUNCTION("MAX(FILTER($H:$H,$E:$E=F388))"),"#N/A")</f>
        <v>#N/A</v>
      </c>
    </row>
    <row r="389">
      <c r="C389" s="4" t="s">
        <v>3361</v>
      </c>
      <c r="D389" s="4" t="str">
        <f t="shared" si="1"/>
        <v>{"valorA":"fica","valorB":1}</v>
      </c>
      <c r="E389" s="8" t="str">
        <f t="shared" si="2"/>
        <v>fica</v>
      </c>
      <c r="F389" s="8"/>
      <c r="G389" s="8" t="str">
        <f t="shared" si="3"/>
        <v>1</v>
      </c>
      <c r="H389" s="9">
        <f t="shared" si="4"/>
        <v>1</v>
      </c>
      <c r="I389" s="6" t="str">
        <f>IFERROR(__xludf.DUMMYFUNCTION("MAX(FILTER($H:$H,$E:$E=F389))"),"#N/A")</f>
        <v>#N/A</v>
      </c>
    </row>
    <row r="390">
      <c r="C390" s="4" t="s">
        <v>8137</v>
      </c>
      <c r="D390" s="4" t="str">
        <f t="shared" si="1"/>
        <v>{"valorA":"horas","valorB":1}</v>
      </c>
      <c r="E390" s="8" t="str">
        <f t="shared" si="2"/>
        <v>horas</v>
      </c>
      <c r="F390" s="8"/>
      <c r="G390" s="8" t="str">
        <f t="shared" si="3"/>
        <v>1</v>
      </c>
      <c r="H390" s="9">
        <f t="shared" si="4"/>
        <v>1</v>
      </c>
      <c r="I390" s="6" t="str">
        <f>IFERROR(__xludf.DUMMYFUNCTION("MAX(FILTER($H:$H,$E:$E=F390))"),"#N/A")</f>
        <v>#N/A</v>
      </c>
    </row>
    <row r="391">
      <c r="C391" s="4" t="s">
        <v>8138</v>
      </c>
      <c r="D391" s="4" t="str">
        <f t="shared" si="1"/>
        <v>{"valorA":"durante","valorB":1}</v>
      </c>
      <c r="E391" s="8" t="str">
        <f t="shared" si="2"/>
        <v>durante</v>
      </c>
      <c r="F391" s="8"/>
      <c r="G391" s="8" t="str">
        <f t="shared" si="3"/>
        <v>1</v>
      </c>
      <c r="H391" s="9">
        <f t="shared" si="4"/>
        <v>1</v>
      </c>
      <c r="I391" s="6" t="str">
        <f>IFERROR(__xludf.DUMMYFUNCTION("MAX(FILTER($H:$H,$E:$E=F391))"),"#N/A")</f>
        <v>#N/A</v>
      </c>
    </row>
    <row r="392">
      <c r="C392" s="4" t="s">
        <v>2749</v>
      </c>
      <c r="D392" s="4" t="str">
        <f t="shared" si="1"/>
        <v>{"valorA":"confortável","valorB":2}</v>
      </c>
      <c r="E392" s="8" t="str">
        <f t="shared" si="2"/>
        <v>confortável</v>
      </c>
      <c r="F392" s="8"/>
      <c r="G392" s="8" t="str">
        <f t="shared" si="3"/>
        <v>2</v>
      </c>
      <c r="H392" s="9">
        <f t="shared" si="4"/>
        <v>2</v>
      </c>
      <c r="I392" s="6" t="str">
        <f>IFERROR(__xludf.DUMMYFUNCTION("MAX(FILTER($H:$H,$E:$E=F392))"),"#N/A")</f>
        <v>#N/A</v>
      </c>
    </row>
    <row r="393">
      <c r="C393" s="4" t="s">
        <v>8139</v>
      </c>
      <c r="D393" s="4" t="str">
        <f t="shared" si="1"/>
        <v>{"valorA":"de","valorB":21}</v>
      </c>
      <c r="E393" s="8" t="str">
        <f t="shared" si="2"/>
        <v>de</v>
      </c>
      <c r="F393" s="8"/>
      <c r="G393" s="8" t="str">
        <f t="shared" si="3"/>
        <v>21</v>
      </c>
      <c r="H393" s="9">
        <f t="shared" si="4"/>
        <v>21</v>
      </c>
      <c r="I393" s="6" t="str">
        <f>IFERROR(__xludf.DUMMYFUNCTION("MAX(FILTER($H:$H,$E:$E=F393))"),"#N/A")</f>
        <v>#N/A</v>
      </c>
    </row>
    <row r="394">
      <c r="C394" s="4" t="s">
        <v>8140</v>
      </c>
      <c r="D394" s="4" t="str">
        <f t="shared" si="1"/>
        <v>{"valorA":"mágnum","valorB":1}</v>
      </c>
      <c r="E394" s="8" t="str">
        <f t="shared" si="2"/>
        <v>mágnum</v>
      </c>
      <c r="F394" s="8"/>
      <c r="G394" s="8" t="str">
        <f t="shared" si="3"/>
        <v>1</v>
      </c>
      <c r="H394" s="9">
        <f t="shared" si="4"/>
        <v>1</v>
      </c>
      <c r="I394" s="6" t="str">
        <f>IFERROR(__xludf.DUMMYFUNCTION("MAX(FILTER($H:$H,$E:$E=F394))"),"#N/A")</f>
        <v>#N/A</v>
      </c>
    </row>
    <row r="395">
      <c r="C395" s="4" t="s">
        <v>3378</v>
      </c>
      <c r="D395" s="4" t="str">
        <f t="shared" si="1"/>
        <v>{"valorA":"geladeira","valorB":1}</v>
      </c>
      <c r="E395" s="8" t="str">
        <f t="shared" si="2"/>
        <v>geladeira</v>
      </c>
      <c r="F395" s="8"/>
      <c r="G395" s="8" t="str">
        <f t="shared" si="3"/>
        <v>1</v>
      </c>
      <c r="H395" s="9">
        <f t="shared" si="4"/>
        <v>1</v>
      </c>
      <c r="I395" s="6" t="str">
        <f>IFERROR(__xludf.DUMMYFUNCTION("MAX(FILTER($H:$H,$E:$E=F395))"),"#N/A")</f>
        <v>#N/A</v>
      </c>
    </row>
    <row r="396">
      <c r="C396" s="4" t="s">
        <v>3193</v>
      </c>
      <c r="D396" s="4" t="str">
        <f t="shared" si="1"/>
        <v>{"valorA":"para","valorB":14}</v>
      </c>
      <c r="E396" s="8" t="str">
        <f t="shared" si="2"/>
        <v>para</v>
      </c>
      <c r="F396" s="8"/>
      <c r="G396" s="8" t="str">
        <f t="shared" si="3"/>
        <v>14</v>
      </c>
      <c r="H396" s="9">
        <f t="shared" si="4"/>
        <v>14</v>
      </c>
      <c r="I396" s="6" t="str">
        <f>IFERROR(__xludf.DUMMYFUNCTION("MAX(FILTER($H:$H,$E:$E=F396))"),"#N/A")</f>
        <v>#N/A</v>
      </c>
    </row>
    <row r="397">
      <c r="C397" s="4" t="s">
        <v>2855</v>
      </c>
      <c r="D397" s="4" t="str">
        <f t="shared" si="1"/>
        <v>{"valorA":"ótimo","valorB":32}</v>
      </c>
      <c r="E397" s="8" t="str">
        <f t="shared" si="2"/>
        <v>ótimo</v>
      </c>
      <c r="F397" s="8"/>
      <c r="G397" s="8" t="str">
        <f t="shared" si="3"/>
        <v>32</v>
      </c>
      <c r="H397" s="9">
        <f t="shared" si="4"/>
        <v>32</v>
      </c>
      <c r="I397" s="6" t="str">
        <f>IFERROR(__xludf.DUMMYFUNCTION("MAX(FILTER($H:$H,$E:$E=F397))"),"#N/A")</f>
        <v>#N/A</v>
      </c>
    </row>
    <row r="398">
      <c r="C398" s="4" t="s">
        <v>2917</v>
      </c>
      <c r="D398" s="4" t="str">
        <f t="shared" si="1"/>
        <v>{"valorA":"esse","valorB":5}</v>
      </c>
      <c r="E398" s="8" t="str">
        <f t="shared" si="2"/>
        <v>esse</v>
      </c>
      <c r="F398" s="8"/>
      <c r="G398" s="8" t="str">
        <f t="shared" si="3"/>
        <v>5</v>
      </c>
      <c r="H398" s="9">
        <f t="shared" si="4"/>
        <v>5</v>
      </c>
      <c r="I398" s="6" t="str">
        <f>IFERROR(__xludf.DUMMYFUNCTION("MAX(FILTER($H:$H,$E:$E=F398))"),"#N/A")</f>
        <v>#N/A</v>
      </c>
    </row>
    <row r="399">
      <c r="C399" s="4" t="s">
        <v>3060</v>
      </c>
      <c r="D399" s="4" t="str">
        <f t="shared" si="1"/>
        <v>{"valorA":"recomendo","valorB":4}</v>
      </c>
      <c r="E399" s="8" t="str">
        <f t="shared" si="2"/>
        <v>recomendo</v>
      </c>
      <c r="F399" s="8"/>
      <c r="G399" s="8" t="str">
        <f t="shared" si="3"/>
        <v>4</v>
      </c>
      <c r="H399" s="9">
        <f t="shared" si="4"/>
        <v>4</v>
      </c>
      <c r="I399" s="6" t="str">
        <f>IFERROR(__xludf.DUMMYFUNCTION("MAX(FILTER($H:$H,$E:$E=F399))"),"#N/A")</f>
        <v>#N/A</v>
      </c>
    </row>
    <row r="400">
      <c r="C400" s="4" t="s">
        <v>3941</v>
      </c>
      <c r="D400" s="4" t="str">
        <f t="shared" si="1"/>
        <v>{"valorA":"fortemente","valorB":1}</v>
      </c>
      <c r="E400" s="8" t="str">
        <f t="shared" si="2"/>
        <v>fortemente</v>
      </c>
      <c r="F400" s="8"/>
      <c r="G400" s="8" t="str">
        <f t="shared" si="3"/>
        <v>1</v>
      </c>
      <c r="H400" s="9">
        <f t="shared" si="4"/>
        <v>1</v>
      </c>
      <c r="I400" s="6" t="str">
        <f>IFERROR(__xludf.DUMMYFUNCTION("MAX(FILTER($H:$H,$E:$E=F400))"),"#N/A")</f>
        <v>#N/A</v>
      </c>
    </row>
    <row r="401">
      <c r="C401" s="4" t="s">
        <v>2233</v>
      </c>
      <c r="D401" s="4" t="str">
        <f t="shared" si="1"/>
        <v>{"valorA":"celular","valorB":2}</v>
      </c>
      <c r="E401" s="8" t="str">
        <f t="shared" si="2"/>
        <v>celular</v>
      </c>
      <c r="F401" s="8"/>
      <c r="G401" s="8" t="str">
        <f t="shared" si="3"/>
        <v>2</v>
      </c>
      <c r="H401" s="9">
        <f t="shared" si="4"/>
        <v>2</v>
      </c>
      <c r="I401" s="6" t="str">
        <f>IFERROR(__xludf.DUMMYFUNCTION("MAX(FILTER($H:$H,$E:$E=F401))"),"#N/A")</f>
        <v>#N/A</v>
      </c>
    </row>
    <row r="402">
      <c r="C402" s="4" t="s">
        <v>3353</v>
      </c>
      <c r="D402" s="4" t="str">
        <f t="shared" si="1"/>
        <v>{"valorA":"tudo","valorB":2}</v>
      </c>
      <c r="E402" s="8" t="str">
        <f t="shared" si="2"/>
        <v>tudo</v>
      </c>
      <c r="F402" s="8"/>
      <c r="G402" s="8" t="str">
        <f t="shared" si="3"/>
        <v>2</v>
      </c>
      <c r="H402" s="9">
        <f t="shared" si="4"/>
        <v>2</v>
      </c>
      <c r="I402" s="6" t="str">
        <f>IFERROR(__xludf.DUMMYFUNCTION("MAX(FILTER($H:$H,$E:$E=F402))"),"#N/A")</f>
        <v>#N/A</v>
      </c>
    </row>
    <row r="403">
      <c r="C403" s="4" t="s">
        <v>2859</v>
      </c>
      <c r="D403" s="4" t="str">
        <f t="shared" si="1"/>
        <v>{"valorA":"ótimo","valorB":33}</v>
      </c>
      <c r="E403" s="8" t="str">
        <f t="shared" si="2"/>
        <v>ótimo</v>
      </c>
      <c r="F403" s="8"/>
      <c r="G403" s="8" t="str">
        <f t="shared" si="3"/>
        <v>33</v>
      </c>
      <c r="H403" s="9">
        <f t="shared" si="4"/>
        <v>33</v>
      </c>
      <c r="I403" s="6" t="str">
        <f>IFERROR(__xludf.DUMMYFUNCTION("MAX(FILTER($H:$H,$E:$E=F403))"),"#N/A")</f>
        <v>#N/A</v>
      </c>
    </row>
    <row r="404">
      <c r="C404" s="4" t="s">
        <v>2877</v>
      </c>
      <c r="D404" s="4" t="str">
        <f t="shared" si="1"/>
        <v>{"valorA":"funciona","valorB":9}</v>
      </c>
      <c r="E404" s="8" t="str">
        <f t="shared" si="2"/>
        <v>funciona</v>
      </c>
      <c r="F404" s="8"/>
      <c r="G404" s="8" t="str">
        <f t="shared" si="3"/>
        <v>9</v>
      </c>
      <c r="H404" s="9">
        <f t="shared" si="4"/>
        <v>9</v>
      </c>
      <c r="I404" s="6" t="str">
        <f>IFERROR(__xludf.DUMMYFUNCTION("MAX(FILTER($H:$H,$E:$E=F404))"),"#N/A")</f>
        <v>#N/A</v>
      </c>
    </row>
    <row r="405">
      <c r="C405" s="4" t="s">
        <v>3114</v>
      </c>
      <c r="D405" s="4" t="str">
        <f t="shared" si="1"/>
        <v>{"valorA":"bem","valorB":6}</v>
      </c>
      <c r="E405" s="8" t="str">
        <f t="shared" si="2"/>
        <v>bem</v>
      </c>
      <c r="F405" s="8"/>
      <c r="G405" s="8" t="str">
        <f t="shared" si="3"/>
        <v>6</v>
      </c>
      <c r="H405" s="9">
        <f t="shared" si="4"/>
        <v>6</v>
      </c>
      <c r="I405" s="6" t="str">
        <f>IFERROR(__xludf.DUMMYFUNCTION("MAX(FILTER($H:$H,$E:$E=F405))"),"#N/A")</f>
        <v>#N/A</v>
      </c>
    </row>
    <row r="406">
      <c r="C406" s="4" t="s">
        <v>8141</v>
      </c>
      <c r="D406" s="4" t="str">
        <f t="shared" si="1"/>
        <v>{"valorA":"armazenamento","valorB":2}</v>
      </c>
      <c r="E406" s="8" t="str">
        <f t="shared" si="2"/>
        <v>armazenamento</v>
      </c>
      <c r="F406" s="8"/>
      <c r="G406" s="8" t="str">
        <f t="shared" si="3"/>
        <v>2</v>
      </c>
      <c r="H406" s="9">
        <f t="shared" si="4"/>
        <v>2</v>
      </c>
      <c r="I406" s="6" t="str">
        <f>IFERROR(__xludf.DUMMYFUNCTION("MAX(FILTER($H:$H,$E:$E=F406))"),"#N/A")</f>
        <v>#N/A</v>
      </c>
    </row>
    <row r="407">
      <c r="C407" s="4" t="s">
        <v>8142</v>
      </c>
      <c r="D407" s="4" t="str">
        <f t="shared" si="1"/>
        <v>{"valorA":"caixote","valorB":1}</v>
      </c>
      <c r="E407" s="8" t="str">
        <f t="shared" si="2"/>
        <v>caixote</v>
      </c>
      <c r="F407" s="8"/>
      <c r="G407" s="8" t="str">
        <f t="shared" si="3"/>
        <v>1</v>
      </c>
      <c r="H407" s="9">
        <f t="shared" si="4"/>
        <v>1</v>
      </c>
      <c r="I407" s="6" t="str">
        <f>IFERROR(__xludf.DUMMYFUNCTION("MAX(FILTER($H:$H,$E:$E=F407))"),"#N/A")</f>
        <v>#N/A</v>
      </c>
    </row>
    <row r="408">
      <c r="C408" s="4" t="s">
        <v>2866</v>
      </c>
      <c r="D408" s="4" t="str">
        <f t="shared" si="1"/>
        <v>{"valorA":"ótimo","valorB":34}</v>
      </c>
      <c r="E408" s="8" t="str">
        <f t="shared" si="2"/>
        <v>ótimo</v>
      </c>
      <c r="F408" s="8"/>
      <c r="G408" s="8" t="str">
        <f t="shared" si="3"/>
        <v>34</v>
      </c>
      <c r="H408" s="9">
        <f t="shared" si="4"/>
        <v>34</v>
      </c>
      <c r="I408" s="6" t="str">
        <f>IFERROR(__xludf.DUMMYFUNCTION("MAX(FILTER($H:$H,$E:$E=F408))"),"#N/A")</f>
        <v>#N/A</v>
      </c>
    </row>
    <row r="409">
      <c r="C409" s="4" t="s">
        <v>3237</v>
      </c>
      <c r="D409" s="4" t="str">
        <f t="shared" si="1"/>
        <v>{"valorA":"para","valorB":15}</v>
      </c>
      <c r="E409" s="8" t="str">
        <f t="shared" si="2"/>
        <v>para</v>
      </c>
      <c r="F409" s="8"/>
      <c r="G409" s="8" t="str">
        <f t="shared" si="3"/>
        <v>15</v>
      </c>
      <c r="H409" s="9">
        <f t="shared" si="4"/>
        <v>15</v>
      </c>
      <c r="I409" s="6" t="str">
        <f>IFERROR(__xludf.DUMMYFUNCTION("MAX(FILTER($H:$H,$E:$E=F409))"),"#N/A")</f>
        <v>#N/A</v>
      </c>
    </row>
    <row r="410">
      <c r="C410" s="4" t="s">
        <v>8143</v>
      </c>
      <c r="D410" s="4" t="str">
        <f t="shared" si="1"/>
        <v>{"valorA":"limpar","valorB":4}</v>
      </c>
      <c r="E410" s="8" t="str">
        <f t="shared" si="2"/>
        <v>limpar</v>
      </c>
      <c r="F410" s="8"/>
      <c r="G410" s="8" t="str">
        <f t="shared" si="3"/>
        <v>4</v>
      </c>
      <c r="H410" s="9">
        <f t="shared" si="4"/>
        <v>4</v>
      </c>
      <c r="I410" s="6" t="str">
        <f>IFERROR(__xludf.DUMMYFUNCTION("MAX(FILTER($H:$H,$E:$E=F410))"),"#N/A")</f>
        <v>#N/A</v>
      </c>
    </row>
    <row r="411">
      <c r="C411" s="4" t="s">
        <v>3066</v>
      </c>
      <c r="D411" s="4" t="str">
        <f t="shared" si="1"/>
        <v>{"valorA":"fácil","valorB":6}</v>
      </c>
      <c r="E411" s="8" t="str">
        <f t="shared" si="2"/>
        <v>fácil</v>
      </c>
      <c r="F411" s="8"/>
      <c r="G411" s="8" t="str">
        <f t="shared" si="3"/>
        <v>6</v>
      </c>
      <c r="H411" s="9">
        <f t="shared" si="4"/>
        <v>6</v>
      </c>
      <c r="I411" s="6" t="str">
        <f>IFERROR(__xludf.DUMMYFUNCTION("MAX(FILTER($H:$H,$E:$E=F411))"),"#N/A")</f>
        <v>#N/A</v>
      </c>
    </row>
    <row r="412">
      <c r="C412" s="4" t="s">
        <v>8144</v>
      </c>
      <c r="D412" s="4" t="str">
        <f t="shared" si="1"/>
        <v>{"valorA":"de","valorB":22}</v>
      </c>
      <c r="E412" s="8" t="str">
        <f t="shared" si="2"/>
        <v>de</v>
      </c>
      <c r="F412" s="8"/>
      <c r="G412" s="8" t="str">
        <f t="shared" si="3"/>
        <v>22</v>
      </c>
      <c r="H412" s="9">
        <f t="shared" si="4"/>
        <v>22</v>
      </c>
      <c r="I412" s="6" t="str">
        <f>IFERROR(__xludf.DUMMYFUNCTION("MAX(FILTER($H:$H,$E:$E=F412))"),"#N/A")</f>
        <v>#N/A</v>
      </c>
    </row>
    <row r="413">
      <c r="C413" s="4" t="s">
        <v>2871</v>
      </c>
      <c r="D413" s="4" t="str">
        <f t="shared" si="1"/>
        <v>{"valorA":"ótimo","valorB":35}</v>
      </c>
      <c r="E413" s="8" t="str">
        <f t="shared" si="2"/>
        <v>ótimo</v>
      </c>
      <c r="F413" s="8"/>
      <c r="G413" s="8" t="str">
        <f t="shared" si="3"/>
        <v>35</v>
      </c>
      <c r="H413" s="9">
        <f t="shared" si="4"/>
        <v>35</v>
      </c>
      <c r="I413" s="6" t="str">
        <f>IFERROR(__xludf.DUMMYFUNCTION("MAX(FILTER($H:$H,$E:$E=F413))"),"#N/A")</f>
        <v>#N/A</v>
      </c>
    </row>
    <row r="414">
      <c r="C414" s="4" t="s">
        <v>8145</v>
      </c>
      <c r="D414" s="4" t="str">
        <f t="shared" si="1"/>
        <v>{"valorA":"lavador","valorB":8}</v>
      </c>
      <c r="E414" s="8" t="str">
        <f t="shared" si="2"/>
        <v>lavador</v>
      </c>
      <c r="F414" s="8"/>
      <c r="G414" s="8" t="str">
        <f t="shared" si="3"/>
        <v>8</v>
      </c>
      <c r="H414" s="9">
        <f t="shared" si="4"/>
        <v>8</v>
      </c>
      <c r="I414" s="6" t="str">
        <f>IFERROR(__xludf.DUMMYFUNCTION("MAX(FILTER($H:$H,$E:$E=F414))"),"#N/A")</f>
        <v>#N/A</v>
      </c>
    </row>
    <row r="415">
      <c r="C415" s="4" t="s">
        <v>8146</v>
      </c>
      <c r="D415" s="4" t="str">
        <f t="shared" si="1"/>
        <v>{"valorA":"de","valorB":23}</v>
      </c>
      <c r="E415" s="8" t="str">
        <f t="shared" si="2"/>
        <v>de</v>
      </c>
      <c r="F415" s="8"/>
      <c r="G415" s="8" t="str">
        <f t="shared" si="3"/>
        <v>23</v>
      </c>
      <c r="H415" s="9">
        <f t="shared" si="4"/>
        <v>23</v>
      </c>
      <c r="I415" s="6" t="str">
        <f>IFERROR(__xludf.DUMMYFUNCTION("MAX(FILTER($H:$H,$E:$E=F415))"),"#N/A")</f>
        <v>#N/A</v>
      </c>
    </row>
    <row r="416">
      <c r="C416" s="4" t="s">
        <v>8147</v>
      </c>
      <c r="D416" s="4" t="str">
        <f t="shared" si="1"/>
        <v>{"valorA":"facilita","valorB":1}</v>
      </c>
      <c r="E416" s="8" t="str">
        <f t="shared" si="2"/>
        <v>facilita</v>
      </c>
      <c r="F416" s="8"/>
      <c r="G416" s="8" t="str">
        <f t="shared" si="3"/>
        <v>1</v>
      </c>
      <c r="H416" s="9">
        <f t="shared" si="4"/>
        <v>1</v>
      </c>
      <c r="I416" s="6" t="str">
        <f>IFERROR(__xludf.DUMMYFUNCTION("MAX(FILTER($H:$H,$E:$E=F416))"),"#N/A")</f>
        <v>#N/A</v>
      </c>
    </row>
    <row r="417">
      <c r="C417" s="4" t="s">
        <v>3898</v>
      </c>
      <c r="D417" s="4" t="str">
        <f t="shared" si="1"/>
        <v>{"valorA":"prataria","valorB":2}</v>
      </c>
      <c r="E417" s="8" t="str">
        <f t="shared" si="2"/>
        <v>prataria</v>
      </c>
      <c r="F417" s="8"/>
      <c r="G417" s="8" t="str">
        <f t="shared" si="3"/>
        <v>2</v>
      </c>
      <c r="H417" s="9">
        <f t="shared" si="4"/>
        <v>2</v>
      </c>
      <c r="I417" s="6" t="str">
        <f>IFERROR(__xludf.DUMMYFUNCTION("MAX(FILTER($H:$H,$E:$E=F417))"),"#N/A")</f>
        <v>#N/A</v>
      </c>
    </row>
    <row r="418">
      <c r="C418" s="4" t="s">
        <v>3889</v>
      </c>
      <c r="D418" s="4" t="str">
        <f t="shared" si="1"/>
        <v>{"valorA":"vida","valorB":1}</v>
      </c>
      <c r="E418" s="8" t="str">
        <f t="shared" si="2"/>
        <v>vida</v>
      </c>
      <c r="F418" s="8"/>
      <c r="G418" s="8" t="str">
        <f t="shared" si="3"/>
        <v>1</v>
      </c>
      <c r="H418" s="9">
        <f t="shared" si="4"/>
        <v>1</v>
      </c>
      <c r="I418" s="6" t="str">
        <f>IFERROR(__xludf.DUMMYFUNCTION("MAX(FILTER($H:$H,$E:$E=F418))"),"#N/A")</f>
        <v>#N/A</v>
      </c>
    </row>
    <row r="419">
      <c r="C419" s="4" t="s">
        <v>2850</v>
      </c>
      <c r="D419" s="4" t="str">
        <f t="shared" si="1"/>
        <v>{"valorA":"a","valorB":4}</v>
      </c>
      <c r="E419" s="8" t="str">
        <f t="shared" si="2"/>
        <v>a</v>
      </c>
      <c r="F419" s="8"/>
      <c r="G419" s="8" t="str">
        <f t="shared" si="3"/>
        <v>4</v>
      </c>
      <c r="H419" s="9">
        <f t="shared" si="4"/>
        <v>4</v>
      </c>
      <c r="I419" s="6" t="str">
        <f>IFERROR(__xludf.DUMMYFUNCTION("MAX(FILTER($H:$H,$E:$E=F419))"),"#N/A")</f>
        <v>#N/A</v>
      </c>
    </row>
    <row r="420">
      <c r="C420" s="4" t="s">
        <v>2960</v>
      </c>
      <c r="D420" s="4" t="str">
        <f t="shared" si="1"/>
        <v>{"valorA":"realmente","valorB":2}</v>
      </c>
      <c r="E420" s="8" t="str">
        <f t="shared" si="2"/>
        <v>realmente</v>
      </c>
      <c r="F420" s="8"/>
      <c r="G420" s="8" t="str">
        <f t="shared" si="3"/>
        <v>2</v>
      </c>
      <c r="H420" s="9">
        <f t="shared" si="4"/>
        <v>2</v>
      </c>
      <c r="I420" s="6" t="str">
        <f>IFERROR(__xludf.DUMMYFUNCTION("MAX(FILTER($H:$H,$E:$E=F420))"),"#N/A")</f>
        <v>#N/A</v>
      </c>
    </row>
    <row r="421">
      <c r="C421" s="4" t="s">
        <v>3436</v>
      </c>
      <c r="D421" s="4" t="str">
        <f t="shared" si="1"/>
        <v>{"valorA":"ótima","valorB":8}</v>
      </c>
      <c r="E421" s="8" t="str">
        <f t="shared" si="2"/>
        <v>ótima</v>
      </c>
      <c r="F421" s="8"/>
      <c r="G421" s="8" t="str">
        <f t="shared" si="3"/>
        <v>8</v>
      </c>
      <c r="H421" s="9">
        <f t="shared" si="4"/>
        <v>8</v>
      </c>
      <c r="I421" s="6" t="str">
        <f>IFERROR(__xludf.DUMMYFUNCTION("MAX(FILTER($H:$H,$E:$E=F421))"),"#N/A")</f>
        <v>#N/A</v>
      </c>
    </row>
    <row r="422">
      <c r="C422" s="4" t="s">
        <v>8148</v>
      </c>
      <c r="D422" s="4" t="str">
        <f t="shared" si="1"/>
        <v>{"valorA":"escolha","valorB":1}</v>
      </c>
      <c r="E422" s="8" t="str">
        <f t="shared" si="2"/>
        <v>escolha</v>
      </c>
      <c r="F422" s="8"/>
      <c r="G422" s="8" t="str">
        <f t="shared" si="3"/>
        <v>1</v>
      </c>
      <c r="H422" s="9">
        <f t="shared" si="4"/>
        <v>1</v>
      </c>
      <c r="I422" s="6" t="str">
        <f>IFERROR(__xludf.DUMMYFUNCTION("MAX(FILTER($H:$H,$E:$E=F422))"),"#N/A")</f>
        <v>#N/A</v>
      </c>
    </row>
    <row r="423">
      <c r="C423" s="4" t="s">
        <v>8149</v>
      </c>
      <c r="D423" s="4" t="str">
        <f t="shared" si="1"/>
        <v>{"valorA":"este","valorB":3}</v>
      </c>
      <c r="E423" s="8" t="str">
        <f t="shared" si="2"/>
        <v>este</v>
      </c>
      <c r="F423" s="8"/>
      <c r="G423" s="8" t="str">
        <f t="shared" si="3"/>
        <v>3</v>
      </c>
      <c r="H423" s="9">
        <f t="shared" si="4"/>
        <v>3</v>
      </c>
      <c r="I423" s="6" t="str">
        <f>IFERROR(__xludf.DUMMYFUNCTION("MAX(FILTER($H:$H,$E:$E=F423))"),"#N/A")</f>
        <v>#N/A</v>
      </c>
    </row>
    <row r="424">
      <c r="C424" s="4" t="s">
        <v>3243</v>
      </c>
      <c r="D424" s="4" t="str">
        <f t="shared" si="1"/>
        <v>{"valorA":"muito","valorB":18}</v>
      </c>
      <c r="E424" s="8" t="str">
        <f t="shared" si="2"/>
        <v>muito</v>
      </c>
      <c r="F424" s="8"/>
      <c r="G424" s="8" t="str">
        <f t="shared" si="3"/>
        <v>18</v>
      </c>
      <c r="H424" s="9">
        <f t="shared" si="4"/>
        <v>18</v>
      </c>
      <c r="I424" s="6" t="str">
        <f>IFERROR(__xludf.DUMMYFUNCTION("MAX(FILTER($H:$H,$E:$E=F424))"),"#N/A")</f>
        <v>#N/A</v>
      </c>
    </row>
    <row r="425">
      <c r="C425" s="4" t="s">
        <v>3355</v>
      </c>
      <c r="D425" s="4" t="str">
        <f t="shared" si="1"/>
        <v>{"valorA":"aparelho","valorB":3}</v>
      </c>
      <c r="E425" s="8" t="str">
        <f t="shared" si="2"/>
        <v>aparelho</v>
      </c>
      <c r="F425" s="8"/>
      <c r="G425" s="8" t="str">
        <f t="shared" si="3"/>
        <v>3</v>
      </c>
      <c r="H425" s="9">
        <f t="shared" si="4"/>
        <v>3</v>
      </c>
      <c r="I425" s="6" t="str">
        <f>IFERROR(__xludf.DUMMYFUNCTION("MAX(FILTER($H:$H,$E:$E=F425))"),"#N/A")</f>
        <v>#N/A</v>
      </c>
    </row>
    <row r="426">
      <c r="C426" s="4" t="s">
        <v>3131</v>
      </c>
      <c r="D426" s="4" t="str">
        <f t="shared" si="1"/>
        <v>{"valorA":"tv","valorB":1}</v>
      </c>
      <c r="E426" s="8" t="str">
        <f t="shared" si="2"/>
        <v>tv</v>
      </c>
      <c r="F426" s="8"/>
      <c r="G426" s="8" t="str">
        <f t="shared" si="3"/>
        <v>1</v>
      </c>
      <c r="H426" s="9">
        <f t="shared" si="4"/>
        <v>1</v>
      </c>
      <c r="I426" s="6" t="str">
        <f>IFERROR(__xludf.DUMMYFUNCTION("MAX(FILTER($H:$H,$E:$E=F426))"),"#N/A")</f>
        <v>#N/A</v>
      </c>
    </row>
    <row r="427">
      <c r="C427" s="4" t="s">
        <v>8150</v>
      </c>
      <c r="D427" s="4" t="str">
        <f t="shared" si="1"/>
        <v>{"valorA":"foi","valorB":3}</v>
      </c>
      <c r="E427" s="8" t="str">
        <f t="shared" si="2"/>
        <v>foi</v>
      </c>
      <c r="F427" s="8"/>
      <c r="G427" s="8" t="str">
        <f t="shared" si="3"/>
        <v>3</v>
      </c>
      <c r="H427" s="9">
        <f t="shared" si="4"/>
        <v>3</v>
      </c>
      <c r="I427" s="6" t="str">
        <f>IFERROR(__xludf.DUMMYFUNCTION("MAX(FILTER($H:$H,$E:$E=F427))"),"#N/A")</f>
        <v>#N/A</v>
      </c>
    </row>
    <row r="428">
      <c r="C428" s="4" t="s">
        <v>2732</v>
      </c>
      <c r="D428" s="4" t="str">
        <f t="shared" si="1"/>
        <v>{"valorA":"mim","valorB":1}</v>
      </c>
      <c r="E428" s="8" t="str">
        <f t="shared" si="2"/>
        <v>mim</v>
      </c>
      <c r="F428" s="8"/>
      <c r="G428" s="8" t="str">
        <f t="shared" si="3"/>
        <v>1</v>
      </c>
      <c r="H428" s="9">
        <f t="shared" si="4"/>
        <v>1</v>
      </c>
      <c r="I428" s="6" t="str">
        <f>IFERROR(__xludf.DUMMYFUNCTION("MAX(FILTER($H:$H,$E:$E=F428))"),"#N/A")</f>
        <v>#N/A</v>
      </c>
    </row>
    <row r="429">
      <c r="C429" s="4" t="s">
        <v>3756</v>
      </c>
      <c r="D429" s="4" t="str">
        <f t="shared" si="1"/>
        <v>{"valorA":"para","valorB":16}</v>
      </c>
      <c r="E429" s="8" t="str">
        <f t="shared" si="2"/>
        <v>para</v>
      </c>
      <c r="F429" s="8"/>
      <c r="G429" s="8" t="str">
        <f t="shared" si="3"/>
        <v>16</v>
      </c>
      <c r="H429" s="9">
        <f t="shared" si="4"/>
        <v>16</v>
      </c>
      <c r="I429" s="6" t="str">
        <f>IFERROR(__xludf.DUMMYFUNCTION("MAX(FILTER($H:$H,$E:$E=F429))"),"#N/A")</f>
        <v>#N/A</v>
      </c>
    </row>
    <row r="430">
      <c r="C430" s="4" t="s">
        <v>8151</v>
      </c>
      <c r="D430" s="4" t="str">
        <f t="shared" si="1"/>
        <v>{"valorA":"de","valorB":24}</v>
      </c>
      <c r="E430" s="8" t="str">
        <f t="shared" si="2"/>
        <v>de</v>
      </c>
      <c r="F430" s="8"/>
      <c r="G430" s="8" t="str">
        <f t="shared" si="3"/>
        <v>24</v>
      </c>
      <c r="H430" s="9">
        <f t="shared" si="4"/>
        <v>24</v>
      </c>
      <c r="I430" s="6" t="str">
        <f>IFERROR(__xludf.DUMMYFUNCTION("MAX(FILTER($H:$H,$E:$E=F430))"),"#N/A")</f>
        <v>#N/A</v>
      </c>
    </row>
    <row r="431">
      <c r="C431" s="4" t="s">
        <v>3430</v>
      </c>
      <c r="D431" s="4" t="str">
        <f t="shared" si="1"/>
        <v>{"valorA":"útil","valorB":2}</v>
      </c>
      <c r="E431" s="8" t="str">
        <f t="shared" si="2"/>
        <v>útil</v>
      </c>
      <c r="F431" s="8"/>
      <c r="G431" s="8" t="str">
        <f t="shared" si="3"/>
        <v>2</v>
      </c>
      <c r="H431" s="9">
        <f t="shared" si="4"/>
        <v>2</v>
      </c>
      <c r="I431" s="6" t="str">
        <f>IFERROR(__xludf.DUMMYFUNCTION("MAX(FILTER($H:$H,$E:$E=F431))"),"#N/A")</f>
        <v>#N/A</v>
      </c>
    </row>
    <row r="432">
      <c r="C432" s="4" t="s">
        <v>2888</v>
      </c>
      <c r="D432" s="4" t="str">
        <f t="shared" si="1"/>
        <v>{"valorA":"a","valorB":5}</v>
      </c>
      <c r="E432" s="8" t="str">
        <f t="shared" si="2"/>
        <v>a</v>
      </c>
      <c r="F432" s="8"/>
      <c r="G432" s="8" t="str">
        <f t="shared" si="3"/>
        <v>5</v>
      </c>
      <c r="H432" s="9">
        <f t="shared" si="4"/>
        <v>5</v>
      </c>
      <c r="I432" s="6" t="str">
        <f>IFERROR(__xludf.DUMMYFUNCTION("MAX(FILTER($H:$H,$E:$E=F432))"),"#N/A")</f>
        <v>#N/A</v>
      </c>
    </row>
    <row r="433">
      <c r="C433" s="4" t="s">
        <v>8152</v>
      </c>
      <c r="D433" s="4" t="str">
        <f t="shared" si="1"/>
        <v>{"valorA":"lavador","valorB":9}</v>
      </c>
      <c r="E433" s="8" t="str">
        <f t="shared" si="2"/>
        <v>lavador</v>
      </c>
      <c r="F433" s="8"/>
      <c r="G433" s="8" t="str">
        <f t="shared" si="3"/>
        <v>9</v>
      </c>
      <c r="H433" s="9">
        <f t="shared" si="4"/>
        <v>9</v>
      </c>
      <c r="I433" s="6" t="str">
        <f>IFERROR(__xludf.DUMMYFUNCTION("MAX(FILTER($H:$H,$E:$E=F433))"),"#N/A")</f>
        <v>#N/A</v>
      </c>
    </row>
    <row r="434">
      <c r="C434" s="4" t="s">
        <v>2900</v>
      </c>
      <c r="D434" s="4" t="str">
        <f t="shared" si="1"/>
        <v>{"valorA":"melhor","valorB":1}</v>
      </c>
      <c r="E434" s="8" t="str">
        <f t="shared" si="2"/>
        <v>melhor</v>
      </c>
      <c r="F434" s="8"/>
      <c r="G434" s="8" t="str">
        <f t="shared" si="3"/>
        <v>1</v>
      </c>
      <c r="H434" s="9">
        <f t="shared" si="4"/>
        <v>1</v>
      </c>
      <c r="I434" s="6" t="str">
        <f>IFERROR(__xludf.DUMMYFUNCTION("MAX(FILTER($H:$H,$E:$E=F434))"),"#N/A")</f>
        <v>#N/A</v>
      </c>
    </row>
    <row r="435">
      <c r="C435" s="4" t="s">
        <v>8153</v>
      </c>
      <c r="D435" s="4" t="str">
        <f t="shared" si="1"/>
        <v>{"valorA":"foi","valorB":4}</v>
      </c>
      <c r="E435" s="8" t="str">
        <f t="shared" si="2"/>
        <v>foi</v>
      </c>
      <c r="F435" s="8"/>
      <c r="G435" s="8" t="str">
        <f t="shared" si="3"/>
        <v>4</v>
      </c>
      <c r="H435" s="9">
        <f t="shared" si="4"/>
        <v>4</v>
      </c>
      <c r="I435" s="6" t="str">
        <f>IFERROR(__xludf.DUMMYFUNCTION("MAX(FILTER($H:$H,$E:$E=F435))"),"#N/A")</f>
        <v>#N/A</v>
      </c>
    </row>
    <row r="436">
      <c r="C436" s="4" t="s">
        <v>2884</v>
      </c>
      <c r="D436" s="4" t="str">
        <f t="shared" si="1"/>
        <v>{"valorA":"ótimo","valorB":36}</v>
      </c>
      <c r="E436" s="8" t="str">
        <f t="shared" si="2"/>
        <v>ótimo</v>
      </c>
      <c r="F436" s="8"/>
      <c r="G436" s="8" t="str">
        <f t="shared" si="3"/>
        <v>36</v>
      </c>
      <c r="H436" s="9">
        <f t="shared" si="4"/>
        <v>36</v>
      </c>
      <c r="I436" s="6" t="str">
        <f>IFERROR(__xludf.DUMMYFUNCTION("MAX(FILTER($H:$H,$E:$E=F436))"),"#N/A")</f>
        <v>#N/A</v>
      </c>
    </row>
    <row r="437">
      <c r="C437" s="4" t="s">
        <v>8154</v>
      </c>
      <c r="D437" s="4" t="str">
        <f t="shared" si="1"/>
        <v>{"valorA":"roupa","valorB":3}</v>
      </c>
      <c r="E437" s="8" t="str">
        <f t="shared" si="2"/>
        <v>roupa</v>
      </c>
      <c r="F437" s="8"/>
      <c r="G437" s="8" t="str">
        <f t="shared" si="3"/>
        <v>3</v>
      </c>
      <c r="H437" s="9">
        <f t="shared" si="4"/>
        <v>3</v>
      </c>
      <c r="I437" s="6" t="str">
        <f>IFERROR(__xludf.DUMMYFUNCTION("MAX(FILTER($H:$H,$E:$E=F437))"),"#N/A")</f>
        <v>#N/A</v>
      </c>
    </row>
    <row r="438">
      <c r="C438" s="4" t="s">
        <v>2687</v>
      </c>
      <c r="D438" s="4" t="str">
        <f t="shared" si="1"/>
        <v>{"valorA":"compra","valorB":2}</v>
      </c>
      <c r="E438" s="8" t="str">
        <f t="shared" si="2"/>
        <v>compra</v>
      </c>
      <c r="F438" s="8"/>
      <c r="G438" s="8" t="str">
        <f t="shared" si="3"/>
        <v>2</v>
      </c>
      <c r="H438" s="9">
        <f t="shared" si="4"/>
        <v>2</v>
      </c>
      <c r="I438" s="6" t="str">
        <f>IFERROR(__xludf.DUMMYFUNCTION("MAX(FILTER($H:$H,$E:$E=F438))"),"#N/A")</f>
        <v>#N/A</v>
      </c>
    </row>
    <row r="439">
      <c r="C439" s="4" t="s">
        <v>8155</v>
      </c>
      <c r="D439" s="4" t="str">
        <f t="shared" si="1"/>
        <v>{"valorA":"ano","valorB":1}</v>
      </c>
      <c r="E439" s="8" t="str">
        <f t="shared" si="2"/>
        <v>ano</v>
      </c>
      <c r="F439" s="8"/>
      <c r="G439" s="8" t="str">
        <f t="shared" si="3"/>
        <v>1</v>
      </c>
      <c r="H439" s="9">
        <f t="shared" si="4"/>
        <v>1</v>
      </c>
      <c r="I439" s="6" t="str">
        <f>IFERROR(__xludf.DUMMYFUNCTION("MAX(FILTER($H:$H,$E:$E=F439))"),"#N/A")</f>
        <v>#N/A</v>
      </c>
    </row>
    <row r="440">
      <c r="C440" s="4" t="s">
        <v>2836</v>
      </c>
      <c r="D440" s="4" t="str">
        <f t="shared" si="1"/>
        <v>{"valorA":"do","valorB":4}</v>
      </c>
      <c r="E440" s="8" t="str">
        <f t="shared" si="2"/>
        <v>do</v>
      </c>
      <c r="F440" s="8"/>
      <c r="G440" s="8" t="str">
        <f t="shared" si="3"/>
        <v>4</v>
      </c>
      <c r="H440" s="9">
        <f t="shared" si="4"/>
        <v>4</v>
      </c>
      <c r="I440" s="6" t="str">
        <f>IFERROR(__xludf.DUMMYFUNCTION("MAX(FILTER($H:$H,$E:$E=F440))"),"#N/A")</f>
        <v>#N/A</v>
      </c>
    </row>
    <row r="441">
      <c r="C441" s="4" t="s">
        <v>8156</v>
      </c>
      <c r="D441" s="4" t="str">
        <f t="shared" si="1"/>
        <v>{"valorA":"de","valorB":25}</v>
      </c>
      <c r="E441" s="8" t="str">
        <f t="shared" si="2"/>
        <v>de</v>
      </c>
      <c r="F441" s="8"/>
      <c r="G441" s="8" t="str">
        <f t="shared" si="3"/>
        <v>25</v>
      </c>
      <c r="H441" s="9">
        <f t="shared" si="4"/>
        <v>25</v>
      </c>
      <c r="I441" s="6" t="str">
        <f>IFERROR(__xludf.DUMMYFUNCTION("MAX(FILTER($H:$H,$E:$E=F441))"),"#N/A")</f>
        <v>#N/A</v>
      </c>
    </row>
    <row r="442">
      <c r="C442" s="4" t="s">
        <v>8157</v>
      </c>
      <c r="D442" s="4" t="str">
        <f t="shared" si="1"/>
        <v>{"valorA":"passado","valorB":1}</v>
      </c>
      <c r="E442" s="8" t="str">
        <f t="shared" si="2"/>
        <v>passado</v>
      </c>
      <c r="F442" s="8"/>
      <c r="G442" s="8" t="str">
        <f t="shared" si="3"/>
        <v>1</v>
      </c>
      <c r="H442" s="9">
        <f t="shared" si="4"/>
        <v>1</v>
      </c>
      <c r="I442" s="6" t="str">
        <f>IFERROR(__xludf.DUMMYFUNCTION("MAX(FILTER($H:$H,$E:$E=F442))"),"#N/A")</f>
        <v>#N/A</v>
      </c>
    </row>
    <row r="443">
      <c r="C443" s="4" t="s">
        <v>8158</v>
      </c>
      <c r="D443" s="4" t="str">
        <f t="shared" si="1"/>
        <v>{"valorA":"processador","valorB":1}</v>
      </c>
      <c r="E443" s="8" t="str">
        <f t="shared" si="2"/>
        <v>processador</v>
      </c>
      <c r="F443" s="8"/>
      <c r="G443" s="8" t="str">
        <f t="shared" si="3"/>
        <v>1</v>
      </c>
      <c r="H443" s="9">
        <f t="shared" si="4"/>
        <v>1</v>
      </c>
      <c r="I443" s="6" t="str">
        <f>IFERROR(__xludf.DUMMYFUNCTION("MAX(FILTER($H:$H,$E:$E=F443))"),"#N/A")</f>
        <v>#N/A</v>
      </c>
    </row>
    <row r="444">
      <c r="C444" s="4" t="s">
        <v>8159</v>
      </c>
      <c r="D444" s="4" t="str">
        <f t="shared" si="1"/>
        <v>{"valorA":"trabalha","valorB":2}</v>
      </c>
      <c r="E444" s="8" t="str">
        <f t="shared" si="2"/>
        <v>trabalha</v>
      </c>
      <c r="F444" s="8"/>
      <c r="G444" s="8" t="str">
        <f t="shared" si="3"/>
        <v>2</v>
      </c>
      <c r="H444" s="9">
        <f t="shared" si="4"/>
        <v>2</v>
      </c>
      <c r="I444" s="6" t="str">
        <f>IFERROR(__xludf.DUMMYFUNCTION("MAX(FILTER($H:$H,$E:$E=F444))"),"#N/A")</f>
        <v>#N/A</v>
      </c>
    </row>
    <row r="445">
      <c r="C445" s="4" t="s">
        <v>3413</v>
      </c>
      <c r="D445" s="4" t="str">
        <f t="shared" si="1"/>
        <v>{"valorA":"o","valorB":10}</v>
      </c>
      <c r="E445" s="8" t="str">
        <f t="shared" si="2"/>
        <v>o</v>
      </c>
      <c r="F445" s="8"/>
      <c r="G445" s="8" t="str">
        <f t="shared" si="3"/>
        <v>10</v>
      </c>
      <c r="H445" s="9">
        <f t="shared" si="4"/>
        <v>10</v>
      </c>
      <c r="I445" s="6" t="str">
        <f>IFERROR(__xludf.DUMMYFUNCTION("MAX(FILTER($H:$H,$E:$E=F445))"),"#N/A")</f>
        <v>#N/A</v>
      </c>
    </row>
    <row r="446">
      <c r="C446" s="4" t="s">
        <v>2893</v>
      </c>
      <c r="D446" s="4" t="str">
        <f t="shared" si="1"/>
        <v>{"valorA":"ótimo","valorB":37}</v>
      </c>
      <c r="E446" s="8" t="str">
        <f t="shared" si="2"/>
        <v>ótimo</v>
      </c>
      <c r="F446" s="8"/>
      <c r="G446" s="8" t="str">
        <f t="shared" si="3"/>
        <v>37</v>
      </c>
      <c r="H446" s="9">
        <f t="shared" si="4"/>
        <v>37</v>
      </c>
      <c r="I446" s="6" t="str">
        <f>IFERROR(__xludf.DUMMYFUNCTION("MAX(FILTER($H:$H,$E:$E=F446))"),"#N/A")</f>
        <v>#N/A</v>
      </c>
    </row>
    <row r="447">
      <c r="C447" s="4" t="s">
        <v>2981</v>
      </c>
      <c r="D447" s="4" t="str">
        <f t="shared" si="1"/>
        <v>{"valorA":"meu","valorB":6}</v>
      </c>
      <c r="E447" s="8" t="str">
        <f t="shared" si="2"/>
        <v>meu</v>
      </c>
      <c r="F447" s="8"/>
      <c r="G447" s="8" t="str">
        <f t="shared" si="3"/>
        <v>6</v>
      </c>
      <c r="H447" s="9">
        <f t="shared" si="4"/>
        <v>6</v>
      </c>
      <c r="I447" s="6" t="str">
        <f>IFERROR(__xludf.DUMMYFUNCTION("MAX(FILTER($H:$H,$E:$E=F447))"),"#N/A")</f>
        <v>#N/A</v>
      </c>
    </row>
    <row r="448">
      <c r="C448" s="4" t="s">
        <v>3490</v>
      </c>
      <c r="D448" s="4" t="str">
        <f t="shared" si="1"/>
        <v>{"valorA":"sistema","valorB":2}</v>
      </c>
      <c r="E448" s="8" t="str">
        <f t="shared" si="2"/>
        <v>sistema</v>
      </c>
      <c r="F448" s="8"/>
      <c r="G448" s="8" t="str">
        <f t="shared" si="3"/>
        <v>2</v>
      </c>
      <c r="H448" s="9">
        <f t="shared" si="4"/>
        <v>2</v>
      </c>
      <c r="I448" s="6" t="str">
        <f>IFERROR(__xludf.DUMMYFUNCTION("MAX(FILTER($H:$H,$E:$E=F448))"),"#N/A")</f>
        <v>#N/A</v>
      </c>
    </row>
    <row r="449">
      <c r="C449" s="4" t="s">
        <v>8160</v>
      </c>
      <c r="D449" s="4" t="str">
        <f t="shared" si="1"/>
        <v>{"valorA":"operacional","valorB":1}</v>
      </c>
      <c r="E449" s="8" t="str">
        <f t="shared" si="2"/>
        <v>operacional</v>
      </c>
      <c r="F449" s="8"/>
      <c r="G449" s="8" t="str">
        <f t="shared" si="3"/>
        <v>1</v>
      </c>
      <c r="H449" s="9">
        <f t="shared" si="4"/>
        <v>1</v>
      </c>
      <c r="I449" s="6" t="str">
        <f>IFERROR(__xludf.DUMMYFUNCTION("MAX(FILTER($H:$H,$E:$E=F449))"),"#N/A")</f>
        <v>#N/A</v>
      </c>
    </row>
    <row r="450">
      <c r="C450" s="4" t="s">
        <v>3116</v>
      </c>
      <c r="D450" s="4" t="str">
        <f t="shared" si="1"/>
        <v>{"valorA":"bem","valorB":7}</v>
      </c>
      <c r="E450" s="8" t="str">
        <f t="shared" si="2"/>
        <v>bem</v>
      </c>
      <c r="F450" s="8"/>
      <c r="G450" s="8" t="str">
        <f t="shared" si="3"/>
        <v>7</v>
      </c>
      <c r="H450" s="9">
        <f t="shared" si="4"/>
        <v>7</v>
      </c>
      <c r="I450" s="6" t="str">
        <f>IFERROR(__xludf.DUMMYFUNCTION("MAX(FILTER($H:$H,$E:$E=F450))"),"#N/A")</f>
        <v>#N/A</v>
      </c>
    </row>
    <row r="451">
      <c r="C451" s="4" t="s">
        <v>3439</v>
      </c>
      <c r="D451" s="4" t="str">
        <f t="shared" si="1"/>
        <v>{"valorA":"muito","valorB":19}</v>
      </c>
      <c r="E451" s="8" t="str">
        <f t="shared" si="2"/>
        <v>muito</v>
      </c>
      <c r="F451" s="8"/>
      <c r="G451" s="8" t="str">
        <f t="shared" si="3"/>
        <v>19</v>
      </c>
      <c r="H451" s="9">
        <f t="shared" si="4"/>
        <v>19</v>
      </c>
      <c r="I451" s="6" t="str">
        <f>IFERROR(__xludf.DUMMYFUNCTION("MAX(FILTER($H:$H,$E:$E=F451))"),"#N/A")</f>
        <v>#N/A</v>
      </c>
    </row>
    <row r="452">
      <c r="C452" s="4" t="s">
        <v>3375</v>
      </c>
      <c r="D452" s="4" t="str">
        <f t="shared" si="1"/>
        <v>{"valorA":"com","valorB":6}</v>
      </c>
      <c r="E452" s="8" t="str">
        <f t="shared" si="2"/>
        <v>com</v>
      </c>
      <c r="F452" s="8"/>
      <c r="G452" s="8" t="str">
        <f t="shared" si="3"/>
        <v>6</v>
      </c>
      <c r="H452" s="9">
        <f t="shared" si="4"/>
        <v>6</v>
      </c>
      <c r="I452" s="6" t="str">
        <f>IFERROR(__xludf.DUMMYFUNCTION("MAX(FILTER($H:$H,$E:$E=F452))"),"#N/A")</f>
        <v>#N/A</v>
      </c>
    </row>
    <row r="453">
      <c r="C453" s="4" t="s">
        <v>3090</v>
      </c>
      <c r="D453" s="4" t="str">
        <f t="shared" si="1"/>
        <v>{"valorA":"uma","valorB":1}</v>
      </c>
      <c r="E453" s="8" t="str">
        <f t="shared" si="2"/>
        <v>uma</v>
      </c>
      <c r="F453" s="8"/>
      <c r="G453" s="8" t="str">
        <f t="shared" si="3"/>
        <v>1</v>
      </c>
      <c r="H453" s="9">
        <f t="shared" si="4"/>
        <v>1</v>
      </c>
      <c r="I453" s="6" t="str">
        <f>IFERROR(__xludf.DUMMYFUNCTION("MAX(FILTER($H:$H,$E:$E=F453))"),"#N/A")</f>
        <v>#N/A</v>
      </c>
    </row>
    <row r="454">
      <c r="C454" s="4" t="s">
        <v>3468</v>
      </c>
      <c r="D454" s="4" t="str">
        <f t="shared" si="1"/>
        <v>{"valorA":"limpa","valorB":2}</v>
      </c>
      <c r="E454" s="8" t="str">
        <f t="shared" si="2"/>
        <v>limpa</v>
      </c>
      <c r="F454" s="8"/>
      <c r="G454" s="8" t="str">
        <f t="shared" si="3"/>
        <v>2</v>
      </c>
      <c r="H454" s="9">
        <f t="shared" si="4"/>
        <v>2</v>
      </c>
      <c r="I454" s="6" t="str">
        <f>IFERROR(__xludf.DUMMYFUNCTION("MAX(FILTER($H:$H,$E:$E=F454))"),"#N/A")</f>
        <v>#N/A</v>
      </c>
    </row>
    <row r="455">
      <c r="C455" s="4" t="s">
        <v>2901</v>
      </c>
      <c r="D455" s="4" t="str">
        <f t="shared" si="1"/>
        <v>{"valorA":"ótimo","valorB":38}</v>
      </c>
      <c r="E455" s="8" t="str">
        <f t="shared" si="2"/>
        <v>ótimo</v>
      </c>
      <c r="F455" s="8"/>
      <c r="G455" s="8" t="str">
        <f t="shared" si="3"/>
        <v>38</v>
      </c>
      <c r="H455" s="9">
        <f t="shared" si="4"/>
        <v>38</v>
      </c>
      <c r="I455" s="6" t="str">
        <f>IFERROR(__xludf.DUMMYFUNCTION("MAX(FILTER($H:$H,$E:$E=F455))"),"#N/A")</f>
        <v>#N/A</v>
      </c>
    </row>
    <row r="456">
      <c r="C456" s="4" t="s">
        <v>8161</v>
      </c>
      <c r="D456" s="4" t="str">
        <f t="shared" si="1"/>
        <v>{"valorA":"lavabo","valorB":3}</v>
      </c>
      <c r="E456" s="8" t="str">
        <f t="shared" si="2"/>
        <v>lavabo</v>
      </c>
      <c r="F456" s="8"/>
      <c r="G456" s="8" t="str">
        <f t="shared" si="3"/>
        <v>3</v>
      </c>
      <c r="H456" s="9">
        <f t="shared" si="4"/>
        <v>3</v>
      </c>
      <c r="I456" s="6" t="str">
        <f>IFERROR(__xludf.DUMMYFUNCTION("MAX(FILTER($H:$H,$E:$E=F456))"),"#N/A")</f>
        <v>#N/A</v>
      </c>
    </row>
    <row r="457">
      <c r="C457" s="4" t="s">
        <v>3473</v>
      </c>
      <c r="D457" s="4" t="str">
        <f t="shared" si="1"/>
        <v>{"valorA":"com","valorB":7}</v>
      </c>
      <c r="E457" s="8" t="str">
        <f t="shared" si="2"/>
        <v>com</v>
      </c>
      <c r="F457" s="8"/>
      <c r="G457" s="8" t="str">
        <f t="shared" si="3"/>
        <v>7</v>
      </c>
      <c r="H457" s="9">
        <f t="shared" si="4"/>
        <v>7</v>
      </c>
      <c r="I457" s="6" t="str">
        <f>IFERROR(__xludf.DUMMYFUNCTION("MAX(FILTER($H:$H,$E:$E=F457))"),"#N/A")</f>
        <v>#N/A</v>
      </c>
    </row>
    <row r="458">
      <c r="C458" s="4" t="s">
        <v>3388</v>
      </c>
      <c r="D458" s="4" t="str">
        <f t="shared" si="1"/>
        <v>{"valorA":"tudo","valorB":3}</v>
      </c>
      <c r="E458" s="8" t="str">
        <f t="shared" si="2"/>
        <v>tudo</v>
      </c>
      <c r="F458" s="8"/>
      <c r="G458" s="8" t="str">
        <f t="shared" si="3"/>
        <v>3</v>
      </c>
      <c r="H458" s="9">
        <f t="shared" si="4"/>
        <v>3</v>
      </c>
      <c r="I458" s="6" t="str">
        <f>IFERROR(__xludf.DUMMYFUNCTION("MAX(FILTER($H:$H,$E:$E=F458))"),"#N/A")</f>
        <v>#N/A</v>
      </c>
    </row>
    <row r="459">
      <c r="C459" s="4" t="s">
        <v>8162</v>
      </c>
      <c r="D459" s="4" t="str">
        <f t="shared" si="1"/>
        <v>{"valorA":"única","valorB":1}</v>
      </c>
      <c r="E459" s="8" t="str">
        <f t="shared" si="2"/>
        <v>única</v>
      </c>
      <c r="F459" s="8"/>
      <c r="G459" s="8" t="str">
        <f t="shared" si="3"/>
        <v>1</v>
      </c>
      <c r="H459" s="9">
        <f t="shared" si="4"/>
        <v>1</v>
      </c>
      <c r="I459" s="6" t="str">
        <f>IFERROR(__xludf.DUMMYFUNCTION("MAX(FILTER($H:$H,$E:$E=F459))"),"#N/A")</f>
        <v>#N/A</v>
      </c>
    </row>
    <row r="460">
      <c r="C460" s="4" t="s">
        <v>8163</v>
      </c>
      <c r="D460" s="4" t="str">
        <f t="shared" si="1"/>
        <v>{"valorA":"vezada","valorB":1}</v>
      </c>
      <c r="E460" s="8" t="str">
        <f t="shared" si="2"/>
        <v>vezada</v>
      </c>
      <c r="F460" s="8"/>
      <c r="G460" s="8" t="str">
        <f t="shared" si="3"/>
        <v>1</v>
      </c>
      <c r="H460" s="9">
        <f t="shared" si="4"/>
        <v>1</v>
      </c>
      <c r="I460" s="6" t="str">
        <f>IFERROR(__xludf.DUMMYFUNCTION("MAX(FILTER($H:$H,$E:$E=F460))"),"#N/A")</f>
        <v>#N/A</v>
      </c>
    </row>
    <row r="461">
      <c r="C461" s="4" t="s">
        <v>2661</v>
      </c>
      <c r="D461" s="4" t="str">
        <f t="shared" si="1"/>
        <v>{"valorA":"produto","valorB":3}</v>
      </c>
      <c r="E461" s="8" t="str">
        <f t="shared" si="2"/>
        <v>produto</v>
      </c>
      <c r="F461" s="8"/>
      <c r="G461" s="8" t="str">
        <f t="shared" si="3"/>
        <v>3</v>
      </c>
      <c r="H461" s="9">
        <f t="shared" si="4"/>
        <v>3</v>
      </c>
      <c r="I461" s="6" t="str">
        <f>IFERROR(__xludf.DUMMYFUNCTION("MAX(FILTER($H:$H,$E:$E=F461))"),"#N/A")</f>
        <v>#N/A</v>
      </c>
    </row>
    <row r="462">
      <c r="C462" s="4" t="s">
        <v>2905</v>
      </c>
      <c r="D462" s="4" t="str">
        <f t="shared" si="1"/>
        <v>{"valorA":"ótimo","valorB":39}</v>
      </c>
      <c r="E462" s="8" t="str">
        <f t="shared" si="2"/>
        <v>ótimo</v>
      </c>
      <c r="F462" s="8"/>
      <c r="G462" s="8" t="str">
        <f t="shared" si="3"/>
        <v>39</v>
      </c>
      <c r="H462" s="9">
        <f t="shared" si="4"/>
        <v>39</v>
      </c>
      <c r="I462" s="6" t="str">
        <f>IFERROR(__xludf.DUMMYFUNCTION("MAX(FILTER($H:$H,$E:$E=F462))"),"#N/A")</f>
        <v>#N/A</v>
      </c>
    </row>
    <row r="463">
      <c r="C463" s="4" t="s">
        <v>2754</v>
      </c>
      <c r="D463" s="4" t="str">
        <f t="shared" si="1"/>
        <v>{"valorA":"que","valorB":4}</v>
      </c>
      <c r="E463" s="8" t="str">
        <f t="shared" si="2"/>
        <v>que</v>
      </c>
      <c r="F463" s="8"/>
      <c r="G463" s="8" t="str">
        <f t="shared" si="3"/>
        <v>4</v>
      </c>
      <c r="H463" s="9">
        <f t="shared" si="4"/>
        <v>4</v>
      </c>
      <c r="I463" s="6" t="str">
        <f>IFERROR(__xludf.DUMMYFUNCTION("MAX(FILTER($H:$H,$E:$E=F463))"),"#N/A")</f>
        <v>#N/A</v>
      </c>
    </row>
    <row r="464">
      <c r="C464" s="4" t="s">
        <v>3449</v>
      </c>
      <c r="D464" s="4" t="str">
        <f t="shared" si="1"/>
        <v>{"valorA":"acho","valorB":1}</v>
      </c>
      <c r="E464" s="8" t="str">
        <f t="shared" si="2"/>
        <v>acho</v>
      </c>
      <c r="F464" s="8"/>
      <c r="G464" s="8" t="str">
        <f t="shared" si="3"/>
        <v>1</v>
      </c>
      <c r="H464" s="9">
        <f t="shared" si="4"/>
        <v>1</v>
      </c>
      <c r="I464" s="6" t="str">
        <f>IFERROR(__xludf.DUMMYFUNCTION("MAX(FILTER($H:$H,$E:$E=F464))"),"#N/A")</f>
        <v>#N/A</v>
      </c>
    </row>
    <row r="465">
      <c r="C465" s="4" t="s">
        <v>2641</v>
      </c>
      <c r="D465" s="4" t="str">
        <f t="shared" si="1"/>
        <v>{"valorA":"vale","valorB":1}</v>
      </c>
      <c r="E465" s="8" t="str">
        <f t="shared" si="2"/>
        <v>vale</v>
      </c>
      <c r="F465" s="8"/>
      <c r="G465" s="8" t="str">
        <f t="shared" si="3"/>
        <v>1</v>
      </c>
      <c r="H465" s="9">
        <f t="shared" si="4"/>
        <v>1</v>
      </c>
      <c r="I465" s="6" t="str">
        <f>IFERROR(__xludf.DUMMYFUNCTION("MAX(FILTER($H:$H,$E:$E=F465))"),"#N/A")</f>
        <v>#N/A</v>
      </c>
    </row>
    <row r="466">
      <c r="C466" s="4" t="s">
        <v>3424</v>
      </c>
      <c r="D466" s="4" t="str">
        <f t="shared" si="1"/>
        <v>{"valorA":"o","valorB":11}</v>
      </c>
      <c r="E466" s="8" t="str">
        <f t="shared" si="2"/>
        <v>o</v>
      </c>
      <c r="F466" s="8"/>
      <c r="G466" s="8" t="str">
        <f t="shared" si="3"/>
        <v>11</v>
      </c>
      <c r="H466" s="9">
        <f t="shared" si="4"/>
        <v>11</v>
      </c>
      <c r="I466" s="6" t="str">
        <f>IFERROR(__xludf.DUMMYFUNCTION("MAX(FILTER($H:$H,$E:$E=F466))"),"#N/A")</f>
        <v>#N/A</v>
      </c>
    </row>
    <row r="467">
      <c r="C467" s="4" t="s">
        <v>2808</v>
      </c>
      <c r="D467" s="4" t="str">
        <f t="shared" si="1"/>
        <v>{"valorA":"preço","valorB":2}</v>
      </c>
      <c r="E467" s="8" t="str">
        <f t="shared" si="2"/>
        <v>preço</v>
      </c>
      <c r="F467" s="8"/>
      <c r="G467" s="8" t="str">
        <f t="shared" si="3"/>
        <v>2</v>
      </c>
      <c r="H467" s="9">
        <f t="shared" si="4"/>
        <v>2</v>
      </c>
      <c r="I467" s="6" t="str">
        <f>IFERROR(__xludf.DUMMYFUNCTION("MAX(FILTER($H:$H,$E:$E=F467))"),"#N/A")</f>
        <v>#N/A</v>
      </c>
    </row>
    <row r="468">
      <c r="C468" s="4" t="s">
        <v>2911</v>
      </c>
      <c r="D468" s="4" t="str">
        <f t="shared" si="1"/>
        <v>{"valorA":"a","valorB":6}</v>
      </c>
      <c r="E468" s="8" t="str">
        <f t="shared" si="2"/>
        <v>a</v>
      </c>
      <c r="F468" s="8"/>
      <c r="G468" s="8" t="str">
        <f t="shared" si="3"/>
        <v>6</v>
      </c>
      <c r="H468" s="9">
        <f t="shared" si="4"/>
        <v>6</v>
      </c>
      <c r="I468" s="6" t="str">
        <f>IFERROR(__xludf.DUMMYFUNCTION("MAX(FILTER($H:$H,$E:$E=F468))"),"#N/A")</f>
        <v>#N/A</v>
      </c>
    </row>
    <row r="469">
      <c r="C469" s="4" t="s">
        <v>2891</v>
      </c>
      <c r="D469" s="4" t="str">
        <f t="shared" si="1"/>
        <v>{"valorA":"pena","valorB":2}</v>
      </c>
      <c r="E469" s="8" t="str">
        <f t="shared" si="2"/>
        <v>pena</v>
      </c>
      <c r="F469" s="8"/>
      <c r="G469" s="8" t="str">
        <f t="shared" si="3"/>
        <v>2</v>
      </c>
      <c r="H469" s="9">
        <f t="shared" si="4"/>
        <v>2</v>
      </c>
      <c r="I469" s="6" t="str">
        <f>IFERROR(__xludf.DUMMYFUNCTION("MAX(FILTER($H:$H,$E:$E=F469))"),"#N/A")</f>
        <v>#N/A</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4957</v>
      </c>
      <c r="D1" s="5">
        <v>0.0</v>
      </c>
      <c r="F1" s="5"/>
      <c r="G1" s="19" t="s">
        <v>4013</v>
      </c>
      <c r="H1" s="19" t="s">
        <v>4247</v>
      </c>
    </row>
    <row r="2">
      <c r="A2" s="4" t="s">
        <v>8164</v>
      </c>
      <c r="B2" s="6" t="str">
        <f t="shared" ref="B2:B469" si="1">MID(A2,FIND(":",A2)+1,LEN(A2)-FIND("segundos",A2))</f>
        <v>77.1239</v>
      </c>
      <c r="C2" s="6" t="str">
        <f t="shared" ref="C2:C469" si="2">SUBSTITUTE(B2,".",",")</f>
        <v>77,1239</v>
      </c>
      <c r="D2" s="6">
        <f t="shared" ref="D2:D469" si="3">VALUE(C2)</f>
        <v>77.1239</v>
      </c>
      <c r="E2" s="6">
        <f t="shared" ref="E2:E469" si="4">D2-D1</f>
        <v>77.1239</v>
      </c>
      <c r="G2" s="20">
        <f>AVERAGE(E2:E469)</f>
        <v>0.954267094</v>
      </c>
      <c r="H2" s="20">
        <f>STDEV(E2:E469)</f>
        <v>3.796968363</v>
      </c>
    </row>
    <row r="3">
      <c r="A3" s="4" t="s">
        <v>8165</v>
      </c>
      <c r="B3" s="6" t="str">
        <f t="shared" si="1"/>
        <v>77.2498</v>
      </c>
      <c r="C3" s="6" t="str">
        <f t="shared" si="2"/>
        <v>77,2498</v>
      </c>
      <c r="D3" s="6">
        <f t="shared" si="3"/>
        <v>77.2498</v>
      </c>
      <c r="E3" s="6">
        <f t="shared" si="4"/>
        <v>0.1259</v>
      </c>
    </row>
    <row r="4">
      <c r="A4" s="4" t="s">
        <v>8166</v>
      </c>
      <c r="B4" s="6" t="str">
        <f t="shared" si="1"/>
        <v>77.3701</v>
      </c>
      <c r="C4" s="6" t="str">
        <f t="shared" si="2"/>
        <v>77,3701</v>
      </c>
      <c r="D4" s="6">
        <f t="shared" si="3"/>
        <v>77.3701</v>
      </c>
      <c r="E4" s="6">
        <f t="shared" si="4"/>
        <v>0.1203</v>
      </c>
    </row>
    <row r="5">
      <c r="A5" s="4" t="s">
        <v>8167</v>
      </c>
      <c r="B5" s="6" t="str">
        <f t="shared" si="1"/>
        <v>77.5080</v>
      </c>
      <c r="C5" s="6" t="str">
        <f t="shared" si="2"/>
        <v>77,5080</v>
      </c>
      <c r="D5" s="6">
        <f t="shared" si="3"/>
        <v>77.508</v>
      </c>
      <c r="E5" s="6">
        <f t="shared" si="4"/>
        <v>0.1379</v>
      </c>
    </row>
    <row r="6">
      <c r="A6" s="4" t="s">
        <v>8168</v>
      </c>
      <c r="B6" s="6" t="str">
        <f t="shared" si="1"/>
        <v>77.6415</v>
      </c>
      <c r="C6" s="6" t="str">
        <f t="shared" si="2"/>
        <v>77,6415</v>
      </c>
      <c r="D6" s="6">
        <f t="shared" si="3"/>
        <v>77.6415</v>
      </c>
      <c r="E6" s="6">
        <f t="shared" si="4"/>
        <v>0.1335</v>
      </c>
    </row>
    <row r="7">
      <c r="A7" s="4" t="s">
        <v>8169</v>
      </c>
      <c r="B7" s="6" t="str">
        <f t="shared" si="1"/>
        <v>77.7921</v>
      </c>
      <c r="C7" s="6" t="str">
        <f t="shared" si="2"/>
        <v>77,7921</v>
      </c>
      <c r="D7" s="6">
        <f t="shared" si="3"/>
        <v>77.7921</v>
      </c>
      <c r="E7" s="6">
        <f t="shared" si="4"/>
        <v>0.1506</v>
      </c>
    </row>
    <row r="8">
      <c r="A8" s="4" t="s">
        <v>8170</v>
      </c>
      <c r="B8" s="6" t="str">
        <f t="shared" si="1"/>
        <v>77.9326</v>
      </c>
      <c r="C8" s="6" t="str">
        <f t="shared" si="2"/>
        <v>77,9326</v>
      </c>
      <c r="D8" s="6">
        <f t="shared" si="3"/>
        <v>77.9326</v>
      </c>
      <c r="E8" s="6">
        <f t="shared" si="4"/>
        <v>0.1405</v>
      </c>
    </row>
    <row r="9">
      <c r="A9" s="4" t="s">
        <v>8171</v>
      </c>
      <c r="B9" s="6" t="str">
        <f t="shared" si="1"/>
        <v>78.0820</v>
      </c>
      <c r="C9" s="6" t="str">
        <f t="shared" si="2"/>
        <v>78,0820</v>
      </c>
      <c r="D9" s="6">
        <f t="shared" si="3"/>
        <v>78.082</v>
      </c>
      <c r="E9" s="6">
        <f t="shared" si="4"/>
        <v>0.1494</v>
      </c>
    </row>
    <row r="10">
      <c r="A10" s="4" t="s">
        <v>8172</v>
      </c>
      <c r="B10" s="6" t="str">
        <f t="shared" si="1"/>
        <v>78.2510</v>
      </c>
      <c r="C10" s="6" t="str">
        <f t="shared" si="2"/>
        <v>78,2510</v>
      </c>
      <c r="D10" s="6">
        <f t="shared" si="3"/>
        <v>78.251</v>
      </c>
      <c r="E10" s="6">
        <f t="shared" si="4"/>
        <v>0.169</v>
      </c>
    </row>
    <row r="11">
      <c r="A11" s="4" t="s">
        <v>8173</v>
      </c>
      <c r="B11" s="6" t="str">
        <f t="shared" si="1"/>
        <v>78.4233</v>
      </c>
      <c r="C11" s="6" t="str">
        <f t="shared" si="2"/>
        <v>78,4233</v>
      </c>
      <c r="D11" s="6">
        <f t="shared" si="3"/>
        <v>78.4233</v>
      </c>
      <c r="E11" s="6">
        <f t="shared" si="4"/>
        <v>0.1723</v>
      </c>
    </row>
    <row r="12">
      <c r="A12" s="4" t="s">
        <v>8174</v>
      </c>
      <c r="B12" s="6" t="str">
        <f t="shared" si="1"/>
        <v>78.5899</v>
      </c>
      <c r="C12" s="6" t="str">
        <f t="shared" si="2"/>
        <v>78,5899</v>
      </c>
      <c r="D12" s="6">
        <f t="shared" si="3"/>
        <v>78.5899</v>
      </c>
      <c r="E12" s="6">
        <f t="shared" si="4"/>
        <v>0.1666</v>
      </c>
    </row>
    <row r="13">
      <c r="A13" s="4" t="s">
        <v>8175</v>
      </c>
      <c r="B13" s="6" t="str">
        <f t="shared" si="1"/>
        <v>80.0443</v>
      </c>
      <c r="C13" s="6" t="str">
        <f t="shared" si="2"/>
        <v>80,0443</v>
      </c>
      <c r="D13" s="6">
        <f t="shared" si="3"/>
        <v>80.0443</v>
      </c>
      <c r="E13" s="6">
        <f t="shared" si="4"/>
        <v>1.4544</v>
      </c>
    </row>
    <row r="14">
      <c r="A14" s="4" t="s">
        <v>8176</v>
      </c>
      <c r="B14" s="6" t="str">
        <f t="shared" si="1"/>
        <v>80.2468</v>
      </c>
      <c r="C14" s="6" t="str">
        <f t="shared" si="2"/>
        <v>80,2468</v>
      </c>
      <c r="D14" s="6">
        <f t="shared" si="3"/>
        <v>80.2468</v>
      </c>
      <c r="E14" s="6">
        <f t="shared" si="4"/>
        <v>0.2025</v>
      </c>
    </row>
    <row r="15">
      <c r="A15" s="4" t="s">
        <v>8177</v>
      </c>
      <c r="B15" s="6" t="str">
        <f t="shared" si="1"/>
        <v>80.4741</v>
      </c>
      <c r="C15" s="6" t="str">
        <f t="shared" si="2"/>
        <v>80,4741</v>
      </c>
      <c r="D15" s="6">
        <f t="shared" si="3"/>
        <v>80.4741</v>
      </c>
      <c r="E15" s="6">
        <f t="shared" si="4"/>
        <v>0.2273</v>
      </c>
    </row>
    <row r="16">
      <c r="A16" s="4" t="s">
        <v>8178</v>
      </c>
      <c r="B16" s="6" t="str">
        <f t="shared" si="1"/>
        <v>80.6812</v>
      </c>
      <c r="C16" s="6" t="str">
        <f t="shared" si="2"/>
        <v>80,6812</v>
      </c>
      <c r="D16" s="6">
        <f t="shared" si="3"/>
        <v>80.6812</v>
      </c>
      <c r="E16" s="6">
        <f t="shared" si="4"/>
        <v>0.2071</v>
      </c>
    </row>
    <row r="17">
      <c r="A17" s="4" t="s">
        <v>8179</v>
      </c>
      <c r="B17" s="6" t="str">
        <f t="shared" si="1"/>
        <v>80.9029</v>
      </c>
      <c r="C17" s="6" t="str">
        <f t="shared" si="2"/>
        <v>80,9029</v>
      </c>
      <c r="D17" s="6">
        <f t="shared" si="3"/>
        <v>80.9029</v>
      </c>
      <c r="E17" s="6">
        <f t="shared" si="4"/>
        <v>0.2217</v>
      </c>
    </row>
    <row r="18">
      <c r="A18" s="4" t="s">
        <v>8180</v>
      </c>
      <c r="B18" s="6" t="str">
        <f t="shared" si="1"/>
        <v>81.1759</v>
      </c>
      <c r="C18" s="6" t="str">
        <f t="shared" si="2"/>
        <v>81,1759</v>
      </c>
      <c r="D18" s="6">
        <f t="shared" si="3"/>
        <v>81.1759</v>
      </c>
      <c r="E18" s="6">
        <f t="shared" si="4"/>
        <v>0.273</v>
      </c>
    </row>
    <row r="19">
      <c r="A19" s="4" t="s">
        <v>8181</v>
      </c>
      <c r="B19" s="6" t="str">
        <f t="shared" si="1"/>
        <v>81.3942</v>
      </c>
      <c r="C19" s="6" t="str">
        <f t="shared" si="2"/>
        <v>81,3942</v>
      </c>
      <c r="D19" s="6">
        <f t="shared" si="3"/>
        <v>81.3942</v>
      </c>
      <c r="E19" s="6">
        <f t="shared" si="4"/>
        <v>0.2183</v>
      </c>
    </row>
    <row r="20">
      <c r="A20" s="4" t="s">
        <v>8182</v>
      </c>
      <c r="B20" s="6" t="str">
        <f t="shared" si="1"/>
        <v>88.9731</v>
      </c>
      <c r="C20" s="6" t="str">
        <f t="shared" si="2"/>
        <v>88,9731</v>
      </c>
      <c r="D20" s="6">
        <f t="shared" si="3"/>
        <v>88.9731</v>
      </c>
      <c r="E20" s="6">
        <f t="shared" si="4"/>
        <v>7.5789</v>
      </c>
    </row>
    <row r="21">
      <c r="A21" s="4" t="s">
        <v>8183</v>
      </c>
      <c r="B21" s="6" t="str">
        <f t="shared" si="1"/>
        <v>89.2319</v>
      </c>
      <c r="C21" s="6" t="str">
        <f t="shared" si="2"/>
        <v>89,2319</v>
      </c>
      <c r="D21" s="6">
        <f t="shared" si="3"/>
        <v>89.2319</v>
      </c>
      <c r="E21" s="6">
        <f t="shared" si="4"/>
        <v>0.2588</v>
      </c>
    </row>
    <row r="22">
      <c r="A22" s="4" t="s">
        <v>8184</v>
      </c>
      <c r="B22" s="6" t="str">
        <f t="shared" si="1"/>
        <v>89.4858</v>
      </c>
      <c r="C22" s="6" t="str">
        <f t="shared" si="2"/>
        <v>89,4858</v>
      </c>
      <c r="D22" s="6">
        <f t="shared" si="3"/>
        <v>89.4858</v>
      </c>
      <c r="E22" s="6">
        <f t="shared" si="4"/>
        <v>0.2539</v>
      </c>
    </row>
    <row r="23">
      <c r="A23" s="4" t="s">
        <v>8185</v>
      </c>
      <c r="B23" s="6" t="str">
        <f t="shared" si="1"/>
        <v>89.7644</v>
      </c>
      <c r="C23" s="6" t="str">
        <f t="shared" si="2"/>
        <v>89,7644</v>
      </c>
      <c r="D23" s="6">
        <f t="shared" si="3"/>
        <v>89.7644</v>
      </c>
      <c r="E23" s="6">
        <f t="shared" si="4"/>
        <v>0.2786</v>
      </c>
    </row>
    <row r="24">
      <c r="A24" s="4" t="s">
        <v>8186</v>
      </c>
      <c r="B24" s="6" t="str">
        <f t="shared" si="1"/>
        <v>90.0390</v>
      </c>
      <c r="C24" s="6" t="str">
        <f t="shared" si="2"/>
        <v>90,0390</v>
      </c>
      <c r="D24" s="6">
        <f t="shared" si="3"/>
        <v>90.039</v>
      </c>
      <c r="E24" s="6">
        <f t="shared" si="4"/>
        <v>0.2746</v>
      </c>
    </row>
    <row r="25">
      <c r="A25" s="4" t="s">
        <v>8187</v>
      </c>
      <c r="B25" s="6" t="str">
        <f t="shared" si="1"/>
        <v>90.3240</v>
      </c>
      <c r="C25" s="6" t="str">
        <f t="shared" si="2"/>
        <v>90,3240</v>
      </c>
      <c r="D25" s="6">
        <f t="shared" si="3"/>
        <v>90.324</v>
      </c>
      <c r="E25" s="6">
        <f t="shared" si="4"/>
        <v>0.285</v>
      </c>
    </row>
    <row r="26">
      <c r="A26" s="4" t="s">
        <v>8188</v>
      </c>
      <c r="B26" s="6" t="str">
        <f t="shared" si="1"/>
        <v>91.3598</v>
      </c>
      <c r="C26" s="6" t="str">
        <f t="shared" si="2"/>
        <v>91,3598</v>
      </c>
      <c r="D26" s="6">
        <f t="shared" si="3"/>
        <v>91.3598</v>
      </c>
      <c r="E26" s="6">
        <f t="shared" si="4"/>
        <v>1.0358</v>
      </c>
    </row>
    <row r="27">
      <c r="A27" s="4" t="s">
        <v>8189</v>
      </c>
      <c r="B27" s="6" t="str">
        <f t="shared" si="1"/>
        <v>91.6524</v>
      </c>
      <c r="C27" s="6" t="str">
        <f t="shared" si="2"/>
        <v>91,6524</v>
      </c>
      <c r="D27" s="6">
        <f t="shared" si="3"/>
        <v>91.6524</v>
      </c>
      <c r="E27" s="6">
        <f t="shared" si="4"/>
        <v>0.2926</v>
      </c>
    </row>
    <row r="28">
      <c r="A28" s="4" t="s">
        <v>8190</v>
      </c>
      <c r="B28" s="6" t="str">
        <f t="shared" si="1"/>
        <v>91.9759</v>
      </c>
      <c r="C28" s="6" t="str">
        <f t="shared" si="2"/>
        <v>91,9759</v>
      </c>
      <c r="D28" s="6">
        <f t="shared" si="3"/>
        <v>91.9759</v>
      </c>
      <c r="E28" s="6">
        <f t="shared" si="4"/>
        <v>0.3235</v>
      </c>
    </row>
    <row r="29">
      <c r="A29" s="4" t="s">
        <v>8191</v>
      </c>
      <c r="B29" s="6" t="str">
        <f t="shared" si="1"/>
        <v>92.2694</v>
      </c>
      <c r="C29" s="6" t="str">
        <f t="shared" si="2"/>
        <v>92,2694</v>
      </c>
      <c r="D29" s="6">
        <f t="shared" si="3"/>
        <v>92.2694</v>
      </c>
      <c r="E29" s="6">
        <f t="shared" si="4"/>
        <v>0.2935</v>
      </c>
    </row>
    <row r="30">
      <c r="A30" s="4" t="s">
        <v>8192</v>
      </c>
      <c r="B30" s="6" t="str">
        <f t="shared" si="1"/>
        <v>97.5640</v>
      </c>
      <c r="C30" s="6" t="str">
        <f t="shared" si="2"/>
        <v>97,5640</v>
      </c>
      <c r="D30" s="6">
        <f t="shared" si="3"/>
        <v>97.564</v>
      </c>
      <c r="E30" s="6">
        <f t="shared" si="4"/>
        <v>5.2946</v>
      </c>
    </row>
    <row r="31">
      <c r="A31" s="4" t="s">
        <v>8193</v>
      </c>
      <c r="B31" s="6" t="str">
        <f t="shared" si="1"/>
        <v>97.8749</v>
      </c>
      <c r="C31" s="6" t="str">
        <f t="shared" si="2"/>
        <v>97,8749</v>
      </c>
      <c r="D31" s="6">
        <f t="shared" si="3"/>
        <v>97.8749</v>
      </c>
      <c r="E31" s="6">
        <f t="shared" si="4"/>
        <v>0.3109</v>
      </c>
    </row>
    <row r="32">
      <c r="A32" s="4" t="s">
        <v>8194</v>
      </c>
      <c r="B32" s="6" t="str">
        <f t="shared" si="1"/>
        <v>98.1686</v>
      </c>
      <c r="C32" s="6" t="str">
        <f t="shared" si="2"/>
        <v>98,1686</v>
      </c>
      <c r="D32" s="6">
        <f t="shared" si="3"/>
        <v>98.1686</v>
      </c>
      <c r="E32" s="6">
        <f t="shared" si="4"/>
        <v>0.2937</v>
      </c>
    </row>
    <row r="33">
      <c r="A33" s="4" t="s">
        <v>8195</v>
      </c>
      <c r="B33" s="6" t="str">
        <f t="shared" si="1"/>
        <v>98.4781</v>
      </c>
      <c r="C33" s="6" t="str">
        <f t="shared" si="2"/>
        <v>98,4781</v>
      </c>
      <c r="D33" s="6">
        <f t="shared" si="3"/>
        <v>98.4781</v>
      </c>
      <c r="E33" s="6">
        <f t="shared" si="4"/>
        <v>0.3095</v>
      </c>
    </row>
    <row r="34">
      <c r="A34" s="4" t="s">
        <v>8196</v>
      </c>
      <c r="B34" s="6" t="str">
        <f t="shared" si="1"/>
        <v>98.8055</v>
      </c>
      <c r="C34" s="6" t="str">
        <f t="shared" si="2"/>
        <v>98,8055</v>
      </c>
      <c r="D34" s="6">
        <f t="shared" si="3"/>
        <v>98.8055</v>
      </c>
      <c r="E34" s="6">
        <f t="shared" si="4"/>
        <v>0.3274</v>
      </c>
    </row>
    <row r="35">
      <c r="A35" s="4" t="s">
        <v>8197</v>
      </c>
      <c r="B35" s="6" t="str">
        <f t="shared" si="1"/>
        <v>99.1734</v>
      </c>
      <c r="C35" s="6" t="str">
        <f t="shared" si="2"/>
        <v>99,1734</v>
      </c>
      <c r="D35" s="6">
        <f t="shared" si="3"/>
        <v>99.1734</v>
      </c>
      <c r="E35" s="6">
        <f t="shared" si="4"/>
        <v>0.3679</v>
      </c>
    </row>
    <row r="36">
      <c r="A36" s="4" t="s">
        <v>8198</v>
      </c>
      <c r="B36" s="6" t="str">
        <f t="shared" si="1"/>
        <v>99.5015</v>
      </c>
      <c r="C36" s="6" t="str">
        <f t="shared" si="2"/>
        <v>99,5015</v>
      </c>
      <c r="D36" s="6">
        <f t="shared" si="3"/>
        <v>99.5015</v>
      </c>
      <c r="E36" s="6">
        <f t="shared" si="4"/>
        <v>0.3281</v>
      </c>
    </row>
    <row r="37">
      <c r="A37" s="4" t="s">
        <v>8199</v>
      </c>
      <c r="B37" s="6" t="str">
        <f t="shared" si="1"/>
        <v>99.8193</v>
      </c>
      <c r="C37" s="6" t="str">
        <f t="shared" si="2"/>
        <v>99,8193</v>
      </c>
      <c r="D37" s="6">
        <f t="shared" si="3"/>
        <v>99.8193</v>
      </c>
      <c r="E37" s="6">
        <f t="shared" si="4"/>
        <v>0.3178</v>
      </c>
    </row>
    <row r="38">
      <c r="A38" s="4" t="s">
        <v>8200</v>
      </c>
      <c r="B38" s="6" t="str">
        <f t="shared" si="1"/>
        <v>100.159</v>
      </c>
      <c r="C38" s="6" t="str">
        <f t="shared" si="2"/>
        <v>100,159</v>
      </c>
      <c r="D38" s="6">
        <f t="shared" si="3"/>
        <v>100.159</v>
      </c>
      <c r="E38" s="6">
        <f t="shared" si="4"/>
        <v>0.3397</v>
      </c>
    </row>
    <row r="39">
      <c r="A39" s="4" t="s">
        <v>8201</v>
      </c>
      <c r="B39" s="6" t="str">
        <f t="shared" si="1"/>
        <v>100.506</v>
      </c>
      <c r="C39" s="6" t="str">
        <f t="shared" si="2"/>
        <v>100,506</v>
      </c>
      <c r="D39" s="6">
        <f t="shared" si="3"/>
        <v>100.506</v>
      </c>
      <c r="E39" s="6">
        <f t="shared" si="4"/>
        <v>0.347</v>
      </c>
    </row>
    <row r="40">
      <c r="A40" s="4" t="s">
        <v>8202</v>
      </c>
      <c r="B40" s="6" t="str">
        <f t="shared" si="1"/>
        <v>100.814</v>
      </c>
      <c r="C40" s="6" t="str">
        <f t="shared" si="2"/>
        <v>100,814</v>
      </c>
      <c r="D40" s="6">
        <f t="shared" si="3"/>
        <v>100.814</v>
      </c>
      <c r="E40" s="6">
        <f t="shared" si="4"/>
        <v>0.308</v>
      </c>
    </row>
    <row r="41">
      <c r="A41" s="4" t="s">
        <v>8203</v>
      </c>
      <c r="B41" s="6" t="str">
        <f t="shared" si="1"/>
        <v>101.157</v>
      </c>
      <c r="C41" s="6" t="str">
        <f t="shared" si="2"/>
        <v>101,157</v>
      </c>
      <c r="D41" s="6">
        <f t="shared" si="3"/>
        <v>101.157</v>
      </c>
      <c r="E41" s="6">
        <f t="shared" si="4"/>
        <v>0.343</v>
      </c>
    </row>
    <row r="42">
      <c r="A42" s="4" t="s">
        <v>8204</v>
      </c>
      <c r="B42" s="6" t="str">
        <f t="shared" si="1"/>
        <v>101.489</v>
      </c>
      <c r="C42" s="6" t="str">
        <f t="shared" si="2"/>
        <v>101,489</v>
      </c>
      <c r="D42" s="6">
        <f t="shared" si="3"/>
        <v>101.489</v>
      </c>
      <c r="E42" s="6">
        <f t="shared" si="4"/>
        <v>0.332</v>
      </c>
    </row>
    <row r="43">
      <c r="A43" s="4" t="s">
        <v>8205</v>
      </c>
      <c r="B43" s="6" t="str">
        <f t="shared" si="1"/>
        <v>106.298</v>
      </c>
      <c r="C43" s="6" t="str">
        <f t="shared" si="2"/>
        <v>106,298</v>
      </c>
      <c r="D43" s="6">
        <f t="shared" si="3"/>
        <v>106.298</v>
      </c>
      <c r="E43" s="6">
        <f t="shared" si="4"/>
        <v>4.809</v>
      </c>
    </row>
    <row r="44">
      <c r="A44" s="4" t="s">
        <v>8206</v>
      </c>
      <c r="B44" s="6" t="str">
        <f t="shared" si="1"/>
        <v>106.649</v>
      </c>
      <c r="C44" s="6" t="str">
        <f t="shared" si="2"/>
        <v>106,649</v>
      </c>
      <c r="D44" s="6">
        <f t="shared" si="3"/>
        <v>106.649</v>
      </c>
      <c r="E44" s="6">
        <f t="shared" si="4"/>
        <v>0.351</v>
      </c>
    </row>
    <row r="45">
      <c r="A45" s="4" t="s">
        <v>8207</v>
      </c>
      <c r="B45" s="6" t="str">
        <f t="shared" si="1"/>
        <v>107.014</v>
      </c>
      <c r="C45" s="6" t="str">
        <f t="shared" si="2"/>
        <v>107,014</v>
      </c>
      <c r="D45" s="6">
        <f t="shared" si="3"/>
        <v>107.014</v>
      </c>
      <c r="E45" s="6">
        <f t="shared" si="4"/>
        <v>0.365</v>
      </c>
    </row>
    <row r="46">
      <c r="A46" s="4" t="s">
        <v>8208</v>
      </c>
      <c r="B46" s="6" t="str">
        <f t="shared" si="1"/>
        <v>107.366</v>
      </c>
      <c r="C46" s="6" t="str">
        <f t="shared" si="2"/>
        <v>107,366</v>
      </c>
      <c r="D46" s="6">
        <f t="shared" si="3"/>
        <v>107.366</v>
      </c>
      <c r="E46" s="6">
        <f t="shared" si="4"/>
        <v>0.352</v>
      </c>
    </row>
    <row r="47">
      <c r="A47" s="4" t="s">
        <v>8209</v>
      </c>
      <c r="B47" s="6" t="str">
        <f t="shared" si="1"/>
        <v>107.691</v>
      </c>
      <c r="C47" s="6" t="str">
        <f t="shared" si="2"/>
        <v>107,691</v>
      </c>
      <c r="D47" s="6">
        <f t="shared" si="3"/>
        <v>107.691</v>
      </c>
      <c r="E47" s="6">
        <f t="shared" si="4"/>
        <v>0.325</v>
      </c>
    </row>
    <row r="48">
      <c r="A48" s="4" t="s">
        <v>8210</v>
      </c>
      <c r="B48" s="6" t="str">
        <f t="shared" si="1"/>
        <v>108.100</v>
      </c>
      <c r="C48" s="6" t="str">
        <f t="shared" si="2"/>
        <v>108,100</v>
      </c>
      <c r="D48" s="6">
        <f t="shared" si="3"/>
        <v>108.1</v>
      </c>
      <c r="E48" s="6">
        <f t="shared" si="4"/>
        <v>0.409</v>
      </c>
    </row>
    <row r="49">
      <c r="A49" s="4" t="s">
        <v>8211</v>
      </c>
      <c r="B49" s="6" t="str">
        <f t="shared" si="1"/>
        <v>108.447</v>
      </c>
      <c r="C49" s="6" t="str">
        <f t="shared" si="2"/>
        <v>108,447</v>
      </c>
      <c r="D49" s="6">
        <f t="shared" si="3"/>
        <v>108.447</v>
      </c>
      <c r="E49" s="6">
        <f t="shared" si="4"/>
        <v>0.347</v>
      </c>
    </row>
    <row r="50">
      <c r="A50" s="4" t="s">
        <v>8212</v>
      </c>
      <c r="B50" s="6" t="str">
        <f t="shared" si="1"/>
        <v>108.787</v>
      </c>
      <c r="C50" s="6" t="str">
        <f t="shared" si="2"/>
        <v>108,787</v>
      </c>
      <c r="D50" s="6">
        <f t="shared" si="3"/>
        <v>108.787</v>
      </c>
      <c r="E50" s="6">
        <f t="shared" si="4"/>
        <v>0.34</v>
      </c>
    </row>
    <row r="51">
      <c r="A51" s="4" t="s">
        <v>8213</v>
      </c>
      <c r="B51" s="6" t="str">
        <f t="shared" si="1"/>
        <v>109.153</v>
      </c>
      <c r="C51" s="6" t="str">
        <f t="shared" si="2"/>
        <v>109,153</v>
      </c>
      <c r="D51" s="6">
        <f t="shared" si="3"/>
        <v>109.153</v>
      </c>
      <c r="E51" s="6">
        <f t="shared" si="4"/>
        <v>0.366</v>
      </c>
    </row>
    <row r="52">
      <c r="A52" s="4" t="s">
        <v>8214</v>
      </c>
      <c r="B52" s="6" t="str">
        <f t="shared" si="1"/>
        <v>109.500</v>
      </c>
      <c r="C52" s="6" t="str">
        <f t="shared" si="2"/>
        <v>109,500</v>
      </c>
      <c r="D52" s="6">
        <f t="shared" si="3"/>
        <v>109.5</v>
      </c>
      <c r="E52" s="6">
        <f t="shared" si="4"/>
        <v>0.347</v>
      </c>
    </row>
    <row r="53">
      <c r="A53" s="4" t="s">
        <v>8215</v>
      </c>
      <c r="B53" s="6" t="str">
        <f t="shared" si="1"/>
        <v>109.864</v>
      </c>
      <c r="C53" s="6" t="str">
        <f t="shared" si="2"/>
        <v>109,864</v>
      </c>
      <c r="D53" s="6">
        <f t="shared" si="3"/>
        <v>109.864</v>
      </c>
      <c r="E53" s="6">
        <f t="shared" si="4"/>
        <v>0.364</v>
      </c>
    </row>
    <row r="54">
      <c r="A54" s="4" t="s">
        <v>8216</v>
      </c>
      <c r="B54" s="6" t="str">
        <f t="shared" si="1"/>
        <v>110.235</v>
      </c>
      <c r="C54" s="6" t="str">
        <f t="shared" si="2"/>
        <v>110,235</v>
      </c>
      <c r="D54" s="6">
        <f t="shared" si="3"/>
        <v>110.235</v>
      </c>
      <c r="E54" s="6">
        <f t="shared" si="4"/>
        <v>0.371</v>
      </c>
    </row>
    <row r="55">
      <c r="A55" s="4" t="s">
        <v>8217</v>
      </c>
      <c r="B55" s="6" t="str">
        <f t="shared" si="1"/>
        <v>110.652</v>
      </c>
      <c r="C55" s="6" t="str">
        <f t="shared" si="2"/>
        <v>110,652</v>
      </c>
      <c r="D55" s="6">
        <f t="shared" si="3"/>
        <v>110.652</v>
      </c>
      <c r="E55" s="6">
        <f t="shared" si="4"/>
        <v>0.417</v>
      </c>
    </row>
    <row r="56">
      <c r="A56" s="4" t="s">
        <v>8218</v>
      </c>
      <c r="B56" s="6" t="str">
        <f t="shared" si="1"/>
        <v>111.026</v>
      </c>
      <c r="C56" s="6" t="str">
        <f t="shared" si="2"/>
        <v>111,026</v>
      </c>
      <c r="D56" s="6">
        <f t="shared" si="3"/>
        <v>111.026</v>
      </c>
      <c r="E56" s="6">
        <f t="shared" si="4"/>
        <v>0.374</v>
      </c>
    </row>
    <row r="57">
      <c r="A57" s="4" t="s">
        <v>8219</v>
      </c>
      <c r="B57" s="6" t="str">
        <f t="shared" si="1"/>
        <v>111.383</v>
      </c>
      <c r="C57" s="6" t="str">
        <f t="shared" si="2"/>
        <v>111,383</v>
      </c>
      <c r="D57" s="6">
        <f t="shared" si="3"/>
        <v>111.383</v>
      </c>
      <c r="E57" s="6">
        <f t="shared" si="4"/>
        <v>0.357</v>
      </c>
    </row>
    <row r="58">
      <c r="A58" s="4" t="s">
        <v>8220</v>
      </c>
      <c r="B58" s="6" t="str">
        <f t="shared" si="1"/>
        <v>114.791</v>
      </c>
      <c r="C58" s="6" t="str">
        <f t="shared" si="2"/>
        <v>114,791</v>
      </c>
      <c r="D58" s="6">
        <f t="shared" si="3"/>
        <v>114.791</v>
      </c>
      <c r="E58" s="6">
        <f t="shared" si="4"/>
        <v>3.408</v>
      </c>
    </row>
    <row r="59">
      <c r="A59" s="4" t="s">
        <v>8221</v>
      </c>
      <c r="B59" s="6" t="str">
        <f t="shared" si="1"/>
        <v>115.159</v>
      </c>
      <c r="C59" s="6" t="str">
        <f t="shared" si="2"/>
        <v>115,159</v>
      </c>
      <c r="D59" s="6">
        <f t="shared" si="3"/>
        <v>115.159</v>
      </c>
      <c r="E59" s="6">
        <f t="shared" si="4"/>
        <v>0.368</v>
      </c>
    </row>
    <row r="60">
      <c r="A60" s="4" t="s">
        <v>8222</v>
      </c>
      <c r="B60" s="6" t="str">
        <f t="shared" si="1"/>
        <v>115.518</v>
      </c>
      <c r="C60" s="6" t="str">
        <f t="shared" si="2"/>
        <v>115,518</v>
      </c>
      <c r="D60" s="6">
        <f t="shared" si="3"/>
        <v>115.518</v>
      </c>
      <c r="E60" s="6">
        <f t="shared" si="4"/>
        <v>0.359</v>
      </c>
    </row>
    <row r="61">
      <c r="A61" s="4" t="s">
        <v>8223</v>
      </c>
      <c r="B61" s="6" t="str">
        <f t="shared" si="1"/>
        <v>115.875</v>
      </c>
      <c r="C61" s="6" t="str">
        <f t="shared" si="2"/>
        <v>115,875</v>
      </c>
      <c r="D61" s="6">
        <f t="shared" si="3"/>
        <v>115.875</v>
      </c>
      <c r="E61" s="6">
        <f t="shared" si="4"/>
        <v>0.357</v>
      </c>
    </row>
    <row r="62">
      <c r="A62" s="4" t="s">
        <v>8224</v>
      </c>
      <c r="B62" s="6" t="str">
        <f t="shared" si="1"/>
        <v>116.284</v>
      </c>
      <c r="C62" s="6" t="str">
        <f t="shared" si="2"/>
        <v>116,284</v>
      </c>
      <c r="D62" s="6">
        <f t="shared" si="3"/>
        <v>116.284</v>
      </c>
      <c r="E62" s="6">
        <f t="shared" si="4"/>
        <v>0.409</v>
      </c>
    </row>
    <row r="63">
      <c r="A63" s="4" t="s">
        <v>8225</v>
      </c>
      <c r="B63" s="6" t="str">
        <f t="shared" si="1"/>
        <v>116.624</v>
      </c>
      <c r="C63" s="6" t="str">
        <f t="shared" si="2"/>
        <v>116,624</v>
      </c>
      <c r="D63" s="6">
        <f t="shared" si="3"/>
        <v>116.624</v>
      </c>
      <c r="E63" s="6">
        <f t="shared" si="4"/>
        <v>0.34</v>
      </c>
    </row>
    <row r="64">
      <c r="A64" s="4" t="s">
        <v>8226</v>
      </c>
      <c r="B64" s="6" t="str">
        <f t="shared" si="1"/>
        <v>116.978</v>
      </c>
      <c r="C64" s="6" t="str">
        <f t="shared" si="2"/>
        <v>116,978</v>
      </c>
      <c r="D64" s="6">
        <f t="shared" si="3"/>
        <v>116.978</v>
      </c>
      <c r="E64" s="6">
        <f t="shared" si="4"/>
        <v>0.354</v>
      </c>
    </row>
    <row r="65">
      <c r="A65" s="4" t="s">
        <v>8227</v>
      </c>
      <c r="B65" s="6" t="str">
        <f t="shared" si="1"/>
        <v>117.334</v>
      </c>
      <c r="C65" s="6" t="str">
        <f t="shared" si="2"/>
        <v>117,334</v>
      </c>
      <c r="D65" s="6">
        <f t="shared" si="3"/>
        <v>117.334</v>
      </c>
      <c r="E65" s="6">
        <f t="shared" si="4"/>
        <v>0.356</v>
      </c>
    </row>
    <row r="66">
      <c r="A66" s="4" t="s">
        <v>8228</v>
      </c>
      <c r="B66" s="6" t="str">
        <f t="shared" si="1"/>
        <v>117.670</v>
      </c>
      <c r="C66" s="6" t="str">
        <f t="shared" si="2"/>
        <v>117,670</v>
      </c>
      <c r="D66" s="6">
        <f t="shared" si="3"/>
        <v>117.67</v>
      </c>
      <c r="E66" s="6">
        <f t="shared" si="4"/>
        <v>0.336</v>
      </c>
    </row>
    <row r="67">
      <c r="A67" s="4" t="s">
        <v>8229</v>
      </c>
      <c r="B67" s="6" t="str">
        <f t="shared" si="1"/>
        <v>118.002</v>
      </c>
      <c r="C67" s="6" t="str">
        <f t="shared" si="2"/>
        <v>118,002</v>
      </c>
      <c r="D67" s="6">
        <f t="shared" si="3"/>
        <v>118.002</v>
      </c>
      <c r="E67" s="6">
        <f t="shared" si="4"/>
        <v>0.332</v>
      </c>
    </row>
    <row r="68">
      <c r="A68" s="4" t="s">
        <v>8230</v>
      </c>
      <c r="B68" s="6" t="str">
        <f t="shared" si="1"/>
        <v>118.347</v>
      </c>
      <c r="C68" s="6" t="str">
        <f t="shared" si="2"/>
        <v>118,347</v>
      </c>
      <c r="D68" s="6">
        <f t="shared" si="3"/>
        <v>118.347</v>
      </c>
      <c r="E68" s="6">
        <f t="shared" si="4"/>
        <v>0.345</v>
      </c>
    </row>
    <row r="69">
      <c r="A69" s="4" t="s">
        <v>8231</v>
      </c>
      <c r="B69" s="6" t="str">
        <f t="shared" si="1"/>
        <v>121.978</v>
      </c>
      <c r="C69" s="6" t="str">
        <f t="shared" si="2"/>
        <v>121,978</v>
      </c>
      <c r="D69" s="6">
        <f t="shared" si="3"/>
        <v>121.978</v>
      </c>
      <c r="E69" s="6">
        <f t="shared" si="4"/>
        <v>3.631</v>
      </c>
    </row>
    <row r="70">
      <c r="A70" s="4" t="s">
        <v>8232</v>
      </c>
      <c r="B70" s="6" t="str">
        <f t="shared" si="1"/>
        <v>122.334</v>
      </c>
      <c r="C70" s="6" t="str">
        <f t="shared" si="2"/>
        <v>122,334</v>
      </c>
      <c r="D70" s="6">
        <f t="shared" si="3"/>
        <v>122.334</v>
      </c>
      <c r="E70" s="6">
        <f t="shared" si="4"/>
        <v>0.356</v>
      </c>
    </row>
    <row r="71">
      <c r="A71" s="4" t="s">
        <v>8233</v>
      </c>
      <c r="B71" s="6" t="str">
        <f t="shared" si="1"/>
        <v>122.709</v>
      </c>
      <c r="C71" s="6" t="str">
        <f t="shared" si="2"/>
        <v>122,709</v>
      </c>
      <c r="D71" s="6">
        <f t="shared" si="3"/>
        <v>122.709</v>
      </c>
      <c r="E71" s="6">
        <f t="shared" si="4"/>
        <v>0.375</v>
      </c>
    </row>
    <row r="72">
      <c r="A72" s="4" t="s">
        <v>8234</v>
      </c>
      <c r="B72" s="6" t="str">
        <f t="shared" si="1"/>
        <v>123.072</v>
      </c>
      <c r="C72" s="6" t="str">
        <f t="shared" si="2"/>
        <v>123,072</v>
      </c>
      <c r="D72" s="6">
        <f t="shared" si="3"/>
        <v>123.072</v>
      </c>
      <c r="E72" s="6">
        <f t="shared" si="4"/>
        <v>0.363</v>
      </c>
    </row>
    <row r="73">
      <c r="A73" s="4" t="s">
        <v>8235</v>
      </c>
      <c r="B73" s="6" t="str">
        <f t="shared" si="1"/>
        <v>123.443</v>
      </c>
      <c r="C73" s="6" t="str">
        <f t="shared" si="2"/>
        <v>123,443</v>
      </c>
      <c r="D73" s="6">
        <f t="shared" si="3"/>
        <v>123.443</v>
      </c>
      <c r="E73" s="6">
        <f t="shared" si="4"/>
        <v>0.371</v>
      </c>
    </row>
    <row r="74">
      <c r="A74" s="4" t="s">
        <v>8236</v>
      </c>
      <c r="B74" s="6" t="str">
        <f t="shared" si="1"/>
        <v>123.788</v>
      </c>
      <c r="C74" s="6" t="str">
        <f t="shared" si="2"/>
        <v>123,788</v>
      </c>
      <c r="D74" s="6">
        <f t="shared" si="3"/>
        <v>123.788</v>
      </c>
      <c r="E74" s="6">
        <f t="shared" si="4"/>
        <v>0.345</v>
      </c>
    </row>
    <row r="75">
      <c r="A75" s="4" t="s">
        <v>8237</v>
      </c>
      <c r="B75" s="6" t="str">
        <f t="shared" si="1"/>
        <v>124.208</v>
      </c>
      <c r="C75" s="6" t="str">
        <f t="shared" si="2"/>
        <v>124,208</v>
      </c>
      <c r="D75" s="6">
        <f t="shared" si="3"/>
        <v>124.208</v>
      </c>
      <c r="E75" s="6">
        <f t="shared" si="4"/>
        <v>0.42</v>
      </c>
    </row>
    <row r="76">
      <c r="A76" s="4" t="s">
        <v>8238</v>
      </c>
      <c r="B76" s="6" t="str">
        <f t="shared" si="1"/>
        <v>130.595</v>
      </c>
      <c r="C76" s="6" t="str">
        <f t="shared" si="2"/>
        <v>130,595</v>
      </c>
      <c r="D76" s="6">
        <f t="shared" si="3"/>
        <v>130.595</v>
      </c>
      <c r="E76" s="6">
        <f t="shared" si="4"/>
        <v>6.387</v>
      </c>
    </row>
    <row r="77">
      <c r="A77" s="4" t="s">
        <v>8239</v>
      </c>
      <c r="B77" s="6" t="str">
        <f t="shared" si="1"/>
        <v>130.954</v>
      </c>
      <c r="C77" s="6" t="str">
        <f t="shared" si="2"/>
        <v>130,954</v>
      </c>
      <c r="D77" s="6">
        <f t="shared" si="3"/>
        <v>130.954</v>
      </c>
      <c r="E77" s="6">
        <f t="shared" si="4"/>
        <v>0.359</v>
      </c>
    </row>
    <row r="78">
      <c r="A78" s="4" t="s">
        <v>8240</v>
      </c>
      <c r="B78" s="6" t="str">
        <f t="shared" si="1"/>
        <v>131.318</v>
      </c>
      <c r="C78" s="6" t="str">
        <f t="shared" si="2"/>
        <v>131,318</v>
      </c>
      <c r="D78" s="6">
        <f t="shared" si="3"/>
        <v>131.318</v>
      </c>
      <c r="E78" s="6">
        <f t="shared" si="4"/>
        <v>0.364</v>
      </c>
    </row>
    <row r="79">
      <c r="A79" s="4" t="s">
        <v>8241</v>
      </c>
      <c r="B79" s="6" t="str">
        <f t="shared" si="1"/>
        <v>131.684</v>
      </c>
      <c r="C79" s="6" t="str">
        <f t="shared" si="2"/>
        <v>131,684</v>
      </c>
      <c r="D79" s="6">
        <f t="shared" si="3"/>
        <v>131.684</v>
      </c>
      <c r="E79" s="6">
        <f t="shared" si="4"/>
        <v>0.366</v>
      </c>
    </row>
    <row r="80">
      <c r="A80" s="4" t="s">
        <v>8242</v>
      </c>
      <c r="B80" s="6" t="str">
        <f t="shared" si="1"/>
        <v>132.038</v>
      </c>
      <c r="C80" s="6" t="str">
        <f t="shared" si="2"/>
        <v>132,038</v>
      </c>
      <c r="D80" s="6">
        <f t="shared" si="3"/>
        <v>132.038</v>
      </c>
      <c r="E80" s="6">
        <f t="shared" si="4"/>
        <v>0.354</v>
      </c>
    </row>
    <row r="81">
      <c r="A81" s="4" t="s">
        <v>8243</v>
      </c>
      <c r="B81" s="6" t="str">
        <f t="shared" si="1"/>
        <v>132.405</v>
      </c>
      <c r="C81" s="6" t="str">
        <f t="shared" si="2"/>
        <v>132,405</v>
      </c>
      <c r="D81" s="6">
        <f t="shared" si="3"/>
        <v>132.405</v>
      </c>
      <c r="E81" s="6">
        <f t="shared" si="4"/>
        <v>0.367</v>
      </c>
    </row>
    <row r="82">
      <c r="A82" s="4" t="s">
        <v>8244</v>
      </c>
      <c r="B82" s="6" t="str">
        <f t="shared" si="1"/>
        <v>132.770</v>
      </c>
      <c r="C82" s="6" t="str">
        <f t="shared" si="2"/>
        <v>132,770</v>
      </c>
      <c r="D82" s="6">
        <f t="shared" si="3"/>
        <v>132.77</v>
      </c>
      <c r="E82" s="6">
        <f t="shared" si="4"/>
        <v>0.365</v>
      </c>
    </row>
    <row r="83">
      <c r="A83" s="4" t="s">
        <v>8245</v>
      </c>
      <c r="B83" s="6" t="str">
        <f t="shared" si="1"/>
        <v>133.108</v>
      </c>
      <c r="C83" s="6" t="str">
        <f t="shared" si="2"/>
        <v>133,108</v>
      </c>
      <c r="D83" s="6">
        <f t="shared" si="3"/>
        <v>133.108</v>
      </c>
      <c r="E83" s="6">
        <f t="shared" si="4"/>
        <v>0.338</v>
      </c>
    </row>
    <row r="84">
      <c r="A84" s="4" t="s">
        <v>8246</v>
      </c>
      <c r="B84" s="6" t="str">
        <f t="shared" si="1"/>
        <v>133.459</v>
      </c>
      <c r="C84" s="6" t="str">
        <f t="shared" si="2"/>
        <v>133,459</v>
      </c>
      <c r="D84" s="6">
        <f t="shared" si="3"/>
        <v>133.459</v>
      </c>
      <c r="E84" s="6">
        <f t="shared" si="4"/>
        <v>0.351</v>
      </c>
    </row>
    <row r="85">
      <c r="A85" s="4" t="s">
        <v>8247</v>
      </c>
      <c r="B85" s="6" t="str">
        <f t="shared" si="1"/>
        <v>133.824</v>
      </c>
      <c r="C85" s="6" t="str">
        <f t="shared" si="2"/>
        <v>133,824</v>
      </c>
      <c r="D85" s="6">
        <f t="shared" si="3"/>
        <v>133.824</v>
      </c>
      <c r="E85" s="6">
        <f t="shared" si="4"/>
        <v>0.365</v>
      </c>
    </row>
    <row r="86">
      <c r="A86" s="4" t="s">
        <v>8248</v>
      </c>
      <c r="B86" s="6" t="str">
        <f t="shared" si="1"/>
        <v>134.182</v>
      </c>
      <c r="C86" s="6" t="str">
        <f t="shared" si="2"/>
        <v>134,182</v>
      </c>
      <c r="D86" s="6">
        <f t="shared" si="3"/>
        <v>134.182</v>
      </c>
      <c r="E86" s="6">
        <f t="shared" si="4"/>
        <v>0.358</v>
      </c>
    </row>
    <row r="87">
      <c r="A87" s="4" t="s">
        <v>8249</v>
      </c>
      <c r="B87" s="6" t="str">
        <f t="shared" si="1"/>
        <v>134.528</v>
      </c>
      <c r="C87" s="6" t="str">
        <f t="shared" si="2"/>
        <v>134,528</v>
      </c>
      <c r="D87" s="6">
        <f t="shared" si="3"/>
        <v>134.528</v>
      </c>
      <c r="E87" s="6">
        <f t="shared" si="4"/>
        <v>0.346</v>
      </c>
    </row>
    <row r="88">
      <c r="A88" s="4" t="s">
        <v>8250</v>
      </c>
      <c r="B88" s="6" t="str">
        <f t="shared" si="1"/>
        <v>134.935</v>
      </c>
      <c r="C88" s="6" t="str">
        <f t="shared" si="2"/>
        <v>134,935</v>
      </c>
      <c r="D88" s="6">
        <f t="shared" si="3"/>
        <v>134.935</v>
      </c>
      <c r="E88" s="6">
        <f t="shared" si="4"/>
        <v>0.407</v>
      </c>
    </row>
    <row r="89">
      <c r="A89" s="4" t="s">
        <v>8251</v>
      </c>
      <c r="B89" s="6" t="str">
        <f t="shared" si="1"/>
        <v>138.767</v>
      </c>
      <c r="C89" s="6" t="str">
        <f t="shared" si="2"/>
        <v>138,767</v>
      </c>
      <c r="D89" s="6">
        <f t="shared" si="3"/>
        <v>138.767</v>
      </c>
      <c r="E89" s="6">
        <f t="shared" si="4"/>
        <v>3.832</v>
      </c>
    </row>
    <row r="90">
      <c r="A90" s="4" t="s">
        <v>8252</v>
      </c>
      <c r="B90" s="6" t="str">
        <f t="shared" si="1"/>
        <v>139.130</v>
      </c>
      <c r="C90" s="6" t="str">
        <f t="shared" si="2"/>
        <v>139,130</v>
      </c>
      <c r="D90" s="6">
        <f t="shared" si="3"/>
        <v>139.13</v>
      </c>
      <c r="E90" s="6">
        <f t="shared" si="4"/>
        <v>0.363</v>
      </c>
    </row>
    <row r="91">
      <c r="A91" s="4" t="s">
        <v>8253</v>
      </c>
      <c r="B91" s="6" t="str">
        <f t="shared" si="1"/>
        <v>139.489</v>
      </c>
      <c r="C91" s="6" t="str">
        <f t="shared" si="2"/>
        <v>139,489</v>
      </c>
      <c r="D91" s="6">
        <f t="shared" si="3"/>
        <v>139.489</v>
      </c>
      <c r="E91" s="6">
        <f t="shared" si="4"/>
        <v>0.359</v>
      </c>
    </row>
    <row r="92">
      <c r="A92" s="4" t="s">
        <v>8254</v>
      </c>
      <c r="B92" s="6" t="str">
        <f t="shared" si="1"/>
        <v>139.848</v>
      </c>
      <c r="C92" s="6" t="str">
        <f t="shared" si="2"/>
        <v>139,848</v>
      </c>
      <c r="D92" s="6">
        <f t="shared" si="3"/>
        <v>139.848</v>
      </c>
      <c r="E92" s="6">
        <f t="shared" si="4"/>
        <v>0.359</v>
      </c>
    </row>
    <row r="93">
      <c r="A93" s="4" t="s">
        <v>8255</v>
      </c>
      <c r="B93" s="6" t="str">
        <f t="shared" si="1"/>
        <v>140.185</v>
      </c>
      <c r="C93" s="6" t="str">
        <f t="shared" si="2"/>
        <v>140,185</v>
      </c>
      <c r="D93" s="6">
        <f t="shared" si="3"/>
        <v>140.185</v>
      </c>
      <c r="E93" s="6">
        <f t="shared" si="4"/>
        <v>0.337</v>
      </c>
    </row>
    <row r="94">
      <c r="A94" s="4" t="s">
        <v>8256</v>
      </c>
      <c r="B94" s="6" t="str">
        <f t="shared" si="1"/>
        <v>140.531</v>
      </c>
      <c r="C94" s="6" t="str">
        <f t="shared" si="2"/>
        <v>140,531</v>
      </c>
      <c r="D94" s="6">
        <f t="shared" si="3"/>
        <v>140.531</v>
      </c>
      <c r="E94" s="6">
        <f t="shared" si="4"/>
        <v>0.346</v>
      </c>
    </row>
    <row r="95">
      <c r="A95" s="4" t="s">
        <v>8257</v>
      </c>
      <c r="B95" s="6" t="str">
        <f t="shared" si="1"/>
        <v>140.846</v>
      </c>
      <c r="C95" s="6" t="str">
        <f t="shared" si="2"/>
        <v>140,846</v>
      </c>
      <c r="D95" s="6">
        <f t="shared" si="3"/>
        <v>140.846</v>
      </c>
      <c r="E95" s="6">
        <f t="shared" si="4"/>
        <v>0.315</v>
      </c>
    </row>
    <row r="96">
      <c r="A96" s="4" t="s">
        <v>8258</v>
      </c>
      <c r="B96" s="6" t="str">
        <f t="shared" si="1"/>
        <v>141.183</v>
      </c>
      <c r="C96" s="6" t="str">
        <f t="shared" si="2"/>
        <v>141,183</v>
      </c>
      <c r="D96" s="6">
        <f t="shared" si="3"/>
        <v>141.183</v>
      </c>
      <c r="E96" s="6">
        <f t="shared" si="4"/>
        <v>0.337</v>
      </c>
    </row>
    <row r="97">
      <c r="A97" s="4" t="s">
        <v>8259</v>
      </c>
      <c r="B97" s="6" t="str">
        <f t="shared" si="1"/>
        <v>141.513</v>
      </c>
      <c r="C97" s="6" t="str">
        <f t="shared" si="2"/>
        <v>141,513</v>
      </c>
      <c r="D97" s="6">
        <f t="shared" si="3"/>
        <v>141.513</v>
      </c>
      <c r="E97" s="6">
        <f t="shared" si="4"/>
        <v>0.33</v>
      </c>
    </row>
    <row r="98">
      <c r="A98" s="4" t="s">
        <v>8260</v>
      </c>
      <c r="B98" s="6" t="str">
        <f t="shared" si="1"/>
        <v>141.854</v>
      </c>
      <c r="C98" s="6" t="str">
        <f t="shared" si="2"/>
        <v>141,854</v>
      </c>
      <c r="D98" s="6">
        <f t="shared" si="3"/>
        <v>141.854</v>
      </c>
      <c r="E98" s="6">
        <f t="shared" si="4"/>
        <v>0.341</v>
      </c>
    </row>
    <row r="99">
      <c r="A99" s="4" t="s">
        <v>8261</v>
      </c>
      <c r="B99" s="6" t="str">
        <f t="shared" si="1"/>
        <v>144.527</v>
      </c>
      <c r="C99" s="6" t="str">
        <f t="shared" si="2"/>
        <v>144,527</v>
      </c>
      <c r="D99" s="6">
        <f t="shared" si="3"/>
        <v>144.527</v>
      </c>
      <c r="E99" s="6">
        <f t="shared" si="4"/>
        <v>2.673</v>
      </c>
    </row>
    <row r="100">
      <c r="A100" s="4" t="s">
        <v>8262</v>
      </c>
      <c r="B100" s="6" t="str">
        <f t="shared" si="1"/>
        <v>144.926</v>
      </c>
      <c r="C100" s="6" t="str">
        <f t="shared" si="2"/>
        <v>144,926</v>
      </c>
      <c r="D100" s="6">
        <f t="shared" si="3"/>
        <v>144.926</v>
      </c>
      <c r="E100" s="6">
        <f t="shared" si="4"/>
        <v>0.399</v>
      </c>
    </row>
    <row r="101">
      <c r="A101" s="4" t="s">
        <v>8263</v>
      </c>
      <c r="B101" s="6" t="str">
        <f t="shared" si="1"/>
        <v>145.282</v>
      </c>
      <c r="C101" s="6" t="str">
        <f t="shared" si="2"/>
        <v>145,282</v>
      </c>
      <c r="D101" s="6">
        <f t="shared" si="3"/>
        <v>145.282</v>
      </c>
      <c r="E101" s="6">
        <f t="shared" si="4"/>
        <v>0.356</v>
      </c>
    </row>
    <row r="102">
      <c r="A102" s="4" t="s">
        <v>8264</v>
      </c>
      <c r="B102" s="6" t="str">
        <f t="shared" si="1"/>
        <v>145.628</v>
      </c>
      <c r="C102" s="6" t="str">
        <f t="shared" si="2"/>
        <v>145,628</v>
      </c>
      <c r="D102" s="6">
        <f t="shared" si="3"/>
        <v>145.628</v>
      </c>
      <c r="E102" s="6">
        <f t="shared" si="4"/>
        <v>0.346</v>
      </c>
    </row>
    <row r="103">
      <c r="A103" s="4" t="s">
        <v>8265</v>
      </c>
      <c r="B103" s="6" t="str">
        <f t="shared" si="1"/>
        <v>145.969</v>
      </c>
      <c r="C103" s="6" t="str">
        <f t="shared" si="2"/>
        <v>145,969</v>
      </c>
      <c r="D103" s="6">
        <f t="shared" si="3"/>
        <v>145.969</v>
      </c>
      <c r="E103" s="6">
        <f t="shared" si="4"/>
        <v>0.341</v>
      </c>
    </row>
    <row r="104">
      <c r="A104" s="4" t="s">
        <v>8266</v>
      </c>
      <c r="B104" s="6" t="str">
        <f t="shared" si="1"/>
        <v>146.306</v>
      </c>
      <c r="C104" s="6" t="str">
        <f t="shared" si="2"/>
        <v>146,306</v>
      </c>
      <c r="D104" s="6">
        <f t="shared" si="3"/>
        <v>146.306</v>
      </c>
      <c r="E104" s="6">
        <f t="shared" si="4"/>
        <v>0.337</v>
      </c>
    </row>
    <row r="105">
      <c r="A105" s="4" t="s">
        <v>8267</v>
      </c>
      <c r="B105" s="6" t="str">
        <f t="shared" si="1"/>
        <v>151.056</v>
      </c>
      <c r="C105" s="6" t="str">
        <f t="shared" si="2"/>
        <v>151,056</v>
      </c>
      <c r="D105" s="6">
        <f t="shared" si="3"/>
        <v>151.056</v>
      </c>
      <c r="E105" s="6">
        <f t="shared" si="4"/>
        <v>4.75</v>
      </c>
    </row>
    <row r="106">
      <c r="A106" s="4" t="s">
        <v>8268</v>
      </c>
      <c r="B106" s="6" t="str">
        <f t="shared" si="1"/>
        <v>151.401</v>
      </c>
      <c r="C106" s="6" t="str">
        <f t="shared" si="2"/>
        <v>151,401</v>
      </c>
      <c r="D106" s="6">
        <f t="shared" si="3"/>
        <v>151.401</v>
      </c>
      <c r="E106" s="6">
        <f t="shared" si="4"/>
        <v>0.345</v>
      </c>
    </row>
    <row r="107">
      <c r="A107" s="4" t="s">
        <v>8269</v>
      </c>
      <c r="B107" s="6" t="str">
        <f t="shared" si="1"/>
        <v>151.750</v>
      </c>
      <c r="C107" s="6" t="str">
        <f t="shared" si="2"/>
        <v>151,750</v>
      </c>
      <c r="D107" s="6">
        <f t="shared" si="3"/>
        <v>151.75</v>
      </c>
      <c r="E107" s="6">
        <f t="shared" si="4"/>
        <v>0.349</v>
      </c>
    </row>
    <row r="108">
      <c r="A108" s="4" t="s">
        <v>8270</v>
      </c>
      <c r="B108" s="6" t="str">
        <f t="shared" si="1"/>
        <v>152.102</v>
      </c>
      <c r="C108" s="6" t="str">
        <f t="shared" si="2"/>
        <v>152,102</v>
      </c>
      <c r="D108" s="6">
        <f t="shared" si="3"/>
        <v>152.102</v>
      </c>
      <c r="E108" s="6">
        <f t="shared" si="4"/>
        <v>0.352</v>
      </c>
    </row>
    <row r="109">
      <c r="A109" s="4" t="s">
        <v>8271</v>
      </c>
      <c r="B109" s="6" t="str">
        <f t="shared" si="1"/>
        <v>152.453</v>
      </c>
      <c r="C109" s="6" t="str">
        <f t="shared" si="2"/>
        <v>152,453</v>
      </c>
      <c r="D109" s="6">
        <f t="shared" si="3"/>
        <v>152.453</v>
      </c>
      <c r="E109" s="6">
        <f t="shared" si="4"/>
        <v>0.351</v>
      </c>
    </row>
    <row r="110">
      <c r="A110" s="4" t="s">
        <v>8272</v>
      </c>
      <c r="B110" s="6" t="str">
        <f t="shared" si="1"/>
        <v>152.784</v>
      </c>
      <c r="C110" s="6" t="str">
        <f t="shared" si="2"/>
        <v>152,784</v>
      </c>
      <c r="D110" s="6">
        <f t="shared" si="3"/>
        <v>152.784</v>
      </c>
      <c r="E110" s="6">
        <f t="shared" si="4"/>
        <v>0.331</v>
      </c>
    </row>
    <row r="111">
      <c r="A111" s="4" t="s">
        <v>8273</v>
      </c>
      <c r="B111" s="6" t="str">
        <f t="shared" si="1"/>
        <v>153.095</v>
      </c>
      <c r="C111" s="6" t="str">
        <f t="shared" si="2"/>
        <v>153,095</v>
      </c>
      <c r="D111" s="6">
        <f t="shared" si="3"/>
        <v>153.095</v>
      </c>
      <c r="E111" s="6">
        <f t="shared" si="4"/>
        <v>0.311</v>
      </c>
    </row>
    <row r="112">
      <c r="A112" s="4" t="s">
        <v>8274</v>
      </c>
      <c r="B112" s="6" t="str">
        <f t="shared" si="1"/>
        <v>153.431</v>
      </c>
      <c r="C112" s="6" t="str">
        <f t="shared" si="2"/>
        <v>153,431</v>
      </c>
      <c r="D112" s="6">
        <f t="shared" si="3"/>
        <v>153.431</v>
      </c>
      <c r="E112" s="6">
        <f t="shared" si="4"/>
        <v>0.336</v>
      </c>
    </row>
    <row r="113">
      <c r="A113" s="4" t="s">
        <v>8275</v>
      </c>
      <c r="B113" s="6" t="str">
        <f t="shared" si="1"/>
        <v>153.779</v>
      </c>
      <c r="C113" s="6" t="str">
        <f t="shared" si="2"/>
        <v>153,779</v>
      </c>
      <c r="D113" s="6">
        <f t="shared" si="3"/>
        <v>153.779</v>
      </c>
      <c r="E113" s="6">
        <f t="shared" si="4"/>
        <v>0.348</v>
      </c>
    </row>
    <row r="114">
      <c r="A114" s="4" t="s">
        <v>8276</v>
      </c>
      <c r="B114" s="6" t="str">
        <f t="shared" si="1"/>
        <v>154.192</v>
      </c>
      <c r="C114" s="6" t="str">
        <f t="shared" si="2"/>
        <v>154,192</v>
      </c>
      <c r="D114" s="6">
        <f t="shared" si="3"/>
        <v>154.192</v>
      </c>
      <c r="E114" s="6">
        <f t="shared" si="4"/>
        <v>0.413</v>
      </c>
    </row>
    <row r="115">
      <c r="A115" s="4" t="s">
        <v>8277</v>
      </c>
      <c r="B115" s="6" t="str">
        <f t="shared" si="1"/>
        <v>154.531</v>
      </c>
      <c r="C115" s="6" t="str">
        <f t="shared" si="2"/>
        <v>154,531</v>
      </c>
      <c r="D115" s="6">
        <f t="shared" si="3"/>
        <v>154.531</v>
      </c>
      <c r="E115" s="6">
        <f t="shared" si="4"/>
        <v>0.339</v>
      </c>
    </row>
    <row r="116">
      <c r="A116" s="4" t="s">
        <v>8278</v>
      </c>
      <c r="B116" s="6" t="str">
        <f t="shared" si="1"/>
        <v>158.764</v>
      </c>
      <c r="C116" s="6" t="str">
        <f t="shared" si="2"/>
        <v>158,764</v>
      </c>
      <c r="D116" s="6">
        <f t="shared" si="3"/>
        <v>158.764</v>
      </c>
      <c r="E116" s="6">
        <f t="shared" si="4"/>
        <v>4.233</v>
      </c>
    </row>
    <row r="117">
      <c r="A117" s="4" t="s">
        <v>8279</v>
      </c>
      <c r="B117" s="6" t="str">
        <f t="shared" si="1"/>
        <v>159.096</v>
      </c>
      <c r="C117" s="6" t="str">
        <f t="shared" si="2"/>
        <v>159,096</v>
      </c>
      <c r="D117" s="6">
        <f t="shared" si="3"/>
        <v>159.096</v>
      </c>
      <c r="E117" s="6">
        <f t="shared" si="4"/>
        <v>0.332</v>
      </c>
    </row>
    <row r="118">
      <c r="A118" s="4" t="s">
        <v>8280</v>
      </c>
      <c r="B118" s="6" t="str">
        <f t="shared" si="1"/>
        <v>159.399</v>
      </c>
      <c r="C118" s="6" t="str">
        <f t="shared" si="2"/>
        <v>159,399</v>
      </c>
      <c r="D118" s="6">
        <f t="shared" si="3"/>
        <v>159.399</v>
      </c>
      <c r="E118" s="6">
        <f t="shared" si="4"/>
        <v>0.303</v>
      </c>
    </row>
    <row r="119">
      <c r="A119" s="4" t="s">
        <v>8281</v>
      </c>
      <c r="B119" s="6" t="str">
        <f t="shared" si="1"/>
        <v>159.743</v>
      </c>
      <c r="C119" s="6" t="str">
        <f t="shared" si="2"/>
        <v>159,743</v>
      </c>
      <c r="D119" s="6">
        <f t="shared" si="3"/>
        <v>159.743</v>
      </c>
      <c r="E119" s="6">
        <f t="shared" si="4"/>
        <v>0.344</v>
      </c>
    </row>
    <row r="120">
      <c r="A120" s="4" t="s">
        <v>8282</v>
      </c>
      <c r="B120" s="6" t="str">
        <f t="shared" si="1"/>
        <v>160.076</v>
      </c>
      <c r="C120" s="6" t="str">
        <f t="shared" si="2"/>
        <v>160,076</v>
      </c>
      <c r="D120" s="6">
        <f t="shared" si="3"/>
        <v>160.076</v>
      </c>
      <c r="E120" s="6">
        <f t="shared" si="4"/>
        <v>0.333</v>
      </c>
    </row>
    <row r="121">
      <c r="A121" s="4" t="s">
        <v>8283</v>
      </c>
      <c r="B121" s="6" t="str">
        <f t="shared" si="1"/>
        <v>160.438</v>
      </c>
      <c r="C121" s="6" t="str">
        <f t="shared" si="2"/>
        <v>160,438</v>
      </c>
      <c r="D121" s="6">
        <f t="shared" si="3"/>
        <v>160.438</v>
      </c>
      <c r="E121" s="6">
        <f t="shared" si="4"/>
        <v>0.362</v>
      </c>
    </row>
    <row r="122">
      <c r="A122" s="4" t="s">
        <v>8284</v>
      </c>
      <c r="B122" s="6" t="str">
        <f t="shared" si="1"/>
        <v>160.793</v>
      </c>
      <c r="C122" s="6" t="str">
        <f t="shared" si="2"/>
        <v>160,793</v>
      </c>
      <c r="D122" s="6">
        <f t="shared" si="3"/>
        <v>160.793</v>
      </c>
      <c r="E122" s="6">
        <f t="shared" si="4"/>
        <v>0.355</v>
      </c>
    </row>
    <row r="123">
      <c r="A123" s="4" t="s">
        <v>8285</v>
      </c>
      <c r="B123" s="6" t="str">
        <f t="shared" si="1"/>
        <v>161.135</v>
      </c>
      <c r="C123" s="6" t="str">
        <f t="shared" si="2"/>
        <v>161,135</v>
      </c>
      <c r="D123" s="6">
        <f t="shared" si="3"/>
        <v>161.135</v>
      </c>
      <c r="E123" s="6">
        <f t="shared" si="4"/>
        <v>0.342</v>
      </c>
    </row>
    <row r="124">
      <c r="A124" s="4" t="s">
        <v>8286</v>
      </c>
      <c r="B124" s="6" t="str">
        <f t="shared" si="1"/>
        <v>165.179</v>
      </c>
      <c r="C124" s="6" t="str">
        <f t="shared" si="2"/>
        <v>165,179</v>
      </c>
      <c r="D124" s="6">
        <f t="shared" si="3"/>
        <v>165.179</v>
      </c>
      <c r="E124" s="6">
        <f t="shared" si="4"/>
        <v>4.044</v>
      </c>
    </row>
    <row r="125">
      <c r="A125" s="4" t="s">
        <v>8287</v>
      </c>
      <c r="B125" s="6" t="str">
        <f t="shared" si="1"/>
        <v>165.534</v>
      </c>
      <c r="C125" s="6" t="str">
        <f t="shared" si="2"/>
        <v>165,534</v>
      </c>
      <c r="D125" s="6">
        <f t="shared" si="3"/>
        <v>165.534</v>
      </c>
      <c r="E125" s="6">
        <f t="shared" si="4"/>
        <v>0.355</v>
      </c>
    </row>
    <row r="126">
      <c r="A126" s="4" t="s">
        <v>8288</v>
      </c>
      <c r="B126" s="6" t="str">
        <f t="shared" si="1"/>
        <v>165.885</v>
      </c>
      <c r="C126" s="6" t="str">
        <f t="shared" si="2"/>
        <v>165,885</v>
      </c>
      <c r="D126" s="6">
        <f t="shared" si="3"/>
        <v>165.885</v>
      </c>
      <c r="E126" s="6">
        <f t="shared" si="4"/>
        <v>0.351</v>
      </c>
    </row>
    <row r="127">
      <c r="A127" s="4" t="s">
        <v>8289</v>
      </c>
      <c r="B127" s="6" t="str">
        <f t="shared" si="1"/>
        <v>166.288</v>
      </c>
      <c r="C127" s="6" t="str">
        <f t="shared" si="2"/>
        <v>166,288</v>
      </c>
      <c r="D127" s="6">
        <f t="shared" si="3"/>
        <v>166.288</v>
      </c>
      <c r="E127" s="6">
        <f t="shared" si="4"/>
        <v>0.403</v>
      </c>
    </row>
    <row r="128">
      <c r="A128" s="4" t="s">
        <v>8290</v>
      </c>
      <c r="B128" s="6" t="str">
        <f t="shared" si="1"/>
        <v>166.664</v>
      </c>
      <c r="C128" s="6" t="str">
        <f t="shared" si="2"/>
        <v>166,664</v>
      </c>
      <c r="D128" s="6">
        <f t="shared" si="3"/>
        <v>166.664</v>
      </c>
      <c r="E128" s="6">
        <f t="shared" si="4"/>
        <v>0.376</v>
      </c>
    </row>
    <row r="129">
      <c r="A129" s="4" t="s">
        <v>8291</v>
      </c>
      <c r="B129" s="6" t="str">
        <f t="shared" si="1"/>
        <v>167.026</v>
      </c>
      <c r="C129" s="6" t="str">
        <f t="shared" si="2"/>
        <v>167,026</v>
      </c>
      <c r="D129" s="6">
        <f t="shared" si="3"/>
        <v>167.026</v>
      </c>
      <c r="E129" s="6">
        <f t="shared" si="4"/>
        <v>0.362</v>
      </c>
    </row>
    <row r="130">
      <c r="A130" s="4" t="s">
        <v>8292</v>
      </c>
      <c r="B130" s="6" t="str">
        <f t="shared" si="1"/>
        <v>167.363</v>
      </c>
      <c r="C130" s="6" t="str">
        <f t="shared" si="2"/>
        <v>167,363</v>
      </c>
      <c r="D130" s="6">
        <f t="shared" si="3"/>
        <v>167.363</v>
      </c>
      <c r="E130" s="6">
        <f t="shared" si="4"/>
        <v>0.337</v>
      </c>
    </row>
    <row r="131">
      <c r="A131" s="4" t="s">
        <v>8293</v>
      </c>
      <c r="B131" s="6" t="str">
        <f t="shared" si="1"/>
        <v>173.659</v>
      </c>
      <c r="C131" s="6" t="str">
        <f t="shared" si="2"/>
        <v>173,659</v>
      </c>
      <c r="D131" s="6">
        <f t="shared" si="3"/>
        <v>173.659</v>
      </c>
      <c r="E131" s="6">
        <f t="shared" si="4"/>
        <v>6.296</v>
      </c>
    </row>
    <row r="132">
      <c r="A132" s="4" t="s">
        <v>8294</v>
      </c>
      <c r="B132" s="6" t="str">
        <f t="shared" si="1"/>
        <v>174.005</v>
      </c>
      <c r="C132" s="6" t="str">
        <f t="shared" si="2"/>
        <v>174,005</v>
      </c>
      <c r="D132" s="6">
        <f t="shared" si="3"/>
        <v>174.005</v>
      </c>
      <c r="E132" s="6">
        <f t="shared" si="4"/>
        <v>0.346</v>
      </c>
    </row>
    <row r="133">
      <c r="A133" s="4" t="s">
        <v>8295</v>
      </c>
      <c r="B133" s="6" t="str">
        <f t="shared" si="1"/>
        <v>174.371</v>
      </c>
      <c r="C133" s="6" t="str">
        <f t="shared" si="2"/>
        <v>174,371</v>
      </c>
      <c r="D133" s="6">
        <f t="shared" si="3"/>
        <v>174.371</v>
      </c>
      <c r="E133" s="6">
        <f t="shared" si="4"/>
        <v>0.366</v>
      </c>
    </row>
    <row r="134">
      <c r="A134" s="4" t="s">
        <v>8296</v>
      </c>
      <c r="B134" s="6" t="str">
        <f t="shared" si="1"/>
        <v>174.724</v>
      </c>
      <c r="C134" s="6" t="str">
        <f t="shared" si="2"/>
        <v>174,724</v>
      </c>
      <c r="D134" s="6">
        <f t="shared" si="3"/>
        <v>174.724</v>
      </c>
      <c r="E134" s="6">
        <f t="shared" si="4"/>
        <v>0.353</v>
      </c>
    </row>
    <row r="135">
      <c r="A135" s="4" t="s">
        <v>8297</v>
      </c>
      <c r="B135" s="6" t="str">
        <f t="shared" si="1"/>
        <v>175.064</v>
      </c>
      <c r="C135" s="6" t="str">
        <f t="shared" si="2"/>
        <v>175,064</v>
      </c>
      <c r="D135" s="6">
        <f t="shared" si="3"/>
        <v>175.064</v>
      </c>
      <c r="E135" s="6">
        <f t="shared" si="4"/>
        <v>0.34</v>
      </c>
    </row>
    <row r="136">
      <c r="A136" s="4" t="s">
        <v>8298</v>
      </c>
      <c r="B136" s="6" t="str">
        <f t="shared" si="1"/>
        <v>175.414</v>
      </c>
      <c r="C136" s="6" t="str">
        <f t="shared" si="2"/>
        <v>175,414</v>
      </c>
      <c r="D136" s="6">
        <f t="shared" si="3"/>
        <v>175.414</v>
      </c>
      <c r="E136" s="6">
        <f t="shared" si="4"/>
        <v>0.35</v>
      </c>
    </row>
    <row r="137">
      <c r="A137" s="4" t="s">
        <v>8299</v>
      </c>
      <c r="B137" s="6" t="str">
        <f t="shared" si="1"/>
        <v>175.776</v>
      </c>
      <c r="C137" s="6" t="str">
        <f t="shared" si="2"/>
        <v>175,776</v>
      </c>
      <c r="D137" s="6">
        <f t="shared" si="3"/>
        <v>175.776</v>
      </c>
      <c r="E137" s="6">
        <f t="shared" si="4"/>
        <v>0.362</v>
      </c>
    </row>
    <row r="138">
      <c r="A138" s="4" t="s">
        <v>8300</v>
      </c>
      <c r="B138" s="6" t="str">
        <f t="shared" si="1"/>
        <v>176.113</v>
      </c>
      <c r="C138" s="6" t="str">
        <f t="shared" si="2"/>
        <v>176,113</v>
      </c>
      <c r="D138" s="6">
        <f t="shared" si="3"/>
        <v>176.113</v>
      </c>
      <c r="E138" s="6">
        <f t="shared" si="4"/>
        <v>0.337</v>
      </c>
    </row>
    <row r="139">
      <c r="A139" s="4" t="s">
        <v>8301</v>
      </c>
      <c r="B139" s="6" t="str">
        <f t="shared" si="1"/>
        <v>176.463</v>
      </c>
      <c r="C139" s="6" t="str">
        <f t="shared" si="2"/>
        <v>176,463</v>
      </c>
      <c r="D139" s="6">
        <f t="shared" si="3"/>
        <v>176.463</v>
      </c>
      <c r="E139" s="6">
        <f t="shared" si="4"/>
        <v>0.35</v>
      </c>
    </row>
    <row r="140">
      <c r="A140" s="4" t="s">
        <v>8302</v>
      </c>
      <c r="B140" s="6" t="str">
        <f t="shared" si="1"/>
        <v>176.871</v>
      </c>
      <c r="C140" s="6" t="str">
        <f t="shared" si="2"/>
        <v>176,871</v>
      </c>
      <c r="D140" s="6">
        <f t="shared" si="3"/>
        <v>176.871</v>
      </c>
      <c r="E140" s="6">
        <f t="shared" si="4"/>
        <v>0.408</v>
      </c>
    </row>
    <row r="141">
      <c r="A141" s="4" t="s">
        <v>8303</v>
      </c>
      <c r="B141" s="6" t="str">
        <f t="shared" si="1"/>
        <v>177.196</v>
      </c>
      <c r="C141" s="6" t="str">
        <f t="shared" si="2"/>
        <v>177,196</v>
      </c>
      <c r="D141" s="6">
        <f t="shared" si="3"/>
        <v>177.196</v>
      </c>
      <c r="E141" s="6">
        <f t="shared" si="4"/>
        <v>0.325</v>
      </c>
    </row>
    <row r="142">
      <c r="A142" s="4" t="s">
        <v>8304</v>
      </c>
      <c r="B142" s="6" t="str">
        <f t="shared" si="1"/>
        <v>177.537</v>
      </c>
      <c r="C142" s="6" t="str">
        <f t="shared" si="2"/>
        <v>177,537</v>
      </c>
      <c r="D142" s="6">
        <f t="shared" si="3"/>
        <v>177.537</v>
      </c>
      <c r="E142" s="6">
        <f t="shared" si="4"/>
        <v>0.341</v>
      </c>
    </row>
    <row r="143">
      <c r="A143" s="4" t="s">
        <v>8305</v>
      </c>
      <c r="B143" s="6" t="str">
        <f t="shared" si="1"/>
        <v>177.890</v>
      </c>
      <c r="C143" s="6" t="str">
        <f t="shared" si="2"/>
        <v>177,890</v>
      </c>
      <c r="D143" s="6">
        <f t="shared" si="3"/>
        <v>177.89</v>
      </c>
      <c r="E143" s="6">
        <f t="shared" si="4"/>
        <v>0.353</v>
      </c>
    </row>
    <row r="144">
      <c r="A144" s="4" t="s">
        <v>8306</v>
      </c>
      <c r="B144" s="6" t="str">
        <f t="shared" si="1"/>
        <v>182.344</v>
      </c>
      <c r="C144" s="6" t="str">
        <f t="shared" si="2"/>
        <v>182,344</v>
      </c>
      <c r="D144" s="6">
        <f t="shared" si="3"/>
        <v>182.344</v>
      </c>
      <c r="E144" s="6">
        <f t="shared" si="4"/>
        <v>4.454</v>
      </c>
    </row>
    <row r="145">
      <c r="A145" s="4" t="s">
        <v>8307</v>
      </c>
      <c r="B145" s="6" t="str">
        <f t="shared" si="1"/>
        <v>182.695</v>
      </c>
      <c r="C145" s="6" t="str">
        <f t="shared" si="2"/>
        <v>182,695</v>
      </c>
      <c r="D145" s="6">
        <f t="shared" si="3"/>
        <v>182.695</v>
      </c>
      <c r="E145" s="6">
        <f t="shared" si="4"/>
        <v>0.351</v>
      </c>
    </row>
    <row r="146">
      <c r="A146" s="4" t="s">
        <v>8308</v>
      </c>
      <c r="B146" s="6" t="str">
        <f t="shared" si="1"/>
        <v>183.016</v>
      </c>
      <c r="C146" s="6" t="str">
        <f t="shared" si="2"/>
        <v>183,016</v>
      </c>
      <c r="D146" s="6">
        <f t="shared" si="3"/>
        <v>183.016</v>
      </c>
      <c r="E146" s="6">
        <f t="shared" si="4"/>
        <v>0.321</v>
      </c>
    </row>
    <row r="147">
      <c r="A147" s="4" t="s">
        <v>8309</v>
      </c>
      <c r="B147" s="6" t="str">
        <f t="shared" si="1"/>
        <v>183.352</v>
      </c>
      <c r="C147" s="6" t="str">
        <f t="shared" si="2"/>
        <v>183,352</v>
      </c>
      <c r="D147" s="6">
        <f t="shared" si="3"/>
        <v>183.352</v>
      </c>
      <c r="E147" s="6">
        <f t="shared" si="4"/>
        <v>0.336</v>
      </c>
    </row>
    <row r="148">
      <c r="A148" s="4" t="s">
        <v>8310</v>
      </c>
      <c r="B148" s="6" t="str">
        <f t="shared" si="1"/>
        <v>183.681</v>
      </c>
      <c r="C148" s="6" t="str">
        <f t="shared" si="2"/>
        <v>183,681</v>
      </c>
      <c r="D148" s="6">
        <f t="shared" si="3"/>
        <v>183.681</v>
      </c>
      <c r="E148" s="6">
        <f t="shared" si="4"/>
        <v>0.329</v>
      </c>
    </row>
    <row r="149">
      <c r="A149" s="4" t="s">
        <v>8311</v>
      </c>
      <c r="B149" s="6" t="str">
        <f t="shared" si="1"/>
        <v>184.014</v>
      </c>
      <c r="C149" s="6" t="str">
        <f t="shared" si="2"/>
        <v>184,014</v>
      </c>
      <c r="D149" s="6">
        <f t="shared" si="3"/>
        <v>184.014</v>
      </c>
      <c r="E149" s="6">
        <f t="shared" si="4"/>
        <v>0.333</v>
      </c>
    </row>
    <row r="150">
      <c r="A150" s="4" t="s">
        <v>8312</v>
      </c>
      <c r="B150" s="6" t="str">
        <f t="shared" si="1"/>
        <v>184.349</v>
      </c>
      <c r="C150" s="6" t="str">
        <f t="shared" si="2"/>
        <v>184,349</v>
      </c>
      <c r="D150" s="6">
        <f t="shared" si="3"/>
        <v>184.349</v>
      </c>
      <c r="E150" s="6">
        <f t="shared" si="4"/>
        <v>0.335</v>
      </c>
    </row>
    <row r="151">
      <c r="A151" s="4" t="s">
        <v>8313</v>
      </c>
      <c r="B151" s="6" t="str">
        <f t="shared" si="1"/>
        <v>184.674</v>
      </c>
      <c r="C151" s="6" t="str">
        <f t="shared" si="2"/>
        <v>184,674</v>
      </c>
      <c r="D151" s="6">
        <f t="shared" si="3"/>
        <v>184.674</v>
      </c>
      <c r="E151" s="6">
        <f t="shared" si="4"/>
        <v>0.325</v>
      </c>
    </row>
    <row r="152">
      <c r="A152" s="4" t="s">
        <v>8314</v>
      </c>
      <c r="B152" s="6" t="str">
        <f t="shared" si="1"/>
        <v>185.004</v>
      </c>
      <c r="C152" s="6" t="str">
        <f t="shared" si="2"/>
        <v>185,004</v>
      </c>
      <c r="D152" s="6">
        <f t="shared" si="3"/>
        <v>185.004</v>
      </c>
      <c r="E152" s="6">
        <f t="shared" si="4"/>
        <v>0.33</v>
      </c>
    </row>
    <row r="153">
      <c r="A153" s="4" t="s">
        <v>8315</v>
      </c>
      <c r="B153" s="6" t="str">
        <f t="shared" si="1"/>
        <v>185.415</v>
      </c>
      <c r="C153" s="6" t="str">
        <f t="shared" si="2"/>
        <v>185,415</v>
      </c>
      <c r="D153" s="6">
        <f t="shared" si="3"/>
        <v>185.415</v>
      </c>
      <c r="E153" s="6">
        <f t="shared" si="4"/>
        <v>0.411</v>
      </c>
    </row>
    <row r="154">
      <c r="A154" s="4" t="s">
        <v>8316</v>
      </c>
      <c r="B154" s="6" t="str">
        <f t="shared" si="1"/>
        <v>185.741</v>
      </c>
      <c r="C154" s="6" t="str">
        <f t="shared" si="2"/>
        <v>185,741</v>
      </c>
      <c r="D154" s="6">
        <f t="shared" si="3"/>
        <v>185.741</v>
      </c>
      <c r="E154" s="6">
        <f t="shared" si="4"/>
        <v>0.326</v>
      </c>
    </row>
    <row r="155">
      <c r="A155" s="4" t="s">
        <v>8317</v>
      </c>
      <c r="B155" s="6" t="str">
        <f t="shared" si="1"/>
        <v>190.840</v>
      </c>
      <c r="C155" s="6" t="str">
        <f t="shared" si="2"/>
        <v>190,840</v>
      </c>
      <c r="D155" s="6">
        <f t="shared" si="3"/>
        <v>190.84</v>
      </c>
      <c r="E155" s="6">
        <f t="shared" si="4"/>
        <v>5.099</v>
      </c>
    </row>
    <row r="156">
      <c r="A156" s="4" t="s">
        <v>8318</v>
      </c>
      <c r="B156" s="6" t="str">
        <f t="shared" si="1"/>
        <v>191.148</v>
      </c>
      <c r="C156" s="6" t="str">
        <f t="shared" si="2"/>
        <v>191,148</v>
      </c>
      <c r="D156" s="6">
        <f t="shared" si="3"/>
        <v>191.148</v>
      </c>
      <c r="E156" s="6">
        <f t="shared" si="4"/>
        <v>0.308</v>
      </c>
    </row>
    <row r="157">
      <c r="A157" s="4" t="s">
        <v>8319</v>
      </c>
      <c r="B157" s="6" t="str">
        <f t="shared" si="1"/>
        <v>191.464</v>
      </c>
      <c r="C157" s="6" t="str">
        <f t="shared" si="2"/>
        <v>191,464</v>
      </c>
      <c r="D157" s="6">
        <f t="shared" si="3"/>
        <v>191.464</v>
      </c>
      <c r="E157" s="6">
        <f t="shared" si="4"/>
        <v>0.316</v>
      </c>
    </row>
    <row r="158">
      <c r="A158" s="4" t="s">
        <v>8320</v>
      </c>
      <c r="B158" s="6" t="str">
        <f t="shared" si="1"/>
        <v>191.787</v>
      </c>
      <c r="C158" s="6" t="str">
        <f t="shared" si="2"/>
        <v>191,787</v>
      </c>
      <c r="D158" s="6">
        <f t="shared" si="3"/>
        <v>191.787</v>
      </c>
      <c r="E158" s="6">
        <f t="shared" si="4"/>
        <v>0.323</v>
      </c>
    </row>
    <row r="159">
      <c r="A159" s="4" t="s">
        <v>8321</v>
      </c>
      <c r="B159" s="6" t="str">
        <f t="shared" si="1"/>
        <v>192.126</v>
      </c>
      <c r="C159" s="6" t="str">
        <f t="shared" si="2"/>
        <v>192,126</v>
      </c>
      <c r="D159" s="6">
        <f t="shared" si="3"/>
        <v>192.126</v>
      </c>
      <c r="E159" s="6">
        <f t="shared" si="4"/>
        <v>0.339</v>
      </c>
    </row>
    <row r="160">
      <c r="A160" s="4" t="s">
        <v>8322</v>
      </c>
      <c r="B160" s="6" t="str">
        <f t="shared" si="1"/>
        <v>192.442</v>
      </c>
      <c r="C160" s="6" t="str">
        <f t="shared" si="2"/>
        <v>192,442</v>
      </c>
      <c r="D160" s="6">
        <f t="shared" si="3"/>
        <v>192.442</v>
      </c>
      <c r="E160" s="6">
        <f t="shared" si="4"/>
        <v>0.316</v>
      </c>
    </row>
    <row r="161">
      <c r="A161" s="4" t="s">
        <v>8323</v>
      </c>
      <c r="B161" s="6" t="str">
        <f t="shared" si="1"/>
        <v>192.763</v>
      </c>
      <c r="C161" s="6" t="str">
        <f t="shared" si="2"/>
        <v>192,763</v>
      </c>
      <c r="D161" s="6">
        <f t="shared" si="3"/>
        <v>192.763</v>
      </c>
      <c r="E161" s="6">
        <f t="shared" si="4"/>
        <v>0.321</v>
      </c>
    </row>
    <row r="162">
      <c r="A162" s="4" t="s">
        <v>8324</v>
      </c>
      <c r="B162" s="6" t="str">
        <f t="shared" si="1"/>
        <v>193.083</v>
      </c>
      <c r="C162" s="6" t="str">
        <f t="shared" si="2"/>
        <v>193,083</v>
      </c>
      <c r="D162" s="6">
        <f t="shared" si="3"/>
        <v>193.083</v>
      </c>
      <c r="E162" s="6">
        <f t="shared" si="4"/>
        <v>0.32</v>
      </c>
    </row>
    <row r="163">
      <c r="A163" s="4" t="s">
        <v>8325</v>
      </c>
      <c r="B163" s="6" t="str">
        <f t="shared" si="1"/>
        <v>193.408</v>
      </c>
      <c r="C163" s="6" t="str">
        <f t="shared" si="2"/>
        <v>193,408</v>
      </c>
      <c r="D163" s="6">
        <f t="shared" si="3"/>
        <v>193.408</v>
      </c>
      <c r="E163" s="6">
        <f t="shared" si="4"/>
        <v>0.325</v>
      </c>
    </row>
    <row r="164">
      <c r="A164" s="4" t="s">
        <v>8326</v>
      </c>
      <c r="B164" s="6" t="str">
        <f t="shared" si="1"/>
        <v>193.707</v>
      </c>
      <c r="C164" s="6" t="str">
        <f t="shared" si="2"/>
        <v>193,707</v>
      </c>
      <c r="D164" s="6">
        <f t="shared" si="3"/>
        <v>193.707</v>
      </c>
      <c r="E164" s="6">
        <f t="shared" si="4"/>
        <v>0.299</v>
      </c>
    </row>
    <row r="165">
      <c r="A165" s="4" t="s">
        <v>8327</v>
      </c>
      <c r="B165" s="6" t="str">
        <f t="shared" si="1"/>
        <v>194.018</v>
      </c>
      <c r="C165" s="6" t="str">
        <f t="shared" si="2"/>
        <v>194,018</v>
      </c>
      <c r="D165" s="6">
        <f t="shared" si="3"/>
        <v>194.018</v>
      </c>
      <c r="E165" s="6">
        <f t="shared" si="4"/>
        <v>0.311</v>
      </c>
    </row>
    <row r="166">
      <c r="A166" s="4" t="s">
        <v>8328</v>
      </c>
      <c r="B166" s="6" t="str">
        <f t="shared" si="1"/>
        <v>194.342</v>
      </c>
      <c r="C166" s="6" t="str">
        <f t="shared" si="2"/>
        <v>194,342</v>
      </c>
      <c r="D166" s="6">
        <f t="shared" si="3"/>
        <v>194.342</v>
      </c>
      <c r="E166" s="6">
        <f t="shared" si="4"/>
        <v>0.324</v>
      </c>
    </row>
    <row r="167">
      <c r="A167" s="4" t="s">
        <v>8329</v>
      </c>
      <c r="B167" s="6" t="str">
        <f t="shared" si="1"/>
        <v>194.744</v>
      </c>
      <c r="C167" s="6" t="str">
        <f t="shared" si="2"/>
        <v>194,744</v>
      </c>
      <c r="D167" s="6">
        <f t="shared" si="3"/>
        <v>194.744</v>
      </c>
      <c r="E167" s="6">
        <f t="shared" si="4"/>
        <v>0.402</v>
      </c>
    </row>
    <row r="168">
      <c r="A168" s="4" t="s">
        <v>8330</v>
      </c>
      <c r="B168" s="6" t="str">
        <f t="shared" si="1"/>
        <v>195.057</v>
      </c>
      <c r="C168" s="6" t="str">
        <f t="shared" si="2"/>
        <v>195,057</v>
      </c>
      <c r="D168" s="6">
        <f t="shared" si="3"/>
        <v>195.057</v>
      </c>
      <c r="E168" s="6">
        <f t="shared" si="4"/>
        <v>0.313</v>
      </c>
    </row>
    <row r="169">
      <c r="A169" s="4" t="s">
        <v>8331</v>
      </c>
      <c r="B169" s="6" t="str">
        <f t="shared" si="1"/>
        <v>199.197</v>
      </c>
      <c r="C169" s="6" t="str">
        <f t="shared" si="2"/>
        <v>199,197</v>
      </c>
      <c r="D169" s="6">
        <f t="shared" si="3"/>
        <v>199.197</v>
      </c>
      <c r="E169" s="6">
        <f t="shared" si="4"/>
        <v>4.14</v>
      </c>
    </row>
    <row r="170">
      <c r="A170" s="4" t="s">
        <v>8332</v>
      </c>
      <c r="B170" s="6" t="str">
        <f t="shared" si="1"/>
        <v>199.538</v>
      </c>
      <c r="C170" s="6" t="str">
        <f t="shared" si="2"/>
        <v>199,538</v>
      </c>
      <c r="D170" s="6">
        <f t="shared" si="3"/>
        <v>199.538</v>
      </c>
      <c r="E170" s="6">
        <f t="shared" si="4"/>
        <v>0.341</v>
      </c>
    </row>
    <row r="171">
      <c r="A171" s="4" t="s">
        <v>8333</v>
      </c>
      <c r="B171" s="6" t="str">
        <f t="shared" si="1"/>
        <v>199.882</v>
      </c>
      <c r="C171" s="6" t="str">
        <f t="shared" si="2"/>
        <v>199,882</v>
      </c>
      <c r="D171" s="6">
        <f t="shared" si="3"/>
        <v>199.882</v>
      </c>
      <c r="E171" s="6">
        <f t="shared" si="4"/>
        <v>0.344</v>
      </c>
    </row>
    <row r="172">
      <c r="A172" s="4" t="s">
        <v>8334</v>
      </c>
      <c r="B172" s="6" t="str">
        <f t="shared" si="1"/>
        <v>200.228</v>
      </c>
      <c r="C172" s="6" t="str">
        <f t="shared" si="2"/>
        <v>200,228</v>
      </c>
      <c r="D172" s="6">
        <f t="shared" si="3"/>
        <v>200.228</v>
      </c>
      <c r="E172" s="6">
        <f t="shared" si="4"/>
        <v>0.346</v>
      </c>
    </row>
    <row r="173">
      <c r="A173" s="4" t="s">
        <v>8335</v>
      </c>
      <c r="B173" s="6" t="str">
        <f t="shared" si="1"/>
        <v>200.596</v>
      </c>
      <c r="C173" s="6" t="str">
        <f t="shared" si="2"/>
        <v>200,596</v>
      </c>
      <c r="D173" s="6">
        <f t="shared" si="3"/>
        <v>200.596</v>
      </c>
      <c r="E173" s="6">
        <f t="shared" si="4"/>
        <v>0.368</v>
      </c>
    </row>
    <row r="174">
      <c r="A174" s="4" t="s">
        <v>8336</v>
      </c>
      <c r="B174" s="6" t="str">
        <f t="shared" si="1"/>
        <v>200.942</v>
      </c>
      <c r="C174" s="6" t="str">
        <f t="shared" si="2"/>
        <v>200,942</v>
      </c>
      <c r="D174" s="6">
        <f t="shared" si="3"/>
        <v>200.942</v>
      </c>
      <c r="E174" s="6">
        <f t="shared" si="4"/>
        <v>0.346</v>
      </c>
    </row>
    <row r="175">
      <c r="A175" s="4" t="s">
        <v>8337</v>
      </c>
      <c r="B175" s="6" t="str">
        <f t="shared" si="1"/>
        <v>201.305</v>
      </c>
      <c r="C175" s="6" t="str">
        <f t="shared" si="2"/>
        <v>201,305</v>
      </c>
      <c r="D175" s="6">
        <f t="shared" si="3"/>
        <v>201.305</v>
      </c>
      <c r="E175" s="6">
        <f t="shared" si="4"/>
        <v>0.363</v>
      </c>
    </row>
    <row r="176">
      <c r="A176" s="4" t="s">
        <v>8338</v>
      </c>
      <c r="B176" s="6" t="str">
        <f t="shared" si="1"/>
        <v>201.646</v>
      </c>
      <c r="C176" s="6" t="str">
        <f t="shared" si="2"/>
        <v>201,646</v>
      </c>
      <c r="D176" s="6">
        <f t="shared" si="3"/>
        <v>201.646</v>
      </c>
      <c r="E176" s="6">
        <f t="shared" si="4"/>
        <v>0.341</v>
      </c>
    </row>
    <row r="177">
      <c r="A177" s="4" t="s">
        <v>8339</v>
      </c>
      <c r="B177" s="6" t="str">
        <f t="shared" si="1"/>
        <v>201.997</v>
      </c>
      <c r="C177" s="6" t="str">
        <f t="shared" si="2"/>
        <v>201,997</v>
      </c>
      <c r="D177" s="6">
        <f t="shared" si="3"/>
        <v>201.997</v>
      </c>
      <c r="E177" s="6">
        <f t="shared" si="4"/>
        <v>0.351</v>
      </c>
    </row>
    <row r="178">
      <c r="A178" s="4" t="s">
        <v>8340</v>
      </c>
      <c r="B178" s="6" t="str">
        <f t="shared" si="1"/>
        <v>202.349</v>
      </c>
      <c r="C178" s="6" t="str">
        <f t="shared" si="2"/>
        <v>202,349</v>
      </c>
      <c r="D178" s="6">
        <f t="shared" si="3"/>
        <v>202.349</v>
      </c>
      <c r="E178" s="6">
        <f t="shared" si="4"/>
        <v>0.352</v>
      </c>
    </row>
    <row r="179">
      <c r="A179" s="4" t="s">
        <v>8341</v>
      </c>
      <c r="B179" s="6" t="str">
        <f t="shared" si="1"/>
        <v>206.022</v>
      </c>
      <c r="C179" s="6" t="str">
        <f t="shared" si="2"/>
        <v>206,022</v>
      </c>
      <c r="D179" s="6">
        <f t="shared" si="3"/>
        <v>206.022</v>
      </c>
      <c r="E179" s="6">
        <f t="shared" si="4"/>
        <v>3.673</v>
      </c>
    </row>
    <row r="180">
      <c r="A180" s="4" t="s">
        <v>8342</v>
      </c>
      <c r="B180" s="6" t="str">
        <f t="shared" si="1"/>
        <v>206.431</v>
      </c>
      <c r="C180" s="6" t="str">
        <f t="shared" si="2"/>
        <v>206,431</v>
      </c>
      <c r="D180" s="6">
        <f t="shared" si="3"/>
        <v>206.431</v>
      </c>
      <c r="E180" s="6">
        <f t="shared" si="4"/>
        <v>0.409</v>
      </c>
    </row>
    <row r="181">
      <c r="A181" s="4" t="s">
        <v>8343</v>
      </c>
      <c r="B181" s="6" t="str">
        <f t="shared" si="1"/>
        <v>206.757</v>
      </c>
      <c r="C181" s="6" t="str">
        <f t="shared" si="2"/>
        <v>206,757</v>
      </c>
      <c r="D181" s="6">
        <f t="shared" si="3"/>
        <v>206.757</v>
      </c>
      <c r="E181" s="6">
        <f t="shared" si="4"/>
        <v>0.326</v>
      </c>
    </row>
    <row r="182">
      <c r="A182" s="4" t="s">
        <v>8344</v>
      </c>
      <c r="B182" s="6" t="str">
        <f t="shared" si="1"/>
        <v>207.071</v>
      </c>
      <c r="C182" s="6" t="str">
        <f t="shared" si="2"/>
        <v>207,071</v>
      </c>
      <c r="D182" s="6">
        <f t="shared" si="3"/>
        <v>207.071</v>
      </c>
      <c r="E182" s="6">
        <f t="shared" si="4"/>
        <v>0.314</v>
      </c>
    </row>
    <row r="183">
      <c r="A183" s="4" t="s">
        <v>8345</v>
      </c>
      <c r="B183" s="6" t="str">
        <f t="shared" si="1"/>
        <v>207.386</v>
      </c>
      <c r="C183" s="6" t="str">
        <f t="shared" si="2"/>
        <v>207,386</v>
      </c>
      <c r="D183" s="6">
        <f t="shared" si="3"/>
        <v>207.386</v>
      </c>
      <c r="E183" s="6">
        <f t="shared" si="4"/>
        <v>0.315</v>
      </c>
    </row>
    <row r="184">
      <c r="A184" s="4" t="s">
        <v>8346</v>
      </c>
      <c r="B184" s="6" t="str">
        <f t="shared" si="1"/>
        <v>207.719</v>
      </c>
      <c r="C184" s="6" t="str">
        <f t="shared" si="2"/>
        <v>207,719</v>
      </c>
      <c r="D184" s="6">
        <f t="shared" si="3"/>
        <v>207.719</v>
      </c>
      <c r="E184" s="6">
        <f t="shared" si="4"/>
        <v>0.333</v>
      </c>
    </row>
    <row r="185">
      <c r="A185" s="4" t="s">
        <v>8347</v>
      </c>
      <c r="B185" s="6" t="str">
        <f t="shared" si="1"/>
        <v>208.054</v>
      </c>
      <c r="C185" s="6" t="str">
        <f t="shared" si="2"/>
        <v>208,054</v>
      </c>
      <c r="D185" s="6">
        <f t="shared" si="3"/>
        <v>208.054</v>
      </c>
      <c r="E185" s="6">
        <f t="shared" si="4"/>
        <v>0.335</v>
      </c>
    </row>
    <row r="186">
      <c r="A186" s="4" t="s">
        <v>8348</v>
      </c>
      <c r="B186" s="6" t="str">
        <f t="shared" si="1"/>
        <v>214.627</v>
      </c>
      <c r="C186" s="6" t="str">
        <f t="shared" si="2"/>
        <v>214,627</v>
      </c>
      <c r="D186" s="6">
        <f t="shared" si="3"/>
        <v>214.627</v>
      </c>
      <c r="E186" s="6">
        <f t="shared" si="4"/>
        <v>6.573</v>
      </c>
    </row>
    <row r="187">
      <c r="A187" s="4" t="s">
        <v>8349</v>
      </c>
      <c r="B187" s="6" t="str">
        <f t="shared" si="1"/>
        <v>214.957</v>
      </c>
      <c r="C187" s="6" t="str">
        <f t="shared" si="2"/>
        <v>214,957</v>
      </c>
      <c r="D187" s="6">
        <f t="shared" si="3"/>
        <v>214.957</v>
      </c>
      <c r="E187" s="6">
        <f t="shared" si="4"/>
        <v>0.33</v>
      </c>
    </row>
    <row r="188">
      <c r="A188" s="4" t="s">
        <v>8350</v>
      </c>
      <c r="B188" s="6" t="str">
        <f t="shared" si="1"/>
        <v>215.302</v>
      </c>
      <c r="C188" s="6" t="str">
        <f t="shared" si="2"/>
        <v>215,302</v>
      </c>
      <c r="D188" s="6">
        <f t="shared" si="3"/>
        <v>215.302</v>
      </c>
      <c r="E188" s="6">
        <f t="shared" si="4"/>
        <v>0.345</v>
      </c>
    </row>
    <row r="189">
      <c r="A189" s="4" t="s">
        <v>8351</v>
      </c>
      <c r="B189" s="6" t="str">
        <f t="shared" si="1"/>
        <v>215.634</v>
      </c>
      <c r="C189" s="6" t="str">
        <f t="shared" si="2"/>
        <v>215,634</v>
      </c>
      <c r="D189" s="6">
        <f t="shared" si="3"/>
        <v>215.634</v>
      </c>
      <c r="E189" s="6">
        <f t="shared" si="4"/>
        <v>0.332</v>
      </c>
    </row>
    <row r="190">
      <c r="A190" s="4" t="s">
        <v>8352</v>
      </c>
      <c r="B190" s="6" t="str">
        <f t="shared" si="1"/>
        <v>215.968</v>
      </c>
      <c r="C190" s="6" t="str">
        <f t="shared" si="2"/>
        <v>215,968</v>
      </c>
      <c r="D190" s="6">
        <f t="shared" si="3"/>
        <v>215.968</v>
      </c>
      <c r="E190" s="6">
        <f t="shared" si="4"/>
        <v>0.334</v>
      </c>
    </row>
    <row r="191">
      <c r="A191" s="4" t="s">
        <v>8353</v>
      </c>
      <c r="B191" s="6" t="str">
        <f t="shared" si="1"/>
        <v>216.315</v>
      </c>
      <c r="C191" s="6" t="str">
        <f t="shared" si="2"/>
        <v>216,315</v>
      </c>
      <c r="D191" s="6">
        <f t="shared" si="3"/>
        <v>216.315</v>
      </c>
      <c r="E191" s="6">
        <f t="shared" si="4"/>
        <v>0.347</v>
      </c>
    </row>
    <row r="192">
      <c r="A192" s="4" t="s">
        <v>8354</v>
      </c>
      <c r="B192" s="6" t="str">
        <f t="shared" si="1"/>
        <v>216.666</v>
      </c>
      <c r="C192" s="6" t="str">
        <f t="shared" si="2"/>
        <v>216,666</v>
      </c>
      <c r="D192" s="6">
        <f t="shared" si="3"/>
        <v>216.666</v>
      </c>
      <c r="E192" s="6">
        <f t="shared" si="4"/>
        <v>0.351</v>
      </c>
    </row>
    <row r="193">
      <c r="A193" s="4" t="s">
        <v>8355</v>
      </c>
      <c r="B193" s="6" t="str">
        <f t="shared" si="1"/>
        <v>217.081</v>
      </c>
      <c r="C193" s="6" t="str">
        <f t="shared" si="2"/>
        <v>217,081</v>
      </c>
      <c r="D193" s="6">
        <f t="shared" si="3"/>
        <v>217.081</v>
      </c>
      <c r="E193" s="6">
        <f t="shared" si="4"/>
        <v>0.415</v>
      </c>
    </row>
    <row r="194">
      <c r="A194" s="4" t="s">
        <v>8356</v>
      </c>
      <c r="B194" s="6" t="str">
        <f t="shared" si="1"/>
        <v>217.406</v>
      </c>
      <c r="C194" s="6" t="str">
        <f t="shared" si="2"/>
        <v>217,406</v>
      </c>
      <c r="D194" s="6">
        <f t="shared" si="3"/>
        <v>217.406</v>
      </c>
      <c r="E194" s="6">
        <f t="shared" si="4"/>
        <v>0.325</v>
      </c>
    </row>
    <row r="195">
      <c r="A195" s="4" t="s">
        <v>8357</v>
      </c>
      <c r="B195" s="6" t="str">
        <f t="shared" si="1"/>
        <v>217.728</v>
      </c>
      <c r="C195" s="6" t="str">
        <f t="shared" si="2"/>
        <v>217,728</v>
      </c>
      <c r="D195" s="6">
        <f t="shared" si="3"/>
        <v>217.728</v>
      </c>
      <c r="E195" s="6">
        <f t="shared" si="4"/>
        <v>0.322</v>
      </c>
    </row>
    <row r="196">
      <c r="A196" s="4" t="s">
        <v>8358</v>
      </c>
      <c r="B196" s="6" t="str">
        <f t="shared" si="1"/>
        <v>218.058</v>
      </c>
      <c r="C196" s="6" t="str">
        <f t="shared" si="2"/>
        <v>218,058</v>
      </c>
      <c r="D196" s="6">
        <f t="shared" si="3"/>
        <v>218.058</v>
      </c>
      <c r="E196" s="6">
        <f t="shared" si="4"/>
        <v>0.33</v>
      </c>
    </row>
    <row r="197">
      <c r="A197" s="4" t="s">
        <v>8359</v>
      </c>
      <c r="B197" s="6" t="str">
        <f t="shared" si="1"/>
        <v>218.380</v>
      </c>
      <c r="C197" s="6" t="str">
        <f t="shared" si="2"/>
        <v>218,380</v>
      </c>
      <c r="D197" s="6">
        <f t="shared" si="3"/>
        <v>218.38</v>
      </c>
      <c r="E197" s="6">
        <f t="shared" si="4"/>
        <v>0.322</v>
      </c>
    </row>
    <row r="198">
      <c r="A198" s="4" t="s">
        <v>8360</v>
      </c>
      <c r="B198" s="6" t="str">
        <f t="shared" si="1"/>
        <v>222.018</v>
      </c>
      <c r="C198" s="6" t="str">
        <f t="shared" si="2"/>
        <v>222,018</v>
      </c>
      <c r="D198" s="6">
        <f t="shared" si="3"/>
        <v>222.018</v>
      </c>
      <c r="E198" s="6">
        <f t="shared" si="4"/>
        <v>3.638</v>
      </c>
    </row>
    <row r="199">
      <c r="A199" s="4" t="s">
        <v>8361</v>
      </c>
      <c r="B199" s="6" t="str">
        <f t="shared" si="1"/>
        <v>222.364</v>
      </c>
      <c r="C199" s="6" t="str">
        <f t="shared" si="2"/>
        <v>222,364</v>
      </c>
      <c r="D199" s="6">
        <f t="shared" si="3"/>
        <v>222.364</v>
      </c>
      <c r="E199" s="6">
        <f t="shared" si="4"/>
        <v>0.346</v>
      </c>
    </row>
    <row r="200">
      <c r="A200" s="4" t="s">
        <v>8362</v>
      </c>
      <c r="B200" s="6" t="str">
        <f t="shared" si="1"/>
        <v>222.718</v>
      </c>
      <c r="C200" s="6" t="str">
        <f t="shared" si="2"/>
        <v>222,718</v>
      </c>
      <c r="D200" s="6">
        <f t="shared" si="3"/>
        <v>222.718</v>
      </c>
      <c r="E200" s="6">
        <f t="shared" si="4"/>
        <v>0.354</v>
      </c>
    </row>
    <row r="201">
      <c r="A201" s="4" t="s">
        <v>8363</v>
      </c>
      <c r="B201" s="6" t="str">
        <f t="shared" si="1"/>
        <v>223.050</v>
      </c>
      <c r="C201" s="6" t="str">
        <f t="shared" si="2"/>
        <v>223,050</v>
      </c>
      <c r="D201" s="6">
        <f t="shared" si="3"/>
        <v>223.05</v>
      </c>
      <c r="E201" s="6">
        <f t="shared" si="4"/>
        <v>0.332</v>
      </c>
    </row>
    <row r="202">
      <c r="A202" s="4" t="s">
        <v>8364</v>
      </c>
      <c r="B202" s="6" t="str">
        <f t="shared" si="1"/>
        <v>223.386</v>
      </c>
      <c r="C202" s="6" t="str">
        <f t="shared" si="2"/>
        <v>223,386</v>
      </c>
      <c r="D202" s="6">
        <f t="shared" si="3"/>
        <v>223.386</v>
      </c>
      <c r="E202" s="6">
        <f t="shared" si="4"/>
        <v>0.336</v>
      </c>
    </row>
    <row r="203">
      <c r="A203" s="4" t="s">
        <v>8365</v>
      </c>
      <c r="B203" s="6" t="str">
        <f t="shared" si="1"/>
        <v>223.744</v>
      </c>
      <c r="C203" s="6" t="str">
        <f t="shared" si="2"/>
        <v>223,744</v>
      </c>
      <c r="D203" s="6">
        <f t="shared" si="3"/>
        <v>223.744</v>
      </c>
      <c r="E203" s="6">
        <f t="shared" si="4"/>
        <v>0.358</v>
      </c>
    </row>
    <row r="204">
      <c r="A204" s="4" t="s">
        <v>8366</v>
      </c>
      <c r="B204" s="6" t="str">
        <f t="shared" si="1"/>
        <v>224.065</v>
      </c>
      <c r="C204" s="6" t="str">
        <f t="shared" si="2"/>
        <v>224,065</v>
      </c>
      <c r="D204" s="6">
        <f t="shared" si="3"/>
        <v>224.065</v>
      </c>
      <c r="E204" s="6">
        <f t="shared" si="4"/>
        <v>0.321</v>
      </c>
    </row>
    <row r="205">
      <c r="A205" s="4" t="s">
        <v>8367</v>
      </c>
      <c r="B205" s="6" t="str">
        <f t="shared" si="1"/>
        <v>226.805</v>
      </c>
      <c r="C205" s="6" t="str">
        <f t="shared" si="2"/>
        <v>226,805</v>
      </c>
      <c r="D205" s="6">
        <f t="shared" si="3"/>
        <v>226.805</v>
      </c>
      <c r="E205" s="6">
        <f t="shared" si="4"/>
        <v>2.74</v>
      </c>
    </row>
    <row r="206">
      <c r="A206" s="4" t="s">
        <v>8368</v>
      </c>
      <c r="B206" s="6" t="str">
        <f t="shared" si="1"/>
        <v>227.131</v>
      </c>
      <c r="C206" s="6" t="str">
        <f t="shared" si="2"/>
        <v>227,131</v>
      </c>
      <c r="D206" s="6">
        <f t="shared" si="3"/>
        <v>227.131</v>
      </c>
      <c r="E206" s="6">
        <f t="shared" si="4"/>
        <v>0.326</v>
      </c>
    </row>
    <row r="207">
      <c r="A207" s="4" t="s">
        <v>8369</v>
      </c>
      <c r="B207" s="6" t="str">
        <f t="shared" si="1"/>
        <v>227.514</v>
      </c>
      <c r="C207" s="6" t="str">
        <f t="shared" si="2"/>
        <v>227,514</v>
      </c>
      <c r="D207" s="6">
        <f t="shared" si="3"/>
        <v>227.514</v>
      </c>
      <c r="E207" s="6">
        <f t="shared" si="4"/>
        <v>0.383</v>
      </c>
    </row>
    <row r="208">
      <c r="A208" s="4" t="s">
        <v>8370</v>
      </c>
      <c r="B208" s="6" t="str">
        <f t="shared" si="1"/>
        <v>227.857</v>
      </c>
      <c r="C208" s="6" t="str">
        <f t="shared" si="2"/>
        <v>227,857</v>
      </c>
      <c r="D208" s="6">
        <f t="shared" si="3"/>
        <v>227.857</v>
      </c>
      <c r="E208" s="6">
        <f t="shared" si="4"/>
        <v>0.343</v>
      </c>
    </row>
    <row r="209">
      <c r="A209" s="4" t="s">
        <v>8371</v>
      </c>
      <c r="B209" s="6" t="str">
        <f t="shared" si="1"/>
        <v>235.068</v>
      </c>
      <c r="C209" s="6" t="str">
        <f t="shared" si="2"/>
        <v>235,068</v>
      </c>
      <c r="D209" s="6">
        <f t="shared" si="3"/>
        <v>235.068</v>
      </c>
      <c r="E209" s="6">
        <f t="shared" si="4"/>
        <v>7.211</v>
      </c>
    </row>
    <row r="210">
      <c r="A210" s="4" t="s">
        <v>8372</v>
      </c>
      <c r="B210" s="6" t="str">
        <f t="shared" si="1"/>
        <v>235.423</v>
      </c>
      <c r="C210" s="6" t="str">
        <f t="shared" si="2"/>
        <v>235,423</v>
      </c>
      <c r="D210" s="6">
        <f t="shared" si="3"/>
        <v>235.423</v>
      </c>
      <c r="E210" s="6">
        <f t="shared" si="4"/>
        <v>0.355</v>
      </c>
    </row>
    <row r="211">
      <c r="A211" s="4" t="s">
        <v>8373</v>
      </c>
      <c r="B211" s="6" t="str">
        <f t="shared" si="1"/>
        <v>235.759</v>
      </c>
      <c r="C211" s="6" t="str">
        <f t="shared" si="2"/>
        <v>235,759</v>
      </c>
      <c r="D211" s="6">
        <f t="shared" si="3"/>
        <v>235.759</v>
      </c>
      <c r="E211" s="6">
        <f t="shared" si="4"/>
        <v>0.336</v>
      </c>
    </row>
    <row r="212">
      <c r="A212" s="4" t="s">
        <v>8374</v>
      </c>
      <c r="B212" s="6" t="str">
        <f t="shared" si="1"/>
        <v>236.082</v>
      </c>
      <c r="C212" s="6" t="str">
        <f t="shared" si="2"/>
        <v>236,082</v>
      </c>
      <c r="D212" s="6">
        <f t="shared" si="3"/>
        <v>236.082</v>
      </c>
      <c r="E212" s="6">
        <f t="shared" si="4"/>
        <v>0.323</v>
      </c>
    </row>
    <row r="213">
      <c r="A213" s="4" t="s">
        <v>8375</v>
      </c>
      <c r="B213" s="6" t="str">
        <f t="shared" si="1"/>
        <v>236.417</v>
      </c>
      <c r="C213" s="6" t="str">
        <f t="shared" si="2"/>
        <v>236,417</v>
      </c>
      <c r="D213" s="6">
        <f t="shared" si="3"/>
        <v>236.417</v>
      </c>
      <c r="E213" s="6">
        <f t="shared" si="4"/>
        <v>0.335</v>
      </c>
    </row>
    <row r="214">
      <c r="A214" s="4" t="s">
        <v>8376</v>
      </c>
      <c r="B214" s="6" t="str">
        <f t="shared" si="1"/>
        <v>236.769</v>
      </c>
      <c r="C214" s="6" t="str">
        <f t="shared" si="2"/>
        <v>236,769</v>
      </c>
      <c r="D214" s="6">
        <f t="shared" si="3"/>
        <v>236.769</v>
      </c>
      <c r="E214" s="6">
        <f t="shared" si="4"/>
        <v>0.352</v>
      </c>
    </row>
    <row r="215">
      <c r="A215" s="4" t="s">
        <v>8377</v>
      </c>
      <c r="B215" s="6" t="str">
        <f t="shared" si="1"/>
        <v>237.095</v>
      </c>
      <c r="C215" s="6" t="str">
        <f t="shared" si="2"/>
        <v>237,095</v>
      </c>
      <c r="D215" s="6">
        <f t="shared" si="3"/>
        <v>237.095</v>
      </c>
      <c r="E215" s="6">
        <f t="shared" si="4"/>
        <v>0.326</v>
      </c>
    </row>
    <row r="216">
      <c r="A216" s="4" t="s">
        <v>8378</v>
      </c>
      <c r="B216" s="6" t="str">
        <f t="shared" si="1"/>
        <v>237.438</v>
      </c>
      <c r="C216" s="6" t="str">
        <f t="shared" si="2"/>
        <v>237,438</v>
      </c>
      <c r="D216" s="6">
        <f t="shared" si="3"/>
        <v>237.438</v>
      </c>
      <c r="E216" s="6">
        <f t="shared" si="4"/>
        <v>0.343</v>
      </c>
    </row>
    <row r="217">
      <c r="A217" s="4" t="s">
        <v>8379</v>
      </c>
      <c r="B217" s="6" t="str">
        <f t="shared" si="1"/>
        <v>237.768</v>
      </c>
      <c r="C217" s="6" t="str">
        <f t="shared" si="2"/>
        <v>237,768</v>
      </c>
      <c r="D217" s="6">
        <f t="shared" si="3"/>
        <v>237.768</v>
      </c>
      <c r="E217" s="6">
        <f t="shared" si="4"/>
        <v>0.33</v>
      </c>
    </row>
    <row r="218">
      <c r="A218" s="4" t="s">
        <v>8380</v>
      </c>
      <c r="B218" s="6" t="str">
        <f t="shared" si="1"/>
        <v>238.104</v>
      </c>
      <c r="C218" s="6" t="str">
        <f t="shared" si="2"/>
        <v>238,104</v>
      </c>
      <c r="D218" s="6">
        <f t="shared" si="3"/>
        <v>238.104</v>
      </c>
      <c r="E218" s="6">
        <f t="shared" si="4"/>
        <v>0.336</v>
      </c>
    </row>
    <row r="219">
      <c r="A219" s="4" t="s">
        <v>8381</v>
      </c>
      <c r="B219" s="6" t="str">
        <f t="shared" si="1"/>
        <v>238.436</v>
      </c>
      <c r="C219" s="6" t="str">
        <f t="shared" si="2"/>
        <v>238,436</v>
      </c>
      <c r="D219" s="6">
        <f t="shared" si="3"/>
        <v>238.436</v>
      </c>
      <c r="E219" s="6">
        <f t="shared" si="4"/>
        <v>0.332</v>
      </c>
    </row>
    <row r="220">
      <c r="A220" s="4" t="s">
        <v>8382</v>
      </c>
      <c r="B220" s="6" t="str">
        <f t="shared" si="1"/>
        <v>238.854</v>
      </c>
      <c r="C220" s="6" t="str">
        <f t="shared" si="2"/>
        <v>238,854</v>
      </c>
      <c r="D220" s="6">
        <f t="shared" si="3"/>
        <v>238.854</v>
      </c>
      <c r="E220" s="6">
        <f t="shared" si="4"/>
        <v>0.418</v>
      </c>
    </row>
    <row r="221">
      <c r="A221" s="4" t="s">
        <v>8383</v>
      </c>
      <c r="B221" s="6" t="str">
        <f t="shared" si="1"/>
        <v>242.586</v>
      </c>
      <c r="C221" s="6" t="str">
        <f t="shared" si="2"/>
        <v>242,586</v>
      </c>
      <c r="D221" s="6">
        <f t="shared" si="3"/>
        <v>242.586</v>
      </c>
      <c r="E221" s="6">
        <f t="shared" si="4"/>
        <v>3.732</v>
      </c>
    </row>
    <row r="222">
      <c r="A222" s="4" t="s">
        <v>8384</v>
      </c>
      <c r="B222" s="6" t="str">
        <f t="shared" si="1"/>
        <v>242.920</v>
      </c>
      <c r="C222" s="6" t="str">
        <f t="shared" si="2"/>
        <v>242,920</v>
      </c>
      <c r="D222" s="6">
        <f t="shared" si="3"/>
        <v>242.92</v>
      </c>
      <c r="E222" s="6">
        <f t="shared" si="4"/>
        <v>0.334</v>
      </c>
    </row>
    <row r="223">
      <c r="A223" s="4" t="s">
        <v>8385</v>
      </c>
      <c r="B223" s="6" t="str">
        <f t="shared" si="1"/>
        <v>243.277</v>
      </c>
      <c r="C223" s="6" t="str">
        <f t="shared" si="2"/>
        <v>243,277</v>
      </c>
      <c r="D223" s="6">
        <f t="shared" si="3"/>
        <v>243.277</v>
      </c>
      <c r="E223" s="6">
        <f t="shared" si="4"/>
        <v>0.357</v>
      </c>
    </row>
    <row r="224">
      <c r="A224" s="4" t="s">
        <v>8386</v>
      </c>
      <c r="B224" s="6" t="str">
        <f t="shared" si="1"/>
        <v>243.597</v>
      </c>
      <c r="C224" s="6" t="str">
        <f t="shared" si="2"/>
        <v>243,597</v>
      </c>
      <c r="D224" s="6">
        <f t="shared" si="3"/>
        <v>243.597</v>
      </c>
      <c r="E224" s="6">
        <f t="shared" si="4"/>
        <v>0.32</v>
      </c>
    </row>
    <row r="225">
      <c r="A225" s="4" t="s">
        <v>8387</v>
      </c>
      <c r="B225" s="6" t="str">
        <f t="shared" si="1"/>
        <v>243.931</v>
      </c>
      <c r="C225" s="6" t="str">
        <f t="shared" si="2"/>
        <v>243,931</v>
      </c>
      <c r="D225" s="6">
        <f t="shared" si="3"/>
        <v>243.931</v>
      </c>
      <c r="E225" s="6">
        <f t="shared" si="4"/>
        <v>0.334</v>
      </c>
    </row>
    <row r="226">
      <c r="A226" s="4" t="s">
        <v>8388</v>
      </c>
      <c r="B226" s="6" t="str">
        <f t="shared" si="1"/>
        <v>244.281</v>
      </c>
      <c r="C226" s="6" t="str">
        <f t="shared" si="2"/>
        <v>244,281</v>
      </c>
      <c r="D226" s="6">
        <f t="shared" si="3"/>
        <v>244.281</v>
      </c>
      <c r="E226" s="6">
        <f t="shared" si="4"/>
        <v>0.35</v>
      </c>
    </row>
    <row r="227">
      <c r="A227" s="4" t="s">
        <v>8389</v>
      </c>
      <c r="B227" s="6" t="str">
        <f t="shared" si="1"/>
        <v>244.614</v>
      </c>
      <c r="C227" s="6" t="str">
        <f t="shared" si="2"/>
        <v>244,614</v>
      </c>
      <c r="D227" s="6">
        <f t="shared" si="3"/>
        <v>244.614</v>
      </c>
      <c r="E227" s="6">
        <f t="shared" si="4"/>
        <v>0.333</v>
      </c>
    </row>
    <row r="228">
      <c r="A228" s="4" t="s">
        <v>8390</v>
      </c>
      <c r="B228" s="6" t="str">
        <f t="shared" si="1"/>
        <v>244.931</v>
      </c>
      <c r="C228" s="6" t="str">
        <f t="shared" si="2"/>
        <v>244,931</v>
      </c>
      <c r="D228" s="6">
        <f t="shared" si="3"/>
        <v>244.931</v>
      </c>
      <c r="E228" s="6">
        <f t="shared" si="4"/>
        <v>0.317</v>
      </c>
    </row>
    <row r="229">
      <c r="A229" s="4" t="s">
        <v>8391</v>
      </c>
      <c r="B229" s="6" t="str">
        <f t="shared" si="1"/>
        <v>250.770</v>
      </c>
      <c r="C229" s="6" t="str">
        <f t="shared" si="2"/>
        <v>250,770</v>
      </c>
      <c r="D229" s="6">
        <f t="shared" si="3"/>
        <v>250.77</v>
      </c>
      <c r="E229" s="6">
        <f t="shared" si="4"/>
        <v>5.839</v>
      </c>
    </row>
    <row r="230">
      <c r="A230" s="4" t="s">
        <v>8392</v>
      </c>
      <c r="B230" s="6" t="str">
        <f t="shared" si="1"/>
        <v>251.130</v>
      </c>
      <c r="C230" s="6" t="str">
        <f t="shared" si="2"/>
        <v>251,130</v>
      </c>
      <c r="D230" s="6">
        <f t="shared" si="3"/>
        <v>251.13</v>
      </c>
      <c r="E230" s="6">
        <f t="shared" si="4"/>
        <v>0.36</v>
      </c>
    </row>
    <row r="231">
      <c r="A231" s="4" t="s">
        <v>8393</v>
      </c>
      <c r="B231" s="6" t="str">
        <f t="shared" si="1"/>
        <v>251.478</v>
      </c>
      <c r="C231" s="6" t="str">
        <f t="shared" si="2"/>
        <v>251,478</v>
      </c>
      <c r="D231" s="6">
        <f t="shared" si="3"/>
        <v>251.478</v>
      </c>
      <c r="E231" s="6">
        <f t="shared" si="4"/>
        <v>0.348</v>
      </c>
    </row>
    <row r="232">
      <c r="A232" s="4" t="s">
        <v>8394</v>
      </c>
      <c r="B232" s="6" t="str">
        <f t="shared" si="1"/>
        <v>251.834</v>
      </c>
      <c r="C232" s="6" t="str">
        <f t="shared" si="2"/>
        <v>251,834</v>
      </c>
      <c r="D232" s="6">
        <f t="shared" si="3"/>
        <v>251.834</v>
      </c>
      <c r="E232" s="6">
        <f t="shared" si="4"/>
        <v>0.356</v>
      </c>
    </row>
    <row r="233">
      <c r="A233" s="4" t="s">
        <v>8395</v>
      </c>
      <c r="B233" s="6" t="str">
        <f t="shared" si="1"/>
        <v>252.220</v>
      </c>
      <c r="C233" s="6" t="str">
        <f t="shared" si="2"/>
        <v>252,220</v>
      </c>
      <c r="D233" s="6">
        <f t="shared" si="3"/>
        <v>252.22</v>
      </c>
      <c r="E233" s="6">
        <f t="shared" si="4"/>
        <v>0.386</v>
      </c>
    </row>
    <row r="234">
      <c r="A234" s="4" t="s">
        <v>8396</v>
      </c>
      <c r="B234" s="6" t="str">
        <f t="shared" si="1"/>
        <v>252.576</v>
      </c>
      <c r="C234" s="6" t="str">
        <f t="shared" si="2"/>
        <v>252,576</v>
      </c>
      <c r="D234" s="6">
        <f t="shared" si="3"/>
        <v>252.576</v>
      </c>
      <c r="E234" s="6">
        <f t="shared" si="4"/>
        <v>0.356</v>
      </c>
    </row>
    <row r="235">
      <c r="A235" s="4" t="s">
        <v>8397</v>
      </c>
      <c r="B235" s="6" t="str">
        <f t="shared" si="1"/>
        <v>252.905</v>
      </c>
      <c r="C235" s="6" t="str">
        <f t="shared" si="2"/>
        <v>252,905</v>
      </c>
      <c r="D235" s="6">
        <f t="shared" si="3"/>
        <v>252.905</v>
      </c>
      <c r="E235" s="6">
        <f t="shared" si="4"/>
        <v>0.329</v>
      </c>
    </row>
    <row r="236">
      <c r="A236" s="4" t="s">
        <v>8398</v>
      </c>
      <c r="B236" s="6" t="str">
        <f t="shared" si="1"/>
        <v>253.241</v>
      </c>
      <c r="C236" s="6" t="str">
        <f t="shared" si="2"/>
        <v>253,241</v>
      </c>
      <c r="D236" s="6">
        <f t="shared" si="3"/>
        <v>253.241</v>
      </c>
      <c r="E236" s="6">
        <f t="shared" si="4"/>
        <v>0.336</v>
      </c>
    </row>
    <row r="237">
      <c r="A237" s="4" t="s">
        <v>8399</v>
      </c>
      <c r="B237" s="6" t="str">
        <f t="shared" si="1"/>
        <v>253.604</v>
      </c>
      <c r="C237" s="6" t="str">
        <f t="shared" si="2"/>
        <v>253,604</v>
      </c>
      <c r="D237" s="6">
        <f t="shared" si="3"/>
        <v>253.604</v>
      </c>
      <c r="E237" s="6">
        <f t="shared" si="4"/>
        <v>0.363</v>
      </c>
    </row>
    <row r="238">
      <c r="A238" s="4" t="s">
        <v>8400</v>
      </c>
      <c r="B238" s="6" t="str">
        <f t="shared" si="1"/>
        <v>253.951</v>
      </c>
      <c r="C238" s="6" t="str">
        <f t="shared" si="2"/>
        <v>253,951</v>
      </c>
      <c r="D238" s="6">
        <f t="shared" si="3"/>
        <v>253.951</v>
      </c>
      <c r="E238" s="6">
        <f t="shared" si="4"/>
        <v>0.347</v>
      </c>
    </row>
    <row r="239">
      <c r="A239" s="4" t="s">
        <v>8401</v>
      </c>
      <c r="B239" s="6" t="str">
        <f t="shared" si="1"/>
        <v>257.963</v>
      </c>
      <c r="C239" s="6" t="str">
        <f t="shared" si="2"/>
        <v>257,963</v>
      </c>
      <c r="D239" s="6">
        <f t="shared" si="3"/>
        <v>257.963</v>
      </c>
      <c r="E239" s="6">
        <f t="shared" si="4"/>
        <v>4.012</v>
      </c>
    </row>
    <row r="240">
      <c r="A240" s="4" t="s">
        <v>8402</v>
      </c>
      <c r="B240" s="6" t="str">
        <f t="shared" si="1"/>
        <v>258.304</v>
      </c>
      <c r="C240" s="6" t="str">
        <f t="shared" si="2"/>
        <v>258,304</v>
      </c>
      <c r="D240" s="6">
        <f t="shared" si="3"/>
        <v>258.304</v>
      </c>
      <c r="E240" s="6">
        <f t="shared" si="4"/>
        <v>0.341</v>
      </c>
    </row>
    <row r="241">
      <c r="A241" s="4" t="s">
        <v>8403</v>
      </c>
      <c r="B241" s="6" t="str">
        <f t="shared" si="1"/>
        <v>258.640</v>
      </c>
      <c r="C241" s="6" t="str">
        <f t="shared" si="2"/>
        <v>258,640</v>
      </c>
      <c r="D241" s="6">
        <f t="shared" si="3"/>
        <v>258.64</v>
      </c>
      <c r="E241" s="6">
        <f t="shared" si="4"/>
        <v>0.336</v>
      </c>
    </row>
    <row r="242">
      <c r="A242" s="4" t="s">
        <v>8404</v>
      </c>
      <c r="B242" s="6" t="str">
        <f t="shared" si="1"/>
        <v>259.013</v>
      </c>
      <c r="C242" s="6" t="str">
        <f t="shared" si="2"/>
        <v>259,013</v>
      </c>
      <c r="D242" s="6">
        <f t="shared" si="3"/>
        <v>259.013</v>
      </c>
      <c r="E242" s="6">
        <f t="shared" si="4"/>
        <v>0.373</v>
      </c>
    </row>
    <row r="243">
      <c r="A243" s="4" t="s">
        <v>8405</v>
      </c>
      <c r="B243" s="6" t="str">
        <f t="shared" si="1"/>
        <v>259.358</v>
      </c>
      <c r="C243" s="6" t="str">
        <f t="shared" si="2"/>
        <v>259,358</v>
      </c>
      <c r="D243" s="6">
        <f t="shared" si="3"/>
        <v>259.358</v>
      </c>
      <c r="E243" s="6">
        <f t="shared" si="4"/>
        <v>0.345</v>
      </c>
    </row>
    <row r="244">
      <c r="A244" s="4" t="s">
        <v>8406</v>
      </c>
      <c r="B244" s="6" t="str">
        <f t="shared" si="1"/>
        <v>259.700</v>
      </c>
      <c r="C244" s="6" t="str">
        <f t="shared" si="2"/>
        <v>259,700</v>
      </c>
      <c r="D244" s="6">
        <f t="shared" si="3"/>
        <v>259.7</v>
      </c>
      <c r="E244" s="6">
        <f t="shared" si="4"/>
        <v>0.342</v>
      </c>
    </row>
    <row r="245">
      <c r="A245" s="4" t="s">
        <v>8407</v>
      </c>
      <c r="B245" s="6" t="str">
        <f t="shared" si="1"/>
        <v>260.043</v>
      </c>
      <c r="C245" s="6" t="str">
        <f t="shared" si="2"/>
        <v>260,043</v>
      </c>
      <c r="D245" s="6">
        <f t="shared" si="3"/>
        <v>260.043</v>
      </c>
      <c r="E245" s="6">
        <f t="shared" si="4"/>
        <v>0.343</v>
      </c>
    </row>
    <row r="246">
      <c r="A246" s="4" t="s">
        <v>8408</v>
      </c>
      <c r="B246" s="6" t="str">
        <f t="shared" si="1"/>
        <v>260.467</v>
      </c>
      <c r="C246" s="6" t="str">
        <f t="shared" si="2"/>
        <v>260,467</v>
      </c>
      <c r="D246" s="6">
        <f t="shared" si="3"/>
        <v>260.467</v>
      </c>
      <c r="E246" s="6">
        <f t="shared" si="4"/>
        <v>0.424</v>
      </c>
    </row>
    <row r="247">
      <c r="A247" s="4" t="s">
        <v>8409</v>
      </c>
      <c r="B247" s="6" t="str">
        <f t="shared" si="1"/>
        <v>266.361</v>
      </c>
      <c r="C247" s="6" t="str">
        <f t="shared" si="2"/>
        <v>266,361</v>
      </c>
      <c r="D247" s="6">
        <f t="shared" si="3"/>
        <v>266.361</v>
      </c>
      <c r="E247" s="6">
        <f t="shared" si="4"/>
        <v>5.894</v>
      </c>
    </row>
    <row r="248">
      <c r="A248" s="4" t="s">
        <v>8410</v>
      </c>
      <c r="B248" s="6" t="str">
        <f t="shared" si="1"/>
        <v>266.713</v>
      </c>
      <c r="C248" s="6" t="str">
        <f t="shared" si="2"/>
        <v>266,713</v>
      </c>
      <c r="D248" s="6">
        <f t="shared" si="3"/>
        <v>266.713</v>
      </c>
      <c r="E248" s="6">
        <f t="shared" si="4"/>
        <v>0.352</v>
      </c>
    </row>
    <row r="249">
      <c r="A249" s="4" t="s">
        <v>8411</v>
      </c>
      <c r="B249" s="6" t="str">
        <f t="shared" si="1"/>
        <v>267.063</v>
      </c>
      <c r="C249" s="6" t="str">
        <f t="shared" si="2"/>
        <v>267,063</v>
      </c>
      <c r="D249" s="6">
        <f t="shared" si="3"/>
        <v>267.063</v>
      </c>
      <c r="E249" s="6">
        <f t="shared" si="4"/>
        <v>0.35</v>
      </c>
    </row>
    <row r="250">
      <c r="A250" s="4" t="s">
        <v>8412</v>
      </c>
      <c r="B250" s="6" t="str">
        <f t="shared" si="1"/>
        <v>267.395</v>
      </c>
      <c r="C250" s="6" t="str">
        <f t="shared" si="2"/>
        <v>267,395</v>
      </c>
      <c r="D250" s="6">
        <f t="shared" si="3"/>
        <v>267.395</v>
      </c>
      <c r="E250" s="6">
        <f t="shared" si="4"/>
        <v>0.332</v>
      </c>
    </row>
    <row r="251">
      <c r="A251" s="4" t="s">
        <v>8413</v>
      </c>
      <c r="B251" s="6" t="str">
        <f t="shared" si="1"/>
        <v>267.744</v>
      </c>
      <c r="C251" s="6" t="str">
        <f t="shared" si="2"/>
        <v>267,744</v>
      </c>
      <c r="D251" s="6">
        <f t="shared" si="3"/>
        <v>267.744</v>
      </c>
      <c r="E251" s="6">
        <f t="shared" si="4"/>
        <v>0.349</v>
      </c>
    </row>
    <row r="252">
      <c r="A252" s="4" t="s">
        <v>8414</v>
      </c>
      <c r="B252" s="6" t="str">
        <f t="shared" si="1"/>
        <v>268.085</v>
      </c>
      <c r="C252" s="6" t="str">
        <f t="shared" si="2"/>
        <v>268,085</v>
      </c>
      <c r="D252" s="6">
        <f t="shared" si="3"/>
        <v>268.085</v>
      </c>
      <c r="E252" s="6">
        <f t="shared" si="4"/>
        <v>0.341</v>
      </c>
    </row>
    <row r="253">
      <c r="A253" s="4" t="s">
        <v>8415</v>
      </c>
      <c r="B253" s="6" t="str">
        <f t="shared" si="1"/>
        <v>268.430</v>
      </c>
      <c r="C253" s="6" t="str">
        <f t="shared" si="2"/>
        <v>268,430</v>
      </c>
      <c r="D253" s="6">
        <f t="shared" si="3"/>
        <v>268.43</v>
      </c>
      <c r="E253" s="6">
        <f t="shared" si="4"/>
        <v>0.345</v>
      </c>
    </row>
    <row r="254">
      <c r="A254" s="4" t="s">
        <v>8416</v>
      </c>
      <c r="B254" s="6" t="str">
        <f t="shared" si="1"/>
        <v>268.772</v>
      </c>
      <c r="C254" s="6" t="str">
        <f t="shared" si="2"/>
        <v>268,772</v>
      </c>
      <c r="D254" s="6">
        <f t="shared" si="3"/>
        <v>268.772</v>
      </c>
      <c r="E254" s="6">
        <f t="shared" si="4"/>
        <v>0.342</v>
      </c>
    </row>
    <row r="255">
      <c r="A255" s="4" t="s">
        <v>8417</v>
      </c>
      <c r="B255" s="6" t="str">
        <f t="shared" si="1"/>
        <v>269.112</v>
      </c>
      <c r="C255" s="6" t="str">
        <f t="shared" si="2"/>
        <v>269,112</v>
      </c>
      <c r="D255" s="6">
        <f t="shared" si="3"/>
        <v>269.112</v>
      </c>
      <c r="E255" s="6">
        <f t="shared" si="4"/>
        <v>0.34</v>
      </c>
    </row>
    <row r="256">
      <c r="A256" s="4" t="s">
        <v>8418</v>
      </c>
      <c r="B256" s="6" t="str">
        <f t="shared" si="1"/>
        <v>269.442</v>
      </c>
      <c r="C256" s="6" t="str">
        <f t="shared" si="2"/>
        <v>269,442</v>
      </c>
      <c r="D256" s="6">
        <f t="shared" si="3"/>
        <v>269.442</v>
      </c>
      <c r="E256" s="6">
        <f t="shared" si="4"/>
        <v>0.33</v>
      </c>
    </row>
    <row r="257">
      <c r="A257" s="4" t="s">
        <v>8419</v>
      </c>
      <c r="B257" s="6" t="str">
        <f t="shared" si="1"/>
        <v>269.759</v>
      </c>
      <c r="C257" s="6" t="str">
        <f t="shared" si="2"/>
        <v>269,759</v>
      </c>
      <c r="D257" s="6">
        <f t="shared" si="3"/>
        <v>269.759</v>
      </c>
      <c r="E257" s="6">
        <f t="shared" si="4"/>
        <v>0.317</v>
      </c>
    </row>
    <row r="258">
      <c r="A258" s="4" t="s">
        <v>8420</v>
      </c>
      <c r="B258" s="6" t="str">
        <f t="shared" si="1"/>
        <v>270.119</v>
      </c>
      <c r="C258" s="6" t="str">
        <f t="shared" si="2"/>
        <v>270,119</v>
      </c>
      <c r="D258" s="6">
        <f t="shared" si="3"/>
        <v>270.119</v>
      </c>
      <c r="E258" s="6">
        <f t="shared" si="4"/>
        <v>0.36</v>
      </c>
    </row>
    <row r="259">
      <c r="A259" s="4" t="s">
        <v>8421</v>
      </c>
      <c r="B259" s="6" t="str">
        <f t="shared" si="1"/>
        <v>270.550</v>
      </c>
      <c r="C259" s="6" t="str">
        <f t="shared" si="2"/>
        <v>270,550</v>
      </c>
      <c r="D259" s="6">
        <f t="shared" si="3"/>
        <v>270.55</v>
      </c>
      <c r="E259" s="6">
        <f t="shared" si="4"/>
        <v>0.431</v>
      </c>
    </row>
    <row r="260">
      <c r="A260" s="4" t="s">
        <v>8422</v>
      </c>
      <c r="B260" s="6" t="str">
        <f t="shared" si="1"/>
        <v>274.741</v>
      </c>
      <c r="C260" s="6" t="str">
        <f t="shared" si="2"/>
        <v>274,741</v>
      </c>
      <c r="D260" s="6">
        <f t="shared" si="3"/>
        <v>274.741</v>
      </c>
      <c r="E260" s="6">
        <f t="shared" si="4"/>
        <v>4.191</v>
      </c>
    </row>
    <row r="261">
      <c r="A261" s="4" t="s">
        <v>8423</v>
      </c>
      <c r="B261" s="6" t="str">
        <f t="shared" si="1"/>
        <v>275.048</v>
      </c>
      <c r="C261" s="6" t="str">
        <f t="shared" si="2"/>
        <v>275,048</v>
      </c>
      <c r="D261" s="6">
        <f t="shared" si="3"/>
        <v>275.048</v>
      </c>
      <c r="E261" s="6">
        <f t="shared" si="4"/>
        <v>0.307</v>
      </c>
    </row>
    <row r="262">
      <c r="A262" s="4" t="s">
        <v>8424</v>
      </c>
      <c r="B262" s="6" t="str">
        <f t="shared" si="1"/>
        <v>275.355</v>
      </c>
      <c r="C262" s="6" t="str">
        <f t="shared" si="2"/>
        <v>275,355</v>
      </c>
      <c r="D262" s="6">
        <f t="shared" si="3"/>
        <v>275.355</v>
      </c>
      <c r="E262" s="6">
        <f t="shared" si="4"/>
        <v>0.307</v>
      </c>
    </row>
    <row r="263">
      <c r="A263" s="4" t="s">
        <v>8425</v>
      </c>
      <c r="B263" s="6" t="str">
        <f t="shared" si="1"/>
        <v>275.668</v>
      </c>
      <c r="C263" s="6" t="str">
        <f t="shared" si="2"/>
        <v>275,668</v>
      </c>
      <c r="D263" s="6">
        <f t="shared" si="3"/>
        <v>275.668</v>
      </c>
      <c r="E263" s="6">
        <f t="shared" si="4"/>
        <v>0.313</v>
      </c>
    </row>
    <row r="264">
      <c r="A264" s="4" t="s">
        <v>8426</v>
      </c>
      <c r="B264" s="6" t="str">
        <f t="shared" si="1"/>
        <v>275.993</v>
      </c>
      <c r="C264" s="6" t="str">
        <f t="shared" si="2"/>
        <v>275,993</v>
      </c>
      <c r="D264" s="6">
        <f t="shared" si="3"/>
        <v>275.993</v>
      </c>
      <c r="E264" s="6">
        <f t="shared" si="4"/>
        <v>0.325</v>
      </c>
    </row>
    <row r="265">
      <c r="A265" s="4" t="s">
        <v>8427</v>
      </c>
      <c r="B265" s="6" t="str">
        <f t="shared" si="1"/>
        <v>276.339</v>
      </c>
      <c r="C265" s="6" t="str">
        <f t="shared" si="2"/>
        <v>276,339</v>
      </c>
      <c r="D265" s="6">
        <f t="shared" si="3"/>
        <v>276.339</v>
      </c>
      <c r="E265" s="6">
        <f t="shared" si="4"/>
        <v>0.346</v>
      </c>
    </row>
    <row r="266">
      <c r="A266" s="4" t="s">
        <v>8428</v>
      </c>
      <c r="B266" s="6" t="str">
        <f t="shared" si="1"/>
        <v>276.705</v>
      </c>
      <c r="C266" s="6" t="str">
        <f t="shared" si="2"/>
        <v>276,705</v>
      </c>
      <c r="D266" s="6">
        <f t="shared" si="3"/>
        <v>276.705</v>
      </c>
      <c r="E266" s="6">
        <f t="shared" si="4"/>
        <v>0.366</v>
      </c>
    </row>
    <row r="267">
      <c r="A267" s="4" t="s">
        <v>8429</v>
      </c>
      <c r="B267" s="6" t="str">
        <f t="shared" si="1"/>
        <v>277.050</v>
      </c>
      <c r="C267" s="6" t="str">
        <f t="shared" si="2"/>
        <v>277,050</v>
      </c>
      <c r="D267" s="6">
        <f t="shared" si="3"/>
        <v>277.05</v>
      </c>
      <c r="E267" s="6">
        <f t="shared" si="4"/>
        <v>0.345</v>
      </c>
    </row>
    <row r="268">
      <c r="A268" s="4" t="s">
        <v>8430</v>
      </c>
      <c r="B268" s="6" t="str">
        <f t="shared" si="1"/>
        <v>277.398</v>
      </c>
      <c r="C268" s="6" t="str">
        <f t="shared" si="2"/>
        <v>277,398</v>
      </c>
      <c r="D268" s="6">
        <f t="shared" si="3"/>
        <v>277.398</v>
      </c>
      <c r="E268" s="6">
        <f t="shared" si="4"/>
        <v>0.348</v>
      </c>
    </row>
    <row r="269">
      <c r="A269" s="4" t="s">
        <v>8431</v>
      </c>
      <c r="B269" s="6" t="str">
        <f t="shared" si="1"/>
        <v>277.751</v>
      </c>
      <c r="C269" s="6" t="str">
        <f t="shared" si="2"/>
        <v>277,751</v>
      </c>
      <c r="D269" s="6">
        <f t="shared" si="3"/>
        <v>277.751</v>
      </c>
      <c r="E269" s="6">
        <f t="shared" si="4"/>
        <v>0.353</v>
      </c>
    </row>
    <row r="270">
      <c r="A270" s="4" t="s">
        <v>8432</v>
      </c>
      <c r="B270" s="6" t="str">
        <f t="shared" si="1"/>
        <v>278.104</v>
      </c>
      <c r="C270" s="6" t="str">
        <f t="shared" si="2"/>
        <v>278,104</v>
      </c>
      <c r="D270" s="6">
        <f t="shared" si="3"/>
        <v>278.104</v>
      </c>
      <c r="E270" s="6">
        <f t="shared" si="4"/>
        <v>0.353</v>
      </c>
    </row>
    <row r="271">
      <c r="A271" s="4" t="s">
        <v>8433</v>
      </c>
      <c r="B271" s="6" t="str">
        <f t="shared" si="1"/>
        <v>278.460</v>
      </c>
      <c r="C271" s="6" t="str">
        <f t="shared" si="2"/>
        <v>278,460</v>
      </c>
      <c r="D271" s="6">
        <f t="shared" si="3"/>
        <v>278.46</v>
      </c>
      <c r="E271" s="6">
        <f t="shared" si="4"/>
        <v>0.356</v>
      </c>
    </row>
    <row r="272">
      <c r="A272" s="4" t="s">
        <v>8434</v>
      </c>
      <c r="B272" s="6" t="str">
        <f t="shared" si="1"/>
        <v>284.565</v>
      </c>
      <c r="C272" s="6" t="str">
        <f t="shared" si="2"/>
        <v>284,565</v>
      </c>
      <c r="D272" s="6">
        <f t="shared" si="3"/>
        <v>284.565</v>
      </c>
      <c r="E272" s="6">
        <f t="shared" si="4"/>
        <v>6.105</v>
      </c>
    </row>
    <row r="273">
      <c r="A273" s="4" t="s">
        <v>8435</v>
      </c>
      <c r="B273" s="6" t="str">
        <f t="shared" si="1"/>
        <v>284.930</v>
      </c>
      <c r="C273" s="6" t="str">
        <f t="shared" si="2"/>
        <v>284,930</v>
      </c>
      <c r="D273" s="6">
        <f t="shared" si="3"/>
        <v>284.93</v>
      </c>
      <c r="E273" s="6">
        <f t="shared" si="4"/>
        <v>0.365</v>
      </c>
    </row>
    <row r="274">
      <c r="A274" s="4" t="s">
        <v>8436</v>
      </c>
      <c r="B274" s="6" t="str">
        <f t="shared" si="1"/>
        <v>285.279</v>
      </c>
      <c r="C274" s="6" t="str">
        <f t="shared" si="2"/>
        <v>285,279</v>
      </c>
      <c r="D274" s="6">
        <f t="shared" si="3"/>
        <v>285.279</v>
      </c>
      <c r="E274" s="6">
        <f t="shared" si="4"/>
        <v>0.349</v>
      </c>
    </row>
    <row r="275">
      <c r="A275" s="4" t="s">
        <v>8437</v>
      </c>
      <c r="B275" s="6" t="str">
        <f t="shared" si="1"/>
        <v>285.645</v>
      </c>
      <c r="C275" s="6" t="str">
        <f t="shared" si="2"/>
        <v>285,645</v>
      </c>
      <c r="D275" s="6">
        <f t="shared" si="3"/>
        <v>285.645</v>
      </c>
      <c r="E275" s="6">
        <f t="shared" si="4"/>
        <v>0.366</v>
      </c>
    </row>
    <row r="276">
      <c r="A276" s="4" t="s">
        <v>8438</v>
      </c>
      <c r="B276" s="6" t="str">
        <f t="shared" si="1"/>
        <v>286.010</v>
      </c>
      <c r="C276" s="6" t="str">
        <f t="shared" si="2"/>
        <v>286,010</v>
      </c>
      <c r="D276" s="6">
        <f t="shared" si="3"/>
        <v>286.01</v>
      </c>
      <c r="E276" s="6">
        <f t="shared" si="4"/>
        <v>0.365</v>
      </c>
    </row>
    <row r="277">
      <c r="A277" s="4" t="s">
        <v>8439</v>
      </c>
      <c r="B277" s="6" t="str">
        <f t="shared" si="1"/>
        <v>286.368</v>
      </c>
      <c r="C277" s="6" t="str">
        <f t="shared" si="2"/>
        <v>286,368</v>
      </c>
      <c r="D277" s="6">
        <f t="shared" si="3"/>
        <v>286.368</v>
      </c>
      <c r="E277" s="6">
        <f t="shared" si="4"/>
        <v>0.358</v>
      </c>
    </row>
    <row r="278">
      <c r="A278" s="4" t="s">
        <v>8440</v>
      </c>
      <c r="B278" s="6" t="str">
        <f t="shared" si="1"/>
        <v>286.730</v>
      </c>
      <c r="C278" s="6" t="str">
        <f t="shared" si="2"/>
        <v>286,730</v>
      </c>
      <c r="D278" s="6">
        <f t="shared" si="3"/>
        <v>286.73</v>
      </c>
      <c r="E278" s="6">
        <f t="shared" si="4"/>
        <v>0.362</v>
      </c>
    </row>
    <row r="279">
      <c r="A279" s="4" t="s">
        <v>8441</v>
      </c>
      <c r="B279" s="6" t="str">
        <f t="shared" si="1"/>
        <v>287.060</v>
      </c>
      <c r="C279" s="6" t="str">
        <f t="shared" si="2"/>
        <v>287,060</v>
      </c>
      <c r="D279" s="6">
        <f t="shared" si="3"/>
        <v>287.06</v>
      </c>
      <c r="E279" s="6">
        <f t="shared" si="4"/>
        <v>0.33</v>
      </c>
    </row>
    <row r="280">
      <c r="A280" s="4" t="s">
        <v>8442</v>
      </c>
      <c r="B280" s="6" t="str">
        <f t="shared" si="1"/>
        <v>287.396</v>
      </c>
      <c r="C280" s="6" t="str">
        <f t="shared" si="2"/>
        <v>287,396</v>
      </c>
      <c r="D280" s="6">
        <f t="shared" si="3"/>
        <v>287.396</v>
      </c>
      <c r="E280" s="6">
        <f t="shared" si="4"/>
        <v>0.336</v>
      </c>
    </row>
    <row r="281">
      <c r="A281" s="4" t="s">
        <v>8443</v>
      </c>
      <c r="B281" s="6" t="str">
        <f t="shared" si="1"/>
        <v>287.751</v>
      </c>
      <c r="C281" s="6" t="str">
        <f t="shared" si="2"/>
        <v>287,751</v>
      </c>
      <c r="D281" s="6">
        <f t="shared" si="3"/>
        <v>287.751</v>
      </c>
      <c r="E281" s="6">
        <f t="shared" si="4"/>
        <v>0.355</v>
      </c>
    </row>
    <row r="282">
      <c r="A282" s="4" t="s">
        <v>8444</v>
      </c>
      <c r="B282" s="6" t="str">
        <f t="shared" si="1"/>
        <v>288.133</v>
      </c>
      <c r="C282" s="6" t="str">
        <f t="shared" si="2"/>
        <v>288,133</v>
      </c>
      <c r="D282" s="6">
        <f t="shared" si="3"/>
        <v>288.133</v>
      </c>
      <c r="E282" s="6">
        <f t="shared" si="4"/>
        <v>0.382</v>
      </c>
    </row>
    <row r="283">
      <c r="A283" s="4" t="s">
        <v>8445</v>
      </c>
      <c r="B283" s="6" t="str">
        <f t="shared" si="1"/>
        <v>292.835</v>
      </c>
      <c r="C283" s="6" t="str">
        <f t="shared" si="2"/>
        <v>292,835</v>
      </c>
      <c r="D283" s="6">
        <f t="shared" si="3"/>
        <v>292.835</v>
      </c>
      <c r="E283" s="6">
        <f t="shared" si="4"/>
        <v>4.702</v>
      </c>
    </row>
    <row r="284">
      <c r="A284" s="4" t="s">
        <v>8446</v>
      </c>
      <c r="B284" s="6" t="str">
        <f t="shared" si="1"/>
        <v>293.199</v>
      </c>
      <c r="C284" s="6" t="str">
        <f t="shared" si="2"/>
        <v>293,199</v>
      </c>
      <c r="D284" s="6">
        <f t="shared" si="3"/>
        <v>293.199</v>
      </c>
      <c r="E284" s="6">
        <f t="shared" si="4"/>
        <v>0.364</v>
      </c>
    </row>
    <row r="285">
      <c r="A285" s="4" t="s">
        <v>8447</v>
      </c>
      <c r="B285" s="6" t="str">
        <f t="shared" si="1"/>
        <v>293.609</v>
      </c>
      <c r="C285" s="6" t="str">
        <f t="shared" si="2"/>
        <v>293,609</v>
      </c>
      <c r="D285" s="6">
        <f t="shared" si="3"/>
        <v>293.609</v>
      </c>
      <c r="E285" s="6">
        <f t="shared" si="4"/>
        <v>0.41</v>
      </c>
    </row>
    <row r="286">
      <c r="A286" s="4" t="s">
        <v>8448</v>
      </c>
      <c r="B286" s="6" t="str">
        <f t="shared" si="1"/>
        <v>293.949</v>
      </c>
      <c r="C286" s="6" t="str">
        <f t="shared" si="2"/>
        <v>293,949</v>
      </c>
      <c r="D286" s="6">
        <f t="shared" si="3"/>
        <v>293.949</v>
      </c>
      <c r="E286" s="6">
        <f t="shared" si="4"/>
        <v>0.34</v>
      </c>
    </row>
    <row r="287">
      <c r="A287" s="4" t="s">
        <v>8449</v>
      </c>
      <c r="B287" s="6" t="str">
        <f t="shared" si="1"/>
        <v>294.305</v>
      </c>
      <c r="C287" s="6" t="str">
        <f t="shared" si="2"/>
        <v>294,305</v>
      </c>
      <c r="D287" s="6">
        <f t="shared" si="3"/>
        <v>294.305</v>
      </c>
      <c r="E287" s="6">
        <f t="shared" si="4"/>
        <v>0.356</v>
      </c>
    </row>
    <row r="288">
      <c r="A288" s="4" t="s">
        <v>8450</v>
      </c>
      <c r="B288" s="6" t="str">
        <f t="shared" si="1"/>
        <v>294.687</v>
      </c>
      <c r="C288" s="6" t="str">
        <f t="shared" si="2"/>
        <v>294,687</v>
      </c>
      <c r="D288" s="6">
        <f t="shared" si="3"/>
        <v>294.687</v>
      </c>
      <c r="E288" s="6">
        <f t="shared" si="4"/>
        <v>0.382</v>
      </c>
    </row>
    <row r="289">
      <c r="A289" s="4" t="s">
        <v>8451</v>
      </c>
      <c r="B289" s="6" t="str">
        <f t="shared" si="1"/>
        <v>295.092</v>
      </c>
      <c r="C289" s="6" t="str">
        <f t="shared" si="2"/>
        <v>295,092</v>
      </c>
      <c r="D289" s="6">
        <f t="shared" si="3"/>
        <v>295.092</v>
      </c>
      <c r="E289" s="6">
        <f t="shared" si="4"/>
        <v>0.405</v>
      </c>
    </row>
    <row r="290">
      <c r="A290" s="4" t="s">
        <v>8452</v>
      </c>
      <c r="B290" s="6" t="str">
        <f t="shared" si="1"/>
        <v>295.507</v>
      </c>
      <c r="C290" s="6" t="str">
        <f t="shared" si="2"/>
        <v>295,507</v>
      </c>
      <c r="D290" s="6">
        <f t="shared" si="3"/>
        <v>295.507</v>
      </c>
      <c r="E290" s="6">
        <f t="shared" si="4"/>
        <v>0.415</v>
      </c>
    </row>
    <row r="291">
      <c r="A291" s="4" t="s">
        <v>8453</v>
      </c>
      <c r="B291" s="6" t="str">
        <f t="shared" si="1"/>
        <v>295.908</v>
      </c>
      <c r="C291" s="6" t="str">
        <f t="shared" si="2"/>
        <v>295,908</v>
      </c>
      <c r="D291" s="6">
        <f t="shared" si="3"/>
        <v>295.908</v>
      </c>
      <c r="E291" s="6">
        <f t="shared" si="4"/>
        <v>0.401</v>
      </c>
    </row>
    <row r="292">
      <c r="A292" s="4" t="s">
        <v>8454</v>
      </c>
      <c r="B292" s="6" t="str">
        <f t="shared" si="1"/>
        <v>296.272</v>
      </c>
      <c r="C292" s="6" t="str">
        <f t="shared" si="2"/>
        <v>296,272</v>
      </c>
      <c r="D292" s="6">
        <f t="shared" si="3"/>
        <v>296.272</v>
      </c>
      <c r="E292" s="6">
        <f t="shared" si="4"/>
        <v>0.364</v>
      </c>
    </row>
    <row r="293">
      <c r="A293" s="4" t="s">
        <v>8455</v>
      </c>
      <c r="B293" s="6" t="str">
        <f t="shared" si="1"/>
        <v>296.649</v>
      </c>
      <c r="C293" s="6" t="str">
        <f t="shared" si="2"/>
        <v>296,649</v>
      </c>
      <c r="D293" s="6">
        <f t="shared" si="3"/>
        <v>296.649</v>
      </c>
      <c r="E293" s="6">
        <f t="shared" si="4"/>
        <v>0.377</v>
      </c>
    </row>
    <row r="294">
      <c r="A294" s="4" t="s">
        <v>8456</v>
      </c>
      <c r="B294" s="6" t="str">
        <f t="shared" si="1"/>
        <v>297.054</v>
      </c>
      <c r="C294" s="6" t="str">
        <f t="shared" si="2"/>
        <v>297,054</v>
      </c>
      <c r="D294" s="6">
        <f t="shared" si="3"/>
        <v>297.054</v>
      </c>
      <c r="E294" s="6">
        <f t="shared" si="4"/>
        <v>0.405</v>
      </c>
    </row>
    <row r="295">
      <c r="A295" s="4" t="s">
        <v>8457</v>
      </c>
      <c r="B295" s="6" t="str">
        <f t="shared" si="1"/>
        <v>297.436</v>
      </c>
      <c r="C295" s="6" t="str">
        <f t="shared" si="2"/>
        <v>297,436</v>
      </c>
      <c r="D295" s="6">
        <f t="shared" si="3"/>
        <v>297.436</v>
      </c>
      <c r="E295" s="6">
        <f t="shared" si="4"/>
        <v>0.382</v>
      </c>
    </row>
    <row r="296">
      <c r="A296" s="4" t="s">
        <v>8458</v>
      </c>
      <c r="B296" s="6" t="str">
        <f t="shared" si="1"/>
        <v>299.235</v>
      </c>
      <c r="C296" s="6" t="str">
        <f t="shared" si="2"/>
        <v>299,235</v>
      </c>
      <c r="D296" s="6">
        <f t="shared" si="3"/>
        <v>299.235</v>
      </c>
      <c r="E296" s="6">
        <f t="shared" si="4"/>
        <v>1.799</v>
      </c>
    </row>
    <row r="297">
      <c r="A297" s="4" t="s">
        <v>8459</v>
      </c>
      <c r="B297" s="6" t="str">
        <f t="shared" si="1"/>
        <v>299.656</v>
      </c>
      <c r="C297" s="6" t="str">
        <f t="shared" si="2"/>
        <v>299,656</v>
      </c>
      <c r="D297" s="6">
        <f t="shared" si="3"/>
        <v>299.656</v>
      </c>
      <c r="E297" s="6">
        <f t="shared" si="4"/>
        <v>0.421</v>
      </c>
    </row>
    <row r="298">
      <c r="A298" s="4" t="s">
        <v>8460</v>
      </c>
      <c r="B298" s="6" t="str">
        <f t="shared" si="1"/>
        <v>300.017</v>
      </c>
      <c r="C298" s="6" t="str">
        <f t="shared" si="2"/>
        <v>300,017</v>
      </c>
      <c r="D298" s="6">
        <f t="shared" si="3"/>
        <v>300.017</v>
      </c>
      <c r="E298" s="6">
        <f t="shared" si="4"/>
        <v>0.361</v>
      </c>
    </row>
    <row r="299">
      <c r="A299" s="4" t="s">
        <v>8461</v>
      </c>
      <c r="B299" s="6" t="str">
        <f t="shared" si="1"/>
        <v>300.373</v>
      </c>
      <c r="C299" s="6" t="str">
        <f t="shared" si="2"/>
        <v>300,373</v>
      </c>
      <c r="D299" s="6">
        <f t="shared" si="3"/>
        <v>300.373</v>
      </c>
      <c r="E299" s="6">
        <f t="shared" si="4"/>
        <v>0.356</v>
      </c>
    </row>
    <row r="300">
      <c r="A300" s="4" t="s">
        <v>8462</v>
      </c>
      <c r="B300" s="6" t="str">
        <f t="shared" si="1"/>
        <v>300.719</v>
      </c>
      <c r="C300" s="6" t="str">
        <f t="shared" si="2"/>
        <v>300,719</v>
      </c>
      <c r="D300" s="6">
        <f t="shared" si="3"/>
        <v>300.719</v>
      </c>
      <c r="E300" s="6">
        <f t="shared" si="4"/>
        <v>0.346</v>
      </c>
    </row>
    <row r="301">
      <c r="A301" s="4" t="s">
        <v>8463</v>
      </c>
      <c r="B301" s="6" t="str">
        <f t="shared" si="1"/>
        <v>307.756</v>
      </c>
      <c r="C301" s="6" t="str">
        <f t="shared" si="2"/>
        <v>307,756</v>
      </c>
      <c r="D301" s="6">
        <f t="shared" si="3"/>
        <v>307.756</v>
      </c>
      <c r="E301" s="6">
        <f t="shared" si="4"/>
        <v>7.037</v>
      </c>
    </row>
    <row r="302">
      <c r="A302" s="4" t="s">
        <v>8464</v>
      </c>
      <c r="B302" s="6" t="str">
        <f t="shared" si="1"/>
        <v>308.094</v>
      </c>
      <c r="C302" s="6" t="str">
        <f t="shared" si="2"/>
        <v>308,094</v>
      </c>
      <c r="D302" s="6">
        <f t="shared" si="3"/>
        <v>308.094</v>
      </c>
      <c r="E302" s="6">
        <f t="shared" si="4"/>
        <v>0.338</v>
      </c>
    </row>
    <row r="303">
      <c r="A303" s="4" t="s">
        <v>8465</v>
      </c>
      <c r="B303" s="6" t="str">
        <f t="shared" si="1"/>
        <v>308.420</v>
      </c>
      <c r="C303" s="6" t="str">
        <f t="shared" si="2"/>
        <v>308,420</v>
      </c>
      <c r="D303" s="6">
        <f t="shared" si="3"/>
        <v>308.42</v>
      </c>
      <c r="E303" s="6">
        <f t="shared" si="4"/>
        <v>0.326</v>
      </c>
    </row>
    <row r="304">
      <c r="A304" s="4" t="s">
        <v>8466</v>
      </c>
      <c r="B304" s="6" t="str">
        <f t="shared" si="1"/>
        <v>308.776</v>
      </c>
      <c r="C304" s="6" t="str">
        <f t="shared" si="2"/>
        <v>308,776</v>
      </c>
      <c r="D304" s="6">
        <f t="shared" si="3"/>
        <v>308.776</v>
      </c>
      <c r="E304" s="6">
        <f t="shared" si="4"/>
        <v>0.356</v>
      </c>
    </row>
    <row r="305">
      <c r="A305" s="4" t="s">
        <v>8467</v>
      </c>
      <c r="B305" s="6" t="str">
        <f t="shared" si="1"/>
        <v>309.096</v>
      </c>
      <c r="C305" s="6" t="str">
        <f t="shared" si="2"/>
        <v>309,096</v>
      </c>
      <c r="D305" s="6">
        <f t="shared" si="3"/>
        <v>309.096</v>
      </c>
      <c r="E305" s="6">
        <f t="shared" si="4"/>
        <v>0.32</v>
      </c>
    </row>
    <row r="306">
      <c r="A306" s="4" t="s">
        <v>8468</v>
      </c>
      <c r="B306" s="6" t="str">
        <f t="shared" si="1"/>
        <v>309.440</v>
      </c>
      <c r="C306" s="6" t="str">
        <f t="shared" si="2"/>
        <v>309,440</v>
      </c>
      <c r="D306" s="6">
        <f t="shared" si="3"/>
        <v>309.44</v>
      </c>
      <c r="E306" s="6">
        <f t="shared" si="4"/>
        <v>0.344</v>
      </c>
    </row>
    <row r="307">
      <c r="A307" s="4" t="s">
        <v>8469</v>
      </c>
      <c r="B307" s="6" t="str">
        <f t="shared" si="1"/>
        <v>309.775</v>
      </c>
      <c r="C307" s="6" t="str">
        <f t="shared" si="2"/>
        <v>309,775</v>
      </c>
      <c r="D307" s="6">
        <f t="shared" si="3"/>
        <v>309.775</v>
      </c>
      <c r="E307" s="6">
        <f t="shared" si="4"/>
        <v>0.335</v>
      </c>
    </row>
    <row r="308">
      <c r="A308" s="4" t="s">
        <v>8470</v>
      </c>
      <c r="B308" s="6" t="str">
        <f t="shared" si="1"/>
        <v>310.084</v>
      </c>
      <c r="C308" s="6" t="str">
        <f t="shared" si="2"/>
        <v>310,084</v>
      </c>
      <c r="D308" s="6">
        <f t="shared" si="3"/>
        <v>310.084</v>
      </c>
      <c r="E308" s="6">
        <f t="shared" si="4"/>
        <v>0.309</v>
      </c>
    </row>
    <row r="309">
      <c r="A309" s="4" t="s">
        <v>8471</v>
      </c>
      <c r="B309" s="6" t="str">
        <f t="shared" si="1"/>
        <v>310.417</v>
      </c>
      <c r="C309" s="6" t="str">
        <f t="shared" si="2"/>
        <v>310,417</v>
      </c>
      <c r="D309" s="6">
        <f t="shared" si="3"/>
        <v>310.417</v>
      </c>
      <c r="E309" s="6">
        <f t="shared" si="4"/>
        <v>0.333</v>
      </c>
    </row>
    <row r="310">
      <c r="A310" s="4" t="s">
        <v>8472</v>
      </c>
      <c r="B310" s="6" t="str">
        <f t="shared" si="1"/>
        <v>316.429</v>
      </c>
      <c r="C310" s="6" t="str">
        <f t="shared" si="2"/>
        <v>316,429</v>
      </c>
      <c r="D310" s="6">
        <f t="shared" si="3"/>
        <v>316.429</v>
      </c>
      <c r="E310" s="6">
        <f t="shared" si="4"/>
        <v>6.012</v>
      </c>
    </row>
    <row r="311">
      <c r="A311" s="4" t="s">
        <v>8473</v>
      </c>
      <c r="B311" s="6" t="str">
        <f t="shared" si="1"/>
        <v>316.832</v>
      </c>
      <c r="C311" s="6" t="str">
        <f t="shared" si="2"/>
        <v>316,832</v>
      </c>
      <c r="D311" s="6">
        <f t="shared" si="3"/>
        <v>316.832</v>
      </c>
      <c r="E311" s="6">
        <f t="shared" si="4"/>
        <v>0.403</v>
      </c>
    </row>
    <row r="312">
      <c r="A312" s="4" t="s">
        <v>8474</v>
      </c>
      <c r="B312" s="6" t="str">
        <f t="shared" si="1"/>
        <v>317.137</v>
      </c>
      <c r="C312" s="6" t="str">
        <f t="shared" si="2"/>
        <v>317,137</v>
      </c>
      <c r="D312" s="6">
        <f t="shared" si="3"/>
        <v>317.137</v>
      </c>
      <c r="E312" s="6">
        <f t="shared" si="4"/>
        <v>0.305</v>
      </c>
    </row>
    <row r="313">
      <c r="A313" s="4" t="s">
        <v>8475</v>
      </c>
      <c r="B313" s="6" t="str">
        <f t="shared" si="1"/>
        <v>317.482</v>
      </c>
      <c r="C313" s="6" t="str">
        <f t="shared" si="2"/>
        <v>317,482</v>
      </c>
      <c r="D313" s="6">
        <f t="shared" si="3"/>
        <v>317.482</v>
      </c>
      <c r="E313" s="6">
        <f t="shared" si="4"/>
        <v>0.345</v>
      </c>
    </row>
    <row r="314">
      <c r="A314" s="4" t="s">
        <v>8476</v>
      </c>
      <c r="B314" s="6" t="str">
        <f t="shared" si="1"/>
        <v>317.793</v>
      </c>
      <c r="C314" s="6" t="str">
        <f t="shared" si="2"/>
        <v>317,793</v>
      </c>
      <c r="D314" s="6">
        <f t="shared" si="3"/>
        <v>317.793</v>
      </c>
      <c r="E314" s="6">
        <f t="shared" si="4"/>
        <v>0.311</v>
      </c>
    </row>
    <row r="315">
      <c r="A315" s="4" t="s">
        <v>8477</v>
      </c>
      <c r="B315" s="6" t="str">
        <f t="shared" si="1"/>
        <v>318.114</v>
      </c>
      <c r="C315" s="6" t="str">
        <f t="shared" si="2"/>
        <v>318,114</v>
      </c>
      <c r="D315" s="6">
        <f t="shared" si="3"/>
        <v>318.114</v>
      </c>
      <c r="E315" s="6">
        <f t="shared" si="4"/>
        <v>0.321</v>
      </c>
    </row>
    <row r="316">
      <c r="A316" s="4" t="s">
        <v>8478</v>
      </c>
      <c r="B316" s="6" t="str">
        <f t="shared" si="1"/>
        <v>318.436</v>
      </c>
      <c r="C316" s="6" t="str">
        <f t="shared" si="2"/>
        <v>318,436</v>
      </c>
      <c r="D316" s="6">
        <f t="shared" si="3"/>
        <v>318.436</v>
      </c>
      <c r="E316" s="6">
        <f t="shared" si="4"/>
        <v>0.322</v>
      </c>
    </row>
    <row r="317">
      <c r="A317" s="4" t="s">
        <v>8479</v>
      </c>
      <c r="B317" s="6" t="str">
        <f t="shared" si="1"/>
        <v>318.785</v>
      </c>
      <c r="C317" s="6" t="str">
        <f t="shared" si="2"/>
        <v>318,785</v>
      </c>
      <c r="D317" s="6">
        <f t="shared" si="3"/>
        <v>318.785</v>
      </c>
      <c r="E317" s="6">
        <f t="shared" si="4"/>
        <v>0.349</v>
      </c>
    </row>
    <row r="318">
      <c r="A318" s="4" t="s">
        <v>8480</v>
      </c>
      <c r="B318" s="6" t="str">
        <f t="shared" si="1"/>
        <v>319.126</v>
      </c>
      <c r="C318" s="6" t="str">
        <f t="shared" si="2"/>
        <v>319,126</v>
      </c>
      <c r="D318" s="6">
        <f t="shared" si="3"/>
        <v>319.126</v>
      </c>
      <c r="E318" s="6">
        <f t="shared" si="4"/>
        <v>0.341</v>
      </c>
    </row>
    <row r="319">
      <c r="A319" s="4" t="s">
        <v>8481</v>
      </c>
      <c r="B319" s="6" t="str">
        <f t="shared" si="1"/>
        <v>319.434</v>
      </c>
      <c r="C319" s="6" t="str">
        <f t="shared" si="2"/>
        <v>319,434</v>
      </c>
      <c r="D319" s="6">
        <f t="shared" si="3"/>
        <v>319.434</v>
      </c>
      <c r="E319" s="6">
        <f t="shared" si="4"/>
        <v>0.308</v>
      </c>
    </row>
    <row r="320">
      <c r="A320" s="4" t="s">
        <v>8482</v>
      </c>
      <c r="B320" s="6" t="str">
        <f t="shared" si="1"/>
        <v>319.779</v>
      </c>
      <c r="C320" s="6" t="str">
        <f t="shared" si="2"/>
        <v>319,779</v>
      </c>
      <c r="D320" s="6">
        <f t="shared" si="3"/>
        <v>319.779</v>
      </c>
      <c r="E320" s="6">
        <f t="shared" si="4"/>
        <v>0.345</v>
      </c>
    </row>
    <row r="321">
      <c r="A321" s="4" t="s">
        <v>8483</v>
      </c>
      <c r="B321" s="6" t="str">
        <f t="shared" si="1"/>
        <v>322.535</v>
      </c>
      <c r="C321" s="6" t="str">
        <f t="shared" si="2"/>
        <v>322,535</v>
      </c>
      <c r="D321" s="6">
        <f t="shared" si="3"/>
        <v>322.535</v>
      </c>
      <c r="E321" s="6">
        <f t="shared" si="4"/>
        <v>2.756</v>
      </c>
    </row>
    <row r="322">
      <c r="A322" s="4" t="s">
        <v>8484</v>
      </c>
      <c r="B322" s="6" t="str">
        <f t="shared" si="1"/>
        <v>322.888</v>
      </c>
      <c r="C322" s="6" t="str">
        <f t="shared" si="2"/>
        <v>322,888</v>
      </c>
      <c r="D322" s="6">
        <f t="shared" si="3"/>
        <v>322.888</v>
      </c>
      <c r="E322" s="6">
        <f t="shared" si="4"/>
        <v>0.353</v>
      </c>
    </row>
    <row r="323">
      <c r="A323" s="4" t="s">
        <v>8485</v>
      </c>
      <c r="B323" s="6" t="str">
        <f t="shared" si="1"/>
        <v>323.239</v>
      </c>
      <c r="C323" s="6" t="str">
        <f t="shared" si="2"/>
        <v>323,239</v>
      </c>
      <c r="D323" s="6">
        <f t="shared" si="3"/>
        <v>323.239</v>
      </c>
      <c r="E323" s="6">
        <f t="shared" si="4"/>
        <v>0.351</v>
      </c>
    </row>
    <row r="324">
      <c r="A324" s="4" t="s">
        <v>8486</v>
      </c>
      <c r="B324" s="6" t="str">
        <f t="shared" si="1"/>
        <v>323.637</v>
      </c>
      <c r="C324" s="6" t="str">
        <f t="shared" si="2"/>
        <v>323,637</v>
      </c>
      <c r="D324" s="6">
        <f t="shared" si="3"/>
        <v>323.637</v>
      </c>
      <c r="E324" s="6">
        <f t="shared" si="4"/>
        <v>0.398</v>
      </c>
    </row>
    <row r="325">
      <c r="A325" s="4" t="s">
        <v>8487</v>
      </c>
      <c r="B325" s="6" t="str">
        <f t="shared" si="1"/>
        <v>323.952</v>
      </c>
      <c r="C325" s="6" t="str">
        <f t="shared" si="2"/>
        <v>323,952</v>
      </c>
      <c r="D325" s="6">
        <f t="shared" si="3"/>
        <v>323.952</v>
      </c>
      <c r="E325" s="6">
        <f t="shared" si="4"/>
        <v>0.315</v>
      </c>
    </row>
    <row r="326">
      <c r="A326" s="4" t="s">
        <v>8488</v>
      </c>
      <c r="B326" s="6" t="str">
        <f t="shared" si="1"/>
        <v>324.298</v>
      </c>
      <c r="C326" s="6" t="str">
        <f t="shared" si="2"/>
        <v>324,298</v>
      </c>
      <c r="D326" s="6">
        <f t="shared" si="3"/>
        <v>324.298</v>
      </c>
      <c r="E326" s="6">
        <f t="shared" si="4"/>
        <v>0.346</v>
      </c>
    </row>
    <row r="327">
      <c r="A327" s="4" t="s">
        <v>8489</v>
      </c>
      <c r="B327" s="6" t="str">
        <f t="shared" si="1"/>
        <v>330.814</v>
      </c>
      <c r="C327" s="6" t="str">
        <f t="shared" si="2"/>
        <v>330,814</v>
      </c>
      <c r="D327" s="6">
        <f t="shared" si="3"/>
        <v>330.814</v>
      </c>
      <c r="E327" s="6">
        <f t="shared" si="4"/>
        <v>6.516</v>
      </c>
    </row>
    <row r="328">
      <c r="A328" s="4" t="s">
        <v>8490</v>
      </c>
      <c r="B328" s="6" t="str">
        <f t="shared" si="1"/>
        <v>331.156</v>
      </c>
      <c r="C328" s="6" t="str">
        <f t="shared" si="2"/>
        <v>331,156</v>
      </c>
      <c r="D328" s="6">
        <f t="shared" si="3"/>
        <v>331.156</v>
      </c>
      <c r="E328" s="6">
        <f t="shared" si="4"/>
        <v>0.342</v>
      </c>
    </row>
    <row r="329">
      <c r="A329" s="4" t="s">
        <v>8491</v>
      </c>
      <c r="B329" s="6" t="str">
        <f t="shared" si="1"/>
        <v>331.522</v>
      </c>
      <c r="C329" s="6" t="str">
        <f t="shared" si="2"/>
        <v>331,522</v>
      </c>
      <c r="D329" s="6">
        <f t="shared" si="3"/>
        <v>331.522</v>
      </c>
      <c r="E329" s="6">
        <f t="shared" si="4"/>
        <v>0.366</v>
      </c>
    </row>
    <row r="330">
      <c r="A330" s="4" t="s">
        <v>8492</v>
      </c>
      <c r="B330" s="6" t="str">
        <f t="shared" si="1"/>
        <v>331.875</v>
      </c>
      <c r="C330" s="6" t="str">
        <f t="shared" si="2"/>
        <v>331,875</v>
      </c>
      <c r="D330" s="6">
        <f t="shared" si="3"/>
        <v>331.875</v>
      </c>
      <c r="E330" s="6">
        <f t="shared" si="4"/>
        <v>0.353</v>
      </c>
    </row>
    <row r="331">
      <c r="A331" s="4" t="s">
        <v>8493</v>
      </c>
      <c r="B331" s="6" t="str">
        <f t="shared" si="1"/>
        <v>332.204</v>
      </c>
      <c r="C331" s="6" t="str">
        <f t="shared" si="2"/>
        <v>332,204</v>
      </c>
      <c r="D331" s="6">
        <f t="shared" si="3"/>
        <v>332.204</v>
      </c>
      <c r="E331" s="6">
        <f t="shared" si="4"/>
        <v>0.329</v>
      </c>
    </row>
    <row r="332">
      <c r="A332" s="4" t="s">
        <v>8494</v>
      </c>
      <c r="B332" s="6" t="str">
        <f t="shared" si="1"/>
        <v>332.541</v>
      </c>
      <c r="C332" s="6" t="str">
        <f t="shared" si="2"/>
        <v>332,541</v>
      </c>
      <c r="D332" s="6">
        <f t="shared" si="3"/>
        <v>332.541</v>
      </c>
      <c r="E332" s="6">
        <f t="shared" si="4"/>
        <v>0.337</v>
      </c>
    </row>
    <row r="333">
      <c r="A333" s="4" t="s">
        <v>8495</v>
      </c>
      <c r="B333" s="6" t="str">
        <f t="shared" si="1"/>
        <v>332.894</v>
      </c>
      <c r="C333" s="6" t="str">
        <f t="shared" si="2"/>
        <v>332,894</v>
      </c>
      <c r="D333" s="6">
        <f t="shared" si="3"/>
        <v>332.894</v>
      </c>
      <c r="E333" s="6">
        <f t="shared" si="4"/>
        <v>0.353</v>
      </c>
    </row>
    <row r="334">
      <c r="A334" s="4" t="s">
        <v>8496</v>
      </c>
      <c r="B334" s="6" t="str">
        <f t="shared" si="1"/>
        <v>333.259</v>
      </c>
      <c r="C334" s="6" t="str">
        <f t="shared" si="2"/>
        <v>333,259</v>
      </c>
      <c r="D334" s="6">
        <f t="shared" si="3"/>
        <v>333.259</v>
      </c>
      <c r="E334" s="6">
        <f t="shared" si="4"/>
        <v>0.365</v>
      </c>
    </row>
    <row r="335">
      <c r="A335" s="4" t="s">
        <v>8497</v>
      </c>
      <c r="B335" s="6" t="str">
        <f t="shared" si="1"/>
        <v>333.583</v>
      </c>
      <c r="C335" s="6" t="str">
        <f t="shared" si="2"/>
        <v>333,583</v>
      </c>
      <c r="D335" s="6">
        <f t="shared" si="3"/>
        <v>333.583</v>
      </c>
      <c r="E335" s="6">
        <f t="shared" si="4"/>
        <v>0.324</v>
      </c>
    </row>
    <row r="336">
      <c r="A336" s="4" t="s">
        <v>8498</v>
      </c>
      <c r="B336" s="6" t="str">
        <f t="shared" si="1"/>
        <v>333.903</v>
      </c>
      <c r="C336" s="6" t="str">
        <f t="shared" si="2"/>
        <v>333,903</v>
      </c>
      <c r="D336" s="6">
        <f t="shared" si="3"/>
        <v>333.903</v>
      </c>
      <c r="E336" s="6">
        <f t="shared" si="4"/>
        <v>0.32</v>
      </c>
    </row>
    <row r="337">
      <c r="A337" s="4" t="s">
        <v>8499</v>
      </c>
      <c r="B337" s="6" t="str">
        <f t="shared" si="1"/>
        <v>338.105</v>
      </c>
      <c r="C337" s="6" t="str">
        <f t="shared" si="2"/>
        <v>338,105</v>
      </c>
      <c r="D337" s="6">
        <f t="shared" si="3"/>
        <v>338.105</v>
      </c>
      <c r="E337" s="6">
        <f t="shared" si="4"/>
        <v>4.202</v>
      </c>
    </row>
    <row r="338">
      <c r="A338" s="4" t="s">
        <v>8500</v>
      </c>
      <c r="B338" s="6" t="str">
        <f t="shared" si="1"/>
        <v>338.422</v>
      </c>
      <c r="C338" s="6" t="str">
        <f t="shared" si="2"/>
        <v>338,422</v>
      </c>
      <c r="D338" s="6">
        <f t="shared" si="3"/>
        <v>338.422</v>
      </c>
      <c r="E338" s="6">
        <f t="shared" si="4"/>
        <v>0.317</v>
      </c>
    </row>
    <row r="339">
      <c r="A339" s="4" t="s">
        <v>8501</v>
      </c>
      <c r="B339" s="6" t="str">
        <f t="shared" si="1"/>
        <v>338.763</v>
      </c>
      <c r="C339" s="6" t="str">
        <f t="shared" si="2"/>
        <v>338,763</v>
      </c>
      <c r="D339" s="6">
        <f t="shared" si="3"/>
        <v>338.763</v>
      </c>
      <c r="E339" s="6">
        <f t="shared" si="4"/>
        <v>0.341</v>
      </c>
    </row>
    <row r="340">
      <c r="A340" s="4" t="s">
        <v>8502</v>
      </c>
      <c r="B340" s="6" t="str">
        <f t="shared" si="1"/>
        <v>339.075</v>
      </c>
      <c r="C340" s="6" t="str">
        <f t="shared" si="2"/>
        <v>339,075</v>
      </c>
      <c r="D340" s="6">
        <f t="shared" si="3"/>
        <v>339.075</v>
      </c>
      <c r="E340" s="6">
        <f t="shared" si="4"/>
        <v>0.312</v>
      </c>
    </row>
    <row r="341">
      <c r="A341" s="4" t="s">
        <v>8503</v>
      </c>
      <c r="B341" s="6" t="str">
        <f t="shared" si="1"/>
        <v>339.397</v>
      </c>
      <c r="C341" s="6" t="str">
        <f t="shared" si="2"/>
        <v>339,397</v>
      </c>
      <c r="D341" s="6">
        <f t="shared" si="3"/>
        <v>339.397</v>
      </c>
      <c r="E341" s="6">
        <f t="shared" si="4"/>
        <v>0.322</v>
      </c>
    </row>
    <row r="342">
      <c r="A342" s="4" t="s">
        <v>8504</v>
      </c>
      <c r="B342" s="6" t="str">
        <f t="shared" si="1"/>
        <v>339.738</v>
      </c>
      <c r="C342" s="6" t="str">
        <f t="shared" si="2"/>
        <v>339,738</v>
      </c>
      <c r="D342" s="6">
        <f t="shared" si="3"/>
        <v>339.738</v>
      </c>
      <c r="E342" s="6">
        <f t="shared" si="4"/>
        <v>0.341</v>
      </c>
    </row>
    <row r="343">
      <c r="A343" s="4" t="s">
        <v>8505</v>
      </c>
      <c r="B343" s="6" t="str">
        <f t="shared" si="1"/>
        <v>346.711</v>
      </c>
      <c r="C343" s="6" t="str">
        <f t="shared" si="2"/>
        <v>346,711</v>
      </c>
      <c r="D343" s="6">
        <f t="shared" si="3"/>
        <v>346.711</v>
      </c>
      <c r="E343" s="6">
        <f t="shared" si="4"/>
        <v>6.973</v>
      </c>
    </row>
    <row r="344">
      <c r="A344" s="4" t="s">
        <v>8506</v>
      </c>
      <c r="B344" s="6" t="str">
        <f t="shared" si="1"/>
        <v>347.035</v>
      </c>
      <c r="C344" s="6" t="str">
        <f t="shared" si="2"/>
        <v>347,035</v>
      </c>
      <c r="D344" s="6">
        <f t="shared" si="3"/>
        <v>347.035</v>
      </c>
      <c r="E344" s="6">
        <f t="shared" si="4"/>
        <v>0.324</v>
      </c>
    </row>
    <row r="345">
      <c r="A345" s="4" t="s">
        <v>8507</v>
      </c>
      <c r="B345" s="6" t="str">
        <f t="shared" si="1"/>
        <v>347.371</v>
      </c>
      <c r="C345" s="6" t="str">
        <f t="shared" si="2"/>
        <v>347,371</v>
      </c>
      <c r="D345" s="6">
        <f t="shared" si="3"/>
        <v>347.371</v>
      </c>
      <c r="E345" s="6">
        <f t="shared" si="4"/>
        <v>0.336</v>
      </c>
    </row>
    <row r="346">
      <c r="A346" s="4" t="s">
        <v>8508</v>
      </c>
      <c r="B346" s="6" t="str">
        <f t="shared" si="1"/>
        <v>347.709</v>
      </c>
      <c r="C346" s="6" t="str">
        <f t="shared" si="2"/>
        <v>347,709</v>
      </c>
      <c r="D346" s="6">
        <f t="shared" si="3"/>
        <v>347.709</v>
      </c>
      <c r="E346" s="6">
        <f t="shared" si="4"/>
        <v>0.338</v>
      </c>
    </row>
    <row r="347">
      <c r="A347" s="4" t="s">
        <v>8509</v>
      </c>
      <c r="B347" s="6" t="str">
        <f t="shared" si="1"/>
        <v>348.034</v>
      </c>
      <c r="C347" s="6" t="str">
        <f t="shared" si="2"/>
        <v>348,034</v>
      </c>
      <c r="D347" s="6">
        <f t="shared" si="3"/>
        <v>348.034</v>
      </c>
      <c r="E347" s="6">
        <f t="shared" si="4"/>
        <v>0.325</v>
      </c>
    </row>
    <row r="348">
      <c r="A348" s="4" t="s">
        <v>8510</v>
      </c>
      <c r="B348" s="6" t="str">
        <f t="shared" si="1"/>
        <v>348.357</v>
      </c>
      <c r="C348" s="6" t="str">
        <f t="shared" si="2"/>
        <v>348,357</v>
      </c>
      <c r="D348" s="6">
        <f t="shared" si="3"/>
        <v>348.357</v>
      </c>
      <c r="E348" s="6">
        <f t="shared" si="4"/>
        <v>0.323</v>
      </c>
    </row>
    <row r="349">
      <c r="A349" s="4" t="s">
        <v>8511</v>
      </c>
      <c r="B349" s="6" t="str">
        <f t="shared" si="1"/>
        <v>348.717</v>
      </c>
      <c r="C349" s="6" t="str">
        <f t="shared" si="2"/>
        <v>348,717</v>
      </c>
      <c r="D349" s="6">
        <f t="shared" si="3"/>
        <v>348.717</v>
      </c>
      <c r="E349" s="6">
        <f t="shared" si="4"/>
        <v>0.36</v>
      </c>
    </row>
    <row r="350">
      <c r="A350" s="4" t="s">
        <v>8512</v>
      </c>
      <c r="B350" s="6" t="str">
        <f t="shared" si="1"/>
        <v>349.032</v>
      </c>
      <c r="C350" s="6" t="str">
        <f t="shared" si="2"/>
        <v>349,032</v>
      </c>
      <c r="D350" s="6">
        <f t="shared" si="3"/>
        <v>349.032</v>
      </c>
      <c r="E350" s="6">
        <f t="shared" si="4"/>
        <v>0.315</v>
      </c>
    </row>
    <row r="351">
      <c r="A351" s="4" t="s">
        <v>8513</v>
      </c>
      <c r="B351" s="6" t="str">
        <f t="shared" si="1"/>
        <v>349.408</v>
      </c>
      <c r="C351" s="6" t="str">
        <f t="shared" si="2"/>
        <v>349,408</v>
      </c>
      <c r="D351" s="6">
        <f t="shared" si="3"/>
        <v>349.408</v>
      </c>
      <c r="E351" s="6">
        <f t="shared" si="4"/>
        <v>0.376</v>
      </c>
    </row>
    <row r="352">
      <c r="A352" s="4" t="s">
        <v>8514</v>
      </c>
      <c r="B352" s="6" t="str">
        <f t="shared" si="1"/>
        <v>349.737</v>
      </c>
      <c r="C352" s="6" t="str">
        <f t="shared" si="2"/>
        <v>349,737</v>
      </c>
      <c r="D352" s="6">
        <f t="shared" si="3"/>
        <v>349.737</v>
      </c>
      <c r="E352" s="6">
        <f t="shared" si="4"/>
        <v>0.329</v>
      </c>
    </row>
    <row r="353">
      <c r="A353" s="4" t="s">
        <v>8515</v>
      </c>
      <c r="B353" s="6" t="str">
        <f t="shared" si="1"/>
        <v>350.083</v>
      </c>
      <c r="C353" s="6" t="str">
        <f t="shared" si="2"/>
        <v>350,083</v>
      </c>
      <c r="D353" s="6">
        <f t="shared" si="3"/>
        <v>350.083</v>
      </c>
      <c r="E353" s="6">
        <f t="shared" si="4"/>
        <v>0.346</v>
      </c>
    </row>
    <row r="354">
      <c r="A354" s="4" t="s">
        <v>8516</v>
      </c>
      <c r="B354" s="6" t="str">
        <f t="shared" si="1"/>
        <v>350.429</v>
      </c>
      <c r="C354" s="6" t="str">
        <f t="shared" si="2"/>
        <v>350,429</v>
      </c>
      <c r="D354" s="6">
        <f t="shared" si="3"/>
        <v>350.429</v>
      </c>
      <c r="E354" s="6">
        <f t="shared" si="4"/>
        <v>0.346</v>
      </c>
    </row>
    <row r="355">
      <c r="A355" s="4" t="s">
        <v>8517</v>
      </c>
      <c r="B355" s="6" t="str">
        <f t="shared" si="1"/>
        <v>352.362</v>
      </c>
      <c r="C355" s="6" t="str">
        <f t="shared" si="2"/>
        <v>352,362</v>
      </c>
      <c r="D355" s="6">
        <f t="shared" si="3"/>
        <v>352.362</v>
      </c>
      <c r="E355" s="6">
        <f t="shared" si="4"/>
        <v>1.933</v>
      </c>
    </row>
    <row r="356">
      <c r="A356" s="4" t="s">
        <v>8518</v>
      </c>
      <c r="B356" s="6" t="str">
        <f t="shared" si="1"/>
        <v>352.704</v>
      </c>
      <c r="C356" s="6" t="str">
        <f t="shared" si="2"/>
        <v>352,704</v>
      </c>
      <c r="D356" s="6">
        <f t="shared" si="3"/>
        <v>352.704</v>
      </c>
      <c r="E356" s="6">
        <f t="shared" si="4"/>
        <v>0.342</v>
      </c>
    </row>
    <row r="357">
      <c r="A357" s="4" t="s">
        <v>8519</v>
      </c>
      <c r="B357" s="6" t="str">
        <f t="shared" si="1"/>
        <v>353.044</v>
      </c>
      <c r="C357" s="6" t="str">
        <f t="shared" si="2"/>
        <v>353,044</v>
      </c>
      <c r="D357" s="6">
        <f t="shared" si="3"/>
        <v>353.044</v>
      </c>
      <c r="E357" s="6">
        <f t="shared" si="4"/>
        <v>0.34</v>
      </c>
    </row>
    <row r="358">
      <c r="A358" s="4" t="s">
        <v>8520</v>
      </c>
      <c r="B358" s="6" t="str">
        <f t="shared" si="1"/>
        <v>353.393</v>
      </c>
      <c r="C358" s="6" t="str">
        <f t="shared" si="2"/>
        <v>353,393</v>
      </c>
      <c r="D358" s="6">
        <f t="shared" si="3"/>
        <v>353.393</v>
      </c>
      <c r="E358" s="6">
        <f t="shared" si="4"/>
        <v>0.349</v>
      </c>
    </row>
    <row r="359">
      <c r="A359" s="4" t="s">
        <v>8521</v>
      </c>
      <c r="B359" s="6" t="str">
        <f t="shared" si="1"/>
        <v>353.745</v>
      </c>
      <c r="C359" s="6" t="str">
        <f t="shared" si="2"/>
        <v>353,745</v>
      </c>
      <c r="D359" s="6">
        <f t="shared" si="3"/>
        <v>353.745</v>
      </c>
      <c r="E359" s="6">
        <f t="shared" si="4"/>
        <v>0.352</v>
      </c>
    </row>
    <row r="360">
      <c r="A360" s="4" t="s">
        <v>8522</v>
      </c>
      <c r="B360" s="6" t="str">
        <f t="shared" si="1"/>
        <v>359.765</v>
      </c>
      <c r="C360" s="6" t="str">
        <f t="shared" si="2"/>
        <v>359,765</v>
      </c>
      <c r="D360" s="6">
        <f t="shared" si="3"/>
        <v>359.765</v>
      </c>
      <c r="E360" s="6">
        <f t="shared" si="4"/>
        <v>6.02</v>
      </c>
    </row>
    <row r="361">
      <c r="A361" s="4" t="s">
        <v>8523</v>
      </c>
      <c r="B361" s="6" t="str">
        <f t="shared" si="1"/>
        <v>360.120</v>
      </c>
      <c r="C361" s="6" t="str">
        <f t="shared" si="2"/>
        <v>360,120</v>
      </c>
      <c r="D361" s="6">
        <f t="shared" si="3"/>
        <v>360.12</v>
      </c>
      <c r="E361" s="6">
        <f t="shared" si="4"/>
        <v>0.355</v>
      </c>
    </row>
    <row r="362">
      <c r="A362" s="4" t="s">
        <v>8524</v>
      </c>
      <c r="B362" s="6" t="str">
        <f t="shared" si="1"/>
        <v>360.495</v>
      </c>
      <c r="C362" s="6" t="str">
        <f t="shared" si="2"/>
        <v>360,495</v>
      </c>
      <c r="D362" s="6">
        <f t="shared" si="3"/>
        <v>360.495</v>
      </c>
      <c r="E362" s="6">
        <f t="shared" si="4"/>
        <v>0.375</v>
      </c>
    </row>
    <row r="363">
      <c r="A363" s="4" t="s">
        <v>8525</v>
      </c>
      <c r="B363" s="6" t="str">
        <f t="shared" si="1"/>
        <v>360.869</v>
      </c>
      <c r="C363" s="6" t="str">
        <f t="shared" si="2"/>
        <v>360,869</v>
      </c>
      <c r="D363" s="6">
        <f t="shared" si="3"/>
        <v>360.869</v>
      </c>
      <c r="E363" s="6">
        <f t="shared" si="4"/>
        <v>0.374</v>
      </c>
    </row>
    <row r="364">
      <c r="A364" s="4" t="s">
        <v>8526</v>
      </c>
      <c r="B364" s="6" t="str">
        <f t="shared" si="1"/>
        <v>361.286</v>
      </c>
      <c r="C364" s="6" t="str">
        <f t="shared" si="2"/>
        <v>361,286</v>
      </c>
      <c r="D364" s="6">
        <f t="shared" si="3"/>
        <v>361.286</v>
      </c>
      <c r="E364" s="6">
        <f t="shared" si="4"/>
        <v>0.417</v>
      </c>
    </row>
    <row r="365">
      <c r="A365" s="4" t="s">
        <v>8527</v>
      </c>
      <c r="B365" s="6" t="str">
        <f t="shared" si="1"/>
        <v>361.632</v>
      </c>
      <c r="C365" s="6" t="str">
        <f t="shared" si="2"/>
        <v>361,632</v>
      </c>
      <c r="D365" s="6">
        <f t="shared" si="3"/>
        <v>361.632</v>
      </c>
      <c r="E365" s="6">
        <f t="shared" si="4"/>
        <v>0.346</v>
      </c>
    </row>
    <row r="366">
      <c r="A366" s="4" t="s">
        <v>8528</v>
      </c>
      <c r="B366" s="6" t="str">
        <f t="shared" si="1"/>
        <v>361.973</v>
      </c>
      <c r="C366" s="6" t="str">
        <f t="shared" si="2"/>
        <v>361,973</v>
      </c>
      <c r="D366" s="6">
        <f t="shared" si="3"/>
        <v>361.973</v>
      </c>
      <c r="E366" s="6">
        <f t="shared" si="4"/>
        <v>0.341</v>
      </c>
    </row>
    <row r="367">
      <c r="A367" s="4" t="s">
        <v>8529</v>
      </c>
      <c r="B367" s="6" t="str">
        <f t="shared" si="1"/>
        <v>362.315</v>
      </c>
      <c r="C367" s="6" t="str">
        <f t="shared" si="2"/>
        <v>362,315</v>
      </c>
      <c r="D367" s="6">
        <f t="shared" si="3"/>
        <v>362.315</v>
      </c>
      <c r="E367" s="6">
        <f t="shared" si="4"/>
        <v>0.342</v>
      </c>
    </row>
    <row r="368">
      <c r="A368" s="4" t="s">
        <v>8530</v>
      </c>
      <c r="B368" s="6" t="str">
        <f t="shared" si="1"/>
        <v>362.636</v>
      </c>
      <c r="C368" s="6" t="str">
        <f t="shared" si="2"/>
        <v>362,636</v>
      </c>
      <c r="D368" s="6">
        <f t="shared" si="3"/>
        <v>362.636</v>
      </c>
      <c r="E368" s="6">
        <f t="shared" si="4"/>
        <v>0.321</v>
      </c>
    </row>
    <row r="369">
      <c r="A369" s="4" t="s">
        <v>8531</v>
      </c>
      <c r="B369" s="6" t="str">
        <f t="shared" si="1"/>
        <v>362.964</v>
      </c>
      <c r="C369" s="6" t="str">
        <f t="shared" si="2"/>
        <v>362,964</v>
      </c>
      <c r="D369" s="6">
        <f t="shared" si="3"/>
        <v>362.964</v>
      </c>
      <c r="E369" s="6">
        <f t="shared" si="4"/>
        <v>0.328</v>
      </c>
    </row>
    <row r="370">
      <c r="A370" s="4" t="s">
        <v>8532</v>
      </c>
      <c r="B370" s="6" t="str">
        <f t="shared" si="1"/>
        <v>366.815</v>
      </c>
      <c r="C370" s="6" t="str">
        <f t="shared" si="2"/>
        <v>366,815</v>
      </c>
      <c r="D370" s="6">
        <f t="shared" si="3"/>
        <v>366.815</v>
      </c>
      <c r="E370" s="6">
        <f t="shared" si="4"/>
        <v>3.851</v>
      </c>
    </row>
    <row r="371">
      <c r="A371" s="4" t="s">
        <v>8533</v>
      </c>
      <c r="B371" s="6" t="str">
        <f t="shared" si="1"/>
        <v>367.139</v>
      </c>
      <c r="C371" s="6" t="str">
        <f t="shared" si="2"/>
        <v>367,139</v>
      </c>
      <c r="D371" s="6">
        <f t="shared" si="3"/>
        <v>367.139</v>
      </c>
      <c r="E371" s="6">
        <f t="shared" si="4"/>
        <v>0.324</v>
      </c>
    </row>
    <row r="372">
      <c r="A372" s="4" t="s">
        <v>8534</v>
      </c>
      <c r="B372" s="6" t="str">
        <f t="shared" si="1"/>
        <v>367.482</v>
      </c>
      <c r="C372" s="6" t="str">
        <f t="shared" si="2"/>
        <v>367,482</v>
      </c>
      <c r="D372" s="6">
        <f t="shared" si="3"/>
        <v>367.482</v>
      </c>
      <c r="E372" s="6">
        <f t="shared" si="4"/>
        <v>0.343</v>
      </c>
    </row>
    <row r="373">
      <c r="A373" s="4" t="s">
        <v>8535</v>
      </c>
      <c r="B373" s="6" t="str">
        <f t="shared" si="1"/>
        <v>367.816</v>
      </c>
      <c r="C373" s="6" t="str">
        <f t="shared" si="2"/>
        <v>367,816</v>
      </c>
      <c r="D373" s="6">
        <f t="shared" si="3"/>
        <v>367.816</v>
      </c>
      <c r="E373" s="6">
        <f t="shared" si="4"/>
        <v>0.334</v>
      </c>
    </row>
    <row r="374">
      <c r="A374" s="4" t="s">
        <v>8536</v>
      </c>
      <c r="B374" s="6" t="str">
        <f t="shared" si="1"/>
        <v>368.152</v>
      </c>
      <c r="C374" s="6" t="str">
        <f t="shared" si="2"/>
        <v>368,152</v>
      </c>
      <c r="D374" s="6">
        <f t="shared" si="3"/>
        <v>368.152</v>
      </c>
      <c r="E374" s="6">
        <f t="shared" si="4"/>
        <v>0.336</v>
      </c>
    </row>
    <row r="375">
      <c r="A375" s="4" t="s">
        <v>8537</v>
      </c>
      <c r="B375" s="6" t="str">
        <f t="shared" si="1"/>
        <v>368.496</v>
      </c>
      <c r="C375" s="6" t="str">
        <f t="shared" si="2"/>
        <v>368,496</v>
      </c>
      <c r="D375" s="6">
        <f t="shared" si="3"/>
        <v>368.496</v>
      </c>
      <c r="E375" s="6">
        <f t="shared" si="4"/>
        <v>0.344</v>
      </c>
    </row>
    <row r="376">
      <c r="A376" s="4" t="s">
        <v>8538</v>
      </c>
      <c r="B376" s="6" t="str">
        <f t="shared" si="1"/>
        <v>368.842</v>
      </c>
      <c r="C376" s="6" t="str">
        <f t="shared" si="2"/>
        <v>368,842</v>
      </c>
      <c r="D376" s="6">
        <f t="shared" si="3"/>
        <v>368.842</v>
      </c>
      <c r="E376" s="6">
        <f t="shared" si="4"/>
        <v>0.346</v>
      </c>
    </row>
    <row r="377">
      <c r="A377" s="4" t="s">
        <v>8539</v>
      </c>
      <c r="B377" s="6" t="str">
        <f t="shared" si="1"/>
        <v>369.247</v>
      </c>
      <c r="C377" s="6" t="str">
        <f t="shared" si="2"/>
        <v>369,247</v>
      </c>
      <c r="D377" s="6">
        <f t="shared" si="3"/>
        <v>369.247</v>
      </c>
      <c r="E377" s="6">
        <f t="shared" si="4"/>
        <v>0.405</v>
      </c>
    </row>
    <row r="378">
      <c r="A378" s="4" t="s">
        <v>8540</v>
      </c>
      <c r="B378" s="6" t="str">
        <f t="shared" si="1"/>
        <v>373.563</v>
      </c>
      <c r="C378" s="6" t="str">
        <f t="shared" si="2"/>
        <v>373,563</v>
      </c>
      <c r="D378" s="6">
        <f t="shared" si="3"/>
        <v>373.563</v>
      </c>
      <c r="E378" s="6">
        <f t="shared" si="4"/>
        <v>4.316</v>
      </c>
    </row>
    <row r="379">
      <c r="A379" s="4" t="s">
        <v>8541</v>
      </c>
      <c r="B379" s="6" t="str">
        <f t="shared" si="1"/>
        <v>373.931</v>
      </c>
      <c r="C379" s="6" t="str">
        <f t="shared" si="2"/>
        <v>373,931</v>
      </c>
      <c r="D379" s="6">
        <f t="shared" si="3"/>
        <v>373.931</v>
      </c>
      <c r="E379" s="6">
        <f t="shared" si="4"/>
        <v>0.368</v>
      </c>
    </row>
    <row r="380">
      <c r="A380" s="4" t="s">
        <v>8542</v>
      </c>
      <c r="B380" s="6" t="str">
        <f t="shared" si="1"/>
        <v>374.264</v>
      </c>
      <c r="C380" s="6" t="str">
        <f t="shared" si="2"/>
        <v>374,264</v>
      </c>
      <c r="D380" s="6">
        <f t="shared" si="3"/>
        <v>374.264</v>
      </c>
      <c r="E380" s="6">
        <f t="shared" si="4"/>
        <v>0.333</v>
      </c>
    </row>
    <row r="381">
      <c r="A381" s="4" t="s">
        <v>8543</v>
      </c>
      <c r="B381" s="6" t="str">
        <f t="shared" si="1"/>
        <v>374.624</v>
      </c>
      <c r="C381" s="6" t="str">
        <f t="shared" si="2"/>
        <v>374,624</v>
      </c>
      <c r="D381" s="6">
        <f t="shared" si="3"/>
        <v>374.624</v>
      </c>
      <c r="E381" s="6">
        <f t="shared" si="4"/>
        <v>0.36</v>
      </c>
    </row>
    <row r="382">
      <c r="A382" s="4" t="s">
        <v>8544</v>
      </c>
      <c r="B382" s="6" t="str">
        <f t="shared" si="1"/>
        <v>374.971</v>
      </c>
      <c r="C382" s="6" t="str">
        <f t="shared" si="2"/>
        <v>374,971</v>
      </c>
      <c r="D382" s="6">
        <f t="shared" si="3"/>
        <v>374.971</v>
      </c>
      <c r="E382" s="6">
        <f t="shared" si="4"/>
        <v>0.347</v>
      </c>
    </row>
    <row r="383">
      <c r="A383" s="4" t="s">
        <v>8545</v>
      </c>
      <c r="B383" s="6" t="str">
        <f t="shared" si="1"/>
        <v>375.319</v>
      </c>
      <c r="C383" s="6" t="str">
        <f t="shared" si="2"/>
        <v>375,319</v>
      </c>
      <c r="D383" s="6">
        <f t="shared" si="3"/>
        <v>375.319</v>
      </c>
      <c r="E383" s="6">
        <f t="shared" si="4"/>
        <v>0.348</v>
      </c>
    </row>
    <row r="384">
      <c r="A384" s="4" t="s">
        <v>8546</v>
      </c>
      <c r="B384" s="6" t="str">
        <f t="shared" si="1"/>
        <v>375.684</v>
      </c>
      <c r="C384" s="6" t="str">
        <f t="shared" si="2"/>
        <v>375,684</v>
      </c>
      <c r="D384" s="6">
        <f t="shared" si="3"/>
        <v>375.684</v>
      </c>
      <c r="E384" s="6">
        <f t="shared" si="4"/>
        <v>0.365</v>
      </c>
    </row>
    <row r="385">
      <c r="A385" s="4" t="s">
        <v>8547</v>
      </c>
      <c r="B385" s="6" t="str">
        <f t="shared" si="1"/>
        <v>376.023</v>
      </c>
      <c r="C385" s="6" t="str">
        <f t="shared" si="2"/>
        <v>376,023</v>
      </c>
      <c r="D385" s="6">
        <f t="shared" si="3"/>
        <v>376.023</v>
      </c>
      <c r="E385" s="6">
        <f t="shared" si="4"/>
        <v>0.339</v>
      </c>
    </row>
    <row r="386">
      <c r="A386" s="4" t="s">
        <v>8548</v>
      </c>
      <c r="B386" s="6" t="str">
        <f t="shared" si="1"/>
        <v>381.608</v>
      </c>
      <c r="C386" s="6" t="str">
        <f t="shared" si="2"/>
        <v>381,608</v>
      </c>
      <c r="D386" s="6">
        <f t="shared" si="3"/>
        <v>381.608</v>
      </c>
      <c r="E386" s="6">
        <f t="shared" si="4"/>
        <v>5.585</v>
      </c>
    </row>
    <row r="387">
      <c r="A387" s="4" t="s">
        <v>8549</v>
      </c>
      <c r="B387" s="6" t="str">
        <f t="shared" si="1"/>
        <v>381.950</v>
      </c>
      <c r="C387" s="6" t="str">
        <f t="shared" si="2"/>
        <v>381,950</v>
      </c>
      <c r="D387" s="6">
        <f t="shared" si="3"/>
        <v>381.95</v>
      </c>
      <c r="E387" s="6">
        <f t="shared" si="4"/>
        <v>0.342</v>
      </c>
    </row>
    <row r="388">
      <c r="A388" s="4" t="s">
        <v>8550</v>
      </c>
      <c r="B388" s="6" t="str">
        <f t="shared" si="1"/>
        <v>382.284</v>
      </c>
      <c r="C388" s="6" t="str">
        <f t="shared" si="2"/>
        <v>382,284</v>
      </c>
      <c r="D388" s="6">
        <f t="shared" si="3"/>
        <v>382.284</v>
      </c>
      <c r="E388" s="6">
        <f t="shared" si="4"/>
        <v>0.334</v>
      </c>
    </row>
    <row r="389">
      <c r="A389" s="4" t="s">
        <v>8551</v>
      </c>
      <c r="B389" s="6" t="str">
        <f t="shared" si="1"/>
        <v>382.640</v>
      </c>
      <c r="C389" s="6" t="str">
        <f t="shared" si="2"/>
        <v>382,640</v>
      </c>
      <c r="D389" s="6">
        <f t="shared" si="3"/>
        <v>382.64</v>
      </c>
      <c r="E389" s="6">
        <f t="shared" si="4"/>
        <v>0.356</v>
      </c>
    </row>
    <row r="390">
      <c r="A390" s="4" t="s">
        <v>8552</v>
      </c>
      <c r="B390" s="6" t="str">
        <f t="shared" si="1"/>
        <v>383.036</v>
      </c>
      <c r="C390" s="6" t="str">
        <f t="shared" si="2"/>
        <v>383,036</v>
      </c>
      <c r="D390" s="6">
        <f t="shared" si="3"/>
        <v>383.036</v>
      </c>
      <c r="E390" s="6">
        <f t="shared" si="4"/>
        <v>0.396</v>
      </c>
    </row>
    <row r="391">
      <c r="A391" s="4" t="s">
        <v>8553</v>
      </c>
      <c r="B391" s="6" t="str">
        <f t="shared" si="1"/>
        <v>383.367</v>
      </c>
      <c r="C391" s="6" t="str">
        <f t="shared" si="2"/>
        <v>383,367</v>
      </c>
      <c r="D391" s="6">
        <f t="shared" si="3"/>
        <v>383.367</v>
      </c>
      <c r="E391" s="6">
        <f t="shared" si="4"/>
        <v>0.331</v>
      </c>
    </row>
    <row r="392">
      <c r="A392" s="4" t="s">
        <v>8554</v>
      </c>
      <c r="B392" s="6" t="str">
        <f t="shared" si="1"/>
        <v>383.688</v>
      </c>
      <c r="C392" s="6" t="str">
        <f t="shared" si="2"/>
        <v>383,688</v>
      </c>
      <c r="D392" s="6">
        <f t="shared" si="3"/>
        <v>383.688</v>
      </c>
      <c r="E392" s="6">
        <f t="shared" si="4"/>
        <v>0.321</v>
      </c>
    </row>
    <row r="393">
      <c r="A393" s="4" t="s">
        <v>8555</v>
      </c>
      <c r="B393" s="6" t="str">
        <f t="shared" si="1"/>
        <v>384.024</v>
      </c>
      <c r="C393" s="6" t="str">
        <f t="shared" si="2"/>
        <v>384,024</v>
      </c>
      <c r="D393" s="6">
        <f t="shared" si="3"/>
        <v>384.024</v>
      </c>
      <c r="E393" s="6">
        <f t="shared" si="4"/>
        <v>0.336</v>
      </c>
    </row>
    <row r="394">
      <c r="A394" s="4" t="s">
        <v>8556</v>
      </c>
      <c r="B394" s="6" t="str">
        <f t="shared" si="1"/>
        <v>389.114</v>
      </c>
      <c r="C394" s="6" t="str">
        <f t="shared" si="2"/>
        <v>389,114</v>
      </c>
      <c r="D394" s="6">
        <f t="shared" si="3"/>
        <v>389.114</v>
      </c>
      <c r="E394" s="6">
        <f t="shared" si="4"/>
        <v>5.09</v>
      </c>
    </row>
    <row r="395">
      <c r="A395" s="4" t="s">
        <v>8557</v>
      </c>
      <c r="B395" s="6" t="str">
        <f t="shared" si="1"/>
        <v>389.435</v>
      </c>
      <c r="C395" s="6" t="str">
        <f t="shared" si="2"/>
        <v>389,435</v>
      </c>
      <c r="D395" s="6">
        <f t="shared" si="3"/>
        <v>389.435</v>
      </c>
      <c r="E395" s="6">
        <f t="shared" si="4"/>
        <v>0.321</v>
      </c>
    </row>
    <row r="396">
      <c r="A396" s="4" t="s">
        <v>8558</v>
      </c>
      <c r="B396" s="6" t="str">
        <f t="shared" si="1"/>
        <v>389.786</v>
      </c>
      <c r="C396" s="6" t="str">
        <f t="shared" si="2"/>
        <v>389,786</v>
      </c>
      <c r="D396" s="6">
        <f t="shared" si="3"/>
        <v>389.786</v>
      </c>
      <c r="E396" s="6">
        <f t="shared" si="4"/>
        <v>0.351</v>
      </c>
    </row>
    <row r="397">
      <c r="A397" s="4" t="s">
        <v>8559</v>
      </c>
      <c r="B397" s="6" t="str">
        <f t="shared" si="1"/>
        <v>390.114</v>
      </c>
      <c r="C397" s="6" t="str">
        <f t="shared" si="2"/>
        <v>390,114</v>
      </c>
      <c r="D397" s="6">
        <f t="shared" si="3"/>
        <v>390.114</v>
      </c>
      <c r="E397" s="6">
        <f t="shared" si="4"/>
        <v>0.328</v>
      </c>
    </row>
    <row r="398">
      <c r="A398" s="4" t="s">
        <v>8560</v>
      </c>
      <c r="B398" s="6" t="str">
        <f t="shared" si="1"/>
        <v>390.456</v>
      </c>
      <c r="C398" s="6" t="str">
        <f t="shared" si="2"/>
        <v>390,456</v>
      </c>
      <c r="D398" s="6">
        <f t="shared" si="3"/>
        <v>390.456</v>
      </c>
      <c r="E398" s="6">
        <f t="shared" si="4"/>
        <v>0.342</v>
      </c>
    </row>
    <row r="399">
      <c r="A399" s="4" t="s">
        <v>8561</v>
      </c>
      <c r="B399" s="6" t="str">
        <f t="shared" si="1"/>
        <v>390.801</v>
      </c>
      <c r="C399" s="6" t="str">
        <f t="shared" si="2"/>
        <v>390,801</v>
      </c>
      <c r="D399" s="6">
        <f t="shared" si="3"/>
        <v>390.801</v>
      </c>
      <c r="E399" s="6">
        <f t="shared" si="4"/>
        <v>0.345</v>
      </c>
    </row>
    <row r="400">
      <c r="A400" s="4" t="s">
        <v>8562</v>
      </c>
      <c r="B400" s="6" t="str">
        <f t="shared" si="1"/>
        <v>391.098</v>
      </c>
      <c r="C400" s="6" t="str">
        <f t="shared" si="2"/>
        <v>391,098</v>
      </c>
      <c r="D400" s="6">
        <f t="shared" si="3"/>
        <v>391.098</v>
      </c>
      <c r="E400" s="6">
        <f t="shared" si="4"/>
        <v>0.297</v>
      </c>
    </row>
    <row r="401">
      <c r="A401" s="4" t="s">
        <v>8563</v>
      </c>
      <c r="B401" s="6" t="str">
        <f t="shared" si="1"/>
        <v>394.566</v>
      </c>
      <c r="C401" s="6" t="str">
        <f t="shared" si="2"/>
        <v>394,566</v>
      </c>
      <c r="D401" s="6">
        <f t="shared" si="3"/>
        <v>394.566</v>
      </c>
      <c r="E401" s="6">
        <f t="shared" si="4"/>
        <v>3.468</v>
      </c>
    </row>
    <row r="402">
      <c r="A402" s="4" t="s">
        <v>8564</v>
      </c>
      <c r="B402" s="6" t="str">
        <f t="shared" si="1"/>
        <v>394.901</v>
      </c>
      <c r="C402" s="6" t="str">
        <f t="shared" si="2"/>
        <v>394,901</v>
      </c>
      <c r="D402" s="6">
        <f t="shared" si="3"/>
        <v>394.901</v>
      </c>
      <c r="E402" s="6">
        <f t="shared" si="4"/>
        <v>0.335</v>
      </c>
    </row>
    <row r="403">
      <c r="A403" s="4" t="s">
        <v>8565</v>
      </c>
      <c r="B403" s="6" t="str">
        <f t="shared" si="1"/>
        <v>395.305</v>
      </c>
      <c r="C403" s="6" t="str">
        <f t="shared" si="2"/>
        <v>395,305</v>
      </c>
      <c r="D403" s="6">
        <f t="shared" si="3"/>
        <v>395.305</v>
      </c>
      <c r="E403" s="6">
        <f t="shared" si="4"/>
        <v>0.404</v>
      </c>
    </row>
    <row r="404">
      <c r="A404" s="4" t="s">
        <v>8566</v>
      </c>
      <c r="B404" s="6" t="str">
        <f t="shared" si="1"/>
        <v>395.651</v>
      </c>
      <c r="C404" s="6" t="str">
        <f t="shared" si="2"/>
        <v>395,651</v>
      </c>
      <c r="D404" s="6">
        <f t="shared" si="3"/>
        <v>395.651</v>
      </c>
      <c r="E404" s="6">
        <f t="shared" si="4"/>
        <v>0.346</v>
      </c>
    </row>
    <row r="405">
      <c r="A405" s="4" t="s">
        <v>8567</v>
      </c>
      <c r="B405" s="6" t="str">
        <f t="shared" si="1"/>
        <v>395.990</v>
      </c>
      <c r="C405" s="6" t="str">
        <f t="shared" si="2"/>
        <v>395,990</v>
      </c>
      <c r="D405" s="6">
        <f t="shared" si="3"/>
        <v>395.99</v>
      </c>
      <c r="E405" s="6">
        <f t="shared" si="4"/>
        <v>0.339</v>
      </c>
    </row>
    <row r="406">
      <c r="A406" s="4" t="s">
        <v>8568</v>
      </c>
      <c r="B406" s="6" t="str">
        <f t="shared" si="1"/>
        <v>401.976</v>
      </c>
      <c r="C406" s="6" t="str">
        <f t="shared" si="2"/>
        <v>401,976</v>
      </c>
      <c r="D406" s="6">
        <f t="shared" si="3"/>
        <v>401.976</v>
      </c>
      <c r="E406" s="6">
        <f t="shared" si="4"/>
        <v>5.986</v>
      </c>
    </row>
    <row r="407">
      <c r="A407" s="4" t="s">
        <v>8569</v>
      </c>
      <c r="B407" s="6" t="str">
        <f t="shared" si="1"/>
        <v>402.313</v>
      </c>
      <c r="C407" s="6" t="str">
        <f t="shared" si="2"/>
        <v>402,313</v>
      </c>
      <c r="D407" s="6">
        <f t="shared" si="3"/>
        <v>402.313</v>
      </c>
      <c r="E407" s="6">
        <f t="shared" si="4"/>
        <v>0.337</v>
      </c>
    </row>
    <row r="408">
      <c r="A408" s="4" t="s">
        <v>8570</v>
      </c>
      <c r="B408" s="6" t="str">
        <f t="shared" si="1"/>
        <v>402.660</v>
      </c>
      <c r="C408" s="6" t="str">
        <f t="shared" si="2"/>
        <v>402,660</v>
      </c>
      <c r="D408" s="6">
        <f t="shared" si="3"/>
        <v>402.66</v>
      </c>
      <c r="E408" s="6">
        <f t="shared" si="4"/>
        <v>0.347</v>
      </c>
    </row>
    <row r="409">
      <c r="A409" s="4" t="s">
        <v>8571</v>
      </c>
      <c r="B409" s="6" t="str">
        <f t="shared" si="1"/>
        <v>403.006</v>
      </c>
      <c r="C409" s="6" t="str">
        <f t="shared" si="2"/>
        <v>403,006</v>
      </c>
      <c r="D409" s="6">
        <f t="shared" si="3"/>
        <v>403.006</v>
      </c>
      <c r="E409" s="6">
        <f t="shared" si="4"/>
        <v>0.346</v>
      </c>
    </row>
    <row r="410">
      <c r="A410" s="4" t="s">
        <v>8572</v>
      </c>
      <c r="B410" s="6" t="str">
        <f t="shared" si="1"/>
        <v>403.356</v>
      </c>
      <c r="C410" s="6" t="str">
        <f t="shared" si="2"/>
        <v>403,356</v>
      </c>
      <c r="D410" s="6">
        <f t="shared" si="3"/>
        <v>403.356</v>
      </c>
      <c r="E410" s="6">
        <f t="shared" si="4"/>
        <v>0.35</v>
      </c>
    </row>
    <row r="411">
      <c r="A411" s="4" t="s">
        <v>8573</v>
      </c>
      <c r="B411" s="6" t="str">
        <f t="shared" si="1"/>
        <v>403.706</v>
      </c>
      <c r="C411" s="6" t="str">
        <f t="shared" si="2"/>
        <v>403,706</v>
      </c>
      <c r="D411" s="6">
        <f t="shared" si="3"/>
        <v>403.706</v>
      </c>
      <c r="E411" s="6">
        <f t="shared" si="4"/>
        <v>0.35</v>
      </c>
    </row>
    <row r="412">
      <c r="A412" s="4" t="s">
        <v>8574</v>
      </c>
      <c r="B412" s="6" t="str">
        <f t="shared" si="1"/>
        <v>404.033</v>
      </c>
      <c r="C412" s="6" t="str">
        <f t="shared" si="2"/>
        <v>404,033</v>
      </c>
      <c r="D412" s="6">
        <f t="shared" si="3"/>
        <v>404.033</v>
      </c>
      <c r="E412" s="6">
        <f t="shared" si="4"/>
        <v>0.327</v>
      </c>
    </row>
    <row r="413">
      <c r="A413" s="4" t="s">
        <v>8575</v>
      </c>
      <c r="B413" s="6" t="str">
        <f t="shared" si="1"/>
        <v>408.815</v>
      </c>
      <c r="C413" s="6" t="str">
        <f t="shared" si="2"/>
        <v>408,815</v>
      </c>
      <c r="D413" s="6">
        <f t="shared" si="3"/>
        <v>408.815</v>
      </c>
      <c r="E413" s="6">
        <f t="shared" si="4"/>
        <v>4.782</v>
      </c>
    </row>
    <row r="414">
      <c r="A414" s="4" t="s">
        <v>8576</v>
      </c>
      <c r="B414" s="6" t="str">
        <f t="shared" si="1"/>
        <v>409.165</v>
      </c>
      <c r="C414" s="6" t="str">
        <f t="shared" si="2"/>
        <v>409,165</v>
      </c>
      <c r="D414" s="6">
        <f t="shared" si="3"/>
        <v>409.165</v>
      </c>
      <c r="E414" s="6">
        <f t="shared" si="4"/>
        <v>0.35</v>
      </c>
    </row>
    <row r="415">
      <c r="A415" s="4" t="s">
        <v>8577</v>
      </c>
      <c r="B415" s="6" t="str">
        <f t="shared" si="1"/>
        <v>409.505</v>
      </c>
      <c r="C415" s="6" t="str">
        <f t="shared" si="2"/>
        <v>409,505</v>
      </c>
      <c r="D415" s="6">
        <f t="shared" si="3"/>
        <v>409.505</v>
      </c>
      <c r="E415" s="6">
        <f t="shared" si="4"/>
        <v>0.34</v>
      </c>
    </row>
    <row r="416">
      <c r="A416" s="4" t="s">
        <v>8578</v>
      </c>
      <c r="B416" s="6" t="str">
        <f t="shared" si="1"/>
        <v>409.847</v>
      </c>
      <c r="C416" s="6" t="str">
        <f t="shared" si="2"/>
        <v>409,847</v>
      </c>
      <c r="D416" s="6">
        <f t="shared" si="3"/>
        <v>409.847</v>
      </c>
      <c r="E416" s="6">
        <f t="shared" si="4"/>
        <v>0.342</v>
      </c>
    </row>
    <row r="417">
      <c r="A417" s="4" t="s">
        <v>8579</v>
      </c>
      <c r="B417" s="6" t="str">
        <f t="shared" si="1"/>
        <v>410.230</v>
      </c>
      <c r="C417" s="6" t="str">
        <f t="shared" si="2"/>
        <v>410,230</v>
      </c>
      <c r="D417" s="6">
        <f t="shared" si="3"/>
        <v>410.23</v>
      </c>
      <c r="E417" s="6">
        <f t="shared" si="4"/>
        <v>0.383</v>
      </c>
    </row>
    <row r="418">
      <c r="A418" s="4" t="s">
        <v>8580</v>
      </c>
      <c r="B418" s="6" t="str">
        <f t="shared" si="1"/>
        <v>410.598</v>
      </c>
      <c r="C418" s="6" t="str">
        <f t="shared" si="2"/>
        <v>410,598</v>
      </c>
      <c r="D418" s="6">
        <f t="shared" si="3"/>
        <v>410.598</v>
      </c>
      <c r="E418" s="6">
        <f t="shared" si="4"/>
        <v>0.368</v>
      </c>
    </row>
    <row r="419">
      <c r="A419" s="4" t="s">
        <v>8581</v>
      </c>
      <c r="B419" s="6" t="str">
        <f t="shared" si="1"/>
        <v>410.957</v>
      </c>
      <c r="C419" s="6" t="str">
        <f t="shared" si="2"/>
        <v>410,957</v>
      </c>
      <c r="D419" s="6">
        <f t="shared" si="3"/>
        <v>410.957</v>
      </c>
      <c r="E419" s="6">
        <f t="shared" si="4"/>
        <v>0.359</v>
      </c>
    </row>
    <row r="420">
      <c r="A420" s="4" t="s">
        <v>8582</v>
      </c>
      <c r="B420" s="6" t="str">
        <f t="shared" si="1"/>
        <v>411.319</v>
      </c>
      <c r="C420" s="6" t="str">
        <f t="shared" si="2"/>
        <v>411,319</v>
      </c>
      <c r="D420" s="6">
        <f t="shared" si="3"/>
        <v>411.319</v>
      </c>
      <c r="E420" s="6">
        <f t="shared" si="4"/>
        <v>0.362</v>
      </c>
    </row>
    <row r="421">
      <c r="A421" s="4" t="s">
        <v>8583</v>
      </c>
      <c r="B421" s="6" t="str">
        <f t="shared" si="1"/>
        <v>416.655</v>
      </c>
      <c r="C421" s="6" t="str">
        <f t="shared" si="2"/>
        <v>416,655</v>
      </c>
      <c r="D421" s="6">
        <f t="shared" si="3"/>
        <v>416.655</v>
      </c>
      <c r="E421" s="6">
        <f t="shared" si="4"/>
        <v>5.336</v>
      </c>
    </row>
    <row r="422">
      <c r="A422" s="4" t="s">
        <v>8584</v>
      </c>
      <c r="B422" s="6" t="str">
        <f t="shared" si="1"/>
        <v>417.001</v>
      </c>
      <c r="C422" s="6" t="str">
        <f t="shared" si="2"/>
        <v>417,001</v>
      </c>
      <c r="D422" s="6">
        <f t="shared" si="3"/>
        <v>417.001</v>
      </c>
      <c r="E422" s="6">
        <f t="shared" si="4"/>
        <v>0.346</v>
      </c>
    </row>
    <row r="423">
      <c r="A423" s="4" t="s">
        <v>8585</v>
      </c>
      <c r="B423" s="6" t="str">
        <f t="shared" si="1"/>
        <v>417.333</v>
      </c>
      <c r="C423" s="6" t="str">
        <f t="shared" si="2"/>
        <v>417,333</v>
      </c>
      <c r="D423" s="6">
        <f t="shared" si="3"/>
        <v>417.333</v>
      </c>
      <c r="E423" s="6">
        <f t="shared" si="4"/>
        <v>0.332</v>
      </c>
    </row>
    <row r="424">
      <c r="A424" s="4" t="s">
        <v>8586</v>
      </c>
      <c r="B424" s="6" t="str">
        <f t="shared" si="1"/>
        <v>417.667</v>
      </c>
      <c r="C424" s="6" t="str">
        <f t="shared" si="2"/>
        <v>417,667</v>
      </c>
      <c r="D424" s="6">
        <f t="shared" si="3"/>
        <v>417.667</v>
      </c>
      <c r="E424" s="6">
        <f t="shared" si="4"/>
        <v>0.334</v>
      </c>
    </row>
    <row r="425">
      <c r="A425" s="4" t="s">
        <v>8587</v>
      </c>
      <c r="B425" s="6" t="str">
        <f t="shared" si="1"/>
        <v>418.023</v>
      </c>
      <c r="C425" s="6" t="str">
        <f t="shared" si="2"/>
        <v>418,023</v>
      </c>
      <c r="D425" s="6">
        <f t="shared" si="3"/>
        <v>418.023</v>
      </c>
      <c r="E425" s="6">
        <f t="shared" si="4"/>
        <v>0.356</v>
      </c>
    </row>
    <row r="426">
      <c r="A426" s="4" t="s">
        <v>8588</v>
      </c>
      <c r="B426" s="6" t="str">
        <f t="shared" si="1"/>
        <v>418.371</v>
      </c>
      <c r="C426" s="6" t="str">
        <f t="shared" si="2"/>
        <v>418,371</v>
      </c>
      <c r="D426" s="6">
        <f t="shared" si="3"/>
        <v>418.371</v>
      </c>
      <c r="E426" s="6">
        <f t="shared" si="4"/>
        <v>0.348</v>
      </c>
    </row>
    <row r="427">
      <c r="A427" s="4" t="s">
        <v>8589</v>
      </c>
      <c r="B427" s="6" t="str">
        <f t="shared" si="1"/>
        <v>418.727</v>
      </c>
      <c r="C427" s="6" t="str">
        <f t="shared" si="2"/>
        <v>418,727</v>
      </c>
      <c r="D427" s="6">
        <f t="shared" si="3"/>
        <v>418.727</v>
      </c>
      <c r="E427" s="6">
        <f t="shared" si="4"/>
        <v>0.356</v>
      </c>
    </row>
    <row r="428">
      <c r="A428" s="4" t="s">
        <v>8590</v>
      </c>
      <c r="B428" s="6" t="str">
        <f t="shared" si="1"/>
        <v>419.072</v>
      </c>
      <c r="C428" s="6" t="str">
        <f t="shared" si="2"/>
        <v>419,072</v>
      </c>
      <c r="D428" s="6">
        <f t="shared" si="3"/>
        <v>419.072</v>
      </c>
      <c r="E428" s="6">
        <f t="shared" si="4"/>
        <v>0.345</v>
      </c>
    </row>
    <row r="429">
      <c r="A429" s="4" t="s">
        <v>8591</v>
      </c>
      <c r="B429" s="6" t="str">
        <f t="shared" si="1"/>
        <v>419.414</v>
      </c>
      <c r="C429" s="6" t="str">
        <f t="shared" si="2"/>
        <v>419,414</v>
      </c>
      <c r="D429" s="6">
        <f t="shared" si="3"/>
        <v>419.414</v>
      </c>
      <c r="E429" s="6">
        <f t="shared" si="4"/>
        <v>0.342</v>
      </c>
    </row>
    <row r="430">
      <c r="A430" s="4" t="s">
        <v>8592</v>
      </c>
      <c r="B430" s="6" t="str">
        <f t="shared" si="1"/>
        <v>419.814</v>
      </c>
      <c r="C430" s="6" t="str">
        <f t="shared" si="2"/>
        <v>419,814</v>
      </c>
      <c r="D430" s="6">
        <f t="shared" si="3"/>
        <v>419.814</v>
      </c>
      <c r="E430" s="6">
        <f t="shared" si="4"/>
        <v>0.4</v>
      </c>
    </row>
    <row r="431">
      <c r="A431" s="4" t="s">
        <v>8593</v>
      </c>
      <c r="B431" s="6" t="str">
        <f t="shared" si="1"/>
        <v>420.148</v>
      </c>
      <c r="C431" s="6" t="str">
        <f t="shared" si="2"/>
        <v>420,148</v>
      </c>
      <c r="D431" s="6">
        <f t="shared" si="3"/>
        <v>420.148</v>
      </c>
      <c r="E431" s="6">
        <f t="shared" si="4"/>
        <v>0.334</v>
      </c>
    </row>
    <row r="432">
      <c r="A432" s="4" t="s">
        <v>8594</v>
      </c>
      <c r="B432" s="6" t="str">
        <f t="shared" si="1"/>
        <v>424.846</v>
      </c>
      <c r="C432" s="6" t="str">
        <f t="shared" si="2"/>
        <v>424,846</v>
      </c>
      <c r="D432" s="6">
        <f t="shared" si="3"/>
        <v>424.846</v>
      </c>
      <c r="E432" s="6">
        <f t="shared" si="4"/>
        <v>4.698</v>
      </c>
    </row>
    <row r="433">
      <c r="A433" s="4" t="s">
        <v>8595</v>
      </c>
      <c r="B433" s="6" t="str">
        <f t="shared" si="1"/>
        <v>425.196</v>
      </c>
      <c r="C433" s="6" t="str">
        <f t="shared" si="2"/>
        <v>425,196</v>
      </c>
      <c r="D433" s="6">
        <f t="shared" si="3"/>
        <v>425.196</v>
      </c>
      <c r="E433" s="6">
        <f t="shared" si="4"/>
        <v>0.35</v>
      </c>
    </row>
    <row r="434">
      <c r="A434" s="4" t="s">
        <v>8596</v>
      </c>
      <c r="B434" s="6" t="str">
        <f t="shared" si="1"/>
        <v>425.541</v>
      </c>
      <c r="C434" s="6" t="str">
        <f t="shared" si="2"/>
        <v>425,541</v>
      </c>
      <c r="D434" s="6">
        <f t="shared" si="3"/>
        <v>425.541</v>
      </c>
      <c r="E434" s="6">
        <f t="shared" si="4"/>
        <v>0.345</v>
      </c>
    </row>
    <row r="435">
      <c r="A435" s="4" t="s">
        <v>8597</v>
      </c>
      <c r="B435" s="6" t="str">
        <f t="shared" si="1"/>
        <v>425.897</v>
      </c>
      <c r="C435" s="6" t="str">
        <f t="shared" si="2"/>
        <v>425,897</v>
      </c>
      <c r="D435" s="6">
        <f t="shared" si="3"/>
        <v>425.897</v>
      </c>
      <c r="E435" s="6">
        <f t="shared" si="4"/>
        <v>0.356</v>
      </c>
    </row>
    <row r="436">
      <c r="A436" s="4" t="s">
        <v>8598</v>
      </c>
      <c r="B436" s="6" t="str">
        <f t="shared" si="1"/>
        <v>426.220</v>
      </c>
      <c r="C436" s="6" t="str">
        <f t="shared" si="2"/>
        <v>426,220</v>
      </c>
      <c r="D436" s="6">
        <f t="shared" si="3"/>
        <v>426.22</v>
      </c>
      <c r="E436" s="6">
        <f t="shared" si="4"/>
        <v>0.323</v>
      </c>
    </row>
    <row r="437">
      <c r="A437" s="4" t="s">
        <v>8599</v>
      </c>
      <c r="B437" s="6" t="str">
        <f t="shared" si="1"/>
        <v>426.566</v>
      </c>
      <c r="C437" s="6" t="str">
        <f t="shared" si="2"/>
        <v>426,566</v>
      </c>
      <c r="D437" s="6">
        <f t="shared" si="3"/>
        <v>426.566</v>
      </c>
      <c r="E437" s="6">
        <f t="shared" si="4"/>
        <v>0.346</v>
      </c>
    </row>
    <row r="438">
      <c r="A438" s="4" t="s">
        <v>8600</v>
      </c>
      <c r="B438" s="6" t="str">
        <f t="shared" si="1"/>
        <v>426.905</v>
      </c>
      <c r="C438" s="6" t="str">
        <f t="shared" si="2"/>
        <v>426,905</v>
      </c>
      <c r="D438" s="6">
        <f t="shared" si="3"/>
        <v>426.905</v>
      </c>
      <c r="E438" s="6">
        <f t="shared" si="4"/>
        <v>0.339</v>
      </c>
    </row>
    <row r="439">
      <c r="A439" s="4" t="s">
        <v>8601</v>
      </c>
      <c r="B439" s="6" t="str">
        <f t="shared" si="1"/>
        <v>427.258</v>
      </c>
      <c r="C439" s="6" t="str">
        <f t="shared" si="2"/>
        <v>427,258</v>
      </c>
      <c r="D439" s="6">
        <f t="shared" si="3"/>
        <v>427.258</v>
      </c>
      <c r="E439" s="6">
        <f t="shared" si="4"/>
        <v>0.353</v>
      </c>
    </row>
    <row r="440">
      <c r="A440" s="4" t="s">
        <v>8602</v>
      </c>
      <c r="B440" s="6" t="str">
        <f t="shared" si="1"/>
        <v>427.587</v>
      </c>
      <c r="C440" s="6" t="str">
        <f t="shared" si="2"/>
        <v>427,587</v>
      </c>
      <c r="D440" s="6">
        <f t="shared" si="3"/>
        <v>427.587</v>
      </c>
      <c r="E440" s="6">
        <f t="shared" si="4"/>
        <v>0.329</v>
      </c>
    </row>
    <row r="441">
      <c r="A441" s="4" t="s">
        <v>8603</v>
      </c>
      <c r="B441" s="6" t="str">
        <f t="shared" si="1"/>
        <v>427.922</v>
      </c>
      <c r="C441" s="6" t="str">
        <f t="shared" si="2"/>
        <v>427,922</v>
      </c>
      <c r="D441" s="6">
        <f t="shared" si="3"/>
        <v>427.922</v>
      </c>
      <c r="E441" s="6">
        <f t="shared" si="4"/>
        <v>0.335</v>
      </c>
    </row>
    <row r="442">
      <c r="A442" s="4" t="s">
        <v>8604</v>
      </c>
      <c r="B442" s="6" t="str">
        <f t="shared" si="1"/>
        <v>428.269</v>
      </c>
      <c r="C442" s="6" t="str">
        <f t="shared" si="2"/>
        <v>428,269</v>
      </c>
      <c r="D442" s="6">
        <f t="shared" si="3"/>
        <v>428.269</v>
      </c>
      <c r="E442" s="6">
        <f t="shared" si="4"/>
        <v>0.347</v>
      </c>
    </row>
    <row r="443">
      <c r="A443" s="4" t="s">
        <v>8605</v>
      </c>
      <c r="B443" s="6" t="str">
        <f t="shared" si="1"/>
        <v>432.637</v>
      </c>
      <c r="C443" s="6" t="str">
        <f t="shared" si="2"/>
        <v>432,637</v>
      </c>
      <c r="D443" s="6">
        <f t="shared" si="3"/>
        <v>432.637</v>
      </c>
      <c r="E443" s="6">
        <f t="shared" si="4"/>
        <v>4.368</v>
      </c>
    </row>
    <row r="444">
      <c r="A444" s="4" t="s">
        <v>8606</v>
      </c>
      <c r="B444" s="6" t="str">
        <f t="shared" si="1"/>
        <v>432.972</v>
      </c>
      <c r="C444" s="6" t="str">
        <f t="shared" si="2"/>
        <v>432,972</v>
      </c>
      <c r="D444" s="6">
        <f t="shared" si="3"/>
        <v>432.972</v>
      </c>
      <c r="E444" s="6">
        <f t="shared" si="4"/>
        <v>0.335</v>
      </c>
    </row>
    <row r="445">
      <c r="A445" s="4" t="s">
        <v>8607</v>
      </c>
      <c r="B445" s="6" t="str">
        <f t="shared" si="1"/>
        <v>433.287</v>
      </c>
      <c r="C445" s="6" t="str">
        <f t="shared" si="2"/>
        <v>433,287</v>
      </c>
      <c r="D445" s="6">
        <f t="shared" si="3"/>
        <v>433.287</v>
      </c>
      <c r="E445" s="6">
        <f t="shared" si="4"/>
        <v>0.315</v>
      </c>
    </row>
    <row r="446">
      <c r="A446" s="4" t="s">
        <v>8608</v>
      </c>
      <c r="B446" s="6" t="str">
        <f t="shared" si="1"/>
        <v>433.645</v>
      </c>
      <c r="C446" s="6" t="str">
        <f t="shared" si="2"/>
        <v>433,645</v>
      </c>
      <c r="D446" s="6">
        <f t="shared" si="3"/>
        <v>433.645</v>
      </c>
      <c r="E446" s="6">
        <f t="shared" si="4"/>
        <v>0.358</v>
      </c>
    </row>
    <row r="447">
      <c r="A447" s="4" t="s">
        <v>8609</v>
      </c>
      <c r="B447" s="6" t="str">
        <f t="shared" si="1"/>
        <v>433.984</v>
      </c>
      <c r="C447" s="6" t="str">
        <f t="shared" si="2"/>
        <v>433,984</v>
      </c>
      <c r="D447" s="6">
        <f t="shared" si="3"/>
        <v>433.984</v>
      </c>
      <c r="E447" s="6">
        <f t="shared" si="4"/>
        <v>0.339</v>
      </c>
    </row>
    <row r="448">
      <c r="A448" s="4" t="s">
        <v>8610</v>
      </c>
      <c r="B448" s="6" t="str">
        <f t="shared" si="1"/>
        <v>434.323</v>
      </c>
      <c r="C448" s="6" t="str">
        <f t="shared" si="2"/>
        <v>434,323</v>
      </c>
      <c r="D448" s="6">
        <f t="shared" si="3"/>
        <v>434.323</v>
      </c>
      <c r="E448" s="6">
        <f t="shared" si="4"/>
        <v>0.339</v>
      </c>
    </row>
    <row r="449">
      <c r="A449" s="4" t="s">
        <v>8611</v>
      </c>
      <c r="B449" s="6" t="str">
        <f t="shared" si="1"/>
        <v>434.673</v>
      </c>
      <c r="C449" s="6" t="str">
        <f t="shared" si="2"/>
        <v>434,673</v>
      </c>
      <c r="D449" s="6">
        <f t="shared" si="3"/>
        <v>434.673</v>
      </c>
      <c r="E449" s="6">
        <f t="shared" si="4"/>
        <v>0.35</v>
      </c>
    </row>
    <row r="450">
      <c r="A450" s="4" t="s">
        <v>8612</v>
      </c>
      <c r="B450" s="6" t="str">
        <f t="shared" si="1"/>
        <v>435.013</v>
      </c>
      <c r="C450" s="6" t="str">
        <f t="shared" si="2"/>
        <v>435,013</v>
      </c>
      <c r="D450" s="6">
        <f t="shared" si="3"/>
        <v>435.013</v>
      </c>
      <c r="E450" s="6">
        <f t="shared" si="4"/>
        <v>0.34</v>
      </c>
    </row>
    <row r="451">
      <c r="A451" s="4" t="s">
        <v>8613</v>
      </c>
      <c r="B451" s="6" t="str">
        <f t="shared" si="1"/>
        <v>435.368</v>
      </c>
      <c r="C451" s="6" t="str">
        <f t="shared" si="2"/>
        <v>435,368</v>
      </c>
      <c r="D451" s="6">
        <f t="shared" si="3"/>
        <v>435.368</v>
      </c>
      <c r="E451" s="6">
        <f t="shared" si="4"/>
        <v>0.355</v>
      </c>
    </row>
    <row r="452">
      <c r="A452" s="4" t="s">
        <v>8614</v>
      </c>
      <c r="B452" s="6" t="str">
        <f t="shared" si="1"/>
        <v>435.701</v>
      </c>
      <c r="C452" s="6" t="str">
        <f t="shared" si="2"/>
        <v>435,701</v>
      </c>
      <c r="D452" s="6">
        <f t="shared" si="3"/>
        <v>435.701</v>
      </c>
      <c r="E452" s="6">
        <f t="shared" si="4"/>
        <v>0.333</v>
      </c>
    </row>
    <row r="453">
      <c r="A453" s="4" t="s">
        <v>8615</v>
      </c>
      <c r="B453" s="6" t="str">
        <f t="shared" si="1"/>
        <v>439.827</v>
      </c>
      <c r="C453" s="6" t="str">
        <f t="shared" si="2"/>
        <v>439,827</v>
      </c>
      <c r="D453" s="6">
        <f t="shared" si="3"/>
        <v>439.827</v>
      </c>
      <c r="E453" s="6">
        <f t="shared" si="4"/>
        <v>4.126</v>
      </c>
    </row>
    <row r="454">
      <c r="A454" s="4" t="s">
        <v>8616</v>
      </c>
      <c r="B454" s="6" t="str">
        <f t="shared" si="1"/>
        <v>440.158</v>
      </c>
      <c r="C454" s="6" t="str">
        <f t="shared" si="2"/>
        <v>440,158</v>
      </c>
      <c r="D454" s="6">
        <f t="shared" si="3"/>
        <v>440.158</v>
      </c>
      <c r="E454" s="6">
        <f t="shared" si="4"/>
        <v>0.331</v>
      </c>
    </row>
    <row r="455">
      <c r="A455" s="4" t="s">
        <v>8617</v>
      </c>
      <c r="B455" s="6" t="str">
        <f t="shared" si="1"/>
        <v>440.499</v>
      </c>
      <c r="C455" s="6" t="str">
        <f t="shared" si="2"/>
        <v>440,499</v>
      </c>
      <c r="D455" s="6">
        <f t="shared" si="3"/>
        <v>440.499</v>
      </c>
      <c r="E455" s="6">
        <f t="shared" si="4"/>
        <v>0.341</v>
      </c>
    </row>
    <row r="456">
      <c r="A456" s="4" t="s">
        <v>8618</v>
      </c>
      <c r="B456" s="6" t="str">
        <f t="shared" si="1"/>
        <v>440.907</v>
      </c>
      <c r="C456" s="6" t="str">
        <f t="shared" si="2"/>
        <v>440,907</v>
      </c>
      <c r="D456" s="6">
        <f t="shared" si="3"/>
        <v>440.907</v>
      </c>
      <c r="E456" s="6">
        <f t="shared" si="4"/>
        <v>0.408</v>
      </c>
    </row>
    <row r="457">
      <c r="A457" s="4" t="s">
        <v>8619</v>
      </c>
      <c r="B457" s="6" t="str">
        <f t="shared" si="1"/>
        <v>441.247</v>
      </c>
      <c r="C457" s="6" t="str">
        <f t="shared" si="2"/>
        <v>441,247</v>
      </c>
      <c r="D457" s="6">
        <f t="shared" si="3"/>
        <v>441.247</v>
      </c>
      <c r="E457" s="6">
        <f t="shared" si="4"/>
        <v>0.34</v>
      </c>
    </row>
    <row r="458">
      <c r="A458" s="4" t="s">
        <v>8620</v>
      </c>
      <c r="B458" s="6" t="str">
        <f t="shared" si="1"/>
        <v>441.601</v>
      </c>
      <c r="C458" s="6" t="str">
        <f t="shared" si="2"/>
        <v>441,601</v>
      </c>
      <c r="D458" s="6">
        <f t="shared" si="3"/>
        <v>441.601</v>
      </c>
      <c r="E458" s="6">
        <f t="shared" si="4"/>
        <v>0.354</v>
      </c>
    </row>
    <row r="459">
      <c r="A459" s="4" t="s">
        <v>8621</v>
      </c>
      <c r="B459" s="6" t="str">
        <f t="shared" si="1"/>
        <v>441.953</v>
      </c>
      <c r="C459" s="6" t="str">
        <f t="shared" si="2"/>
        <v>441,953</v>
      </c>
      <c r="D459" s="6">
        <f t="shared" si="3"/>
        <v>441.953</v>
      </c>
      <c r="E459" s="6">
        <f t="shared" si="4"/>
        <v>0.352</v>
      </c>
    </row>
    <row r="460">
      <c r="A460" s="4" t="s">
        <v>8622</v>
      </c>
      <c r="B460" s="6" t="str">
        <f t="shared" si="1"/>
        <v>442.285</v>
      </c>
      <c r="C460" s="6" t="str">
        <f t="shared" si="2"/>
        <v>442,285</v>
      </c>
      <c r="D460" s="6">
        <f t="shared" si="3"/>
        <v>442.285</v>
      </c>
      <c r="E460" s="6">
        <f t="shared" si="4"/>
        <v>0.332</v>
      </c>
    </row>
    <row r="461">
      <c r="A461" s="4" t="s">
        <v>8623</v>
      </c>
      <c r="B461" s="6" t="str">
        <f t="shared" si="1"/>
        <v>444.601</v>
      </c>
      <c r="C461" s="6" t="str">
        <f t="shared" si="2"/>
        <v>444,601</v>
      </c>
      <c r="D461" s="6">
        <f t="shared" si="3"/>
        <v>444.601</v>
      </c>
      <c r="E461" s="6">
        <f t="shared" si="4"/>
        <v>2.316</v>
      </c>
    </row>
    <row r="462">
      <c r="A462" s="4" t="s">
        <v>8624</v>
      </c>
      <c r="B462" s="6" t="str">
        <f t="shared" si="1"/>
        <v>444.841</v>
      </c>
      <c r="C462" s="6" t="str">
        <f t="shared" si="2"/>
        <v>444,841</v>
      </c>
      <c r="D462" s="6">
        <f t="shared" si="3"/>
        <v>444.841</v>
      </c>
      <c r="E462" s="6">
        <f t="shared" si="4"/>
        <v>0.24</v>
      </c>
    </row>
    <row r="463">
      <c r="A463" s="4" t="s">
        <v>8625</v>
      </c>
      <c r="B463" s="6" t="str">
        <f t="shared" si="1"/>
        <v>445.093</v>
      </c>
      <c r="C463" s="6" t="str">
        <f t="shared" si="2"/>
        <v>445,093</v>
      </c>
      <c r="D463" s="6">
        <f t="shared" si="3"/>
        <v>445.093</v>
      </c>
      <c r="E463" s="6">
        <f t="shared" si="4"/>
        <v>0.252</v>
      </c>
    </row>
    <row r="464">
      <c r="A464" s="4" t="s">
        <v>8626</v>
      </c>
      <c r="B464" s="6" t="str">
        <f t="shared" si="1"/>
        <v>445.369</v>
      </c>
      <c r="C464" s="6" t="str">
        <f t="shared" si="2"/>
        <v>445,369</v>
      </c>
      <c r="D464" s="6">
        <f t="shared" si="3"/>
        <v>445.369</v>
      </c>
      <c r="E464" s="6">
        <f t="shared" si="4"/>
        <v>0.276</v>
      </c>
    </row>
    <row r="465">
      <c r="A465" s="4" t="s">
        <v>8627</v>
      </c>
      <c r="B465" s="6" t="str">
        <f t="shared" si="1"/>
        <v>445.647</v>
      </c>
      <c r="C465" s="6" t="str">
        <f t="shared" si="2"/>
        <v>445,647</v>
      </c>
      <c r="D465" s="6">
        <f t="shared" si="3"/>
        <v>445.647</v>
      </c>
      <c r="E465" s="6">
        <f t="shared" si="4"/>
        <v>0.278</v>
      </c>
    </row>
    <row r="466">
      <c r="A466" s="4" t="s">
        <v>8628</v>
      </c>
      <c r="B466" s="6" t="str">
        <f t="shared" si="1"/>
        <v>445.878</v>
      </c>
      <c r="C466" s="6" t="str">
        <f t="shared" si="2"/>
        <v>445,878</v>
      </c>
      <c r="D466" s="6">
        <f t="shared" si="3"/>
        <v>445.878</v>
      </c>
      <c r="E466" s="6">
        <f t="shared" si="4"/>
        <v>0.231</v>
      </c>
    </row>
    <row r="467">
      <c r="A467" s="4" t="s">
        <v>8629</v>
      </c>
      <c r="B467" s="6" t="str">
        <f t="shared" si="1"/>
        <v>446.098</v>
      </c>
      <c r="C467" s="6" t="str">
        <f t="shared" si="2"/>
        <v>446,098</v>
      </c>
      <c r="D467" s="6">
        <f t="shared" si="3"/>
        <v>446.098</v>
      </c>
      <c r="E467" s="6">
        <f t="shared" si="4"/>
        <v>0.22</v>
      </c>
    </row>
    <row r="468">
      <c r="A468" s="4" t="s">
        <v>8630</v>
      </c>
      <c r="B468" s="6" t="str">
        <f t="shared" si="1"/>
        <v>446.334</v>
      </c>
      <c r="C468" s="6" t="str">
        <f t="shared" si="2"/>
        <v>446,334</v>
      </c>
      <c r="D468" s="6">
        <f t="shared" si="3"/>
        <v>446.334</v>
      </c>
      <c r="E468" s="6">
        <f t="shared" si="4"/>
        <v>0.236</v>
      </c>
    </row>
    <row r="469">
      <c r="A469" s="4" t="s">
        <v>8631</v>
      </c>
      <c r="B469" s="6" t="str">
        <f t="shared" si="1"/>
        <v>446.597</v>
      </c>
      <c r="C469" s="6" t="str">
        <f t="shared" si="2"/>
        <v>446,597</v>
      </c>
      <c r="D469" s="6">
        <f t="shared" si="3"/>
        <v>446.597</v>
      </c>
      <c r="E469" s="6">
        <f t="shared" si="4"/>
        <v>0.263</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1655</v>
      </c>
    </row>
    <row r="3">
      <c r="A3" s="4" t="s">
        <v>1656</v>
      </c>
    </row>
    <row r="4">
      <c r="A4" s="4" t="s">
        <v>1657</v>
      </c>
    </row>
    <row r="5">
      <c r="A5" s="4" t="s">
        <v>1655</v>
      </c>
    </row>
    <row r="6">
      <c r="A6" s="4" t="s">
        <v>1655</v>
      </c>
    </row>
    <row r="7">
      <c r="A7" s="4" t="s">
        <v>1657</v>
      </c>
    </row>
    <row r="8">
      <c r="A8" s="4" t="s">
        <v>1655</v>
      </c>
    </row>
    <row r="9">
      <c r="A9" s="4" t="s">
        <v>1656</v>
      </c>
    </row>
    <row r="10">
      <c r="A10" s="4" t="s">
        <v>1655</v>
      </c>
    </row>
    <row r="11">
      <c r="A11" s="4" t="s">
        <v>1657</v>
      </c>
    </row>
    <row r="12">
      <c r="A12" s="4" t="s">
        <v>1655</v>
      </c>
    </row>
    <row r="13">
      <c r="A13" s="4" t="s">
        <v>1657</v>
      </c>
    </row>
    <row r="14">
      <c r="A14" s="4" t="s">
        <v>1657</v>
      </c>
    </row>
    <row r="15">
      <c r="A15" s="4" t="s">
        <v>1656</v>
      </c>
    </row>
    <row r="16">
      <c r="A16" s="4" t="s">
        <v>1657</v>
      </c>
    </row>
    <row r="17">
      <c r="A17" s="4" t="s">
        <v>1655</v>
      </c>
    </row>
    <row r="18">
      <c r="A18" s="4" t="s">
        <v>1657</v>
      </c>
    </row>
    <row r="19">
      <c r="A19" s="4" t="s">
        <v>1657</v>
      </c>
    </row>
    <row r="20">
      <c r="A20" s="4" t="s">
        <v>1656</v>
      </c>
    </row>
    <row r="21">
      <c r="A21" s="4" t="s">
        <v>1656</v>
      </c>
    </row>
    <row r="22">
      <c r="A22" s="4" t="s">
        <v>1657</v>
      </c>
    </row>
    <row r="23">
      <c r="A23" s="4" t="s">
        <v>1656</v>
      </c>
    </row>
    <row r="24">
      <c r="A24" s="4" t="s">
        <v>1656</v>
      </c>
    </row>
    <row r="25">
      <c r="A25" s="4" t="s">
        <v>1657</v>
      </c>
    </row>
    <row r="26">
      <c r="A26" s="4" t="s">
        <v>1655</v>
      </c>
    </row>
    <row r="27">
      <c r="A27" s="4" t="s">
        <v>1657</v>
      </c>
    </row>
    <row r="28">
      <c r="A28" s="4" t="s">
        <v>1657</v>
      </c>
    </row>
    <row r="29">
      <c r="A29" s="4" t="s">
        <v>1657</v>
      </c>
    </row>
    <row r="30">
      <c r="A30" s="4" t="s">
        <v>1656</v>
      </c>
    </row>
    <row r="31">
      <c r="A31" s="4" t="s">
        <v>1656</v>
      </c>
    </row>
    <row r="32">
      <c r="A32" s="4" t="s">
        <v>1655</v>
      </c>
    </row>
    <row r="33">
      <c r="A33" s="4" t="s">
        <v>1655</v>
      </c>
    </row>
    <row r="34">
      <c r="A34" s="4" t="s">
        <v>1656</v>
      </c>
    </row>
    <row r="35">
      <c r="A35" s="4" t="s">
        <v>1656</v>
      </c>
    </row>
    <row r="36">
      <c r="A36" s="4" t="s">
        <v>1655</v>
      </c>
    </row>
    <row r="37">
      <c r="A37" s="4" t="s">
        <v>1657</v>
      </c>
    </row>
    <row r="38">
      <c r="A38" s="4" t="s">
        <v>1657</v>
      </c>
    </row>
    <row r="39">
      <c r="A39" s="4" t="s">
        <v>1657</v>
      </c>
    </row>
    <row r="40">
      <c r="A40" s="4" t="s">
        <v>1656</v>
      </c>
    </row>
    <row r="41">
      <c r="A41" s="4" t="s">
        <v>1657</v>
      </c>
    </row>
    <row r="42">
      <c r="A42" s="4" t="s">
        <v>1656</v>
      </c>
    </row>
    <row r="43">
      <c r="A43" s="4" t="s">
        <v>1657</v>
      </c>
    </row>
    <row r="44">
      <c r="A44" s="4" t="s">
        <v>1657</v>
      </c>
    </row>
    <row r="45">
      <c r="A45" s="4" t="s">
        <v>1657</v>
      </c>
    </row>
    <row r="46">
      <c r="A46" s="4" t="s">
        <v>1657</v>
      </c>
    </row>
    <row r="47">
      <c r="A47" s="4" t="s">
        <v>1656</v>
      </c>
    </row>
    <row r="48">
      <c r="A48" s="4" t="s">
        <v>1656</v>
      </c>
    </row>
    <row r="49">
      <c r="A49" s="4" t="s">
        <v>1657</v>
      </c>
    </row>
    <row r="50">
      <c r="A50" s="4" t="s">
        <v>1656</v>
      </c>
    </row>
    <row r="51">
      <c r="A51" s="4" t="s">
        <v>1655</v>
      </c>
    </row>
    <row r="52">
      <c r="A52" s="4" t="s">
        <v>1655</v>
      </c>
    </row>
    <row r="53">
      <c r="A53" s="4" t="s">
        <v>1657</v>
      </c>
    </row>
    <row r="54">
      <c r="A54" s="4" t="s">
        <v>1655</v>
      </c>
    </row>
    <row r="55">
      <c r="A55" s="4" t="s">
        <v>1657</v>
      </c>
    </row>
    <row r="56">
      <c r="A56" s="4" t="s">
        <v>1657</v>
      </c>
    </row>
    <row r="57">
      <c r="A57" s="4" t="s">
        <v>1656</v>
      </c>
    </row>
    <row r="58">
      <c r="A58" s="4" t="s">
        <v>1657</v>
      </c>
    </row>
    <row r="59">
      <c r="A59" s="4" t="s">
        <v>1655</v>
      </c>
    </row>
    <row r="60">
      <c r="A60" s="4" t="s">
        <v>1657</v>
      </c>
    </row>
    <row r="61">
      <c r="A61" s="4" t="s">
        <v>1657</v>
      </c>
    </row>
    <row r="62">
      <c r="A62" s="4" t="s">
        <v>1656</v>
      </c>
    </row>
    <row r="63">
      <c r="A63" s="4" t="s">
        <v>1655</v>
      </c>
    </row>
    <row r="64">
      <c r="A64" s="4" t="s">
        <v>1656</v>
      </c>
    </row>
    <row r="65">
      <c r="A65" s="4" t="s">
        <v>1657</v>
      </c>
    </row>
    <row r="66">
      <c r="A66" s="4" t="s">
        <v>1655</v>
      </c>
    </row>
    <row r="67">
      <c r="A67" s="4" t="s">
        <v>1655</v>
      </c>
    </row>
    <row r="68">
      <c r="A68" s="4" t="s">
        <v>1656</v>
      </c>
    </row>
    <row r="69">
      <c r="A69" s="4" t="s">
        <v>1657</v>
      </c>
    </row>
    <row r="70">
      <c r="A70" s="4" t="s">
        <v>1656</v>
      </c>
    </row>
    <row r="71">
      <c r="A71" s="4" t="s">
        <v>1656</v>
      </c>
    </row>
    <row r="72">
      <c r="A72" s="4" t="s">
        <v>1655</v>
      </c>
    </row>
    <row r="73">
      <c r="A73" s="4" t="s">
        <v>1656</v>
      </c>
    </row>
    <row r="74">
      <c r="A74" s="4" t="s">
        <v>1657</v>
      </c>
    </row>
    <row r="75">
      <c r="A75" s="4" t="s">
        <v>1655</v>
      </c>
    </row>
    <row r="76">
      <c r="A76" s="4" t="s">
        <v>1655</v>
      </c>
    </row>
    <row r="77">
      <c r="A77" s="4" t="s">
        <v>1657</v>
      </c>
    </row>
    <row r="78">
      <c r="A78" s="4" t="s">
        <v>1657</v>
      </c>
    </row>
    <row r="79">
      <c r="A79" s="4" t="s">
        <v>1657</v>
      </c>
    </row>
    <row r="80">
      <c r="A80" s="4" t="s">
        <v>1656</v>
      </c>
    </row>
    <row r="81">
      <c r="A81" s="4" t="s">
        <v>1655</v>
      </c>
    </row>
    <row r="82">
      <c r="A82" s="4" t="s">
        <v>1655</v>
      </c>
    </row>
    <row r="83">
      <c r="A83" s="4" t="s">
        <v>1656</v>
      </c>
    </row>
    <row r="84">
      <c r="A84" s="4" t="s">
        <v>1657</v>
      </c>
    </row>
    <row r="85">
      <c r="A85" s="4" t="s">
        <v>1656</v>
      </c>
    </row>
    <row r="86">
      <c r="A86" s="4" t="s">
        <v>1656</v>
      </c>
    </row>
    <row r="87">
      <c r="A87" s="4" t="s">
        <v>1656</v>
      </c>
    </row>
    <row r="88">
      <c r="A88" s="4" t="s">
        <v>1657</v>
      </c>
    </row>
    <row r="89">
      <c r="A89" s="4" t="s">
        <v>1656</v>
      </c>
    </row>
    <row r="90">
      <c r="A90" s="4" t="s">
        <v>1655</v>
      </c>
    </row>
    <row r="91">
      <c r="A91" s="4" t="s">
        <v>1656</v>
      </c>
    </row>
    <row r="92">
      <c r="A92" s="4" t="s">
        <v>1656</v>
      </c>
    </row>
    <row r="93">
      <c r="A93" s="4" t="s">
        <v>1655</v>
      </c>
    </row>
    <row r="94">
      <c r="A94" s="4" t="s">
        <v>1657</v>
      </c>
    </row>
    <row r="95">
      <c r="A95" s="4" t="s">
        <v>1656</v>
      </c>
    </row>
    <row r="96">
      <c r="A96" s="4" t="s">
        <v>1657</v>
      </c>
    </row>
    <row r="97">
      <c r="A97" s="4" t="s">
        <v>1656</v>
      </c>
    </row>
    <row r="98">
      <c r="A98" s="4" t="s">
        <v>1657</v>
      </c>
    </row>
    <row r="99">
      <c r="A99" s="4" t="s">
        <v>1655</v>
      </c>
    </row>
    <row r="100">
      <c r="A100" s="4" t="s">
        <v>1656</v>
      </c>
    </row>
    <row r="101">
      <c r="A101" s="4" t="s">
        <v>1656</v>
      </c>
    </row>
    <row r="102">
      <c r="A102" s="4" t="s">
        <v>1656</v>
      </c>
    </row>
    <row r="103">
      <c r="A103" s="4" t="s">
        <v>1656</v>
      </c>
    </row>
    <row r="104">
      <c r="A104" s="4" t="s">
        <v>1657</v>
      </c>
    </row>
    <row r="105">
      <c r="A105" s="4" t="s">
        <v>1656</v>
      </c>
    </row>
    <row r="106">
      <c r="A106" s="4" t="s">
        <v>1657</v>
      </c>
    </row>
    <row r="107">
      <c r="A107" s="4" t="s">
        <v>1655</v>
      </c>
    </row>
    <row r="108">
      <c r="A108" s="4" t="s">
        <v>1656</v>
      </c>
    </row>
    <row r="109">
      <c r="A109" s="4" t="s">
        <v>1656</v>
      </c>
    </row>
    <row r="110">
      <c r="A110" s="4" t="s">
        <v>1656</v>
      </c>
    </row>
    <row r="111">
      <c r="A111" s="4" t="s">
        <v>1657</v>
      </c>
    </row>
    <row r="112">
      <c r="A112" s="4" t="s">
        <v>1657</v>
      </c>
    </row>
    <row r="113">
      <c r="A113" s="4" t="s">
        <v>1656</v>
      </c>
    </row>
    <row r="114">
      <c r="A114" s="4" t="s">
        <v>1656</v>
      </c>
    </row>
    <row r="115">
      <c r="A115" s="4" t="s">
        <v>1655</v>
      </c>
    </row>
    <row r="116">
      <c r="A116" s="4" t="s">
        <v>1655</v>
      </c>
    </row>
    <row r="117">
      <c r="A117" s="4" t="s">
        <v>1657</v>
      </c>
    </row>
    <row r="118">
      <c r="A118" s="4" t="s">
        <v>1655</v>
      </c>
    </row>
    <row r="119">
      <c r="A119" s="4" t="s">
        <v>1655</v>
      </c>
    </row>
    <row r="120">
      <c r="A120" s="4" t="s">
        <v>1657</v>
      </c>
    </row>
    <row r="121">
      <c r="A121" s="4" t="s">
        <v>1655</v>
      </c>
    </row>
    <row r="122">
      <c r="A122" s="4" t="s">
        <v>1656</v>
      </c>
    </row>
    <row r="123">
      <c r="A123" s="4" t="s">
        <v>1655</v>
      </c>
    </row>
    <row r="124">
      <c r="A124" s="4" t="s">
        <v>1656</v>
      </c>
    </row>
    <row r="125">
      <c r="A125" s="4" t="s">
        <v>1655</v>
      </c>
    </row>
    <row r="126">
      <c r="A126" s="4" t="s">
        <v>1656</v>
      </c>
    </row>
    <row r="127">
      <c r="A127" s="4" t="s">
        <v>1657</v>
      </c>
    </row>
    <row r="128">
      <c r="A128" s="4" t="s">
        <v>1656</v>
      </c>
    </row>
    <row r="129">
      <c r="A129" s="4" t="s">
        <v>1656</v>
      </c>
    </row>
    <row r="130">
      <c r="A130" s="4" t="s">
        <v>1657</v>
      </c>
    </row>
    <row r="131">
      <c r="A131" s="4" t="s">
        <v>1655</v>
      </c>
    </row>
    <row r="132">
      <c r="A132" s="4" t="s">
        <v>1657</v>
      </c>
    </row>
    <row r="133">
      <c r="A133" s="4" t="s">
        <v>1655</v>
      </c>
    </row>
    <row r="134">
      <c r="A134" s="4" t="s">
        <v>1656</v>
      </c>
    </row>
    <row r="135">
      <c r="A135" s="4" t="s">
        <v>1655</v>
      </c>
    </row>
    <row r="136">
      <c r="A136" s="4" t="s">
        <v>1656</v>
      </c>
    </row>
    <row r="137">
      <c r="A137" s="4" t="s">
        <v>1655</v>
      </c>
    </row>
    <row r="138">
      <c r="A138" s="4" t="s">
        <v>1655</v>
      </c>
    </row>
    <row r="139">
      <c r="A139" s="4" t="s">
        <v>1656</v>
      </c>
    </row>
    <row r="140">
      <c r="A140" s="4" t="s">
        <v>1656</v>
      </c>
    </row>
    <row r="141">
      <c r="A141" s="4" t="s">
        <v>1655</v>
      </c>
    </row>
    <row r="142">
      <c r="A142" s="4" t="s">
        <v>1655</v>
      </c>
    </row>
    <row r="143">
      <c r="A143" s="4" t="s">
        <v>1656</v>
      </c>
    </row>
    <row r="144">
      <c r="A144" s="4" t="s">
        <v>1657</v>
      </c>
    </row>
    <row r="145">
      <c r="A145" s="4" t="s">
        <v>1656</v>
      </c>
    </row>
    <row r="146">
      <c r="A146" s="4" t="s">
        <v>1657</v>
      </c>
    </row>
    <row r="147">
      <c r="A147" s="4" t="s">
        <v>1656</v>
      </c>
    </row>
    <row r="148">
      <c r="A148" s="4" t="s">
        <v>1657</v>
      </c>
    </row>
    <row r="149">
      <c r="A149" s="4" t="s">
        <v>1656</v>
      </c>
    </row>
    <row r="150">
      <c r="A150" s="4" t="s">
        <v>1655</v>
      </c>
    </row>
    <row r="151">
      <c r="A151" s="4" t="s">
        <v>1655</v>
      </c>
    </row>
    <row r="152">
      <c r="A152" s="4" t="s">
        <v>1655</v>
      </c>
    </row>
    <row r="153">
      <c r="A153" s="4" t="s">
        <v>1656</v>
      </c>
    </row>
    <row r="154">
      <c r="A154" s="4" t="s">
        <v>1657</v>
      </c>
    </row>
    <row r="155">
      <c r="A155" s="4" t="s">
        <v>1656</v>
      </c>
    </row>
    <row r="156">
      <c r="A156" s="4" t="s">
        <v>1656</v>
      </c>
    </row>
    <row r="157">
      <c r="A157" s="4" t="s">
        <v>1657</v>
      </c>
    </row>
    <row r="158">
      <c r="A158" s="4" t="s">
        <v>1656</v>
      </c>
    </row>
    <row r="159">
      <c r="A159" s="4" t="s">
        <v>1655</v>
      </c>
    </row>
    <row r="160">
      <c r="A160" s="4" t="s">
        <v>1657</v>
      </c>
    </row>
    <row r="161">
      <c r="A161" s="4" t="s">
        <v>1656</v>
      </c>
    </row>
    <row r="162">
      <c r="A162" s="4" t="s">
        <v>1656</v>
      </c>
    </row>
    <row r="163">
      <c r="A163" s="4" t="s">
        <v>1656</v>
      </c>
    </row>
    <row r="164">
      <c r="A164" s="4" t="s">
        <v>1656</v>
      </c>
    </row>
    <row r="165">
      <c r="A165" s="4" t="s">
        <v>1655</v>
      </c>
    </row>
    <row r="166">
      <c r="A166" s="4" t="s">
        <v>1656</v>
      </c>
    </row>
    <row r="167">
      <c r="A167" s="4" t="s">
        <v>1657</v>
      </c>
    </row>
    <row r="168">
      <c r="A168" s="4" t="s">
        <v>1655</v>
      </c>
    </row>
    <row r="169">
      <c r="A169" s="4" t="s">
        <v>1656</v>
      </c>
    </row>
    <row r="170">
      <c r="A170" s="4" t="s">
        <v>1655</v>
      </c>
    </row>
    <row r="171">
      <c r="A171" s="4" t="s">
        <v>1655</v>
      </c>
    </row>
    <row r="172">
      <c r="A172" s="4" t="s">
        <v>1655</v>
      </c>
    </row>
    <row r="173">
      <c r="A173" s="4" t="s">
        <v>1657</v>
      </c>
    </row>
    <row r="174">
      <c r="A174" s="4" t="s">
        <v>1656</v>
      </c>
    </row>
    <row r="175">
      <c r="A175" s="4" t="s">
        <v>1656</v>
      </c>
    </row>
    <row r="176">
      <c r="A176" s="4" t="s">
        <v>1655</v>
      </c>
    </row>
    <row r="177">
      <c r="A177" s="4" t="s">
        <v>1656</v>
      </c>
    </row>
    <row r="178">
      <c r="A178" s="4" t="s">
        <v>1655</v>
      </c>
    </row>
    <row r="179">
      <c r="A179" s="4" t="s">
        <v>1656</v>
      </c>
    </row>
    <row r="180">
      <c r="A180" s="4" t="s">
        <v>1655</v>
      </c>
    </row>
    <row r="181">
      <c r="A181" s="4" t="s">
        <v>1656</v>
      </c>
    </row>
    <row r="182">
      <c r="A182" s="4" t="s">
        <v>1656</v>
      </c>
    </row>
    <row r="183">
      <c r="A183" s="4" t="s">
        <v>1656</v>
      </c>
    </row>
    <row r="184">
      <c r="A184" s="4" t="s">
        <v>1655</v>
      </c>
    </row>
    <row r="185">
      <c r="A185" s="4" t="s">
        <v>1656</v>
      </c>
    </row>
    <row r="186">
      <c r="A186" s="4" t="s">
        <v>1655</v>
      </c>
    </row>
    <row r="187">
      <c r="A187" s="4" t="s">
        <v>1655</v>
      </c>
    </row>
    <row r="188">
      <c r="A188" s="4" t="s">
        <v>1655</v>
      </c>
    </row>
    <row r="189">
      <c r="A189" s="4" t="s">
        <v>1656</v>
      </c>
    </row>
    <row r="190">
      <c r="A190" s="4" t="s">
        <v>1657</v>
      </c>
    </row>
    <row r="191">
      <c r="A191" s="4" t="s">
        <v>1655</v>
      </c>
    </row>
    <row r="192">
      <c r="A192" s="4" t="s">
        <v>1657</v>
      </c>
    </row>
    <row r="193">
      <c r="A193" s="4" t="s">
        <v>1656</v>
      </c>
    </row>
    <row r="194">
      <c r="A194" s="4" t="s">
        <v>1655</v>
      </c>
    </row>
    <row r="195">
      <c r="A195" s="4" t="s">
        <v>1657</v>
      </c>
    </row>
    <row r="196">
      <c r="A196" s="4" t="s">
        <v>1656</v>
      </c>
    </row>
    <row r="197">
      <c r="A197" s="4" t="s">
        <v>1655</v>
      </c>
    </row>
    <row r="198">
      <c r="A198" s="4" t="s">
        <v>1656</v>
      </c>
    </row>
    <row r="199">
      <c r="A199" s="4" t="s">
        <v>1657</v>
      </c>
    </row>
    <row r="200">
      <c r="A200" s="4" t="s">
        <v>1656</v>
      </c>
    </row>
    <row r="201">
      <c r="A201" s="4" t="s">
        <v>1655</v>
      </c>
    </row>
    <row r="202">
      <c r="A202" s="4" t="s">
        <v>1655</v>
      </c>
    </row>
    <row r="203">
      <c r="A203" s="4" t="s">
        <v>1655</v>
      </c>
    </row>
    <row r="204">
      <c r="A204" s="4" t="s">
        <v>1655</v>
      </c>
    </row>
    <row r="205">
      <c r="A205" s="4" t="s">
        <v>1655</v>
      </c>
    </row>
    <row r="206">
      <c r="A206" s="4" t="s">
        <v>1657</v>
      </c>
    </row>
    <row r="207">
      <c r="A207" s="4" t="s">
        <v>1656</v>
      </c>
    </row>
    <row r="208">
      <c r="A208" s="4" t="s">
        <v>1657</v>
      </c>
    </row>
    <row r="209">
      <c r="A209" s="4" t="s">
        <v>1657</v>
      </c>
    </row>
    <row r="210">
      <c r="A210" s="4" t="s">
        <v>1655</v>
      </c>
    </row>
    <row r="211">
      <c r="A211" s="4" t="s">
        <v>1657</v>
      </c>
    </row>
    <row r="212">
      <c r="A212" s="4" t="s">
        <v>1657</v>
      </c>
    </row>
    <row r="213">
      <c r="A213" s="4" t="s">
        <v>1657</v>
      </c>
    </row>
    <row r="214">
      <c r="A214" s="4" t="s">
        <v>1655</v>
      </c>
    </row>
    <row r="215">
      <c r="A215" s="4" t="s">
        <v>1656</v>
      </c>
    </row>
    <row r="216">
      <c r="A216" s="4" t="s">
        <v>1656</v>
      </c>
    </row>
    <row r="217">
      <c r="A217" s="4" t="s">
        <v>1657</v>
      </c>
    </row>
    <row r="218">
      <c r="A218" s="4" t="s">
        <v>1657</v>
      </c>
    </row>
    <row r="219">
      <c r="A219" s="4" t="s">
        <v>1655</v>
      </c>
    </row>
    <row r="220">
      <c r="A220" s="4" t="s">
        <v>1657</v>
      </c>
    </row>
    <row r="221">
      <c r="A221" s="4" t="s">
        <v>1656</v>
      </c>
    </row>
    <row r="222">
      <c r="A222" s="4" t="s">
        <v>1656</v>
      </c>
    </row>
    <row r="223">
      <c r="A223" s="4" t="s">
        <v>1655</v>
      </c>
    </row>
    <row r="224">
      <c r="A224" s="4" t="s">
        <v>1656</v>
      </c>
    </row>
    <row r="225">
      <c r="A225" s="4" t="s">
        <v>1657</v>
      </c>
    </row>
    <row r="226">
      <c r="A226" s="4" t="s">
        <v>1656</v>
      </c>
    </row>
    <row r="227">
      <c r="A227" s="4" t="s">
        <v>1656</v>
      </c>
    </row>
    <row r="228">
      <c r="A228" s="4" t="s">
        <v>1655</v>
      </c>
    </row>
    <row r="229">
      <c r="A229" s="4" t="s">
        <v>1655</v>
      </c>
    </row>
    <row r="230">
      <c r="A230" s="4" t="s">
        <v>1657</v>
      </c>
    </row>
    <row r="231">
      <c r="A231" s="4" t="s">
        <v>1657</v>
      </c>
    </row>
    <row r="232">
      <c r="A232" s="4" t="s">
        <v>1656</v>
      </c>
    </row>
    <row r="233">
      <c r="A233" s="4" t="s">
        <v>1656</v>
      </c>
    </row>
    <row r="234">
      <c r="A234" s="4" t="s">
        <v>1655</v>
      </c>
    </row>
    <row r="235">
      <c r="A235" s="4" t="s">
        <v>1657</v>
      </c>
    </row>
    <row r="236">
      <c r="A236" s="4" t="s">
        <v>1655</v>
      </c>
    </row>
    <row r="237">
      <c r="A237" s="4" t="s">
        <v>1656</v>
      </c>
    </row>
    <row r="238">
      <c r="A238" s="4" t="s">
        <v>1657</v>
      </c>
    </row>
    <row r="239">
      <c r="A239" s="4" t="s">
        <v>1656</v>
      </c>
    </row>
    <row r="240">
      <c r="A240" s="4" t="s">
        <v>1655</v>
      </c>
    </row>
    <row r="241">
      <c r="A241" s="4" t="s">
        <v>1657</v>
      </c>
    </row>
    <row r="242">
      <c r="A242" s="4" t="s">
        <v>1656</v>
      </c>
    </row>
    <row r="243">
      <c r="A243" s="4" t="s">
        <v>1657</v>
      </c>
    </row>
    <row r="244">
      <c r="A244" s="4" t="s">
        <v>1656</v>
      </c>
    </row>
    <row r="245">
      <c r="A245" s="4" t="s">
        <v>1656</v>
      </c>
    </row>
    <row r="246">
      <c r="A246" s="4" t="s">
        <v>1656</v>
      </c>
    </row>
    <row r="247">
      <c r="A247" s="4" t="s">
        <v>1656</v>
      </c>
    </row>
    <row r="248">
      <c r="A248" s="4" t="s">
        <v>1655</v>
      </c>
    </row>
    <row r="249">
      <c r="A249" s="4" t="s">
        <v>1655</v>
      </c>
    </row>
    <row r="250">
      <c r="A250" s="4" t="s">
        <v>1655</v>
      </c>
    </row>
    <row r="251">
      <c r="A251" s="4" t="s">
        <v>1656</v>
      </c>
    </row>
    <row r="252">
      <c r="A252" s="4" t="s">
        <v>1655</v>
      </c>
    </row>
    <row r="253">
      <c r="A253" s="4" t="s">
        <v>1656</v>
      </c>
    </row>
    <row r="254">
      <c r="A254" s="4" t="s">
        <v>1656</v>
      </c>
    </row>
    <row r="255">
      <c r="A255" s="4" t="s">
        <v>1657</v>
      </c>
    </row>
    <row r="256">
      <c r="A256" s="4" t="s">
        <v>1656</v>
      </c>
    </row>
    <row r="257">
      <c r="A257" s="4" t="s">
        <v>1655</v>
      </c>
    </row>
    <row r="258">
      <c r="A258" s="4" t="s">
        <v>1657</v>
      </c>
    </row>
    <row r="259">
      <c r="A259" s="4" t="s">
        <v>1656</v>
      </c>
    </row>
    <row r="260">
      <c r="A260" s="4" t="s">
        <v>1655</v>
      </c>
    </row>
    <row r="261">
      <c r="A261" s="4" t="s">
        <v>1656</v>
      </c>
    </row>
    <row r="262">
      <c r="A262" s="4" t="s">
        <v>1656</v>
      </c>
    </row>
    <row r="263">
      <c r="A263" s="4" t="s">
        <v>1657</v>
      </c>
    </row>
    <row r="264">
      <c r="A264" s="4" t="s">
        <v>1656</v>
      </c>
    </row>
    <row r="265">
      <c r="A265" s="4" t="s">
        <v>1657</v>
      </c>
    </row>
    <row r="266">
      <c r="A266" s="4" t="s">
        <v>1656</v>
      </c>
    </row>
    <row r="267">
      <c r="A267" s="4" t="s">
        <v>1656</v>
      </c>
    </row>
    <row r="268">
      <c r="A268" s="4" t="s">
        <v>1656</v>
      </c>
    </row>
    <row r="269">
      <c r="A269" s="4" t="s">
        <v>1657</v>
      </c>
    </row>
    <row r="270">
      <c r="A270" s="4" t="s">
        <v>1656</v>
      </c>
    </row>
    <row r="271">
      <c r="A271" s="4" t="s">
        <v>1657</v>
      </c>
    </row>
    <row r="272">
      <c r="A272" s="4" t="s">
        <v>1656</v>
      </c>
    </row>
    <row r="273">
      <c r="A273" s="4" t="s">
        <v>1657</v>
      </c>
    </row>
    <row r="274">
      <c r="A274" s="4" t="s">
        <v>1657</v>
      </c>
    </row>
    <row r="275">
      <c r="A275" s="4" t="s">
        <v>1655</v>
      </c>
    </row>
    <row r="276">
      <c r="A276" s="4" t="s">
        <v>1657</v>
      </c>
    </row>
    <row r="277">
      <c r="A277" s="4" t="s">
        <v>1657</v>
      </c>
    </row>
    <row r="278">
      <c r="A278" s="4" t="s">
        <v>1655</v>
      </c>
    </row>
    <row r="279">
      <c r="A279" s="4" t="s">
        <v>1657</v>
      </c>
    </row>
    <row r="280">
      <c r="A280" s="4" t="s">
        <v>1655</v>
      </c>
    </row>
    <row r="281">
      <c r="A281" s="4" t="s">
        <v>1655</v>
      </c>
    </row>
    <row r="282">
      <c r="A282" s="4" t="s">
        <v>1655</v>
      </c>
    </row>
    <row r="283">
      <c r="A283" s="4" t="s">
        <v>1655</v>
      </c>
    </row>
    <row r="284">
      <c r="A284" s="4" t="s">
        <v>1657</v>
      </c>
    </row>
    <row r="285">
      <c r="A285" s="4" t="s">
        <v>1657</v>
      </c>
    </row>
    <row r="286">
      <c r="A286" s="4" t="s">
        <v>1657</v>
      </c>
    </row>
    <row r="287">
      <c r="A287" s="4" t="s">
        <v>1656</v>
      </c>
    </row>
    <row r="288">
      <c r="A288" s="4" t="s">
        <v>1656</v>
      </c>
    </row>
    <row r="289">
      <c r="A289" s="4" t="s">
        <v>1657</v>
      </c>
    </row>
    <row r="290">
      <c r="A290" s="4" t="s">
        <v>1655</v>
      </c>
    </row>
    <row r="291">
      <c r="A291" s="4" t="s">
        <v>1656</v>
      </c>
    </row>
    <row r="292">
      <c r="A292" s="4" t="s">
        <v>1656</v>
      </c>
    </row>
    <row r="293">
      <c r="A293" s="4" t="s">
        <v>1655</v>
      </c>
    </row>
    <row r="294">
      <c r="A294" s="4" t="s">
        <v>1656</v>
      </c>
    </row>
    <row r="295">
      <c r="A295" s="4" t="s">
        <v>1655</v>
      </c>
    </row>
    <row r="296">
      <c r="A296" s="4" t="s">
        <v>1657</v>
      </c>
    </row>
    <row r="297">
      <c r="A297" s="4" t="s">
        <v>1655</v>
      </c>
    </row>
    <row r="298">
      <c r="A298" s="4" t="s">
        <v>1656</v>
      </c>
    </row>
    <row r="299">
      <c r="A299" s="4" t="s">
        <v>1655</v>
      </c>
    </row>
    <row r="300">
      <c r="A300" s="4" t="s">
        <v>1657</v>
      </c>
    </row>
    <row r="301">
      <c r="A301" s="4" t="s">
        <v>1655</v>
      </c>
    </row>
    <row r="302">
      <c r="A302" s="4" t="s">
        <v>1655</v>
      </c>
    </row>
    <row r="303">
      <c r="A303" s="4" t="s">
        <v>1655</v>
      </c>
    </row>
    <row r="304">
      <c r="A304" s="4" t="s">
        <v>1655</v>
      </c>
    </row>
    <row r="305">
      <c r="A305" s="4" t="s">
        <v>1656</v>
      </c>
    </row>
    <row r="306">
      <c r="A306" s="4" t="s">
        <v>1656</v>
      </c>
    </row>
    <row r="307">
      <c r="A307" s="4" t="s">
        <v>1657</v>
      </c>
    </row>
    <row r="308">
      <c r="A308" s="4" t="s">
        <v>1655</v>
      </c>
    </row>
    <row r="309">
      <c r="A309" s="4" t="s">
        <v>1657</v>
      </c>
    </row>
    <row r="310">
      <c r="A310" s="4" t="s">
        <v>1657</v>
      </c>
    </row>
    <row r="311">
      <c r="A311" s="4" t="s">
        <v>1655</v>
      </c>
    </row>
    <row r="312">
      <c r="A312" s="4" t="s">
        <v>1657</v>
      </c>
    </row>
    <row r="313">
      <c r="A313" s="4" t="s">
        <v>1657</v>
      </c>
    </row>
    <row r="314">
      <c r="A314" s="4" t="s">
        <v>1656</v>
      </c>
    </row>
    <row r="315">
      <c r="A315" s="4" t="s">
        <v>1656</v>
      </c>
    </row>
    <row r="316">
      <c r="A316" s="4" t="s">
        <v>1656</v>
      </c>
    </row>
    <row r="317">
      <c r="A317" s="4" t="s">
        <v>1656</v>
      </c>
    </row>
    <row r="318">
      <c r="A318" s="4" t="s">
        <v>1656</v>
      </c>
    </row>
    <row r="319">
      <c r="A319" s="4" t="s">
        <v>1656</v>
      </c>
    </row>
    <row r="320">
      <c r="A320" s="4" t="s">
        <v>1655</v>
      </c>
    </row>
    <row r="321">
      <c r="A321" s="4" t="s">
        <v>1655</v>
      </c>
    </row>
    <row r="322">
      <c r="A322" s="4" t="s">
        <v>1656</v>
      </c>
    </row>
    <row r="323">
      <c r="A323" s="4" t="s">
        <v>1657</v>
      </c>
    </row>
    <row r="324">
      <c r="A324" s="4" t="s">
        <v>1657</v>
      </c>
    </row>
    <row r="325">
      <c r="A325" s="4" t="s">
        <v>1655</v>
      </c>
    </row>
    <row r="326">
      <c r="A326" s="4" t="s">
        <v>1656</v>
      </c>
    </row>
    <row r="327">
      <c r="A327" s="4" t="s">
        <v>1657</v>
      </c>
    </row>
    <row r="328">
      <c r="A328" s="4" t="s">
        <v>1655</v>
      </c>
    </row>
    <row r="329">
      <c r="A329" s="4" t="s">
        <v>1657</v>
      </c>
    </row>
    <row r="330">
      <c r="A330" s="4" t="s">
        <v>1655</v>
      </c>
    </row>
    <row r="331">
      <c r="A331" s="4" t="s">
        <v>1657</v>
      </c>
    </row>
    <row r="332">
      <c r="A332" s="4" t="s">
        <v>1657</v>
      </c>
    </row>
    <row r="333">
      <c r="A333" s="4" t="s">
        <v>1656</v>
      </c>
    </row>
    <row r="334">
      <c r="A334" s="4" t="s">
        <v>1655</v>
      </c>
    </row>
    <row r="335">
      <c r="A335" s="4" t="s">
        <v>1656</v>
      </c>
    </row>
    <row r="336">
      <c r="A336" s="4" t="s">
        <v>1657</v>
      </c>
    </row>
    <row r="337">
      <c r="A337" s="4" t="s">
        <v>1657</v>
      </c>
    </row>
    <row r="338">
      <c r="A338" s="4" t="s">
        <v>1656</v>
      </c>
    </row>
    <row r="339">
      <c r="A339" s="4" t="s">
        <v>1657</v>
      </c>
    </row>
    <row r="340">
      <c r="A340" s="4" t="s">
        <v>1657</v>
      </c>
    </row>
    <row r="341">
      <c r="A341" s="4" t="s">
        <v>1657</v>
      </c>
    </row>
    <row r="342">
      <c r="A342" s="4" t="s">
        <v>1657</v>
      </c>
    </row>
    <row r="343">
      <c r="A343" s="4" t="s">
        <v>1655</v>
      </c>
    </row>
    <row r="344">
      <c r="A344" s="4" t="s">
        <v>1657</v>
      </c>
    </row>
    <row r="345">
      <c r="A345" s="4" t="s">
        <v>1655</v>
      </c>
    </row>
    <row r="346">
      <c r="A346" s="4" t="s">
        <v>1657</v>
      </c>
    </row>
    <row r="347">
      <c r="A347" s="4" t="s">
        <v>1656</v>
      </c>
    </row>
    <row r="348">
      <c r="A348" s="4" t="s">
        <v>1655</v>
      </c>
    </row>
    <row r="349">
      <c r="A349" s="4" t="s">
        <v>1655</v>
      </c>
    </row>
    <row r="350">
      <c r="A350" s="4" t="s">
        <v>1655</v>
      </c>
    </row>
    <row r="351">
      <c r="A351" s="4" t="s">
        <v>1657</v>
      </c>
    </row>
    <row r="352">
      <c r="A352" s="4" t="s">
        <v>1657</v>
      </c>
    </row>
    <row r="353">
      <c r="A353" s="4" t="s">
        <v>1656</v>
      </c>
    </row>
    <row r="354">
      <c r="A354" s="4" t="s">
        <v>1657</v>
      </c>
    </row>
    <row r="355">
      <c r="A355" s="4" t="s">
        <v>1656</v>
      </c>
    </row>
    <row r="356">
      <c r="A356" s="4" t="s">
        <v>1655</v>
      </c>
    </row>
    <row r="357">
      <c r="A357" s="4" t="s">
        <v>1656</v>
      </c>
    </row>
    <row r="358">
      <c r="A358" s="4" t="s">
        <v>1657</v>
      </c>
    </row>
    <row r="359">
      <c r="A359" s="4" t="s">
        <v>1655</v>
      </c>
    </row>
    <row r="360">
      <c r="A360" s="4" t="s">
        <v>1657</v>
      </c>
    </row>
    <row r="361">
      <c r="A361" s="4" t="s">
        <v>1657</v>
      </c>
    </row>
    <row r="362">
      <c r="A362" s="4" t="s">
        <v>1656</v>
      </c>
    </row>
    <row r="363">
      <c r="A363" s="4" t="s">
        <v>1657</v>
      </c>
    </row>
    <row r="364">
      <c r="A364" s="4" t="s">
        <v>1656</v>
      </c>
    </row>
    <row r="365">
      <c r="A365" s="4" t="s">
        <v>1657</v>
      </c>
    </row>
    <row r="366">
      <c r="A366" s="4" t="s">
        <v>1657</v>
      </c>
    </row>
    <row r="367">
      <c r="A367" s="4" t="s">
        <v>1657</v>
      </c>
    </row>
    <row r="368">
      <c r="A368" s="4" t="s">
        <v>1656</v>
      </c>
    </row>
    <row r="369">
      <c r="A369" s="4" t="s">
        <v>1657</v>
      </c>
    </row>
    <row r="370">
      <c r="A370" s="4" t="s">
        <v>1655</v>
      </c>
    </row>
    <row r="371">
      <c r="A371" s="4" t="s">
        <v>1657</v>
      </c>
    </row>
    <row r="372">
      <c r="A372" s="4" t="s">
        <v>1655</v>
      </c>
    </row>
    <row r="373">
      <c r="A373" s="4" t="s">
        <v>1656</v>
      </c>
    </row>
    <row r="374">
      <c r="A374" s="4" t="s">
        <v>1657</v>
      </c>
    </row>
    <row r="375">
      <c r="A375" s="4" t="s">
        <v>1655</v>
      </c>
    </row>
    <row r="376">
      <c r="A376" s="4" t="s">
        <v>1656</v>
      </c>
    </row>
    <row r="377">
      <c r="A377" s="4" t="s">
        <v>1655</v>
      </c>
    </row>
    <row r="378">
      <c r="A378" s="4" t="s">
        <v>1656</v>
      </c>
    </row>
    <row r="379">
      <c r="A379" s="4" t="s">
        <v>1656</v>
      </c>
    </row>
    <row r="380">
      <c r="A380" s="4" t="s">
        <v>1657</v>
      </c>
    </row>
    <row r="381">
      <c r="A381" s="4" t="s">
        <v>1656</v>
      </c>
    </row>
    <row r="382">
      <c r="A382" s="4" t="s">
        <v>1655</v>
      </c>
    </row>
    <row r="383">
      <c r="A383" s="4" t="s">
        <v>1655</v>
      </c>
    </row>
    <row r="384">
      <c r="A384" s="4" t="s">
        <v>1657</v>
      </c>
    </row>
    <row r="385">
      <c r="A385" s="4" t="s">
        <v>1656</v>
      </c>
    </row>
    <row r="386">
      <c r="A386" s="4" t="s">
        <v>1657</v>
      </c>
    </row>
    <row r="387">
      <c r="A387" s="4" t="s">
        <v>1657</v>
      </c>
    </row>
    <row r="388">
      <c r="A388" s="4" t="s">
        <v>1656</v>
      </c>
    </row>
    <row r="389">
      <c r="A389" s="4" t="s">
        <v>1655</v>
      </c>
    </row>
    <row r="390">
      <c r="A390" s="4" t="s">
        <v>1655</v>
      </c>
    </row>
    <row r="391">
      <c r="A391" s="4" t="s">
        <v>1657</v>
      </c>
    </row>
    <row r="392">
      <c r="A392" s="4" t="s">
        <v>1657</v>
      </c>
    </row>
    <row r="393">
      <c r="A393" s="4" t="s">
        <v>1657</v>
      </c>
    </row>
    <row r="394">
      <c r="A394" s="4" t="s">
        <v>1656</v>
      </c>
    </row>
    <row r="395">
      <c r="A395" s="4" t="s">
        <v>1655</v>
      </c>
    </row>
    <row r="396">
      <c r="A396" s="4" t="s">
        <v>1657</v>
      </c>
    </row>
    <row r="397">
      <c r="A397" s="4" t="s">
        <v>1657</v>
      </c>
    </row>
    <row r="398">
      <c r="A398" s="4" t="s">
        <v>1656</v>
      </c>
    </row>
    <row r="399">
      <c r="A399" s="4" t="s">
        <v>1657</v>
      </c>
    </row>
    <row r="400">
      <c r="A400" s="4" t="s">
        <v>1657</v>
      </c>
    </row>
    <row r="401">
      <c r="A401" s="4" t="s">
        <v>1657</v>
      </c>
    </row>
    <row r="402">
      <c r="A402" s="4" t="s">
        <v>1657</v>
      </c>
    </row>
    <row r="403">
      <c r="A403" s="4" t="s">
        <v>1655</v>
      </c>
    </row>
    <row r="404">
      <c r="A404" s="4" t="s">
        <v>1657</v>
      </c>
    </row>
    <row r="405">
      <c r="A405" s="4" t="s">
        <v>1657</v>
      </c>
    </row>
    <row r="406">
      <c r="A406" s="4" t="s">
        <v>1656</v>
      </c>
    </row>
    <row r="407">
      <c r="A407" s="4" t="s">
        <v>1655</v>
      </c>
    </row>
    <row r="408">
      <c r="A408" s="4" t="s">
        <v>1655</v>
      </c>
    </row>
    <row r="409">
      <c r="A409" s="4" t="s">
        <v>1657</v>
      </c>
    </row>
    <row r="410">
      <c r="A410" s="4" t="s">
        <v>1655</v>
      </c>
    </row>
    <row r="411">
      <c r="A411" s="4" t="s">
        <v>1657</v>
      </c>
    </row>
    <row r="412">
      <c r="A412" s="4" t="s">
        <v>1655</v>
      </c>
    </row>
    <row r="413">
      <c r="A413" s="4" t="s">
        <v>1657</v>
      </c>
    </row>
    <row r="414">
      <c r="A414" s="4" t="s">
        <v>1655</v>
      </c>
    </row>
    <row r="415">
      <c r="A415" s="4" t="s">
        <v>1655</v>
      </c>
    </row>
    <row r="416">
      <c r="A416" s="4" t="s">
        <v>1657</v>
      </c>
    </row>
    <row r="417">
      <c r="A417" s="4" t="s">
        <v>1657</v>
      </c>
    </row>
    <row r="418">
      <c r="A418" s="4" t="s">
        <v>1657</v>
      </c>
    </row>
    <row r="419">
      <c r="A419" s="4" t="s">
        <v>1657</v>
      </c>
    </row>
    <row r="420">
      <c r="A420" s="4" t="s">
        <v>1656</v>
      </c>
    </row>
    <row r="421">
      <c r="A421" s="4" t="s">
        <v>1655</v>
      </c>
    </row>
    <row r="422">
      <c r="A422" s="4" t="s">
        <v>1656</v>
      </c>
    </row>
    <row r="423">
      <c r="A423" s="4" t="s">
        <v>1656</v>
      </c>
    </row>
    <row r="424">
      <c r="A424" s="4" t="s">
        <v>1655</v>
      </c>
    </row>
    <row r="425">
      <c r="A425" s="4" t="s">
        <v>1656</v>
      </c>
    </row>
    <row r="426">
      <c r="A426" s="4" t="s">
        <v>1657</v>
      </c>
    </row>
    <row r="427">
      <c r="A427" s="4" t="s">
        <v>1655</v>
      </c>
    </row>
    <row r="428">
      <c r="A428" s="4" t="s">
        <v>1656</v>
      </c>
    </row>
    <row r="429">
      <c r="A429" s="4" t="s">
        <v>1655</v>
      </c>
    </row>
    <row r="430">
      <c r="A430" s="4" t="s">
        <v>1656</v>
      </c>
    </row>
    <row r="431">
      <c r="A431" s="4" t="s">
        <v>1656</v>
      </c>
    </row>
    <row r="432">
      <c r="A432" s="4" t="s">
        <v>1657</v>
      </c>
    </row>
    <row r="433">
      <c r="A433" s="4" t="s">
        <v>1657</v>
      </c>
    </row>
    <row r="434">
      <c r="A434" s="4" t="s">
        <v>1656</v>
      </c>
    </row>
    <row r="435">
      <c r="A435" s="4" t="s">
        <v>1655</v>
      </c>
    </row>
    <row r="436">
      <c r="A436" s="4" t="s">
        <v>1657</v>
      </c>
    </row>
    <row r="437">
      <c r="A437" s="4" t="s">
        <v>1657</v>
      </c>
    </row>
    <row r="438">
      <c r="A438" s="4" t="s">
        <v>1656</v>
      </c>
    </row>
    <row r="439">
      <c r="A439" s="4" t="s">
        <v>1656</v>
      </c>
    </row>
    <row r="440">
      <c r="A440" s="4" t="s">
        <v>1656</v>
      </c>
    </row>
    <row r="441">
      <c r="A441" s="4" t="s">
        <v>1657</v>
      </c>
    </row>
    <row r="442">
      <c r="A442" s="4" t="s">
        <v>1655</v>
      </c>
    </row>
    <row r="443">
      <c r="A443" s="4" t="s">
        <v>1655</v>
      </c>
    </row>
    <row r="444">
      <c r="A444" s="4" t="s">
        <v>1657</v>
      </c>
    </row>
    <row r="445">
      <c r="A445" s="4" t="s">
        <v>1656</v>
      </c>
    </row>
    <row r="446">
      <c r="A446" s="4" t="s">
        <v>1657</v>
      </c>
    </row>
    <row r="447">
      <c r="A447" s="4" t="s">
        <v>1657</v>
      </c>
    </row>
    <row r="448">
      <c r="A448" s="4" t="s">
        <v>1655</v>
      </c>
    </row>
    <row r="449">
      <c r="A449" s="4" t="s">
        <v>1655</v>
      </c>
    </row>
    <row r="450">
      <c r="A450" s="4" t="s">
        <v>1657</v>
      </c>
    </row>
    <row r="451">
      <c r="A451" s="4" t="s">
        <v>1656</v>
      </c>
    </row>
    <row r="452">
      <c r="A452" s="4" t="s">
        <v>1657</v>
      </c>
    </row>
    <row r="453">
      <c r="A453" s="4" t="s">
        <v>1655</v>
      </c>
    </row>
    <row r="454">
      <c r="A454" s="4" t="s">
        <v>1655</v>
      </c>
    </row>
    <row r="455">
      <c r="A455" s="4" t="s">
        <v>1657</v>
      </c>
    </row>
    <row r="456">
      <c r="A456" s="4" t="s">
        <v>1657</v>
      </c>
    </row>
    <row r="457">
      <c r="A457" s="4" t="s">
        <v>1657</v>
      </c>
    </row>
    <row r="458">
      <c r="A458" s="4" t="s">
        <v>1656</v>
      </c>
    </row>
    <row r="459">
      <c r="A459" s="4" t="s">
        <v>1656</v>
      </c>
    </row>
    <row r="460">
      <c r="A460" s="4" t="s">
        <v>1655</v>
      </c>
    </row>
    <row r="461">
      <c r="A461" s="4" t="s">
        <v>1657</v>
      </c>
    </row>
    <row r="462">
      <c r="A462" s="4" t="s">
        <v>1656</v>
      </c>
    </row>
    <row r="463">
      <c r="A463" s="4" t="s">
        <v>1656</v>
      </c>
    </row>
    <row r="464">
      <c r="A464" s="4" t="s">
        <v>1656</v>
      </c>
    </row>
    <row r="465">
      <c r="A465" s="4" t="s">
        <v>1657</v>
      </c>
    </row>
    <row r="466">
      <c r="A466" s="4" t="s">
        <v>1657</v>
      </c>
    </row>
    <row r="467">
      <c r="A467" s="4" t="s">
        <v>1657</v>
      </c>
    </row>
    <row r="468">
      <c r="A468" s="4" t="s">
        <v>1655</v>
      </c>
    </row>
    <row r="469">
      <c r="A469" s="4" t="s">
        <v>1655</v>
      </c>
    </row>
    <row r="470">
      <c r="A470" s="4" t="s">
        <v>1655</v>
      </c>
    </row>
    <row r="471">
      <c r="A471" s="4" t="s">
        <v>1656</v>
      </c>
    </row>
    <row r="472">
      <c r="A472" s="4" t="s">
        <v>1655</v>
      </c>
    </row>
    <row r="473">
      <c r="A473" s="4" t="s">
        <v>1655</v>
      </c>
    </row>
    <row r="474">
      <c r="A474" s="4" t="s">
        <v>1656</v>
      </c>
    </row>
    <row r="475">
      <c r="A475" s="4" t="s">
        <v>1655</v>
      </c>
    </row>
    <row r="476">
      <c r="A476" s="4" t="s">
        <v>1656</v>
      </c>
    </row>
    <row r="477">
      <c r="A477" s="4" t="s">
        <v>1657</v>
      </c>
    </row>
    <row r="478">
      <c r="A478" s="4" t="s">
        <v>1655</v>
      </c>
    </row>
    <row r="479">
      <c r="A479" s="4" t="s">
        <v>1656</v>
      </c>
    </row>
    <row r="480">
      <c r="A480" s="4" t="s">
        <v>1657</v>
      </c>
    </row>
    <row r="481">
      <c r="A481" s="4" t="s">
        <v>1657</v>
      </c>
    </row>
    <row r="482">
      <c r="A482" s="4" t="s">
        <v>1657</v>
      </c>
    </row>
    <row r="483">
      <c r="A483" s="4" t="s">
        <v>1656</v>
      </c>
    </row>
    <row r="484">
      <c r="A484" s="4" t="s">
        <v>1655</v>
      </c>
    </row>
    <row r="485">
      <c r="A485" s="4" t="s">
        <v>1656</v>
      </c>
    </row>
    <row r="486">
      <c r="A486" s="4" t="s">
        <v>1657</v>
      </c>
    </row>
    <row r="487">
      <c r="A487" s="4" t="s">
        <v>1657</v>
      </c>
    </row>
    <row r="488">
      <c r="A488" s="4" t="s">
        <v>1655</v>
      </c>
    </row>
    <row r="489">
      <c r="A489" s="4" t="s">
        <v>1656</v>
      </c>
    </row>
    <row r="490">
      <c r="A490" s="4" t="s">
        <v>1657</v>
      </c>
    </row>
    <row r="491">
      <c r="A491" s="4" t="s">
        <v>1655</v>
      </c>
    </row>
    <row r="492">
      <c r="A492" s="4" t="s">
        <v>1656</v>
      </c>
    </row>
    <row r="493">
      <c r="A493" s="4" t="s">
        <v>1655</v>
      </c>
    </row>
    <row r="494">
      <c r="A494" s="4" t="s">
        <v>1655</v>
      </c>
    </row>
    <row r="495">
      <c r="A495" s="4" t="s">
        <v>1655</v>
      </c>
    </row>
    <row r="496">
      <c r="A496" s="4" t="s">
        <v>1656</v>
      </c>
    </row>
    <row r="497">
      <c r="A497" s="4" t="s">
        <v>1657</v>
      </c>
    </row>
    <row r="498">
      <c r="A498" s="4" t="s">
        <v>1655</v>
      </c>
    </row>
    <row r="499">
      <c r="A499" s="4" t="s">
        <v>1655</v>
      </c>
    </row>
    <row r="500">
      <c r="A500" s="4" t="s">
        <v>1657</v>
      </c>
    </row>
    <row r="501">
      <c r="A501" s="4" t="s">
        <v>1656</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8632</v>
      </c>
      <c r="D2" s="4" t="str">
        <f t="shared" ref="D2:D37" si="1">C2</f>
        <v>{"valorA":"ar condicionado","valorB":6.0}</v>
      </c>
      <c r="E2" s="8" t="str">
        <f t="shared" ref="E2:E37" si="2">SUBSTITUTE(MID(C2,FIND(":",C2)+1,FIND(",",C2)-FIND(":",C2)-1),"""","")</f>
        <v>ar condicionado</v>
      </c>
      <c r="F2" s="8" t="str">
        <f>IFERROR(__xludf.DUMMYFUNCTION("UNIQUE(E2:E37)"),"ar condicionado")</f>
        <v>ar condicionado</v>
      </c>
      <c r="G2" s="8" t="str">
        <f t="shared" ref="G2:G37" si="3">MID(C2,FIND("valorB",C2)+8,FIND("}",C2)-FIND("valorB",C2)-8)</f>
        <v>6.0</v>
      </c>
      <c r="H2" s="9">
        <f t="shared" ref="H2:H37" si="4">VALUE(SUBSTITUTE(G2,".",","))</f>
        <v>6</v>
      </c>
      <c r="I2" s="10">
        <f>IFERROR(__xludf.DUMMYFUNCTION("MAX(FILTER($H:$H,$E:$E=F2))"),153.0)</f>
        <v>153</v>
      </c>
    </row>
    <row r="3">
      <c r="A3" s="4"/>
      <c r="C3" s="4" t="s">
        <v>8633</v>
      </c>
      <c r="D3" s="4" t="str">
        <f t="shared" si="1"/>
        <v>{"valorA":"freezer","valorB":4.0}</v>
      </c>
      <c r="E3" s="8" t="str">
        <f t="shared" si="2"/>
        <v>freezer</v>
      </c>
      <c r="F3" s="8" t="str">
        <f>IFERROR(__xludf.DUMMYFUNCTION("""COMPUTED_VALUE"""),"freezer")</f>
        <v>freezer</v>
      </c>
      <c r="G3" s="8" t="str">
        <f t="shared" si="3"/>
        <v>4.0</v>
      </c>
      <c r="H3" s="9">
        <f t="shared" si="4"/>
        <v>4</v>
      </c>
      <c r="I3" s="10">
        <f>IFERROR(__xludf.DUMMYFUNCTION("MAX(FILTER($H:$H,$E:$E=F3))"),174.0)</f>
        <v>174</v>
      </c>
    </row>
    <row r="4">
      <c r="A4" s="4"/>
      <c r="C4" s="4" t="s">
        <v>8634</v>
      </c>
      <c r="D4" s="4" t="str">
        <f t="shared" si="1"/>
        <v>{"valorA":"microondas","valorB":2.0}</v>
      </c>
      <c r="E4" s="8" t="str">
        <f t="shared" si="2"/>
        <v>microondas</v>
      </c>
      <c r="F4" s="8" t="str">
        <f>IFERROR(__xludf.DUMMYFUNCTION("""COMPUTED_VALUE"""),"microondas")</f>
        <v>microondas</v>
      </c>
      <c r="G4" s="8" t="str">
        <f t="shared" si="3"/>
        <v>2.0</v>
      </c>
      <c r="H4" s="9">
        <f t="shared" si="4"/>
        <v>2</v>
      </c>
      <c r="I4" s="10">
        <f>IFERROR(__xludf.DUMMYFUNCTION("MAX(FILTER($H:$H,$E:$E=F4))"),173.0)</f>
        <v>173</v>
      </c>
    </row>
    <row r="5">
      <c r="A5" s="4"/>
      <c r="C5" s="4" t="s">
        <v>8635</v>
      </c>
      <c r="D5" s="4" t="str">
        <f t="shared" si="1"/>
        <v>{"valorA":"freezer","valorB":29.0}</v>
      </c>
      <c r="E5" s="8" t="str">
        <f t="shared" si="2"/>
        <v>freezer</v>
      </c>
      <c r="F5" s="8"/>
      <c r="G5" s="8" t="str">
        <f t="shared" si="3"/>
        <v>29.0</v>
      </c>
      <c r="H5" s="9">
        <f t="shared" si="4"/>
        <v>29</v>
      </c>
      <c r="I5" s="6" t="str">
        <f>IFERROR(__xludf.DUMMYFUNCTION("MAX(FILTER($H:$H,$E:$E=F5))"),"#N/A")</f>
        <v>#N/A</v>
      </c>
    </row>
    <row r="6">
      <c r="A6" s="4"/>
      <c r="C6" s="4" t="s">
        <v>4187</v>
      </c>
      <c r="D6" s="4" t="str">
        <f t="shared" si="1"/>
        <v>{"valorA":"ar condicionado","valorB":18.0}</v>
      </c>
      <c r="E6" s="8" t="str">
        <f t="shared" si="2"/>
        <v>ar condicionado</v>
      </c>
      <c r="F6" s="8"/>
      <c r="G6" s="8" t="str">
        <f t="shared" si="3"/>
        <v>18.0</v>
      </c>
      <c r="H6" s="9">
        <f t="shared" si="4"/>
        <v>18</v>
      </c>
      <c r="I6" s="6" t="str">
        <f>IFERROR(__xludf.DUMMYFUNCTION("MAX(FILTER($H:$H,$E:$E=F6))"),"#N/A")</f>
        <v>#N/A</v>
      </c>
    </row>
    <row r="7">
      <c r="A7" s="4"/>
      <c r="C7" s="4" t="s">
        <v>8636</v>
      </c>
      <c r="D7" s="4" t="str">
        <f t="shared" si="1"/>
        <v>{"valorA":"microondas","valorB":20.0}</v>
      </c>
      <c r="E7" s="8" t="str">
        <f t="shared" si="2"/>
        <v>microondas</v>
      </c>
      <c r="F7" s="8"/>
      <c r="G7" s="8" t="str">
        <f t="shared" si="3"/>
        <v>20.0</v>
      </c>
      <c r="H7" s="9">
        <f t="shared" si="4"/>
        <v>20</v>
      </c>
      <c r="I7" s="6" t="str">
        <f>IFERROR(__xludf.DUMMYFUNCTION("MAX(FILTER($H:$H,$E:$E=F7))"),"#N/A")</f>
        <v>#N/A</v>
      </c>
    </row>
    <row r="8">
      <c r="A8" s="4"/>
      <c r="C8" s="4" t="s">
        <v>8637</v>
      </c>
      <c r="D8" s="4" t="str">
        <f t="shared" si="1"/>
        <v>{"valorA":"freezer","valorB":43.0}</v>
      </c>
      <c r="E8" s="8" t="str">
        <f t="shared" si="2"/>
        <v>freezer</v>
      </c>
      <c r="F8" s="8"/>
      <c r="G8" s="8" t="str">
        <f t="shared" si="3"/>
        <v>43.0</v>
      </c>
      <c r="H8" s="9">
        <f t="shared" si="4"/>
        <v>43</v>
      </c>
      <c r="I8" s="6" t="str">
        <f>IFERROR(__xludf.DUMMYFUNCTION("MAX(FILTER($H:$H,$E:$E=F8))"),"#N/A")</f>
        <v>#N/A</v>
      </c>
    </row>
    <row r="9">
      <c r="A9" s="4"/>
      <c r="C9" s="4" t="s">
        <v>8638</v>
      </c>
      <c r="D9" s="4" t="str">
        <f t="shared" si="1"/>
        <v>{"valorA":"ar condicionado","valorB":29.0}</v>
      </c>
      <c r="E9" s="8" t="str">
        <f t="shared" si="2"/>
        <v>ar condicionado</v>
      </c>
      <c r="F9" s="8"/>
      <c r="G9" s="8" t="str">
        <f t="shared" si="3"/>
        <v>29.0</v>
      </c>
      <c r="H9" s="9">
        <f t="shared" si="4"/>
        <v>29</v>
      </c>
      <c r="I9" s="6" t="str">
        <f>IFERROR(__xludf.DUMMYFUNCTION("MAX(FILTER($H:$H,$E:$E=F9))"),"#N/A")</f>
        <v>#N/A</v>
      </c>
    </row>
    <row r="10">
      <c r="A10" s="4"/>
      <c r="C10" s="4" t="s">
        <v>8639</v>
      </c>
      <c r="D10" s="4" t="str">
        <f t="shared" si="1"/>
        <v>{"valorA":"microondas","valorB":43.0}</v>
      </c>
      <c r="E10" s="8" t="str">
        <f t="shared" si="2"/>
        <v>microondas</v>
      </c>
      <c r="F10" s="8"/>
      <c r="G10" s="8" t="str">
        <f t="shared" si="3"/>
        <v>43.0</v>
      </c>
      <c r="H10" s="9">
        <f t="shared" si="4"/>
        <v>43</v>
      </c>
      <c r="I10" s="6" t="str">
        <f>IFERROR(__xludf.DUMMYFUNCTION("MAX(FILTER($H:$H,$E:$E=F10))"),"#N/A")</f>
        <v>#N/A</v>
      </c>
    </row>
    <row r="11">
      <c r="A11" s="4"/>
      <c r="C11" s="4" t="s">
        <v>8640</v>
      </c>
      <c r="D11" s="4" t="str">
        <f t="shared" si="1"/>
        <v>{"valorA":"freezer","valorB":54.0}</v>
      </c>
      <c r="E11" s="8" t="str">
        <f t="shared" si="2"/>
        <v>freezer</v>
      </c>
      <c r="F11" s="8"/>
      <c r="G11" s="8" t="str">
        <f t="shared" si="3"/>
        <v>54.0</v>
      </c>
      <c r="H11" s="9">
        <f t="shared" si="4"/>
        <v>54</v>
      </c>
      <c r="I11" s="6" t="str">
        <f>IFERROR(__xludf.DUMMYFUNCTION("MAX(FILTER($H:$H,$E:$E=F11))"),"#N/A")</f>
        <v>#N/A</v>
      </c>
    </row>
    <row r="12">
      <c r="A12" s="4"/>
      <c r="C12" s="4" t="s">
        <v>8641</v>
      </c>
      <c r="D12" s="4" t="str">
        <f t="shared" si="1"/>
        <v>{"valorA":"ar condicionado","valorB":46.0}</v>
      </c>
      <c r="E12" s="8" t="str">
        <f t="shared" si="2"/>
        <v>ar condicionado</v>
      </c>
      <c r="F12" s="8"/>
      <c r="G12" s="8" t="str">
        <f t="shared" si="3"/>
        <v>46.0</v>
      </c>
      <c r="H12" s="9">
        <f t="shared" si="4"/>
        <v>46</v>
      </c>
      <c r="I12" s="6" t="str">
        <f>IFERROR(__xludf.DUMMYFUNCTION("MAX(FILTER($H:$H,$E:$E=F12))"),"#N/A")</f>
        <v>#N/A</v>
      </c>
    </row>
    <row r="13">
      <c r="A13" s="4"/>
      <c r="C13" s="4" t="s">
        <v>8642</v>
      </c>
      <c r="D13" s="4" t="str">
        <f t="shared" si="1"/>
        <v>{"valorA":"microondas","valorB":65.0}</v>
      </c>
      <c r="E13" s="8" t="str">
        <f t="shared" si="2"/>
        <v>microondas</v>
      </c>
      <c r="F13" s="8"/>
      <c r="G13" s="8" t="str">
        <f t="shared" si="3"/>
        <v>65.0</v>
      </c>
      <c r="H13" s="9">
        <f t="shared" si="4"/>
        <v>65</v>
      </c>
      <c r="I13" s="6" t="str">
        <f>IFERROR(__xludf.DUMMYFUNCTION("MAX(FILTER($H:$H,$E:$E=F13))"),"#N/A")</f>
        <v>#N/A</v>
      </c>
    </row>
    <row r="14">
      <c r="A14" s="4"/>
      <c r="C14" s="4" t="s">
        <v>8643</v>
      </c>
      <c r="D14" s="4" t="str">
        <f t="shared" si="1"/>
        <v>{"valorA":"freezer","valorB":66.0}</v>
      </c>
      <c r="E14" s="8" t="str">
        <f t="shared" si="2"/>
        <v>freezer</v>
      </c>
      <c r="F14" s="8"/>
      <c r="G14" s="8" t="str">
        <f t="shared" si="3"/>
        <v>66.0</v>
      </c>
      <c r="H14" s="9">
        <f t="shared" si="4"/>
        <v>66</v>
      </c>
      <c r="I14" s="6" t="str">
        <f>IFERROR(__xludf.DUMMYFUNCTION("MAX(FILTER($H:$H,$E:$E=F14))"),"#N/A")</f>
        <v>#N/A</v>
      </c>
    </row>
    <row r="15">
      <c r="A15" s="4"/>
      <c r="C15" s="4" t="s">
        <v>8644</v>
      </c>
      <c r="D15" s="4" t="str">
        <f t="shared" si="1"/>
        <v>{"valorA":"ar condicionado","valorB":67.0}</v>
      </c>
      <c r="E15" s="8" t="str">
        <f t="shared" si="2"/>
        <v>ar condicionado</v>
      </c>
      <c r="F15" s="8"/>
      <c r="G15" s="8" t="str">
        <f t="shared" si="3"/>
        <v>67.0</v>
      </c>
      <c r="H15" s="9">
        <f t="shared" si="4"/>
        <v>67</v>
      </c>
      <c r="I15" s="6" t="str">
        <f>IFERROR(__xludf.DUMMYFUNCTION("MAX(FILTER($H:$H,$E:$E=F15))"),"#N/A")</f>
        <v>#N/A</v>
      </c>
    </row>
    <row r="16">
      <c r="A16" s="4"/>
      <c r="C16" s="4" t="s">
        <v>8645</v>
      </c>
      <c r="D16" s="4" t="str">
        <f t="shared" si="1"/>
        <v>{"valorA":"microondas","valorB":80.0}</v>
      </c>
      <c r="E16" s="8" t="str">
        <f t="shared" si="2"/>
        <v>microondas</v>
      </c>
      <c r="F16" s="8"/>
      <c r="G16" s="8" t="str">
        <f t="shared" si="3"/>
        <v>80.0</v>
      </c>
      <c r="H16" s="9">
        <f t="shared" si="4"/>
        <v>80</v>
      </c>
      <c r="I16" s="6" t="str">
        <f>IFERROR(__xludf.DUMMYFUNCTION("MAX(FILTER($H:$H,$E:$E=F16))"),"#N/A")</f>
        <v>#N/A</v>
      </c>
    </row>
    <row r="17">
      <c r="A17" s="4"/>
      <c r="C17" s="4" t="s">
        <v>8646</v>
      </c>
      <c r="D17" s="4" t="str">
        <f t="shared" si="1"/>
        <v>{"valorA":"freezer","valorB":78.0}</v>
      </c>
      <c r="E17" s="8" t="str">
        <f t="shared" si="2"/>
        <v>freezer</v>
      </c>
      <c r="F17" s="8"/>
      <c r="G17" s="8" t="str">
        <f t="shared" si="3"/>
        <v>78.0</v>
      </c>
      <c r="H17" s="9">
        <f t="shared" si="4"/>
        <v>78</v>
      </c>
      <c r="I17" s="6" t="str">
        <f>IFERROR(__xludf.DUMMYFUNCTION("MAX(FILTER($H:$H,$E:$E=F17))"),"#N/A")</f>
        <v>#N/A</v>
      </c>
    </row>
    <row r="18">
      <c r="A18" s="4"/>
      <c r="C18" s="4" t="s">
        <v>8647</v>
      </c>
      <c r="D18" s="4" t="str">
        <f t="shared" si="1"/>
        <v>{"valorA":"ar condicionado","valorB":79.0}</v>
      </c>
      <c r="E18" s="8" t="str">
        <f t="shared" si="2"/>
        <v>ar condicionado</v>
      </c>
      <c r="F18" s="8"/>
      <c r="G18" s="8" t="str">
        <f t="shared" si="3"/>
        <v>79.0</v>
      </c>
      <c r="H18" s="9">
        <f t="shared" si="4"/>
        <v>79</v>
      </c>
      <c r="I18" s="6" t="str">
        <f>IFERROR(__xludf.DUMMYFUNCTION("MAX(FILTER($H:$H,$E:$E=F18))"),"#N/A")</f>
        <v>#N/A</v>
      </c>
    </row>
    <row r="19">
      <c r="A19" s="4"/>
      <c r="C19" s="4" t="s">
        <v>8648</v>
      </c>
      <c r="D19" s="4" t="str">
        <f t="shared" si="1"/>
        <v>{"valorA":"microondas","valorB":100.0}</v>
      </c>
      <c r="E19" s="8" t="str">
        <f t="shared" si="2"/>
        <v>microondas</v>
      </c>
      <c r="F19" s="8"/>
      <c r="G19" s="8" t="str">
        <f t="shared" si="3"/>
        <v>100.0</v>
      </c>
      <c r="H19" s="9">
        <f t="shared" si="4"/>
        <v>100</v>
      </c>
      <c r="I19" s="6" t="str">
        <f>IFERROR(__xludf.DUMMYFUNCTION("MAX(FILTER($H:$H,$E:$E=F19))"),"#N/A")</f>
        <v>#N/A</v>
      </c>
    </row>
    <row r="20">
      <c r="A20" s="4"/>
      <c r="C20" s="4" t="s">
        <v>8649</v>
      </c>
      <c r="D20" s="4" t="str">
        <f t="shared" si="1"/>
        <v>{"valorA":"freezer","valorB":93.0}</v>
      </c>
      <c r="E20" s="8" t="str">
        <f t="shared" si="2"/>
        <v>freezer</v>
      </c>
      <c r="F20" s="8"/>
      <c r="G20" s="8" t="str">
        <f t="shared" si="3"/>
        <v>93.0</v>
      </c>
      <c r="H20" s="9">
        <f t="shared" si="4"/>
        <v>93</v>
      </c>
      <c r="I20" s="6" t="str">
        <f>IFERROR(__xludf.DUMMYFUNCTION("MAX(FILTER($H:$H,$E:$E=F20))"),"#N/A")</f>
        <v>#N/A</v>
      </c>
    </row>
    <row r="21">
      <c r="A21" s="4"/>
      <c r="C21" s="4" t="s">
        <v>8650</v>
      </c>
      <c r="D21" s="4" t="str">
        <f t="shared" si="1"/>
        <v>{"valorA":"ar condicionado","valorB":94.0}</v>
      </c>
      <c r="E21" s="8" t="str">
        <f t="shared" si="2"/>
        <v>ar condicionado</v>
      </c>
      <c r="F21" s="8"/>
      <c r="G21" s="8" t="str">
        <f t="shared" si="3"/>
        <v>94.0</v>
      </c>
      <c r="H21" s="9">
        <f t="shared" si="4"/>
        <v>94</v>
      </c>
      <c r="I21" s="6" t="str">
        <f>IFERROR(__xludf.DUMMYFUNCTION("MAX(FILTER($H:$H,$E:$E=F21))"),"#N/A")</f>
        <v>#N/A</v>
      </c>
    </row>
    <row r="22">
      <c r="A22" s="4"/>
      <c r="C22" s="4" t="s">
        <v>8651</v>
      </c>
      <c r="D22" s="4" t="str">
        <f t="shared" si="1"/>
        <v>{"valorA":"microondas","valorB":115.0}</v>
      </c>
      <c r="E22" s="8" t="str">
        <f t="shared" si="2"/>
        <v>microondas</v>
      </c>
      <c r="F22" s="8"/>
      <c r="G22" s="8" t="str">
        <f t="shared" si="3"/>
        <v>115.0</v>
      </c>
      <c r="H22" s="9">
        <f t="shared" si="4"/>
        <v>115</v>
      </c>
      <c r="I22" s="6" t="str">
        <f>IFERROR(__xludf.DUMMYFUNCTION("MAX(FILTER($H:$H,$E:$E=F22))"),"#N/A")</f>
        <v>#N/A</v>
      </c>
    </row>
    <row r="23">
      <c r="A23" s="4"/>
      <c r="C23" s="4" t="s">
        <v>8652</v>
      </c>
      <c r="D23" s="4" t="str">
        <f t="shared" si="1"/>
        <v>{"valorA":"freezer","valorB":112.0}</v>
      </c>
      <c r="E23" s="8" t="str">
        <f t="shared" si="2"/>
        <v>freezer</v>
      </c>
      <c r="F23" s="8"/>
      <c r="G23" s="8" t="str">
        <f t="shared" si="3"/>
        <v>112.0</v>
      </c>
      <c r="H23" s="9">
        <f t="shared" si="4"/>
        <v>112</v>
      </c>
      <c r="I23" s="6" t="str">
        <f>IFERROR(__xludf.DUMMYFUNCTION("MAX(FILTER($H:$H,$E:$E=F23))"),"#N/A")</f>
        <v>#N/A</v>
      </c>
    </row>
    <row r="24">
      <c r="A24" s="4"/>
      <c r="C24" s="4" t="s">
        <v>8653</v>
      </c>
      <c r="D24" s="4" t="str">
        <f t="shared" si="1"/>
        <v>{"valorA":"ar condicionado","valorB":106.0}</v>
      </c>
      <c r="E24" s="8" t="str">
        <f t="shared" si="2"/>
        <v>ar condicionado</v>
      </c>
      <c r="F24" s="8"/>
      <c r="G24" s="8" t="str">
        <f t="shared" si="3"/>
        <v>106.0</v>
      </c>
      <c r="H24" s="9">
        <f t="shared" si="4"/>
        <v>106</v>
      </c>
      <c r="I24" s="6" t="str">
        <f>IFERROR(__xludf.DUMMYFUNCTION("MAX(FILTER($H:$H,$E:$E=F24))"),"#N/A")</f>
        <v>#N/A</v>
      </c>
    </row>
    <row r="25">
      <c r="A25" s="4"/>
      <c r="C25" s="4" t="s">
        <v>8654</v>
      </c>
      <c r="D25" s="4" t="str">
        <f t="shared" si="1"/>
        <v>{"valorA":"microondas","valorB":129.0}</v>
      </c>
      <c r="E25" s="8" t="str">
        <f t="shared" si="2"/>
        <v>microondas</v>
      </c>
      <c r="F25" s="8"/>
      <c r="G25" s="8" t="str">
        <f t="shared" si="3"/>
        <v>129.0</v>
      </c>
      <c r="H25" s="9">
        <f t="shared" si="4"/>
        <v>129</v>
      </c>
      <c r="I25" s="6" t="str">
        <f>IFERROR(__xludf.DUMMYFUNCTION("MAX(FILTER($H:$H,$E:$E=F25))"),"#N/A")</f>
        <v>#N/A</v>
      </c>
    </row>
    <row r="26">
      <c r="A26" s="4"/>
      <c r="C26" s="4" t="s">
        <v>8655</v>
      </c>
      <c r="D26" s="4" t="str">
        <f t="shared" si="1"/>
        <v>{"valorA":"freezer","valorB":132.0}</v>
      </c>
      <c r="E26" s="8" t="str">
        <f t="shared" si="2"/>
        <v>freezer</v>
      </c>
      <c r="F26" s="8"/>
      <c r="G26" s="8" t="str">
        <f t="shared" si="3"/>
        <v>132.0</v>
      </c>
      <c r="H26" s="9">
        <f t="shared" si="4"/>
        <v>132</v>
      </c>
      <c r="I26" s="6" t="str">
        <f>IFERROR(__xludf.DUMMYFUNCTION("MAX(FILTER($H:$H,$E:$E=F26))"),"#N/A")</f>
        <v>#N/A</v>
      </c>
    </row>
    <row r="27">
      <c r="A27" s="4"/>
      <c r="C27" s="4" t="s">
        <v>8656</v>
      </c>
      <c r="D27" s="4" t="str">
        <f t="shared" si="1"/>
        <v>{"valorA":"ar condicionado","valorB":119.0}</v>
      </c>
      <c r="E27" s="8" t="str">
        <f t="shared" si="2"/>
        <v>ar condicionado</v>
      </c>
      <c r="F27" s="8"/>
      <c r="G27" s="8" t="str">
        <f t="shared" si="3"/>
        <v>119.0</v>
      </c>
      <c r="H27" s="9">
        <f t="shared" si="4"/>
        <v>119</v>
      </c>
      <c r="I27" s="6" t="str">
        <f>IFERROR(__xludf.DUMMYFUNCTION("MAX(FILTER($H:$H,$E:$E=F27))"),"#N/A")</f>
        <v>#N/A</v>
      </c>
    </row>
    <row r="28">
      <c r="A28" s="4"/>
      <c r="C28" s="4" t="s">
        <v>8657</v>
      </c>
      <c r="D28" s="4" t="str">
        <f t="shared" si="1"/>
        <v>{"valorA":"microondas","valorB":143.0}</v>
      </c>
      <c r="E28" s="8" t="str">
        <f t="shared" si="2"/>
        <v>microondas</v>
      </c>
      <c r="F28" s="8"/>
      <c r="G28" s="8" t="str">
        <f t="shared" si="3"/>
        <v>143.0</v>
      </c>
      <c r="H28" s="9">
        <f t="shared" si="4"/>
        <v>143</v>
      </c>
      <c r="I28" s="6" t="str">
        <f>IFERROR(__xludf.DUMMYFUNCTION("MAX(FILTER($H:$H,$E:$E=F28))"),"#N/A")</f>
        <v>#N/A</v>
      </c>
    </row>
    <row r="29">
      <c r="A29" s="4"/>
      <c r="C29" s="4" t="s">
        <v>8658</v>
      </c>
      <c r="D29" s="4" t="str">
        <f t="shared" si="1"/>
        <v>{"valorA":"freezer","valorB":152.0}</v>
      </c>
      <c r="E29" s="8" t="str">
        <f t="shared" si="2"/>
        <v>freezer</v>
      </c>
      <c r="F29" s="8"/>
      <c r="G29" s="8" t="str">
        <f t="shared" si="3"/>
        <v>152.0</v>
      </c>
      <c r="H29" s="9">
        <f t="shared" si="4"/>
        <v>152</v>
      </c>
      <c r="I29" s="6" t="str">
        <f>IFERROR(__xludf.DUMMYFUNCTION("MAX(FILTER($H:$H,$E:$E=F29))"),"#N/A")</f>
        <v>#N/A</v>
      </c>
    </row>
    <row r="30">
      <c r="A30" s="4"/>
      <c r="C30" s="4" t="s">
        <v>8659</v>
      </c>
      <c r="D30" s="4" t="str">
        <f t="shared" si="1"/>
        <v>{"valorA":"ar condicionado","valorB":131.0}</v>
      </c>
      <c r="E30" s="8" t="str">
        <f t="shared" si="2"/>
        <v>ar condicionado</v>
      </c>
      <c r="F30" s="8"/>
      <c r="G30" s="8" t="str">
        <f t="shared" si="3"/>
        <v>131.0</v>
      </c>
      <c r="H30" s="9">
        <f t="shared" si="4"/>
        <v>131</v>
      </c>
      <c r="I30" s="6" t="str">
        <f>IFERROR(__xludf.DUMMYFUNCTION("MAX(FILTER($H:$H,$E:$E=F30))"),"#N/A")</f>
        <v>#N/A</v>
      </c>
    </row>
    <row r="31">
      <c r="A31" s="4"/>
      <c r="C31" s="4" t="s">
        <v>8660</v>
      </c>
      <c r="D31" s="4" t="str">
        <f t="shared" si="1"/>
        <v>{"valorA":"microondas","valorB":156.0}</v>
      </c>
      <c r="E31" s="8" t="str">
        <f t="shared" si="2"/>
        <v>microondas</v>
      </c>
      <c r="F31" s="8"/>
      <c r="G31" s="8" t="str">
        <f t="shared" si="3"/>
        <v>156.0</v>
      </c>
      <c r="H31" s="9">
        <f t="shared" si="4"/>
        <v>156</v>
      </c>
      <c r="I31" s="6" t="str">
        <f>IFERROR(__xludf.DUMMYFUNCTION("MAX(FILTER($H:$H,$E:$E=F31))"),"#N/A")</f>
        <v>#N/A</v>
      </c>
    </row>
    <row r="32">
      <c r="A32" s="4"/>
      <c r="C32" s="4" t="s">
        <v>8661</v>
      </c>
      <c r="D32" s="4" t="str">
        <f t="shared" si="1"/>
        <v>{"valorA":"freezer","valorB":169.0}</v>
      </c>
      <c r="E32" s="8" t="str">
        <f t="shared" si="2"/>
        <v>freezer</v>
      </c>
      <c r="F32" s="8"/>
      <c r="G32" s="8" t="str">
        <f t="shared" si="3"/>
        <v>169.0</v>
      </c>
      <c r="H32" s="9">
        <f t="shared" si="4"/>
        <v>169</v>
      </c>
      <c r="I32" s="6" t="str">
        <f>IFERROR(__xludf.DUMMYFUNCTION("MAX(FILTER($H:$H,$E:$E=F32))"),"#N/A")</f>
        <v>#N/A</v>
      </c>
    </row>
    <row r="33">
      <c r="A33" s="4"/>
      <c r="C33" s="4" t="s">
        <v>8662</v>
      </c>
      <c r="D33" s="4" t="str">
        <f t="shared" si="1"/>
        <v>{"valorA":"ar condicionado","valorB":146.0}</v>
      </c>
      <c r="E33" s="8" t="str">
        <f t="shared" si="2"/>
        <v>ar condicionado</v>
      </c>
      <c r="F33" s="8"/>
      <c r="G33" s="8" t="str">
        <f t="shared" si="3"/>
        <v>146.0</v>
      </c>
      <c r="H33" s="9">
        <f t="shared" si="4"/>
        <v>146</v>
      </c>
      <c r="I33" s="6" t="str">
        <f>IFERROR(__xludf.DUMMYFUNCTION("MAX(FILTER($H:$H,$E:$E=F33))"),"#N/A")</f>
        <v>#N/A</v>
      </c>
    </row>
    <row r="34">
      <c r="A34" s="4"/>
      <c r="C34" s="4" t="s">
        <v>8663</v>
      </c>
      <c r="D34" s="4" t="str">
        <f t="shared" si="1"/>
        <v>{"valorA":"microondas","valorB":168.0}</v>
      </c>
      <c r="E34" s="8" t="str">
        <f t="shared" si="2"/>
        <v>microondas</v>
      </c>
      <c r="F34" s="8"/>
      <c r="G34" s="8" t="str">
        <f t="shared" si="3"/>
        <v>168.0</v>
      </c>
      <c r="H34" s="9">
        <f t="shared" si="4"/>
        <v>168</v>
      </c>
      <c r="I34" s="6" t="str">
        <f>IFERROR(__xludf.DUMMYFUNCTION("MAX(FILTER($H:$H,$E:$E=F34))"),"#N/A")</f>
        <v>#N/A</v>
      </c>
    </row>
    <row r="35">
      <c r="A35" s="4"/>
      <c r="C35" s="4" t="s">
        <v>8664</v>
      </c>
      <c r="D35" s="4" t="str">
        <f t="shared" si="1"/>
        <v>{"valorA":"freezer","valorB":174.0}</v>
      </c>
      <c r="E35" s="8" t="str">
        <f t="shared" si="2"/>
        <v>freezer</v>
      </c>
      <c r="F35" s="8"/>
      <c r="G35" s="8" t="str">
        <f t="shared" si="3"/>
        <v>174.0</v>
      </c>
      <c r="H35" s="9">
        <f t="shared" si="4"/>
        <v>174</v>
      </c>
      <c r="I35" s="6" t="str">
        <f>IFERROR(__xludf.DUMMYFUNCTION("MAX(FILTER($H:$H,$E:$E=F35))"),"#N/A")</f>
        <v>#N/A</v>
      </c>
    </row>
    <row r="36">
      <c r="A36" s="4"/>
      <c r="C36" s="4" t="s">
        <v>8665</v>
      </c>
      <c r="D36" s="4" t="str">
        <f t="shared" si="1"/>
        <v>{"valorA":"ar condicionado","valorB":153.0}</v>
      </c>
      <c r="E36" s="8" t="str">
        <f t="shared" si="2"/>
        <v>ar condicionado</v>
      </c>
      <c r="F36" s="8"/>
      <c r="G36" s="8" t="str">
        <f t="shared" si="3"/>
        <v>153.0</v>
      </c>
      <c r="H36" s="9">
        <f t="shared" si="4"/>
        <v>153</v>
      </c>
      <c r="I36" s="6" t="str">
        <f>IFERROR(__xludf.DUMMYFUNCTION("MAX(FILTER($H:$H,$E:$E=F36))"),"#N/A")</f>
        <v>#N/A</v>
      </c>
    </row>
    <row r="37">
      <c r="A37" s="4"/>
      <c r="C37" s="4" t="s">
        <v>8666</v>
      </c>
      <c r="D37" s="4" t="str">
        <f t="shared" si="1"/>
        <v>{"valorA":"microondas","valorB":173.0}</v>
      </c>
      <c r="E37" s="8" t="str">
        <f t="shared" si="2"/>
        <v>microondas</v>
      </c>
      <c r="F37" s="8"/>
      <c r="G37" s="8" t="str">
        <f t="shared" si="3"/>
        <v>173.0</v>
      </c>
      <c r="H37" s="9">
        <f t="shared" si="4"/>
        <v>173</v>
      </c>
      <c r="I37" s="6" t="str">
        <f>IFERROR(__xludf.DUMMYFUNCTION("MAX(FILTER($H:$H,$E:$E=F37))"),"#N/A")</f>
        <v>#N/A</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7" max="7" width="13.25"/>
    <col customWidth="1" min="10" max="10" width="13.25"/>
    <col customWidth="1" min="13" max="13" width="13.25"/>
  </cols>
  <sheetData>
    <row r="1">
      <c r="A1" s="5" t="s">
        <v>32</v>
      </c>
      <c r="B1" s="7" t="s">
        <v>8667</v>
      </c>
      <c r="C1" s="5" t="s">
        <v>8668</v>
      </c>
      <c r="D1" s="5" t="s">
        <v>8669</v>
      </c>
      <c r="F1" s="22" t="s">
        <v>8670</v>
      </c>
      <c r="G1" s="23"/>
      <c r="I1" s="22" t="s">
        <v>8671</v>
      </c>
      <c r="J1" s="23"/>
      <c r="L1" s="22" t="s">
        <v>8672</v>
      </c>
      <c r="M1" s="23"/>
    </row>
    <row r="2">
      <c r="A2" s="4" t="s">
        <v>8673</v>
      </c>
      <c r="B2" s="10">
        <f t="shared" ref="B2:B37" si="1">VALUE(SUBSTITUTE(MID(A2,FIND("CPU usage is:",A2)+13,FIND("RAM memory",A2)-FIND("CPU usage is:",A2)-13),".",","))</f>
        <v>100</v>
      </c>
      <c r="C2" s="24">
        <f t="shared" ref="C2:C37" si="2">VALUE(SUBSTITUTE(SUBSTITUTE(MID(A2,FIND("RAM memory % used:",A2)+18,9),"RAM",""),".",","))</f>
        <v>86.7</v>
      </c>
      <c r="D2" s="6">
        <f t="shared" ref="D2:D37" si="3">VALUE(SUBSTITUTE(SUBSTITUTE(MID(A2,FIND("RAM Used (GB):",A2)+14,9),"RAM",""),".",","))</f>
        <v>14.766567</v>
      </c>
      <c r="F2" s="25" t="s">
        <v>4013</v>
      </c>
      <c r="G2" s="25" t="s">
        <v>4247</v>
      </c>
      <c r="I2" s="25" t="s">
        <v>4013</v>
      </c>
      <c r="J2" s="25" t="s">
        <v>4247</v>
      </c>
      <c r="L2" s="25" t="s">
        <v>4013</v>
      </c>
      <c r="M2" s="25" t="s">
        <v>4247</v>
      </c>
    </row>
    <row r="3">
      <c r="A3" s="4" t="s">
        <v>8674</v>
      </c>
      <c r="B3" s="10">
        <f t="shared" si="1"/>
        <v>0</v>
      </c>
      <c r="C3" s="24">
        <f t="shared" si="2"/>
        <v>86.7</v>
      </c>
      <c r="D3" s="6">
        <f t="shared" si="3"/>
        <v>14.780059</v>
      </c>
      <c r="F3" s="20">
        <f>AVERAGE(B2:B469)</f>
        <v>58.33333333</v>
      </c>
      <c r="G3" s="20">
        <f>STDEV(B2:B469)</f>
        <v>50</v>
      </c>
      <c r="I3" s="20">
        <f>AVERAGE(C2:C469)</f>
        <v>86.675</v>
      </c>
      <c r="J3" s="20">
        <f>STDEV(C2:C469)</f>
        <v>0.5582498161</v>
      </c>
      <c r="L3" s="20">
        <f>AVERAGE(D2:D469)</f>
        <v>14.77107886</v>
      </c>
      <c r="M3" s="20">
        <f>STDEV(D2:D469)</f>
        <v>0.09341235655</v>
      </c>
    </row>
    <row r="4">
      <c r="A4" s="4" t="s">
        <v>8675</v>
      </c>
      <c r="B4" s="10">
        <f t="shared" si="1"/>
        <v>100</v>
      </c>
      <c r="C4" s="6">
        <f t="shared" si="2"/>
        <v>86.8</v>
      </c>
      <c r="D4" s="6">
        <f t="shared" si="3"/>
        <v>14.795091</v>
      </c>
    </row>
    <row r="5">
      <c r="A5" s="4" t="s">
        <v>8676</v>
      </c>
      <c r="B5" s="10">
        <f t="shared" si="1"/>
        <v>0</v>
      </c>
      <c r="C5" s="6">
        <f t="shared" si="2"/>
        <v>88.3</v>
      </c>
      <c r="D5" s="6">
        <f t="shared" si="3"/>
        <v>15.040671</v>
      </c>
    </row>
    <row r="6">
      <c r="A6" s="4" t="s">
        <v>8677</v>
      </c>
      <c r="B6" s="10">
        <f t="shared" si="1"/>
        <v>0</v>
      </c>
      <c r="C6" s="6">
        <f t="shared" si="2"/>
        <v>87.4</v>
      </c>
      <c r="D6" s="6">
        <f t="shared" si="3"/>
        <v>14.897741</v>
      </c>
    </row>
    <row r="7">
      <c r="A7" s="4" t="s">
        <v>8678</v>
      </c>
      <c r="B7" s="10">
        <f t="shared" si="1"/>
        <v>100</v>
      </c>
      <c r="C7" s="6">
        <f t="shared" si="2"/>
        <v>87.3</v>
      </c>
      <c r="D7" s="6">
        <f t="shared" si="3"/>
        <v>14.876889</v>
      </c>
    </row>
    <row r="8">
      <c r="A8" s="4" t="s">
        <v>8679</v>
      </c>
      <c r="B8" s="10">
        <f t="shared" si="1"/>
        <v>100</v>
      </c>
      <c r="C8" s="6">
        <f t="shared" si="2"/>
        <v>86.6</v>
      </c>
      <c r="D8" s="6">
        <f t="shared" si="3"/>
        <v>14.765256</v>
      </c>
    </row>
    <row r="9">
      <c r="A9" s="4" t="s">
        <v>8680</v>
      </c>
      <c r="B9" s="10">
        <f t="shared" si="1"/>
        <v>100</v>
      </c>
      <c r="C9" s="6">
        <f t="shared" si="2"/>
        <v>86.7</v>
      </c>
      <c r="D9" s="6">
        <f t="shared" si="3"/>
        <v>14.780891</v>
      </c>
    </row>
    <row r="10">
      <c r="A10" s="4" t="s">
        <v>8681</v>
      </c>
      <c r="B10" s="10">
        <f t="shared" si="1"/>
        <v>0</v>
      </c>
      <c r="C10" s="6">
        <f t="shared" si="2"/>
        <v>86.6</v>
      </c>
      <c r="D10" s="6">
        <f t="shared" si="3"/>
        <v>14.760587</v>
      </c>
    </row>
    <row r="11">
      <c r="A11" s="4" t="s">
        <v>8682</v>
      </c>
      <c r="B11" s="10">
        <f t="shared" si="1"/>
        <v>100</v>
      </c>
      <c r="C11" s="6">
        <f t="shared" si="2"/>
        <v>86.9</v>
      </c>
      <c r="D11" s="6">
        <f t="shared" si="3"/>
        <v>14.802939</v>
      </c>
    </row>
    <row r="12">
      <c r="A12" s="4" t="s">
        <v>8683</v>
      </c>
      <c r="B12" s="10">
        <f t="shared" si="1"/>
        <v>100</v>
      </c>
      <c r="C12" s="6">
        <f t="shared" si="2"/>
        <v>86.8</v>
      </c>
      <c r="D12" s="6">
        <f t="shared" si="3"/>
        <v>14.793932</v>
      </c>
    </row>
    <row r="13">
      <c r="A13" s="4" t="s">
        <v>8684</v>
      </c>
      <c r="B13" s="10">
        <f t="shared" si="1"/>
        <v>100</v>
      </c>
      <c r="C13" s="6">
        <f t="shared" si="2"/>
        <v>86.7</v>
      </c>
      <c r="D13" s="6">
        <f t="shared" si="3"/>
        <v>14.770982</v>
      </c>
    </row>
    <row r="14">
      <c r="A14" s="4" t="s">
        <v>8685</v>
      </c>
      <c r="B14" s="10">
        <f t="shared" si="1"/>
        <v>100</v>
      </c>
      <c r="C14" s="6">
        <f t="shared" si="2"/>
        <v>86.6</v>
      </c>
      <c r="D14" s="6">
        <f t="shared" si="3"/>
        <v>14.762713</v>
      </c>
    </row>
    <row r="15">
      <c r="A15" s="4" t="s">
        <v>8686</v>
      </c>
      <c r="B15" s="10">
        <f t="shared" si="1"/>
        <v>0</v>
      </c>
      <c r="C15" s="6">
        <f t="shared" si="2"/>
        <v>86.5</v>
      </c>
      <c r="D15" s="6">
        <f t="shared" si="3"/>
        <v>14.74401</v>
      </c>
    </row>
    <row r="16">
      <c r="A16" s="4" t="s">
        <v>8687</v>
      </c>
      <c r="B16" s="10">
        <f t="shared" si="1"/>
        <v>100</v>
      </c>
      <c r="C16" s="6">
        <f t="shared" si="2"/>
        <v>88.3</v>
      </c>
      <c r="D16" s="6">
        <f t="shared" si="3"/>
        <v>15.042904</v>
      </c>
    </row>
    <row r="17">
      <c r="A17" s="4" t="s">
        <v>8688</v>
      </c>
      <c r="B17" s="10">
        <f t="shared" si="1"/>
        <v>100</v>
      </c>
      <c r="C17" s="6">
        <f t="shared" si="2"/>
        <v>86.6</v>
      </c>
      <c r="D17" s="6">
        <f t="shared" si="3"/>
        <v>14.750871</v>
      </c>
    </row>
    <row r="18">
      <c r="A18" s="4" t="s">
        <v>8689</v>
      </c>
      <c r="B18" s="10">
        <f t="shared" si="1"/>
        <v>0</v>
      </c>
      <c r="C18" s="6">
        <f t="shared" si="2"/>
        <v>86.7</v>
      </c>
      <c r="D18" s="6">
        <f t="shared" si="3"/>
        <v>14.783033</v>
      </c>
    </row>
    <row r="19">
      <c r="A19" s="4" t="s">
        <v>8690</v>
      </c>
      <c r="B19" s="10">
        <f t="shared" si="1"/>
        <v>0</v>
      </c>
      <c r="C19" s="6">
        <f t="shared" si="2"/>
        <v>86.6</v>
      </c>
      <c r="D19" s="6">
        <f t="shared" si="3"/>
        <v>14.765944</v>
      </c>
    </row>
    <row r="20">
      <c r="A20" s="4" t="s">
        <v>8691</v>
      </c>
      <c r="B20" s="10">
        <f t="shared" si="1"/>
        <v>0</v>
      </c>
      <c r="C20" s="6">
        <f t="shared" si="2"/>
        <v>86.7</v>
      </c>
      <c r="D20" s="6">
        <f t="shared" si="3"/>
        <v>14.767341</v>
      </c>
    </row>
    <row r="21">
      <c r="A21" s="4" t="s">
        <v>8692</v>
      </c>
      <c r="B21" s="10">
        <f t="shared" si="1"/>
        <v>0</v>
      </c>
      <c r="C21" s="6">
        <f t="shared" si="2"/>
        <v>86.8</v>
      </c>
      <c r="D21" s="6">
        <f t="shared" si="3"/>
        <v>14.788431</v>
      </c>
    </row>
    <row r="22">
      <c r="A22" s="4" t="s">
        <v>8693</v>
      </c>
      <c r="B22" s="10">
        <f t="shared" si="1"/>
        <v>100</v>
      </c>
      <c r="C22" s="6">
        <f t="shared" si="2"/>
        <v>86.6</v>
      </c>
      <c r="D22" s="6">
        <f t="shared" si="3"/>
        <v>14.75076</v>
      </c>
    </row>
    <row r="23">
      <c r="A23" s="4" t="s">
        <v>8694</v>
      </c>
      <c r="B23" s="10">
        <f t="shared" si="1"/>
        <v>100</v>
      </c>
      <c r="C23" s="6">
        <f t="shared" si="2"/>
        <v>86.9</v>
      </c>
      <c r="D23" s="6">
        <f t="shared" si="3"/>
        <v>14.807924</v>
      </c>
    </row>
    <row r="24">
      <c r="A24" s="4" t="s">
        <v>8695</v>
      </c>
      <c r="B24" s="10">
        <f t="shared" si="1"/>
        <v>0</v>
      </c>
      <c r="C24" s="6">
        <f t="shared" si="2"/>
        <v>86.9</v>
      </c>
      <c r="D24" s="6">
        <f t="shared" si="3"/>
        <v>14.809874</v>
      </c>
    </row>
    <row r="25">
      <c r="A25" s="4" t="s">
        <v>8696</v>
      </c>
      <c r="B25" s="10">
        <f t="shared" si="1"/>
        <v>100</v>
      </c>
      <c r="C25" s="6">
        <f t="shared" si="2"/>
        <v>86.7</v>
      </c>
      <c r="D25" s="6">
        <f t="shared" si="3"/>
        <v>14.772154</v>
      </c>
    </row>
    <row r="26">
      <c r="A26" s="4" t="s">
        <v>8697</v>
      </c>
      <c r="B26" s="10">
        <f t="shared" si="1"/>
        <v>100</v>
      </c>
      <c r="C26" s="6">
        <f t="shared" si="2"/>
        <v>86</v>
      </c>
      <c r="D26" s="6">
        <f t="shared" si="3"/>
        <v>14.658052</v>
      </c>
    </row>
    <row r="27">
      <c r="A27" s="4" t="s">
        <v>8698</v>
      </c>
      <c r="B27" s="10">
        <f t="shared" si="1"/>
        <v>0</v>
      </c>
      <c r="C27" s="6">
        <f t="shared" si="2"/>
        <v>87.3</v>
      </c>
      <c r="D27" s="6">
        <f t="shared" si="3"/>
        <v>14.872199</v>
      </c>
    </row>
    <row r="28">
      <c r="A28" s="4" t="s">
        <v>8699</v>
      </c>
      <c r="B28" s="10">
        <f t="shared" si="1"/>
        <v>100</v>
      </c>
      <c r="C28" s="6">
        <f t="shared" si="2"/>
        <v>85.9</v>
      </c>
      <c r="D28" s="6">
        <f t="shared" si="3"/>
        <v>14.642618</v>
      </c>
    </row>
    <row r="29">
      <c r="A29" s="4" t="s">
        <v>8700</v>
      </c>
      <c r="B29" s="10">
        <f t="shared" si="1"/>
        <v>0</v>
      </c>
      <c r="C29" s="6">
        <f t="shared" si="2"/>
        <v>85.8</v>
      </c>
      <c r="D29" s="6">
        <f t="shared" si="3"/>
        <v>14.629318</v>
      </c>
    </row>
    <row r="30">
      <c r="A30" s="4" t="s">
        <v>8701</v>
      </c>
      <c r="B30" s="10">
        <f t="shared" si="1"/>
        <v>100</v>
      </c>
      <c r="C30" s="6">
        <f t="shared" si="2"/>
        <v>85.8</v>
      </c>
      <c r="D30" s="6">
        <f t="shared" si="3"/>
        <v>14.627135</v>
      </c>
    </row>
    <row r="31">
      <c r="A31" s="4" t="s">
        <v>8702</v>
      </c>
      <c r="B31" s="10">
        <f t="shared" si="1"/>
        <v>100</v>
      </c>
      <c r="C31" s="6">
        <f t="shared" si="2"/>
        <v>86</v>
      </c>
      <c r="D31" s="6">
        <f t="shared" si="3"/>
        <v>14.656598</v>
      </c>
    </row>
    <row r="32">
      <c r="A32" s="4" t="s">
        <v>8703</v>
      </c>
      <c r="B32" s="10">
        <f t="shared" si="1"/>
        <v>100</v>
      </c>
      <c r="C32" s="6">
        <f t="shared" si="2"/>
        <v>85.9</v>
      </c>
      <c r="D32" s="6">
        <f t="shared" si="3"/>
        <v>14.635524</v>
      </c>
    </row>
    <row r="33">
      <c r="A33" s="4" t="s">
        <v>8704</v>
      </c>
      <c r="B33" s="10">
        <f t="shared" si="1"/>
        <v>0</v>
      </c>
      <c r="C33" s="6">
        <f t="shared" si="2"/>
        <v>86.2</v>
      </c>
      <c r="D33" s="6">
        <f t="shared" si="3"/>
        <v>14.681935</v>
      </c>
    </row>
    <row r="34">
      <c r="A34" s="4" t="s">
        <v>8705</v>
      </c>
      <c r="B34" s="10">
        <f t="shared" si="1"/>
        <v>0</v>
      </c>
      <c r="C34" s="6">
        <f t="shared" si="2"/>
        <v>86.3</v>
      </c>
      <c r="D34" s="6">
        <f t="shared" si="3"/>
        <v>14.71159</v>
      </c>
    </row>
    <row r="35">
      <c r="A35" s="4" t="s">
        <v>8706</v>
      </c>
      <c r="B35" s="10">
        <f t="shared" si="1"/>
        <v>100</v>
      </c>
      <c r="C35" s="6">
        <f t="shared" si="2"/>
        <v>86.5</v>
      </c>
      <c r="D35" s="6">
        <f t="shared" si="3"/>
        <v>14.745583</v>
      </c>
    </row>
    <row r="36">
      <c r="A36" s="4" t="s">
        <v>8707</v>
      </c>
      <c r="B36" s="10">
        <f t="shared" si="1"/>
        <v>0</v>
      </c>
      <c r="C36" s="6">
        <f t="shared" si="2"/>
        <v>86.6</v>
      </c>
      <c r="D36" s="6">
        <f t="shared" si="3"/>
        <v>14.762008</v>
      </c>
    </row>
    <row r="37">
      <c r="A37" s="4" t="s">
        <v>8708</v>
      </c>
      <c r="B37" s="10">
        <f t="shared" si="1"/>
        <v>100</v>
      </c>
      <c r="C37" s="6">
        <f t="shared" si="2"/>
        <v>86.6</v>
      </c>
      <c r="D37" s="6">
        <f t="shared" si="3"/>
        <v>14.758715</v>
      </c>
    </row>
    <row r="38">
      <c r="A38" s="4"/>
      <c r="B38" s="10"/>
    </row>
    <row r="39">
      <c r="A39" s="4"/>
      <c r="B39" s="10"/>
    </row>
    <row r="40">
      <c r="A40" s="4"/>
      <c r="B40" s="10"/>
    </row>
    <row r="41">
      <c r="A41" s="4"/>
      <c r="B41" s="10"/>
    </row>
    <row r="42">
      <c r="A42" s="4"/>
      <c r="B42" s="10"/>
    </row>
    <row r="43">
      <c r="A43" s="4"/>
      <c r="B43" s="10"/>
    </row>
    <row r="44">
      <c r="A44" s="4"/>
      <c r="B44" s="10"/>
    </row>
    <row r="45">
      <c r="A45" s="4"/>
      <c r="B45" s="10"/>
    </row>
    <row r="46">
      <c r="A46" s="4"/>
      <c r="B46" s="10"/>
    </row>
    <row r="47">
      <c r="A47" s="4"/>
      <c r="B47" s="10"/>
    </row>
    <row r="48">
      <c r="A48" s="4"/>
      <c r="B48" s="10"/>
    </row>
    <row r="49">
      <c r="A49" s="4"/>
      <c r="B49" s="10"/>
    </row>
    <row r="50">
      <c r="A50" s="4"/>
      <c r="B50" s="10"/>
    </row>
    <row r="51">
      <c r="A51" s="4"/>
      <c r="B51" s="10"/>
    </row>
    <row r="52">
      <c r="A52" s="4"/>
      <c r="B52" s="10"/>
    </row>
    <row r="53">
      <c r="A53" s="4"/>
      <c r="B53" s="10"/>
    </row>
    <row r="54">
      <c r="A54" s="4"/>
      <c r="B54" s="10"/>
    </row>
    <row r="55">
      <c r="A55" s="4"/>
      <c r="B55" s="10"/>
    </row>
    <row r="56">
      <c r="A56" s="4"/>
      <c r="B56" s="10"/>
    </row>
    <row r="57">
      <c r="A57" s="4"/>
      <c r="B57" s="10"/>
    </row>
    <row r="58">
      <c r="A58" s="4"/>
      <c r="B58" s="10"/>
    </row>
    <row r="59">
      <c r="A59" s="4"/>
      <c r="B59" s="10"/>
    </row>
    <row r="60">
      <c r="A60" s="4"/>
      <c r="B60" s="10"/>
    </row>
    <row r="61">
      <c r="A61" s="4"/>
      <c r="B61" s="10"/>
    </row>
    <row r="62">
      <c r="A62" s="4"/>
      <c r="B62" s="10"/>
    </row>
    <row r="63">
      <c r="A63" s="4"/>
      <c r="B63" s="10"/>
    </row>
    <row r="64">
      <c r="A64" s="4"/>
      <c r="B64" s="10"/>
    </row>
    <row r="65">
      <c r="A65" s="4"/>
      <c r="B65" s="10"/>
    </row>
    <row r="66">
      <c r="A66" s="4"/>
      <c r="B66" s="10"/>
    </row>
    <row r="67">
      <c r="A67" s="4"/>
      <c r="B67" s="10"/>
    </row>
    <row r="68">
      <c r="A68" s="4"/>
      <c r="B68" s="10"/>
    </row>
    <row r="69">
      <c r="A69" s="4"/>
      <c r="B69" s="10"/>
    </row>
    <row r="70">
      <c r="A70" s="4"/>
      <c r="B70" s="10"/>
    </row>
    <row r="71">
      <c r="A71" s="4"/>
      <c r="B71" s="10"/>
    </row>
    <row r="72">
      <c r="A72" s="4"/>
      <c r="B72" s="10"/>
    </row>
    <row r="73">
      <c r="A73" s="4"/>
      <c r="B73" s="10"/>
    </row>
    <row r="74">
      <c r="A74" s="4"/>
      <c r="B74" s="10"/>
    </row>
    <row r="75">
      <c r="A75" s="4"/>
      <c r="B75" s="10"/>
    </row>
    <row r="76">
      <c r="A76" s="4"/>
      <c r="B76" s="10"/>
    </row>
    <row r="77">
      <c r="A77" s="4"/>
      <c r="B77" s="10"/>
    </row>
    <row r="78">
      <c r="A78" s="4"/>
      <c r="B78" s="10"/>
    </row>
    <row r="79">
      <c r="A79" s="4"/>
      <c r="B79" s="10"/>
    </row>
    <row r="80">
      <c r="A80" s="4"/>
      <c r="B80" s="10"/>
    </row>
    <row r="81">
      <c r="A81" s="4"/>
      <c r="B81" s="10"/>
    </row>
    <row r="82">
      <c r="A82" s="4"/>
      <c r="B82" s="10"/>
    </row>
    <row r="83">
      <c r="A83" s="4"/>
      <c r="B83" s="10"/>
    </row>
    <row r="84">
      <c r="A84" s="4"/>
      <c r="B84" s="10"/>
    </row>
    <row r="85">
      <c r="A85" s="4"/>
      <c r="B85" s="10"/>
    </row>
    <row r="86">
      <c r="A86" s="4"/>
      <c r="B86" s="10"/>
    </row>
    <row r="87">
      <c r="A87" s="4"/>
      <c r="B87" s="10"/>
    </row>
    <row r="88">
      <c r="A88" s="4"/>
      <c r="B88" s="10"/>
    </row>
    <row r="89">
      <c r="A89" s="4"/>
      <c r="B89" s="10"/>
    </row>
    <row r="90">
      <c r="A90" s="4"/>
      <c r="B90" s="10"/>
    </row>
    <row r="91">
      <c r="A91" s="4"/>
      <c r="B91" s="10"/>
    </row>
    <row r="92">
      <c r="A92" s="4"/>
      <c r="B92" s="10"/>
    </row>
    <row r="93">
      <c r="A93" s="4"/>
      <c r="B93" s="10"/>
    </row>
    <row r="94">
      <c r="A94" s="4"/>
      <c r="B94" s="10"/>
    </row>
    <row r="95">
      <c r="A95" s="4"/>
      <c r="B95" s="10"/>
    </row>
    <row r="96">
      <c r="A96" s="4"/>
      <c r="B96" s="10"/>
    </row>
    <row r="97">
      <c r="A97" s="4"/>
      <c r="B97" s="10"/>
    </row>
    <row r="98">
      <c r="A98" s="4"/>
      <c r="B98" s="10"/>
    </row>
    <row r="99">
      <c r="A99" s="4"/>
      <c r="B99" s="10"/>
    </row>
    <row r="100">
      <c r="A100" s="4"/>
      <c r="B100" s="10"/>
    </row>
    <row r="101">
      <c r="A101" s="4"/>
      <c r="B101" s="10"/>
    </row>
    <row r="102">
      <c r="A102" s="4"/>
      <c r="B102" s="10"/>
    </row>
    <row r="103">
      <c r="A103" s="4"/>
      <c r="B103" s="10"/>
    </row>
    <row r="104">
      <c r="A104" s="4"/>
      <c r="B104" s="10"/>
    </row>
    <row r="105">
      <c r="A105" s="4"/>
      <c r="B105" s="10"/>
    </row>
    <row r="106">
      <c r="A106" s="4"/>
      <c r="B106" s="10"/>
    </row>
    <row r="107">
      <c r="A107" s="4"/>
      <c r="B107" s="10"/>
    </row>
    <row r="108">
      <c r="A108" s="4"/>
      <c r="B108" s="10"/>
    </row>
    <row r="109">
      <c r="A109" s="4"/>
      <c r="B109" s="10"/>
    </row>
    <row r="110">
      <c r="A110" s="4"/>
      <c r="B110" s="10"/>
    </row>
    <row r="111">
      <c r="A111" s="4"/>
      <c r="B111" s="10"/>
    </row>
    <row r="112">
      <c r="A112" s="4"/>
      <c r="B112" s="10"/>
    </row>
    <row r="113">
      <c r="A113" s="4"/>
      <c r="B113" s="10"/>
    </row>
    <row r="114">
      <c r="A114" s="4"/>
      <c r="B114" s="10"/>
    </row>
    <row r="115">
      <c r="A115" s="4"/>
      <c r="B115" s="10"/>
    </row>
    <row r="116">
      <c r="A116" s="4"/>
      <c r="B116" s="10"/>
    </row>
    <row r="117">
      <c r="A117" s="4"/>
      <c r="B117" s="10"/>
    </row>
    <row r="118">
      <c r="A118" s="4"/>
      <c r="B118" s="10"/>
    </row>
    <row r="119">
      <c r="A119" s="4"/>
      <c r="B119" s="10"/>
    </row>
    <row r="120">
      <c r="A120" s="4"/>
      <c r="B120" s="10"/>
    </row>
    <row r="121">
      <c r="A121" s="4"/>
      <c r="B121" s="10"/>
    </row>
    <row r="122">
      <c r="A122" s="4"/>
      <c r="B122" s="10"/>
    </row>
    <row r="123">
      <c r="A123" s="4"/>
      <c r="B123" s="10"/>
    </row>
    <row r="124">
      <c r="A124" s="4"/>
      <c r="B124" s="10"/>
    </row>
    <row r="125">
      <c r="A125" s="4"/>
      <c r="B125" s="10"/>
    </row>
    <row r="126">
      <c r="A126" s="4"/>
      <c r="B126" s="10"/>
    </row>
    <row r="127">
      <c r="A127" s="4"/>
      <c r="B127" s="10"/>
    </row>
    <row r="128">
      <c r="A128" s="4"/>
      <c r="B128" s="10"/>
    </row>
    <row r="129">
      <c r="A129" s="4"/>
      <c r="B129" s="10"/>
    </row>
    <row r="130">
      <c r="A130" s="4"/>
      <c r="B130" s="10"/>
    </row>
    <row r="131">
      <c r="A131" s="4"/>
      <c r="B131" s="10"/>
    </row>
    <row r="132">
      <c r="A132" s="4"/>
      <c r="B132" s="10"/>
    </row>
    <row r="133">
      <c r="A133" s="4"/>
      <c r="B133" s="10"/>
    </row>
    <row r="134">
      <c r="A134" s="4"/>
      <c r="B134" s="10"/>
    </row>
    <row r="135">
      <c r="A135" s="4"/>
      <c r="B135" s="10"/>
    </row>
    <row r="136">
      <c r="A136" s="4"/>
      <c r="B136" s="10"/>
    </row>
    <row r="137">
      <c r="A137" s="4"/>
      <c r="B137" s="10"/>
    </row>
    <row r="138">
      <c r="A138" s="4"/>
      <c r="B138" s="10"/>
    </row>
    <row r="139">
      <c r="A139" s="4"/>
      <c r="B139" s="10"/>
    </row>
    <row r="140">
      <c r="A140" s="4"/>
      <c r="B140" s="10"/>
    </row>
    <row r="141">
      <c r="A141" s="4"/>
      <c r="B141" s="10"/>
    </row>
    <row r="142">
      <c r="A142" s="4"/>
      <c r="B142" s="10"/>
    </row>
    <row r="143">
      <c r="A143" s="4"/>
      <c r="B143" s="10"/>
    </row>
    <row r="144">
      <c r="A144" s="4"/>
      <c r="B144" s="10"/>
    </row>
    <row r="145">
      <c r="A145" s="4"/>
      <c r="B145" s="10"/>
    </row>
    <row r="146">
      <c r="A146" s="4"/>
      <c r="B146" s="10"/>
    </row>
    <row r="147">
      <c r="A147" s="4"/>
      <c r="B147" s="10"/>
    </row>
    <row r="148">
      <c r="A148" s="4"/>
      <c r="B148" s="10"/>
    </row>
    <row r="149">
      <c r="A149" s="4"/>
      <c r="B149" s="10"/>
    </row>
    <row r="150">
      <c r="A150" s="4"/>
      <c r="B150" s="10"/>
    </row>
    <row r="151">
      <c r="A151" s="4"/>
      <c r="B151" s="10"/>
    </row>
    <row r="152">
      <c r="A152" s="4"/>
      <c r="B152" s="10"/>
    </row>
    <row r="153">
      <c r="A153" s="4"/>
      <c r="B153" s="10"/>
    </row>
    <row r="154">
      <c r="A154" s="4"/>
      <c r="B154" s="10"/>
    </row>
    <row r="155">
      <c r="A155" s="4"/>
      <c r="B155" s="10"/>
    </row>
    <row r="156">
      <c r="A156" s="4"/>
      <c r="B156" s="10"/>
    </row>
    <row r="157">
      <c r="A157" s="4"/>
      <c r="B157" s="10"/>
    </row>
    <row r="158">
      <c r="A158" s="4"/>
      <c r="B158" s="10"/>
    </row>
    <row r="159">
      <c r="A159" s="4"/>
      <c r="B159" s="10"/>
    </row>
    <row r="160">
      <c r="A160" s="4"/>
      <c r="B160" s="10"/>
    </row>
    <row r="161">
      <c r="A161" s="4"/>
      <c r="B161" s="10"/>
    </row>
    <row r="162">
      <c r="A162" s="4"/>
      <c r="B162" s="10"/>
    </row>
    <row r="163">
      <c r="A163" s="4"/>
      <c r="B163" s="10"/>
    </row>
    <row r="164">
      <c r="A164" s="4"/>
      <c r="B164" s="10"/>
    </row>
    <row r="165">
      <c r="A165" s="4"/>
      <c r="B165" s="10"/>
    </row>
    <row r="166">
      <c r="A166" s="4"/>
      <c r="B166" s="10"/>
    </row>
    <row r="167">
      <c r="A167" s="4"/>
      <c r="B167" s="10"/>
    </row>
    <row r="168">
      <c r="A168" s="4"/>
      <c r="B168" s="10"/>
    </row>
    <row r="169">
      <c r="A169" s="4"/>
      <c r="B169" s="10"/>
    </row>
    <row r="170">
      <c r="A170" s="4"/>
      <c r="B170" s="10"/>
    </row>
    <row r="171">
      <c r="A171" s="4"/>
      <c r="B171" s="10"/>
    </row>
    <row r="172">
      <c r="A172" s="4"/>
      <c r="B172" s="10"/>
    </row>
    <row r="173">
      <c r="A173" s="4"/>
      <c r="B173" s="10"/>
    </row>
    <row r="174">
      <c r="A174" s="4"/>
      <c r="B174" s="10"/>
    </row>
    <row r="175">
      <c r="A175" s="4"/>
      <c r="B175" s="10"/>
    </row>
    <row r="176">
      <c r="A176" s="4"/>
      <c r="B176" s="10"/>
    </row>
    <row r="177">
      <c r="A177" s="4"/>
      <c r="B177" s="10"/>
    </row>
    <row r="178">
      <c r="A178" s="4"/>
      <c r="B178" s="10"/>
    </row>
    <row r="179">
      <c r="A179" s="4"/>
      <c r="B179" s="10"/>
    </row>
    <row r="180">
      <c r="A180" s="4"/>
      <c r="B180" s="10"/>
    </row>
    <row r="181">
      <c r="A181" s="4"/>
      <c r="B181" s="10"/>
    </row>
    <row r="182">
      <c r="A182" s="4"/>
      <c r="B182" s="10"/>
    </row>
    <row r="183">
      <c r="A183" s="4"/>
      <c r="B183" s="10"/>
    </row>
    <row r="184">
      <c r="A184" s="4"/>
      <c r="B184" s="10"/>
    </row>
    <row r="185">
      <c r="A185" s="4"/>
      <c r="B185" s="10"/>
    </row>
    <row r="186">
      <c r="A186" s="4"/>
      <c r="B186" s="10"/>
    </row>
    <row r="187">
      <c r="A187" s="4"/>
      <c r="B187" s="10"/>
    </row>
    <row r="188">
      <c r="A188" s="4"/>
      <c r="B188" s="10"/>
    </row>
    <row r="189">
      <c r="A189" s="4"/>
      <c r="B189" s="10"/>
    </row>
    <row r="190">
      <c r="A190" s="4"/>
      <c r="B190" s="10"/>
    </row>
    <row r="191">
      <c r="A191" s="4"/>
      <c r="B191" s="10"/>
    </row>
    <row r="192">
      <c r="A192" s="4"/>
      <c r="B192" s="10"/>
    </row>
    <row r="193">
      <c r="A193" s="4"/>
      <c r="B193" s="10"/>
    </row>
    <row r="194">
      <c r="A194" s="4"/>
      <c r="B194" s="10"/>
    </row>
    <row r="195">
      <c r="A195" s="4"/>
      <c r="B195" s="10"/>
    </row>
    <row r="196">
      <c r="A196" s="4"/>
      <c r="B196" s="10"/>
    </row>
    <row r="197">
      <c r="A197" s="4"/>
      <c r="B197" s="10"/>
    </row>
    <row r="198">
      <c r="A198" s="4"/>
      <c r="B198" s="10"/>
    </row>
    <row r="199">
      <c r="A199" s="4"/>
      <c r="B199" s="10"/>
    </row>
    <row r="200">
      <c r="A200" s="4"/>
      <c r="B200" s="10"/>
    </row>
    <row r="201">
      <c r="A201" s="4"/>
      <c r="B201" s="10"/>
    </row>
    <row r="202">
      <c r="A202" s="4"/>
      <c r="B202" s="10"/>
    </row>
    <row r="203">
      <c r="A203" s="4"/>
      <c r="B203" s="10"/>
    </row>
    <row r="204">
      <c r="A204" s="4"/>
      <c r="B204" s="10"/>
    </row>
    <row r="205">
      <c r="A205" s="4"/>
      <c r="B205" s="10"/>
    </row>
    <row r="206">
      <c r="A206" s="4"/>
      <c r="B206" s="10"/>
    </row>
    <row r="207">
      <c r="A207" s="4"/>
      <c r="B207" s="10"/>
    </row>
    <row r="208">
      <c r="A208" s="4"/>
      <c r="B208" s="10"/>
    </row>
    <row r="209">
      <c r="A209" s="4"/>
      <c r="B209" s="10"/>
    </row>
    <row r="210">
      <c r="A210" s="4"/>
      <c r="B210" s="10"/>
    </row>
    <row r="211">
      <c r="A211" s="4"/>
      <c r="B211" s="10"/>
    </row>
    <row r="212">
      <c r="A212" s="4"/>
      <c r="B212" s="10"/>
    </row>
    <row r="213">
      <c r="A213" s="4"/>
      <c r="B213" s="10"/>
    </row>
    <row r="214">
      <c r="A214" s="4"/>
      <c r="B214" s="10"/>
    </row>
    <row r="215">
      <c r="A215" s="4"/>
      <c r="B215" s="10"/>
    </row>
    <row r="216">
      <c r="A216" s="4"/>
      <c r="B216" s="10"/>
    </row>
    <row r="217">
      <c r="A217" s="4"/>
      <c r="B217" s="10"/>
    </row>
    <row r="218">
      <c r="A218" s="4"/>
      <c r="B218" s="10"/>
    </row>
    <row r="219">
      <c r="A219" s="4"/>
      <c r="B219" s="10"/>
    </row>
    <row r="220">
      <c r="A220" s="4"/>
      <c r="B220" s="10"/>
    </row>
    <row r="221">
      <c r="A221" s="4"/>
      <c r="B221" s="10"/>
    </row>
    <row r="222">
      <c r="A222" s="4"/>
      <c r="B222" s="10"/>
    </row>
    <row r="223">
      <c r="A223" s="4"/>
      <c r="B223" s="10"/>
    </row>
    <row r="224">
      <c r="A224" s="4"/>
      <c r="B224" s="10"/>
    </row>
    <row r="225">
      <c r="A225" s="4"/>
      <c r="B225" s="10"/>
    </row>
    <row r="226">
      <c r="A226" s="4"/>
      <c r="B226" s="10"/>
    </row>
    <row r="227">
      <c r="A227" s="4"/>
      <c r="B227" s="10"/>
    </row>
    <row r="228">
      <c r="A228" s="4"/>
      <c r="B228" s="10"/>
    </row>
    <row r="229">
      <c r="A229" s="4"/>
      <c r="B229" s="10"/>
    </row>
    <row r="230">
      <c r="A230" s="4"/>
      <c r="B230" s="10"/>
    </row>
    <row r="231">
      <c r="A231" s="4"/>
      <c r="B231" s="10"/>
    </row>
    <row r="232">
      <c r="A232" s="4"/>
      <c r="B232" s="10"/>
    </row>
    <row r="233">
      <c r="A233" s="4"/>
      <c r="B233" s="10"/>
    </row>
    <row r="234">
      <c r="A234" s="4"/>
      <c r="B234" s="10"/>
    </row>
    <row r="235">
      <c r="A235" s="4"/>
      <c r="B235" s="10"/>
    </row>
    <row r="236">
      <c r="A236" s="4"/>
      <c r="B236" s="10"/>
    </row>
    <row r="237">
      <c r="A237" s="4"/>
      <c r="B237" s="10"/>
    </row>
    <row r="238">
      <c r="A238" s="4"/>
      <c r="B238" s="10"/>
    </row>
    <row r="239">
      <c r="A239" s="4"/>
      <c r="B239" s="10"/>
    </row>
    <row r="240">
      <c r="A240" s="4"/>
      <c r="B240" s="10"/>
    </row>
    <row r="241">
      <c r="A241" s="4"/>
      <c r="B241" s="10"/>
    </row>
    <row r="242">
      <c r="A242" s="4"/>
      <c r="B242" s="10"/>
    </row>
    <row r="243">
      <c r="A243" s="4"/>
      <c r="B243" s="10"/>
    </row>
    <row r="244">
      <c r="A244" s="4"/>
      <c r="B244" s="10"/>
    </row>
    <row r="245">
      <c r="A245" s="4"/>
      <c r="B245" s="10"/>
    </row>
    <row r="246">
      <c r="A246" s="4"/>
      <c r="B246" s="10"/>
    </row>
    <row r="247">
      <c r="A247" s="4"/>
      <c r="B247" s="10"/>
    </row>
    <row r="248">
      <c r="A248" s="4"/>
      <c r="B248" s="10"/>
    </row>
    <row r="249">
      <c r="A249" s="4"/>
      <c r="B249" s="10"/>
    </row>
    <row r="250">
      <c r="A250" s="4"/>
      <c r="B250" s="10"/>
    </row>
    <row r="251">
      <c r="A251" s="4"/>
      <c r="B251" s="10"/>
    </row>
    <row r="252">
      <c r="A252" s="4"/>
      <c r="B252" s="10"/>
    </row>
    <row r="253">
      <c r="A253" s="4"/>
      <c r="B253" s="10"/>
    </row>
    <row r="254">
      <c r="A254" s="4"/>
      <c r="B254" s="10"/>
    </row>
    <row r="255">
      <c r="A255" s="4"/>
      <c r="B255" s="10"/>
    </row>
    <row r="256">
      <c r="A256" s="4"/>
      <c r="B256" s="10"/>
    </row>
    <row r="257">
      <c r="A257" s="4"/>
      <c r="B257" s="10"/>
    </row>
    <row r="258">
      <c r="A258" s="4"/>
      <c r="B258" s="10"/>
    </row>
    <row r="259">
      <c r="A259" s="4"/>
      <c r="B259" s="10"/>
    </row>
    <row r="260">
      <c r="A260" s="4"/>
      <c r="B260" s="10"/>
    </row>
    <row r="261">
      <c r="A261" s="4"/>
      <c r="B261" s="10"/>
    </row>
    <row r="262">
      <c r="A262" s="4"/>
      <c r="B262" s="10"/>
    </row>
    <row r="263">
      <c r="A263" s="4"/>
      <c r="B263" s="10"/>
    </row>
    <row r="264">
      <c r="A264" s="4"/>
      <c r="B264" s="10"/>
    </row>
    <row r="265">
      <c r="A265" s="4"/>
      <c r="B265" s="10"/>
    </row>
    <row r="266">
      <c r="A266" s="4"/>
      <c r="B266" s="10"/>
    </row>
    <row r="267">
      <c r="A267" s="4"/>
      <c r="B267" s="10"/>
    </row>
    <row r="268">
      <c r="A268" s="4"/>
      <c r="B268" s="10"/>
    </row>
    <row r="269">
      <c r="A269" s="4"/>
      <c r="B269" s="10"/>
    </row>
    <row r="270">
      <c r="A270" s="4"/>
      <c r="B270" s="10"/>
    </row>
    <row r="271">
      <c r="A271" s="4"/>
      <c r="B271" s="10"/>
    </row>
    <row r="272">
      <c r="A272" s="4"/>
      <c r="B272" s="10"/>
    </row>
    <row r="273">
      <c r="A273" s="4"/>
      <c r="B273" s="10"/>
    </row>
    <row r="274">
      <c r="A274" s="4"/>
      <c r="B274" s="10"/>
    </row>
    <row r="275">
      <c r="A275" s="4"/>
      <c r="B275" s="10"/>
    </row>
    <row r="276">
      <c r="A276" s="4"/>
      <c r="B276" s="10"/>
    </row>
    <row r="277">
      <c r="A277" s="4"/>
      <c r="B277" s="10"/>
    </row>
    <row r="278">
      <c r="A278" s="4"/>
      <c r="B278" s="10"/>
    </row>
    <row r="279">
      <c r="A279" s="4"/>
      <c r="B279" s="10"/>
    </row>
    <row r="280">
      <c r="A280" s="4"/>
      <c r="B280" s="10"/>
    </row>
    <row r="281">
      <c r="A281" s="4"/>
      <c r="B281" s="10"/>
    </row>
    <row r="282">
      <c r="A282" s="4"/>
      <c r="B282" s="10"/>
    </row>
    <row r="283">
      <c r="A283" s="4"/>
      <c r="B283" s="10"/>
    </row>
    <row r="284">
      <c r="A284" s="4"/>
      <c r="B284" s="10"/>
    </row>
    <row r="285">
      <c r="A285" s="4"/>
      <c r="B285" s="10"/>
    </row>
    <row r="286">
      <c r="A286" s="4"/>
      <c r="B286" s="10"/>
    </row>
    <row r="287">
      <c r="A287" s="4"/>
      <c r="B287" s="10"/>
    </row>
    <row r="288">
      <c r="A288" s="4"/>
      <c r="B288" s="10"/>
    </row>
    <row r="289">
      <c r="A289" s="4"/>
      <c r="B289" s="10"/>
    </row>
    <row r="290">
      <c r="A290" s="4"/>
      <c r="B290" s="10"/>
    </row>
    <row r="291">
      <c r="A291" s="4"/>
      <c r="B291" s="10"/>
    </row>
    <row r="292">
      <c r="A292" s="4"/>
      <c r="B292" s="10"/>
    </row>
    <row r="293">
      <c r="A293" s="4"/>
      <c r="B293" s="10"/>
    </row>
    <row r="294">
      <c r="A294" s="4"/>
      <c r="B294" s="10"/>
    </row>
    <row r="295">
      <c r="A295" s="4"/>
      <c r="B295" s="10"/>
    </row>
    <row r="296">
      <c r="A296" s="4"/>
      <c r="B296" s="10"/>
    </row>
    <row r="297">
      <c r="A297" s="4"/>
      <c r="B297" s="10"/>
    </row>
    <row r="298">
      <c r="A298" s="4"/>
      <c r="B298" s="10"/>
    </row>
    <row r="299">
      <c r="A299" s="4"/>
      <c r="B299" s="10"/>
    </row>
    <row r="300">
      <c r="A300" s="4"/>
      <c r="B300" s="10"/>
    </row>
    <row r="301">
      <c r="A301" s="4"/>
      <c r="B301" s="10"/>
    </row>
    <row r="302">
      <c r="A302" s="4"/>
      <c r="B302" s="10"/>
    </row>
    <row r="303">
      <c r="A303" s="4"/>
      <c r="B303" s="10"/>
    </row>
    <row r="304">
      <c r="A304" s="4"/>
      <c r="B304" s="10"/>
    </row>
    <row r="305">
      <c r="A305" s="4"/>
      <c r="B305" s="10"/>
    </row>
    <row r="306">
      <c r="A306" s="4"/>
      <c r="B306" s="10"/>
    </row>
    <row r="307">
      <c r="A307" s="4"/>
      <c r="B307" s="10"/>
    </row>
    <row r="308">
      <c r="A308" s="4"/>
      <c r="B308" s="10"/>
    </row>
    <row r="309">
      <c r="A309" s="4"/>
      <c r="B309" s="10"/>
    </row>
    <row r="310">
      <c r="A310" s="4"/>
      <c r="B310" s="10"/>
    </row>
    <row r="311">
      <c r="A311" s="4"/>
      <c r="B311" s="10"/>
    </row>
    <row r="312">
      <c r="A312" s="4"/>
      <c r="B312" s="10"/>
    </row>
    <row r="313">
      <c r="A313" s="4"/>
      <c r="B313" s="10"/>
    </row>
    <row r="314">
      <c r="A314" s="4"/>
      <c r="B314" s="10"/>
    </row>
    <row r="315">
      <c r="A315" s="4"/>
      <c r="B315" s="10"/>
    </row>
    <row r="316">
      <c r="A316" s="4"/>
      <c r="B316" s="10"/>
    </row>
    <row r="317">
      <c r="A317" s="4"/>
      <c r="B317" s="10"/>
    </row>
    <row r="318">
      <c r="A318" s="4"/>
      <c r="B318" s="10"/>
    </row>
    <row r="319">
      <c r="A319" s="4"/>
      <c r="B319" s="10"/>
    </row>
    <row r="320">
      <c r="A320" s="4"/>
      <c r="B320" s="10"/>
    </row>
    <row r="321">
      <c r="A321" s="4"/>
      <c r="B321" s="10"/>
    </row>
    <row r="322">
      <c r="A322" s="4"/>
      <c r="B322" s="10"/>
    </row>
    <row r="323">
      <c r="A323" s="4"/>
      <c r="B323" s="10"/>
    </row>
    <row r="324">
      <c r="A324" s="4"/>
      <c r="B324" s="10"/>
    </row>
    <row r="325">
      <c r="A325" s="4"/>
      <c r="B325" s="10"/>
    </row>
    <row r="326">
      <c r="A326" s="4"/>
      <c r="B326" s="10"/>
    </row>
    <row r="327">
      <c r="A327" s="4"/>
      <c r="B327" s="10"/>
    </row>
    <row r="328">
      <c r="A328" s="4"/>
      <c r="B328" s="10"/>
    </row>
    <row r="329">
      <c r="A329" s="4"/>
      <c r="B329" s="10"/>
    </row>
    <row r="330">
      <c r="A330" s="4"/>
      <c r="B330" s="10"/>
    </row>
    <row r="331">
      <c r="A331" s="4"/>
      <c r="B331" s="10"/>
    </row>
    <row r="332">
      <c r="A332" s="4"/>
      <c r="B332" s="10"/>
    </row>
    <row r="333">
      <c r="A333" s="4"/>
      <c r="B333" s="10"/>
    </row>
    <row r="334">
      <c r="A334" s="4"/>
      <c r="B334" s="10"/>
    </row>
    <row r="335">
      <c r="A335" s="4"/>
      <c r="B335" s="10"/>
    </row>
    <row r="336">
      <c r="A336" s="4"/>
      <c r="B336" s="10"/>
    </row>
    <row r="337">
      <c r="A337" s="4"/>
      <c r="B337" s="10"/>
    </row>
    <row r="338">
      <c r="A338" s="4"/>
      <c r="B338" s="10"/>
    </row>
    <row r="339">
      <c r="A339" s="4"/>
      <c r="B339" s="10"/>
    </row>
    <row r="340">
      <c r="A340" s="4"/>
      <c r="B340" s="10"/>
    </row>
    <row r="341">
      <c r="A341" s="4"/>
      <c r="B341" s="10"/>
    </row>
    <row r="342">
      <c r="A342" s="4"/>
      <c r="B342" s="10"/>
    </row>
    <row r="343">
      <c r="A343" s="4"/>
      <c r="B343" s="10"/>
    </row>
    <row r="344">
      <c r="A344" s="4"/>
      <c r="B344" s="10"/>
    </row>
    <row r="345">
      <c r="A345" s="4"/>
      <c r="B345" s="10"/>
    </row>
    <row r="346">
      <c r="A346" s="4"/>
      <c r="B346" s="10"/>
    </row>
    <row r="347">
      <c r="A347" s="4"/>
      <c r="B347" s="10"/>
    </row>
    <row r="348">
      <c r="A348" s="4"/>
      <c r="B348" s="10"/>
    </row>
    <row r="349">
      <c r="A349" s="4"/>
      <c r="B349" s="10"/>
    </row>
    <row r="350">
      <c r="A350" s="4"/>
      <c r="B350" s="10"/>
    </row>
    <row r="351">
      <c r="A351" s="4"/>
      <c r="B351" s="10"/>
    </row>
    <row r="352">
      <c r="A352" s="4"/>
      <c r="B352" s="10"/>
    </row>
    <row r="353">
      <c r="A353" s="4"/>
      <c r="B353" s="10"/>
    </row>
    <row r="354">
      <c r="A354" s="4"/>
      <c r="B354" s="10"/>
    </row>
    <row r="355">
      <c r="A355" s="4"/>
      <c r="B355" s="10"/>
    </row>
    <row r="356">
      <c r="A356" s="4"/>
      <c r="B356" s="10"/>
    </row>
    <row r="357">
      <c r="A357" s="4"/>
      <c r="B357" s="10"/>
    </row>
    <row r="358">
      <c r="A358" s="4"/>
      <c r="B358" s="10"/>
    </row>
    <row r="359">
      <c r="A359" s="4"/>
      <c r="B359" s="10"/>
    </row>
    <row r="360">
      <c r="A360" s="4"/>
      <c r="B360" s="10"/>
    </row>
    <row r="361">
      <c r="A361" s="4"/>
      <c r="B361" s="10"/>
    </row>
    <row r="362">
      <c r="A362" s="4"/>
      <c r="B362" s="10"/>
    </row>
    <row r="363">
      <c r="A363" s="4"/>
      <c r="B363" s="10"/>
    </row>
    <row r="364">
      <c r="A364" s="4"/>
      <c r="B364" s="10"/>
    </row>
    <row r="365">
      <c r="A365" s="4"/>
      <c r="B365" s="10"/>
    </row>
    <row r="366">
      <c r="A366" s="4"/>
      <c r="B366" s="10"/>
    </row>
    <row r="367">
      <c r="A367" s="4"/>
      <c r="B367" s="10"/>
    </row>
    <row r="368">
      <c r="A368" s="4"/>
      <c r="B368" s="10"/>
    </row>
    <row r="369">
      <c r="A369" s="4"/>
      <c r="B369" s="10"/>
    </row>
    <row r="370">
      <c r="A370" s="4"/>
      <c r="B370" s="10"/>
    </row>
    <row r="371">
      <c r="A371" s="4"/>
      <c r="B371" s="10"/>
    </row>
    <row r="372">
      <c r="A372" s="4"/>
      <c r="B372" s="10"/>
    </row>
    <row r="373">
      <c r="A373" s="4"/>
      <c r="B373" s="10"/>
    </row>
    <row r="374">
      <c r="A374" s="4"/>
      <c r="B374" s="10"/>
    </row>
    <row r="375">
      <c r="A375" s="4"/>
      <c r="B375" s="10"/>
    </row>
    <row r="376">
      <c r="A376" s="4"/>
      <c r="B376" s="10"/>
    </row>
    <row r="377">
      <c r="A377" s="4"/>
      <c r="B377" s="10"/>
    </row>
    <row r="378">
      <c r="A378" s="4"/>
      <c r="B378" s="10"/>
    </row>
    <row r="379">
      <c r="A379" s="4"/>
      <c r="B379" s="10"/>
    </row>
    <row r="380">
      <c r="A380" s="4"/>
      <c r="B380" s="10"/>
    </row>
    <row r="381">
      <c r="A381" s="4"/>
      <c r="B381" s="10"/>
    </row>
    <row r="382">
      <c r="A382" s="4"/>
      <c r="B382" s="10"/>
    </row>
    <row r="383">
      <c r="A383" s="4"/>
      <c r="B383" s="10"/>
    </row>
    <row r="384">
      <c r="A384" s="4"/>
      <c r="B384" s="10"/>
    </row>
    <row r="385">
      <c r="A385" s="4"/>
      <c r="B385" s="10"/>
    </row>
    <row r="386">
      <c r="A386" s="4"/>
      <c r="B386" s="10"/>
    </row>
    <row r="387">
      <c r="A387" s="4"/>
      <c r="B387" s="10"/>
    </row>
    <row r="388">
      <c r="A388" s="4"/>
      <c r="B388" s="10"/>
    </row>
    <row r="389">
      <c r="A389" s="4"/>
      <c r="B389" s="10"/>
    </row>
    <row r="390">
      <c r="A390" s="4"/>
      <c r="B390" s="10"/>
    </row>
    <row r="391">
      <c r="A391" s="4"/>
      <c r="B391" s="10"/>
    </row>
    <row r="392">
      <c r="A392" s="4"/>
      <c r="B392" s="10"/>
    </row>
    <row r="393">
      <c r="A393" s="4"/>
      <c r="B393" s="10"/>
    </row>
    <row r="394">
      <c r="A394" s="4"/>
      <c r="B394" s="10"/>
    </row>
    <row r="395">
      <c r="A395" s="4"/>
      <c r="B395" s="10"/>
    </row>
    <row r="396">
      <c r="A396" s="4"/>
      <c r="B396" s="10"/>
    </row>
    <row r="397">
      <c r="A397" s="4"/>
      <c r="B397" s="10"/>
    </row>
    <row r="398">
      <c r="A398" s="4"/>
      <c r="B398" s="10"/>
    </row>
    <row r="399">
      <c r="A399" s="4"/>
      <c r="B399" s="10"/>
    </row>
    <row r="400">
      <c r="A400" s="4"/>
      <c r="B400" s="10"/>
    </row>
    <row r="401">
      <c r="A401" s="4"/>
      <c r="B401" s="10"/>
    </row>
    <row r="402">
      <c r="A402" s="4"/>
      <c r="B402" s="10"/>
    </row>
    <row r="403">
      <c r="A403" s="4"/>
      <c r="B403" s="10"/>
    </row>
    <row r="404">
      <c r="A404" s="4"/>
      <c r="B404" s="10"/>
    </row>
    <row r="405">
      <c r="A405" s="4"/>
      <c r="B405" s="10"/>
    </row>
    <row r="406">
      <c r="A406" s="4"/>
      <c r="B406" s="10"/>
    </row>
    <row r="407">
      <c r="A407" s="4"/>
      <c r="B407" s="10"/>
    </row>
    <row r="408">
      <c r="A408" s="4"/>
      <c r="B408" s="10"/>
    </row>
    <row r="409">
      <c r="A409" s="4"/>
      <c r="B409" s="10"/>
    </row>
    <row r="410">
      <c r="A410" s="4"/>
      <c r="B410" s="10"/>
    </row>
    <row r="411">
      <c r="A411" s="4"/>
      <c r="B411" s="10"/>
    </row>
    <row r="412">
      <c r="A412" s="4"/>
      <c r="B412" s="10"/>
    </row>
    <row r="413">
      <c r="A413" s="4"/>
      <c r="B413" s="10"/>
    </row>
    <row r="414">
      <c r="A414" s="4"/>
      <c r="B414" s="10"/>
    </row>
    <row r="415">
      <c r="A415" s="4"/>
      <c r="B415" s="10"/>
    </row>
    <row r="416">
      <c r="A416" s="4"/>
      <c r="B416" s="10"/>
    </row>
    <row r="417">
      <c r="A417" s="4"/>
      <c r="B417" s="10"/>
    </row>
    <row r="418">
      <c r="A418" s="4"/>
      <c r="B418" s="10"/>
    </row>
    <row r="419">
      <c r="A419" s="4"/>
      <c r="B419" s="10"/>
    </row>
    <row r="420">
      <c r="A420" s="4"/>
      <c r="B420" s="10"/>
    </row>
    <row r="421">
      <c r="A421" s="4"/>
      <c r="B421" s="10"/>
    </row>
    <row r="422">
      <c r="A422" s="4"/>
      <c r="B422" s="10"/>
    </row>
    <row r="423">
      <c r="A423" s="4"/>
      <c r="B423" s="10"/>
    </row>
    <row r="424">
      <c r="A424" s="4"/>
      <c r="B424" s="10"/>
    </row>
    <row r="425">
      <c r="A425" s="4"/>
      <c r="B425" s="10"/>
    </row>
    <row r="426">
      <c r="A426" s="4"/>
      <c r="B426" s="10"/>
    </row>
    <row r="427">
      <c r="A427" s="4"/>
      <c r="B427" s="10"/>
    </row>
    <row r="428">
      <c r="A428" s="4"/>
      <c r="B428" s="10"/>
    </row>
    <row r="429">
      <c r="A429" s="4"/>
      <c r="B429" s="10"/>
    </row>
    <row r="430">
      <c r="A430" s="4"/>
      <c r="B430" s="10"/>
    </row>
    <row r="431">
      <c r="A431" s="4"/>
      <c r="B431" s="10"/>
    </row>
    <row r="432">
      <c r="A432" s="4"/>
      <c r="B432" s="10"/>
    </row>
    <row r="433">
      <c r="A433" s="4"/>
      <c r="B433" s="10"/>
    </row>
    <row r="434">
      <c r="A434" s="4"/>
      <c r="B434" s="10"/>
    </row>
    <row r="435">
      <c r="A435" s="4"/>
      <c r="B435" s="10"/>
    </row>
    <row r="436">
      <c r="A436" s="4"/>
      <c r="B436" s="10"/>
    </row>
    <row r="437">
      <c r="A437" s="4"/>
      <c r="B437" s="10"/>
    </row>
    <row r="438">
      <c r="A438" s="4"/>
      <c r="B438" s="10"/>
    </row>
    <row r="439">
      <c r="A439" s="4"/>
      <c r="B439" s="10"/>
    </row>
    <row r="440">
      <c r="A440" s="4"/>
      <c r="B440" s="10"/>
    </row>
    <row r="441">
      <c r="A441" s="4"/>
      <c r="B441" s="10"/>
    </row>
    <row r="442">
      <c r="A442" s="4"/>
      <c r="B442" s="10"/>
    </row>
    <row r="443">
      <c r="A443" s="4"/>
      <c r="B443" s="10"/>
    </row>
    <row r="444">
      <c r="A444" s="4"/>
      <c r="B444" s="10"/>
    </row>
    <row r="445">
      <c r="A445" s="4"/>
      <c r="B445" s="10"/>
    </row>
    <row r="446">
      <c r="A446" s="4"/>
      <c r="B446" s="10"/>
    </row>
    <row r="447">
      <c r="A447" s="4"/>
      <c r="B447" s="10"/>
    </row>
    <row r="448">
      <c r="A448" s="4"/>
      <c r="B448" s="10"/>
    </row>
    <row r="449">
      <c r="A449" s="4"/>
      <c r="B449" s="10"/>
    </row>
    <row r="450">
      <c r="A450" s="4"/>
      <c r="B450" s="10"/>
    </row>
    <row r="451">
      <c r="A451" s="4"/>
      <c r="B451" s="10"/>
    </row>
    <row r="452">
      <c r="A452" s="4"/>
      <c r="B452" s="10"/>
    </row>
    <row r="453">
      <c r="A453" s="4"/>
      <c r="B453" s="10"/>
    </row>
    <row r="454">
      <c r="A454" s="4"/>
      <c r="B454" s="10"/>
    </row>
    <row r="455">
      <c r="A455" s="4"/>
      <c r="B455" s="10"/>
    </row>
    <row r="456">
      <c r="A456" s="4"/>
      <c r="B456" s="10"/>
    </row>
    <row r="457">
      <c r="A457" s="4"/>
      <c r="B457" s="10"/>
    </row>
    <row r="458">
      <c r="A458" s="4"/>
      <c r="B458" s="10"/>
    </row>
    <row r="459">
      <c r="A459" s="4"/>
      <c r="B459" s="10"/>
    </row>
    <row r="460">
      <c r="A460" s="4"/>
      <c r="B460" s="10"/>
    </row>
    <row r="461">
      <c r="A461" s="4"/>
      <c r="B461" s="10"/>
    </row>
    <row r="462">
      <c r="A462" s="4"/>
      <c r="B462" s="10"/>
    </row>
    <row r="463">
      <c r="A463" s="4"/>
      <c r="B463" s="10"/>
    </row>
    <row r="464">
      <c r="A464" s="4"/>
      <c r="B464" s="10"/>
    </row>
    <row r="465">
      <c r="A465" s="4"/>
      <c r="B465" s="10"/>
    </row>
    <row r="466">
      <c r="A466" s="4"/>
      <c r="B466" s="10"/>
    </row>
    <row r="467">
      <c r="A467" s="4"/>
      <c r="B467" s="10"/>
    </row>
    <row r="468">
      <c r="A468" s="4"/>
      <c r="B468" s="10"/>
    </row>
    <row r="469">
      <c r="A469" s="4"/>
      <c r="B469" s="10"/>
    </row>
  </sheetData>
  <mergeCells count="3">
    <mergeCell ref="F1:G1"/>
    <mergeCell ref="I1:J1"/>
    <mergeCell ref="L1:M1"/>
  </mergeCells>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2169</v>
      </c>
    </row>
    <row r="3">
      <c r="A3" s="4" t="s">
        <v>2165</v>
      </c>
    </row>
    <row r="4">
      <c r="A4" s="4" t="s">
        <v>2167</v>
      </c>
    </row>
    <row r="5">
      <c r="A5" s="4" t="s">
        <v>2167</v>
      </c>
    </row>
    <row r="6">
      <c r="A6" s="4" t="s">
        <v>2158</v>
      </c>
    </row>
    <row r="7">
      <c r="A7" s="4" t="s">
        <v>2159</v>
      </c>
    </row>
    <row r="8">
      <c r="A8" s="4" t="s">
        <v>2164</v>
      </c>
    </row>
    <row r="9">
      <c r="A9" s="4" t="s">
        <v>2167</v>
      </c>
    </row>
    <row r="10">
      <c r="A10" s="4" t="s">
        <v>1657</v>
      </c>
    </row>
    <row r="11">
      <c r="A11" s="4" t="s">
        <v>2161</v>
      </c>
    </row>
    <row r="12">
      <c r="A12" s="4" t="s">
        <v>2163</v>
      </c>
    </row>
    <row r="13">
      <c r="A13" s="4" t="s">
        <v>1655</v>
      </c>
    </row>
    <row r="14">
      <c r="A14" s="4" t="s">
        <v>1656</v>
      </c>
    </row>
    <row r="15">
      <c r="A15" s="4" t="s">
        <v>2168</v>
      </c>
    </row>
    <row r="16">
      <c r="A16" s="4" t="s">
        <v>939</v>
      </c>
    </row>
    <row r="17">
      <c r="A17" s="4" t="s">
        <v>2168</v>
      </c>
    </row>
    <row r="18">
      <c r="A18" s="4" t="s">
        <v>2164</v>
      </c>
    </row>
    <row r="19">
      <c r="A19" s="4" t="s">
        <v>1657</v>
      </c>
    </row>
    <row r="20">
      <c r="A20" s="4" t="s">
        <v>1656</v>
      </c>
    </row>
    <row r="21">
      <c r="A21" s="4" t="s">
        <v>2162</v>
      </c>
    </row>
    <row r="22">
      <c r="A22" s="4" t="s">
        <v>1655</v>
      </c>
    </row>
    <row r="23">
      <c r="A23" s="4" t="s">
        <v>2163</v>
      </c>
    </row>
    <row r="24">
      <c r="A24" s="4" t="s">
        <v>2161</v>
      </c>
    </row>
    <row r="25">
      <c r="A25" s="4" t="s">
        <v>2161</v>
      </c>
    </row>
    <row r="26">
      <c r="A26" s="4" t="s">
        <v>2161</v>
      </c>
    </row>
    <row r="27">
      <c r="A27" s="4" t="s">
        <v>1655</v>
      </c>
    </row>
    <row r="28">
      <c r="A28" s="4" t="s">
        <v>2159</v>
      </c>
    </row>
    <row r="29">
      <c r="A29" s="4" t="s">
        <v>952</v>
      </c>
    </row>
    <row r="30">
      <c r="A30" s="4" t="s">
        <v>105</v>
      </c>
    </row>
    <row r="31">
      <c r="A31" s="4" t="s">
        <v>2165</v>
      </c>
    </row>
    <row r="32">
      <c r="A32" s="4" t="s">
        <v>2160</v>
      </c>
    </row>
    <row r="33">
      <c r="A33" s="4" t="s">
        <v>2169</v>
      </c>
    </row>
    <row r="34">
      <c r="A34" s="4" t="s">
        <v>1657</v>
      </c>
    </row>
    <row r="35">
      <c r="A35" s="4" t="s">
        <v>105</v>
      </c>
    </row>
    <row r="36">
      <c r="A36" s="4" t="s">
        <v>2163</v>
      </c>
    </row>
    <row r="37">
      <c r="A37" s="4" t="s">
        <v>1657</v>
      </c>
    </row>
    <row r="38">
      <c r="A38" s="4" t="s">
        <v>2167</v>
      </c>
    </row>
    <row r="39">
      <c r="A39" s="4" t="s">
        <v>2161</v>
      </c>
    </row>
    <row r="40">
      <c r="A40" s="4" t="s">
        <v>2169</v>
      </c>
    </row>
    <row r="41">
      <c r="A41" s="4" t="s">
        <v>1656</v>
      </c>
    </row>
    <row r="42">
      <c r="A42" s="4" t="s">
        <v>2158</v>
      </c>
    </row>
    <row r="43">
      <c r="A43" s="4" t="s">
        <v>2168</v>
      </c>
    </row>
    <row r="44">
      <c r="A44" s="4" t="s">
        <v>1657</v>
      </c>
    </row>
    <row r="45">
      <c r="A45" s="4" t="s">
        <v>2165</v>
      </c>
    </row>
    <row r="46">
      <c r="A46" s="4" t="s">
        <v>1655</v>
      </c>
    </row>
    <row r="47">
      <c r="A47" s="4" t="s">
        <v>2166</v>
      </c>
    </row>
    <row r="48">
      <c r="A48" s="4" t="s">
        <v>952</v>
      </c>
    </row>
    <row r="49">
      <c r="A49" s="4" t="s">
        <v>2167</v>
      </c>
    </row>
    <row r="50">
      <c r="A50" s="4" t="s">
        <v>2166</v>
      </c>
    </row>
    <row r="51">
      <c r="A51" s="4" t="s">
        <v>1655</v>
      </c>
    </row>
    <row r="52">
      <c r="A52" s="4" t="s">
        <v>2164</v>
      </c>
    </row>
    <row r="53">
      <c r="A53" s="4" t="s">
        <v>2159</v>
      </c>
    </row>
    <row r="54">
      <c r="A54" s="4" t="s">
        <v>2167</v>
      </c>
    </row>
    <row r="55">
      <c r="A55" s="4" t="s">
        <v>1657</v>
      </c>
    </row>
    <row r="56">
      <c r="A56" s="4" t="s">
        <v>1656</v>
      </c>
    </row>
    <row r="57">
      <c r="A57" s="4" t="s">
        <v>105</v>
      </c>
    </row>
    <row r="58">
      <c r="A58" s="4" t="s">
        <v>2160</v>
      </c>
    </row>
    <row r="59">
      <c r="A59" s="4" t="s">
        <v>2168</v>
      </c>
    </row>
    <row r="60">
      <c r="A60" s="4" t="s">
        <v>1655</v>
      </c>
    </row>
    <row r="61">
      <c r="A61" s="4" t="s">
        <v>2162</v>
      </c>
    </row>
    <row r="62">
      <c r="A62" s="4" t="s">
        <v>2169</v>
      </c>
    </row>
    <row r="63">
      <c r="A63" s="4" t="s">
        <v>1656</v>
      </c>
    </row>
    <row r="64">
      <c r="A64" s="4" t="s">
        <v>2167</v>
      </c>
    </row>
    <row r="65">
      <c r="A65" s="4" t="s">
        <v>952</v>
      </c>
    </row>
    <row r="66">
      <c r="A66" s="4" t="s">
        <v>939</v>
      </c>
    </row>
    <row r="67">
      <c r="A67" s="4" t="s">
        <v>2158</v>
      </c>
    </row>
    <row r="68">
      <c r="A68" s="4" t="s">
        <v>2161</v>
      </c>
    </row>
    <row r="69">
      <c r="A69" s="4" t="s">
        <v>2166</v>
      </c>
    </row>
    <row r="70">
      <c r="A70" s="4" t="s">
        <v>105</v>
      </c>
    </row>
    <row r="71">
      <c r="A71" s="4" t="s">
        <v>1656</v>
      </c>
    </row>
    <row r="72">
      <c r="A72" s="4" t="s">
        <v>2164</v>
      </c>
    </row>
    <row r="73">
      <c r="A73" s="4" t="s">
        <v>2160</v>
      </c>
    </row>
    <row r="74">
      <c r="A74" s="4" t="s">
        <v>1352</v>
      </c>
    </row>
    <row r="75">
      <c r="A75" s="4" t="s">
        <v>1656</v>
      </c>
    </row>
    <row r="76">
      <c r="A76" s="4" t="s">
        <v>952</v>
      </c>
    </row>
    <row r="77">
      <c r="A77" s="4" t="s">
        <v>2164</v>
      </c>
    </row>
    <row r="78">
      <c r="A78" s="4" t="s">
        <v>2166</v>
      </c>
    </row>
    <row r="79">
      <c r="A79" s="4" t="s">
        <v>2161</v>
      </c>
    </row>
    <row r="80">
      <c r="A80" s="4" t="s">
        <v>2159</v>
      </c>
    </row>
    <row r="81">
      <c r="A81" s="4" t="s">
        <v>105</v>
      </c>
    </row>
    <row r="82">
      <c r="A82" s="4" t="s">
        <v>1657</v>
      </c>
    </row>
    <row r="83">
      <c r="A83" s="4" t="s">
        <v>2162</v>
      </c>
    </row>
    <row r="84">
      <c r="A84" s="4" t="s">
        <v>2168</v>
      </c>
    </row>
    <row r="85">
      <c r="A85" s="4" t="s">
        <v>2165</v>
      </c>
    </row>
    <row r="86">
      <c r="A86" s="4" t="s">
        <v>1657</v>
      </c>
    </row>
    <row r="87">
      <c r="A87" s="4" t="s">
        <v>952</v>
      </c>
    </row>
    <row r="88">
      <c r="A88" s="4" t="s">
        <v>952</v>
      </c>
    </row>
    <row r="89">
      <c r="A89" s="4" t="s">
        <v>2162</v>
      </c>
    </row>
    <row r="90">
      <c r="A90" s="4" t="s">
        <v>2163</v>
      </c>
    </row>
    <row r="91">
      <c r="A91" s="4" t="s">
        <v>2169</v>
      </c>
    </row>
    <row r="92">
      <c r="A92" s="4" t="s">
        <v>2163</v>
      </c>
    </row>
    <row r="93">
      <c r="A93" s="4" t="s">
        <v>952</v>
      </c>
    </row>
    <row r="94">
      <c r="A94" s="4" t="s">
        <v>869</v>
      </c>
    </row>
    <row r="95">
      <c r="A95" s="4" t="s">
        <v>939</v>
      </c>
    </row>
    <row r="96">
      <c r="A96" s="4" t="s">
        <v>2165</v>
      </c>
    </row>
    <row r="97">
      <c r="A97" s="4" t="s">
        <v>1656</v>
      </c>
    </row>
    <row r="98">
      <c r="A98" s="4" t="s">
        <v>2169</v>
      </c>
    </row>
    <row r="99">
      <c r="A99" s="4" t="s">
        <v>1655</v>
      </c>
    </row>
    <row r="100">
      <c r="A100" s="4" t="s">
        <v>939</v>
      </c>
    </row>
    <row r="101">
      <c r="A101" s="4" t="s">
        <v>952</v>
      </c>
    </row>
    <row r="102">
      <c r="A102" s="4" t="s">
        <v>2168</v>
      </c>
    </row>
    <row r="103">
      <c r="A103" s="4" t="s">
        <v>2158</v>
      </c>
    </row>
    <row r="104">
      <c r="A104" s="4" t="s">
        <v>869</v>
      </c>
    </row>
    <row r="105">
      <c r="A105" s="4" t="s">
        <v>2158</v>
      </c>
    </row>
    <row r="106">
      <c r="A106" s="4" t="s">
        <v>2165</v>
      </c>
    </row>
    <row r="107">
      <c r="A107" s="4" t="s">
        <v>2161</v>
      </c>
    </row>
    <row r="108">
      <c r="A108" s="4" t="s">
        <v>869</v>
      </c>
    </row>
    <row r="109">
      <c r="A109" s="4" t="s">
        <v>1352</v>
      </c>
    </row>
    <row r="110">
      <c r="A110" s="4" t="s">
        <v>1656</v>
      </c>
    </row>
    <row r="111">
      <c r="A111" s="4" t="s">
        <v>939</v>
      </c>
    </row>
    <row r="112">
      <c r="A112" s="4" t="s">
        <v>1656</v>
      </c>
    </row>
    <row r="113">
      <c r="A113" s="4" t="s">
        <v>952</v>
      </c>
    </row>
    <row r="114">
      <c r="A114" s="4" t="s">
        <v>2163</v>
      </c>
    </row>
    <row r="115">
      <c r="A115" s="4" t="s">
        <v>2166</v>
      </c>
    </row>
    <row r="116">
      <c r="A116" s="4" t="s">
        <v>2163</v>
      </c>
    </row>
    <row r="117">
      <c r="A117" s="4" t="s">
        <v>952</v>
      </c>
    </row>
    <row r="118">
      <c r="A118" s="4" t="s">
        <v>952</v>
      </c>
    </row>
    <row r="119">
      <c r="A119" s="4" t="s">
        <v>1352</v>
      </c>
    </row>
    <row r="120">
      <c r="A120" s="4" t="s">
        <v>2169</v>
      </c>
    </row>
    <row r="121">
      <c r="A121" s="4" t="s">
        <v>952</v>
      </c>
    </row>
    <row r="122">
      <c r="A122" s="4" t="s">
        <v>2167</v>
      </c>
    </row>
    <row r="123">
      <c r="A123" s="4" t="s">
        <v>2166</v>
      </c>
    </row>
    <row r="124">
      <c r="A124" s="4" t="s">
        <v>2162</v>
      </c>
    </row>
    <row r="125">
      <c r="A125" s="4" t="s">
        <v>952</v>
      </c>
    </row>
    <row r="126">
      <c r="A126" s="4" t="s">
        <v>2167</v>
      </c>
    </row>
    <row r="127">
      <c r="A127" s="4" t="s">
        <v>1656</v>
      </c>
    </row>
    <row r="128">
      <c r="A128" s="4" t="s">
        <v>939</v>
      </c>
    </row>
    <row r="129">
      <c r="A129" s="4" t="s">
        <v>2159</v>
      </c>
    </row>
    <row r="130">
      <c r="A130" s="4" t="s">
        <v>2167</v>
      </c>
    </row>
    <row r="131">
      <c r="A131" s="4" t="s">
        <v>2162</v>
      </c>
    </row>
    <row r="132">
      <c r="A132" s="4" t="s">
        <v>869</v>
      </c>
    </row>
    <row r="133">
      <c r="A133" s="4" t="s">
        <v>2162</v>
      </c>
    </row>
    <row r="134">
      <c r="A134" s="4" t="s">
        <v>952</v>
      </c>
    </row>
    <row r="135">
      <c r="A135" s="4" t="s">
        <v>1657</v>
      </c>
    </row>
    <row r="136">
      <c r="A136" s="4" t="s">
        <v>1655</v>
      </c>
    </row>
    <row r="137">
      <c r="A137" s="4" t="s">
        <v>2158</v>
      </c>
    </row>
    <row r="138">
      <c r="A138" s="4" t="s">
        <v>2169</v>
      </c>
    </row>
    <row r="139">
      <c r="A139" s="4" t="s">
        <v>1656</v>
      </c>
    </row>
    <row r="140">
      <c r="A140" s="4" t="s">
        <v>2159</v>
      </c>
    </row>
    <row r="141">
      <c r="A141" s="4" t="s">
        <v>1655</v>
      </c>
    </row>
    <row r="142">
      <c r="A142" s="4" t="s">
        <v>2169</v>
      </c>
    </row>
    <row r="143">
      <c r="A143" s="4" t="s">
        <v>2167</v>
      </c>
    </row>
    <row r="144">
      <c r="A144" s="4" t="s">
        <v>1657</v>
      </c>
    </row>
    <row r="145">
      <c r="A145" s="4" t="s">
        <v>2159</v>
      </c>
    </row>
    <row r="146">
      <c r="A146" s="4" t="s">
        <v>2158</v>
      </c>
    </row>
    <row r="147">
      <c r="A147" s="4" t="s">
        <v>2164</v>
      </c>
    </row>
    <row r="148">
      <c r="A148" s="4" t="s">
        <v>2168</v>
      </c>
    </row>
    <row r="149">
      <c r="A149" s="4" t="s">
        <v>1657</v>
      </c>
    </row>
    <row r="150">
      <c r="A150" s="4" t="s">
        <v>2167</v>
      </c>
    </row>
    <row r="151">
      <c r="A151" s="4" t="s">
        <v>2158</v>
      </c>
    </row>
    <row r="152">
      <c r="A152" s="4" t="s">
        <v>939</v>
      </c>
    </row>
    <row r="153">
      <c r="A153" s="4" t="s">
        <v>2161</v>
      </c>
    </row>
    <row r="154">
      <c r="A154" s="4" t="s">
        <v>869</v>
      </c>
    </row>
    <row r="155">
      <c r="A155" s="4" t="s">
        <v>2161</v>
      </c>
    </row>
    <row r="156">
      <c r="A156" s="4" t="s">
        <v>2158</v>
      </c>
    </row>
    <row r="157">
      <c r="A157" s="4" t="s">
        <v>1352</v>
      </c>
    </row>
    <row r="158">
      <c r="A158" s="4" t="s">
        <v>2167</v>
      </c>
    </row>
    <row r="159">
      <c r="A159" s="4" t="s">
        <v>2161</v>
      </c>
    </row>
    <row r="160">
      <c r="A160" s="4" t="s">
        <v>1657</v>
      </c>
    </row>
    <row r="161">
      <c r="A161" s="4" t="s">
        <v>2158</v>
      </c>
    </row>
    <row r="162">
      <c r="A162" s="4" t="s">
        <v>2169</v>
      </c>
    </row>
    <row r="163">
      <c r="A163" s="4" t="s">
        <v>2160</v>
      </c>
    </row>
    <row r="164">
      <c r="A164" s="4" t="s">
        <v>939</v>
      </c>
    </row>
    <row r="165">
      <c r="A165" s="4" t="s">
        <v>2163</v>
      </c>
    </row>
    <row r="166">
      <c r="A166" s="4" t="s">
        <v>2166</v>
      </c>
    </row>
    <row r="167">
      <c r="A167" s="4" t="s">
        <v>2158</v>
      </c>
    </row>
    <row r="168">
      <c r="A168" s="4" t="s">
        <v>869</v>
      </c>
    </row>
    <row r="169">
      <c r="A169" s="4" t="s">
        <v>952</v>
      </c>
    </row>
    <row r="170">
      <c r="A170" s="4" t="s">
        <v>2164</v>
      </c>
    </row>
    <row r="171">
      <c r="A171" s="4" t="s">
        <v>2158</v>
      </c>
    </row>
    <row r="172">
      <c r="A172" s="4" t="s">
        <v>2159</v>
      </c>
    </row>
    <row r="173">
      <c r="A173" s="4" t="s">
        <v>1657</v>
      </c>
    </row>
    <row r="174">
      <c r="A174" s="4" t="s">
        <v>2162</v>
      </c>
    </row>
    <row r="175">
      <c r="A175" s="4" t="s">
        <v>2160</v>
      </c>
    </row>
    <row r="176">
      <c r="A176" s="4" t="s">
        <v>939</v>
      </c>
    </row>
    <row r="177">
      <c r="A177" s="4" t="s">
        <v>1352</v>
      </c>
    </row>
    <row r="178">
      <c r="A178" s="4" t="s">
        <v>1656</v>
      </c>
    </row>
    <row r="179">
      <c r="A179" s="4" t="s">
        <v>869</v>
      </c>
    </row>
    <row r="180">
      <c r="A180" s="4" t="s">
        <v>1352</v>
      </c>
    </row>
    <row r="181">
      <c r="A181" s="4" t="s">
        <v>2167</v>
      </c>
    </row>
    <row r="182">
      <c r="A182" s="4" t="s">
        <v>939</v>
      </c>
    </row>
    <row r="183">
      <c r="A183" s="4" t="s">
        <v>869</v>
      </c>
    </row>
    <row r="184">
      <c r="A184" s="4" t="s">
        <v>1656</v>
      </c>
    </row>
    <row r="185">
      <c r="A185" s="4" t="s">
        <v>1656</v>
      </c>
    </row>
    <row r="186">
      <c r="A186" s="4" t="s">
        <v>1656</v>
      </c>
    </row>
    <row r="187">
      <c r="A187" s="4" t="s">
        <v>869</v>
      </c>
    </row>
    <row r="188">
      <c r="A188" s="4" t="s">
        <v>2164</v>
      </c>
    </row>
    <row r="189">
      <c r="A189" s="4" t="s">
        <v>1657</v>
      </c>
    </row>
    <row r="190">
      <c r="A190" s="4" t="s">
        <v>869</v>
      </c>
    </row>
    <row r="191">
      <c r="A191" s="4" t="s">
        <v>1352</v>
      </c>
    </row>
    <row r="192">
      <c r="A192" s="4" t="s">
        <v>2162</v>
      </c>
    </row>
    <row r="193">
      <c r="A193" s="4" t="s">
        <v>869</v>
      </c>
    </row>
    <row r="194">
      <c r="A194" s="4" t="s">
        <v>939</v>
      </c>
    </row>
    <row r="195">
      <c r="A195" s="4" t="s">
        <v>2169</v>
      </c>
    </row>
    <row r="196">
      <c r="A196" s="4" t="s">
        <v>2168</v>
      </c>
    </row>
    <row r="197">
      <c r="A197" s="4" t="s">
        <v>2161</v>
      </c>
    </row>
    <row r="198">
      <c r="A198" s="4" t="s">
        <v>1657</v>
      </c>
    </row>
    <row r="199">
      <c r="A199" s="4" t="s">
        <v>1656</v>
      </c>
    </row>
    <row r="200">
      <c r="A200" s="4" t="s">
        <v>105</v>
      </c>
    </row>
    <row r="201">
      <c r="A201" s="4" t="s">
        <v>2163</v>
      </c>
    </row>
    <row r="202">
      <c r="A202" s="4" t="s">
        <v>2160</v>
      </c>
    </row>
    <row r="203">
      <c r="A203" s="4" t="s">
        <v>952</v>
      </c>
    </row>
    <row r="204">
      <c r="A204" s="4" t="s">
        <v>2162</v>
      </c>
    </row>
    <row r="205">
      <c r="A205" s="4" t="s">
        <v>2158</v>
      </c>
    </row>
    <row r="206">
      <c r="A206" s="4" t="s">
        <v>2158</v>
      </c>
    </row>
    <row r="207">
      <c r="A207" s="4" t="s">
        <v>2164</v>
      </c>
    </row>
    <row r="208">
      <c r="A208" s="4" t="s">
        <v>2169</v>
      </c>
    </row>
    <row r="209">
      <c r="A209" s="4" t="s">
        <v>2167</v>
      </c>
    </row>
    <row r="210">
      <c r="A210" s="4" t="s">
        <v>105</v>
      </c>
    </row>
    <row r="211">
      <c r="A211" s="4" t="s">
        <v>2161</v>
      </c>
    </row>
    <row r="212">
      <c r="A212" s="4" t="s">
        <v>2159</v>
      </c>
    </row>
    <row r="213">
      <c r="A213" s="4" t="s">
        <v>2158</v>
      </c>
    </row>
    <row r="214">
      <c r="A214" s="4" t="s">
        <v>2168</v>
      </c>
    </row>
    <row r="215">
      <c r="A215" s="4" t="s">
        <v>2158</v>
      </c>
    </row>
    <row r="216">
      <c r="A216" s="4" t="s">
        <v>2165</v>
      </c>
    </row>
    <row r="217">
      <c r="A217" s="4" t="s">
        <v>2168</v>
      </c>
    </row>
    <row r="218">
      <c r="A218" s="4" t="s">
        <v>2163</v>
      </c>
    </row>
    <row r="219">
      <c r="A219" s="4" t="s">
        <v>952</v>
      </c>
    </row>
    <row r="220">
      <c r="A220" s="4" t="s">
        <v>2165</v>
      </c>
    </row>
    <row r="221">
      <c r="A221" s="4" t="s">
        <v>2169</v>
      </c>
    </row>
    <row r="222">
      <c r="A222" s="4" t="s">
        <v>105</v>
      </c>
    </row>
    <row r="223">
      <c r="A223" s="4" t="s">
        <v>1656</v>
      </c>
    </row>
    <row r="224">
      <c r="A224" s="4" t="s">
        <v>952</v>
      </c>
    </row>
    <row r="225">
      <c r="A225" s="4" t="s">
        <v>2167</v>
      </c>
    </row>
    <row r="226">
      <c r="A226" s="4" t="s">
        <v>939</v>
      </c>
    </row>
    <row r="227">
      <c r="A227" s="4" t="s">
        <v>2166</v>
      </c>
    </row>
    <row r="228">
      <c r="A228" s="4" t="s">
        <v>939</v>
      </c>
    </row>
    <row r="229">
      <c r="A229" s="4" t="s">
        <v>1352</v>
      </c>
    </row>
    <row r="230">
      <c r="A230" s="4" t="s">
        <v>2163</v>
      </c>
    </row>
    <row r="231">
      <c r="A231" s="4" t="s">
        <v>2162</v>
      </c>
    </row>
    <row r="232">
      <c r="A232" s="4" t="s">
        <v>2165</v>
      </c>
    </row>
    <row r="233">
      <c r="A233" s="4" t="s">
        <v>2166</v>
      </c>
    </row>
    <row r="234">
      <c r="A234" s="4" t="s">
        <v>1655</v>
      </c>
    </row>
    <row r="235">
      <c r="A235" s="4" t="s">
        <v>1657</v>
      </c>
    </row>
    <row r="236">
      <c r="A236" s="4" t="s">
        <v>869</v>
      </c>
    </row>
    <row r="237">
      <c r="A237" s="4" t="s">
        <v>2166</v>
      </c>
    </row>
    <row r="238">
      <c r="A238" s="4" t="s">
        <v>2169</v>
      </c>
    </row>
    <row r="239">
      <c r="A239" s="4" t="s">
        <v>2165</v>
      </c>
    </row>
    <row r="240">
      <c r="A240" s="4" t="s">
        <v>2162</v>
      </c>
    </row>
    <row r="241">
      <c r="A241" s="4" t="s">
        <v>952</v>
      </c>
    </row>
    <row r="242">
      <c r="A242" s="4" t="s">
        <v>2165</v>
      </c>
    </row>
    <row r="243">
      <c r="A243" s="4" t="s">
        <v>952</v>
      </c>
    </row>
    <row r="244">
      <c r="A244" s="4" t="s">
        <v>2168</v>
      </c>
    </row>
    <row r="245">
      <c r="A245" s="4" t="s">
        <v>2167</v>
      </c>
    </row>
    <row r="246">
      <c r="A246" s="4" t="s">
        <v>105</v>
      </c>
    </row>
    <row r="247">
      <c r="A247" s="4" t="s">
        <v>2169</v>
      </c>
    </row>
    <row r="248">
      <c r="A248" s="4" t="s">
        <v>2168</v>
      </c>
    </row>
    <row r="249">
      <c r="A249" s="4" t="s">
        <v>869</v>
      </c>
    </row>
    <row r="250">
      <c r="A250" s="4" t="s">
        <v>2159</v>
      </c>
    </row>
    <row r="251">
      <c r="A251" s="4" t="s">
        <v>2162</v>
      </c>
    </row>
    <row r="252">
      <c r="A252" s="4" t="s">
        <v>1656</v>
      </c>
    </row>
    <row r="253">
      <c r="A253" s="4" t="s">
        <v>1655</v>
      </c>
    </row>
    <row r="254">
      <c r="A254" s="4" t="s">
        <v>2158</v>
      </c>
    </row>
    <row r="255">
      <c r="A255" s="4" t="s">
        <v>105</v>
      </c>
    </row>
    <row r="256">
      <c r="A256" s="4" t="s">
        <v>1352</v>
      </c>
    </row>
    <row r="257">
      <c r="A257" s="4" t="s">
        <v>2165</v>
      </c>
    </row>
    <row r="258">
      <c r="A258" s="4" t="s">
        <v>939</v>
      </c>
    </row>
    <row r="259">
      <c r="A259" s="4" t="s">
        <v>2167</v>
      </c>
    </row>
    <row r="260">
      <c r="A260" s="4" t="s">
        <v>1655</v>
      </c>
    </row>
    <row r="261">
      <c r="A261" s="4" t="s">
        <v>952</v>
      </c>
    </row>
    <row r="262">
      <c r="A262" s="4" t="s">
        <v>105</v>
      </c>
    </row>
    <row r="263">
      <c r="A263" s="4" t="s">
        <v>939</v>
      </c>
    </row>
    <row r="264">
      <c r="A264" s="4" t="s">
        <v>1352</v>
      </c>
    </row>
    <row r="265">
      <c r="A265" s="4" t="s">
        <v>2166</v>
      </c>
    </row>
    <row r="266">
      <c r="A266" s="4" t="s">
        <v>2161</v>
      </c>
    </row>
    <row r="267">
      <c r="A267" s="4" t="s">
        <v>952</v>
      </c>
    </row>
    <row r="268">
      <c r="A268" s="4" t="s">
        <v>869</v>
      </c>
    </row>
    <row r="269">
      <c r="A269" s="4" t="s">
        <v>1655</v>
      </c>
    </row>
    <row r="270">
      <c r="A270" s="4" t="s">
        <v>2162</v>
      </c>
    </row>
    <row r="271">
      <c r="A271" s="4" t="s">
        <v>2159</v>
      </c>
    </row>
    <row r="272">
      <c r="A272" s="4" t="s">
        <v>2165</v>
      </c>
    </row>
    <row r="273">
      <c r="A273" s="4" t="s">
        <v>2166</v>
      </c>
    </row>
    <row r="274">
      <c r="A274" s="4" t="s">
        <v>2160</v>
      </c>
    </row>
    <row r="275">
      <c r="A275" s="4" t="s">
        <v>2164</v>
      </c>
    </row>
    <row r="276">
      <c r="A276" s="4" t="s">
        <v>105</v>
      </c>
    </row>
    <row r="277">
      <c r="A277" s="4" t="s">
        <v>2162</v>
      </c>
    </row>
    <row r="278">
      <c r="A278" s="4" t="s">
        <v>2164</v>
      </c>
    </row>
    <row r="279">
      <c r="A279" s="4" t="s">
        <v>2164</v>
      </c>
    </row>
    <row r="280">
      <c r="A280" s="4" t="s">
        <v>2169</v>
      </c>
    </row>
    <row r="281">
      <c r="A281" s="4" t="s">
        <v>2168</v>
      </c>
    </row>
    <row r="282">
      <c r="A282" s="4" t="s">
        <v>2167</v>
      </c>
    </row>
    <row r="283">
      <c r="A283" s="4" t="s">
        <v>2158</v>
      </c>
    </row>
    <row r="284">
      <c r="A284" s="4" t="s">
        <v>1352</v>
      </c>
    </row>
    <row r="285">
      <c r="A285" s="4" t="s">
        <v>2159</v>
      </c>
    </row>
    <row r="286">
      <c r="A286" s="4" t="s">
        <v>939</v>
      </c>
    </row>
    <row r="287">
      <c r="A287" s="4" t="s">
        <v>1657</v>
      </c>
    </row>
    <row r="288">
      <c r="A288" s="4" t="s">
        <v>105</v>
      </c>
    </row>
    <row r="289">
      <c r="A289" s="4" t="s">
        <v>869</v>
      </c>
    </row>
    <row r="290">
      <c r="A290" s="4" t="s">
        <v>2162</v>
      </c>
    </row>
    <row r="291">
      <c r="A291" s="4" t="s">
        <v>105</v>
      </c>
    </row>
    <row r="292">
      <c r="A292" s="4" t="s">
        <v>1657</v>
      </c>
    </row>
    <row r="293">
      <c r="A293" s="4" t="s">
        <v>2160</v>
      </c>
    </row>
    <row r="294">
      <c r="A294" s="4" t="s">
        <v>869</v>
      </c>
    </row>
    <row r="295">
      <c r="A295" s="4" t="s">
        <v>1656</v>
      </c>
    </row>
    <row r="296">
      <c r="A296" s="4" t="s">
        <v>2164</v>
      </c>
    </row>
    <row r="297">
      <c r="A297" s="4" t="s">
        <v>2160</v>
      </c>
    </row>
    <row r="298">
      <c r="A298" s="4" t="s">
        <v>2162</v>
      </c>
    </row>
    <row r="299">
      <c r="A299" s="4" t="s">
        <v>2161</v>
      </c>
    </row>
    <row r="300">
      <c r="A300" s="4" t="s">
        <v>2164</v>
      </c>
    </row>
    <row r="301">
      <c r="A301" s="4" t="s">
        <v>2168</v>
      </c>
    </row>
    <row r="302">
      <c r="A302" s="4" t="s">
        <v>1655</v>
      </c>
    </row>
    <row r="303">
      <c r="A303" s="4" t="s">
        <v>2162</v>
      </c>
    </row>
    <row r="304">
      <c r="A304" s="4" t="s">
        <v>2168</v>
      </c>
    </row>
    <row r="305">
      <c r="A305" s="4" t="s">
        <v>2163</v>
      </c>
    </row>
    <row r="306">
      <c r="A306" s="4" t="s">
        <v>2158</v>
      </c>
    </row>
    <row r="307">
      <c r="A307" s="4" t="s">
        <v>952</v>
      </c>
    </row>
    <row r="308">
      <c r="A308" s="4" t="s">
        <v>2163</v>
      </c>
    </row>
    <row r="309">
      <c r="A309" s="4" t="s">
        <v>869</v>
      </c>
    </row>
    <row r="310">
      <c r="A310" s="4" t="s">
        <v>2168</v>
      </c>
    </row>
    <row r="311">
      <c r="A311" s="4" t="s">
        <v>2165</v>
      </c>
    </row>
    <row r="312">
      <c r="A312" s="4" t="s">
        <v>2159</v>
      </c>
    </row>
    <row r="313">
      <c r="A313" s="4" t="s">
        <v>2168</v>
      </c>
    </row>
    <row r="314">
      <c r="A314" s="4" t="s">
        <v>2169</v>
      </c>
    </row>
    <row r="315">
      <c r="A315" s="4" t="s">
        <v>2158</v>
      </c>
    </row>
    <row r="316">
      <c r="A316" s="4" t="s">
        <v>2164</v>
      </c>
    </row>
    <row r="317">
      <c r="A317" s="4" t="s">
        <v>2159</v>
      </c>
    </row>
    <row r="318">
      <c r="A318" s="4" t="s">
        <v>2162</v>
      </c>
    </row>
    <row r="319">
      <c r="A319" s="4" t="s">
        <v>2163</v>
      </c>
    </row>
    <row r="320">
      <c r="A320" s="4" t="s">
        <v>1352</v>
      </c>
    </row>
    <row r="321">
      <c r="A321" s="4" t="s">
        <v>1655</v>
      </c>
    </row>
    <row r="322">
      <c r="A322" s="4" t="s">
        <v>2163</v>
      </c>
    </row>
    <row r="323">
      <c r="A323" s="4" t="s">
        <v>2158</v>
      </c>
    </row>
    <row r="324">
      <c r="A324" s="4" t="s">
        <v>2164</v>
      </c>
    </row>
    <row r="325">
      <c r="A325" s="4" t="s">
        <v>105</v>
      </c>
    </row>
    <row r="326">
      <c r="A326" s="4" t="s">
        <v>105</v>
      </c>
    </row>
    <row r="327">
      <c r="A327" s="4" t="s">
        <v>2166</v>
      </c>
    </row>
    <row r="328">
      <c r="A328" s="4" t="s">
        <v>2168</v>
      </c>
    </row>
    <row r="329">
      <c r="A329" s="4" t="s">
        <v>2166</v>
      </c>
    </row>
    <row r="330">
      <c r="A330" s="4" t="s">
        <v>1656</v>
      </c>
    </row>
    <row r="331">
      <c r="A331" s="4" t="s">
        <v>1656</v>
      </c>
    </row>
    <row r="332">
      <c r="A332" s="4" t="s">
        <v>1655</v>
      </c>
    </row>
    <row r="333">
      <c r="A333" s="4" t="s">
        <v>2166</v>
      </c>
    </row>
    <row r="334">
      <c r="A334" s="4" t="s">
        <v>2160</v>
      </c>
    </row>
    <row r="335">
      <c r="A335" s="4" t="s">
        <v>2158</v>
      </c>
    </row>
    <row r="336">
      <c r="A336" s="4" t="s">
        <v>2162</v>
      </c>
    </row>
    <row r="337">
      <c r="A337" s="4" t="s">
        <v>2160</v>
      </c>
    </row>
    <row r="338">
      <c r="A338" s="4" t="s">
        <v>2162</v>
      </c>
    </row>
    <row r="339">
      <c r="A339" s="4" t="s">
        <v>2158</v>
      </c>
    </row>
    <row r="340">
      <c r="A340" s="4" t="s">
        <v>2163</v>
      </c>
    </row>
    <row r="341">
      <c r="A341" s="4" t="s">
        <v>2165</v>
      </c>
    </row>
    <row r="342">
      <c r="A342" s="4" t="s">
        <v>2165</v>
      </c>
    </row>
    <row r="343">
      <c r="A343" s="4" t="s">
        <v>1657</v>
      </c>
    </row>
    <row r="344">
      <c r="A344" s="4" t="s">
        <v>105</v>
      </c>
    </row>
    <row r="345">
      <c r="A345" s="4" t="s">
        <v>952</v>
      </c>
    </row>
    <row r="346">
      <c r="A346" s="4" t="s">
        <v>2168</v>
      </c>
    </row>
    <row r="347">
      <c r="A347" s="4" t="s">
        <v>2168</v>
      </c>
    </row>
    <row r="348">
      <c r="A348" s="4" t="s">
        <v>2161</v>
      </c>
    </row>
    <row r="349">
      <c r="A349" s="4" t="s">
        <v>939</v>
      </c>
    </row>
    <row r="350">
      <c r="A350" s="4" t="s">
        <v>1656</v>
      </c>
    </row>
    <row r="351">
      <c r="A351" s="4" t="s">
        <v>1657</v>
      </c>
    </row>
    <row r="352">
      <c r="A352" s="4" t="s">
        <v>1656</v>
      </c>
    </row>
    <row r="353">
      <c r="A353" s="4" t="s">
        <v>1657</v>
      </c>
    </row>
    <row r="354">
      <c r="A354" s="4" t="s">
        <v>2159</v>
      </c>
    </row>
    <row r="355">
      <c r="A355" s="4" t="s">
        <v>1352</v>
      </c>
    </row>
    <row r="356">
      <c r="A356" s="4" t="s">
        <v>2169</v>
      </c>
    </row>
    <row r="357">
      <c r="A357" s="4" t="s">
        <v>1657</v>
      </c>
    </row>
    <row r="358">
      <c r="A358" s="4" t="s">
        <v>1655</v>
      </c>
    </row>
    <row r="359">
      <c r="A359" s="4" t="s">
        <v>2158</v>
      </c>
    </row>
    <row r="360">
      <c r="A360" s="4" t="s">
        <v>2169</v>
      </c>
    </row>
    <row r="361">
      <c r="A361" s="4" t="s">
        <v>2161</v>
      </c>
    </row>
    <row r="362">
      <c r="A362" s="4" t="s">
        <v>2167</v>
      </c>
    </row>
    <row r="363">
      <c r="A363" s="4" t="s">
        <v>2160</v>
      </c>
    </row>
    <row r="364">
      <c r="A364" s="4" t="s">
        <v>869</v>
      </c>
    </row>
    <row r="365">
      <c r="A365" s="4" t="s">
        <v>1656</v>
      </c>
    </row>
    <row r="366">
      <c r="A366" s="4" t="s">
        <v>2160</v>
      </c>
    </row>
    <row r="367">
      <c r="A367" s="4" t="s">
        <v>105</v>
      </c>
    </row>
    <row r="368">
      <c r="A368" s="4" t="s">
        <v>2169</v>
      </c>
    </row>
    <row r="369">
      <c r="A369" s="4" t="s">
        <v>2164</v>
      </c>
    </row>
    <row r="370">
      <c r="A370" s="4" t="s">
        <v>2169</v>
      </c>
    </row>
    <row r="371">
      <c r="A371" s="4" t="s">
        <v>2166</v>
      </c>
    </row>
    <row r="372">
      <c r="A372" s="4" t="s">
        <v>869</v>
      </c>
    </row>
    <row r="373">
      <c r="A373" s="4" t="s">
        <v>2166</v>
      </c>
    </row>
    <row r="374">
      <c r="A374" s="4" t="s">
        <v>105</v>
      </c>
    </row>
    <row r="375">
      <c r="A375" s="4" t="s">
        <v>869</v>
      </c>
    </row>
    <row r="376">
      <c r="A376" s="4" t="s">
        <v>2169</v>
      </c>
    </row>
    <row r="377">
      <c r="A377" s="4" t="s">
        <v>952</v>
      </c>
    </row>
    <row r="378">
      <c r="A378" s="4" t="s">
        <v>2161</v>
      </c>
    </row>
    <row r="379">
      <c r="A379" s="4" t="s">
        <v>2161</v>
      </c>
    </row>
    <row r="380">
      <c r="A380" s="4" t="s">
        <v>952</v>
      </c>
    </row>
    <row r="381">
      <c r="A381" s="4" t="s">
        <v>2169</v>
      </c>
    </row>
    <row r="382">
      <c r="A382" s="4" t="s">
        <v>2163</v>
      </c>
    </row>
    <row r="383">
      <c r="A383" s="4" t="s">
        <v>2163</v>
      </c>
    </row>
    <row r="384">
      <c r="A384" s="4" t="s">
        <v>105</v>
      </c>
    </row>
    <row r="385">
      <c r="A385" s="4" t="s">
        <v>952</v>
      </c>
    </row>
    <row r="386">
      <c r="A386" s="4" t="s">
        <v>2162</v>
      </c>
    </row>
    <row r="387">
      <c r="A387" s="4" t="s">
        <v>105</v>
      </c>
    </row>
    <row r="388">
      <c r="A388" s="4" t="s">
        <v>2167</v>
      </c>
    </row>
    <row r="389">
      <c r="A389" s="4" t="s">
        <v>2159</v>
      </c>
    </row>
    <row r="390">
      <c r="A390" s="4" t="s">
        <v>2161</v>
      </c>
    </row>
    <row r="391">
      <c r="A391" s="4" t="s">
        <v>1352</v>
      </c>
    </row>
    <row r="392">
      <c r="A392" s="4" t="s">
        <v>1655</v>
      </c>
    </row>
    <row r="393">
      <c r="A393" s="4" t="s">
        <v>2165</v>
      </c>
    </row>
    <row r="394">
      <c r="A394" s="4" t="s">
        <v>2158</v>
      </c>
    </row>
    <row r="395">
      <c r="A395" s="4" t="s">
        <v>2160</v>
      </c>
    </row>
    <row r="396">
      <c r="A396" s="4" t="s">
        <v>939</v>
      </c>
    </row>
    <row r="397">
      <c r="A397" s="4" t="s">
        <v>2168</v>
      </c>
    </row>
    <row r="398">
      <c r="A398" s="4" t="s">
        <v>105</v>
      </c>
    </row>
    <row r="399">
      <c r="A399" s="4" t="s">
        <v>1655</v>
      </c>
    </row>
    <row r="400">
      <c r="A400" s="4" t="s">
        <v>105</v>
      </c>
    </row>
    <row r="401">
      <c r="A401" s="4" t="s">
        <v>2160</v>
      </c>
    </row>
    <row r="402">
      <c r="A402" s="4" t="s">
        <v>1655</v>
      </c>
    </row>
    <row r="403">
      <c r="A403" s="4" t="s">
        <v>2160</v>
      </c>
    </row>
    <row r="404">
      <c r="A404" s="4" t="s">
        <v>2168</v>
      </c>
    </row>
    <row r="405">
      <c r="A405" s="4" t="s">
        <v>2159</v>
      </c>
    </row>
    <row r="406">
      <c r="A406" s="4" t="s">
        <v>939</v>
      </c>
    </row>
    <row r="407">
      <c r="A407" s="4" t="s">
        <v>105</v>
      </c>
    </row>
    <row r="408">
      <c r="A408" s="4" t="s">
        <v>2161</v>
      </c>
    </row>
    <row r="409">
      <c r="A409" s="4" t="s">
        <v>105</v>
      </c>
    </row>
    <row r="410">
      <c r="A410" s="4" t="s">
        <v>105</v>
      </c>
    </row>
    <row r="411">
      <c r="A411" s="4" t="s">
        <v>2164</v>
      </c>
    </row>
    <row r="412">
      <c r="A412" s="4" t="s">
        <v>2167</v>
      </c>
    </row>
    <row r="413">
      <c r="A413" s="4" t="s">
        <v>105</v>
      </c>
    </row>
    <row r="414">
      <c r="A414" s="4" t="s">
        <v>869</v>
      </c>
    </row>
    <row r="415">
      <c r="A415" s="4" t="s">
        <v>2168</v>
      </c>
    </row>
    <row r="416">
      <c r="A416" s="4" t="s">
        <v>2160</v>
      </c>
    </row>
    <row r="417">
      <c r="A417" s="4" t="s">
        <v>1655</v>
      </c>
    </row>
    <row r="418">
      <c r="A418" s="4" t="s">
        <v>2160</v>
      </c>
    </row>
    <row r="419">
      <c r="A419" s="4" t="s">
        <v>2168</v>
      </c>
    </row>
    <row r="420">
      <c r="A420" s="4" t="s">
        <v>939</v>
      </c>
    </row>
    <row r="421">
      <c r="A421" s="4" t="s">
        <v>2165</v>
      </c>
    </row>
    <row r="422">
      <c r="A422" s="4" t="s">
        <v>1656</v>
      </c>
    </row>
    <row r="423">
      <c r="A423" s="4" t="s">
        <v>2158</v>
      </c>
    </row>
    <row r="424">
      <c r="A424" s="4" t="s">
        <v>1656</v>
      </c>
    </row>
    <row r="425">
      <c r="A425" s="4" t="s">
        <v>2162</v>
      </c>
    </row>
    <row r="426">
      <c r="A426" s="4" t="s">
        <v>1656</v>
      </c>
    </row>
    <row r="427">
      <c r="A427" s="4" t="s">
        <v>1657</v>
      </c>
    </row>
    <row r="428">
      <c r="A428" s="4" t="s">
        <v>2159</v>
      </c>
    </row>
    <row r="429">
      <c r="A429" s="4" t="s">
        <v>2167</v>
      </c>
    </row>
    <row r="430">
      <c r="A430" s="4" t="s">
        <v>939</v>
      </c>
    </row>
    <row r="431">
      <c r="A431" s="4" t="s">
        <v>2167</v>
      </c>
    </row>
    <row r="432">
      <c r="A432" s="4" t="s">
        <v>2165</v>
      </c>
    </row>
    <row r="433">
      <c r="A433" s="4" t="s">
        <v>2161</v>
      </c>
    </row>
    <row r="434">
      <c r="A434" s="4" t="s">
        <v>2158</v>
      </c>
    </row>
    <row r="435">
      <c r="A435" s="4" t="s">
        <v>1655</v>
      </c>
    </row>
    <row r="436">
      <c r="A436" s="4" t="s">
        <v>1655</v>
      </c>
    </row>
    <row r="437">
      <c r="A437" s="4" t="s">
        <v>1352</v>
      </c>
    </row>
    <row r="438">
      <c r="A438" s="4" t="s">
        <v>939</v>
      </c>
    </row>
    <row r="439">
      <c r="A439" s="4" t="s">
        <v>2168</v>
      </c>
    </row>
    <row r="440">
      <c r="A440" s="4" t="s">
        <v>2167</v>
      </c>
    </row>
    <row r="441">
      <c r="A441" s="4" t="s">
        <v>952</v>
      </c>
    </row>
    <row r="442">
      <c r="A442" s="4" t="s">
        <v>952</v>
      </c>
    </row>
    <row r="443">
      <c r="A443" s="4" t="s">
        <v>869</v>
      </c>
    </row>
    <row r="444">
      <c r="A444" s="4" t="s">
        <v>2159</v>
      </c>
    </row>
    <row r="445">
      <c r="A445" s="4" t="s">
        <v>2168</v>
      </c>
    </row>
    <row r="446">
      <c r="A446" s="4" t="s">
        <v>1657</v>
      </c>
    </row>
    <row r="447">
      <c r="A447" s="4" t="s">
        <v>2164</v>
      </c>
    </row>
    <row r="448">
      <c r="A448" s="4" t="s">
        <v>2160</v>
      </c>
    </row>
    <row r="449">
      <c r="A449" s="4" t="s">
        <v>1657</v>
      </c>
    </row>
    <row r="450">
      <c r="A450" s="4" t="s">
        <v>2164</v>
      </c>
    </row>
    <row r="451">
      <c r="A451" s="4" t="s">
        <v>2168</v>
      </c>
    </row>
    <row r="452">
      <c r="A452" s="4" t="s">
        <v>2167</v>
      </c>
    </row>
    <row r="453">
      <c r="A453" s="4" t="s">
        <v>2158</v>
      </c>
    </row>
    <row r="454">
      <c r="A454" s="4" t="s">
        <v>1655</v>
      </c>
    </row>
    <row r="455">
      <c r="A455" s="4" t="s">
        <v>1656</v>
      </c>
    </row>
    <row r="456">
      <c r="A456" s="4" t="s">
        <v>2162</v>
      </c>
    </row>
    <row r="457">
      <c r="A457" s="4" t="s">
        <v>952</v>
      </c>
    </row>
    <row r="458">
      <c r="A458" s="4" t="s">
        <v>869</v>
      </c>
    </row>
    <row r="459">
      <c r="A459" s="4" t="s">
        <v>1656</v>
      </c>
    </row>
    <row r="460">
      <c r="A460" s="4" t="s">
        <v>869</v>
      </c>
    </row>
    <row r="461">
      <c r="A461" s="4" t="s">
        <v>2165</v>
      </c>
    </row>
    <row r="462">
      <c r="A462" s="4" t="s">
        <v>2166</v>
      </c>
    </row>
    <row r="463">
      <c r="A463" s="4" t="s">
        <v>2164</v>
      </c>
    </row>
    <row r="464">
      <c r="A464" s="4" t="s">
        <v>2163</v>
      </c>
    </row>
    <row r="465">
      <c r="A465" s="4" t="s">
        <v>1352</v>
      </c>
    </row>
    <row r="466">
      <c r="A466" s="4" t="s">
        <v>1657</v>
      </c>
    </row>
    <row r="467">
      <c r="A467" s="4" t="s">
        <v>952</v>
      </c>
    </row>
    <row r="468">
      <c r="A468" s="4" t="s">
        <v>2165</v>
      </c>
    </row>
    <row r="469">
      <c r="A469" s="4" t="s">
        <v>2166</v>
      </c>
    </row>
    <row r="470">
      <c r="A470" s="4" t="s">
        <v>952</v>
      </c>
    </row>
    <row r="471">
      <c r="A471" s="4" t="s">
        <v>2168</v>
      </c>
    </row>
    <row r="472">
      <c r="A472" s="4" t="s">
        <v>1352</v>
      </c>
    </row>
    <row r="473">
      <c r="A473" s="4" t="s">
        <v>105</v>
      </c>
    </row>
    <row r="474">
      <c r="A474" s="4" t="s">
        <v>1352</v>
      </c>
    </row>
    <row r="475">
      <c r="A475" s="4" t="s">
        <v>2158</v>
      </c>
    </row>
    <row r="476">
      <c r="A476" s="4" t="s">
        <v>2167</v>
      </c>
    </row>
    <row r="477">
      <c r="A477" s="4" t="s">
        <v>869</v>
      </c>
    </row>
    <row r="478">
      <c r="A478" s="4" t="s">
        <v>2158</v>
      </c>
    </row>
    <row r="479">
      <c r="A479" s="4" t="s">
        <v>2160</v>
      </c>
    </row>
    <row r="480">
      <c r="A480" s="4" t="s">
        <v>1352</v>
      </c>
    </row>
    <row r="481">
      <c r="A481" s="4" t="s">
        <v>2161</v>
      </c>
    </row>
    <row r="482">
      <c r="A482" s="4" t="s">
        <v>1656</v>
      </c>
    </row>
    <row r="483">
      <c r="A483" s="4" t="s">
        <v>2158</v>
      </c>
    </row>
    <row r="484">
      <c r="A484" s="4" t="s">
        <v>952</v>
      </c>
    </row>
    <row r="485">
      <c r="A485" s="4" t="s">
        <v>2162</v>
      </c>
    </row>
    <row r="486">
      <c r="A486" s="4" t="s">
        <v>2162</v>
      </c>
    </row>
    <row r="487">
      <c r="A487" s="4" t="s">
        <v>2169</v>
      </c>
    </row>
    <row r="488">
      <c r="A488" s="4" t="s">
        <v>2163</v>
      </c>
    </row>
    <row r="489">
      <c r="A489" s="4" t="s">
        <v>869</v>
      </c>
    </row>
    <row r="490">
      <c r="A490" s="4" t="s">
        <v>2160</v>
      </c>
    </row>
    <row r="491">
      <c r="A491" s="4" t="s">
        <v>2167</v>
      </c>
    </row>
    <row r="492">
      <c r="A492" s="4" t="s">
        <v>2161</v>
      </c>
    </row>
    <row r="493">
      <c r="A493" s="4" t="s">
        <v>869</v>
      </c>
    </row>
    <row r="494">
      <c r="A494" s="4" t="s">
        <v>2161</v>
      </c>
    </row>
    <row r="495">
      <c r="A495" s="4" t="s">
        <v>2165</v>
      </c>
    </row>
    <row r="496">
      <c r="A496" s="4" t="s">
        <v>939</v>
      </c>
    </row>
    <row r="497">
      <c r="A497" s="4" t="s">
        <v>2163</v>
      </c>
    </row>
    <row r="498">
      <c r="A498" s="4" t="s">
        <v>105</v>
      </c>
    </row>
    <row r="499">
      <c r="A499" s="4" t="s">
        <v>952</v>
      </c>
    </row>
    <row r="500">
      <c r="A500" s="4" t="s">
        <v>1655</v>
      </c>
    </row>
    <row r="501">
      <c r="A501" s="4" t="s">
        <v>2161</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8709</v>
      </c>
      <c r="D2" s="4" t="str">
        <f t="shared" ref="D2:D201" si="1">C2</f>
        <v>{"valorA":"ventilador","valorB":1.0}</v>
      </c>
      <c r="E2" s="8" t="str">
        <f t="shared" ref="E2:E201" si="2">SUBSTITUTE(MID(C2,FIND(":",C2)+1,FIND(",",C2)-FIND(":",C2)-1),"""","")</f>
        <v>ventilador</v>
      </c>
      <c r="F2" s="8" t="str">
        <f>IFERROR(__xludf.DUMMYFUNCTION("UNIQUE(E2:E201)"),"ventilador")</f>
        <v>ventilador</v>
      </c>
      <c r="G2" s="8" t="str">
        <f t="shared" ref="G2:G201" si="3">MID(C2,FIND("valorB",C2)+8,FIND("}",C2)-FIND("valorB",C2)-8)</f>
        <v>1.0</v>
      </c>
      <c r="H2" s="9">
        <f t="shared" ref="H2:H201" si="4">VALUE(SUBSTITUTE(G2,".",","))</f>
        <v>1</v>
      </c>
      <c r="I2" s="10">
        <f>IFERROR(__xludf.DUMMYFUNCTION("MAX(FILTER($H:$H,$E:$E=F2))"),19.0)</f>
        <v>19</v>
      </c>
    </row>
    <row r="3">
      <c r="A3" s="4"/>
      <c r="C3" s="4" t="s">
        <v>1081</v>
      </c>
      <c r="D3" s="4" t="str">
        <f t="shared" si="1"/>
        <v>{"valorA":"computador","valorB":1.0}</v>
      </c>
      <c r="E3" s="8" t="str">
        <f t="shared" si="2"/>
        <v>computador</v>
      </c>
      <c r="F3" s="8" t="str">
        <f>IFERROR(__xludf.DUMMYFUNCTION("""COMPUTED_VALUE"""),"computador")</f>
        <v>computador</v>
      </c>
      <c r="G3" s="8" t="str">
        <f t="shared" si="3"/>
        <v>1.0</v>
      </c>
      <c r="H3" s="9">
        <f t="shared" si="4"/>
        <v>1</v>
      </c>
      <c r="I3" s="10">
        <f>IFERROR(__xludf.DUMMYFUNCTION("MAX(FILTER($H:$H,$E:$E=F3))"),23.0)</f>
        <v>23</v>
      </c>
    </row>
    <row r="4">
      <c r="A4" s="4"/>
      <c r="C4" s="4" t="s">
        <v>4051</v>
      </c>
      <c r="D4" s="4" t="str">
        <f t="shared" si="1"/>
        <v>{"valorA":"fone de ouvido","valorB":1.0}</v>
      </c>
      <c r="E4" s="8" t="str">
        <f t="shared" si="2"/>
        <v>fone de ouvido</v>
      </c>
      <c r="F4" s="8" t="str">
        <f>IFERROR(__xludf.DUMMYFUNCTION("""COMPUTED_VALUE"""),"fone de ouvido")</f>
        <v>fone de ouvido</v>
      </c>
      <c r="G4" s="8" t="str">
        <f t="shared" si="3"/>
        <v>1.0</v>
      </c>
      <c r="H4" s="9">
        <f t="shared" si="4"/>
        <v>1</v>
      </c>
      <c r="I4" s="10">
        <f>IFERROR(__xludf.DUMMYFUNCTION("MAX(FILTER($H:$H,$E:$E=F4))"),26.0)</f>
        <v>26</v>
      </c>
    </row>
    <row r="5">
      <c r="A5" s="4"/>
      <c r="C5" s="4" t="s">
        <v>8710</v>
      </c>
      <c r="D5" s="4" t="str">
        <f t="shared" si="1"/>
        <v>{"valorA":"ar condicionado","valorB":1.0}</v>
      </c>
      <c r="E5" s="8" t="str">
        <f t="shared" si="2"/>
        <v>ar condicionado</v>
      </c>
      <c r="F5" s="8" t="str">
        <f>IFERROR(__xludf.DUMMYFUNCTION("""COMPUTED_VALUE"""),"ar condicionado")</f>
        <v>ar condicionado</v>
      </c>
      <c r="G5" s="8" t="str">
        <f t="shared" si="3"/>
        <v>1.0</v>
      </c>
      <c r="H5" s="9">
        <f t="shared" si="4"/>
        <v>1</v>
      </c>
      <c r="I5" s="10">
        <f>IFERROR(__xludf.DUMMYFUNCTION("MAX(FILTER($H:$H,$E:$E=F5))"),25.0)</f>
        <v>25</v>
      </c>
    </row>
    <row r="6">
      <c r="A6" s="4"/>
      <c r="C6" s="4" t="s">
        <v>8711</v>
      </c>
      <c r="D6" s="4" t="str">
        <f t="shared" si="1"/>
        <v>{"valorA":"freezer","valorB":2.0}</v>
      </c>
      <c r="E6" s="8" t="str">
        <f t="shared" si="2"/>
        <v>freezer</v>
      </c>
      <c r="F6" s="8" t="str">
        <f>IFERROR(__xludf.DUMMYFUNCTION("""COMPUTED_VALUE"""),"freezer")</f>
        <v>freezer</v>
      </c>
      <c r="G6" s="8" t="str">
        <f t="shared" si="3"/>
        <v>2.0</v>
      </c>
      <c r="H6" s="9">
        <f t="shared" si="4"/>
        <v>2</v>
      </c>
      <c r="I6" s="10">
        <f>IFERROR(__xludf.DUMMYFUNCTION("MAX(FILTER($H:$H,$E:$E=F6))"),26.0)</f>
        <v>26</v>
      </c>
    </row>
    <row r="7">
      <c r="A7" s="4"/>
      <c r="C7" s="4" t="s">
        <v>4049</v>
      </c>
      <c r="D7" s="4" t="str">
        <f t="shared" si="1"/>
        <v>{"valorA":"filtro de linha","valorB":1.0}</v>
      </c>
      <c r="E7" s="8" t="str">
        <f t="shared" si="2"/>
        <v>filtro de linha</v>
      </c>
      <c r="F7" s="8" t="str">
        <f>IFERROR(__xludf.DUMMYFUNCTION("""COMPUTED_VALUE"""),"filtro de linha")</f>
        <v>filtro de linha</v>
      </c>
      <c r="G7" s="8" t="str">
        <f t="shared" si="3"/>
        <v>1.0</v>
      </c>
      <c r="H7" s="9">
        <f t="shared" si="4"/>
        <v>1</v>
      </c>
      <c r="I7" s="10">
        <f>IFERROR(__xludf.DUMMYFUNCTION("MAX(FILTER($H:$H,$E:$E=F7))"),22.0)</f>
        <v>22</v>
      </c>
    </row>
    <row r="8">
      <c r="A8" s="4"/>
      <c r="C8" s="4" t="s">
        <v>4056</v>
      </c>
      <c r="D8" s="4" t="str">
        <f t="shared" si="1"/>
        <v>{"valorA":"mouse de computador","valorB":1.0}</v>
      </c>
      <c r="E8" s="8" t="str">
        <f t="shared" si="2"/>
        <v>mouse de computador</v>
      </c>
      <c r="F8" s="8" t="str">
        <f>IFERROR(__xludf.DUMMYFUNCTION("""COMPUTED_VALUE"""),"mouse de computador")</f>
        <v>mouse de computador</v>
      </c>
      <c r="G8" s="8" t="str">
        <f t="shared" si="3"/>
        <v>1.0</v>
      </c>
      <c r="H8" s="9">
        <f t="shared" si="4"/>
        <v>1</v>
      </c>
      <c r="I8" s="10">
        <f>IFERROR(__xludf.DUMMYFUNCTION("MAX(FILTER($H:$H,$E:$E=F8))"),24.0)</f>
        <v>24</v>
      </c>
    </row>
    <row r="9">
      <c r="A9" s="4"/>
      <c r="C9" s="4" t="s">
        <v>4053</v>
      </c>
      <c r="D9" s="4" t="str">
        <f t="shared" si="1"/>
        <v>{"valorA":"purificador de água","valorB":1.0}</v>
      </c>
      <c r="E9" s="8" t="str">
        <f t="shared" si="2"/>
        <v>purificador de água</v>
      </c>
      <c r="F9" s="8" t="str">
        <f>IFERROR(__xludf.DUMMYFUNCTION("""COMPUTED_VALUE"""),"purificador de água")</f>
        <v>purificador de água</v>
      </c>
      <c r="G9" s="8" t="str">
        <f t="shared" si="3"/>
        <v>1.0</v>
      </c>
      <c r="H9" s="9">
        <f t="shared" si="4"/>
        <v>1</v>
      </c>
      <c r="I9" s="10">
        <f>IFERROR(__xludf.DUMMYFUNCTION("MAX(FILTER($H:$H,$E:$E=F9))"),21.0)</f>
        <v>21</v>
      </c>
    </row>
    <row r="10">
      <c r="A10" s="4"/>
      <c r="C10" s="4" t="s">
        <v>8712</v>
      </c>
      <c r="D10" s="4" t="str">
        <f t="shared" si="1"/>
        <v>{"valorA":"carregador de computador","valorB":2.0}</v>
      </c>
      <c r="E10" s="8" t="str">
        <f t="shared" si="2"/>
        <v>carregador de computador</v>
      </c>
      <c r="F10" s="8" t="str">
        <f>IFERROR(__xludf.DUMMYFUNCTION("""COMPUTED_VALUE"""),"carregador de computador")</f>
        <v>carregador de computador</v>
      </c>
      <c r="G10" s="8" t="str">
        <f t="shared" si="3"/>
        <v>2.0</v>
      </c>
      <c r="H10" s="9">
        <f t="shared" si="4"/>
        <v>2</v>
      </c>
      <c r="I10" s="10">
        <f>IFERROR(__xludf.DUMMYFUNCTION("MAX(FILTER($H:$H,$E:$E=F10))"),21.0)</f>
        <v>21</v>
      </c>
    </row>
    <row r="11">
      <c r="A11" s="4"/>
      <c r="C11" s="4" t="s">
        <v>4055</v>
      </c>
      <c r="D11" s="4" t="str">
        <f t="shared" si="1"/>
        <v>{"valorA":"chuveiro elétrico","valorB":1.0}</v>
      </c>
      <c r="E11" s="8" t="str">
        <f t="shared" si="2"/>
        <v>chuveiro elétrico</v>
      </c>
      <c r="F11" s="8" t="str">
        <f>IFERROR(__xludf.DUMMYFUNCTION("""COMPUTED_VALUE"""),"chuveiro elétrico")</f>
        <v>chuveiro elétrico</v>
      </c>
      <c r="G11" s="8" t="str">
        <f t="shared" si="3"/>
        <v>1.0</v>
      </c>
      <c r="H11" s="9">
        <f t="shared" si="4"/>
        <v>1</v>
      </c>
      <c r="I11" s="10">
        <f>IFERROR(__xludf.DUMMYFUNCTION("MAX(FILTER($H:$H,$E:$E=F11))"),31.0)</f>
        <v>31</v>
      </c>
    </row>
    <row r="12">
      <c r="A12" s="4"/>
      <c r="C12" s="4" t="s">
        <v>4083</v>
      </c>
      <c r="D12" s="4" t="str">
        <f t="shared" si="1"/>
        <v>{"valorA":"lustre","valorB":2.0}</v>
      </c>
      <c r="E12" s="8" t="str">
        <f t="shared" si="2"/>
        <v>lustre</v>
      </c>
      <c r="F12" s="8" t="str">
        <f>IFERROR(__xludf.DUMMYFUNCTION("""COMPUTED_VALUE"""),"lustre")</f>
        <v>lustre</v>
      </c>
      <c r="G12" s="8" t="str">
        <f t="shared" si="3"/>
        <v>2.0</v>
      </c>
      <c r="H12" s="9">
        <f t="shared" si="4"/>
        <v>2</v>
      </c>
      <c r="I12" s="10">
        <f>IFERROR(__xludf.DUMMYFUNCTION("MAX(FILTER($H:$H,$E:$E=F12))"),28.0)</f>
        <v>28</v>
      </c>
    </row>
    <row r="13">
      <c r="A13" s="4"/>
      <c r="C13" s="4" t="s">
        <v>8634</v>
      </c>
      <c r="D13" s="4" t="str">
        <f t="shared" si="1"/>
        <v>{"valorA":"microondas","valorB":2.0}</v>
      </c>
      <c r="E13" s="8" t="str">
        <f t="shared" si="2"/>
        <v>microondas</v>
      </c>
      <c r="F13" s="8" t="str">
        <f>IFERROR(__xludf.DUMMYFUNCTION("""COMPUTED_VALUE"""),"microondas")</f>
        <v>microondas</v>
      </c>
      <c r="G13" s="8" t="str">
        <f t="shared" si="3"/>
        <v>2.0</v>
      </c>
      <c r="H13" s="9">
        <f t="shared" si="4"/>
        <v>2</v>
      </c>
      <c r="I13" s="10">
        <f>IFERROR(__xludf.DUMMYFUNCTION("MAX(FILTER($H:$H,$E:$E=F13))"),31.0)</f>
        <v>31</v>
      </c>
    </row>
    <row r="14">
      <c r="A14" s="4"/>
      <c r="C14" s="4" t="s">
        <v>8713</v>
      </c>
      <c r="D14" s="4" t="str">
        <f t="shared" si="1"/>
        <v>{"valorA":"roteador","valorB":3.0}</v>
      </c>
      <c r="E14" s="8" t="str">
        <f t="shared" si="2"/>
        <v>roteador</v>
      </c>
      <c r="F14" s="8" t="str">
        <f>IFERROR(__xludf.DUMMYFUNCTION("""COMPUTED_VALUE"""),"roteador")</f>
        <v>roteador</v>
      </c>
      <c r="G14" s="8" t="str">
        <f t="shared" si="3"/>
        <v>3.0</v>
      </c>
      <c r="H14" s="9">
        <f t="shared" si="4"/>
        <v>3</v>
      </c>
      <c r="I14" s="10">
        <f>IFERROR(__xludf.DUMMYFUNCTION("MAX(FILTER($H:$H,$E:$E=F14))"),28.0)</f>
        <v>28</v>
      </c>
    </row>
    <row r="15">
      <c r="A15" s="4"/>
      <c r="C15" s="4" t="s">
        <v>1460</v>
      </c>
      <c r="D15" s="4" t="str">
        <f t="shared" si="1"/>
        <v>{"valorA":"computador","valorB":2.0}</v>
      </c>
      <c r="E15" s="8" t="str">
        <f t="shared" si="2"/>
        <v>computador</v>
      </c>
      <c r="F15" s="8" t="str">
        <f>IFERROR(__xludf.DUMMYFUNCTION("""COMPUTED_VALUE"""),"liquidificador")</f>
        <v>liquidificador</v>
      </c>
      <c r="G15" s="8" t="str">
        <f t="shared" si="3"/>
        <v>2.0</v>
      </c>
      <c r="H15" s="9">
        <f t="shared" si="4"/>
        <v>2</v>
      </c>
      <c r="I15" s="10">
        <f>IFERROR(__xludf.DUMMYFUNCTION("MAX(FILTER($H:$H,$E:$E=F15))"),21.0)</f>
        <v>21</v>
      </c>
    </row>
    <row r="16">
      <c r="A16" s="4"/>
      <c r="C16" s="4" t="s">
        <v>8714</v>
      </c>
      <c r="D16" s="4" t="str">
        <f t="shared" si="1"/>
        <v>{"valorA":"liquidificador","valorB":3.0}</v>
      </c>
      <c r="E16" s="8" t="str">
        <f t="shared" si="2"/>
        <v>liquidificador</v>
      </c>
      <c r="F16" s="8" t="str">
        <f>IFERROR(__xludf.DUMMYFUNCTION("""COMPUTED_VALUE"""),"fogão")</f>
        <v>fogão</v>
      </c>
      <c r="G16" s="8" t="str">
        <f t="shared" si="3"/>
        <v>3.0</v>
      </c>
      <c r="H16" s="9">
        <f t="shared" si="4"/>
        <v>3</v>
      </c>
      <c r="I16" s="10">
        <f>IFERROR(__xludf.DUMMYFUNCTION("MAX(FILTER($H:$H,$E:$E=F16))"),34.0)</f>
        <v>34</v>
      </c>
    </row>
    <row r="17">
      <c r="A17" s="4"/>
      <c r="C17" s="4" t="s">
        <v>4073</v>
      </c>
      <c r="D17" s="4" t="str">
        <f t="shared" si="1"/>
        <v>{"valorA":"chuveiro elétrico","valorB":3.0}</v>
      </c>
      <c r="E17" s="8" t="str">
        <f t="shared" si="2"/>
        <v>chuveiro elétrico</v>
      </c>
      <c r="F17" s="8" t="str">
        <f>IFERROR(__xludf.DUMMYFUNCTION("""COMPUTED_VALUE"""),"aspirador")</f>
        <v>aspirador</v>
      </c>
      <c r="G17" s="8" t="str">
        <f t="shared" si="3"/>
        <v>3.0</v>
      </c>
      <c r="H17" s="9">
        <f t="shared" si="4"/>
        <v>3</v>
      </c>
      <c r="I17" s="10">
        <f>IFERROR(__xludf.DUMMYFUNCTION("MAX(FILTER($H:$H,$E:$E=F17))"),19.0)</f>
        <v>19</v>
      </c>
    </row>
    <row r="18">
      <c r="A18" s="4"/>
      <c r="C18" s="4" t="s">
        <v>4093</v>
      </c>
      <c r="D18" s="4" t="str">
        <f t="shared" si="1"/>
        <v>{"valorA":"mouse de computador","valorB":4.0}</v>
      </c>
      <c r="E18" s="8" t="str">
        <f t="shared" si="2"/>
        <v>mouse de computador</v>
      </c>
      <c r="F18" s="8" t="str">
        <f>IFERROR(__xludf.DUMMYFUNCTION("""COMPUTED_VALUE"""),"carregador de celular")</f>
        <v>carregador de celular</v>
      </c>
      <c r="G18" s="8" t="str">
        <f t="shared" si="3"/>
        <v>4.0</v>
      </c>
      <c r="H18" s="9">
        <f t="shared" si="4"/>
        <v>4</v>
      </c>
      <c r="I18" s="10">
        <f>IFERROR(__xludf.DUMMYFUNCTION("MAX(FILTER($H:$H,$E:$E=F18))"),26.0)</f>
        <v>26</v>
      </c>
    </row>
    <row r="19">
      <c r="A19" s="4"/>
      <c r="C19" s="4" t="s">
        <v>4057</v>
      </c>
      <c r="D19" s="4" t="str">
        <f t="shared" si="1"/>
        <v>{"valorA":"freezer","valorB":6.0}</v>
      </c>
      <c r="E19" s="8" t="str">
        <f t="shared" si="2"/>
        <v>freezer</v>
      </c>
      <c r="F19" s="8" t="str">
        <f>IFERROR(__xludf.DUMMYFUNCTION("""COMPUTED_VALUE"""),"relógio")</f>
        <v>relógio</v>
      </c>
      <c r="G19" s="8" t="str">
        <f t="shared" si="3"/>
        <v>6.0</v>
      </c>
      <c r="H19" s="9">
        <f t="shared" si="4"/>
        <v>6</v>
      </c>
      <c r="I19" s="10">
        <f>IFERROR(__xludf.DUMMYFUNCTION("MAX(FILTER($H:$H,$E:$E=F19))"),29.0)</f>
        <v>29</v>
      </c>
    </row>
    <row r="20">
      <c r="A20" s="4"/>
      <c r="C20" s="4" t="s">
        <v>8632</v>
      </c>
      <c r="D20" s="4" t="str">
        <f t="shared" si="1"/>
        <v>{"valorA":"ar condicionado","valorB":6.0}</v>
      </c>
      <c r="E20" s="8" t="str">
        <f t="shared" si="2"/>
        <v>ar condicionado</v>
      </c>
      <c r="F20" s="8" t="str">
        <f>IFERROR(__xludf.DUMMYFUNCTION("""COMPUTED_VALUE"""),"teclado de computador")</f>
        <v>teclado de computador</v>
      </c>
      <c r="G20" s="8" t="str">
        <f t="shared" si="3"/>
        <v>6.0</v>
      </c>
      <c r="H20" s="9">
        <f t="shared" si="4"/>
        <v>6</v>
      </c>
      <c r="I20" s="10">
        <f>IFERROR(__xludf.DUMMYFUNCTION("MAX(FILTER($H:$H,$E:$E=F20))"),19.0)</f>
        <v>19</v>
      </c>
    </row>
    <row r="21">
      <c r="A21" s="4"/>
      <c r="C21" s="4" t="s">
        <v>8715</v>
      </c>
      <c r="D21" s="4" t="str">
        <f t="shared" si="1"/>
        <v>{"valorA":"filtro de linha","valorB":3.0}</v>
      </c>
      <c r="E21" s="8" t="str">
        <f t="shared" si="2"/>
        <v>filtro de linha</v>
      </c>
      <c r="F21" s="8" t="str">
        <f>IFERROR(__xludf.DUMMYFUNCTION("""COMPUTED_VALUE"""),"celular")</f>
        <v>celular</v>
      </c>
      <c r="G21" s="8" t="str">
        <f t="shared" si="3"/>
        <v>3.0</v>
      </c>
      <c r="H21" s="9">
        <f t="shared" si="4"/>
        <v>3</v>
      </c>
      <c r="I21" s="10">
        <f>IFERROR(__xludf.DUMMYFUNCTION("MAX(FILTER($H:$H,$E:$E=F21))"),27.0)</f>
        <v>27</v>
      </c>
    </row>
    <row r="22">
      <c r="A22" s="4"/>
      <c r="C22" s="4" t="s">
        <v>8716</v>
      </c>
      <c r="D22" s="4" t="str">
        <f t="shared" si="1"/>
        <v>{"valorA":"fogão","valorB":4.0}</v>
      </c>
      <c r="E22" s="8" t="str">
        <f t="shared" si="2"/>
        <v>fogão</v>
      </c>
      <c r="F22" s="8"/>
      <c r="G22" s="8" t="str">
        <f t="shared" si="3"/>
        <v>4.0</v>
      </c>
      <c r="H22" s="9">
        <f t="shared" si="4"/>
        <v>4</v>
      </c>
      <c r="I22" s="6" t="str">
        <f>IFERROR(__xludf.DUMMYFUNCTION("MAX(FILTER($H:$H,$E:$E=F22))"),"#N/A")</f>
        <v>#N/A</v>
      </c>
    </row>
    <row r="23">
      <c r="A23" s="4"/>
      <c r="C23" s="4" t="s">
        <v>1416</v>
      </c>
      <c r="D23" s="4" t="str">
        <f t="shared" si="1"/>
        <v>{"valorA":"aspirador","valorB":1.0}</v>
      </c>
      <c r="E23" s="8" t="str">
        <f t="shared" si="2"/>
        <v>aspirador</v>
      </c>
      <c r="F23" s="8"/>
      <c r="G23" s="8" t="str">
        <f t="shared" si="3"/>
        <v>1.0</v>
      </c>
      <c r="H23" s="9">
        <f t="shared" si="4"/>
        <v>1</v>
      </c>
      <c r="I23" s="6" t="str">
        <f>IFERROR(__xludf.DUMMYFUNCTION("MAX(FILTER($H:$H,$E:$E=F23))"),"#N/A")</f>
        <v>#N/A</v>
      </c>
    </row>
    <row r="24">
      <c r="A24" s="4"/>
      <c r="C24" s="4" t="s">
        <v>4061</v>
      </c>
      <c r="D24" s="4" t="str">
        <f t="shared" si="1"/>
        <v>{"valorA":"carregador de celular","valorB":2.0}</v>
      </c>
      <c r="E24" s="8" t="str">
        <f t="shared" si="2"/>
        <v>carregador de celular</v>
      </c>
      <c r="F24" s="8"/>
      <c r="G24" s="8" t="str">
        <f t="shared" si="3"/>
        <v>2.0</v>
      </c>
      <c r="H24" s="9">
        <f t="shared" si="4"/>
        <v>2</v>
      </c>
      <c r="I24" s="6" t="str">
        <f>IFERROR(__xludf.DUMMYFUNCTION("MAX(FILTER($H:$H,$E:$E=F24))"),"#N/A")</f>
        <v>#N/A</v>
      </c>
    </row>
    <row r="25">
      <c r="A25" s="4"/>
      <c r="C25" s="4" t="s">
        <v>8717</v>
      </c>
      <c r="D25" s="4" t="str">
        <f t="shared" si="1"/>
        <v>{"valorA":"lustre","valorB":4.0}</v>
      </c>
      <c r="E25" s="8" t="str">
        <f t="shared" si="2"/>
        <v>lustre</v>
      </c>
      <c r="F25" s="8"/>
      <c r="G25" s="8" t="str">
        <f t="shared" si="3"/>
        <v>4.0</v>
      </c>
      <c r="H25" s="9">
        <f t="shared" si="4"/>
        <v>4</v>
      </c>
      <c r="I25" s="6" t="str">
        <f>IFERROR(__xludf.DUMMYFUNCTION("MAX(FILTER($H:$H,$E:$E=F25))"),"#N/A")</f>
        <v>#N/A</v>
      </c>
    </row>
    <row r="26">
      <c r="A26" s="4"/>
      <c r="C26" s="4" t="s">
        <v>4062</v>
      </c>
      <c r="D26" s="4" t="str">
        <f t="shared" si="1"/>
        <v>{"valorA":"purificador de água","valorB":3.0}</v>
      </c>
      <c r="E26" s="8" t="str">
        <f t="shared" si="2"/>
        <v>purificador de água</v>
      </c>
      <c r="F26" s="8"/>
      <c r="G26" s="8" t="str">
        <f t="shared" si="3"/>
        <v>3.0</v>
      </c>
      <c r="H26" s="9">
        <f t="shared" si="4"/>
        <v>3</v>
      </c>
      <c r="I26" s="6" t="str">
        <f>IFERROR(__xludf.DUMMYFUNCTION("MAX(FILTER($H:$H,$E:$E=F26))"),"#N/A")</f>
        <v>#N/A</v>
      </c>
    </row>
    <row r="27">
      <c r="A27" s="4"/>
      <c r="C27" s="4" t="s">
        <v>4119</v>
      </c>
      <c r="D27" s="4" t="str">
        <f t="shared" si="1"/>
        <v>{"valorA":"microondas","valorB":7.0}</v>
      </c>
      <c r="E27" s="8" t="str">
        <f t="shared" si="2"/>
        <v>microondas</v>
      </c>
      <c r="F27" s="8"/>
      <c r="G27" s="8" t="str">
        <f t="shared" si="3"/>
        <v>7.0</v>
      </c>
      <c r="H27" s="9">
        <f t="shared" si="4"/>
        <v>7</v>
      </c>
      <c r="I27" s="6" t="str">
        <f>IFERROR(__xludf.DUMMYFUNCTION("MAX(FILTER($H:$H,$E:$E=F27))"),"#N/A")</f>
        <v>#N/A</v>
      </c>
    </row>
    <row r="28">
      <c r="A28" s="4"/>
      <c r="C28" s="4" t="s">
        <v>8718</v>
      </c>
      <c r="D28" s="4" t="str">
        <f t="shared" si="1"/>
        <v>{"valorA":"relógio","valorB":4.0}</v>
      </c>
      <c r="E28" s="8" t="str">
        <f t="shared" si="2"/>
        <v>relógio</v>
      </c>
      <c r="F28" s="8"/>
      <c r="G28" s="8" t="str">
        <f t="shared" si="3"/>
        <v>4.0</v>
      </c>
      <c r="H28" s="9">
        <f t="shared" si="4"/>
        <v>4</v>
      </c>
      <c r="I28" s="6" t="str">
        <f>IFERROR(__xludf.DUMMYFUNCTION("MAX(FILTER($H:$H,$E:$E=F28))"),"#N/A")</f>
        <v>#N/A</v>
      </c>
    </row>
    <row r="29">
      <c r="A29" s="4"/>
      <c r="C29" s="4" t="s">
        <v>4086</v>
      </c>
      <c r="D29" s="4" t="str">
        <f t="shared" si="1"/>
        <v>{"valorA":"carregador de computador","valorB":5.0}</v>
      </c>
      <c r="E29" s="8" t="str">
        <f t="shared" si="2"/>
        <v>carregador de computador</v>
      </c>
      <c r="F29" s="8"/>
      <c r="G29" s="8" t="str">
        <f t="shared" si="3"/>
        <v>5.0</v>
      </c>
      <c r="H29" s="9">
        <f t="shared" si="4"/>
        <v>5</v>
      </c>
      <c r="I29" s="6" t="str">
        <f>IFERROR(__xludf.DUMMYFUNCTION("MAX(FILTER($H:$H,$E:$E=F29))"),"#N/A")</f>
        <v>#N/A</v>
      </c>
    </row>
    <row r="30">
      <c r="A30" s="4"/>
      <c r="C30" s="4" t="s">
        <v>8719</v>
      </c>
      <c r="D30" s="4" t="str">
        <f t="shared" si="1"/>
        <v>{"valorA":"ventilador","valorB":3.0}</v>
      </c>
      <c r="E30" s="8" t="str">
        <f t="shared" si="2"/>
        <v>ventilador</v>
      </c>
      <c r="F30" s="8"/>
      <c r="G30" s="8" t="str">
        <f t="shared" si="3"/>
        <v>3.0</v>
      </c>
      <c r="H30" s="9">
        <f t="shared" si="4"/>
        <v>3</v>
      </c>
      <c r="I30" s="6" t="str">
        <f>IFERROR(__xludf.DUMMYFUNCTION("MAX(FILTER($H:$H,$E:$E=F30))"),"#N/A")</f>
        <v>#N/A</v>
      </c>
    </row>
    <row r="31">
      <c r="A31" s="4"/>
      <c r="C31" s="4" t="s">
        <v>4088</v>
      </c>
      <c r="D31" s="4" t="str">
        <f t="shared" si="1"/>
        <v>{"valorA":"fone de ouvido","valorB":7.0}</v>
      </c>
      <c r="E31" s="8" t="str">
        <f t="shared" si="2"/>
        <v>fone de ouvido</v>
      </c>
      <c r="F31" s="8"/>
      <c r="G31" s="8" t="str">
        <f t="shared" si="3"/>
        <v>7.0</v>
      </c>
      <c r="H31" s="9">
        <f t="shared" si="4"/>
        <v>7</v>
      </c>
      <c r="I31" s="6" t="str">
        <f>IFERROR(__xludf.DUMMYFUNCTION("MAX(FILTER($H:$H,$E:$E=F31))"),"#N/A")</f>
        <v>#N/A</v>
      </c>
    </row>
    <row r="32">
      <c r="A32" s="4"/>
      <c r="C32" s="4" t="s">
        <v>4089</v>
      </c>
      <c r="D32" s="4" t="str">
        <f t="shared" si="1"/>
        <v>{"valorA":"roteador","valorB":7.0}</v>
      </c>
      <c r="E32" s="8" t="str">
        <f t="shared" si="2"/>
        <v>roteador</v>
      </c>
      <c r="F32" s="8"/>
      <c r="G32" s="8" t="str">
        <f t="shared" si="3"/>
        <v>7.0</v>
      </c>
      <c r="H32" s="9">
        <f t="shared" si="4"/>
        <v>7</v>
      </c>
      <c r="I32" s="6" t="str">
        <f>IFERROR(__xludf.DUMMYFUNCTION("MAX(FILTER($H:$H,$E:$E=F32))"),"#N/A")</f>
        <v>#N/A</v>
      </c>
    </row>
    <row r="33">
      <c r="A33" s="4"/>
      <c r="C33" s="4" t="s">
        <v>4090</v>
      </c>
      <c r="D33" s="4" t="str">
        <f t="shared" si="1"/>
        <v>{"valorA":"teclado de computador","valorB":4.0}</v>
      </c>
      <c r="E33" s="8" t="str">
        <f t="shared" si="2"/>
        <v>teclado de computador</v>
      </c>
      <c r="F33" s="8"/>
      <c r="G33" s="8" t="str">
        <f t="shared" si="3"/>
        <v>4.0</v>
      </c>
      <c r="H33" s="9">
        <f t="shared" si="4"/>
        <v>4</v>
      </c>
      <c r="I33" s="6" t="str">
        <f>IFERROR(__xludf.DUMMYFUNCTION("MAX(FILTER($H:$H,$E:$E=F33))"),"#N/A")</f>
        <v>#N/A</v>
      </c>
    </row>
    <row r="34">
      <c r="A34" s="4"/>
      <c r="C34" s="4" t="s">
        <v>8720</v>
      </c>
      <c r="D34" s="4" t="str">
        <f t="shared" si="1"/>
        <v>{"valorA":"computador","valorB":6.0}</v>
      </c>
      <c r="E34" s="8" t="str">
        <f t="shared" si="2"/>
        <v>computador</v>
      </c>
      <c r="F34" s="8"/>
      <c r="G34" s="8" t="str">
        <f t="shared" si="3"/>
        <v>6.0</v>
      </c>
      <c r="H34" s="9">
        <f t="shared" si="4"/>
        <v>6</v>
      </c>
      <c r="I34" s="6" t="str">
        <f>IFERROR(__xludf.DUMMYFUNCTION("MAX(FILTER($H:$H,$E:$E=F34))"),"#N/A")</f>
        <v>#N/A</v>
      </c>
    </row>
    <row r="35">
      <c r="A35" s="4"/>
      <c r="C35" s="4" t="s">
        <v>4110</v>
      </c>
      <c r="D35" s="4" t="str">
        <f t="shared" si="1"/>
        <v>{"valorA":"chuveiro elétrico","valorB":5.0}</v>
      </c>
      <c r="E35" s="8" t="str">
        <f t="shared" si="2"/>
        <v>chuveiro elétrico</v>
      </c>
      <c r="F35" s="8"/>
      <c r="G35" s="8" t="str">
        <f t="shared" si="3"/>
        <v>5.0</v>
      </c>
      <c r="H35" s="9">
        <f t="shared" si="4"/>
        <v>5</v>
      </c>
      <c r="I35" s="6" t="str">
        <f>IFERROR(__xludf.DUMMYFUNCTION("MAX(FILTER($H:$H,$E:$E=F35))"),"#N/A")</f>
        <v>#N/A</v>
      </c>
    </row>
    <row r="36">
      <c r="A36" s="4"/>
      <c r="C36" s="4" t="s">
        <v>4112</v>
      </c>
      <c r="D36" s="4" t="str">
        <f t="shared" si="1"/>
        <v>{"valorA":"mouse de computador","valorB":7.0}</v>
      </c>
      <c r="E36" s="8" t="str">
        <f t="shared" si="2"/>
        <v>mouse de computador</v>
      </c>
      <c r="F36" s="8"/>
      <c r="G36" s="8" t="str">
        <f t="shared" si="3"/>
        <v>7.0</v>
      </c>
      <c r="H36" s="9">
        <f t="shared" si="4"/>
        <v>7</v>
      </c>
      <c r="I36" s="6" t="str">
        <f>IFERROR(__xludf.DUMMYFUNCTION("MAX(FILTER($H:$H,$E:$E=F36))"),"#N/A")</f>
        <v>#N/A</v>
      </c>
    </row>
    <row r="37">
      <c r="A37" s="4"/>
      <c r="C37" s="4" t="s">
        <v>8721</v>
      </c>
      <c r="D37" s="4" t="str">
        <f t="shared" si="1"/>
        <v>{"valorA":"freezer","valorB":8.0}</v>
      </c>
      <c r="E37" s="8" t="str">
        <f t="shared" si="2"/>
        <v>freezer</v>
      </c>
      <c r="F37" s="8"/>
      <c r="G37" s="8" t="str">
        <f t="shared" si="3"/>
        <v>8.0</v>
      </c>
      <c r="H37" s="9">
        <f t="shared" si="4"/>
        <v>8</v>
      </c>
      <c r="I37" s="6" t="str">
        <f>IFERROR(__xludf.DUMMYFUNCTION("MAX(FILTER($H:$H,$E:$E=F37))"),"#N/A")</f>
        <v>#N/A</v>
      </c>
    </row>
    <row r="38">
      <c r="A38" s="4"/>
      <c r="C38" s="4" t="s">
        <v>8722</v>
      </c>
      <c r="D38" s="4" t="str">
        <f t="shared" si="1"/>
        <v>{"valorA":"ar condicionado","valorB":7.0}</v>
      </c>
      <c r="E38" s="8" t="str">
        <f t="shared" si="2"/>
        <v>ar condicionado</v>
      </c>
      <c r="F38" s="8"/>
      <c r="G38" s="8" t="str">
        <f t="shared" si="3"/>
        <v>7.0</v>
      </c>
      <c r="H38" s="9">
        <f t="shared" si="4"/>
        <v>7</v>
      </c>
      <c r="I38" s="6" t="str">
        <f>IFERROR(__xludf.DUMMYFUNCTION("MAX(FILTER($H:$H,$E:$E=F38))"),"#N/A")</f>
        <v>#N/A</v>
      </c>
    </row>
    <row r="39">
      <c r="A39" s="4"/>
      <c r="C39" s="4" t="s">
        <v>4059</v>
      </c>
      <c r="D39" s="4" t="str">
        <f t="shared" si="1"/>
        <v>{"valorA":"filtro de linha","valorB":6.0}</v>
      </c>
      <c r="E39" s="8" t="str">
        <f t="shared" si="2"/>
        <v>filtro de linha</v>
      </c>
      <c r="F39" s="8"/>
      <c r="G39" s="8" t="str">
        <f t="shared" si="3"/>
        <v>6.0</v>
      </c>
      <c r="H39" s="9">
        <f t="shared" si="4"/>
        <v>6</v>
      </c>
      <c r="I39" s="6" t="str">
        <f>IFERROR(__xludf.DUMMYFUNCTION("MAX(FILTER($H:$H,$E:$E=F39))"),"#N/A")</f>
        <v>#N/A</v>
      </c>
    </row>
    <row r="40">
      <c r="A40" s="4"/>
      <c r="C40" s="4" t="s">
        <v>4115</v>
      </c>
      <c r="D40" s="4" t="str">
        <f t="shared" si="1"/>
        <v>{"valorA":"fogão","valorB":13.0}</v>
      </c>
      <c r="E40" s="8" t="str">
        <f t="shared" si="2"/>
        <v>fogão</v>
      </c>
      <c r="F40" s="8"/>
      <c r="G40" s="8" t="str">
        <f t="shared" si="3"/>
        <v>13.0</v>
      </c>
      <c r="H40" s="9">
        <f t="shared" si="4"/>
        <v>13</v>
      </c>
      <c r="I40" s="6" t="str">
        <f>IFERROR(__xludf.DUMMYFUNCTION("MAX(FILTER($H:$H,$E:$E=F40))"),"#N/A")</f>
        <v>#N/A</v>
      </c>
    </row>
    <row r="41">
      <c r="A41" s="4"/>
      <c r="C41" s="4" t="s">
        <v>8723</v>
      </c>
      <c r="D41" s="4" t="str">
        <f t="shared" si="1"/>
        <v>{"valorA":"aspirador","valorB":3.0}</v>
      </c>
      <c r="E41" s="8" t="str">
        <f t="shared" si="2"/>
        <v>aspirador</v>
      </c>
      <c r="F41" s="8"/>
      <c r="G41" s="8" t="str">
        <f t="shared" si="3"/>
        <v>3.0</v>
      </c>
      <c r="H41" s="9">
        <f t="shared" si="4"/>
        <v>3</v>
      </c>
      <c r="I41" s="6" t="str">
        <f>IFERROR(__xludf.DUMMYFUNCTION("MAX(FILTER($H:$H,$E:$E=F41))"),"#N/A")</f>
        <v>#N/A</v>
      </c>
    </row>
    <row r="42">
      <c r="A42" s="4"/>
      <c r="C42" s="4" t="s">
        <v>4080</v>
      </c>
      <c r="D42" s="4" t="str">
        <f t="shared" si="1"/>
        <v>{"valorA":"celular","valorB":3.0}</v>
      </c>
      <c r="E42" s="8" t="str">
        <f t="shared" si="2"/>
        <v>celular</v>
      </c>
      <c r="F42" s="8"/>
      <c r="G42" s="8" t="str">
        <f t="shared" si="3"/>
        <v>3.0</v>
      </c>
      <c r="H42" s="9">
        <f t="shared" si="4"/>
        <v>3</v>
      </c>
      <c r="I42" s="6" t="str">
        <f>IFERROR(__xludf.DUMMYFUNCTION("MAX(FILTER($H:$H,$E:$E=F42))"),"#N/A")</f>
        <v>#N/A</v>
      </c>
    </row>
    <row r="43">
      <c r="A43" s="4"/>
      <c r="C43" s="4" t="s">
        <v>8724</v>
      </c>
      <c r="D43" s="4" t="str">
        <f t="shared" si="1"/>
        <v>{"valorA":"carregador de celular","valorB":5.0}</v>
      </c>
      <c r="E43" s="8" t="str">
        <f t="shared" si="2"/>
        <v>carregador de celular</v>
      </c>
      <c r="F43" s="8"/>
      <c r="G43" s="8" t="str">
        <f t="shared" si="3"/>
        <v>5.0</v>
      </c>
      <c r="H43" s="9">
        <f t="shared" si="4"/>
        <v>5</v>
      </c>
      <c r="I43" s="6" t="str">
        <f>IFERROR(__xludf.DUMMYFUNCTION("MAX(FILTER($H:$H,$E:$E=F43))"),"#N/A")</f>
        <v>#N/A</v>
      </c>
    </row>
    <row r="44">
      <c r="A44" s="4"/>
      <c r="C44" s="4" t="s">
        <v>8725</v>
      </c>
      <c r="D44" s="4" t="str">
        <f t="shared" si="1"/>
        <v>{"valorA":"purificador de água","valorB":7.0}</v>
      </c>
      <c r="E44" s="8" t="str">
        <f t="shared" si="2"/>
        <v>purificador de água</v>
      </c>
      <c r="F44" s="8"/>
      <c r="G44" s="8" t="str">
        <f t="shared" si="3"/>
        <v>7.0</v>
      </c>
      <c r="H44" s="9">
        <f t="shared" si="4"/>
        <v>7</v>
      </c>
      <c r="I44" s="6" t="str">
        <f>IFERROR(__xludf.DUMMYFUNCTION("MAX(FILTER($H:$H,$E:$E=F44))"),"#N/A")</f>
        <v>#N/A</v>
      </c>
    </row>
    <row r="45">
      <c r="A45" s="4"/>
      <c r="C45" s="4" t="s">
        <v>4101</v>
      </c>
      <c r="D45" s="4" t="str">
        <f t="shared" si="1"/>
        <v>{"valorA":"lustre","valorB":6.0}</v>
      </c>
      <c r="E45" s="8" t="str">
        <f t="shared" si="2"/>
        <v>lustre</v>
      </c>
      <c r="F45" s="8"/>
      <c r="G45" s="8" t="str">
        <f t="shared" si="3"/>
        <v>6.0</v>
      </c>
      <c r="H45" s="9">
        <f t="shared" si="4"/>
        <v>6</v>
      </c>
      <c r="I45" s="6" t="str">
        <f>IFERROR(__xludf.DUMMYFUNCTION("MAX(FILTER($H:$H,$E:$E=F45))"),"#N/A")</f>
        <v>#N/A</v>
      </c>
    </row>
    <row r="46">
      <c r="A46" s="4"/>
      <c r="C46" s="4" t="s">
        <v>4195</v>
      </c>
      <c r="D46" s="4" t="str">
        <f t="shared" si="1"/>
        <v>{"valorA":"microondas","valorB":11.0}</v>
      </c>
      <c r="E46" s="8" t="str">
        <f t="shared" si="2"/>
        <v>microondas</v>
      </c>
      <c r="F46" s="8"/>
      <c r="G46" s="8" t="str">
        <f t="shared" si="3"/>
        <v>11.0</v>
      </c>
      <c r="H46" s="9">
        <f t="shared" si="4"/>
        <v>11</v>
      </c>
      <c r="I46" s="6" t="str">
        <f>IFERROR(__xludf.DUMMYFUNCTION("MAX(FILTER($H:$H,$E:$E=F46))"),"#N/A")</f>
        <v>#N/A</v>
      </c>
    </row>
    <row r="47">
      <c r="A47" s="4"/>
      <c r="C47" s="4" t="s">
        <v>8726</v>
      </c>
      <c r="D47" s="4" t="str">
        <f t="shared" si="1"/>
        <v>{"valorA":"relógio","valorB":5.0}</v>
      </c>
      <c r="E47" s="8" t="str">
        <f t="shared" si="2"/>
        <v>relógio</v>
      </c>
      <c r="F47" s="8"/>
      <c r="G47" s="8" t="str">
        <f t="shared" si="3"/>
        <v>5.0</v>
      </c>
      <c r="H47" s="9">
        <f t="shared" si="4"/>
        <v>5</v>
      </c>
      <c r="I47" s="6" t="str">
        <f>IFERROR(__xludf.DUMMYFUNCTION("MAX(FILTER($H:$H,$E:$E=F47))"),"#N/A")</f>
        <v>#N/A</v>
      </c>
    </row>
    <row r="48">
      <c r="A48" s="4"/>
      <c r="C48" s="4" t="s">
        <v>8727</v>
      </c>
      <c r="D48" s="4" t="str">
        <f t="shared" si="1"/>
        <v>{"valorA":"ventilador","valorB":4.0}</v>
      </c>
      <c r="E48" s="8" t="str">
        <f t="shared" si="2"/>
        <v>ventilador</v>
      </c>
      <c r="F48" s="8"/>
      <c r="G48" s="8" t="str">
        <f t="shared" si="3"/>
        <v>4.0</v>
      </c>
      <c r="H48" s="9">
        <f t="shared" si="4"/>
        <v>4</v>
      </c>
      <c r="I48" s="6" t="str">
        <f>IFERROR(__xludf.DUMMYFUNCTION("MAX(FILTER($H:$H,$E:$E=F48))"),"#N/A")</f>
        <v>#N/A</v>
      </c>
    </row>
    <row r="49">
      <c r="A49" s="4"/>
      <c r="C49" s="4" t="s">
        <v>4105</v>
      </c>
      <c r="D49" s="4" t="str">
        <f t="shared" si="1"/>
        <v>{"valorA":"fone de ouvido","valorB":8.0}</v>
      </c>
      <c r="E49" s="8" t="str">
        <f t="shared" si="2"/>
        <v>fone de ouvido</v>
      </c>
      <c r="F49" s="8"/>
      <c r="G49" s="8" t="str">
        <f t="shared" si="3"/>
        <v>8.0</v>
      </c>
      <c r="H49" s="9">
        <f t="shared" si="4"/>
        <v>8</v>
      </c>
      <c r="I49" s="6" t="str">
        <f>IFERROR(__xludf.DUMMYFUNCTION("MAX(FILTER($H:$H,$E:$E=F49))"),"#N/A")</f>
        <v>#N/A</v>
      </c>
    </row>
    <row r="50">
      <c r="A50" s="4"/>
      <c r="C50" s="4" t="s">
        <v>8728</v>
      </c>
      <c r="D50" s="4" t="str">
        <f t="shared" si="1"/>
        <v>{"valorA":"roteador","valorB":9.0}</v>
      </c>
      <c r="E50" s="8" t="str">
        <f t="shared" si="2"/>
        <v>roteador</v>
      </c>
      <c r="F50" s="8"/>
      <c r="G50" s="8" t="str">
        <f t="shared" si="3"/>
        <v>9.0</v>
      </c>
      <c r="H50" s="9">
        <f t="shared" si="4"/>
        <v>9</v>
      </c>
      <c r="I50" s="6" t="str">
        <f>IFERROR(__xludf.DUMMYFUNCTION("MAX(FILTER($H:$H,$E:$E=F50))"),"#N/A")</f>
        <v>#N/A</v>
      </c>
    </row>
    <row r="51">
      <c r="A51" s="4"/>
      <c r="C51" s="4" t="s">
        <v>4107</v>
      </c>
      <c r="D51" s="4" t="str">
        <f t="shared" si="1"/>
        <v>{"valorA":"teclado de computador","valorB":6.0}</v>
      </c>
      <c r="E51" s="8" t="str">
        <f t="shared" si="2"/>
        <v>teclado de computador</v>
      </c>
      <c r="F51" s="8"/>
      <c r="G51" s="8" t="str">
        <f t="shared" si="3"/>
        <v>6.0</v>
      </c>
      <c r="H51" s="9">
        <f t="shared" si="4"/>
        <v>6</v>
      </c>
      <c r="I51" s="6" t="str">
        <f>IFERROR(__xludf.DUMMYFUNCTION("MAX(FILTER($H:$H,$E:$E=F51))"),"#N/A")</f>
        <v>#N/A</v>
      </c>
    </row>
    <row r="52">
      <c r="A52" s="4"/>
      <c r="C52" s="4" t="s">
        <v>8729</v>
      </c>
      <c r="D52" s="4" t="str">
        <f t="shared" si="1"/>
        <v>{"valorA":"liquidificador","valorB":5.0}</v>
      </c>
      <c r="E52" s="8" t="str">
        <f t="shared" si="2"/>
        <v>liquidificador</v>
      </c>
      <c r="F52" s="8"/>
      <c r="G52" s="8" t="str">
        <f t="shared" si="3"/>
        <v>5.0</v>
      </c>
      <c r="H52" s="9">
        <f t="shared" si="4"/>
        <v>5</v>
      </c>
      <c r="I52" s="6" t="str">
        <f>IFERROR(__xludf.DUMMYFUNCTION("MAX(FILTER($H:$H,$E:$E=F52))"),"#N/A")</f>
        <v>#N/A</v>
      </c>
    </row>
    <row r="53">
      <c r="A53" s="4"/>
      <c r="C53" s="4" t="s">
        <v>4092</v>
      </c>
      <c r="D53" s="4" t="str">
        <f t="shared" si="1"/>
        <v>{"valorA":"computador","valorB":9.0}</v>
      </c>
      <c r="E53" s="8" t="str">
        <f t="shared" si="2"/>
        <v>computador</v>
      </c>
      <c r="F53" s="8"/>
      <c r="G53" s="8" t="str">
        <f t="shared" si="3"/>
        <v>9.0</v>
      </c>
      <c r="H53" s="9">
        <f t="shared" si="4"/>
        <v>9</v>
      </c>
      <c r="I53" s="6" t="str">
        <f>IFERROR(__xludf.DUMMYFUNCTION("MAX(FILTER($H:$H,$E:$E=F53))"),"#N/A")</f>
        <v>#N/A</v>
      </c>
    </row>
    <row r="54">
      <c r="A54" s="4"/>
      <c r="C54" s="4" t="s">
        <v>8730</v>
      </c>
      <c r="D54" s="4" t="str">
        <f t="shared" si="1"/>
        <v>{"valorA":"chuveiro elétrico","valorB":12.0}</v>
      </c>
      <c r="E54" s="8" t="str">
        <f t="shared" si="2"/>
        <v>chuveiro elétrico</v>
      </c>
      <c r="F54" s="8"/>
      <c r="G54" s="8" t="str">
        <f t="shared" si="3"/>
        <v>12.0</v>
      </c>
      <c r="H54" s="9">
        <f t="shared" si="4"/>
        <v>12</v>
      </c>
      <c r="I54" s="6" t="str">
        <f>IFERROR(__xludf.DUMMYFUNCTION("MAX(FILTER($H:$H,$E:$E=F54))"),"#N/A")</f>
        <v>#N/A</v>
      </c>
    </row>
    <row r="55">
      <c r="A55" s="4"/>
      <c r="C55" s="4" t="s">
        <v>8731</v>
      </c>
      <c r="D55" s="4" t="str">
        <f t="shared" si="1"/>
        <v>{"valorA":"mouse de computador","valorB":10.0}</v>
      </c>
      <c r="E55" s="8" t="str">
        <f t="shared" si="2"/>
        <v>mouse de computador</v>
      </c>
      <c r="F55" s="8"/>
      <c r="G55" s="8" t="str">
        <f t="shared" si="3"/>
        <v>10.0</v>
      </c>
      <c r="H55" s="9">
        <f t="shared" si="4"/>
        <v>10</v>
      </c>
      <c r="I55" s="6" t="str">
        <f>IFERROR(__xludf.DUMMYFUNCTION("MAX(FILTER($H:$H,$E:$E=F55))"),"#N/A")</f>
        <v>#N/A</v>
      </c>
    </row>
    <row r="56">
      <c r="A56" s="4"/>
      <c r="C56" s="4" t="s">
        <v>8732</v>
      </c>
      <c r="D56" s="4" t="str">
        <f t="shared" si="1"/>
        <v>{"valorA":"freezer","valorB":13.0}</v>
      </c>
      <c r="E56" s="8" t="str">
        <f t="shared" si="2"/>
        <v>freezer</v>
      </c>
      <c r="F56" s="8"/>
      <c r="G56" s="8" t="str">
        <f t="shared" si="3"/>
        <v>13.0</v>
      </c>
      <c r="H56" s="9">
        <f t="shared" si="4"/>
        <v>13</v>
      </c>
      <c r="I56" s="6" t="str">
        <f>IFERROR(__xludf.DUMMYFUNCTION("MAX(FILTER($H:$H,$E:$E=F56))"),"#N/A")</f>
        <v>#N/A</v>
      </c>
    </row>
    <row r="57">
      <c r="A57" s="4"/>
      <c r="C57" s="4" t="s">
        <v>8733</v>
      </c>
      <c r="D57" s="4" t="str">
        <f t="shared" si="1"/>
        <v>{"valorA":"ar condicionado","valorB":9.0}</v>
      </c>
      <c r="E57" s="8" t="str">
        <f t="shared" si="2"/>
        <v>ar condicionado</v>
      </c>
      <c r="F57" s="8"/>
      <c r="G57" s="8" t="str">
        <f t="shared" si="3"/>
        <v>9.0</v>
      </c>
      <c r="H57" s="9">
        <f t="shared" si="4"/>
        <v>9</v>
      </c>
      <c r="I57" s="6" t="str">
        <f>IFERROR(__xludf.DUMMYFUNCTION("MAX(FILTER($H:$H,$E:$E=F57))"),"#N/A")</f>
        <v>#N/A</v>
      </c>
    </row>
    <row r="58">
      <c r="A58" s="4"/>
      <c r="C58" s="4" t="s">
        <v>8734</v>
      </c>
      <c r="D58" s="4" t="str">
        <f t="shared" si="1"/>
        <v>{"valorA":"fogão","valorB":15.0}</v>
      </c>
      <c r="E58" s="8" t="str">
        <f t="shared" si="2"/>
        <v>fogão</v>
      </c>
      <c r="F58" s="8"/>
      <c r="G58" s="8" t="str">
        <f t="shared" si="3"/>
        <v>15.0</v>
      </c>
      <c r="H58" s="9">
        <f t="shared" si="4"/>
        <v>15</v>
      </c>
      <c r="I58" s="6" t="str">
        <f>IFERROR(__xludf.DUMMYFUNCTION("MAX(FILTER($H:$H,$E:$E=F58))"),"#N/A")</f>
        <v>#N/A</v>
      </c>
    </row>
    <row r="59">
      <c r="A59" s="4"/>
      <c r="C59" s="4" t="s">
        <v>4079</v>
      </c>
      <c r="D59" s="4" t="str">
        <f t="shared" si="1"/>
        <v>{"valorA":"aspirador","valorB":6.0}</v>
      </c>
      <c r="E59" s="8" t="str">
        <f t="shared" si="2"/>
        <v>aspirador</v>
      </c>
      <c r="F59" s="8"/>
      <c r="G59" s="8" t="str">
        <f t="shared" si="3"/>
        <v>6.0</v>
      </c>
      <c r="H59" s="9">
        <f t="shared" si="4"/>
        <v>6</v>
      </c>
      <c r="I59" s="6" t="str">
        <f>IFERROR(__xludf.DUMMYFUNCTION("MAX(FILTER($H:$H,$E:$E=F59))"),"#N/A")</f>
        <v>#N/A</v>
      </c>
    </row>
    <row r="60">
      <c r="A60" s="4"/>
      <c r="C60" s="4" t="s">
        <v>4116</v>
      </c>
      <c r="D60" s="4" t="str">
        <f t="shared" si="1"/>
        <v>{"valorA":"celular","valorB":7.0}</v>
      </c>
      <c r="E60" s="8" t="str">
        <f t="shared" si="2"/>
        <v>celular</v>
      </c>
      <c r="F60" s="8"/>
      <c r="G60" s="8" t="str">
        <f t="shared" si="3"/>
        <v>7.0</v>
      </c>
      <c r="H60" s="9">
        <f t="shared" si="4"/>
        <v>7</v>
      </c>
      <c r="I60" s="6" t="str">
        <f>IFERROR(__xludf.DUMMYFUNCTION("MAX(FILTER($H:$H,$E:$E=F60))"),"#N/A")</f>
        <v>#N/A</v>
      </c>
    </row>
    <row r="61">
      <c r="A61" s="4"/>
      <c r="C61" s="4" t="s">
        <v>8735</v>
      </c>
      <c r="D61" s="4" t="str">
        <f t="shared" si="1"/>
        <v>{"valorA":"carregador de celular","valorB":8.0}</v>
      </c>
      <c r="E61" s="8" t="str">
        <f t="shared" si="2"/>
        <v>carregador de celular</v>
      </c>
      <c r="F61" s="8"/>
      <c r="G61" s="8" t="str">
        <f t="shared" si="3"/>
        <v>8.0</v>
      </c>
      <c r="H61" s="9">
        <f t="shared" si="4"/>
        <v>8</v>
      </c>
      <c r="I61" s="6" t="str">
        <f>IFERROR(__xludf.DUMMYFUNCTION("MAX(FILTER($H:$H,$E:$E=F61))"),"#N/A")</f>
        <v>#N/A</v>
      </c>
    </row>
    <row r="62">
      <c r="A62" s="4"/>
      <c r="C62" s="4" t="s">
        <v>8736</v>
      </c>
      <c r="D62" s="4" t="str">
        <f t="shared" si="1"/>
        <v>{"valorA":"purificador de água","valorB":8.0}</v>
      </c>
      <c r="E62" s="8" t="str">
        <f t="shared" si="2"/>
        <v>purificador de água</v>
      </c>
      <c r="F62" s="8"/>
      <c r="G62" s="8" t="str">
        <f t="shared" si="3"/>
        <v>8.0</v>
      </c>
      <c r="H62" s="9">
        <f t="shared" si="4"/>
        <v>8</v>
      </c>
      <c r="I62" s="6" t="str">
        <f>IFERROR(__xludf.DUMMYFUNCTION("MAX(FILTER($H:$H,$E:$E=F62))"),"#N/A")</f>
        <v>#N/A</v>
      </c>
    </row>
    <row r="63">
      <c r="A63" s="4"/>
      <c r="C63" s="4" t="s">
        <v>8737</v>
      </c>
      <c r="D63" s="4" t="str">
        <f t="shared" si="1"/>
        <v>{"valorA":"lustre","valorB":7.0}</v>
      </c>
      <c r="E63" s="8" t="str">
        <f t="shared" si="2"/>
        <v>lustre</v>
      </c>
      <c r="F63" s="8"/>
      <c r="G63" s="8" t="str">
        <f t="shared" si="3"/>
        <v>7.0</v>
      </c>
      <c r="H63" s="9">
        <f t="shared" si="4"/>
        <v>7</v>
      </c>
      <c r="I63" s="6" t="str">
        <f>IFERROR(__xludf.DUMMYFUNCTION("MAX(FILTER($H:$H,$E:$E=F63))"),"#N/A")</f>
        <v>#N/A</v>
      </c>
    </row>
    <row r="64">
      <c r="A64" s="4"/>
      <c r="C64" s="4" t="s">
        <v>8738</v>
      </c>
      <c r="D64" s="4" t="str">
        <f t="shared" si="1"/>
        <v>{"valorA":"microondas","valorB":13.0}</v>
      </c>
      <c r="E64" s="8" t="str">
        <f t="shared" si="2"/>
        <v>microondas</v>
      </c>
      <c r="F64" s="8"/>
      <c r="G64" s="8" t="str">
        <f t="shared" si="3"/>
        <v>13.0</v>
      </c>
      <c r="H64" s="9">
        <f t="shared" si="4"/>
        <v>13</v>
      </c>
      <c r="I64" s="6" t="str">
        <f>IFERROR(__xludf.DUMMYFUNCTION("MAX(FILTER($H:$H,$E:$E=F64))"),"#N/A")</f>
        <v>#N/A</v>
      </c>
    </row>
    <row r="65">
      <c r="A65" s="4"/>
      <c r="C65" s="4" t="s">
        <v>8739</v>
      </c>
      <c r="D65" s="4" t="str">
        <f t="shared" si="1"/>
        <v>{"valorA":"carregador de computador","valorB":7.0}</v>
      </c>
      <c r="E65" s="8" t="str">
        <f t="shared" si="2"/>
        <v>carregador de computador</v>
      </c>
      <c r="F65" s="8"/>
      <c r="G65" s="8" t="str">
        <f t="shared" si="3"/>
        <v>7.0</v>
      </c>
      <c r="H65" s="9">
        <f t="shared" si="4"/>
        <v>7</v>
      </c>
      <c r="I65" s="6" t="str">
        <f>IFERROR(__xludf.DUMMYFUNCTION("MAX(FILTER($H:$H,$E:$E=F65))"),"#N/A")</f>
        <v>#N/A</v>
      </c>
    </row>
    <row r="66">
      <c r="A66" s="4"/>
      <c r="C66" s="4" t="s">
        <v>4087</v>
      </c>
      <c r="D66" s="4" t="str">
        <f t="shared" si="1"/>
        <v>{"valorA":"ventilador","valorB":8.0}</v>
      </c>
      <c r="E66" s="8" t="str">
        <f t="shared" si="2"/>
        <v>ventilador</v>
      </c>
      <c r="F66" s="8"/>
      <c r="G66" s="8" t="str">
        <f t="shared" si="3"/>
        <v>8.0</v>
      </c>
      <c r="H66" s="9">
        <f t="shared" si="4"/>
        <v>8</v>
      </c>
      <c r="I66" s="6" t="str">
        <f>IFERROR(__xludf.DUMMYFUNCTION("MAX(FILTER($H:$H,$E:$E=F66))"),"#N/A")</f>
        <v>#N/A</v>
      </c>
    </row>
    <row r="67">
      <c r="A67" s="4"/>
      <c r="C67" s="4" t="s">
        <v>8740</v>
      </c>
      <c r="D67" s="4" t="str">
        <f t="shared" si="1"/>
        <v>{"valorA":"fone de ouvido","valorB":11.0}</v>
      </c>
      <c r="E67" s="8" t="str">
        <f t="shared" si="2"/>
        <v>fone de ouvido</v>
      </c>
      <c r="F67" s="8"/>
      <c r="G67" s="8" t="str">
        <f t="shared" si="3"/>
        <v>11.0</v>
      </c>
      <c r="H67" s="9">
        <f t="shared" si="4"/>
        <v>11</v>
      </c>
      <c r="I67" s="6" t="str">
        <f>IFERROR(__xludf.DUMMYFUNCTION("MAX(FILTER($H:$H,$E:$E=F67))"),"#N/A")</f>
        <v>#N/A</v>
      </c>
    </row>
    <row r="68">
      <c r="A68" s="4"/>
      <c r="C68" s="4" t="s">
        <v>4124</v>
      </c>
      <c r="D68" s="4" t="str">
        <f t="shared" si="1"/>
        <v>{"valorA":"roteador","valorB":14.0}</v>
      </c>
      <c r="E68" s="8" t="str">
        <f t="shared" si="2"/>
        <v>roteador</v>
      </c>
      <c r="F68" s="8"/>
      <c r="G68" s="8" t="str">
        <f t="shared" si="3"/>
        <v>14.0</v>
      </c>
      <c r="H68" s="9">
        <f t="shared" si="4"/>
        <v>14</v>
      </c>
      <c r="I68" s="6" t="str">
        <f>IFERROR(__xludf.DUMMYFUNCTION("MAX(FILTER($H:$H,$E:$E=F68))"),"#N/A")</f>
        <v>#N/A</v>
      </c>
    </row>
    <row r="69">
      <c r="A69" s="4"/>
      <c r="C69" s="4" t="s">
        <v>8741</v>
      </c>
      <c r="D69" s="4" t="str">
        <f t="shared" si="1"/>
        <v>{"valorA":"teclado de computador","valorB":7.0}</v>
      </c>
      <c r="E69" s="8" t="str">
        <f t="shared" si="2"/>
        <v>teclado de computador</v>
      </c>
      <c r="F69" s="8"/>
      <c r="G69" s="8" t="str">
        <f t="shared" si="3"/>
        <v>7.0</v>
      </c>
      <c r="H69" s="9">
        <f t="shared" si="4"/>
        <v>7</v>
      </c>
      <c r="I69" s="6" t="str">
        <f>IFERROR(__xludf.DUMMYFUNCTION("MAX(FILTER($H:$H,$E:$E=F69))"),"#N/A")</f>
        <v>#N/A</v>
      </c>
    </row>
    <row r="70">
      <c r="A70" s="4"/>
      <c r="C70" s="4" t="s">
        <v>4109</v>
      </c>
      <c r="D70" s="4" t="str">
        <f t="shared" si="1"/>
        <v>{"valorA":"computador","valorB":13.0}</v>
      </c>
      <c r="E70" s="8" t="str">
        <f t="shared" si="2"/>
        <v>computador</v>
      </c>
      <c r="F70" s="8"/>
      <c r="G70" s="8" t="str">
        <f t="shared" si="3"/>
        <v>13.0</v>
      </c>
      <c r="H70" s="9">
        <f t="shared" si="4"/>
        <v>13</v>
      </c>
      <c r="I70" s="6" t="str">
        <f>IFERROR(__xludf.DUMMYFUNCTION("MAX(FILTER($H:$H,$E:$E=F70))"),"#N/A")</f>
        <v>#N/A</v>
      </c>
    </row>
    <row r="71">
      <c r="A71" s="4"/>
      <c r="C71" s="4" t="s">
        <v>8742</v>
      </c>
      <c r="D71" s="4" t="str">
        <f t="shared" si="1"/>
        <v>{"valorA":"liquidificador","valorB":6.0}</v>
      </c>
      <c r="E71" s="8" t="str">
        <f t="shared" si="2"/>
        <v>liquidificador</v>
      </c>
      <c r="F71" s="8"/>
      <c r="G71" s="8" t="str">
        <f t="shared" si="3"/>
        <v>6.0</v>
      </c>
      <c r="H71" s="9">
        <f t="shared" si="4"/>
        <v>6</v>
      </c>
      <c r="I71" s="6" t="str">
        <f>IFERROR(__xludf.DUMMYFUNCTION("MAX(FILTER($H:$H,$E:$E=F71))"),"#N/A")</f>
        <v>#N/A</v>
      </c>
    </row>
    <row r="72">
      <c r="A72" s="4"/>
      <c r="C72" s="4" t="s">
        <v>8743</v>
      </c>
      <c r="D72" s="4" t="str">
        <f t="shared" si="1"/>
        <v>{"valorA":"chuveiro elétrico","valorB":16.0}</v>
      </c>
      <c r="E72" s="8" t="str">
        <f t="shared" si="2"/>
        <v>chuveiro elétrico</v>
      </c>
      <c r="F72" s="8"/>
      <c r="G72" s="8" t="str">
        <f t="shared" si="3"/>
        <v>16.0</v>
      </c>
      <c r="H72" s="9">
        <f t="shared" si="4"/>
        <v>16</v>
      </c>
      <c r="I72" s="6" t="str">
        <f>IFERROR(__xludf.DUMMYFUNCTION("MAX(FILTER($H:$H,$E:$E=F72))"),"#N/A")</f>
        <v>#N/A</v>
      </c>
    </row>
    <row r="73">
      <c r="A73" s="4"/>
      <c r="C73" s="4" t="s">
        <v>4185</v>
      </c>
      <c r="D73" s="4" t="str">
        <f t="shared" si="1"/>
        <v>{"valorA":"mouse de computador","valorB":13.0}</v>
      </c>
      <c r="E73" s="8" t="str">
        <f t="shared" si="2"/>
        <v>mouse de computador</v>
      </c>
      <c r="F73" s="8"/>
      <c r="G73" s="8" t="str">
        <f t="shared" si="3"/>
        <v>13.0</v>
      </c>
      <c r="H73" s="9">
        <f t="shared" si="4"/>
        <v>13</v>
      </c>
      <c r="I73" s="6" t="str">
        <f>IFERROR(__xludf.DUMMYFUNCTION("MAX(FILTER($H:$H,$E:$E=F73))"),"#N/A")</f>
        <v>#N/A</v>
      </c>
    </row>
    <row r="74">
      <c r="A74" s="4"/>
      <c r="C74" s="4" t="s">
        <v>4150</v>
      </c>
      <c r="D74" s="4" t="str">
        <f t="shared" si="1"/>
        <v>{"valorA":"freezer","valorB":15.0}</v>
      </c>
      <c r="E74" s="8" t="str">
        <f t="shared" si="2"/>
        <v>freezer</v>
      </c>
      <c r="F74" s="8"/>
      <c r="G74" s="8" t="str">
        <f t="shared" si="3"/>
        <v>15.0</v>
      </c>
      <c r="H74" s="9">
        <f t="shared" si="4"/>
        <v>15</v>
      </c>
      <c r="I74" s="6" t="str">
        <f>IFERROR(__xludf.DUMMYFUNCTION("MAX(FILTER($H:$H,$E:$E=F74))"),"#N/A")</f>
        <v>#N/A</v>
      </c>
    </row>
    <row r="75">
      <c r="A75" s="4"/>
      <c r="C75" s="4" t="s">
        <v>8744</v>
      </c>
      <c r="D75" s="4" t="str">
        <f t="shared" si="1"/>
        <v>{"valorA":"filtro de linha","valorB":8.0}</v>
      </c>
      <c r="E75" s="8" t="str">
        <f t="shared" si="2"/>
        <v>filtro de linha</v>
      </c>
      <c r="F75" s="8"/>
      <c r="G75" s="8" t="str">
        <f t="shared" si="3"/>
        <v>8.0</v>
      </c>
      <c r="H75" s="9">
        <f t="shared" si="4"/>
        <v>8</v>
      </c>
      <c r="I75" s="6" t="str">
        <f>IFERROR(__xludf.DUMMYFUNCTION("MAX(FILTER($H:$H,$E:$E=F75))"),"#N/A")</f>
        <v>#N/A</v>
      </c>
    </row>
    <row r="76">
      <c r="A76" s="4"/>
      <c r="C76" s="4" t="s">
        <v>8745</v>
      </c>
      <c r="D76" s="4" t="str">
        <f t="shared" si="1"/>
        <v>{"valorA":"aspirador","valorB":8.0}</v>
      </c>
      <c r="E76" s="8" t="str">
        <f t="shared" si="2"/>
        <v>aspirador</v>
      </c>
      <c r="F76" s="8"/>
      <c r="G76" s="8" t="str">
        <f t="shared" si="3"/>
        <v>8.0</v>
      </c>
      <c r="H76" s="9">
        <f t="shared" si="4"/>
        <v>8</v>
      </c>
      <c r="I76" s="6" t="str">
        <f>IFERROR(__xludf.DUMMYFUNCTION("MAX(FILTER($H:$H,$E:$E=F76))"),"#N/A")</f>
        <v>#N/A</v>
      </c>
    </row>
    <row r="77">
      <c r="A77" s="4"/>
      <c r="C77" s="4" t="s">
        <v>8746</v>
      </c>
      <c r="D77" s="4" t="str">
        <f t="shared" si="1"/>
        <v>{"valorA":"fogão","valorB":18.0}</v>
      </c>
      <c r="E77" s="8" t="str">
        <f t="shared" si="2"/>
        <v>fogão</v>
      </c>
      <c r="F77" s="8"/>
      <c r="G77" s="8" t="str">
        <f t="shared" si="3"/>
        <v>18.0</v>
      </c>
      <c r="H77" s="9">
        <f t="shared" si="4"/>
        <v>18</v>
      </c>
      <c r="I77" s="6" t="str">
        <f>IFERROR(__xludf.DUMMYFUNCTION("MAX(FILTER($H:$H,$E:$E=F77))"),"#N/A")</f>
        <v>#N/A</v>
      </c>
    </row>
    <row r="78">
      <c r="A78" s="4"/>
      <c r="C78" s="4" t="s">
        <v>8747</v>
      </c>
      <c r="D78" s="4" t="str">
        <f t="shared" si="1"/>
        <v>{"valorA":"celular","valorB":11.0}</v>
      </c>
      <c r="E78" s="8" t="str">
        <f t="shared" si="2"/>
        <v>celular</v>
      </c>
      <c r="F78" s="8"/>
      <c r="G78" s="8" t="str">
        <f t="shared" si="3"/>
        <v>11.0</v>
      </c>
      <c r="H78" s="9">
        <f t="shared" si="4"/>
        <v>11</v>
      </c>
      <c r="I78" s="6" t="str">
        <f>IFERROR(__xludf.DUMMYFUNCTION("MAX(FILTER($H:$H,$E:$E=F78))"),"#N/A")</f>
        <v>#N/A</v>
      </c>
    </row>
    <row r="79">
      <c r="A79" s="4"/>
      <c r="C79" s="4" t="s">
        <v>8748</v>
      </c>
      <c r="D79" s="4" t="str">
        <f t="shared" si="1"/>
        <v>{"valorA":"carregador de celular","valorB":10.0}</v>
      </c>
      <c r="E79" s="8" t="str">
        <f t="shared" si="2"/>
        <v>carregador de celular</v>
      </c>
      <c r="F79" s="8"/>
      <c r="G79" s="8" t="str">
        <f t="shared" si="3"/>
        <v>10.0</v>
      </c>
      <c r="H79" s="9">
        <f t="shared" si="4"/>
        <v>10</v>
      </c>
      <c r="I79" s="6" t="str">
        <f>IFERROR(__xludf.DUMMYFUNCTION("MAX(FILTER($H:$H,$E:$E=F79))"),"#N/A")</f>
        <v>#N/A</v>
      </c>
    </row>
    <row r="80">
      <c r="A80" s="4"/>
      <c r="C80" s="4" t="s">
        <v>8749</v>
      </c>
      <c r="D80" s="4" t="str">
        <f t="shared" si="1"/>
        <v>{"valorA":"purificador de água","valorB":10.0}</v>
      </c>
      <c r="E80" s="8" t="str">
        <f t="shared" si="2"/>
        <v>purificador de água</v>
      </c>
      <c r="F80" s="8"/>
      <c r="G80" s="8" t="str">
        <f t="shared" si="3"/>
        <v>10.0</v>
      </c>
      <c r="H80" s="9">
        <f t="shared" si="4"/>
        <v>10</v>
      </c>
      <c r="I80" s="6" t="str">
        <f>IFERROR(__xludf.DUMMYFUNCTION("MAX(FILTER($H:$H,$E:$E=F80))"),"#N/A")</f>
        <v>#N/A</v>
      </c>
    </row>
    <row r="81">
      <c r="A81" s="4"/>
      <c r="C81" s="4" t="s">
        <v>4118</v>
      </c>
      <c r="D81" s="4" t="str">
        <f t="shared" si="1"/>
        <v>{"valorA":"lustre","valorB":10.0}</v>
      </c>
      <c r="E81" s="8" t="str">
        <f t="shared" si="2"/>
        <v>lustre</v>
      </c>
      <c r="F81" s="8"/>
      <c r="G81" s="8" t="str">
        <f t="shared" si="3"/>
        <v>10.0</v>
      </c>
      <c r="H81" s="9">
        <f t="shared" si="4"/>
        <v>10</v>
      </c>
      <c r="I81" s="6" t="str">
        <f>IFERROR(__xludf.DUMMYFUNCTION("MAX(FILTER($H:$H,$E:$E=F81))"),"#N/A")</f>
        <v>#N/A</v>
      </c>
    </row>
    <row r="82">
      <c r="A82" s="4"/>
      <c r="C82" s="4" t="s">
        <v>8750</v>
      </c>
      <c r="D82" s="4" t="str">
        <f t="shared" si="1"/>
        <v>{"valorA":"microondas","valorB":18.0}</v>
      </c>
      <c r="E82" s="8" t="str">
        <f t="shared" si="2"/>
        <v>microondas</v>
      </c>
      <c r="F82" s="8"/>
      <c r="G82" s="8" t="str">
        <f t="shared" si="3"/>
        <v>18.0</v>
      </c>
      <c r="H82" s="9">
        <f t="shared" si="4"/>
        <v>18</v>
      </c>
      <c r="I82" s="6" t="str">
        <f>IFERROR(__xludf.DUMMYFUNCTION("MAX(FILTER($H:$H,$E:$E=F82))"),"#N/A")</f>
        <v>#N/A</v>
      </c>
    </row>
    <row r="83">
      <c r="A83" s="4"/>
      <c r="C83" s="4" t="s">
        <v>8751</v>
      </c>
      <c r="D83" s="4" t="str">
        <f t="shared" si="1"/>
        <v>{"valorA":"relógio","valorB":8.0}</v>
      </c>
      <c r="E83" s="8" t="str">
        <f t="shared" si="2"/>
        <v>relógio</v>
      </c>
      <c r="F83" s="8"/>
      <c r="G83" s="8" t="str">
        <f t="shared" si="3"/>
        <v>8.0</v>
      </c>
      <c r="H83" s="9">
        <f t="shared" si="4"/>
        <v>8</v>
      </c>
      <c r="I83" s="6" t="str">
        <f>IFERROR(__xludf.DUMMYFUNCTION("MAX(FILTER($H:$H,$E:$E=F83))"),"#N/A")</f>
        <v>#N/A</v>
      </c>
    </row>
    <row r="84">
      <c r="A84" s="4"/>
      <c r="C84" s="4" t="s">
        <v>8752</v>
      </c>
      <c r="D84" s="4" t="str">
        <f t="shared" si="1"/>
        <v>{"valorA":"carregador de computador","valorB":9.0}</v>
      </c>
      <c r="E84" s="8" t="str">
        <f t="shared" si="2"/>
        <v>carregador de computador</v>
      </c>
      <c r="F84" s="8"/>
      <c r="G84" s="8" t="str">
        <f t="shared" si="3"/>
        <v>9.0</v>
      </c>
      <c r="H84" s="9">
        <f t="shared" si="4"/>
        <v>9</v>
      </c>
      <c r="I84" s="6" t="str">
        <f>IFERROR(__xludf.DUMMYFUNCTION("MAX(FILTER($H:$H,$E:$E=F84))"),"#N/A")</f>
        <v>#N/A</v>
      </c>
    </row>
    <row r="85">
      <c r="A85" s="4"/>
      <c r="C85" s="4" t="s">
        <v>8753</v>
      </c>
      <c r="D85" s="4" t="str">
        <f t="shared" si="1"/>
        <v>{"valorA":"ventilador","valorB":9.0}</v>
      </c>
      <c r="E85" s="8" t="str">
        <f t="shared" si="2"/>
        <v>ventilador</v>
      </c>
      <c r="F85" s="8"/>
      <c r="G85" s="8" t="str">
        <f t="shared" si="3"/>
        <v>9.0</v>
      </c>
      <c r="H85" s="9">
        <f t="shared" si="4"/>
        <v>9</v>
      </c>
      <c r="I85" s="6" t="str">
        <f>IFERROR(__xludf.DUMMYFUNCTION("MAX(FILTER($H:$H,$E:$E=F85))"),"#N/A")</f>
        <v>#N/A</v>
      </c>
    </row>
    <row r="86">
      <c r="A86" s="4"/>
      <c r="C86" s="4" t="s">
        <v>8754</v>
      </c>
      <c r="D86" s="4" t="str">
        <f t="shared" si="1"/>
        <v>{"valorA":"fone de ouvido","valorB":13.0}</v>
      </c>
      <c r="E86" s="8" t="str">
        <f t="shared" si="2"/>
        <v>fone de ouvido</v>
      </c>
      <c r="F86" s="8"/>
      <c r="G86" s="8" t="str">
        <f t="shared" si="3"/>
        <v>13.0</v>
      </c>
      <c r="H86" s="9">
        <f t="shared" si="4"/>
        <v>13</v>
      </c>
      <c r="I86" s="6" t="str">
        <f>IFERROR(__xludf.DUMMYFUNCTION("MAX(FILTER($H:$H,$E:$E=F86))"),"#N/A")</f>
        <v>#N/A</v>
      </c>
    </row>
    <row r="87">
      <c r="A87" s="4"/>
      <c r="C87" s="4" t="s">
        <v>4144</v>
      </c>
      <c r="D87" s="4" t="str">
        <f t="shared" si="1"/>
        <v>{"valorA":"roteador","valorB":16.0}</v>
      </c>
      <c r="E87" s="8" t="str">
        <f t="shared" si="2"/>
        <v>roteador</v>
      </c>
      <c r="F87" s="8"/>
      <c r="G87" s="8" t="str">
        <f t="shared" si="3"/>
        <v>16.0</v>
      </c>
      <c r="H87" s="9">
        <f t="shared" si="4"/>
        <v>16</v>
      </c>
      <c r="I87" s="6" t="str">
        <f>IFERROR(__xludf.DUMMYFUNCTION("MAX(FILTER($H:$H,$E:$E=F87))"),"#N/A")</f>
        <v>#N/A</v>
      </c>
    </row>
    <row r="88">
      <c r="A88" s="4"/>
      <c r="C88" s="4" t="s">
        <v>4125</v>
      </c>
      <c r="D88" s="4" t="str">
        <f t="shared" si="1"/>
        <v>{"valorA":"teclado de computador","valorB":8.0}</v>
      </c>
      <c r="E88" s="8" t="str">
        <f t="shared" si="2"/>
        <v>teclado de computador</v>
      </c>
      <c r="F88" s="8"/>
      <c r="G88" s="8" t="str">
        <f t="shared" si="3"/>
        <v>8.0</v>
      </c>
      <c r="H88" s="9">
        <f t="shared" si="4"/>
        <v>8</v>
      </c>
      <c r="I88" s="6" t="str">
        <f>IFERROR(__xludf.DUMMYFUNCTION("MAX(FILTER($H:$H,$E:$E=F88))"),"#N/A")</f>
        <v>#N/A</v>
      </c>
    </row>
    <row r="89">
      <c r="A89" s="4"/>
      <c r="C89" s="4" t="s">
        <v>8755</v>
      </c>
      <c r="D89" s="4" t="str">
        <f t="shared" si="1"/>
        <v>{"valorA":"computador","valorB":15.0}</v>
      </c>
      <c r="E89" s="8" t="str">
        <f t="shared" si="2"/>
        <v>computador</v>
      </c>
      <c r="F89" s="8"/>
      <c r="G89" s="8" t="str">
        <f t="shared" si="3"/>
        <v>15.0</v>
      </c>
      <c r="H89" s="9">
        <f t="shared" si="4"/>
        <v>15</v>
      </c>
      <c r="I89" s="6" t="str">
        <f>IFERROR(__xludf.DUMMYFUNCTION("MAX(FILTER($H:$H,$E:$E=F89))"),"#N/A")</f>
        <v>#N/A</v>
      </c>
    </row>
    <row r="90">
      <c r="A90" s="4"/>
      <c r="C90" s="4" t="s">
        <v>4091</v>
      </c>
      <c r="D90" s="4" t="str">
        <f t="shared" si="1"/>
        <v>{"valorA":"liquidificador","valorB":7.0}</v>
      </c>
      <c r="E90" s="8" t="str">
        <f t="shared" si="2"/>
        <v>liquidificador</v>
      </c>
      <c r="F90" s="8"/>
      <c r="G90" s="8" t="str">
        <f t="shared" si="3"/>
        <v>7.0</v>
      </c>
      <c r="H90" s="9">
        <f t="shared" si="4"/>
        <v>7</v>
      </c>
      <c r="I90" s="6" t="str">
        <f>IFERROR(__xludf.DUMMYFUNCTION("MAX(FILTER($H:$H,$E:$E=F90))"),"#N/A")</f>
        <v>#N/A</v>
      </c>
    </row>
    <row r="91">
      <c r="A91" s="4"/>
      <c r="C91" s="4" t="s">
        <v>4203</v>
      </c>
      <c r="D91" s="4" t="str">
        <f t="shared" si="1"/>
        <v>{"valorA":"chuveiro elétrico","valorB":17.0}</v>
      </c>
      <c r="E91" s="8" t="str">
        <f t="shared" si="2"/>
        <v>chuveiro elétrico</v>
      </c>
      <c r="F91" s="8"/>
      <c r="G91" s="8" t="str">
        <f t="shared" si="3"/>
        <v>17.0</v>
      </c>
      <c r="H91" s="9">
        <f t="shared" si="4"/>
        <v>17</v>
      </c>
      <c r="I91" s="6" t="str">
        <f>IFERROR(__xludf.DUMMYFUNCTION("MAX(FILTER($H:$H,$E:$E=F91))"),"#N/A")</f>
        <v>#N/A</v>
      </c>
    </row>
    <row r="92">
      <c r="A92" s="4"/>
      <c r="C92" s="4" t="s">
        <v>4204</v>
      </c>
      <c r="D92" s="4" t="str">
        <f t="shared" si="1"/>
        <v>{"valorA":"mouse de computador","valorB":15.0}</v>
      </c>
      <c r="E92" s="8" t="str">
        <f t="shared" si="2"/>
        <v>mouse de computador</v>
      </c>
      <c r="F92" s="8"/>
      <c r="G92" s="8" t="str">
        <f t="shared" si="3"/>
        <v>15.0</v>
      </c>
      <c r="H92" s="9">
        <f t="shared" si="4"/>
        <v>15</v>
      </c>
      <c r="I92" s="6" t="str">
        <f>IFERROR(__xludf.DUMMYFUNCTION("MAX(FILTER($H:$H,$E:$E=F92))"),"#N/A")</f>
        <v>#N/A</v>
      </c>
    </row>
    <row r="93">
      <c r="A93" s="4"/>
      <c r="C93" s="4" t="s">
        <v>8756</v>
      </c>
      <c r="D93" s="4" t="str">
        <f t="shared" si="1"/>
        <v>{"valorA":"freezer","valorB":16.0}</v>
      </c>
      <c r="E93" s="8" t="str">
        <f t="shared" si="2"/>
        <v>freezer</v>
      </c>
      <c r="F93" s="8"/>
      <c r="G93" s="8" t="str">
        <f t="shared" si="3"/>
        <v>16.0</v>
      </c>
      <c r="H93" s="9">
        <f t="shared" si="4"/>
        <v>16</v>
      </c>
      <c r="I93" s="6" t="str">
        <f>IFERROR(__xludf.DUMMYFUNCTION("MAX(FILTER($H:$H,$E:$E=F93))"),"#N/A")</f>
        <v>#N/A</v>
      </c>
    </row>
    <row r="94">
      <c r="A94" s="4"/>
      <c r="C94" s="4" t="s">
        <v>8757</v>
      </c>
      <c r="D94" s="4" t="str">
        <f t="shared" si="1"/>
        <v>{"valorA":"ar condicionado","valorB":13.0}</v>
      </c>
      <c r="E94" s="8" t="str">
        <f t="shared" si="2"/>
        <v>ar condicionado</v>
      </c>
      <c r="F94" s="8"/>
      <c r="G94" s="8" t="str">
        <f t="shared" si="3"/>
        <v>13.0</v>
      </c>
      <c r="H94" s="9">
        <f t="shared" si="4"/>
        <v>13</v>
      </c>
      <c r="I94" s="6" t="str">
        <f>IFERROR(__xludf.DUMMYFUNCTION("MAX(FILTER($H:$H,$E:$E=F94))"),"#N/A")</f>
        <v>#N/A</v>
      </c>
    </row>
    <row r="95">
      <c r="A95" s="4"/>
      <c r="C95" s="4" t="s">
        <v>4114</v>
      </c>
      <c r="D95" s="4" t="str">
        <f t="shared" si="1"/>
        <v>{"valorA":"filtro de linha","valorB":13.0}</v>
      </c>
      <c r="E95" s="8" t="str">
        <f t="shared" si="2"/>
        <v>filtro de linha</v>
      </c>
      <c r="F95" s="8"/>
      <c r="G95" s="8" t="str">
        <f t="shared" si="3"/>
        <v>13.0</v>
      </c>
      <c r="H95" s="9">
        <f t="shared" si="4"/>
        <v>13</v>
      </c>
      <c r="I95" s="6" t="str">
        <f>IFERROR(__xludf.DUMMYFUNCTION("MAX(FILTER($H:$H,$E:$E=F95))"),"#N/A")</f>
        <v>#N/A</v>
      </c>
    </row>
    <row r="96">
      <c r="A96" s="4"/>
      <c r="C96" s="4" t="s">
        <v>4189</v>
      </c>
      <c r="D96" s="4" t="str">
        <f t="shared" si="1"/>
        <v>{"valorA":"fogão","valorB":22.0}</v>
      </c>
      <c r="E96" s="8" t="str">
        <f t="shared" si="2"/>
        <v>fogão</v>
      </c>
      <c r="F96" s="8"/>
      <c r="G96" s="8" t="str">
        <f t="shared" si="3"/>
        <v>22.0</v>
      </c>
      <c r="H96" s="9">
        <f t="shared" si="4"/>
        <v>22</v>
      </c>
      <c r="I96" s="6" t="str">
        <f>IFERROR(__xludf.DUMMYFUNCTION("MAX(FILTER($H:$H,$E:$E=F96))"),"#N/A")</f>
        <v>#N/A</v>
      </c>
    </row>
    <row r="97">
      <c r="A97" s="4"/>
      <c r="C97" s="4" t="s">
        <v>8758</v>
      </c>
      <c r="D97" s="4" t="str">
        <f t="shared" si="1"/>
        <v>{"valorA":"aspirador","valorB":10.0}</v>
      </c>
      <c r="E97" s="8" t="str">
        <f t="shared" si="2"/>
        <v>aspirador</v>
      </c>
      <c r="F97" s="8"/>
      <c r="G97" s="8" t="str">
        <f t="shared" si="3"/>
        <v>10.0</v>
      </c>
      <c r="H97" s="9">
        <f t="shared" si="4"/>
        <v>10</v>
      </c>
      <c r="I97" s="6" t="str">
        <f>IFERROR(__xludf.DUMMYFUNCTION("MAX(FILTER($H:$H,$E:$E=F97))"),"#N/A")</f>
        <v>#N/A</v>
      </c>
    </row>
    <row r="98">
      <c r="A98" s="4"/>
      <c r="C98" s="4" t="s">
        <v>4172</v>
      </c>
      <c r="D98" s="4" t="str">
        <f t="shared" si="1"/>
        <v>{"valorA":"celular","valorB":14.0}</v>
      </c>
      <c r="E98" s="8" t="str">
        <f t="shared" si="2"/>
        <v>celular</v>
      </c>
      <c r="F98" s="8"/>
      <c r="G98" s="8" t="str">
        <f t="shared" si="3"/>
        <v>14.0</v>
      </c>
      <c r="H98" s="9">
        <f t="shared" si="4"/>
        <v>14</v>
      </c>
      <c r="I98" s="6" t="str">
        <f>IFERROR(__xludf.DUMMYFUNCTION("MAX(FILTER($H:$H,$E:$E=F98))"),"#N/A")</f>
        <v>#N/A</v>
      </c>
    </row>
    <row r="99">
      <c r="A99" s="4"/>
      <c r="C99" s="4" t="s">
        <v>8759</v>
      </c>
      <c r="D99" s="4" t="str">
        <f t="shared" si="1"/>
        <v>{"valorA":"carregador de celular","valorB":14.0}</v>
      </c>
      <c r="E99" s="8" t="str">
        <f t="shared" si="2"/>
        <v>carregador de celular</v>
      </c>
      <c r="F99" s="8"/>
      <c r="G99" s="8" t="str">
        <f t="shared" si="3"/>
        <v>14.0</v>
      </c>
      <c r="H99" s="9">
        <f t="shared" si="4"/>
        <v>14</v>
      </c>
      <c r="I99" s="6" t="str">
        <f>IFERROR(__xludf.DUMMYFUNCTION("MAX(FILTER($H:$H,$E:$E=F99))"),"#N/A")</f>
        <v>#N/A</v>
      </c>
    </row>
    <row r="100">
      <c r="A100" s="4"/>
      <c r="C100" s="4" t="s">
        <v>8760</v>
      </c>
      <c r="D100" s="4" t="str">
        <f t="shared" si="1"/>
        <v>{"valorA":"purificador de água","valorB":11.0}</v>
      </c>
      <c r="E100" s="8" t="str">
        <f t="shared" si="2"/>
        <v>purificador de água</v>
      </c>
      <c r="F100" s="8"/>
      <c r="G100" s="8" t="str">
        <f t="shared" si="3"/>
        <v>11.0</v>
      </c>
      <c r="H100" s="9">
        <f t="shared" si="4"/>
        <v>11</v>
      </c>
      <c r="I100" s="6" t="str">
        <f>IFERROR(__xludf.DUMMYFUNCTION("MAX(FILTER($H:$H,$E:$E=F100))"),"#N/A")</f>
        <v>#N/A</v>
      </c>
    </row>
    <row r="101">
      <c r="A101" s="4"/>
      <c r="C101" s="4" t="s">
        <v>8761</v>
      </c>
      <c r="D101" s="4" t="str">
        <f t="shared" si="1"/>
        <v>{"valorA":"lustre","valorB":12.0}</v>
      </c>
      <c r="E101" s="8" t="str">
        <f t="shared" si="2"/>
        <v>lustre</v>
      </c>
      <c r="F101" s="8"/>
      <c r="G101" s="8" t="str">
        <f t="shared" si="3"/>
        <v>12.0</v>
      </c>
      <c r="H101" s="9">
        <f t="shared" si="4"/>
        <v>12</v>
      </c>
      <c r="I101" s="6" t="str">
        <f>IFERROR(__xludf.DUMMYFUNCTION("MAX(FILTER($H:$H,$E:$E=F101))"),"#N/A")</f>
        <v>#N/A</v>
      </c>
    </row>
    <row r="102">
      <c r="A102" s="4"/>
      <c r="C102" s="4" t="s">
        <v>8762</v>
      </c>
      <c r="D102" s="4" t="str">
        <f t="shared" si="1"/>
        <v>{"valorA":"microondas","valorB":19.0}</v>
      </c>
      <c r="E102" s="8" t="str">
        <f t="shared" si="2"/>
        <v>microondas</v>
      </c>
      <c r="F102" s="8"/>
      <c r="G102" s="8" t="str">
        <f t="shared" si="3"/>
        <v>19.0</v>
      </c>
      <c r="H102" s="9">
        <f t="shared" si="4"/>
        <v>19</v>
      </c>
      <c r="I102" s="6" t="str">
        <f>IFERROR(__xludf.DUMMYFUNCTION("MAX(FILTER($H:$H,$E:$E=F102))"),"#N/A")</f>
        <v>#N/A</v>
      </c>
    </row>
    <row r="103">
      <c r="A103" s="4"/>
      <c r="C103" s="4" t="s">
        <v>8763</v>
      </c>
      <c r="D103" s="4" t="str">
        <f t="shared" si="1"/>
        <v>{"valorA":"relógio","valorB":12.0}</v>
      </c>
      <c r="E103" s="8" t="str">
        <f t="shared" si="2"/>
        <v>relógio</v>
      </c>
      <c r="F103" s="8"/>
      <c r="G103" s="8" t="str">
        <f t="shared" si="3"/>
        <v>12.0</v>
      </c>
      <c r="H103" s="9">
        <f t="shared" si="4"/>
        <v>12</v>
      </c>
      <c r="I103" s="6" t="str">
        <f>IFERROR(__xludf.DUMMYFUNCTION("MAX(FILTER($H:$H,$E:$E=F103))"),"#N/A")</f>
        <v>#N/A</v>
      </c>
    </row>
    <row r="104">
      <c r="A104" s="4"/>
      <c r="C104" s="4" t="s">
        <v>8764</v>
      </c>
      <c r="D104" s="4" t="str">
        <f t="shared" si="1"/>
        <v>{"valorA":"carregador de computador","valorB":10.0}</v>
      </c>
      <c r="E104" s="8" t="str">
        <f t="shared" si="2"/>
        <v>carregador de computador</v>
      </c>
      <c r="F104" s="8"/>
      <c r="G104" s="8" t="str">
        <f t="shared" si="3"/>
        <v>10.0</v>
      </c>
      <c r="H104" s="9">
        <f t="shared" si="4"/>
        <v>10</v>
      </c>
      <c r="I104" s="6" t="str">
        <f>IFERROR(__xludf.DUMMYFUNCTION("MAX(FILTER($H:$H,$E:$E=F104))"),"#N/A")</f>
        <v>#N/A</v>
      </c>
    </row>
    <row r="105">
      <c r="A105" s="4"/>
      <c r="C105" s="4" t="s">
        <v>8765</v>
      </c>
      <c r="D105" s="4" t="str">
        <f t="shared" si="1"/>
        <v>{"valorA":"ventilador","valorB":11.0}</v>
      </c>
      <c r="E105" s="8" t="str">
        <f t="shared" si="2"/>
        <v>ventilador</v>
      </c>
      <c r="F105" s="8"/>
      <c r="G105" s="8" t="str">
        <f t="shared" si="3"/>
        <v>11.0</v>
      </c>
      <c r="H105" s="9">
        <f t="shared" si="4"/>
        <v>11</v>
      </c>
      <c r="I105" s="6" t="str">
        <f>IFERROR(__xludf.DUMMYFUNCTION("MAX(FILTER($H:$H,$E:$E=F105))"),"#N/A")</f>
        <v>#N/A</v>
      </c>
    </row>
    <row r="106">
      <c r="A106" s="4"/>
      <c r="C106" s="4" t="s">
        <v>8766</v>
      </c>
      <c r="D106" s="4" t="str">
        <f t="shared" si="1"/>
        <v>{"valorA":"fone de ouvido","valorB":14.0}</v>
      </c>
      <c r="E106" s="8" t="str">
        <f t="shared" si="2"/>
        <v>fone de ouvido</v>
      </c>
      <c r="F106" s="8"/>
      <c r="G106" s="8" t="str">
        <f t="shared" si="3"/>
        <v>14.0</v>
      </c>
      <c r="H106" s="9">
        <f t="shared" si="4"/>
        <v>14</v>
      </c>
      <c r="I106" s="6" t="str">
        <f>IFERROR(__xludf.DUMMYFUNCTION("MAX(FILTER($H:$H,$E:$E=F106))"),"#N/A")</f>
        <v>#N/A</v>
      </c>
    </row>
    <row r="107">
      <c r="A107" s="4"/>
      <c r="C107" s="4" t="s">
        <v>8767</v>
      </c>
      <c r="D107" s="4" t="str">
        <f t="shared" si="1"/>
        <v>{"valorA":"roteador","valorB":18.0}</v>
      </c>
      <c r="E107" s="8" t="str">
        <f t="shared" si="2"/>
        <v>roteador</v>
      </c>
      <c r="F107" s="8"/>
      <c r="G107" s="8" t="str">
        <f t="shared" si="3"/>
        <v>18.0</v>
      </c>
      <c r="H107" s="9">
        <f t="shared" si="4"/>
        <v>18</v>
      </c>
      <c r="I107" s="6" t="str">
        <f>IFERROR(__xludf.DUMMYFUNCTION("MAX(FILTER($H:$H,$E:$E=F107))"),"#N/A")</f>
        <v>#N/A</v>
      </c>
    </row>
    <row r="108">
      <c r="A108" s="4"/>
      <c r="C108" s="4" t="s">
        <v>8768</v>
      </c>
      <c r="D108" s="4" t="str">
        <f t="shared" si="1"/>
        <v>{"valorA":"teclado de computador","valorB":12.0}</v>
      </c>
      <c r="E108" s="8" t="str">
        <f t="shared" si="2"/>
        <v>teclado de computador</v>
      </c>
      <c r="F108" s="8"/>
      <c r="G108" s="8" t="str">
        <f t="shared" si="3"/>
        <v>12.0</v>
      </c>
      <c r="H108" s="9">
        <f t="shared" si="4"/>
        <v>12</v>
      </c>
      <c r="I108" s="6" t="str">
        <f>IFERROR(__xludf.DUMMYFUNCTION("MAX(FILTER($H:$H,$E:$E=F108))"),"#N/A")</f>
        <v>#N/A</v>
      </c>
    </row>
    <row r="109">
      <c r="A109" s="4"/>
      <c r="C109" s="4" t="s">
        <v>4147</v>
      </c>
      <c r="D109" s="4" t="str">
        <f t="shared" si="1"/>
        <v>{"valorA":"computador","valorB":16.0}</v>
      </c>
      <c r="E109" s="8" t="str">
        <f t="shared" si="2"/>
        <v>computador</v>
      </c>
      <c r="F109" s="8"/>
      <c r="G109" s="8" t="str">
        <f t="shared" si="3"/>
        <v>16.0</v>
      </c>
      <c r="H109" s="9">
        <f t="shared" si="4"/>
        <v>16</v>
      </c>
      <c r="I109" s="6" t="str">
        <f>IFERROR(__xludf.DUMMYFUNCTION("MAX(FILTER($H:$H,$E:$E=F109))"),"#N/A")</f>
        <v>#N/A</v>
      </c>
    </row>
    <row r="110">
      <c r="A110" s="4"/>
      <c r="C110" s="4" t="s">
        <v>8769</v>
      </c>
      <c r="D110" s="4" t="str">
        <f t="shared" si="1"/>
        <v>{"valorA":"liquidificador","valorB":9.0}</v>
      </c>
      <c r="E110" s="8" t="str">
        <f t="shared" si="2"/>
        <v>liquidificador</v>
      </c>
      <c r="F110" s="8"/>
      <c r="G110" s="8" t="str">
        <f t="shared" si="3"/>
        <v>9.0</v>
      </c>
      <c r="H110" s="9">
        <f t="shared" si="4"/>
        <v>9</v>
      </c>
      <c r="I110" s="6" t="str">
        <f>IFERROR(__xludf.DUMMYFUNCTION("MAX(FILTER($H:$H,$E:$E=F110))"),"#N/A")</f>
        <v>#N/A</v>
      </c>
    </row>
    <row r="111">
      <c r="A111" s="4"/>
      <c r="C111" s="4" t="s">
        <v>8770</v>
      </c>
      <c r="D111" s="4" t="str">
        <f t="shared" si="1"/>
        <v>{"valorA":"chuveiro elétrico","valorB":21.0}</v>
      </c>
      <c r="E111" s="8" t="str">
        <f t="shared" si="2"/>
        <v>chuveiro elétrico</v>
      </c>
      <c r="F111" s="8"/>
      <c r="G111" s="8" t="str">
        <f t="shared" si="3"/>
        <v>21.0</v>
      </c>
      <c r="H111" s="9">
        <f t="shared" si="4"/>
        <v>21</v>
      </c>
      <c r="I111" s="6" t="str">
        <f>IFERROR(__xludf.DUMMYFUNCTION("MAX(FILTER($H:$H,$E:$E=F111))"),"#N/A")</f>
        <v>#N/A</v>
      </c>
    </row>
    <row r="112">
      <c r="A112" s="4"/>
      <c r="C112" s="4" t="s">
        <v>8771</v>
      </c>
      <c r="D112" s="4" t="str">
        <f t="shared" si="1"/>
        <v>{"valorA":"mouse de computador","valorB":17.0}</v>
      </c>
      <c r="E112" s="8" t="str">
        <f t="shared" si="2"/>
        <v>mouse de computador</v>
      </c>
      <c r="F112" s="8"/>
      <c r="G112" s="8" t="str">
        <f t="shared" si="3"/>
        <v>17.0</v>
      </c>
      <c r="H112" s="9">
        <f t="shared" si="4"/>
        <v>17</v>
      </c>
      <c r="I112" s="6" t="str">
        <f>IFERROR(__xludf.DUMMYFUNCTION("MAX(FILTER($H:$H,$E:$E=F112))"),"#N/A")</f>
        <v>#N/A</v>
      </c>
    </row>
    <row r="113">
      <c r="A113" s="4"/>
      <c r="C113" s="4" t="s">
        <v>4167</v>
      </c>
      <c r="D113" s="4" t="str">
        <f t="shared" si="1"/>
        <v>{"valorA":"freezer","valorB":18.0}</v>
      </c>
      <c r="E113" s="8" t="str">
        <f t="shared" si="2"/>
        <v>freezer</v>
      </c>
      <c r="F113" s="8"/>
      <c r="G113" s="8" t="str">
        <f t="shared" si="3"/>
        <v>18.0</v>
      </c>
      <c r="H113" s="9">
        <f t="shared" si="4"/>
        <v>18</v>
      </c>
      <c r="I113" s="6" t="str">
        <f>IFERROR(__xludf.DUMMYFUNCTION("MAX(FILTER($H:$H,$E:$E=F113))"),"#N/A")</f>
        <v>#N/A</v>
      </c>
    </row>
    <row r="114">
      <c r="A114" s="4"/>
      <c r="C114" s="4" t="s">
        <v>4151</v>
      </c>
      <c r="D114" s="4" t="str">
        <f t="shared" si="1"/>
        <v>{"valorA":"ar condicionado","valorB":15.0}</v>
      </c>
      <c r="E114" s="8" t="str">
        <f t="shared" si="2"/>
        <v>ar condicionado</v>
      </c>
      <c r="F114" s="8"/>
      <c r="G114" s="8" t="str">
        <f t="shared" si="3"/>
        <v>15.0</v>
      </c>
      <c r="H114" s="9">
        <f t="shared" si="4"/>
        <v>15</v>
      </c>
      <c r="I114" s="6" t="str">
        <f>IFERROR(__xludf.DUMMYFUNCTION("MAX(FILTER($H:$H,$E:$E=F114))"),"#N/A")</f>
        <v>#N/A</v>
      </c>
    </row>
    <row r="115">
      <c r="A115" s="4"/>
      <c r="C115" s="4" t="s">
        <v>8772</v>
      </c>
      <c r="D115" s="4" t="str">
        <f t="shared" si="1"/>
        <v>{"valorA":"filtro de linha","valorB":14.0}</v>
      </c>
      <c r="E115" s="8" t="str">
        <f t="shared" si="2"/>
        <v>filtro de linha</v>
      </c>
      <c r="F115" s="8"/>
      <c r="G115" s="8" t="str">
        <f t="shared" si="3"/>
        <v>14.0</v>
      </c>
      <c r="H115" s="9">
        <f t="shared" si="4"/>
        <v>14</v>
      </c>
      <c r="I115" s="6" t="str">
        <f>IFERROR(__xludf.DUMMYFUNCTION("MAX(FILTER($H:$H,$E:$E=F115))"),"#N/A")</f>
        <v>#N/A</v>
      </c>
    </row>
    <row r="116">
      <c r="A116" s="4"/>
      <c r="C116" s="4" t="s">
        <v>8773</v>
      </c>
      <c r="D116" s="4" t="str">
        <f t="shared" si="1"/>
        <v>{"valorA":"aspirador","valorB":12.0}</v>
      </c>
      <c r="E116" s="8" t="str">
        <f t="shared" si="2"/>
        <v>aspirador</v>
      </c>
      <c r="F116" s="8"/>
      <c r="G116" s="8" t="str">
        <f t="shared" si="3"/>
        <v>12.0</v>
      </c>
      <c r="H116" s="9">
        <f t="shared" si="4"/>
        <v>12</v>
      </c>
      <c r="I116" s="6" t="str">
        <f>IFERROR(__xludf.DUMMYFUNCTION("MAX(FILTER($H:$H,$E:$E=F116))"),"#N/A")</f>
        <v>#N/A</v>
      </c>
    </row>
    <row r="117">
      <c r="A117" s="4"/>
      <c r="C117" s="4" t="s">
        <v>8774</v>
      </c>
      <c r="D117" s="4" t="str">
        <f t="shared" si="1"/>
        <v>{"valorA":"fogão","valorB":23.0}</v>
      </c>
      <c r="E117" s="8" t="str">
        <f t="shared" si="2"/>
        <v>fogão</v>
      </c>
      <c r="F117" s="8"/>
      <c r="G117" s="8" t="str">
        <f t="shared" si="3"/>
        <v>23.0</v>
      </c>
      <c r="H117" s="9">
        <f t="shared" si="4"/>
        <v>23</v>
      </c>
      <c r="I117" s="6" t="str">
        <f>IFERROR(__xludf.DUMMYFUNCTION("MAX(FILTER($H:$H,$E:$E=F117))"),"#N/A")</f>
        <v>#N/A</v>
      </c>
    </row>
    <row r="118">
      <c r="A118" s="4"/>
      <c r="C118" s="4" t="s">
        <v>8775</v>
      </c>
      <c r="D118" s="4" t="str">
        <f t="shared" si="1"/>
        <v>{"valorA":"celular","valorB":17.0}</v>
      </c>
      <c r="E118" s="8" t="str">
        <f t="shared" si="2"/>
        <v>celular</v>
      </c>
      <c r="F118" s="8"/>
      <c r="G118" s="8" t="str">
        <f t="shared" si="3"/>
        <v>17.0</v>
      </c>
      <c r="H118" s="9">
        <f t="shared" si="4"/>
        <v>17</v>
      </c>
      <c r="I118" s="6" t="str">
        <f>IFERROR(__xludf.DUMMYFUNCTION("MAX(FILTER($H:$H,$E:$E=F118))"),"#N/A")</f>
        <v>#N/A</v>
      </c>
    </row>
    <row r="119">
      <c r="A119" s="4"/>
      <c r="C119" s="4" t="s">
        <v>4192</v>
      </c>
      <c r="D119" s="4" t="str">
        <f t="shared" si="1"/>
        <v>{"valorA":"carregador de celular","valorB":19.0}</v>
      </c>
      <c r="E119" s="8" t="str">
        <f t="shared" si="2"/>
        <v>carregador de celular</v>
      </c>
      <c r="F119" s="8"/>
      <c r="G119" s="8" t="str">
        <f t="shared" si="3"/>
        <v>19.0</v>
      </c>
      <c r="H119" s="9">
        <f t="shared" si="4"/>
        <v>19</v>
      </c>
      <c r="I119" s="6" t="str">
        <f>IFERROR(__xludf.DUMMYFUNCTION("MAX(FILTER($H:$H,$E:$E=F119))"),"#N/A")</f>
        <v>#N/A</v>
      </c>
    </row>
    <row r="120">
      <c r="A120" s="4"/>
      <c r="C120" s="4" t="s">
        <v>4117</v>
      </c>
      <c r="D120" s="4" t="str">
        <f t="shared" si="1"/>
        <v>{"valorA":"purificador de água","valorB":15.0}</v>
      </c>
      <c r="E120" s="8" t="str">
        <f t="shared" si="2"/>
        <v>purificador de água</v>
      </c>
      <c r="F120" s="8"/>
      <c r="G120" s="8" t="str">
        <f t="shared" si="3"/>
        <v>15.0</v>
      </c>
      <c r="H120" s="9">
        <f t="shared" si="4"/>
        <v>15</v>
      </c>
      <c r="I120" s="6" t="str">
        <f>IFERROR(__xludf.DUMMYFUNCTION("MAX(FILTER($H:$H,$E:$E=F120))"),"#N/A")</f>
        <v>#N/A</v>
      </c>
    </row>
    <row r="121">
      <c r="A121" s="4"/>
      <c r="C121" s="4" t="s">
        <v>8776</v>
      </c>
      <c r="D121" s="4" t="str">
        <f t="shared" si="1"/>
        <v>{"valorA":"lustre","valorB":17.0}</v>
      </c>
      <c r="E121" s="8" t="str">
        <f t="shared" si="2"/>
        <v>lustre</v>
      </c>
      <c r="F121" s="8"/>
      <c r="G121" s="8" t="str">
        <f t="shared" si="3"/>
        <v>17.0</v>
      </c>
      <c r="H121" s="9">
        <f t="shared" si="4"/>
        <v>17</v>
      </c>
      <c r="I121" s="6" t="str">
        <f>IFERROR(__xludf.DUMMYFUNCTION("MAX(FILTER($H:$H,$E:$E=F121))"),"#N/A")</f>
        <v>#N/A</v>
      </c>
    </row>
    <row r="122">
      <c r="A122" s="4"/>
      <c r="C122" s="4" t="s">
        <v>8636</v>
      </c>
      <c r="D122" s="4" t="str">
        <f t="shared" si="1"/>
        <v>{"valorA":"microondas","valorB":20.0}</v>
      </c>
      <c r="E122" s="8" t="str">
        <f t="shared" si="2"/>
        <v>microondas</v>
      </c>
      <c r="F122" s="8"/>
      <c r="G122" s="8" t="str">
        <f t="shared" si="3"/>
        <v>20.0</v>
      </c>
      <c r="H122" s="9">
        <f t="shared" si="4"/>
        <v>20</v>
      </c>
      <c r="I122" s="6" t="str">
        <f>IFERROR(__xludf.DUMMYFUNCTION("MAX(FILTER($H:$H,$E:$E=F122))"),"#N/A")</f>
        <v>#N/A</v>
      </c>
    </row>
    <row r="123">
      <c r="A123" s="4"/>
      <c r="C123" s="4" t="s">
        <v>8777</v>
      </c>
      <c r="D123" s="4" t="str">
        <f t="shared" si="1"/>
        <v>{"valorA":"relógio","valorB":14.0}</v>
      </c>
      <c r="E123" s="8" t="str">
        <f t="shared" si="2"/>
        <v>relógio</v>
      </c>
      <c r="F123" s="8"/>
      <c r="G123" s="8" t="str">
        <f t="shared" si="3"/>
        <v>14.0</v>
      </c>
      <c r="H123" s="9">
        <f t="shared" si="4"/>
        <v>14</v>
      </c>
      <c r="I123" s="6" t="str">
        <f>IFERROR(__xludf.DUMMYFUNCTION("MAX(FILTER($H:$H,$E:$E=F123))"),"#N/A")</f>
        <v>#N/A</v>
      </c>
    </row>
    <row r="124">
      <c r="A124" s="4"/>
      <c r="C124" s="4" t="s">
        <v>4141</v>
      </c>
      <c r="D124" s="4" t="str">
        <f t="shared" si="1"/>
        <v>{"valorA":"carregador de computador","valorB":15.0}</v>
      </c>
      <c r="E124" s="8" t="str">
        <f t="shared" si="2"/>
        <v>carregador de computador</v>
      </c>
      <c r="F124" s="8"/>
      <c r="G124" s="8" t="str">
        <f t="shared" si="3"/>
        <v>15.0</v>
      </c>
      <c r="H124" s="9">
        <f t="shared" si="4"/>
        <v>15</v>
      </c>
      <c r="I124" s="6" t="str">
        <f>IFERROR(__xludf.DUMMYFUNCTION("MAX(FILTER($H:$H,$E:$E=F124))"),"#N/A")</f>
        <v>#N/A</v>
      </c>
    </row>
    <row r="125">
      <c r="A125" s="4"/>
      <c r="C125" s="4" t="s">
        <v>4122</v>
      </c>
      <c r="D125" s="4" t="str">
        <f t="shared" si="1"/>
        <v>{"valorA":"ventilador","valorB":14.0}</v>
      </c>
      <c r="E125" s="8" t="str">
        <f t="shared" si="2"/>
        <v>ventilador</v>
      </c>
      <c r="F125" s="8"/>
      <c r="G125" s="8" t="str">
        <f t="shared" si="3"/>
        <v>14.0</v>
      </c>
      <c r="H125" s="9">
        <f t="shared" si="4"/>
        <v>14</v>
      </c>
      <c r="I125" s="6" t="str">
        <f>IFERROR(__xludf.DUMMYFUNCTION("MAX(FILTER($H:$H,$E:$E=F125))"),"#N/A")</f>
        <v>#N/A</v>
      </c>
    </row>
    <row r="126">
      <c r="A126" s="4"/>
      <c r="C126" s="4" t="s">
        <v>4143</v>
      </c>
      <c r="D126" s="4" t="str">
        <f t="shared" si="1"/>
        <v>{"valorA":"fone de ouvido","valorB":15.0}</v>
      </c>
      <c r="E126" s="8" t="str">
        <f t="shared" si="2"/>
        <v>fone de ouvido</v>
      </c>
      <c r="F126" s="8"/>
      <c r="G126" s="8" t="str">
        <f t="shared" si="3"/>
        <v>15.0</v>
      </c>
      <c r="H126" s="9">
        <f t="shared" si="4"/>
        <v>15</v>
      </c>
      <c r="I126" s="6" t="str">
        <f>IFERROR(__xludf.DUMMYFUNCTION("MAX(FILTER($H:$H,$E:$E=F126))"),"#N/A")</f>
        <v>#N/A</v>
      </c>
    </row>
    <row r="127">
      <c r="A127" s="4"/>
      <c r="C127" s="4" t="s">
        <v>8778</v>
      </c>
      <c r="D127" s="4" t="str">
        <f t="shared" si="1"/>
        <v>{"valorA":"roteador","valorB":19.0}</v>
      </c>
      <c r="E127" s="8" t="str">
        <f t="shared" si="2"/>
        <v>roteador</v>
      </c>
      <c r="F127" s="8"/>
      <c r="G127" s="8" t="str">
        <f t="shared" si="3"/>
        <v>19.0</v>
      </c>
      <c r="H127" s="9">
        <f t="shared" si="4"/>
        <v>19</v>
      </c>
      <c r="I127" s="6" t="str">
        <f>IFERROR(__xludf.DUMMYFUNCTION("MAX(FILTER($H:$H,$E:$E=F127))"),"#N/A")</f>
        <v>#N/A</v>
      </c>
    </row>
    <row r="128">
      <c r="A128" s="4"/>
      <c r="C128" s="4" t="s">
        <v>4126</v>
      </c>
      <c r="D128" s="4" t="str">
        <f t="shared" si="1"/>
        <v>{"valorA":"liquidificador","valorB":13.0}</v>
      </c>
      <c r="E128" s="8" t="str">
        <f t="shared" si="2"/>
        <v>liquidificador</v>
      </c>
      <c r="F128" s="8"/>
      <c r="G128" s="8" t="str">
        <f t="shared" si="3"/>
        <v>13.0</v>
      </c>
      <c r="H128" s="9">
        <f t="shared" si="4"/>
        <v>13</v>
      </c>
      <c r="I128" s="6" t="str">
        <f>IFERROR(__xludf.DUMMYFUNCTION("MAX(FILTER($H:$H,$E:$E=F128))"),"#N/A")</f>
        <v>#N/A</v>
      </c>
    </row>
    <row r="129">
      <c r="A129" s="4"/>
      <c r="C129" s="4" t="s">
        <v>8779</v>
      </c>
      <c r="D129" s="4" t="str">
        <f t="shared" si="1"/>
        <v>{"valorA":"computador","valorB":17.0}</v>
      </c>
      <c r="E129" s="8" t="str">
        <f t="shared" si="2"/>
        <v>computador</v>
      </c>
      <c r="F129" s="8"/>
      <c r="G129" s="8" t="str">
        <f t="shared" si="3"/>
        <v>17.0</v>
      </c>
      <c r="H129" s="9">
        <f t="shared" si="4"/>
        <v>17</v>
      </c>
      <c r="I129" s="6" t="str">
        <f>IFERROR(__xludf.DUMMYFUNCTION("MAX(FILTER($H:$H,$E:$E=F129))"),"#N/A")</f>
        <v>#N/A</v>
      </c>
    </row>
    <row r="130">
      <c r="A130" s="4"/>
      <c r="C130" s="4" t="s">
        <v>8780</v>
      </c>
      <c r="D130" s="4" t="str">
        <f t="shared" si="1"/>
        <v>{"valorA":"chuveiro elétrico","valorB":24.0}</v>
      </c>
      <c r="E130" s="8" t="str">
        <f t="shared" si="2"/>
        <v>chuveiro elétrico</v>
      </c>
      <c r="F130" s="8"/>
      <c r="G130" s="8" t="str">
        <f t="shared" si="3"/>
        <v>24.0</v>
      </c>
      <c r="H130" s="9">
        <f t="shared" si="4"/>
        <v>24</v>
      </c>
      <c r="I130" s="6" t="str">
        <f>IFERROR(__xludf.DUMMYFUNCTION("MAX(FILTER($H:$H,$E:$E=F130))"),"#N/A")</f>
        <v>#N/A</v>
      </c>
    </row>
    <row r="131">
      <c r="A131" s="4"/>
      <c r="C131" s="4" t="s">
        <v>8781</v>
      </c>
      <c r="D131" s="4" t="str">
        <f t="shared" si="1"/>
        <v>{"valorA":"mouse de computador","valorB":21.0}</v>
      </c>
      <c r="E131" s="8" t="str">
        <f t="shared" si="2"/>
        <v>mouse de computador</v>
      </c>
      <c r="F131" s="8"/>
      <c r="G131" s="8" t="str">
        <f t="shared" si="3"/>
        <v>21.0</v>
      </c>
      <c r="H131" s="9">
        <f t="shared" si="4"/>
        <v>21</v>
      </c>
      <c r="I131" s="6" t="str">
        <f>IFERROR(__xludf.DUMMYFUNCTION("MAX(FILTER($H:$H,$E:$E=F131))"),"#N/A")</f>
        <v>#N/A</v>
      </c>
    </row>
    <row r="132">
      <c r="A132" s="4"/>
      <c r="C132" s="4" t="s">
        <v>4205</v>
      </c>
      <c r="D132" s="4" t="str">
        <f t="shared" si="1"/>
        <v>{"valorA":"freezer","valorB":22.0}</v>
      </c>
      <c r="E132" s="8" t="str">
        <f t="shared" si="2"/>
        <v>freezer</v>
      </c>
      <c r="F132" s="8"/>
      <c r="G132" s="8" t="str">
        <f t="shared" si="3"/>
        <v>22.0</v>
      </c>
      <c r="H132" s="9">
        <f t="shared" si="4"/>
        <v>22</v>
      </c>
      <c r="I132" s="6" t="str">
        <f>IFERROR(__xludf.DUMMYFUNCTION("MAX(FILTER($H:$H,$E:$E=F132))"),"#N/A")</f>
        <v>#N/A</v>
      </c>
    </row>
    <row r="133">
      <c r="A133" s="4"/>
      <c r="C133" s="4" t="s">
        <v>8782</v>
      </c>
      <c r="D133" s="4" t="str">
        <f t="shared" si="1"/>
        <v>{"valorA":"ar condicionado","valorB":17.0}</v>
      </c>
      <c r="E133" s="8" t="str">
        <f t="shared" si="2"/>
        <v>ar condicionado</v>
      </c>
      <c r="F133" s="8"/>
      <c r="G133" s="8" t="str">
        <f t="shared" si="3"/>
        <v>17.0</v>
      </c>
      <c r="H133" s="9">
        <f t="shared" si="4"/>
        <v>17</v>
      </c>
      <c r="I133" s="6" t="str">
        <f>IFERROR(__xludf.DUMMYFUNCTION("MAX(FILTER($H:$H,$E:$E=F133))"),"#N/A")</f>
        <v>#N/A</v>
      </c>
    </row>
    <row r="134">
      <c r="A134" s="4"/>
      <c r="C134" s="4" t="s">
        <v>4152</v>
      </c>
      <c r="D134" s="4" t="str">
        <f t="shared" si="1"/>
        <v>{"valorA":"filtro de linha","valorB":16.0}</v>
      </c>
      <c r="E134" s="8" t="str">
        <f t="shared" si="2"/>
        <v>filtro de linha</v>
      </c>
      <c r="F134" s="8"/>
      <c r="G134" s="8" t="str">
        <f t="shared" si="3"/>
        <v>16.0</v>
      </c>
      <c r="H134" s="9">
        <f t="shared" si="4"/>
        <v>16</v>
      </c>
      <c r="I134" s="6" t="str">
        <f>IFERROR(__xludf.DUMMYFUNCTION("MAX(FILTER($H:$H,$E:$E=F134))"),"#N/A")</f>
        <v>#N/A</v>
      </c>
    </row>
    <row r="135">
      <c r="A135" s="4"/>
      <c r="C135" s="4" t="s">
        <v>8783</v>
      </c>
      <c r="D135" s="4" t="str">
        <f t="shared" si="1"/>
        <v>{"valorA":"fogão","valorB":24.0}</v>
      </c>
      <c r="E135" s="8" t="str">
        <f t="shared" si="2"/>
        <v>fogão</v>
      </c>
      <c r="F135" s="8"/>
      <c r="G135" s="8" t="str">
        <f t="shared" si="3"/>
        <v>24.0</v>
      </c>
      <c r="H135" s="9">
        <f t="shared" si="4"/>
        <v>24</v>
      </c>
      <c r="I135" s="6" t="str">
        <f>IFERROR(__xludf.DUMMYFUNCTION("MAX(FILTER($H:$H,$E:$E=F135))"),"#N/A")</f>
        <v>#N/A</v>
      </c>
    </row>
    <row r="136">
      <c r="A136" s="4"/>
      <c r="C136" s="4" t="s">
        <v>8784</v>
      </c>
      <c r="D136" s="4" t="str">
        <f t="shared" si="1"/>
        <v>{"valorA":"aspirador","valorB":13.0}</v>
      </c>
      <c r="E136" s="8" t="str">
        <f t="shared" si="2"/>
        <v>aspirador</v>
      </c>
      <c r="F136" s="8"/>
      <c r="G136" s="8" t="str">
        <f t="shared" si="3"/>
        <v>13.0</v>
      </c>
      <c r="H136" s="9">
        <f t="shared" si="4"/>
        <v>13</v>
      </c>
      <c r="I136" s="6" t="str">
        <f>IFERROR(__xludf.DUMMYFUNCTION("MAX(FILTER($H:$H,$E:$E=F136))"),"#N/A")</f>
        <v>#N/A</v>
      </c>
    </row>
    <row r="137">
      <c r="A137" s="4"/>
      <c r="C137" s="4" t="s">
        <v>4209</v>
      </c>
      <c r="D137" s="4" t="str">
        <f t="shared" si="1"/>
        <v>{"valorA":"celular","valorB":18.0}</v>
      </c>
      <c r="E137" s="8" t="str">
        <f t="shared" si="2"/>
        <v>celular</v>
      </c>
      <c r="F137" s="8"/>
      <c r="G137" s="8" t="str">
        <f t="shared" si="3"/>
        <v>18.0</v>
      </c>
      <c r="H137" s="9">
        <f t="shared" si="4"/>
        <v>18</v>
      </c>
      <c r="I137" s="6" t="str">
        <f>IFERROR(__xludf.DUMMYFUNCTION("MAX(FILTER($H:$H,$E:$E=F137))"),"#N/A")</f>
        <v>#N/A</v>
      </c>
    </row>
    <row r="138">
      <c r="A138" s="4"/>
      <c r="C138" s="4" t="s">
        <v>8785</v>
      </c>
      <c r="D138" s="4" t="str">
        <f t="shared" si="1"/>
        <v>{"valorA":"carregador de celular","valorB":21.0}</v>
      </c>
      <c r="E138" s="8" t="str">
        <f t="shared" si="2"/>
        <v>carregador de celular</v>
      </c>
      <c r="F138" s="8"/>
      <c r="G138" s="8" t="str">
        <f t="shared" si="3"/>
        <v>21.0</v>
      </c>
      <c r="H138" s="9">
        <f t="shared" si="4"/>
        <v>21</v>
      </c>
      <c r="I138" s="6" t="str">
        <f>IFERROR(__xludf.DUMMYFUNCTION("MAX(FILTER($H:$H,$E:$E=F138))"),"#N/A")</f>
        <v>#N/A</v>
      </c>
    </row>
    <row r="139">
      <c r="A139" s="4"/>
      <c r="C139" s="4" t="s">
        <v>4137</v>
      </c>
      <c r="D139" s="4" t="str">
        <f t="shared" si="1"/>
        <v>{"valorA":"purificador de água","valorB":16.0}</v>
      </c>
      <c r="E139" s="8" t="str">
        <f t="shared" si="2"/>
        <v>purificador de água</v>
      </c>
      <c r="F139" s="8"/>
      <c r="G139" s="8" t="str">
        <f t="shared" si="3"/>
        <v>16.0</v>
      </c>
      <c r="H139" s="9">
        <f t="shared" si="4"/>
        <v>16</v>
      </c>
      <c r="I139" s="6" t="str">
        <f>IFERROR(__xludf.DUMMYFUNCTION("MAX(FILTER($H:$H,$E:$E=F139))"),"#N/A")</f>
        <v>#N/A</v>
      </c>
    </row>
    <row r="140">
      <c r="A140" s="4"/>
      <c r="C140" s="4" t="s">
        <v>8786</v>
      </c>
      <c r="D140" s="4" t="str">
        <f t="shared" si="1"/>
        <v>{"valorA":"lustre","valorB":20.0}</v>
      </c>
      <c r="E140" s="8" t="str">
        <f t="shared" si="2"/>
        <v>lustre</v>
      </c>
      <c r="F140" s="8"/>
      <c r="G140" s="8" t="str">
        <f t="shared" si="3"/>
        <v>20.0</v>
      </c>
      <c r="H140" s="9">
        <f t="shared" si="4"/>
        <v>20</v>
      </c>
      <c r="I140" s="6" t="str">
        <f>IFERROR(__xludf.DUMMYFUNCTION("MAX(FILTER($H:$H,$E:$E=F140))"),"#N/A")</f>
        <v>#N/A</v>
      </c>
    </row>
    <row r="141">
      <c r="A141" s="4"/>
      <c r="C141" s="4" t="s">
        <v>8787</v>
      </c>
      <c r="D141" s="4" t="str">
        <f t="shared" si="1"/>
        <v>{"valorA":"relógio","valorB":18.0}</v>
      </c>
      <c r="E141" s="8" t="str">
        <f t="shared" si="2"/>
        <v>relógio</v>
      </c>
      <c r="F141" s="8"/>
      <c r="G141" s="8" t="str">
        <f t="shared" si="3"/>
        <v>18.0</v>
      </c>
      <c r="H141" s="9">
        <f t="shared" si="4"/>
        <v>18</v>
      </c>
      <c r="I141" s="6" t="str">
        <f>IFERROR(__xludf.DUMMYFUNCTION("MAX(FILTER($H:$H,$E:$E=F141))"),"#N/A")</f>
        <v>#N/A</v>
      </c>
    </row>
    <row r="142">
      <c r="A142" s="4"/>
      <c r="C142" s="4" t="s">
        <v>8788</v>
      </c>
      <c r="D142" s="4" t="str">
        <f t="shared" si="1"/>
        <v>{"valorA":"microondas","valorB":25.0}</v>
      </c>
      <c r="E142" s="8" t="str">
        <f t="shared" si="2"/>
        <v>microondas</v>
      </c>
      <c r="F142" s="8"/>
      <c r="G142" s="8" t="str">
        <f t="shared" si="3"/>
        <v>25.0</v>
      </c>
      <c r="H142" s="9">
        <f t="shared" si="4"/>
        <v>25</v>
      </c>
      <c r="I142" s="6" t="str">
        <f>IFERROR(__xludf.DUMMYFUNCTION("MAX(FILTER($H:$H,$E:$E=F142))"),"#N/A")</f>
        <v>#N/A</v>
      </c>
    </row>
    <row r="143">
      <c r="A143" s="4"/>
      <c r="C143" s="4" t="s">
        <v>8789</v>
      </c>
      <c r="D143" s="4" t="str">
        <f t="shared" si="1"/>
        <v>{"valorA":"carregador de computador","valorB":17.0}</v>
      </c>
      <c r="E143" s="8" t="str">
        <f t="shared" si="2"/>
        <v>carregador de computador</v>
      </c>
      <c r="F143" s="8"/>
      <c r="G143" s="8" t="str">
        <f t="shared" si="3"/>
        <v>17.0</v>
      </c>
      <c r="H143" s="9">
        <f t="shared" si="4"/>
        <v>17</v>
      </c>
      <c r="I143" s="6" t="str">
        <f>IFERROR(__xludf.DUMMYFUNCTION("MAX(FILTER($H:$H,$E:$E=F143))"),"#N/A")</f>
        <v>#N/A</v>
      </c>
    </row>
    <row r="144">
      <c r="A144" s="4"/>
      <c r="C144" s="4" t="s">
        <v>8790</v>
      </c>
      <c r="D144" s="4" t="str">
        <f t="shared" si="1"/>
        <v>{"valorA":"ventilador","valorB":15.0}</v>
      </c>
      <c r="E144" s="8" t="str">
        <f t="shared" si="2"/>
        <v>ventilador</v>
      </c>
      <c r="F144" s="8"/>
      <c r="G144" s="8" t="str">
        <f t="shared" si="3"/>
        <v>15.0</v>
      </c>
      <c r="H144" s="9">
        <f t="shared" si="4"/>
        <v>15</v>
      </c>
      <c r="I144" s="6" t="str">
        <f>IFERROR(__xludf.DUMMYFUNCTION("MAX(FILTER($H:$H,$E:$E=F144))"),"#N/A")</f>
        <v>#N/A</v>
      </c>
    </row>
    <row r="145">
      <c r="A145" s="4"/>
      <c r="C145" s="4" t="s">
        <v>8791</v>
      </c>
      <c r="D145" s="4" t="str">
        <f t="shared" si="1"/>
        <v>{"valorA":"fone de ouvido","valorB":17.0}</v>
      </c>
      <c r="E145" s="8" t="str">
        <f t="shared" si="2"/>
        <v>fone de ouvido</v>
      </c>
      <c r="F145" s="8"/>
      <c r="G145" s="8" t="str">
        <f t="shared" si="3"/>
        <v>17.0</v>
      </c>
      <c r="H145" s="9">
        <f t="shared" si="4"/>
        <v>17</v>
      </c>
      <c r="I145" s="6" t="str">
        <f>IFERROR(__xludf.DUMMYFUNCTION("MAX(FILTER($H:$H,$E:$E=F145))"),"#N/A")</f>
        <v>#N/A</v>
      </c>
    </row>
    <row r="146">
      <c r="A146" s="4"/>
      <c r="C146" s="4" t="s">
        <v>8792</v>
      </c>
      <c r="D146" s="4" t="str">
        <f t="shared" si="1"/>
        <v>{"valorA":"roteador","valorB":20.0}</v>
      </c>
      <c r="E146" s="8" t="str">
        <f t="shared" si="2"/>
        <v>roteador</v>
      </c>
      <c r="F146" s="8"/>
      <c r="G146" s="8" t="str">
        <f t="shared" si="3"/>
        <v>20.0</v>
      </c>
      <c r="H146" s="9">
        <f t="shared" si="4"/>
        <v>20</v>
      </c>
      <c r="I146" s="6" t="str">
        <f>IFERROR(__xludf.DUMMYFUNCTION("MAX(FILTER($H:$H,$E:$E=F146))"),"#N/A")</f>
        <v>#N/A</v>
      </c>
    </row>
    <row r="147">
      <c r="A147" s="4"/>
      <c r="C147" s="4" t="s">
        <v>4218</v>
      </c>
      <c r="D147" s="4" t="str">
        <f t="shared" si="1"/>
        <v>{"valorA":"teclado de computador","valorB":16.0}</v>
      </c>
      <c r="E147" s="8" t="str">
        <f t="shared" si="2"/>
        <v>teclado de computador</v>
      </c>
      <c r="F147" s="8"/>
      <c r="G147" s="8" t="str">
        <f t="shared" si="3"/>
        <v>16.0</v>
      </c>
      <c r="H147" s="9">
        <f t="shared" si="4"/>
        <v>16</v>
      </c>
      <c r="I147" s="6" t="str">
        <f>IFERROR(__xludf.DUMMYFUNCTION("MAX(FILTER($H:$H,$E:$E=F147))"),"#N/A")</f>
        <v>#N/A</v>
      </c>
    </row>
    <row r="148">
      <c r="A148" s="4"/>
      <c r="C148" s="4" t="s">
        <v>4164</v>
      </c>
      <c r="D148" s="4" t="str">
        <f t="shared" si="1"/>
        <v>{"valorA":"computador","valorB":19.0}</v>
      </c>
      <c r="E148" s="8" t="str">
        <f t="shared" si="2"/>
        <v>computador</v>
      </c>
      <c r="F148" s="8"/>
      <c r="G148" s="8" t="str">
        <f t="shared" si="3"/>
        <v>19.0</v>
      </c>
      <c r="H148" s="9">
        <f t="shared" si="4"/>
        <v>19</v>
      </c>
      <c r="I148" s="6" t="str">
        <f>IFERROR(__xludf.DUMMYFUNCTION("MAX(FILTER($H:$H,$E:$E=F148))"),"#N/A")</f>
        <v>#N/A</v>
      </c>
    </row>
    <row r="149">
      <c r="A149" s="4"/>
      <c r="C149" s="4" t="s">
        <v>8793</v>
      </c>
      <c r="D149" s="4" t="str">
        <f t="shared" si="1"/>
        <v>{"valorA":"liquidificador","valorB":18.0}</v>
      </c>
      <c r="E149" s="8" t="str">
        <f t="shared" si="2"/>
        <v>liquidificador</v>
      </c>
      <c r="F149" s="8"/>
      <c r="G149" s="8" t="str">
        <f t="shared" si="3"/>
        <v>18.0</v>
      </c>
      <c r="H149" s="9">
        <f t="shared" si="4"/>
        <v>18</v>
      </c>
      <c r="I149" s="6" t="str">
        <f>IFERROR(__xludf.DUMMYFUNCTION("MAX(FILTER($H:$H,$E:$E=F149))"),"#N/A")</f>
        <v>#N/A</v>
      </c>
    </row>
    <row r="150">
      <c r="A150" s="4"/>
      <c r="C150" s="4" t="s">
        <v>8794</v>
      </c>
      <c r="D150" s="4" t="str">
        <f t="shared" si="1"/>
        <v>{"valorA":"chuveiro elétrico","valorB":25.0}</v>
      </c>
      <c r="E150" s="8" t="str">
        <f t="shared" si="2"/>
        <v>chuveiro elétrico</v>
      </c>
      <c r="F150" s="8"/>
      <c r="G150" s="8" t="str">
        <f t="shared" si="3"/>
        <v>25.0</v>
      </c>
      <c r="H150" s="9">
        <f t="shared" si="4"/>
        <v>25</v>
      </c>
      <c r="I150" s="6" t="str">
        <f>IFERROR(__xludf.DUMMYFUNCTION("MAX(FILTER($H:$H,$E:$E=F150))"),"#N/A")</f>
        <v>#N/A</v>
      </c>
    </row>
    <row r="151">
      <c r="A151" s="4"/>
      <c r="C151" s="4" t="s">
        <v>8795</v>
      </c>
      <c r="D151" s="4" t="str">
        <f t="shared" si="1"/>
        <v>{"valorA":"mouse de computador","valorB":23.0}</v>
      </c>
      <c r="E151" s="8" t="str">
        <f t="shared" si="2"/>
        <v>mouse de computador</v>
      </c>
      <c r="F151" s="8"/>
      <c r="G151" s="8" t="str">
        <f t="shared" si="3"/>
        <v>23.0</v>
      </c>
      <c r="H151" s="9">
        <f t="shared" si="4"/>
        <v>23</v>
      </c>
      <c r="I151" s="6" t="str">
        <f>IFERROR(__xludf.DUMMYFUNCTION("MAX(FILTER($H:$H,$E:$E=F151))"),"#N/A")</f>
        <v>#N/A</v>
      </c>
    </row>
    <row r="152">
      <c r="A152" s="4"/>
      <c r="C152" s="4" t="s">
        <v>4240</v>
      </c>
      <c r="D152" s="4" t="str">
        <f t="shared" si="1"/>
        <v>{"valorA":"ar condicionado","valorB":21.0}</v>
      </c>
      <c r="E152" s="8" t="str">
        <f t="shared" si="2"/>
        <v>ar condicionado</v>
      </c>
      <c r="F152" s="8"/>
      <c r="G152" s="8" t="str">
        <f t="shared" si="3"/>
        <v>21.0</v>
      </c>
      <c r="H152" s="9">
        <f t="shared" si="4"/>
        <v>21</v>
      </c>
      <c r="I152" s="6" t="str">
        <f>IFERROR(__xludf.DUMMYFUNCTION("MAX(FILTER($H:$H,$E:$E=F152))"),"#N/A")</f>
        <v>#N/A</v>
      </c>
    </row>
    <row r="153">
      <c r="A153" s="4"/>
      <c r="C153" s="4" t="s">
        <v>4208</v>
      </c>
      <c r="D153" s="4" t="str">
        <f t="shared" si="1"/>
        <v>{"valorA":"fogão","valorB":27.0}</v>
      </c>
      <c r="E153" s="8" t="str">
        <f t="shared" si="2"/>
        <v>fogão</v>
      </c>
      <c r="F153" s="8"/>
      <c r="G153" s="8" t="str">
        <f t="shared" si="3"/>
        <v>27.0</v>
      </c>
      <c r="H153" s="9">
        <f t="shared" si="4"/>
        <v>27</v>
      </c>
      <c r="I153" s="6" t="str">
        <f>IFERROR(__xludf.DUMMYFUNCTION("MAX(FILTER($H:$H,$E:$E=F153))"),"#N/A")</f>
        <v>#N/A</v>
      </c>
    </row>
    <row r="154">
      <c r="A154" s="4"/>
      <c r="C154" s="4" t="s">
        <v>8796</v>
      </c>
      <c r="D154" s="4" t="str">
        <f t="shared" si="1"/>
        <v>{"valorA":"aspirador","valorB":14.0}</v>
      </c>
      <c r="E154" s="8" t="str">
        <f t="shared" si="2"/>
        <v>aspirador</v>
      </c>
      <c r="F154" s="8"/>
      <c r="G154" s="8" t="str">
        <f t="shared" si="3"/>
        <v>14.0</v>
      </c>
      <c r="H154" s="9">
        <f t="shared" si="4"/>
        <v>14</v>
      </c>
      <c r="I154" s="6" t="str">
        <f>IFERROR(__xludf.DUMMYFUNCTION("MAX(FILTER($H:$H,$E:$E=F154))"),"#N/A")</f>
        <v>#N/A</v>
      </c>
    </row>
    <row r="155">
      <c r="A155" s="4"/>
      <c r="C155" s="4" t="s">
        <v>4169</v>
      </c>
      <c r="D155" s="4" t="str">
        <f t="shared" si="1"/>
        <v>{"valorA":"filtro de linha","valorB":17.0}</v>
      </c>
      <c r="E155" s="8" t="str">
        <f t="shared" si="2"/>
        <v>filtro de linha</v>
      </c>
      <c r="F155" s="8"/>
      <c r="G155" s="8" t="str">
        <f t="shared" si="3"/>
        <v>17.0</v>
      </c>
      <c r="H155" s="9">
        <f t="shared" si="4"/>
        <v>17</v>
      </c>
      <c r="I155" s="6" t="str">
        <f>IFERROR(__xludf.DUMMYFUNCTION("MAX(FILTER($H:$H,$E:$E=F155))"),"#N/A")</f>
        <v>#N/A</v>
      </c>
    </row>
    <row r="156">
      <c r="A156" s="4"/>
      <c r="C156" s="4" t="s">
        <v>8797</v>
      </c>
      <c r="D156" s="4" t="str">
        <f t="shared" si="1"/>
        <v>{"valorA":"celular","valorB":21.0}</v>
      </c>
      <c r="E156" s="8" t="str">
        <f t="shared" si="2"/>
        <v>celular</v>
      </c>
      <c r="F156" s="8"/>
      <c r="G156" s="8" t="str">
        <f t="shared" si="3"/>
        <v>21.0</v>
      </c>
      <c r="H156" s="9">
        <f t="shared" si="4"/>
        <v>21</v>
      </c>
      <c r="I156" s="6" t="str">
        <f>IFERROR(__xludf.DUMMYFUNCTION("MAX(FILTER($H:$H,$E:$E=F156))"),"#N/A")</f>
        <v>#N/A</v>
      </c>
    </row>
    <row r="157">
      <c r="A157" s="4"/>
      <c r="C157" s="4" t="s">
        <v>4229</v>
      </c>
      <c r="D157" s="4" t="str">
        <f t="shared" si="1"/>
        <v>{"valorA":"carregador de celular","valorB":22.0}</v>
      </c>
      <c r="E157" s="8" t="str">
        <f t="shared" si="2"/>
        <v>carregador de celular</v>
      </c>
      <c r="F157" s="8"/>
      <c r="G157" s="8" t="str">
        <f t="shared" si="3"/>
        <v>22.0</v>
      </c>
      <c r="H157" s="9">
        <f t="shared" si="4"/>
        <v>22</v>
      </c>
      <c r="I157" s="6" t="str">
        <f>IFERROR(__xludf.DUMMYFUNCTION("MAX(FILTER($H:$H,$E:$E=F157))"),"#N/A")</f>
        <v>#N/A</v>
      </c>
    </row>
    <row r="158">
      <c r="A158" s="4"/>
      <c r="C158" s="4" t="s">
        <v>8798</v>
      </c>
      <c r="D158" s="4" t="str">
        <f t="shared" si="1"/>
        <v>{"valorA":"purificador de água","valorB":18.0}</v>
      </c>
      <c r="E158" s="8" t="str">
        <f t="shared" si="2"/>
        <v>purificador de água</v>
      </c>
      <c r="F158" s="8"/>
      <c r="G158" s="8" t="str">
        <f t="shared" si="3"/>
        <v>18.0</v>
      </c>
      <c r="H158" s="9">
        <f t="shared" si="4"/>
        <v>18</v>
      </c>
      <c r="I158" s="6" t="str">
        <f>IFERROR(__xludf.DUMMYFUNCTION("MAX(FILTER($H:$H,$E:$E=F158))"),"#N/A")</f>
        <v>#N/A</v>
      </c>
    </row>
    <row r="159">
      <c r="A159" s="4"/>
      <c r="C159" s="4" t="s">
        <v>8799</v>
      </c>
      <c r="D159" s="4" t="str">
        <f t="shared" si="1"/>
        <v>{"valorA":"lustre","valorB":23.0}</v>
      </c>
      <c r="E159" s="8" t="str">
        <f t="shared" si="2"/>
        <v>lustre</v>
      </c>
      <c r="F159" s="8"/>
      <c r="G159" s="8" t="str">
        <f t="shared" si="3"/>
        <v>23.0</v>
      </c>
      <c r="H159" s="9">
        <f t="shared" si="4"/>
        <v>23</v>
      </c>
      <c r="I159" s="6" t="str">
        <f>IFERROR(__xludf.DUMMYFUNCTION("MAX(FILTER($H:$H,$E:$E=F159))"),"#N/A")</f>
        <v>#N/A</v>
      </c>
    </row>
    <row r="160">
      <c r="A160" s="4"/>
      <c r="C160" s="4" t="s">
        <v>4178</v>
      </c>
      <c r="D160" s="4" t="str">
        <f t="shared" si="1"/>
        <v>{"valorA":"relógio","valorB":27.0}</v>
      </c>
      <c r="E160" s="8" t="str">
        <f t="shared" si="2"/>
        <v>relógio</v>
      </c>
      <c r="F160" s="8"/>
      <c r="G160" s="8" t="str">
        <f t="shared" si="3"/>
        <v>27.0</v>
      </c>
      <c r="H160" s="9">
        <f t="shared" si="4"/>
        <v>27</v>
      </c>
      <c r="I160" s="6" t="str">
        <f>IFERROR(__xludf.DUMMYFUNCTION("MAX(FILTER($H:$H,$E:$E=F160))"),"#N/A")</f>
        <v>#N/A</v>
      </c>
    </row>
    <row r="161">
      <c r="A161" s="4"/>
      <c r="C161" s="4" t="s">
        <v>4177</v>
      </c>
      <c r="D161" s="4" t="str">
        <f t="shared" si="1"/>
        <v>{"valorA":"carregador de computador","valorB":18.0}</v>
      </c>
      <c r="E161" s="8" t="str">
        <f t="shared" si="2"/>
        <v>carregador de computador</v>
      </c>
      <c r="F161" s="8"/>
      <c r="G161" s="8" t="str">
        <f t="shared" si="3"/>
        <v>18.0</v>
      </c>
      <c r="H161" s="9">
        <f t="shared" si="4"/>
        <v>18</v>
      </c>
      <c r="I161" s="6" t="str">
        <f>IFERROR(__xludf.DUMMYFUNCTION("MAX(FILTER($H:$H,$E:$E=F161))"),"#N/A")</f>
        <v>#N/A</v>
      </c>
    </row>
    <row r="162">
      <c r="A162" s="4"/>
      <c r="C162" s="4" t="s">
        <v>4142</v>
      </c>
      <c r="D162" s="4" t="str">
        <f t="shared" si="1"/>
        <v>{"valorA":"ventilador","valorB":17.0}</v>
      </c>
      <c r="E162" s="8" t="str">
        <f t="shared" si="2"/>
        <v>ventilador</v>
      </c>
      <c r="F162" s="8"/>
      <c r="G162" s="8" t="str">
        <f t="shared" si="3"/>
        <v>17.0</v>
      </c>
      <c r="H162" s="9">
        <f t="shared" si="4"/>
        <v>17</v>
      </c>
      <c r="I162" s="6" t="str">
        <f>IFERROR(__xludf.DUMMYFUNCTION("MAX(FILTER($H:$H,$E:$E=F162))"),"#N/A")</f>
        <v>#N/A</v>
      </c>
    </row>
    <row r="163">
      <c r="A163" s="4"/>
      <c r="C163" s="4" t="s">
        <v>8800</v>
      </c>
      <c r="D163" s="4" t="str">
        <f t="shared" si="1"/>
        <v>{"valorA":"fone de ouvido","valorB":21.0}</v>
      </c>
      <c r="E163" s="8" t="str">
        <f t="shared" si="2"/>
        <v>fone de ouvido</v>
      </c>
      <c r="F163" s="8"/>
      <c r="G163" s="8" t="str">
        <f t="shared" si="3"/>
        <v>21.0</v>
      </c>
      <c r="H163" s="9">
        <f t="shared" si="4"/>
        <v>21</v>
      </c>
      <c r="I163" s="6" t="str">
        <f>IFERROR(__xludf.DUMMYFUNCTION("MAX(FILTER($H:$H,$E:$E=F163))"),"#N/A")</f>
        <v>#N/A</v>
      </c>
    </row>
    <row r="164">
      <c r="A164" s="4"/>
      <c r="C164" s="4" t="s">
        <v>8801</v>
      </c>
      <c r="D164" s="4" t="str">
        <f t="shared" si="1"/>
        <v>{"valorA":"roteador","valorB":22.0}</v>
      </c>
      <c r="E164" s="8" t="str">
        <f t="shared" si="2"/>
        <v>roteador</v>
      </c>
      <c r="F164" s="8"/>
      <c r="G164" s="8" t="str">
        <f t="shared" si="3"/>
        <v>22.0</v>
      </c>
      <c r="H164" s="9">
        <f t="shared" si="4"/>
        <v>22</v>
      </c>
      <c r="I164" s="6" t="str">
        <f>IFERROR(__xludf.DUMMYFUNCTION("MAX(FILTER($H:$H,$E:$E=F164))"),"#N/A")</f>
        <v>#N/A</v>
      </c>
    </row>
    <row r="165">
      <c r="A165" s="4"/>
      <c r="C165" s="4" t="s">
        <v>4245</v>
      </c>
      <c r="D165" s="4" t="str">
        <f t="shared" si="1"/>
        <v>{"valorA":"teclado de computador","valorB":17.0}</v>
      </c>
      <c r="E165" s="8" t="str">
        <f t="shared" si="2"/>
        <v>teclado de computador</v>
      </c>
      <c r="F165" s="8"/>
      <c r="G165" s="8" t="str">
        <f t="shared" si="3"/>
        <v>17.0</v>
      </c>
      <c r="H165" s="9">
        <f t="shared" si="4"/>
        <v>17</v>
      </c>
      <c r="I165" s="6" t="str">
        <f>IFERROR(__xludf.DUMMYFUNCTION("MAX(FILTER($H:$H,$E:$E=F165))"),"#N/A")</f>
        <v>#N/A</v>
      </c>
    </row>
    <row r="166">
      <c r="A166" s="4"/>
      <c r="C166" s="4" t="s">
        <v>4182</v>
      </c>
      <c r="D166" s="4" t="str">
        <f t="shared" si="1"/>
        <v>{"valorA":"computador","valorB":22.0}</v>
      </c>
      <c r="E166" s="8" t="str">
        <f t="shared" si="2"/>
        <v>computador</v>
      </c>
      <c r="F166" s="8"/>
      <c r="G166" s="8" t="str">
        <f t="shared" si="3"/>
        <v>22.0</v>
      </c>
      <c r="H166" s="9">
        <f t="shared" si="4"/>
        <v>22</v>
      </c>
      <c r="I166" s="6" t="str">
        <f>IFERROR(__xludf.DUMMYFUNCTION("MAX(FILTER($H:$H,$E:$E=F166))"),"#N/A")</f>
        <v>#N/A</v>
      </c>
    </row>
    <row r="167">
      <c r="A167" s="4"/>
      <c r="C167" s="4" t="s">
        <v>8802</v>
      </c>
      <c r="D167" s="4" t="str">
        <f t="shared" si="1"/>
        <v>{"valorA":"liquidificador","valorB":19.0}</v>
      </c>
      <c r="E167" s="8" t="str">
        <f t="shared" si="2"/>
        <v>liquidificador</v>
      </c>
      <c r="F167" s="8"/>
      <c r="G167" s="8" t="str">
        <f t="shared" si="3"/>
        <v>19.0</v>
      </c>
      <c r="H167" s="9">
        <f t="shared" si="4"/>
        <v>19</v>
      </c>
      <c r="I167" s="6" t="str">
        <f>IFERROR(__xludf.DUMMYFUNCTION("MAX(FILTER($H:$H,$E:$E=F167))"),"#N/A")</f>
        <v>#N/A</v>
      </c>
    </row>
    <row r="168">
      <c r="A168" s="4"/>
      <c r="C168" s="4" t="s">
        <v>8803</v>
      </c>
      <c r="D168" s="4" t="str">
        <f t="shared" si="1"/>
        <v>{"valorA":"chuveiro elétrico","valorB":28.0}</v>
      </c>
      <c r="E168" s="8" t="str">
        <f t="shared" si="2"/>
        <v>chuveiro elétrico</v>
      </c>
      <c r="F168" s="8"/>
      <c r="G168" s="8" t="str">
        <f t="shared" si="3"/>
        <v>28.0</v>
      </c>
      <c r="H168" s="9">
        <f t="shared" si="4"/>
        <v>28</v>
      </c>
      <c r="I168" s="6" t="str">
        <f>IFERROR(__xludf.DUMMYFUNCTION("MAX(FILTER($H:$H,$E:$E=F168))"),"#N/A")</f>
        <v>#N/A</v>
      </c>
    </row>
    <row r="169">
      <c r="A169" s="4"/>
      <c r="C169" s="4" t="s">
        <v>8804</v>
      </c>
      <c r="D169" s="4" t="str">
        <f t="shared" si="1"/>
        <v>{"valorA":"freezer","valorB":25.0}</v>
      </c>
      <c r="E169" s="8" t="str">
        <f t="shared" si="2"/>
        <v>freezer</v>
      </c>
      <c r="F169" s="8"/>
      <c r="G169" s="8" t="str">
        <f t="shared" si="3"/>
        <v>25.0</v>
      </c>
      <c r="H169" s="9">
        <f t="shared" si="4"/>
        <v>25</v>
      </c>
      <c r="I169" s="6" t="str">
        <f>IFERROR(__xludf.DUMMYFUNCTION("MAX(FILTER($H:$H,$E:$E=F169))"),"#N/A")</f>
        <v>#N/A</v>
      </c>
    </row>
    <row r="170">
      <c r="A170" s="4"/>
      <c r="C170" s="4" t="s">
        <v>8805</v>
      </c>
      <c r="D170" s="4" t="str">
        <f t="shared" si="1"/>
        <v>{"valorA":"ar condicionado","valorB":24.0}</v>
      </c>
      <c r="E170" s="8" t="str">
        <f t="shared" si="2"/>
        <v>ar condicionado</v>
      </c>
      <c r="F170" s="8"/>
      <c r="G170" s="8" t="str">
        <f t="shared" si="3"/>
        <v>24.0</v>
      </c>
      <c r="H170" s="9">
        <f t="shared" si="4"/>
        <v>24</v>
      </c>
      <c r="I170" s="6" t="str">
        <f>IFERROR(__xludf.DUMMYFUNCTION("MAX(FILTER($H:$H,$E:$E=F170))"),"#N/A")</f>
        <v>#N/A</v>
      </c>
    </row>
    <row r="171">
      <c r="A171" s="4"/>
      <c r="C171" s="4" t="s">
        <v>8806</v>
      </c>
      <c r="D171" s="4" t="str">
        <f t="shared" si="1"/>
        <v>{"valorA":"filtro de linha","valorB":20.0}</v>
      </c>
      <c r="E171" s="8" t="str">
        <f t="shared" si="2"/>
        <v>filtro de linha</v>
      </c>
      <c r="F171" s="8"/>
      <c r="G171" s="8" t="str">
        <f t="shared" si="3"/>
        <v>20.0</v>
      </c>
      <c r="H171" s="9">
        <f t="shared" si="4"/>
        <v>20</v>
      </c>
      <c r="I171" s="6" t="str">
        <f>IFERROR(__xludf.DUMMYFUNCTION("MAX(FILTER($H:$H,$E:$E=F171))"),"#N/A")</f>
        <v>#N/A</v>
      </c>
    </row>
    <row r="172">
      <c r="A172" s="4"/>
      <c r="C172" s="4" t="s">
        <v>8807</v>
      </c>
      <c r="D172" s="4" t="str">
        <f t="shared" si="1"/>
        <v>{"valorA":"aspirador","valorB":16.0}</v>
      </c>
      <c r="E172" s="8" t="str">
        <f t="shared" si="2"/>
        <v>aspirador</v>
      </c>
      <c r="F172" s="8"/>
      <c r="G172" s="8" t="str">
        <f t="shared" si="3"/>
        <v>16.0</v>
      </c>
      <c r="H172" s="9">
        <f t="shared" si="4"/>
        <v>16</v>
      </c>
      <c r="I172" s="6" t="str">
        <f>IFERROR(__xludf.DUMMYFUNCTION("MAX(FILTER($H:$H,$E:$E=F172))"),"#N/A")</f>
        <v>#N/A</v>
      </c>
    </row>
    <row r="173">
      <c r="A173" s="4"/>
      <c r="C173" s="4" t="s">
        <v>4241</v>
      </c>
      <c r="D173" s="4" t="str">
        <f t="shared" si="1"/>
        <v>{"valorA":"fogão","valorB":30.0}</v>
      </c>
      <c r="E173" s="8" t="str">
        <f t="shared" si="2"/>
        <v>fogão</v>
      </c>
      <c r="F173" s="8"/>
      <c r="G173" s="8" t="str">
        <f t="shared" si="3"/>
        <v>30.0</v>
      </c>
      <c r="H173" s="9">
        <f t="shared" si="4"/>
        <v>30</v>
      </c>
      <c r="I173" s="6" t="str">
        <f>IFERROR(__xludf.DUMMYFUNCTION("MAX(FILTER($H:$H,$E:$E=F173))"),"#N/A")</f>
        <v>#N/A</v>
      </c>
    </row>
    <row r="174">
      <c r="A174" s="4"/>
      <c r="C174" s="4" t="s">
        <v>8808</v>
      </c>
      <c r="D174" s="4" t="str">
        <f t="shared" si="1"/>
        <v>{"valorA":"celular","valorB":24.0}</v>
      </c>
      <c r="E174" s="8" t="str">
        <f t="shared" si="2"/>
        <v>celular</v>
      </c>
      <c r="F174" s="8"/>
      <c r="G174" s="8" t="str">
        <f t="shared" si="3"/>
        <v>24.0</v>
      </c>
      <c r="H174" s="9">
        <f t="shared" si="4"/>
        <v>24</v>
      </c>
      <c r="I174" s="6" t="str">
        <f>IFERROR(__xludf.DUMMYFUNCTION("MAX(FILTER($H:$H,$E:$E=F174))"),"#N/A")</f>
        <v>#N/A</v>
      </c>
    </row>
    <row r="175">
      <c r="A175" s="4"/>
      <c r="C175" s="4" t="s">
        <v>8809</v>
      </c>
      <c r="D175" s="4" t="str">
        <f t="shared" si="1"/>
        <v>{"valorA":"carregador de celular","valorB":24.0}</v>
      </c>
      <c r="E175" s="8" t="str">
        <f t="shared" si="2"/>
        <v>carregador de celular</v>
      </c>
      <c r="F175" s="8"/>
      <c r="G175" s="8" t="str">
        <f t="shared" si="3"/>
        <v>24.0</v>
      </c>
      <c r="H175" s="9">
        <f t="shared" si="4"/>
        <v>24</v>
      </c>
      <c r="I175" s="6" t="str">
        <f>IFERROR(__xludf.DUMMYFUNCTION("MAX(FILTER($H:$H,$E:$E=F175))"),"#N/A")</f>
        <v>#N/A</v>
      </c>
    </row>
    <row r="176">
      <c r="A176" s="4"/>
      <c r="C176" s="4" t="s">
        <v>4156</v>
      </c>
      <c r="D176" s="4" t="str">
        <f t="shared" si="1"/>
        <v>{"valorA":"purificador de água","valorB":19.0}</v>
      </c>
      <c r="E176" s="8" t="str">
        <f t="shared" si="2"/>
        <v>purificador de água</v>
      </c>
      <c r="F176" s="8"/>
      <c r="G176" s="8" t="str">
        <f t="shared" si="3"/>
        <v>19.0</v>
      </c>
      <c r="H176" s="9">
        <f t="shared" si="4"/>
        <v>19</v>
      </c>
      <c r="I176" s="6" t="str">
        <f>IFERROR(__xludf.DUMMYFUNCTION("MAX(FILTER($H:$H,$E:$E=F176))"),"#N/A")</f>
        <v>#N/A</v>
      </c>
    </row>
    <row r="177">
      <c r="A177" s="4"/>
      <c r="C177" s="4" t="s">
        <v>8810</v>
      </c>
      <c r="D177" s="4" t="str">
        <f t="shared" si="1"/>
        <v>{"valorA":"lustre","valorB":27.0}</v>
      </c>
      <c r="E177" s="8" t="str">
        <f t="shared" si="2"/>
        <v>lustre</v>
      </c>
      <c r="F177" s="8"/>
      <c r="G177" s="8" t="str">
        <f t="shared" si="3"/>
        <v>27.0</v>
      </c>
      <c r="H177" s="9">
        <f t="shared" si="4"/>
        <v>27</v>
      </c>
      <c r="I177" s="6" t="str">
        <f>IFERROR(__xludf.DUMMYFUNCTION("MAX(FILTER($H:$H,$E:$E=F177))"),"#N/A")</f>
        <v>#N/A</v>
      </c>
    </row>
    <row r="178">
      <c r="A178" s="4"/>
      <c r="C178" s="4" t="s">
        <v>8811</v>
      </c>
      <c r="D178" s="4" t="str">
        <f t="shared" si="1"/>
        <v>{"valorA":"microondas","valorB":30.0}</v>
      </c>
      <c r="E178" s="8" t="str">
        <f t="shared" si="2"/>
        <v>microondas</v>
      </c>
      <c r="F178" s="8"/>
      <c r="G178" s="8" t="str">
        <f t="shared" si="3"/>
        <v>30.0</v>
      </c>
      <c r="H178" s="9">
        <f t="shared" si="4"/>
        <v>30</v>
      </c>
      <c r="I178" s="6" t="str">
        <f>IFERROR(__xludf.DUMMYFUNCTION("MAX(FILTER($H:$H,$E:$E=F178))"),"#N/A")</f>
        <v>#N/A</v>
      </c>
    </row>
    <row r="179">
      <c r="A179" s="4"/>
      <c r="C179" s="4" t="s">
        <v>4196</v>
      </c>
      <c r="D179" s="4" t="str">
        <f t="shared" si="1"/>
        <v>{"valorA":"carregador de computador","valorB":21.0}</v>
      </c>
      <c r="E179" s="8" t="str">
        <f t="shared" si="2"/>
        <v>carregador de computador</v>
      </c>
      <c r="F179" s="8"/>
      <c r="G179" s="8" t="str">
        <f t="shared" si="3"/>
        <v>21.0</v>
      </c>
      <c r="H179" s="9">
        <f t="shared" si="4"/>
        <v>21</v>
      </c>
      <c r="I179" s="6" t="str">
        <f>IFERROR(__xludf.DUMMYFUNCTION("MAX(FILTER($H:$H,$E:$E=F179))"),"#N/A")</f>
        <v>#N/A</v>
      </c>
    </row>
    <row r="180">
      <c r="A180" s="4"/>
      <c r="C180" s="4" t="s">
        <v>4160</v>
      </c>
      <c r="D180" s="4" t="str">
        <f t="shared" si="1"/>
        <v>{"valorA":"ventilador","valorB":19.0}</v>
      </c>
      <c r="E180" s="8" t="str">
        <f t="shared" si="2"/>
        <v>ventilador</v>
      </c>
      <c r="F180" s="8"/>
      <c r="G180" s="8" t="str">
        <f t="shared" si="3"/>
        <v>19.0</v>
      </c>
      <c r="H180" s="9">
        <f t="shared" si="4"/>
        <v>19</v>
      </c>
      <c r="I180" s="6" t="str">
        <f>IFERROR(__xludf.DUMMYFUNCTION("MAX(FILTER($H:$H,$E:$E=F180))"),"#N/A")</f>
        <v>#N/A</v>
      </c>
    </row>
    <row r="181">
      <c r="A181" s="4"/>
      <c r="C181" s="4" t="s">
        <v>8812</v>
      </c>
      <c r="D181" s="4" t="str">
        <f t="shared" si="1"/>
        <v>{"valorA":"fone de ouvido","valorB":22.0}</v>
      </c>
      <c r="E181" s="8" t="str">
        <f t="shared" si="2"/>
        <v>fone de ouvido</v>
      </c>
      <c r="F181" s="8"/>
      <c r="G181" s="8" t="str">
        <f t="shared" si="3"/>
        <v>22.0</v>
      </c>
      <c r="H181" s="9">
        <f t="shared" si="4"/>
        <v>22</v>
      </c>
      <c r="I181" s="6" t="str">
        <f>IFERROR(__xludf.DUMMYFUNCTION("MAX(FILTER($H:$H,$E:$E=F181))"),"#N/A")</f>
        <v>#N/A</v>
      </c>
    </row>
    <row r="182">
      <c r="A182" s="4"/>
      <c r="C182" s="4" t="s">
        <v>8813</v>
      </c>
      <c r="D182" s="4" t="str">
        <f t="shared" si="1"/>
        <v>{"valorA":"roteador","valorB":26.0}</v>
      </c>
      <c r="E182" s="8" t="str">
        <f t="shared" si="2"/>
        <v>roteador</v>
      </c>
      <c r="F182" s="8"/>
      <c r="G182" s="8" t="str">
        <f t="shared" si="3"/>
        <v>26.0</v>
      </c>
      <c r="H182" s="9">
        <f t="shared" si="4"/>
        <v>26</v>
      </c>
      <c r="I182" s="6" t="str">
        <f>IFERROR(__xludf.DUMMYFUNCTION("MAX(FILTER($H:$H,$E:$E=F182))"),"#N/A")</f>
        <v>#N/A</v>
      </c>
    </row>
    <row r="183">
      <c r="A183" s="4"/>
      <c r="C183" s="4" t="s">
        <v>8814</v>
      </c>
      <c r="D183" s="4" t="str">
        <f t="shared" si="1"/>
        <v>{"valorA":"teclado de computador","valorB":18.0}</v>
      </c>
      <c r="E183" s="8" t="str">
        <f t="shared" si="2"/>
        <v>teclado de computador</v>
      </c>
      <c r="F183" s="8"/>
      <c r="G183" s="8" t="str">
        <f t="shared" si="3"/>
        <v>18.0</v>
      </c>
      <c r="H183" s="9">
        <f t="shared" si="4"/>
        <v>18</v>
      </c>
      <c r="I183" s="6" t="str">
        <f>IFERROR(__xludf.DUMMYFUNCTION("MAX(FILTER($H:$H,$E:$E=F183))"),"#N/A")</f>
        <v>#N/A</v>
      </c>
    </row>
    <row r="184">
      <c r="A184" s="4"/>
      <c r="C184" s="4" t="s">
        <v>4183</v>
      </c>
      <c r="D184" s="4" t="str">
        <f t="shared" si="1"/>
        <v>{"valorA":"liquidificador","valorB":21.0}</v>
      </c>
      <c r="E184" s="8" t="str">
        <f t="shared" si="2"/>
        <v>liquidificador</v>
      </c>
      <c r="F184" s="8"/>
      <c r="G184" s="8" t="str">
        <f t="shared" si="3"/>
        <v>21.0</v>
      </c>
      <c r="H184" s="9">
        <f t="shared" si="4"/>
        <v>21</v>
      </c>
      <c r="I184" s="6" t="str">
        <f>IFERROR(__xludf.DUMMYFUNCTION("MAX(FILTER($H:$H,$E:$E=F184))"),"#N/A")</f>
        <v>#N/A</v>
      </c>
    </row>
    <row r="185">
      <c r="A185" s="4"/>
      <c r="C185" s="4" t="s">
        <v>4201</v>
      </c>
      <c r="D185" s="4" t="str">
        <f t="shared" si="1"/>
        <v>{"valorA":"computador","valorB":23.0}</v>
      </c>
      <c r="E185" s="8" t="str">
        <f t="shared" si="2"/>
        <v>computador</v>
      </c>
      <c r="F185" s="8"/>
      <c r="G185" s="8" t="str">
        <f t="shared" si="3"/>
        <v>23.0</v>
      </c>
      <c r="H185" s="9">
        <f t="shared" si="4"/>
        <v>23</v>
      </c>
      <c r="I185" s="6" t="str">
        <f>IFERROR(__xludf.DUMMYFUNCTION("MAX(FILTER($H:$H,$E:$E=F185))"),"#N/A")</f>
        <v>#N/A</v>
      </c>
    </row>
    <row r="186">
      <c r="A186" s="4"/>
      <c r="C186" s="4" t="s">
        <v>8815</v>
      </c>
      <c r="D186" s="4" t="str">
        <f t="shared" si="1"/>
        <v>{"valorA":"chuveiro elétrico","valorB":31.0}</v>
      </c>
      <c r="E186" s="8" t="str">
        <f t="shared" si="2"/>
        <v>chuveiro elétrico</v>
      </c>
      <c r="F186" s="8"/>
      <c r="G186" s="8" t="str">
        <f t="shared" si="3"/>
        <v>31.0</v>
      </c>
      <c r="H186" s="9">
        <f t="shared" si="4"/>
        <v>31</v>
      </c>
      <c r="I186" s="6" t="str">
        <f>IFERROR(__xludf.DUMMYFUNCTION("MAX(FILTER($H:$H,$E:$E=F186))"),"#N/A")</f>
        <v>#N/A</v>
      </c>
    </row>
    <row r="187">
      <c r="A187" s="4"/>
      <c r="C187" s="4" t="s">
        <v>8816</v>
      </c>
      <c r="D187" s="4" t="str">
        <f t="shared" si="1"/>
        <v>{"valorA":"mouse de computador","valorB":24.0}</v>
      </c>
      <c r="E187" s="8" t="str">
        <f t="shared" si="2"/>
        <v>mouse de computador</v>
      </c>
      <c r="F187" s="8"/>
      <c r="G187" s="8" t="str">
        <f t="shared" si="3"/>
        <v>24.0</v>
      </c>
      <c r="H187" s="9">
        <f t="shared" si="4"/>
        <v>24</v>
      </c>
      <c r="I187" s="6" t="str">
        <f>IFERROR(__xludf.DUMMYFUNCTION("MAX(FILTER($H:$H,$E:$E=F187))"),"#N/A")</f>
        <v>#N/A</v>
      </c>
    </row>
    <row r="188">
      <c r="A188" s="4"/>
      <c r="C188" s="4" t="s">
        <v>8817</v>
      </c>
      <c r="D188" s="4" t="str">
        <f t="shared" si="1"/>
        <v>{"valorA":"freezer","valorB":26.0}</v>
      </c>
      <c r="E188" s="8" t="str">
        <f t="shared" si="2"/>
        <v>freezer</v>
      </c>
      <c r="F188" s="8"/>
      <c r="G188" s="8" t="str">
        <f t="shared" si="3"/>
        <v>26.0</v>
      </c>
      <c r="H188" s="9">
        <f t="shared" si="4"/>
        <v>26</v>
      </c>
      <c r="I188" s="6" t="str">
        <f>IFERROR(__xludf.DUMMYFUNCTION("MAX(FILTER($H:$H,$E:$E=F188))"),"#N/A")</f>
        <v>#N/A</v>
      </c>
    </row>
    <row r="189">
      <c r="A189" s="4"/>
      <c r="C189" s="4" t="s">
        <v>8818</v>
      </c>
      <c r="D189" s="4" t="str">
        <f t="shared" si="1"/>
        <v>{"valorA":"ar condicionado","valorB":25.0}</v>
      </c>
      <c r="E189" s="8" t="str">
        <f t="shared" si="2"/>
        <v>ar condicionado</v>
      </c>
      <c r="F189" s="8"/>
      <c r="G189" s="8" t="str">
        <f t="shared" si="3"/>
        <v>25.0</v>
      </c>
      <c r="H189" s="9">
        <f t="shared" si="4"/>
        <v>25</v>
      </c>
      <c r="I189" s="6" t="str">
        <f>IFERROR(__xludf.DUMMYFUNCTION("MAX(FILTER($H:$H,$E:$E=F189))"),"#N/A")</f>
        <v>#N/A</v>
      </c>
    </row>
    <row r="190">
      <c r="A190" s="4"/>
      <c r="C190" s="4" t="s">
        <v>4190</v>
      </c>
      <c r="D190" s="4" t="str">
        <f t="shared" si="1"/>
        <v>{"valorA":"filtro de linha","valorB":22.0}</v>
      </c>
      <c r="E190" s="8" t="str">
        <f t="shared" si="2"/>
        <v>filtro de linha</v>
      </c>
      <c r="F190" s="8"/>
      <c r="G190" s="8" t="str">
        <f t="shared" si="3"/>
        <v>22.0</v>
      </c>
      <c r="H190" s="9">
        <f t="shared" si="4"/>
        <v>22</v>
      </c>
      <c r="I190" s="6" t="str">
        <f>IFERROR(__xludf.DUMMYFUNCTION("MAX(FILTER($H:$H,$E:$E=F190))"),"#N/A")</f>
        <v>#N/A</v>
      </c>
    </row>
    <row r="191">
      <c r="A191" s="4"/>
      <c r="C191" s="4" t="s">
        <v>8819</v>
      </c>
      <c r="D191" s="4" t="str">
        <f t="shared" si="1"/>
        <v>{"valorA":"fogão","valorB":34.0}</v>
      </c>
      <c r="E191" s="8" t="str">
        <f t="shared" si="2"/>
        <v>fogão</v>
      </c>
      <c r="F191" s="8"/>
      <c r="G191" s="8" t="str">
        <f t="shared" si="3"/>
        <v>34.0</v>
      </c>
      <c r="H191" s="9">
        <f t="shared" si="4"/>
        <v>34</v>
      </c>
      <c r="I191" s="6" t="str">
        <f>IFERROR(__xludf.DUMMYFUNCTION("MAX(FILTER($H:$H,$E:$E=F191))"),"#N/A")</f>
        <v>#N/A</v>
      </c>
    </row>
    <row r="192">
      <c r="A192" s="4"/>
      <c r="C192" s="4" t="s">
        <v>4154</v>
      </c>
      <c r="D192" s="4" t="str">
        <f t="shared" si="1"/>
        <v>{"valorA":"aspirador","valorB":19.0}</v>
      </c>
      <c r="E192" s="8" t="str">
        <f t="shared" si="2"/>
        <v>aspirador</v>
      </c>
      <c r="F192" s="8"/>
      <c r="G192" s="8" t="str">
        <f t="shared" si="3"/>
        <v>19.0</v>
      </c>
      <c r="H192" s="9">
        <f t="shared" si="4"/>
        <v>19</v>
      </c>
      <c r="I192" s="6" t="str">
        <f>IFERROR(__xludf.DUMMYFUNCTION("MAX(FILTER($H:$H,$E:$E=F192))"),"#N/A")</f>
        <v>#N/A</v>
      </c>
    </row>
    <row r="193">
      <c r="A193" s="4"/>
      <c r="C193" s="4" t="s">
        <v>8820</v>
      </c>
      <c r="D193" s="4" t="str">
        <f t="shared" si="1"/>
        <v>{"valorA":"celular","valorB":27.0}</v>
      </c>
      <c r="E193" s="8" t="str">
        <f t="shared" si="2"/>
        <v>celular</v>
      </c>
      <c r="F193" s="8"/>
      <c r="G193" s="8" t="str">
        <f t="shared" si="3"/>
        <v>27.0</v>
      </c>
      <c r="H193" s="9">
        <f t="shared" si="4"/>
        <v>27</v>
      </c>
      <c r="I193" s="6" t="str">
        <f>IFERROR(__xludf.DUMMYFUNCTION("MAX(FILTER($H:$H,$E:$E=F193))"),"#N/A")</f>
        <v>#N/A</v>
      </c>
    </row>
    <row r="194">
      <c r="A194" s="4"/>
      <c r="C194" s="4" t="s">
        <v>8821</v>
      </c>
      <c r="D194" s="4" t="str">
        <f t="shared" si="1"/>
        <v>{"valorA":"carregador de celular","valorB":26.0}</v>
      </c>
      <c r="E194" s="8" t="str">
        <f t="shared" si="2"/>
        <v>carregador de celular</v>
      </c>
      <c r="F194" s="8"/>
      <c r="G194" s="8" t="str">
        <f t="shared" si="3"/>
        <v>26.0</v>
      </c>
      <c r="H194" s="9">
        <f t="shared" si="4"/>
        <v>26</v>
      </c>
      <c r="I194" s="6" t="str">
        <f>IFERROR(__xludf.DUMMYFUNCTION("MAX(FILTER($H:$H,$E:$E=F194))"),"#N/A")</f>
        <v>#N/A</v>
      </c>
    </row>
    <row r="195">
      <c r="A195" s="4"/>
      <c r="C195" s="4" t="s">
        <v>8822</v>
      </c>
      <c r="D195" s="4" t="str">
        <f t="shared" si="1"/>
        <v>{"valorA":"purificador de água","valorB":21.0}</v>
      </c>
      <c r="E195" s="8" t="str">
        <f t="shared" si="2"/>
        <v>purificador de água</v>
      </c>
      <c r="F195" s="8"/>
      <c r="G195" s="8" t="str">
        <f t="shared" si="3"/>
        <v>21.0</v>
      </c>
      <c r="H195" s="9">
        <f t="shared" si="4"/>
        <v>21</v>
      </c>
      <c r="I195" s="6" t="str">
        <f>IFERROR(__xludf.DUMMYFUNCTION("MAX(FILTER($H:$H,$E:$E=F195))"),"#N/A")</f>
        <v>#N/A</v>
      </c>
    </row>
    <row r="196">
      <c r="A196" s="4"/>
      <c r="C196" s="4" t="s">
        <v>8823</v>
      </c>
      <c r="D196" s="4" t="str">
        <f t="shared" si="1"/>
        <v>{"valorA":"lustre","valorB":28.0}</v>
      </c>
      <c r="E196" s="8" t="str">
        <f t="shared" si="2"/>
        <v>lustre</v>
      </c>
      <c r="F196" s="8"/>
      <c r="G196" s="8" t="str">
        <f t="shared" si="3"/>
        <v>28.0</v>
      </c>
      <c r="H196" s="9">
        <f t="shared" si="4"/>
        <v>28</v>
      </c>
      <c r="I196" s="6" t="str">
        <f>IFERROR(__xludf.DUMMYFUNCTION("MAX(FILTER($H:$H,$E:$E=F196))"),"#N/A")</f>
        <v>#N/A</v>
      </c>
    </row>
    <row r="197">
      <c r="A197" s="4"/>
      <c r="C197" s="4" t="s">
        <v>8824</v>
      </c>
      <c r="D197" s="4" t="str">
        <f t="shared" si="1"/>
        <v>{"valorA":"microondas","valorB":31.0}</v>
      </c>
      <c r="E197" s="8" t="str">
        <f t="shared" si="2"/>
        <v>microondas</v>
      </c>
      <c r="F197" s="8"/>
      <c r="G197" s="8" t="str">
        <f t="shared" si="3"/>
        <v>31.0</v>
      </c>
      <c r="H197" s="9">
        <f t="shared" si="4"/>
        <v>31</v>
      </c>
      <c r="I197" s="6" t="str">
        <f>IFERROR(__xludf.DUMMYFUNCTION("MAX(FILTER($H:$H,$E:$E=F197))"),"#N/A")</f>
        <v>#N/A</v>
      </c>
    </row>
    <row r="198">
      <c r="A198" s="4"/>
      <c r="C198" s="4" t="s">
        <v>8825</v>
      </c>
      <c r="D198" s="4" t="str">
        <f t="shared" si="1"/>
        <v>{"valorA":"relógio","valorB":29.0}</v>
      </c>
      <c r="E198" s="8" t="str">
        <f t="shared" si="2"/>
        <v>relógio</v>
      </c>
      <c r="F198" s="8"/>
      <c r="G198" s="8" t="str">
        <f t="shared" si="3"/>
        <v>29.0</v>
      </c>
      <c r="H198" s="9">
        <f t="shared" si="4"/>
        <v>29</v>
      </c>
      <c r="I198" s="6" t="str">
        <f>IFERROR(__xludf.DUMMYFUNCTION("MAX(FILTER($H:$H,$E:$E=F198))"),"#N/A")</f>
        <v>#N/A</v>
      </c>
    </row>
    <row r="199">
      <c r="A199" s="4"/>
      <c r="C199" s="4" t="s">
        <v>4236</v>
      </c>
      <c r="D199" s="4" t="str">
        <f t="shared" si="1"/>
        <v>{"valorA":"fone de ouvido","valorB":26.0}</v>
      </c>
      <c r="E199" s="8" t="str">
        <f t="shared" si="2"/>
        <v>fone de ouvido</v>
      </c>
      <c r="F199" s="8"/>
      <c r="G199" s="8" t="str">
        <f t="shared" si="3"/>
        <v>26.0</v>
      </c>
      <c r="H199" s="9">
        <f t="shared" si="4"/>
        <v>26</v>
      </c>
      <c r="I199" s="6" t="str">
        <f>IFERROR(__xludf.DUMMYFUNCTION("MAX(FILTER($H:$H,$E:$E=F199))"),"#N/A")</f>
        <v>#N/A</v>
      </c>
    </row>
    <row r="200">
      <c r="A200" s="4"/>
      <c r="C200" s="4" t="s">
        <v>8826</v>
      </c>
      <c r="D200" s="4" t="str">
        <f t="shared" si="1"/>
        <v>{"valorA":"roteador","valorB":28.0}</v>
      </c>
      <c r="E200" s="8" t="str">
        <f t="shared" si="2"/>
        <v>roteador</v>
      </c>
      <c r="F200" s="8"/>
      <c r="G200" s="8" t="str">
        <f t="shared" si="3"/>
        <v>28.0</v>
      </c>
      <c r="H200" s="9">
        <f t="shared" si="4"/>
        <v>28</v>
      </c>
      <c r="I200" s="6" t="str">
        <f>IFERROR(__xludf.DUMMYFUNCTION("MAX(FILTER($H:$H,$E:$E=F200))"),"#N/A")</f>
        <v>#N/A</v>
      </c>
    </row>
    <row r="201">
      <c r="A201" s="4"/>
      <c r="C201" s="4" t="s">
        <v>8827</v>
      </c>
      <c r="D201" s="4" t="str">
        <f t="shared" si="1"/>
        <v>{"valorA":"teclado de computador","valorB":19.0}</v>
      </c>
      <c r="E201" s="8" t="str">
        <f t="shared" si="2"/>
        <v>teclado de computador</v>
      </c>
      <c r="F201" s="8"/>
      <c r="G201" s="8" t="str">
        <f t="shared" si="3"/>
        <v>19.0</v>
      </c>
      <c r="H201" s="9">
        <f t="shared" si="4"/>
        <v>19</v>
      </c>
      <c r="I201" s="6" t="str">
        <f>IFERROR(__xludf.DUMMYFUNCTION("MAX(FILTER($H:$H,$E:$E=F201))"),"#N/A")</f>
        <v>#N/A</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 t="s">
        <v>32</v>
      </c>
      <c r="B1" s="7" t="s">
        <v>8667</v>
      </c>
      <c r="C1" s="5" t="s">
        <v>8668</v>
      </c>
      <c r="D1" s="5" t="s">
        <v>8669</v>
      </c>
      <c r="F1" s="5"/>
      <c r="G1" s="22" t="s">
        <v>8670</v>
      </c>
      <c r="H1" s="23"/>
      <c r="J1" s="22" t="s">
        <v>8671</v>
      </c>
      <c r="K1" s="23"/>
      <c r="M1" s="26" t="s">
        <v>8672</v>
      </c>
    </row>
    <row r="2">
      <c r="A2" s="4" t="s">
        <v>8828</v>
      </c>
      <c r="B2" s="10">
        <f t="shared" ref="B2:B201" si="1">VALUE(SUBSTITUTE(MID(A2,FIND("CPU usage is:",A2)+13,FIND("RAM memory",A2)-FIND("CPU usage is:",A2)-13),".",","))</f>
        <v>100</v>
      </c>
      <c r="C2" s="6">
        <f t="shared" ref="C2:C201" si="2">VALUE(SUBSTITUTE(SUBSTITUTE(MID(A2,FIND("RAM memory % used:",A2)+18,9),"RAM",""),".",","))</f>
        <v>86.1</v>
      </c>
      <c r="D2" s="6">
        <f t="shared" ref="D2:D201" si="3">VALUE(SUBSTITUTE(SUBSTITUTE(MID(A2,FIND("RAM Used (GB):",A2)+14,9),"RAM",""),".",","))</f>
        <v>14.677032</v>
      </c>
      <c r="G2" s="25" t="s">
        <v>4013</v>
      </c>
      <c r="H2" s="25" t="s">
        <v>4247</v>
      </c>
      <c r="J2" s="25" t="s">
        <v>4013</v>
      </c>
      <c r="K2" s="25" t="s">
        <v>4247</v>
      </c>
      <c r="M2" s="25" t="s">
        <v>4013</v>
      </c>
      <c r="N2" s="25" t="s">
        <v>4247</v>
      </c>
    </row>
    <row r="3">
      <c r="A3" s="4" t="s">
        <v>8829</v>
      </c>
      <c r="B3" s="10">
        <f t="shared" si="1"/>
        <v>0</v>
      </c>
      <c r="C3" s="6">
        <f t="shared" si="2"/>
        <v>86.2</v>
      </c>
      <c r="D3" s="6">
        <f t="shared" si="3"/>
        <v>14.688153</v>
      </c>
      <c r="G3" s="27">
        <f>AVERAGE(B2:B201)</f>
        <v>56.6875</v>
      </c>
      <c r="H3" s="20">
        <f>STDEV(B2:B201)</f>
        <v>49.55641011</v>
      </c>
      <c r="J3" s="27">
        <f>AVERAGE(C2:C201)</f>
        <v>85.372</v>
      </c>
      <c r="K3" s="20">
        <f>STDEV(C2:C201)</f>
        <v>0.9857354472</v>
      </c>
      <c r="M3" s="27">
        <f>AVERAGE(D2:D201)</f>
        <v>14.54863306</v>
      </c>
      <c r="N3" s="20">
        <f>STDEV(D2:D201)</f>
        <v>0.1680000721</v>
      </c>
    </row>
    <row r="4">
      <c r="A4" s="4" t="s">
        <v>8830</v>
      </c>
      <c r="B4" s="10">
        <f t="shared" si="1"/>
        <v>100</v>
      </c>
      <c r="C4" s="6">
        <f t="shared" si="2"/>
        <v>86.3</v>
      </c>
      <c r="D4" s="6">
        <f t="shared" si="3"/>
        <v>14.700769</v>
      </c>
    </row>
    <row r="5">
      <c r="A5" s="4" t="s">
        <v>8831</v>
      </c>
      <c r="B5" s="10">
        <f t="shared" si="1"/>
        <v>0</v>
      </c>
      <c r="C5" s="6">
        <f t="shared" si="2"/>
        <v>86.3</v>
      </c>
      <c r="D5" s="6">
        <f t="shared" si="3"/>
        <v>14.700212</v>
      </c>
    </row>
    <row r="6">
      <c r="A6" s="4" t="s">
        <v>8832</v>
      </c>
      <c r="B6" s="10">
        <f t="shared" si="1"/>
        <v>0</v>
      </c>
      <c r="C6" s="6">
        <f t="shared" si="2"/>
        <v>86.2</v>
      </c>
      <c r="D6" s="6">
        <f t="shared" si="3"/>
        <v>14.686478</v>
      </c>
    </row>
    <row r="7">
      <c r="A7" s="4" t="s">
        <v>8833</v>
      </c>
      <c r="B7" s="10">
        <f t="shared" si="1"/>
        <v>100</v>
      </c>
      <c r="C7" s="6">
        <f t="shared" si="2"/>
        <v>87.2</v>
      </c>
      <c r="D7" s="6">
        <f t="shared" si="3"/>
        <v>14.867038</v>
      </c>
    </row>
    <row r="8">
      <c r="A8" s="4" t="s">
        <v>8834</v>
      </c>
      <c r="B8" s="10">
        <f t="shared" si="1"/>
        <v>100</v>
      </c>
      <c r="C8" s="6">
        <f t="shared" si="2"/>
        <v>88.5</v>
      </c>
      <c r="D8" s="6">
        <f t="shared" si="3"/>
        <v>15.086919</v>
      </c>
    </row>
    <row r="9">
      <c r="A9" s="4" t="s">
        <v>8835</v>
      </c>
      <c r="B9" s="10">
        <f t="shared" si="1"/>
        <v>100</v>
      </c>
      <c r="C9" s="6">
        <f t="shared" si="2"/>
        <v>86.5</v>
      </c>
      <c r="D9" s="6">
        <f t="shared" si="3"/>
        <v>14.749114</v>
      </c>
    </row>
    <row r="10">
      <c r="A10" s="4" t="s">
        <v>8836</v>
      </c>
      <c r="B10" s="10">
        <f t="shared" si="1"/>
        <v>0</v>
      </c>
      <c r="C10" s="6">
        <f t="shared" si="2"/>
        <v>86.5</v>
      </c>
      <c r="D10" s="6">
        <f t="shared" si="3"/>
        <v>14.749126</v>
      </c>
    </row>
    <row r="11">
      <c r="A11" s="4" t="s">
        <v>8837</v>
      </c>
      <c r="B11" s="10">
        <f t="shared" si="1"/>
        <v>100</v>
      </c>
      <c r="C11" s="6">
        <f t="shared" si="2"/>
        <v>86.5</v>
      </c>
      <c r="D11" s="6">
        <f t="shared" si="3"/>
        <v>14.739116</v>
      </c>
    </row>
    <row r="12">
      <c r="A12" s="4" t="s">
        <v>8838</v>
      </c>
      <c r="B12" s="10">
        <f t="shared" si="1"/>
        <v>100</v>
      </c>
      <c r="C12" s="6">
        <f t="shared" si="2"/>
        <v>86.4</v>
      </c>
      <c r="D12" s="6">
        <f t="shared" si="3"/>
        <v>14.726975</v>
      </c>
    </row>
    <row r="13">
      <c r="A13" s="4" t="s">
        <v>8839</v>
      </c>
      <c r="B13" s="10">
        <f t="shared" si="1"/>
        <v>100</v>
      </c>
      <c r="C13" s="6">
        <f t="shared" si="2"/>
        <v>86.5</v>
      </c>
      <c r="D13" s="6">
        <f t="shared" si="3"/>
        <v>14.732701</v>
      </c>
    </row>
    <row r="14">
      <c r="A14" s="4" t="s">
        <v>8840</v>
      </c>
      <c r="B14" s="10">
        <f t="shared" si="1"/>
        <v>0</v>
      </c>
      <c r="C14" s="6">
        <f t="shared" si="2"/>
        <v>86.8</v>
      </c>
      <c r="D14" s="6">
        <f t="shared" si="3"/>
        <v>14.789234</v>
      </c>
    </row>
    <row r="15">
      <c r="A15" s="4" t="s">
        <v>8841</v>
      </c>
      <c r="B15" s="10">
        <f t="shared" si="1"/>
        <v>0</v>
      </c>
      <c r="C15" s="6">
        <f t="shared" si="2"/>
        <v>86.8</v>
      </c>
      <c r="D15" s="6">
        <f t="shared" si="3"/>
        <v>14.79188</v>
      </c>
    </row>
    <row r="16">
      <c r="A16" s="4" t="s">
        <v>8842</v>
      </c>
      <c r="B16" s="10">
        <f t="shared" si="1"/>
        <v>100</v>
      </c>
      <c r="C16" s="6">
        <f t="shared" si="2"/>
        <v>86.9</v>
      </c>
      <c r="D16" s="6">
        <f t="shared" si="3"/>
        <v>14.807764</v>
      </c>
    </row>
    <row r="17">
      <c r="A17" s="4" t="s">
        <v>8843</v>
      </c>
      <c r="B17" s="10">
        <f t="shared" si="1"/>
        <v>100</v>
      </c>
      <c r="C17" s="6">
        <f t="shared" si="2"/>
        <v>86.7</v>
      </c>
      <c r="D17" s="6">
        <f t="shared" si="3"/>
        <v>14.776221</v>
      </c>
    </row>
    <row r="18">
      <c r="A18" s="4" t="s">
        <v>8844</v>
      </c>
      <c r="B18" s="10">
        <f t="shared" si="1"/>
        <v>100</v>
      </c>
      <c r="C18" s="6">
        <f t="shared" si="2"/>
        <v>86.9</v>
      </c>
      <c r="D18" s="6">
        <f t="shared" si="3"/>
        <v>14.809677</v>
      </c>
    </row>
    <row r="19">
      <c r="A19" s="4" t="s">
        <v>8845</v>
      </c>
      <c r="B19" s="10">
        <f t="shared" si="1"/>
        <v>100</v>
      </c>
      <c r="C19" s="6">
        <f t="shared" si="2"/>
        <v>86.8</v>
      </c>
      <c r="D19" s="6">
        <f t="shared" si="3"/>
        <v>14.785613</v>
      </c>
    </row>
    <row r="20">
      <c r="A20" s="4" t="s">
        <v>8846</v>
      </c>
      <c r="B20" s="10">
        <f t="shared" si="1"/>
        <v>100</v>
      </c>
      <c r="C20" s="6">
        <f t="shared" si="2"/>
        <v>86.8</v>
      </c>
      <c r="D20" s="6">
        <f t="shared" si="3"/>
        <v>14.792273</v>
      </c>
    </row>
    <row r="21">
      <c r="A21" s="4" t="s">
        <v>8847</v>
      </c>
      <c r="B21" s="10">
        <f t="shared" si="1"/>
        <v>0</v>
      </c>
      <c r="C21" s="6">
        <f t="shared" si="2"/>
        <v>86.7</v>
      </c>
      <c r="D21" s="6">
        <f t="shared" si="3"/>
        <v>14.766424</v>
      </c>
    </row>
    <row r="22">
      <c r="A22" s="4" t="s">
        <v>8848</v>
      </c>
      <c r="B22" s="10">
        <f t="shared" si="1"/>
        <v>100</v>
      </c>
      <c r="C22" s="6">
        <f t="shared" si="2"/>
        <v>86.7</v>
      </c>
      <c r="D22" s="6">
        <f t="shared" si="3"/>
        <v>14.777528</v>
      </c>
    </row>
    <row r="23">
      <c r="A23" s="4" t="s">
        <v>8849</v>
      </c>
      <c r="B23" s="10">
        <f t="shared" si="1"/>
        <v>100</v>
      </c>
      <c r="C23" s="6">
        <f t="shared" si="2"/>
        <v>86.7</v>
      </c>
      <c r="D23" s="6">
        <f t="shared" si="3"/>
        <v>14.77822</v>
      </c>
    </row>
    <row r="24">
      <c r="A24" s="4" t="s">
        <v>8850</v>
      </c>
      <c r="B24" s="10">
        <f t="shared" si="1"/>
        <v>100</v>
      </c>
      <c r="C24" s="6">
        <f t="shared" si="2"/>
        <v>86.7</v>
      </c>
      <c r="D24" s="6">
        <f t="shared" si="3"/>
        <v>14.776102</v>
      </c>
    </row>
    <row r="25">
      <c r="A25" s="4" t="s">
        <v>8851</v>
      </c>
      <c r="B25" s="10">
        <f t="shared" si="1"/>
        <v>0</v>
      </c>
      <c r="C25" s="6">
        <f t="shared" si="2"/>
        <v>86.8</v>
      </c>
      <c r="D25" s="6">
        <f t="shared" si="3"/>
        <v>14.785474</v>
      </c>
    </row>
    <row r="26">
      <c r="A26" s="4" t="s">
        <v>8852</v>
      </c>
      <c r="B26" s="10">
        <f t="shared" si="1"/>
        <v>0</v>
      </c>
      <c r="C26" s="6">
        <f t="shared" si="2"/>
        <v>86.8</v>
      </c>
      <c r="D26" s="6">
        <f t="shared" si="3"/>
        <v>14.783467</v>
      </c>
    </row>
    <row r="27">
      <c r="A27" s="4" t="s">
        <v>8853</v>
      </c>
      <c r="B27" s="10">
        <f t="shared" si="1"/>
        <v>0</v>
      </c>
      <c r="C27" s="6">
        <f t="shared" si="2"/>
        <v>86.9</v>
      </c>
      <c r="D27" s="6">
        <f t="shared" si="3"/>
        <v>14.809821</v>
      </c>
    </row>
    <row r="28">
      <c r="A28" s="4" t="s">
        <v>8854</v>
      </c>
      <c r="B28" s="10">
        <f t="shared" si="1"/>
        <v>100</v>
      </c>
      <c r="C28" s="6">
        <f t="shared" si="2"/>
        <v>86.9</v>
      </c>
      <c r="D28" s="6">
        <f t="shared" si="3"/>
        <v>14.810066</v>
      </c>
    </row>
    <row r="29">
      <c r="A29" s="4" t="s">
        <v>8855</v>
      </c>
      <c r="B29" s="10">
        <f t="shared" si="1"/>
        <v>100</v>
      </c>
      <c r="C29" s="6">
        <f t="shared" si="2"/>
        <v>87.2</v>
      </c>
      <c r="D29" s="6">
        <f t="shared" si="3"/>
        <v>14.862618</v>
      </c>
    </row>
    <row r="30">
      <c r="A30" s="4" t="s">
        <v>8856</v>
      </c>
      <c r="B30" s="10">
        <f t="shared" si="1"/>
        <v>100</v>
      </c>
      <c r="C30" s="6">
        <f t="shared" si="2"/>
        <v>86.8</v>
      </c>
      <c r="D30" s="6">
        <f t="shared" si="3"/>
        <v>14.796726</v>
      </c>
    </row>
    <row r="31">
      <c r="A31" s="4" t="s">
        <v>8857</v>
      </c>
      <c r="B31" s="10">
        <f t="shared" si="1"/>
        <v>0</v>
      </c>
      <c r="C31" s="6">
        <f t="shared" si="2"/>
        <v>89.4</v>
      </c>
      <c r="D31" s="6">
        <f t="shared" si="3"/>
        <v>15.234142</v>
      </c>
    </row>
    <row r="32">
      <c r="A32" s="4" t="s">
        <v>8858</v>
      </c>
      <c r="B32" s="10">
        <f t="shared" si="1"/>
        <v>0</v>
      </c>
      <c r="C32" s="6">
        <f t="shared" si="2"/>
        <v>86.6</v>
      </c>
      <c r="D32" s="6">
        <f t="shared" si="3"/>
        <v>14.759669</v>
      </c>
    </row>
    <row r="33">
      <c r="A33" s="4" t="s">
        <v>8859</v>
      </c>
      <c r="B33" s="10">
        <f t="shared" si="1"/>
        <v>100</v>
      </c>
      <c r="C33" s="6">
        <f t="shared" si="2"/>
        <v>86.5</v>
      </c>
      <c r="D33" s="6">
        <f t="shared" si="3"/>
        <v>14.738857</v>
      </c>
    </row>
    <row r="34">
      <c r="A34" s="4" t="s">
        <v>8860</v>
      </c>
      <c r="B34" s="10">
        <f t="shared" si="1"/>
        <v>100</v>
      </c>
      <c r="C34" s="6">
        <f t="shared" si="2"/>
        <v>87</v>
      </c>
      <c r="D34" s="6">
        <f t="shared" si="3"/>
        <v>14.830227</v>
      </c>
    </row>
    <row r="35">
      <c r="A35" s="4" t="s">
        <v>8861</v>
      </c>
      <c r="B35" s="10">
        <f t="shared" si="1"/>
        <v>100</v>
      </c>
      <c r="C35" s="6">
        <f t="shared" si="2"/>
        <v>86.8</v>
      </c>
      <c r="D35" s="6">
        <f t="shared" si="3"/>
        <v>14.786859</v>
      </c>
    </row>
    <row r="36">
      <c r="A36" s="4" t="s">
        <v>8862</v>
      </c>
      <c r="B36" s="10">
        <f t="shared" si="1"/>
        <v>100</v>
      </c>
      <c r="C36" s="6">
        <f t="shared" si="2"/>
        <v>86.7</v>
      </c>
      <c r="D36" s="6">
        <f t="shared" si="3"/>
        <v>14.766944</v>
      </c>
    </row>
    <row r="37">
      <c r="A37" s="4" t="s">
        <v>8863</v>
      </c>
      <c r="B37" s="10">
        <f t="shared" si="1"/>
        <v>0</v>
      </c>
      <c r="C37" s="6">
        <f t="shared" si="2"/>
        <v>86.7</v>
      </c>
      <c r="D37" s="6">
        <f t="shared" si="3"/>
        <v>14.780657</v>
      </c>
    </row>
    <row r="38">
      <c r="A38" s="4" t="s">
        <v>8864</v>
      </c>
      <c r="B38" s="10">
        <f t="shared" si="1"/>
        <v>0</v>
      </c>
      <c r="C38" s="6">
        <f t="shared" si="2"/>
        <v>86.8</v>
      </c>
      <c r="D38" s="6">
        <f t="shared" si="3"/>
        <v>14.786539</v>
      </c>
    </row>
    <row r="39">
      <c r="A39" s="4" t="s">
        <v>8865</v>
      </c>
      <c r="B39" s="10">
        <f t="shared" si="1"/>
        <v>100</v>
      </c>
      <c r="C39" s="6">
        <f t="shared" si="2"/>
        <v>86.6</v>
      </c>
      <c r="D39" s="6">
        <f t="shared" si="3"/>
        <v>14.757961</v>
      </c>
    </row>
    <row r="40">
      <c r="A40" s="4" t="s">
        <v>8866</v>
      </c>
      <c r="B40" s="10">
        <f t="shared" si="1"/>
        <v>0</v>
      </c>
      <c r="C40" s="6">
        <f t="shared" si="2"/>
        <v>86.7</v>
      </c>
      <c r="D40" s="6">
        <f t="shared" si="3"/>
        <v>14.768947</v>
      </c>
    </row>
    <row r="41">
      <c r="A41" s="4" t="s">
        <v>8867</v>
      </c>
      <c r="B41" s="10">
        <f t="shared" si="1"/>
        <v>100</v>
      </c>
      <c r="C41" s="6">
        <f t="shared" si="2"/>
        <v>86.8</v>
      </c>
      <c r="D41" s="6">
        <f t="shared" si="3"/>
        <v>14.795341</v>
      </c>
    </row>
    <row r="42">
      <c r="A42" s="4" t="s">
        <v>8868</v>
      </c>
      <c r="B42" s="10">
        <f t="shared" si="1"/>
        <v>100</v>
      </c>
      <c r="C42" s="6">
        <f t="shared" si="2"/>
        <v>86.8</v>
      </c>
      <c r="D42" s="6">
        <f t="shared" si="3"/>
        <v>14.798536</v>
      </c>
    </row>
    <row r="43">
      <c r="A43" s="4" t="s">
        <v>8869</v>
      </c>
      <c r="B43" s="10">
        <f t="shared" si="1"/>
        <v>0</v>
      </c>
      <c r="C43" s="6">
        <f t="shared" si="2"/>
        <v>86.8</v>
      </c>
      <c r="D43" s="6">
        <f t="shared" si="3"/>
        <v>14.79229</v>
      </c>
    </row>
    <row r="44">
      <c r="A44" s="4" t="s">
        <v>8870</v>
      </c>
      <c r="B44" s="10">
        <f t="shared" si="1"/>
        <v>100</v>
      </c>
      <c r="C44" s="6">
        <f t="shared" si="2"/>
        <v>86.6</v>
      </c>
      <c r="D44" s="6">
        <f t="shared" si="3"/>
        <v>14.761082</v>
      </c>
    </row>
    <row r="45">
      <c r="A45" s="4" t="s">
        <v>8871</v>
      </c>
      <c r="B45" s="10">
        <f t="shared" si="1"/>
        <v>0</v>
      </c>
      <c r="C45" s="6">
        <f t="shared" si="2"/>
        <v>86.8</v>
      </c>
      <c r="D45" s="6">
        <f t="shared" si="3"/>
        <v>14.798745</v>
      </c>
    </row>
    <row r="46">
      <c r="A46" s="4" t="s">
        <v>8872</v>
      </c>
      <c r="B46" s="10">
        <f t="shared" si="1"/>
        <v>100</v>
      </c>
      <c r="C46" s="6">
        <f t="shared" si="2"/>
        <v>86.7</v>
      </c>
      <c r="D46" s="6">
        <f t="shared" si="3"/>
        <v>14.782562</v>
      </c>
    </row>
    <row r="47">
      <c r="A47" s="4" t="s">
        <v>8873</v>
      </c>
      <c r="B47" s="10">
        <f t="shared" si="1"/>
        <v>100</v>
      </c>
      <c r="C47" s="6">
        <f t="shared" si="2"/>
        <v>86.6</v>
      </c>
      <c r="D47" s="6">
        <f t="shared" si="3"/>
        <v>14.754865</v>
      </c>
    </row>
    <row r="48">
      <c r="A48" s="4" t="s">
        <v>8874</v>
      </c>
      <c r="B48" s="10">
        <f t="shared" si="1"/>
        <v>0</v>
      </c>
      <c r="C48" s="6">
        <f t="shared" si="2"/>
        <v>86.5</v>
      </c>
      <c r="D48" s="6">
        <f t="shared" si="3"/>
        <v>14.737141</v>
      </c>
    </row>
    <row r="49">
      <c r="A49" s="4" t="s">
        <v>8875</v>
      </c>
      <c r="B49" s="10">
        <f t="shared" si="1"/>
        <v>100</v>
      </c>
      <c r="C49" s="6">
        <f t="shared" si="2"/>
        <v>85.5</v>
      </c>
      <c r="D49" s="6">
        <f t="shared" si="3"/>
        <v>14.576533</v>
      </c>
    </row>
    <row r="50">
      <c r="A50" s="4" t="s">
        <v>8876</v>
      </c>
      <c r="B50" s="10">
        <f t="shared" si="1"/>
        <v>100</v>
      </c>
      <c r="C50" s="6">
        <f t="shared" si="2"/>
        <v>87.3</v>
      </c>
      <c r="D50" s="6">
        <f t="shared" si="3"/>
        <v>14.875783</v>
      </c>
    </row>
    <row r="51">
      <c r="A51" s="4" t="s">
        <v>8877</v>
      </c>
      <c r="B51" s="10">
        <f t="shared" si="1"/>
        <v>0</v>
      </c>
      <c r="C51" s="6">
        <f t="shared" si="2"/>
        <v>85.1</v>
      </c>
      <c r="D51" s="6">
        <f t="shared" si="3"/>
        <v>14.496567</v>
      </c>
    </row>
    <row r="52">
      <c r="A52" s="4" t="s">
        <v>8878</v>
      </c>
      <c r="B52" s="10">
        <f t="shared" si="1"/>
        <v>100</v>
      </c>
      <c r="C52" s="6">
        <f t="shared" si="2"/>
        <v>85.2</v>
      </c>
      <c r="D52" s="6">
        <f t="shared" si="3"/>
        <v>14.517833</v>
      </c>
    </row>
    <row r="53">
      <c r="A53" s="4" t="s">
        <v>8879</v>
      </c>
      <c r="B53" s="10">
        <f t="shared" si="1"/>
        <v>100</v>
      </c>
      <c r="C53" s="6">
        <f t="shared" si="2"/>
        <v>85.3</v>
      </c>
      <c r="D53" s="6">
        <f t="shared" si="3"/>
        <v>14.540337</v>
      </c>
    </row>
    <row r="54">
      <c r="A54" s="4" t="s">
        <v>8880</v>
      </c>
      <c r="B54" s="10">
        <f t="shared" si="1"/>
        <v>100</v>
      </c>
      <c r="C54" s="6">
        <f t="shared" si="2"/>
        <v>85.3</v>
      </c>
      <c r="D54" s="6">
        <f t="shared" si="3"/>
        <v>14.53076</v>
      </c>
    </row>
    <row r="55">
      <c r="A55" s="4" t="s">
        <v>8881</v>
      </c>
      <c r="B55" s="10">
        <f t="shared" si="1"/>
        <v>0</v>
      </c>
      <c r="C55" s="6">
        <f t="shared" si="2"/>
        <v>85.3</v>
      </c>
      <c r="D55" s="6">
        <f t="shared" si="3"/>
        <v>14.540894</v>
      </c>
    </row>
    <row r="56">
      <c r="A56" s="4" t="s">
        <v>8882</v>
      </c>
      <c r="B56" s="10">
        <f t="shared" si="1"/>
        <v>100</v>
      </c>
      <c r="C56" s="6">
        <f t="shared" si="2"/>
        <v>86.9</v>
      </c>
      <c r="D56" s="6">
        <f t="shared" si="3"/>
        <v>14.811394</v>
      </c>
    </row>
    <row r="57">
      <c r="A57" s="4" t="s">
        <v>8883</v>
      </c>
      <c r="B57" s="10">
        <f t="shared" si="1"/>
        <v>0</v>
      </c>
      <c r="C57" s="6">
        <f t="shared" si="2"/>
        <v>85.2</v>
      </c>
      <c r="D57" s="6">
        <f t="shared" si="3"/>
        <v>14.526906</v>
      </c>
    </row>
    <row r="58">
      <c r="A58" s="4" t="s">
        <v>8884</v>
      </c>
      <c r="B58" s="10">
        <f t="shared" si="1"/>
        <v>100</v>
      </c>
      <c r="C58" s="6">
        <f t="shared" si="2"/>
        <v>85.3</v>
      </c>
      <c r="D58" s="6">
        <f t="shared" si="3"/>
        <v>14.540148</v>
      </c>
    </row>
    <row r="59">
      <c r="A59" s="4" t="s">
        <v>8885</v>
      </c>
      <c r="B59" s="10">
        <f t="shared" si="1"/>
        <v>100</v>
      </c>
      <c r="C59" s="6">
        <f t="shared" si="2"/>
        <v>85.3</v>
      </c>
      <c r="D59" s="6">
        <f t="shared" si="3"/>
        <v>14.53185</v>
      </c>
    </row>
    <row r="60">
      <c r="A60" s="4" t="s">
        <v>8886</v>
      </c>
      <c r="B60" s="10">
        <f t="shared" si="1"/>
        <v>100</v>
      </c>
      <c r="C60" s="6">
        <f t="shared" si="2"/>
        <v>85.1</v>
      </c>
      <c r="D60" s="6">
        <f t="shared" si="3"/>
        <v>14.503329</v>
      </c>
    </row>
    <row r="61">
      <c r="A61" s="4" t="s">
        <v>8887</v>
      </c>
      <c r="B61" s="10">
        <f t="shared" si="1"/>
        <v>100</v>
      </c>
      <c r="C61" s="6">
        <f t="shared" si="2"/>
        <v>84.9</v>
      </c>
      <c r="D61" s="6">
        <f t="shared" si="3"/>
        <v>14.460334</v>
      </c>
    </row>
    <row r="62">
      <c r="A62" s="4" t="s">
        <v>8888</v>
      </c>
      <c r="B62" s="10">
        <f t="shared" si="1"/>
        <v>100</v>
      </c>
      <c r="C62" s="6">
        <f t="shared" si="2"/>
        <v>84.9</v>
      </c>
      <c r="D62" s="6">
        <f t="shared" si="3"/>
        <v>14.474313</v>
      </c>
    </row>
    <row r="63">
      <c r="A63" s="4" t="s">
        <v>8889</v>
      </c>
      <c r="B63" s="10">
        <f t="shared" si="1"/>
        <v>100</v>
      </c>
      <c r="C63" s="6">
        <f t="shared" si="2"/>
        <v>85</v>
      </c>
      <c r="D63" s="6">
        <f t="shared" si="3"/>
        <v>14.480453</v>
      </c>
    </row>
    <row r="64">
      <c r="A64" s="4" t="s">
        <v>8890</v>
      </c>
      <c r="B64" s="10">
        <f t="shared" si="1"/>
        <v>0</v>
      </c>
      <c r="C64" s="6">
        <f t="shared" si="2"/>
        <v>87.6</v>
      </c>
      <c r="D64" s="6">
        <f t="shared" si="3"/>
        <v>14.935855</v>
      </c>
    </row>
    <row r="65">
      <c r="A65" s="4" t="s">
        <v>8891</v>
      </c>
      <c r="B65" s="10">
        <f t="shared" si="1"/>
        <v>0</v>
      </c>
      <c r="C65" s="6">
        <f t="shared" si="2"/>
        <v>84.9</v>
      </c>
      <c r="D65" s="6">
        <f t="shared" si="3"/>
        <v>14.460129</v>
      </c>
    </row>
    <row r="66">
      <c r="A66" s="4" t="s">
        <v>8892</v>
      </c>
      <c r="B66" s="10">
        <f t="shared" si="1"/>
        <v>0</v>
      </c>
      <c r="C66" s="6">
        <f t="shared" si="2"/>
        <v>85</v>
      </c>
      <c r="D66" s="6">
        <f t="shared" si="3"/>
        <v>14.490427</v>
      </c>
    </row>
    <row r="67">
      <c r="A67" s="4" t="s">
        <v>8893</v>
      </c>
      <c r="B67" s="10">
        <f t="shared" si="1"/>
        <v>0</v>
      </c>
      <c r="C67" s="6">
        <f t="shared" si="2"/>
        <v>84.9</v>
      </c>
      <c r="D67" s="6">
        <f t="shared" si="3"/>
        <v>14.468702</v>
      </c>
    </row>
    <row r="68">
      <c r="A68" s="4" t="s">
        <v>8894</v>
      </c>
      <c r="B68" s="10">
        <f t="shared" si="1"/>
        <v>100</v>
      </c>
      <c r="C68" s="6">
        <f t="shared" si="2"/>
        <v>85.1</v>
      </c>
      <c r="D68" s="6">
        <f t="shared" si="3"/>
        <v>14.499938</v>
      </c>
    </row>
    <row r="69">
      <c r="A69" s="4" t="s">
        <v>8895</v>
      </c>
      <c r="B69" s="10">
        <f t="shared" si="1"/>
        <v>37.5</v>
      </c>
      <c r="C69" s="6">
        <f t="shared" si="2"/>
        <v>84.8</v>
      </c>
      <c r="D69" s="6">
        <f t="shared" si="3"/>
        <v>14.456705</v>
      </c>
    </row>
    <row r="70">
      <c r="A70" s="4" t="s">
        <v>8896</v>
      </c>
      <c r="B70" s="10">
        <f t="shared" si="1"/>
        <v>100</v>
      </c>
      <c r="C70" s="6">
        <f t="shared" si="2"/>
        <v>85.1</v>
      </c>
      <c r="D70" s="6">
        <f t="shared" si="3"/>
        <v>14.509948</v>
      </c>
    </row>
    <row r="71">
      <c r="A71" s="4" t="s">
        <v>8897</v>
      </c>
      <c r="B71" s="10">
        <f t="shared" si="1"/>
        <v>0</v>
      </c>
      <c r="C71" s="6">
        <f t="shared" si="2"/>
        <v>86.2</v>
      </c>
      <c r="D71" s="6">
        <f t="shared" si="3"/>
        <v>14.695268</v>
      </c>
    </row>
    <row r="72">
      <c r="A72" s="4" t="s">
        <v>8898</v>
      </c>
      <c r="B72" s="10">
        <f t="shared" si="1"/>
        <v>0</v>
      </c>
      <c r="C72" s="6">
        <f t="shared" si="2"/>
        <v>85.1</v>
      </c>
      <c r="D72" s="6">
        <f t="shared" si="3"/>
        <v>14.498467</v>
      </c>
    </row>
    <row r="73">
      <c r="A73" s="4" t="s">
        <v>8899</v>
      </c>
      <c r="B73" s="10">
        <f t="shared" si="1"/>
        <v>100</v>
      </c>
      <c r="C73" s="6">
        <f t="shared" si="2"/>
        <v>85.1</v>
      </c>
      <c r="D73" s="6">
        <f t="shared" si="3"/>
        <v>14.50158</v>
      </c>
    </row>
    <row r="74">
      <c r="A74" s="4" t="s">
        <v>8900</v>
      </c>
      <c r="B74" s="10">
        <f t="shared" si="1"/>
        <v>100</v>
      </c>
      <c r="C74" s="6">
        <f t="shared" si="2"/>
        <v>85.1</v>
      </c>
      <c r="D74" s="6">
        <f t="shared" si="3"/>
        <v>14.505779</v>
      </c>
    </row>
    <row r="75">
      <c r="A75" s="4" t="s">
        <v>8901</v>
      </c>
      <c r="B75" s="10">
        <f t="shared" si="1"/>
        <v>100</v>
      </c>
      <c r="C75" s="6">
        <f t="shared" si="2"/>
        <v>84.8</v>
      </c>
      <c r="D75" s="6">
        <f t="shared" si="3"/>
        <v>14.450434</v>
      </c>
    </row>
    <row r="76">
      <c r="A76" s="4" t="s">
        <v>8902</v>
      </c>
      <c r="B76" s="10">
        <f t="shared" si="1"/>
        <v>100</v>
      </c>
      <c r="C76" s="6">
        <f t="shared" si="2"/>
        <v>84.9</v>
      </c>
      <c r="D76" s="6">
        <f t="shared" si="3"/>
        <v>14.462894</v>
      </c>
    </row>
    <row r="77">
      <c r="A77" s="4" t="s">
        <v>8903</v>
      </c>
      <c r="B77" s="10">
        <f t="shared" si="1"/>
        <v>100</v>
      </c>
      <c r="C77" s="6">
        <f t="shared" si="2"/>
        <v>84.7</v>
      </c>
      <c r="D77" s="6">
        <f t="shared" si="3"/>
        <v>14.428852</v>
      </c>
    </row>
    <row r="78">
      <c r="A78" s="4" t="s">
        <v>8904</v>
      </c>
      <c r="B78" s="10">
        <f t="shared" si="1"/>
        <v>100</v>
      </c>
      <c r="C78" s="6">
        <f t="shared" si="2"/>
        <v>84.7</v>
      </c>
      <c r="D78" s="6">
        <f t="shared" si="3"/>
        <v>14.438699</v>
      </c>
    </row>
    <row r="79">
      <c r="A79" s="4" t="s">
        <v>8905</v>
      </c>
      <c r="B79" s="10">
        <f t="shared" si="1"/>
        <v>100</v>
      </c>
      <c r="C79" s="6">
        <f t="shared" si="2"/>
        <v>85</v>
      </c>
      <c r="D79" s="6">
        <f t="shared" si="3"/>
        <v>14.479798</v>
      </c>
    </row>
    <row r="80">
      <c r="A80" s="4" t="s">
        <v>8906</v>
      </c>
      <c r="B80" s="10">
        <f t="shared" si="1"/>
        <v>100</v>
      </c>
      <c r="C80" s="6">
        <f t="shared" si="2"/>
        <v>84.6</v>
      </c>
      <c r="D80" s="6">
        <f t="shared" si="3"/>
        <v>14.424203</v>
      </c>
    </row>
    <row r="81">
      <c r="A81" s="4" t="s">
        <v>8907</v>
      </c>
      <c r="B81" s="10">
        <f t="shared" si="1"/>
        <v>0</v>
      </c>
      <c r="C81" s="6">
        <f t="shared" si="2"/>
        <v>87.3</v>
      </c>
      <c r="D81" s="6">
        <f t="shared" si="3"/>
        <v>14.871773</v>
      </c>
    </row>
    <row r="82">
      <c r="A82" s="4" t="s">
        <v>8908</v>
      </c>
      <c r="B82" s="10">
        <f t="shared" si="1"/>
        <v>0</v>
      </c>
      <c r="C82" s="6">
        <f t="shared" si="2"/>
        <v>84.7</v>
      </c>
      <c r="D82" s="6">
        <f t="shared" si="3"/>
        <v>14.439571</v>
      </c>
    </row>
    <row r="83">
      <c r="A83" s="4" t="s">
        <v>8909</v>
      </c>
      <c r="B83" s="10">
        <f t="shared" si="1"/>
        <v>0</v>
      </c>
      <c r="C83" s="6">
        <f t="shared" si="2"/>
        <v>84.8</v>
      </c>
      <c r="D83" s="6">
        <f t="shared" si="3"/>
        <v>14.443257</v>
      </c>
    </row>
    <row r="84">
      <c r="A84" s="4" t="s">
        <v>8910</v>
      </c>
      <c r="B84" s="10">
        <f t="shared" si="1"/>
        <v>100</v>
      </c>
      <c r="C84" s="6">
        <f t="shared" si="2"/>
        <v>85.7</v>
      </c>
      <c r="D84" s="6">
        <f t="shared" si="3"/>
        <v>14.598963</v>
      </c>
    </row>
    <row r="85">
      <c r="A85" s="4" t="s">
        <v>8911</v>
      </c>
      <c r="B85" s="10">
        <f t="shared" si="1"/>
        <v>100</v>
      </c>
      <c r="C85" s="6">
        <f t="shared" si="2"/>
        <v>84.8</v>
      </c>
      <c r="D85" s="6">
        <f t="shared" si="3"/>
        <v>14.442643</v>
      </c>
    </row>
    <row r="86">
      <c r="A86" s="4" t="s">
        <v>8912</v>
      </c>
      <c r="B86" s="10">
        <f t="shared" si="1"/>
        <v>100</v>
      </c>
      <c r="C86" s="6">
        <f t="shared" si="2"/>
        <v>84.7</v>
      </c>
      <c r="D86" s="6">
        <f t="shared" si="3"/>
        <v>14.437683</v>
      </c>
    </row>
    <row r="87">
      <c r="A87" s="4" t="s">
        <v>8913</v>
      </c>
      <c r="B87" s="10">
        <f t="shared" si="1"/>
        <v>100</v>
      </c>
      <c r="C87" s="6">
        <f t="shared" si="2"/>
        <v>87.2</v>
      </c>
      <c r="D87" s="6">
        <f t="shared" si="3"/>
        <v>14.851772</v>
      </c>
    </row>
    <row r="88">
      <c r="A88" s="4" t="s">
        <v>8914</v>
      </c>
      <c r="B88" s="10">
        <f t="shared" si="1"/>
        <v>0</v>
      </c>
      <c r="C88" s="6">
        <f t="shared" si="2"/>
        <v>84.5</v>
      </c>
      <c r="D88" s="6">
        <f t="shared" si="3"/>
        <v>14.399066</v>
      </c>
    </row>
    <row r="89">
      <c r="A89" s="4" t="s">
        <v>8915</v>
      </c>
      <c r="B89" s="10">
        <f t="shared" si="1"/>
        <v>100</v>
      </c>
      <c r="C89" s="6">
        <f t="shared" si="2"/>
        <v>84.7</v>
      </c>
      <c r="D89" s="6">
        <f t="shared" si="3"/>
        <v>14.438625</v>
      </c>
    </row>
    <row r="90">
      <c r="A90" s="4" t="s">
        <v>8916</v>
      </c>
      <c r="B90" s="10">
        <f t="shared" si="1"/>
        <v>100</v>
      </c>
      <c r="C90" s="6">
        <f t="shared" si="2"/>
        <v>84.8</v>
      </c>
      <c r="D90" s="6">
        <f t="shared" si="3"/>
        <v>14.455054</v>
      </c>
    </row>
    <row r="91">
      <c r="A91" s="4" t="s">
        <v>8917</v>
      </c>
      <c r="B91" s="10">
        <f t="shared" si="1"/>
        <v>100</v>
      </c>
      <c r="C91" s="6">
        <f t="shared" si="2"/>
        <v>84.6</v>
      </c>
      <c r="D91" s="6">
        <f t="shared" si="3"/>
        <v>14.41864</v>
      </c>
    </row>
    <row r="92">
      <c r="A92" s="4" t="s">
        <v>8918</v>
      </c>
      <c r="B92" s="10">
        <f t="shared" si="1"/>
        <v>100</v>
      </c>
      <c r="C92" s="6">
        <f t="shared" si="2"/>
        <v>84.8</v>
      </c>
      <c r="D92" s="6">
        <f t="shared" si="3"/>
        <v>14.45274</v>
      </c>
    </row>
    <row r="93">
      <c r="A93" s="4" t="s">
        <v>8919</v>
      </c>
      <c r="B93" s="10">
        <f t="shared" si="1"/>
        <v>100</v>
      </c>
      <c r="C93" s="6">
        <f t="shared" si="2"/>
        <v>84.7</v>
      </c>
      <c r="D93" s="6">
        <f t="shared" si="3"/>
        <v>14.430769</v>
      </c>
    </row>
    <row r="94">
      <c r="A94" s="4" t="s">
        <v>8920</v>
      </c>
      <c r="B94" s="10">
        <f t="shared" si="1"/>
        <v>100</v>
      </c>
      <c r="C94" s="6">
        <f t="shared" si="2"/>
        <v>84.8</v>
      </c>
      <c r="D94" s="6">
        <f t="shared" si="3"/>
        <v>14.449606</v>
      </c>
    </row>
    <row r="95">
      <c r="A95" s="4" t="s">
        <v>8921</v>
      </c>
      <c r="B95" s="10">
        <f t="shared" si="1"/>
        <v>0</v>
      </c>
      <c r="C95" s="6">
        <f t="shared" si="2"/>
        <v>84.9</v>
      </c>
      <c r="D95" s="6">
        <f t="shared" si="3"/>
        <v>14.466555</v>
      </c>
    </row>
    <row r="96">
      <c r="A96" s="4" t="s">
        <v>8922</v>
      </c>
      <c r="B96" s="10">
        <f t="shared" si="1"/>
        <v>0</v>
      </c>
      <c r="C96" s="6">
        <f t="shared" si="2"/>
        <v>84.8</v>
      </c>
      <c r="D96" s="6">
        <f t="shared" si="3"/>
        <v>14.4485</v>
      </c>
    </row>
    <row r="97">
      <c r="A97" s="4" t="s">
        <v>8923</v>
      </c>
      <c r="B97" s="10">
        <f t="shared" si="1"/>
        <v>100</v>
      </c>
      <c r="C97" s="6">
        <f t="shared" si="2"/>
        <v>86.7</v>
      </c>
      <c r="D97" s="6">
        <f t="shared" si="3"/>
        <v>14.77394</v>
      </c>
    </row>
    <row r="98">
      <c r="A98" s="4" t="s">
        <v>8924</v>
      </c>
      <c r="B98" s="10">
        <f t="shared" si="1"/>
        <v>0</v>
      </c>
      <c r="C98" s="6">
        <f t="shared" si="2"/>
        <v>84.8</v>
      </c>
      <c r="D98" s="6">
        <f t="shared" si="3"/>
        <v>14.448812</v>
      </c>
    </row>
    <row r="99">
      <c r="A99" s="4" t="s">
        <v>8925</v>
      </c>
      <c r="B99" s="10">
        <f t="shared" si="1"/>
        <v>100</v>
      </c>
      <c r="C99" s="6">
        <f t="shared" si="2"/>
        <v>84.8</v>
      </c>
      <c r="D99" s="6">
        <f t="shared" si="3"/>
        <v>14.446751</v>
      </c>
    </row>
    <row r="100">
      <c r="A100" s="4" t="s">
        <v>8926</v>
      </c>
      <c r="B100" s="10">
        <f t="shared" si="1"/>
        <v>100</v>
      </c>
      <c r="C100" s="6">
        <f t="shared" si="2"/>
        <v>84.6</v>
      </c>
      <c r="D100" s="6">
        <f t="shared" si="3"/>
        <v>14.410018</v>
      </c>
    </row>
    <row r="101">
      <c r="A101" s="4" t="s">
        <v>8927</v>
      </c>
      <c r="B101" s="10">
        <f t="shared" si="1"/>
        <v>0</v>
      </c>
      <c r="C101" s="6">
        <f t="shared" si="2"/>
        <v>84.7</v>
      </c>
      <c r="D101" s="6">
        <f t="shared" si="3"/>
        <v>14.437318</v>
      </c>
    </row>
    <row r="102">
      <c r="A102" s="4" t="s">
        <v>8928</v>
      </c>
      <c r="B102" s="10">
        <f t="shared" si="1"/>
        <v>0</v>
      </c>
      <c r="C102" s="6">
        <f t="shared" si="2"/>
        <v>84.6</v>
      </c>
      <c r="D102" s="6">
        <f t="shared" si="3"/>
        <v>14.42476</v>
      </c>
    </row>
    <row r="103">
      <c r="A103" s="4" t="s">
        <v>8929</v>
      </c>
      <c r="B103" s="10">
        <f t="shared" si="1"/>
        <v>100</v>
      </c>
      <c r="C103" s="6">
        <f t="shared" si="2"/>
        <v>84.9</v>
      </c>
      <c r="D103" s="6">
        <f t="shared" si="3"/>
        <v>14.466682</v>
      </c>
    </row>
    <row r="104">
      <c r="A104" s="4" t="s">
        <v>8930</v>
      </c>
      <c r="B104" s="10">
        <f t="shared" si="1"/>
        <v>100</v>
      </c>
      <c r="C104" s="6">
        <f t="shared" si="2"/>
        <v>84.8</v>
      </c>
      <c r="D104" s="6">
        <f t="shared" si="3"/>
        <v>14.446637</v>
      </c>
    </row>
    <row r="105">
      <c r="A105" s="4" t="s">
        <v>8931</v>
      </c>
      <c r="B105" s="10">
        <f t="shared" si="1"/>
        <v>0</v>
      </c>
      <c r="C105" s="6">
        <f t="shared" si="2"/>
        <v>84.7</v>
      </c>
      <c r="D105" s="6">
        <f t="shared" si="3"/>
        <v>14.432624</v>
      </c>
    </row>
    <row r="106">
      <c r="A106" s="4" t="s">
        <v>8932</v>
      </c>
      <c r="B106" s="10">
        <f t="shared" si="1"/>
        <v>100</v>
      </c>
      <c r="C106" s="6">
        <f t="shared" si="2"/>
        <v>86.6</v>
      </c>
      <c r="D106" s="6">
        <f t="shared" si="3"/>
        <v>14.763388</v>
      </c>
    </row>
    <row r="107">
      <c r="A107" s="4" t="s">
        <v>8933</v>
      </c>
      <c r="B107" s="10">
        <f t="shared" si="1"/>
        <v>0</v>
      </c>
      <c r="C107" s="6">
        <f t="shared" si="2"/>
        <v>84.7</v>
      </c>
      <c r="D107" s="6">
        <f t="shared" si="3"/>
        <v>14.433271</v>
      </c>
    </row>
    <row r="108">
      <c r="A108" s="4" t="s">
        <v>8934</v>
      </c>
      <c r="B108" s="10">
        <f t="shared" si="1"/>
        <v>0</v>
      </c>
      <c r="C108" s="6">
        <f t="shared" si="2"/>
        <v>84.5</v>
      </c>
      <c r="D108" s="6">
        <f t="shared" si="3"/>
        <v>14.392242</v>
      </c>
    </row>
    <row r="109">
      <c r="A109" s="4" t="s">
        <v>8935</v>
      </c>
      <c r="B109" s="10">
        <f t="shared" si="1"/>
        <v>100</v>
      </c>
      <c r="C109" s="6">
        <f t="shared" si="2"/>
        <v>84.6</v>
      </c>
      <c r="D109" s="6">
        <f t="shared" si="3"/>
        <v>14.422446</v>
      </c>
    </row>
    <row r="110">
      <c r="A110" s="4" t="s">
        <v>8936</v>
      </c>
      <c r="B110" s="10">
        <f t="shared" si="1"/>
        <v>100</v>
      </c>
      <c r="C110" s="6">
        <f t="shared" si="2"/>
        <v>84.5</v>
      </c>
      <c r="D110" s="6">
        <f t="shared" si="3"/>
        <v>14.39148</v>
      </c>
    </row>
    <row r="111">
      <c r="A111" s="4" t="s">
        <v>8937</v>
      </c>
      <c r="B111" s="10">
        <f t="shared" si="1"/>
        <v>100</v>
      </c>
      <c r="C111" s="6">
        <f t="shared" si="2"/>
        <v>84.5</v>
      </c>
      <c r="D111" s="6">
        <f t="shared" si="3"/>
        <v>14.39481</v>
      </c>
    </row>
    <row r="112">
      <c r="A112" s="4" t="s">
        <v>8938</v>
      </c>
      <c r="B112" s="10">
        <f t="shared" si="1"/>
        <v>100</v>
      </c>
      <c r="C112" s="6">
        <f t="shared" si="2"/>
        <v>84.4</v>
      </c>
      <c r="D112" s="6">
        <f t="shared" si="3"/>
        <v>14.390263</v>
      </c>
    </row>
    <row r="113">
      <c r="A113" s="4" t="s">
        <v>8939</v>
      </c>
      <c r="B113" s="10">
        <f t="shared" si="1"/>
        <v>100</v>
      </c>
      <c r="C113" s="6">
        <f t="shared" si="2"/>
        <v>84.4</v>
      </c>
      <c r="D113" s="6">
        <f t="shared" si="3"/>
        <v>14.390013</v>
      </c>
    </row>
    <row r="114">
      <c r="A114" s="4" t="s">
        <v>8940</v>
      </c>
      <c r="B114" s="10">
        <f t="shared" si="1"/>
        <v>0</v>
      </c>
      <c r="C114" s="6">
        <f t="shared" si="2"/>
        <v>84.5</v>
      </c>
      <c r="D114" s="6">
        <f t="shared" si="3"/>
        <v>14.397849</v>
      </c>
    </row>
    <row r="115">
      <c r="A115" s="4" t="s">
        <v>8941</v>
      </c>
      <c r="B115" s="10">
        <f t="shared" si="1"/>
        <v>100</v>
      </c>
      <c r="C115" s="6">
        <f t="shared" si="2"/>
        <v>84.5</v>
      </c>
      <c r="D115" s="6">
        <f t="shared" si="3"/>
        <v>14.393643</v>
      </c>
    </row>
    <row r="116">
      <c r="A116" s="4" t="s">
        <v>8942</v>
      </c>
      <c r="B116" s="10">
        <f t="shared" si="1"/>
        <v>100</v>
      </c>
      <c r="C116" s="6">
        <f t="shared" si="2"/>
        <v>84.5</v>
      </c>
      <c r="D116" s="6">
        <f t="shared" si="3"/>
        <v>14.397788</v>
      </c>
    </row>
    <row r="117">
      <c r="A117" s="4" t="s">
        <v>8943</v>
      </c>
      <c r="B117" s="10">
        <f t="shared" si="1"/>
        <v>100</v>
      </c>
      <c r="C117" s="6">
        <f t="shared" si="2"/>
        <v>84.5</v>
      </c>
      <c r="D117" s="6">
        <f t="shared" si="3"/>
        <v>14.399488</v>
      </c>
    </row>
    <row r="118">
      <c r="A118" s="4" t="s">
        <v>8944</v>
      </c>
      <c r="B118" s="10">
        <f t="shared" si="1"/>
        <v>100</v>
      </c>
      <c r="C118" s="6">
        <f t="shared" si="2"/>
        <v>84.5</v>
      </c>
      <c r="D118" s="6">
        <f t="shared" si="3"/>
        <v>14.39669</v>
      </c>
    </row>
    <row r="119">
      <c r="A119" s="4" t="s">
        <v>8945</v>
      </c>
      <c r="B119" s="10">
        <f t="shared" si="1"/>
        <v>0</v>
      </c>
      <c r="C119" s="6">
        <f t="shared" si="2"/>
        <v>85</v>
      </c>
      <c r="D119" s="6">
        <f t="shared" si="3"/>
        <v>14.484516</v>
      </c>
    </row>
    <row r="120">
      <c r="A120" s="4" t="s">
        <v>8946</v>
      </c>
      <c r="B120" s="10">
        <f t="shared" si="1"/>
        <v>100</v>
      </c>
      <c r="C120" s="6">
        <f t="shared" si="2"/>
        <v>84.2</v>
      </c>
      <c r="D120" s="6">
        <f t="shared" si="3"/>
        <v>14.350036</v>
      </c>
    </row>
    <row r="121">
      <c r="A121" s="4" t="s">
        <v>8947</v>
      </c>
      <c r="B121" s="10">
        <f t="shared" si="1"/>
        <v>100</v>
      </c>
      <c r="C121" s="6">
        <f t="shared" si="2"/>
        <v>84.2</v>
      </c>
      <c r="D121" s="6">
        <f t="shared" si="3"/>
        <v>14.356836</v>
      </c>
    </row>
    <row r="122">
      <c r="A122" s="4" t="s">
        <v>8948</v>
      </c>
      <c r="B122" s="10">
        <f t="shared" si="1"/>
        <v>100</v>
      </c>
      <c r="C122" s="6">
        <f t="shared" si="2"/>
        <v>84.4</v>
      </c>
      <c r="D122" s="6">
        <f t="shared" si="3"/>
        <v>14.380179</v>
      </c>
    </row>
    <row r="123">
      <c r="A123" s="4" t="s">
        <v>8949</v>
      </c>
      <c r="B123" s="10">
        <f t="shared" si="1"/>
        <v>0</v>
      </c>
      <c r="C123" s="6">
        <f t="shared" si="2"/>
        <v>84.4</v>
      </c>
      <c r="D123" s="6">
        <f t="shared" si="3"/>
        <v>14.376148</v>
      </c>
    </row>
    <row r="124">
      <c r="A124" s="4" t="s">
        <v>8950</v>
      </c>
      <c r="B124" s="10">
        <f t="shared" si="1"/>
        <v>0</v>
      </c>
      <c r="C124" s="6">
        <f t="shared" si="2"/>
        <v>84.4</v>
      </c>
      <c r="D124" s="6">
        <f t="shared" si="3"/>
        <v>14.390099</v>
      </c>
    </row>
    <row r="125">
      <c r="A125" s="4" t="s">
        <v>8951</v>
      </c>
      <c r="B125" s="10">
        <f t="shared" si="1"/>
        <v>100</v>
      </c>
      <c r="C125" s="6">
        <f t="shared" si="2"/>
        <v>84.3</v>
      </c>
      <c r="D125" s="6">
        <f t="shared" si="3"/>
        <v>14.372491</v>
      </c>
    </row>
    <row r="126">
      <c r="A126" s="4" t="s">
        <v>8952</v>
      </c>
      <c r="B126" s="10">
        <f t="shared" si="1"/>
        <v>100</v>
      </c>
      <c r="C126" s="6">
        <f t="shared" si="2"/>
        <v>84.3</v>
      </c>
      <c r="D126" s="6">
        <f t="shared" si="3"/>
        <v>14.365671</v>
      </c>
    </row>
    <row r="127">
      <c r="A127" s="4" t="s">
        <v>8953</v>
      </c>
      <c r="B127" s="10">
        <f t="shared" si="1"/>
        <v>0</v>
      </c>
      <c r="C127" s="6">
        <f t="shared" si="2"/>
        <v>84.4</v>
      </c>
      <c r="D127" s="6">
        <f t="shared" si="3"/>
        <v>14.379556</v>
      </c>
    </row>
    <row r="128">
      <c r="A128" s="4" t="s">
        <v>8954</v>
      </c>
      <c r="B128" s="10">
        <f t="shared" si="1"/>
        <v>0</v>
      </c>
      <c r="C128" s="6">
        <f t="shared" si="2"/>
        <v>84.3</v>
      </c>
      <c r="D128" s="6">
        <f t="shared" si="3"/>
        <v>14.370729</v>
      </c>
    </row>
    <row r="129">
      <c r="A129" s="4" t="s">
        <v>8955</v>
      </c>
      <c r="B129" s="10">
        <f t="shared" si="1"/>
        <v>0</v>
      </c>
      <c r="C129" s="6">
        <f t="shared" si="2"/>
        <v>84.4</v>
      </c>
      <c r="D129" s="6">
        <f t="shared" si="3"/>
        <v>14.380224</v>
      </c>
    </row>
    <row r="130">
      <c r="A130" s="4" t="s">
        <v>8956</v>
      </c>
      <c r="B130" s="10">
        <f t="shared" si="1"/>
        <v>100</v>
      </c>
      <c r="C130" s="6">
        <f t="shared" si="2"/>
        <v>84.3</v>
      </c>
      <c r="D130" s="6">
        <f t="shared" si="3"/>
        <v>14.364852</v>
      </c>
    </row>
    <row r="131">
      <c r="A131" s="4" t="s">
        <v>8957</v>
      </c>
      <c r="B131" s="10">
        <f t="shared" si="1"/>
        <v>0</v>
      </c>
      <c r="C131" s="6">
        <f t="shared" si="2"/>
        <v>84.3</v>
      </c>
      <c r="D131" s="6">
        <f t="shared" si="3"/>
        <v>14.36665</v>
      </c>
    </row>
    <row r="132">
      <c r="A132" s="4" t="s">
        <v>8958</v>
      </c>
      <c r="B132" s="10">
        <f t="shared" si="1"/>
        <v>100</v>
      </c>
      <c r="C132" s="6">
        <f t="shared" si="2"/>
        <v>84.4</v>
      </c>
      <c r="D132" s="6">
        <f t="shared" si="3"/>
        <v>14.386774</v>
      </c>
    </row>
    <row r="133">
      <c r="A133" s="4" t="s">
        <v>8959</v>
      </c>
      <c r="B133" s="10">
        <f t="shared" si="1"/>
        <v>0</v>
      </c>
      <c r="C133" s="6">
        <f t="shared" si="2"/>
        <v>84.3</v>
      </c>
      <c r="D133" s="6">
        <f t="shared" si="3"/>
        <v>14.370648</v>
      </c>
    </row>
    <row r="134">
      <c r="A134" s="4" t="s">
        <v>8960</v>
      </c>
      <c r="B134" s="10">
        <f t="shared" si="1"/>
        <v>100</v>
      </c>
      <c r="C134" s="6">
        <f t="shared" si="2"/>
        <v>84.4</v>
      </c>
      <c r="D134" s="6">
        <f t="shared" si="3"/>
        <v>14.382796</v>
      </c>
    </row>
    <row r="135">
      <c r="A135" s="4" t="s">
        <v>8961</v>
      </c>
      <c r="B135" s="10">
        <f t="shared" si="1"/>
        <v>0</v>
      </c>
      <c r="C135" s="6">
        <f t="shared" si="2"/>
        <v>84.5</v>
      </c>
      <c r="D135" s="6">
        <f t="shared" si="3"/>
        <v>14.397415</v>
      </c>
    </row>
    <row r="136">
      <c r="A136" s="4" t="s">
        <v>8962</v>
      </c>
      <c r="B136" s="10">
        <f t="shared" si="1"/>
        <v>100</v>
      </c>
      <c r="C136" s="6">
        <f t="shared" si="2"/>
        <v>84.4</v>
      </c>
      <c r="D136" s="6">
        <f t="shared" si="3"/>
        <v>14.377058</v>
      </c>
    </row>
    <row r="137">
      <c r="A137" s="4" t="s">
        <v>8963</v>
      </c>
      <c r="B137" s="10">
        <f t="shared" si="1"/>
        <v>100</v>
      </c>
      <c r="C137" s="6">
        <f t="shared" si="2"/>
        <v>84.4</v>
      </c>
      <c r="D137" s="6">
        <f t="shared" si="3"/>
        <v>14.385483</v>
      </c>
    </row>
    <row r="138">
      <c r="A138" s="4" t="s">
        <v>8964</v>
      </c>
      <c r="B138" s="10">
        <f t="shared" si="1"/>
        <v>0</v>
      </c>
      <c r="C138" s="6">
        <f t="shared" si="2"/>
        <v>84.3</v>
      </c>
      <c r="D138" s="6">
        <f t="shared" si="3"/>
        <v>14.366674</v>
      </c>
    </row>
    <row r="139">
      <c r="A139" s="4" t="s">
        <v>8965</v>
      </c>
      <c r="B139" s="10">
        <f t="shared" si="1"/>
        <v>0</v>
      </c>
      <c r="C139" s="6">
        <f t="shared" si="2"/>
        <v>84.4</v>
      </c>
      <c r="D139" s="6">
        <f t="shared" si="3"/>
        <v>14.380244</v>
      </c>
    </row>
    <row r="140">
      <c r="A140" s="4" t="s">
        <v>8966</v>
      </c>
      <c r="B140" s="10">
        <f t="shared" si="1"/>
        <v>0</v>
      </c>
      <c r="C140" s="6">
        <f t="shared" si="2"/>
        <v>84.4</v>
      </c>
      <c r="D140" s="6">
        <f t="shared" si="3"/>
        <v>14.390022</v>
      </c>
    </row>
    <row r="141">
      <c r="A141" s="4" t="s">
        <v>8967</v>
      </c>
      <c r="B141" s="10">
        <f t="shared" si="1"/>
        <v>100</v>
      </c>
      <c r="C141" s="6">
        <f t="shared" si="2"/>
        <v>85.9</v>
      </c>
      <c r="D141" s="6">
        <f t="shared" si="3"/>
        <v>14.640152</v>
      </c>
    </row>
    <row r="142">
      <c r="A142" s="4" t="s">
        <v>8968</v>
      </c>
      <c r="B142" s="10">
        <f t="shared" si="1"/>
        <v>100</v>
      </c>
      <c r="C142" s="6">
        <f t="shared" si="2"/>
        <v>84.4</v>
      </c>
      <c r="D142" s="6">
        <f t="shared" si="3"/>
        <v>14.388887</v>
      </c>
    </row>
    <row r="143">
      <c r="A143" s="4" t="s">
        <v>8969</v>
      </c>
      <c r="B143" s="10">
        <f t="shared" si="1"/>
        <v>0</v>
      </c>
      <c r="C143" s="6">
        <f t="shared" si="2"/>
        <v>86.7</v>
      </c>
      <c r="D143" s="6">
        <f t="shared" si="3"/>
        <v>14.782005</v>
      </c>
    </row>
    <row r="144">
      <c r="A144" s="4" t="s">
        <v>8970</v>
      </c>
      <c r="B144" s="10">
        <f t="shared" si="1"/>
        <v>0</v>
      </c>
      <c r="C144" s="6">
        <f t="shared" si="2"/>
        <v>84.4</v>
      </c>
      <c r="D144" s="6">
        <f t="shared" si="3"/>
        <v>14.385188</v>
      </c>
    </row>
    <row r="145">
      <c r="A145" s="4" t="s">
        <v>8971</v>
      </c>
      <c r="B145" s="10">
        <f t="shared" si="1"/>
        <v>0</v>
      </c>
      <c r="C145" s="6">
        <f t="shared" si="2"/>
        <v>84.6</v>
      </c>
      <c r="D145" s="6">
        <f t="shared" si="3"/>
        <v>14.413004</v>
      </c>
    </row>
    <row r="146">
      <c r="A146" s="4" t="s">
        <v>8972</v>
      </c>
      <c r="B146" s="10">
        <f t="shared" si="1"/>
        <v>100</v>
      </c>
      <c r="C146" s="6">
        <f t="shared" si="2"/>
        <v>84.5</v>
      </c>
      <c r="D146" s="6">
        <f t="shared" si="3"/>
        <v>14.406799</v>
      </c>
    </row>
    <row r="147">
      <c r="A147" s="4" t="s">
        <v>8973</v>
      </c>
      <c r="B147" s="10">
        <f t="shared" si="1"/>
        <v>0</v>
      </c>
      <c r="C147" s="6">
        <f t="shared" si="2"/>
        <v>84.4</v>
      </c>
      <c r="D147" s="6">
        <f t="shared" si="3"/>
        <v>14.38611</v>
      </c>
    </row>
    <row r="148">
      <c r="A148" s="4" t="s">
        <v>8974</v>
      </c>
      <c r="B148" s="10">
        <f t="shared" si="1"/>
        <v>0</v>
      </c>
      <c r="C148" s="6">
        <f t="shared" si="2"/>
        <v>84.8</v>
      </c>
      <c r="D148" s="6">
        <f t="shared" si="3"/>
        <v>14.453899</v>
      </c>
    </row>
    <row r="149">
      <c r="A149" s="4" t="s">
        <v>8975</v>
      </c>
      <c r="B149" s="10">
        <f t="shared" si="1"/>
        <v>0</v>
      </c>
      <c r="C149" s="6">
        <f t="shared" si="2"/>
        <v>84.8</v>
      </c>
      <c r="D149" s="6">
        <f t="shared" si="3"/>
        <v>14.455119</v>
      </c>
    </row>
    <row r="150">
      <c r="A150" s="4" t="s">
        <v>8976</v>
      </c>
      <c r="B150" s="10">
        <f t="shared" si="1"/>
        <v>0</v>
      </c>
      <c r="C150" s="6">
        <f t="shared" si="2"/>
        <v>84.7</v>
      </c>
      <c r="D150" s="6">
        <f t="shared" si="3"/>
        <v>14.439124</v>
      </c>
    </row>
    <row r="151">
      <c r="A151" s="4" t="s">
        <v>8977</v>
      </c>
      <c r="B151" s="10">
        <f t="shared" si="1"/>
        <v>0</v>
      </c>
      <c r="C151" s="6">
        <f t="shared" si="2"/>
        <v>84.7</v>
      </c>
      <c r="D151" s="6">
        <f t="shared" si="3"/>
        <v>14.431928</v>
      </c>
    </row>
    <row r="152">
      <c r="A152" s="4" t="s">
        <v>8978</v>
      </c>
      <c r="B152" s="10">
        <f t="shared" si="1"/>
        <v>100</v>
      </c>
      <c r="C152" s="6">
        <f t="shared" si="2"/>
        <v>84.8</v>
      </c>
      <c r="D152" s="6">
        <f t="shared" si="3"/>
        <v>14.44669</v>
      </c>
    </row>
    <row r="153">
      <c r="A153" s="4" t="s">
        <v>8979</v>
      </c>
      <c r="B153" s="10">
        <f t="shared" si="1"/>
        <v>100</v>
      </c>
      <c r="C153" s="6">
        <f t="shared" si="2"/>
        <v>84.9</v>
      </c>
      <c r="D153" s="6">
        <f t="shared" si="3"/>
        <v>14.469554</v>
      </c>
    </row>
    <row r="154">
      <c r="A154" s="4" t="s">
        <v>8980</v>
      </c>
      <c r="B154" s="10">
        <f t="shared" si="1"/>
        <v>0</v>
      </c>
      <c r="C154" s="6">
        <f t="shared" si="2"/>
        <v>85</v>
      </c>
      <c r="D154" s="6">
        <f t="shared" si="3"/>
        <v>14.485147</v>
      </c>
    </row>
    <row r="155">
      <c r="A155" s="4" t="s">
        <v>8981</v>
      </c>
      <c r="B155" s="10">
        <f t="shared" si="1"/>
        <v>100</v>
      </c>
      <c r="C155" s="6">
        <f t="shared" si="2"/>
        <v>85</v>
      </c>
      <c r="D155" s="6">
        <f t="shared" si="3"/>
        <v>14.48432</v>
      </c>
    </row>
    <row r="156">
      <c r="A156" s="4" t="s">
        <v>8982</v>
      </c>
      <c r="B156" s="10">
        <f t="shared" si="1"/>
        <v>0</v>
      </c>
      <c r="C156" s="6">
        <f t="shared" si="2"/>
        <v>85</v>
      </c>
      <c r="D156" s="6">
        <f t="shared" si="3"/>
        <v>14.481022</v>
      </c>
    </row>
    <row r="157">
      <c r="A157" s="4" t="s">
        <v>8983</v>
      </c>
      <c r="B157" s="10">
        <f t="shared" si="1"/>
        <v>100</v>
      </c>
      <c r="C157" s="6">
        <f t="shared" si="2"/>
        <v>84.9</v>
      </c>
      <c r="D157" s="6">
        <f t="shared" si="3"/>
        <v>14.475096</v>
      </c>
    </row>
    <row r="158">
      <c r="A158" s="4" t="s">
        <v>8984</v>
      </c>
      <c r="B158" s="10">
        <f t="shared" si="1"/>
        <v>0</v>
      </c>
      <c r="C158" s="6">
        <f t="shared" si="2"/>
        <v>84.8</v>
      </c>
      <c r="D158" s="6">
        <f t="shared" si="3"/>
        <v>14.45192</v>
      </c>
    </row>
    <row r="159">
      <c r="A159" s="4" t="s">
        <v>8985</v>
      </c>
      <c r="B159" s="10">
        <f t="shared" si="1"/>
        <v>100</v>
      </c>
      <c r="C159" s="6">
        <f t="shared" si="2"/>
        <v>84.8</v>
      </c>
      <c r="D159" s="6">
        <f t="shared" si="3"/>
        <v>14.448431</v>
      </c>
    </row>
    <row r="160">
      <c r="A160" s="4" t="s">
        <v>8986</v>
      </c>
      <c r="B160" s="10">
        <f t="shared" si="1"/>
        <v>0</v>
      </c>
      <c r="C160" s="6">
        <f t="shared" si="2"/>
        <v>84.7</v>
      </c>
      <c r="D160" s="6">
        <f t="shared" si="3"/>
        <v>14.441697</v>
      </c>
    </row>
    <row r="161">
      <c r="A161" s="4" t="s">
        <v>8987</v>
      </c>
      <c r="B161" s="10">
        <f t="shared" si="1"/>
        <v>100</v>
      </c>
      <c r="C161" s="6">
        <f t="shared" si="2"/>
        <v>84.8</v>
      </c>
      <c r="D161" s="6">
        <f t="shared" si="3"/>
        <v>14.447689</v>
      </c>
    </row>
    <row r="162">
      <c r="A162" s="4" t="s">
        <v>8988</v>
      </c>
      <c r="B162" s="10">
        <f t="shared" si="1"/>
        <v>0</v>
      </c>
      <c r="C162" s="6">
        <f t="shared" si="2"/>
        <v>84.8</v>
      </c>
      <c r="D162" s="6">
        <f t="shared" si="3"/>
        <v>14.444974</v>
      </c>
    </row>
    <row r="163">
      <c r="A163" s="4" t="s">
        <v>8989</v>
      </c>
      <c r="B163" s="10">
        <f t="shared" si="1"/>
        <v>0</v>
      </c>
      <c r="C163" s="6">
        <f t="shared" si="2"/>
        <v>84.8</v>
      </c>
      <c r="D163" s="6">
        <f t="shared" si="3"/>
        <v>14.452977</v>
      </c>
    </row>
    <row r="164">
      <c r="A164" s="4" t="s">
        <v>8990</v>
      </c>
      <c r="B164" s="10">
        <f t="shared" si="1"/>
        <v>100</v>
      </c>
      <c r="C164" s="6">
        <f t="shared" si="2"/>
        <v>84.9</v>
      </c>
      <c r="D164" s="6">
        <f t="shared" si="3"/>
        <v>14.460506</v>
      </c>
    </row>
    <row r="165">
      <c r="A165" s="4" t="s">
        <v>8991</v>
      </c>
      <c r="B165" s="10">
        <f t="shared" si="1"/>
        <v>0</v>
      </c>
      <c r="C165" s="6">
        <f t="shared" si="2"/>
        <v>84.7</v>
      </c>
      <c r="D165" s="6">
        <f t="shared" si="3"/>
        <v>14.434107</v>
      </c>
    </row>
    <row r="166">
      <c r="A166" s="4" t="s">
        <v>8992</v>
      </c>
      <c r="B166" s="10">
        <f t="shared" si="1"/>
        <v>100</v>
      </c>
      <c r="C166" s="6">
        <f t="shared" si="2"/>
        <v>84.8</v>
      </c>
      <c r="D166" s="6">
        <f t="shared" si="3"/>
        <v>14.458335</v>
      </c>
    </row>
    <row r="167">
      <c r="A167" s="4" t="s">
        <v>8993</v>
      </c>
      <c r="B167" s="10">
        <f t="shared" si="1"/>
        <v>0</v>
      </c>
      <c r="C167" s="6">
        <f t="shared" si="2"/>
        <v>84.9</v>
      </c>
      <c r="D167" s="6">
        <f t="shared" si="3"/>
        <v>14.467371</v>
      </c>
    </row>
    <row r="168">
      <c r="A168" s="4" t="s">
        <v>8994</v>
      </c>
      <c r="B168" s="10">
        <f t="shared" si="1"/>
        <v>100</v>
      </c>
      <c r="C168" s="6">
        <f t="shared" si="2"/>
        <v>84.9</v>
      </c>
      <c r="D168" s="6">
        <f t="shared" si="3"/>
        <v>14.46787</v>
      </c>
    </row>
    <row r="169">
      <c r="A169" s="4" t="s">
        <v>8995</v>
      </c>
      <c r="B169" s="10">
        <f t="shared" si="1"/>
        <v>100</v>
      </c>
      <c r="C169" s="6">
        <f t="shared" si="2"/>
        <v>84.9</v>
      </c>
      <c r="D169" s="6">
        <f t="shared" si="3"/>
        <v>14.468718</v>
      </c>
    </row>
    <row r="170">
      <c r="A170" s="4" t="s">
        <v>8996</v>
      </c>
      <c r="B170" s="10">
        <f t="shared" si="1"/>
        <v>100</v>
      </c>
      <c r="C170" s="6">
        <f t="shared" si="2"/>
        <v>84.8</v>
      </c>
      <c r="D170" s="6">
        <f t="shared" si="3"/>
        <v>14.444384</v>
      </c>
    </row>
    <row r="171">
      <c r="A171" s="4" t="s">
        <v>8997</v>
      </c>
      <c r="B171" s="10">
        <f t="shared" si="1"/>
        <v>0</v>
      </c>
      <c r="C171" s="6">
        <f t="shared" si="2"/>
        <v>85</v>
      </c>
      <c r="D171" s="6">
        <f t="shared" si="3"/>
        <v>14.477709</v>
      </c>
    </row>
    <row r="172">
      <c r="A172" s="4" t="s">
        <v>8998</v>
      </c>
      <c r="B172" s="10">
        <f t="shared" si="1"/>
        <v>0</v>
      </c>
      <c r="C172" s="6">
        <f t="shared" si="2"/>
        <v>84.9</v>
      </c>
      <c r="D172" s="6">
        <f t="shared" si="3"/>
        <v>14.467149</v>
      </c>
    </row>
    <row r="173">
      <c r="A173" s="4" t="s">
        <v>8999</v>
      </c>
      <c r="B173" s="10">
        <f t="shared" si="1"/>
        <v>100</v>
      </c>
      <c r="C173" s="6">
        <f t="shared" si="2"/>
        <v>86.9</v>
      </c>
      <c r="D173" s="6">
        <f t="shared" si="3"/>
        <v>14.803718</v>
      </c>
    </row>
    <row r="174">
      <c r="A174" s="4" t="s">
        <v>9000</v>
      </c>
      <c r="B174" s="10">
        <f t="shared" si="1"/>
        <v>0</v>
      </c>
      <c r="C174" s="6">
        <f t="shared" si="2"/>
        <v>85</v>
      </c>
      <c r="D174" s="6">
        <f t="shared" si="3"/>
        <v>14.486056</v>
      </c>
    </row>
    <row r="175">
      <c r="A175" s="4" t="s">
        <v>9001</v>
      </c>
      <c r="B175" s="10">
        <f t="shared" si="1"/>
        <v>100</v>
      </c>
      <c r="C175" s="6">
        <f t="shared" si="2"/>
        <v>85.8</v>
      </c>
      <c r="D175" s="6">
        <f t="shared" si="3"/>
        <v>14.61361</v>
      </c>
    </row>
    <row r="176">
      <c r="A176" s="4" t="s">
        <v>9002</v>
      </c>
      <c r="B176" s="10">
        <f t="shared" si="1"/>
        <v>0</v>
      </c>
      <c r="C176" s="6">
        <f t="shared" si="2"/>
        <v>84.9</v>
      </c>
      <c r="D176" s="6">
        <f t="shared" si="3"/>
        <v>14.475862</v>
      </c>
    </row>
    <row r="177">
      <c r="A177" s="4" t="s">
        <v>9003</v>
      </c>
      <c r="B177" s="10">
        <f t="shared" si="1"/>
        <v>100</v>
      </c>
      <c r="C177" s="6">
        <f t="shared" si="2"/>
        <v>84.9</v>
      </c>
      <c r="D177" s="6">
        <f t="shared" si="3"/>
        <v>14.470729</v>
      </c>
    </row>
    <row r="178">
      <c r="A178" s="4" t="s">
        <v>9004</v>
      </c>
      <c r="B178" s="10">
        <f t="shared" si="1"/>
        <v>0</v>
      </c>
      <c r="C178" s="6">
        <f t="shared" si="2"/>
        <v>84.9</v>
      </c>
      <c r="D178" s="6">
        <f t="shared" si="3"/>
        <v>14.464438</v>
      </c>
    </row>
    <row r="179">
      <c r="A179" s="4" t="s">
        <v>9005</v>
      </c>
      <c r="B179" s="10">
        <f t="shared" si="1"/>
        <v>100</v>
      </c>
      <c r="C179" s="6">
        <f t="shared" si="2"/>
        <v>85</v>
      </c>
      <c r="D179" s="6">
        <f t="shared" si="3"/>
        <v>14.481891</v>
      </c>
    </row>
    <row r="180">
      <c r="A180" s="4" t="s">
        <v>9006</v>
      </c>
      <c r="B180" s="10">
        <f t="shared" si="1"/>
        <v>0</v>
      </c>
      <c r="C180" s="6">
        <f t="shared" si="2"/>
        <v>85</v>
      </c>
      <c r="D180" s="6">
        <f t="shared" si="3"/>
        <v>14.487244</v>
      </c>
    </row>
    <row r="181">
      <c r="A181" s="4" t="s">
        <v>9007</v>
      </c>
      <c r="B181" s="10">
        <f t="shared" si="1"/>
        <v>0</v>
      </c>
      <c r="C181" s="6">
        <f t="shared" si="2"/>
        <v>84.9</v>
      </c>
      <c r="D181" s="6">
        <f t="shared" si="3"/>
        <v>14.460092</v>
      </c>
    </row>
    <row r="182">
      <c r="A182" s="4" t="s">
        <v>9008</v>
      </c>
      <c r="B182" s="10">
        <f t="shared" si="1"/>
        <v>0</v>
      </c>
      <c r="C182" s="6">
        <f t="shared" si="2"/>
        <v>85.1</v>
      </c>
      <c r="D182" s="6">
        <f t="shared" si="3"/>
        <v>14.498885</v>
      </c>
    </row>
    <row r="183">
      <c r="A183" s="4" t="s">
        <v>9009</v>
      </c>
      <c r="B183" s="10">
        <f t="shared" si="1"/>
        <v>0</v>
      </c>
      <c r="C183" s="6">
        <f t="shared" si="2"/>
        <v>84.8</v>
      </c>
      <c r="D183" s="6">
        <f t="shared" si="3"/>
        <v>14.443958</v>
      </c>
    </row>
    <row r="184">
      <c r="A184" s="4" t="s">
        <v>9010</v>
      </c>
      <c r="B184" s="10">
        <f t="shared" si="1"/>
        <v>0</v>
      </c>
      <c r="C184" s="6">
        <f t="shared" si="2"/>
        <v>84.8</v>
      </c>
      <c r="D184" s="6">
        <f t="shared" si="3"/>
        <v>14.454915</v>
      </c>
    </row>
    <row r="185">
      <c r="A185" s="4" t="s">
        <v>9011</v>
      </c>
      <c r="B185" s="10">
        <f t="shared" si="1"/>
        <v>0</v>
      </c>
      <c r="C185" s="6">
        <f t="shared" si="2"/>
        <v>85</v>
      </c>
      <c r="D185" s="6">
        <f t="shared" si="3"/>
        <v>14.4823</v>
      </c>
    </row>
    <row r="186">
      <c r="A186" s="4" t="s">
        <v>9012</v>
      </c>
      <c r="B186" s="10">
        <f t="shared" si="1"/>
        <v>100</v>
      </c>
      <c r="C186" s="6">
        <f t="shared" si="2"/>
        <v>84.8</v>
      </c>
      <c r="D186" s="6">
        <f t="shared" si="3"/>
        <v>14.455394</v>
      </c>
    </row>
    <row r="187">
      <c r="A187" s="4" t="s">
        <v>9013</v>
      </c>
      <c r="B187" s="10">
        <f t="shared" si="1"/>
        <v>0</v>
      </c>
      <c r="C187" s="6">
        <f t="shared" si="2"/>
        <v>84.8</v>
      </c>
      <c r="D187" s="6">
        <f t="shared" si="3"/>
        <v>14.459043</v>
      </c>
    </row>
    <row r="188">
      <c r="A188" s="4" t="s">
        <v>9014</v>
      </c>
      <c r="B188" s="10">
        <f t="shared" si="1"/>
        <v>100</v>
      </c>
      <c r="C188" s="6">
        <f t="shared" si="2"/>
        <v>84.6</v>
      </c>
      <c r="D188" s="6">
        <f t="shared" si="3"/>
        <v>14.420045</v>
      </c>
    </row>
    <row r="189">
      <c r="A189" s="4" t="s">
        <v>9015</v>
      </c>
      <c r="B189" s="10">
        <f t="shared" si="1"/>
        <v>100</v>
      </c>
      <c r="C189" s="6">
        <f t="shared" si="2"/>
        <v>84.7</v>
      </c>
      <c r="D189" s="6">
        <f t="shared" si="3"/>
        <v>14.440742</v>
      </c>
    </row>
    <row r="190">
      <c r="A190" s="4" t="s">
        <v>9016</v>
      </c>
      <c r="B190" s="10">
        <f t="shared" si="1"/>
        <v>0</v>
      </c>
      <c r="C190" s="6">
        <f t="shared" si="2"/>
        <v>84.9</v>
      </c>
      <c r="D190" s="6">
        <f t="shared" si="3"/>
        <v>14.47519</v>
      </c>
    </row>
    <row r="191">
      <c r="A191" s="4" t="s">
        <v>9017</v>
      </c>
      <c r="B191" s="10">
        <f t="shared" si="1"/>
        <v>0</v>
      </c>
      <c r="C191" s="6">
        <f t="shared" si="2"/>
        <v>84.8</v>
      </c>
      <c r="D191" s="6">
        <f t="shared" si="3"/>
        <v>14.458224</v>
      </c>
    </row>
    <row r="192">
      <c r="A192" s="4" t="s">
        <v>9018</v>
      </c>
      <c r="B192" s="10">
        <f t="shared" si="1"/>
        <v>100</v>
      </c>
      <c r="C192" s="6">
        <f t="shared" si="2"/>
        <v>84.9</v>
      </c>
      <c r="D192" s="6">
        <f t="shared" si="3"/>
        <v>14.460293</v>
      </c>
    </row>
    <row r="193">
      <c r="A193" s="4" t="s">
        <v>9019</v>
      </c>
      <c r="B193" s="10">
        <f t="shared" si="1"/>
        <v>0</v>
      </c>
      <c r="C193" s="6">
        <f t="shared" si="2"/>
        <v>84.8</v>
      </c>
      <c r="D193" s="6">
        <f t="shared" si="3"/>
        <v>14.452269</v>
      </c>
    </row>
    <row r="194">
      <c r="A194" s="4" t="s">
        <v>9020</v>
      </c>
      <c r="B194" s="10">
        <f t="shared" si="1"/>
        <v>0</v>
      </c>
      <c r="C194" s="6">
        <f t="shared" si="2"/>
        <v>84.9</v>
      </c>
      <c r="D194" s="6">
        <f t="shared" si="3"/>
        <v>14.476152</v>
      </c>
    </row>
    <row r="195">
      <c r="A195" s="4" t="s">
        <v>9021</v>
      </c>
      <c r="B195" s="10">
        <f t="shared" si="1"/>
        <v>100</v>
      </c>
      <c r="C195" s="6">
        <f t="shared" si="2"/>
        <v>85</v>
      </c>
      <c r="D195" s="6">
        <f t="shared" si="3"/>
        <v>14.482423</v>
      </c>
    </row>
    <row r="196">
      <c r="A196" s="4" t="s">
        <v>9022</v>
      </c>
      <c r="B196" s="10">
        <f t="shared" si="1"/>
        <v>100</v>
      </c>
      <c r="C196" s="6">
        <f t="shared" si="2"/>
        <v>85</v>
      </c>
      <c r="D196" s="6">
        <f t="shared" si="3"/>
        <v>14.479736</v>
      </c>
    </row>
    <row r="197">
      <c r="A197" s="4" t="s">
        <v>9023</v>
      </c>
      <c r="B197" s="10">
        <f t="shared" si="1"/>
        <v>100</v>
      </c>
      <c r="C197" s="6">
        <f t="shared" si="2"/>
        <v>85.9</v>
      </c>
      <c r="D197" s="6">
        <f t="shared" si="3"/>
        <v>14.640308</v>
      </c>
    </row>
    <row r="198">
      <c r="A198" s="4" t="s">
        <v>9024</v>
      </c>
      <c r="B198" s="10">
        <f t="shared" si="1"/>
        <v>100</v>
      </c>
      <c r="C198" s="6">
        <f t="shared" si="2"/>
        <v>85.2</v>
      </c>
      <c r="D198" s="6">
        <f t="shared" si="3"/>
        <v>14.523588</v>
      </c>
    </row>
    <row r="199">
      <c r="A199" s="4" t="s">
        <v>9025</v>
      </c>
      <c r="B199" s="10">
        <f t="shared" si="1"/>
        <v>100</v>
      </c>
      <c r="C199" s="6">
        <f t="shared" si="2"/>
        <v>85.3</v>
      </c>
      <c r="D199" s="6">
        <f t="shared" si="3"/>
        <v>14.541357</v>
      </c>
    </row>
    <row r="200">
      <c r="A200" s="4" t="s">
        <v>9026</v>
      </c>
      <c r="B200" s="10">
        <f t="shared" si="1"/>
        <v>0</v>
      </c>
      <c r="C200" s="6">
        <f t="shared" si="2"/>
        <v>85.4</v>
      </c>
      <c r="D200" s="6">
        <f t="shared" si="3"/>
        <v>14.548238</v>
      </c>
    </row>
    <row r="201">
      <c r="A201" s="4" t="s">
        <v>9027</v>
      </c>
      <c r="B201" s="10">
        <f t="shared" si="1"/>
        <v>0</v>
      </c>
      <c r="C201" s="6">
        <f t="shared" si="2"/>
        <v>85.2</v>
      </c>
      <c r="D201" s="6">
        <f t="shared" si="3"/>
        <v>14.511583</v>
      </c>
    </row>
  </sheetData>
  <mergeCells count="3">
    <mergeCell ref="G1:H1"/>
    <mergeCell ref="J1:K1"/>
    <mergeCell ref="M1:N1"/>
  </mergeCells>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9028</v>
      </c>
    </row>
    <row r="3">
      <c r="A3" s="12"/>
    </row>
    <row r="4">
      <c r="A4" s="4"/>
    </row>
    <row r="5">
      <c r="A5" s="12"/>
    </row>
    <row r="6">
      <c r="A6" s="4"/>
    </row>
    <row r="7">
      <c r="A7" s="12"/>
    </row>
    <row r="8">
      <c r="A8" s="4"/>
    </row>
    <row r="9">
      <c r="A9" s="12"/>
    </row>
    <row r="10">
      <c r="A10" s="4"/>
    </row>
    <row r="11">
      <c r="A11" s="12"/>
    </row>
    <row r="12">
      <c r="A12" s="4"/>
    </row>
    <row r="13">
      <c r="A13" s="12"/>
    </row>
    <row r="14">
      <c r="A14" s="4"/>
    </row>
    <row r="15">
      <c r="A15" s="12"/>
    </row>
    <row r="16">
      <c r="A16" s="4"/>
    </row>
    <row r="17">
      <c r="A17" s="12"/>
    </row>
    <row r="18">
      <c r="A18" s="4"/>
    </row>
    <row r="19">
      <c r="A19" s="12"/>
    </row>
    <row r="20">
      <c r="A20" s="4"/>
    </row>
    <row r="21">
      <c r="A21" s="12"/>
    </row>
    <row r="22">
      <c r="A22" s="4"/>
    </row>
    <row r="23">
      <c r="A23" s="12"/>
    </row>
    <row r="24">
      <c r="A24" s="4"/>
    </row>
    <row r="25">
      <c r="A25" s="12"/>
    </row>
    <row r="26">
      <c r="A26" s="4"/>
    </row>
    <row r="27">
      <c r="A27" s="12"/>
    </row>
    <row r="28">
      <c r="A28" s="4"/>
    </row>
    <row r="29">
      <c r="A29" s="12"/>
    </row>
    <row r="30">
      <c r="A30" s="4"/>
    </row>
    <row r="31">
      <c r="A31" s="12"/>
    </row>
    <row r="32">
      <c r="A32" s="4"/>
    </row>
    <row r="33">
      <c r="A33" s="12"/>
    </row>
    <row r="34">
      <c r="A34" s="4"/>
    </row>
    <row r="35">
      <c r="A35" s="12"/>
    </row>
    <row r="36">
      <c r="A36" s="4"/>
    </row>
    <row r="37">
      <c r="A37" s="12"/>
    </row>
    <row r="38">
      <c r="A38" s="4"/>
    </row>
    <row r="39">
      <c r="A39" s="12"/>
    </row>
    <row r="40">
      <c r="A40" s="4"/>
    </row>
    <row r="41">
      <c r="A41" s="12"/>
    </row>
    <row r="42">
      <c r="A42" s="4"/>
    </row>
    <row r="43">
      <c r="A43" s="12"/>
    </row>
    <row r="44">
      <c r="A44" s="4"/>
    </row>
    <row r="45">
      <c r="A45" s="12"/>
    </row>
    <row r="46">
      <c r="A46" s="4"/>
    </row>
    <row r="47">
      <c r="A47" s="12"/>
    </row>
    <row r="48">
      <c r="A48" s="4"/>
    </row>
    <row r="49">
      <c r="A49" s="12"/>
    </row>
    <row r="50">
      <c r="A50" s="4"/>
    </row>
    <row r="51">
      <c r="A51" s="12"/>
    </row>
    <row r="52">
      <c r="A52" s="4"/>
    </row>
    <row r="53">
      <c r="A53" s="12"/>
    </row>
    <row r="54">
      <c r="A54" s="4"/>
    </row>
    <row r="55">
      <c r="A55" s="12"/>
    </row>
    <row r="56">
      <c r="A56" s="4"/>
    </row>
    <row r="57">
      <c r="A57" s="12"/>
    </row>
    <row r="58">
      <c r="A58" s="4"/>
    </row>
    <row r="59">
      <c r="A59" s="12"/>
    </row>
    <row r="60">
      <c r="A60" s="4"/>
    </row>
    <row r="61">
      <c r="A61" s="12"/>
    </row>
    <row r="62">
      <c r="A62" s="4"/>
    </row>
    <row r="63">
      <c r="A63" s="12"/>
    </row>
    <row r="64">
      <c r="A64" s="4"/>
    </row>
    <row r="65">
      <c r="A65" s="12"/>
    </row>
    <row r="66">
      <c r="A66" s="4"/>
    </row>
    <row r="67">
      <c r="A67" s="12"/>
    </row>
    <row r="68">
      <c r="A68" s="4"/>
    </row>
    <row r="69">
      <c r="A69" s="12"/>
    </row>
    <row r="70">
      <c r="A70" s="4"/>
    </row>
    <row r="71">
      <c r="A71" s="12"/>
    </row>
    <row r="72">
      <c r="A72" s="4"/>
    </row>
    <row r="73">
      <c r="A73" s="12"/>
    </row>
    <row r="74">
      <c r="A74" s="4"/>
    </row>
    <row r="75">
      <c r="A75" s="12"/>
    </row>
    <row r="76">
      <c r="A76" s="4"/>
    </row>
    <row r="77">
      <c r="A77" s="12"/>
    </row>
    <row r="78">
      <c r="A78" s="4"/>
    </row>
    <row r="79">
      <c r="A79" s="12"/>
    </row>
    <row r="80">
      <c r="A80" s="4"/>
    </row>
    <row r="81">
      <c r="A81" s="12"/>
    </row>
    <row r="82">
      <c r="A82" s="4"/>
    </row>
    <row r="83">
      <c r="A83" s="12"/>
    </row>
    <row r="84">
      <c r="A84" s="4"/>
    </row>
    <row r="85">
      <c r="A85" s="12"/>
    </row>
    <row r="86">
      <c r="A86" s="4"/>
    </row>
    <row r="87">
      <c r="A87" s="12"/>
    </row>
    <row r="88">
      <c r="A88" s="4"/>
    </row>
    <row r="89">
      <c r="A89" s="12"/>
    </row>
    <row r="90">
      <c r="A90" s="4"/>
    </row>
    <row r="91">
      <c r="A91" s="12"/>
    </row>
    <row r="92">
      <c r="A92" s="4"/>
    </row>
    <row r="93">
      <c r="A93" s="12"/>
    </row>
    <row r="94">
      <c r="A94" s="4"/>
    </row>
    <row r="95">
      <c r="A95" s="12"/>
    </row>
    <row r="96">
      <c r="A96" s="4"/>
    </row>
    <row r="97">
      <c r="A97" s="12"/>
    </row>
    <row r="98">
      <c r="A98" s="4"/>
    </row>
    <row r="99">
      <c r="A99" s="12"/>
    </row>
    <row r="100">
      <c r="A100" s="4"/>
    </row>
    <row r="101">
      <c r="A101" s="12"/>
    </row>
    <row r="102">
      <c r="A102" s="4"/>
    </row>
    <row r="103">
      <c r="A103" s="12"/>
    </row>
    <row r="104">
      <c r="A104" s="4"/>
    </row>
    <row r="105">
      <c r="A105" s="12"/>
    </row>
    <row r="106">
      <c r="A106" s="4"/>
    </row>
    <row r="107">
      <c r="A107" s="12"/>
    </row>
    <row r="108">
      <c r="A108" s="4"/>
    </row>
    <row r="109">
      <c r="A109" s="12"/>
    </row>
    <row r="110">
      <c r="A110" s="4"/>
    </row>
    <row r="111">
      <c r="A111" s="12"/>
    </row>
    <row r="112">
      <c r="A112" s="4"/>
    </row>
    <row r="113">
      <c r="A113" s="12"/>
    </row>
    <row r="114">
      <c r="A114" s="4"/>
    </row>
    <row r="115">
      <c r="A115" s="12"/>
    </row>
    <row r="116">
      <c r="A116" s="4"/>
    </row>
    <row r="117">
      <c r="A117" s="12"/>
    </row>
    <row r="118">
      <c r="A118" s="4"/>
    </row>
    <row r="119">
      <c r="A119" s="12"/>
    </row>
    <row r="120">
      <c r="A120" s="4"/>
    </row>
    <row r="121">
      <c r="A121" s="12"/>
    </row>
    <row r="122">
      <c r="A122" s="4"/>
    </row>
    <row r="123">
      <c r="A123" s="12"/>
    </row>
    <row r="124">
      <c r="A124" s="4"/>
    </row>
    <row r="125">
      <c r="A125" s="12"/>
    </row>
    <row r="126">
      <c r="A126" s="4"/>
    </row>
    <row r="127">
      <c r="A127" s="12"/>
    </row>
    <row r="128">
      <c r="A128" s="4"/>
    </row>
    <row r="129">
      <c r="A129" s="12"/>
    </row>
    <row r="130">
      <c r="A130" s="4"/>
    </row>
    <row r="131">
      <c r="A131" s="12"/>
    </row>
    <row r="132">
      <c r="A132" s="4"/>
    </row>
    <row r="133">
      <c r="A133" s="12"/>
    </row>
    <row r="134">
      <c r="A134" s="4"/>
    </row>
    <row r="135">
      <c r="A135" s="12"/>
    </row>
    <row r="136">
      <c r="A136" s="4"/>
    </row>
    <row r="137">
      <c r="A137" s="12"/>
    </row>
    <row r="138">
      <c r="A138" s="4"/>
    </row>
    <row r="139">
      <c r="A139" s="12"/>
    </row>
    <row r="140">
      <c r="A140" s="4"/>
    </row>
    <row r="141">
      <c r="A141" s="12"/>
    </row>
    <row r="142">
      <c r="A142" s="4"/>
    </row>
    <row r="143">
      <c r="A143" s="12"/>
    </row>
    <row r="144">
      <c r="A144" s="4"/>
    </row>
    <row r="145">
      <c r="A145" s="12"/>
    </row>
    <row r="146">
      <c r="A146" s="4"/>
    </row>
    <row r="147">
      <c r="A147" s="12"/>
    </row>
    <row r="148">
      <c r="A148" s="4"/>
    </row>
    <row r="149">
      <c r="A149" s="12"/>
    </row>
    <row r="150">
      <c r="A150" s="4"/>
    </row>
    <row r="151">
      <c r="A151" s="12"/>
    </row>
    <row r="152">
      <c r="A152" s="4"/>
    </row>
    <row r="153">
      <c r="A153" s="12"/>
    </row>
    <row r="154">
      <c r="A154" s="4"/>
    </row>
    <row r="155">
      <c r="A155" s="12"/>
    </row>
    <row r="156">
      <c r="A156" s="4"/>
    </row>
    <row r="157">
      <c r="A157" s="12"/>
    </row>
    <row r="158">
      <c r="A158" s="4"/>
    </row>
    <row r="159">
      <c r="A159" s="12"/>
    </row>
    <row r="160">
      <c r="A160" s="4"/>
    </row>
    <row r="161">
      <c r="A161" s="12"/>
    </row>
    <row r="162">
      <c r="A162" s="4"/>
    </row>
    <row r="163">
      <c r="A163" s="12"/>
    </row>
    <row r="164">
      <c r="A164" s="4"/>
    </row>
    <row r="165">
      <c r="A165" s="12"/>
    </row>
    <row r="166">
      <c r="A166" s="4"/>
    </row>
    <row r="167">
      <c r="A167" s="12"/>
    </row>
    <row r="168">
      <c r="A168" s="4"/>
    </row>
    <row r="169">
      <c r="A169" s="12"/>
    </row>
    <row r="170">
      <c r="A170" s="4"/>
    </row>
    <row r="171">
      <c r="A171" s="12"/>
    </row>
    <row r="172">
      <c r="A172" s="4"/>
    </row>
    <row r="173">
      <c r="A173" s="12"/>
    </row>
    <row r="174">
      <c r="A174" s="4"/>
    </row>
    <row r="175">
      <c r="A175" s="12"/>
    </row>
    <row r="176">
      <c r="A176" s="4"/>
    </row>
    <row r="177">
      <c r="A177" s="12"/>
    </row>
    <row r="178">
      <c r="A178" s="4"/>
    </row>
    <row r="179">
      <c r="A179" s="12"/>
    </row>
    <row r="180">
      <c r="A180" s="4"/>
    </row>
    <row r="181">
      <c r="A181" s="12"/>
    </row>
    <row r="182">
      <c r="A182" s="4"/>
    </row>
    <row r="183">
      <c r="A183" s="12"/>
    </row>
    <row r="184">
      <c r="A184" s="4"/>
    </row>
    <row r="185">
      <c r="A185" s="12"/>
    </row>
    <row r="186">
      <c r="A186" s="4"/>
    </row>
    <row r="187">
      <c r="A187" s="12"/>
    </row>
    <row r="188">
      <c r="A188" s="4"/>
    </row>
    <row r="189">
      <c r="A189" s="12"/>
    </row>
    <row r="190">
      <c r="A190" s="4"/>
    </row>
    <row r="191">
      <c r="A191" s="12"/>
    </row>
    <row r="192">
      <c r="A192" s="4"/>
    </row>
    <row r="193">
      <c r="A193" s="12"/>
    </row>
    <row r="194">
      <c r="A194" s="4"/>
    </row>
    <row r="195">
      <c r="A195" s="12"/>
    </row>
    <row r="196">
      <c r="A196" s="4"/>
    </row>
    <row r="197">
      <c r="A197" s="12"/>
    </row>
    <row r="198">
      <c r="A198" s="4"/>
    </row>
    <row r="199">
      <c r="A199" s="12"/>
    </row>
    <row r="200">
      <c r="A200" s="4"/>
    </row>
    <row r="201">
      <c r="A201" s="12"/>
    </row>
    <row r="202">
      <c r="A202" s="4"/>
    </row>
    <row r="203">
      <c r="A203" s="12"/>
    </row>
    <row r="204">
      <c r="A204" s="4"/>
    </row>
    <row r="205">
      <c r="A205" s="12"/>
    </row>
    <row r="206">
      <c r="A206" s="4"/>
    </row>
    <row r="207">
      <c r="A207" s="12"/>
    </row>
    <row r="208">
      <c r="A208" s="4"/>
    </row>
    <row r="209">
      <c r="A209" s="12"/>
    </row>
    <row r="210">
      <c r="A210" s="4"/>
    </row>
    <row r="211">
      <c r="A211" s="12"/>
    </row>
    <row r="212">
      <c r="A212" s="4"/>
    </row>
    <row r="213">
      <c r="A213" s="12"/>
    </row>
    <row r="214">
      <c r="A214" s="4"/>
    </row>
    <row r="215">
      <c r="A215" s="12"/>
    </row>
    <row r="216">
      <c r="A216" s="4"/>
    </row>
    <row r="217">
      <c r="A217" s="12"/>
    </row>
    <row r="218">
      <c r="A218" s="4"/>
    </row>
    <row r="219">
      <c r="A219" s="12"/>
    </row>
    <row r="220">
      <c r="A220" s="4"/>
    </row>
    <row r="221">
      <c r="A221" s="12"/>
    </row>
    <row r="222">
      <c r="A222" s="4"/>
    </row>
    <row r="223">
      <c r="A223" s="12"/>
    </row>
    <row r="224">
      <c r="A224" s="4"/>
    </row>
    <row r="225">
      <c r="A225" s="12"/>
    </row>
    <row r="226">
      <c r="A226" s="4"/>
    </row>
    <row r="227">
      <c r="A227" s="12"/>
    </row>
    <row r="228">
      <c r="A228" s="4"/>
    </row>
    <row r="229">
      <c r="A229" s="12"/>
    </row>
    <row r="230">
      <c r="A230" s="4"/>
    </row>
    <row r="231">
      <c r="A231" s="12"/>
    </row>
    <row r="232">
      <c r="A232" s="4"/>
    </row>
    <row r="233">
      <c r="A233" s="12"/>
    </row>
    <row r="234">
      <c r="A234" s="4"/>
    </row>
    <row r="235">
      <c r="A235" s="12"/>
    </row>
    <row r="236">
      <c r="A236" s="4"/>
    </row>
    <row r="237">
      <c r="A237" s="12"/>
    </row>
    <row r="238">
      <c r="A238" s="4"/>
    </row>
    <row r="239">
      <c r="A239" s="12"/>
    </row>
    <row r="240">
      <c r="A240" s="4"/>
    </row>
    <row r="241">
      <c r="A241" s="12"/>
    </row>
    <row r="242">
      <c r="A242" s="4"/>
    </row>
    <row r="243">
      <c r="A243" s="12"/>
    </row>
    <row r="244">
      <c r="A244" s="4"/>
    </row>
    <row r="245">
      <c r="A245" s="12"/>
    </row>
    <row r="246">
      <c r="A246" s="4"/>
    </row>
    <row r="247">
      <c r="A247" s="12"/>
    </row>
    <row r="248">
      <c r="A248" s="4"/>
    </row>
    <row r="249">
      <c r="A249" s="12"/>
    </row>
    <row r="250">
      <c r="A250" s="4"/>
    </row>
    <row r="251">
      <c r="A251" s="12"/>
    </row>
    <row r="252">
      <c r="A252" s="4"/>
    </row>
    <row r="253">
      <c r="A253" s="12"/>
    </row>
    <row r="254">
      <c r="A254" s="4"/>
    </row>
    <row r="255">
      <c r="A255" s="12"/>
    </row>
    <row r="256">
      <c r="A256" s="4"/>
    </row>
    <row r="257">
      <c r="A257" s="12"/>
    </row>
    <row r="258">
      <c r="A258" s="4"/>
    </row>
    <row r="259">
      <c r="A259" s="12"/>
    </row>
    <row r="260">
      <c r="A260" s="4"/>
    </row>
    <row r="261">
      <c r="A261" s="12"/>
    </row>
    <row r="262">
      <c r="A262" s="4"/>
    </row>
    <row r="263">
      <c r="A263" s="12"/>
    </row>
    <row r="264">
      <c r="A264" s="4"/>
    </row>
    <row r="265">
      <c r="A265" s="12"/>
    </row>
    <row r="266">
      <c r="A266" s="4"/>
    </row>
    <row r="267">
      <c r="A267" s="12"/>
    </row>
    <row r="268">
      <c r="A268" s="4"/>
    </row>
    <row r="269">
      <c r="A269" s="12"/>
    </row>
    <row r="270">
      <c r="A270" s="4"/>
    </row>
    <row r="271">
      <c r="A271" s="12"/>
    </row>
    <row r="272">
      <c r="A272" s="4"/>
    </row>
    <row r="273">
      <c r="A273" s="12"/>
    </row>
    <row r="274">
      <c r="A274" s="4"/>
    </row>
    <row r="275">
      <c r="A275" s="12"/>
    </row>
    <row r="276">
      <c r="A276" s="4"/>
    </row>
    <row r="277">
      <c r="A277" s="12"/>
    </row>
    <row r="278">
      <c r="A278" s="4"/>
    </row>
    <row r="279">
      <c r="A279" s="12"/>
    </row>
    <row r="280">
      <c r="A280" s="4"/>
    </row>
    <row r="281">
      <c r="A281" s="12"/>
    </row>
    <row r="282">
      <c r="A282" s="4"/>
    </row>
    <row r="283">
      <c r="A283" s="12"/>
    </row>
    <row r="284">
      <c r="A284" s="4"/>
    </row>
    <row r="285">
      <c r="A285" s="12"/>
    </row>
    <row r="286">
      <c r="A286" s="4"/>
    </row>
    <row r="287">
      <c r="A287" s="12"/>
    </row>
    <row r="288">
      <c r="A288" s="4"/>
    </row>
    <row r="289">
      <c r="A289" s="12"/>
    </row>
    <row r="290">
      <c r="A290" s="4"/>
    </row>
    <row r="291">
      <c r="A291" s="12"/>
    </row>
    <row r="292">
      <c r="A292" s="4"/>
    </row>
    <row r="293">
      <c r="A293" s="12"/>
    </row>
    <row r="294">
      <c r="A294" s="4"/>
    </row>
    <row r="295">
      <c r="A295" s="12"/>
    </row>
    <row r="296">
      <c r="A296" s="4"/>
    </row>
    <row r="297">
      <c r="A297" s="12"/>
    </row>
    <row r="298">
      <c r="A298" s="4"/>
    </row>
    <row r="299">
      <c r="A299" s="12"/>
    </row>
    <row r="300">
      <c r="A300" s="4"/>
    </row>
    <row r="301">
      <c r="A301" s="12"/>
    </row>
    <row r="302">
      <c r="A302" s="4"/>
    </row>
    <row r="303">
      <c r="A303" s="12"/>
    </row>
    <row r="304">
      <c r="A304" s="4"/>
    </row>
    <row r="305">
      <c r="A305" s="12"/>
    </row>
    <row r="306">
      <c r="A306" s="4"/>
    </row>
    <row r="307">
      <c r="A307" s="12"/>
    </row>
    <row r="308">
      <c r="A308" s="4"/>
    </row>
    <row r="309">
      <c r="A309" s="12"/>
    </row>
    <row r="310">
      <c r="A310" s="4"/>
    </row>
    <row r="311">
      <c r="A311" s="12"/>
    </row>
    <row r="312">
      <c r="A312" s="4"/>
    </row>
    <row r="313">
      <c r="A313" s="12"/>
    </row>
    <row r="314">
      <c r="A314" s="4"/>
    </row>
    <row r="315">
      <c r="A315" s="12"/>
    </row>
    <row r="316">
      <c r="A316" s="4"/>
    </row>
    <row r="317">
      <c r="A317" s="12"/>
    </row>
    <row r="318">
      <c r="A318" s="4"/>
    </row>
    <row r="319">
      <c r="A319" s="12"/>
    </row>
    <row r="320">
      <c r="A320" s="4"/>
    </row>
    <row r="321">
      <c r="A321" s="12"/>
    </row>
    <row r="322">
      <c r="A322" s="4"/>
    </row>
    <row r="323">
      <c r="A323" s="12"/>
    </row>
    <row r="324">
      <c r="A324" s="4"/>
    </row>
    <row r="325">
      <c r="A325" s="12"/>
    </row>
    <row r="326">
      <c r="A326" s="4"/>
    </row>
    <row r="327">
      <c r="A327" s="12"/>
    </row>
    <row r="328">
      <c r="A328" s="4"/>
    </row>
    <row r="329">
      <c r="A329" s="12"/>
    </row>
    <row r="330">
      <c r="A330" s="4"/>
    </row>
    <row r="331">
      <c r="A331" s="12"/>
    </row>
    <row r="332">
      <c r="A332" s="4"/>
    </row>
    <row r="333">
      <c r="A333" s="12"/>
    </row>
    <row r="334">
      <c r="A334" s="4"/>
    </row>
    <row r="335">
      <c r="A335" s="12"/>
    </row>
    <row r="336">
      <c r="A336" s="4"/>
    </row>
    <row r="337">
      <c r="A337" s="12"/>
    </row>
    <row r="338">
      <c r="A338" s="4"/>
    </row>
    <row r="339">
      <c r="A339" s="12"/>
    </row>
    <row r="340">
      <c r="A340" s="4"/>
    </row>
    <row r="341">
      <c r="A341" s="12"/>
    </row>
    <row r="342">
      <c r="A342" s="4"/>
    </row>
    <row r="343">
      <c r="A343" s="12"/>
    </row>
    <row r="344">
      <c r="A344" s="4"/>
    </row>
    <row r="345">
      <c r="A345" s="12"/>
    </row>
    <row r="346">
      <c r="A346" s="4"/>
    </row>
    <row r="347">
      <c r="A347" s="12"/>
    </row>
    <row r="348">
      <c r="A348" s="4"/>
    </row>
    <row r="349">
      <c r="A349" s="12"/>
    </row>
    <row r="350">
      <c r="A350" s="4"/>
    </row>
    <row r="351">
      <c r="A351" s="12"/>
    </row>
    <row r="352">
      <c r="A352" s="4"/>
    </row>
    <row r="353">
      <c r="A353" s="12"/>
    </row>
    <row r="354">
      <c r="A354" s="4"/>
    </row>
    <row r="355">
      <c r="A355" s="12"/>
    </row>
    <row r="356">
      <c r="A356" s="4"/>
    </row>
    <row r="357">
      <c r="A357" s="12"/>
    </row>
    <row r="358">
      <c r="A358" s="4"/>
    </row>
    <row r="359">
      <c r="A359" s="12"/>
    </row>
    <row r="360">
      <c r="A360" s="4"/>
    </row>
    <row r="361">
      <c r="A361" s="12"/>
    </row>
    <row r="362">
      <c r="A362" s="4"/>
    </row>
    <row r="363">
      <c r="A363" s="12"/>
    </row>
    <row r="364">
      <c r="A364" s="4"/>
    </row>
    <row r="365">
      <c r="A365" s="12"/>
    </row>
    <row r="366">
      <c r="A366" s="4"/>
    </row>
    <row r="367">
      <c r="A367" s="12"/>
    </row>
    <row r="368">
      <c r="A368" s="4"/>
    </row>
    <row r="369">
      <c r="A369" s="12"/>
    </row>
    <row r="370">
      <c r="A370" s="4"/>
    </row>
    <row r="371">
      <c r="A371" s="12"/>
    </row>
    <row r="372">
      <c r="A372" s="4"/>
    </row>
    <row r="373">
      <c r="A373" s="12"/>
    </row>
    <row r="374">
      <c r="A374" s="4"/>
    </row>
    <row r="375">
      <c r="A375" s="12"/>
    </row>
    <row r="376">
      <c r="A376" s="4"/>
    </row>
    <row r="377">
      <c r="A377" s="12"/>
    </row>
    <row r="378">
      <c r="A378" s="4"/>
    </row>
    <row r="379">
      <c r="A379" s="12"/>
    </row>
    <row r="380">
      <c r="A380" s="4"/>
    </row>
    <row r="381">
      <c r="A381" s="12"/>
    </row>
    <row r="382">
      <c r="A382" s="4"/>
    </row>
    <row r="383">
      <c r="A383" s="12"/>
    </row>
    <row r="384">
      <c r="A384" s="4"/>
    </row>
    <row r="385">
      <c r="A385" s="12"/>
    </row>
    <row r="386">
      <c r="A386" s="4"/>
    </row>
    <row r="387">
      <c r="A387" s="12"/>
    </row>
    <row r="388">
      <c r="A388" s="4"/>
    </row>
    <row r="389">
      <c r="A389" s="12"/>
    </row>
    <row r="390">
      <c r="A390" s="4"/>
    </row>
    <row r="391">
      <c r="A391" s="12"/>
    </row>
    <row r="392">
      <c r="A392" s="4"/>
    </row>
    <row r="393">
      <c r="A393" s="12"/>
    </row>
    <row r="394">
      <c r="A394" s="4"/>
    </row>
    <row r="395">
      <c r="A395" s="12"/>
    </row>
    <row r="396">
      <c r="A396" s="4"/>
    </row>
    <row r="397">
      <c r="A397" s="12"/>
    </row>
    <row r="398">
      <c r="A398" s="4"/>
    </row>
    <row r="399">
      <c r="A399" s="12"/>
    </row>
    <row r="400">
      <c r="A400" s="4"/>
    </row>
    <row r="401">
      <c r="A401" s="12"/>
    </row>
    <row r="402">
      <c r="A402" s="4"/>
    </row>
    <row r="403">
      <c r="A403" s="12"/>
    </row>
    <row r="404">
      <c r="A404" s="4"/>
    </row>
    <row r="405">
      <c r="A405" s="12"/>
    </row>
    <row r="406">
      <c r="A406" s="4"/>
    </row>
    <row r="407">
      <c r="A407" s="12"/>
    </row>
    <row r="408">
      <c r="A408" s="4"/>
    </row>
    <row r="409">
      <c r="A409" s="12"/>
    </row>
    <row r="410">
      <c r="A410" s="4"/>
    </row>
    <row r="411">
      <c r="A411" s="12"/>
    </row>
    <row r="412">
      <c r="A412" s="4"/>
    </row>
    <row r="413">
      <c r="A413" s="12"/>
    </row>
    <row r="414">
      <c r="A414" s="4"/>
    </row>
    <row r="415">
      <c r="A415" s="12"/>
    </row>
    <row r="416">
      <c r="A416" s="4"/>
    </row>
    <row r="417">
      <c r="A417" s="12"/>
    </row>
    <row r="418">
      <c r="A418" s="4"/>
    </row>
    <row r="419">
      <c r="A419" s="12"/>
    </row>
    <row r="420">
      <c r="A420" s="4"/>
    </row>
    <row r="421">
      <c r="A421" s="12"/>
    </row>
    <row r="422">
      <c r="A422" s="4"/>
    </row>
    <row r="423">
      <c r="A423" s="12"/>
    </row>
    <row r="424">
      <c r="A424" s="4"/>
    </row>
    <row r="425">
      <c r="A425" s="12"/>
    </row>
    <row r="426">
      <c r="A426" s="4"/>
    </row>
    <row r="427">
      <c r="A427" s="12"/>
    </row>
    <row r="428">
      <c r="A428" s="4"/>
    </row>
    <row r="429">
      <c r="A429" s="12"/>
    </row>
    <row r="430">
      <c r="A430" s="4"/>
    </row>
    <row r="431">
      <c r="A431" s="12"/>
    </row>
    <row r="432">
      <c r="A432" s="4"/>
    </row>
    <row r="433">
      <c r="A433" s="12"/>
    </row>
    <row r="434">
      <c r="A434" s="4"/>
    </row>
    <row r="435">
      <c r="A435" s="12"/>
    </row>
    <row r="436">
      <c r="A436" s="4"/>
    </row>
    <row r="437">
      <c r="A437" s="12"/>
    </row>
    <row r="438">
      <c r="A438" s="4"/>
    </row>
    <row r="439">
      <c r="A439" s="12"/>
    </row>
    <row r="440">
      <c r="A440" s="4"/>
    </row>
    <row r="441">
      <c r="A441" s="12"/>
    </row>
    <row r="442">
      <c r="A442" s="4"/>
    </row>
    <row r="443">
      <c r="A443" s="12"/>
    </row>
    <row r="444">
      <c r="A444" s="4"/>
    </row>
    <row r="445">
      <c r="A445" s="12"/>
    </row>
    <row r="446">
      <c r="A446" s="4"/>
    </row>
    <row r="447">
      <c r="A447" s="12"/>
    </row>
    <row r="448">
      <c r="A448" s="4"/>
    </row>
    <row r="449">
      <c r="A449" s="12"/>
    </row>
    <row r="450">
      <c r="A450" s="4"/>
    </row>
    <row r="451">
      <c r="A451" s="12"/>
    </row>
    <row r="452">
      <c r="A452" s="4"/>
    </row>
    <row r="453">
      <c r="A453" s="12"/>
    </row>
    <row r="454">
      <c r="A454" s="4"/>
    </row>
    <row r="455">
      <c r="A455" s="12"/>
    </row>
    <row r="456">
      <c r="A456" s="4"/>
    </row>
    <row r="457">
      <c r="A457" s="12"/>
    </row>
    <row r="458">
      <c r="A458" s="4"/>
    </row>
    <row r="459">
      <c r="A459" s="12"/>
    </row>
    <row r="460">
      <c r="A460" s="4"/>
    </row>
    <row r="461">
      <c r="A461" s="12"/>
    </row>
    <row r="462">
      <c r="A462" s="4"/>
    </row>
    <row r="463">
      <c r="A463" s="12"/>
    </row>
    <row r="464">
      <c r="A464" s="4"/>
    </row>
    <row r="465">
      <c r="A465" s="12"/>
    </row>
    <row r="466">
      <c r="A466" s="4"/>
    </row>
    <row r="467">
      <c r="A467" s="12"/>
    </row>
    <row r="468">
      <c r="A468" s="4"/>
    </row>
    <row r="469">
      <c r="A469" s="12"/>
    </row>
    <row r="470">
      <c r="A470" s="4"/>
    </row>
    <row r="471">
      <c r="A471" s="12"/>
    </row>
    <row r="472">
      <c r="A472" s="4"/>
    </row>
    <row r="473">
      <c r="A473" s="12"/>
    </row>
    <row r="474">
      <c r="A474" s="4"/>
    </row>
    <row r="475">
      <c r="A475" s="12"/>
    </row>
    <row r="476">
      <c r="A476" s="4"/>
    </row>
    <row r="477">
      <c r="A477" s="12"/>
    </row>
    <row r="478">
      <c r="A478" s="4"/>
    </row>
    <row r="479">
      <c r="A479" s="12"/>
    </row>
    <row r="480">
      <c r="A480" s="4"/>
    </row>
    <row r="481">
      <c r="A481" s="12"/>
    </row>
    <row r="482">
      <c r="A482" s="4"/>
    </row>
    <row r="483">
      <c r="A483" s="12"/>
    </row>
    <row r="484">
      <c r="A484" s="4"/>
    </row>
    <row r="485">
      <c r="A485" s="12"/>
    </row>
    <row r="486">
      <c r="A486" s="4"/>
    </row>
    <row r="487">
      <c r="A487" s="12"/>
    </row>
    <row r="488">
      <c r="A488" s="4"/>
    </row>
    <row r="489">
      <c r="A489" s="12"/>
    </row>
    <row r="490">
      <c r="A490" s="4"/>
    </row>
    <row r="491">
      <c r="A491" s="12"/>
    </row>
    <row r="492">
      <c r="A492" s="4"/>
    </row>
    <row r="493">
      <c r="A493" s="12"/>
    </row>
    <row r="494">
      <c r="A494" s="4"/>
    </row>
    <row r="495">
      <c r="A495" s="12"/>
    </row>
    <row r="496">
      <c r="A496" s="4"/>
    </row>
    <row r="497">
      <c r="A497" s="12"/>
    </row>
    <row r="498">
      <c r="A498" s="4"/>
    </row>
    <row r="499">
      <c r="A499" s="12"/>
    </row>
    <row r="500">
      <c r="A500" s="4"/>
    </row>
    <row r="501">
      <c r="A501" s="12"/>
    </row>
    <row r="502">
      <c r="A502" s="4"/>
    </row>
    <row r="503">
      <c r="A503" s="12"/>
    </row>
    <row r="504">
      <c r="A504" s="4"/>
    </row>
    <row r="505">
      <c r="A505" s="12"/>
    </row>
    <row r="506">
      <c r="A506" s="4"/>
    </row>
    <row r="507">
      <c r="A507" s="12"/>
    </row>
    <row r="508">
      <c r="A508" s="4"/>
    </row>
    <row r="509">
      <c r="A509" s="12"/>
    </row>
    <row r="510">
      <c r="A510" s="4"/>
    </row>
    <row r="511">
      <c r="A511" s="12"/>
    </row>
    <row r="512">
      <c r="A512" s="4"/>
    </row>
    <row r="513">
      <c r="A513" s="12"/>
    </row>
    <row r="514">
      <c r="A514" s="4"/>
    </row>
    <row r="515">
      <c r="A515" s="12"/>
    </row>
    <row r="516">
      <c r="A516" s="4"/>
    </row>
    <row r="517">
      <c r="A517" s="12"/>
    </row>
    <row r="518">
      <c r="A518" s="4"/>
    </row>
    <row r="519">
      <c r="A519" s="12"/>
    </row>
    <row r="520">
      <c r="A520" s="4"/>
    </row>
    <row r="521">
      <c r="A521" s="12"/>
    </row>
    <row r="522">
      <c r="A522" s="4"/>
    </row>
    <row r="523">
      <c r="A523" s="12"/>
    </row>
    <row r="524">
      <c r="A524" s="4"/>
    </row>
    <row r="525">
      <c r="A525" s="12"/>
    </row>
    <row r="526">
      <c r="A526" s="4"/>
    </row>
    <row r="527">
      <c r="A527" s="12"/>
    </row>
    <row r="528">
      <c r="A528" s="4"/>
    </row>
    <row r="529">
      <c r="A529" s="12"/>
    </row>
    <row r="530">
      <c r="A530" s="4"/>
    </row>
    <row r="531">
      <c r="A531" s="12"/>
    </row>
    <row r="532">
      <c r="A532" s="4"/>
    </row>
    <row r="533">
      <c r="A533" s="12"/>
    </row>
    <row r="534">
      <c r="A534" s="4"/>
    </row>
    <row r="535">
      <c r="A535" s="12"/>
    </row>
    <row r="536">
      <c r="A536" s="4"/>
    </row>
    <row r="537">
      <c r="A537" s="12"/>
    </row>
    <row r="538">
      <c r="A538" s="4"/>
    </row>
    <row r="539">
      <c r="A539" s="12"/>
    </row>
    <row r="540">
      <c r="A540" s="4"/>
    </row>
    <row r="541">
      <c r="A541" s="12"/>
    </row>
    <row r="542">
      <c r="A542" s="4"/>
    </row>
    <row r="543">
      <c r="A543" s="12"/>
    </row>
    <row r="544">
      <c r="A544" s="4"/>
    </row>
    <row r="545">
      <c r="A545" s="12"/>
    </row>
    <row r="546">
      <c r="A546" s="4"/>
    </row>
    <row r="547">
      <c r="A547" s="12"/>
    </row>
    <row r="548">
      <c r="A548" s="4"/>
    </row>
    <row r="549">
      <c r="A549" s="12"/>
    </row>
    <row r="550">
      <c r="A550" s="4"/>
    </row>
    <row r="551">
      <c r="A551" s="12"/>
    </row>
    <row r="552">
      <c r="A552" s="4"/>
    </row>
    <row r="553">
      <c r="A553" s="12"/>
    </row>
    <row r="554">
      <c r="A554" s="4"/>
    </row>
    <row r="555">
      <c r="A555" s="12"/>
    </row>
    <row r="556">
      <c r="A556" s="4"/>
    </row>
    <row r="557">
      <c r="A557" s="12"/>
    </row>
    <row r="558">
      <c r="A558" s="4"/>
    </row>
    <row r="559">
      <c r="A559" s="12"/>
    </row>
    <row r="560">
      <c r="A560" s="4"/>
    </row>
    <row r="561">
      <c r="A561" s="12"/>
    </row>
    <row r="562">
      <c r="A562" s="4"/>
    </row>
    <row r="563">
      <c r="A563" s="12"/>
    </row>
    <row r="564">
      <c r="A564" s="4"/>
    </row>
    <row r="565">
      <c r="A565" s="12"/>
    </row>
    <row r="566">
      <c r="A566" s="4"/>
    </row>
    <row r="567">
      <c r="A567" s="12"/>
    </row>
    <row r="568">
      <c r="A568" s="4"/>
    </row>
    <row r="569">
      <c r="A569" s="12"/>
    </row>
    <row r="570">
      <c r="A570" s="4"/>
    </row>
    <row r="571">
      <c r="A571" s="12"/>
    </row>
    <row r="572">
      <c r="A572" s="4"/>
    </row>
    <row r="573">
      <c r="A573" s="12"/>
    </row>
    <row r="574">
      <c r="A574" s="4"/>
    </row>
    <row r="575">
      <c r="A575" s="12"/>
    </row>
    <row r="576">
      <c r="A576" s="4"/>
    </row>
    <row r="577">
      <c r="A577" s="12"/>
    </row>
    <row r="578">
      <c r="A578" s="4"/>
    </row>
    <row r="579">
      <c r="A579" s="12"/>
    </row>
    <row r="580">
      <c r="A580" s="4"/>
    </row>
    <row r="581">
      <c r="A581" s="12"/>
    </row>
    <row r="582">
      <c r="A582" s="4"/>
    </row>
    <row r="583">
      <c r="A583" s="12"/>
    </row>
    <row r="584">
      <c r="A584" s="4"/>
    </row>
    <row r="585">
      <c r="A585" s="12"/>
    </row>
    <row r="586">
      <c r="A586" s="4"/>
    </row>
    <row r="587">
      <c r="A587" s="12"/>
    </row>
    <row r="588">
      <c r="A588" s="4"/>
    </row>
    <row r="589">
      <c r="A589" s="12"/>
    </row>
    <row r="590">
      <c r="A590" s="4"/>
    </row>
    <row r="591">
      <c r="A591" s="12"/>
    </row>
    <row r="592">
      <c r="A592" s="4"/>
    </row>
    <row r="593">
      <c r="A593" s="12"/>
    </row>
    <row r="594">
      <c r="A594" s="4"/>
    </row>
    <row r="595">
      <c r="A595" s="12"/>
    </row>
    <row r="596">
      <c r="A596" s="4"/>
    </row>
    <row r="597">
      <c r="A597" s="12"/>
    </row>
    <row r="598">
      <c r="A598" s="4"/>
    </row>
    <row r="599">
      <c r="A599" s="12"/>
    </row>
    <row r="600">
      <c r="A600" s="4"/>
    </row>
    <row r="601">
      <c r="A601" s="12"/>
    </row>
    <row r="602">
      <c r="A602" s="4"/>
    </row>
    <row r="603">
      <c r="A603" s="12"/>
    </row>
    <row r="604">
      <c r="A604" s="4"/>
    </row>
    <row r="605">
      <c r="A605" s="12"/>
    </row>
    <row r="606">
      <c r="A606" s="4"/>
    </row>
    <row r="607">
      <c r="A607" s="12"/>
    </row>
    <row r="608">
      <c r="A608" s="4"/>
    </row>
    <row r="609">
      <c r="A609" s="12"/>
    </row>
    <row r="610">
      <c r="A610" s="4"/>
    </row>
    <row r="611">
      <c r="A611" s="12"/>
    </row>
    <row r="612">
      <c r="A612" s="4"/>
    </row>
    <row r="613">
      <c r="A613" s="12"/>
    </row>
    <row r="614">
      <c r="A614" s="4"/>
    </row>
    <row r="615">
      <c r="A615" s="12"/>
    </row>
    <row r="616">
      <c r="A616" s="4"/>
    </row>
    <row r="617">
      <c r="A617" s="12"/>
    </row>
    <row r="618">
      <c r="A618" s="4"/>
    </row>
    <row r="619">
      <c r="A619" s="12"/>
    </row>
    <row r="620">
      <c r="A620" s="4"/>
    </row>
    <row r="621">
      <c r="A621" s="12"/>
    </row>
    <row r="622">
      <c r="A622" s="4"/>
    </row>
    <row r="623">
      <c r="A623" s="12"/>
    </row>
    <row r="624">
      <c r="A624" s="4"/>
    </row>
    <row r="625">
      <c r="A625" s="12"/>
    </row>
    <row r="626">
      <c r="A626" s="4"/>
    </row>
    <row r="627">
      <c r="A627" s="12"/>
    </row>
    <row r="628">
      <c r="A628" s="4"/>
    </row>
    <row r="629">
      <c r="A629" s="12"/>
    </row>
    <row r="630">
      <c r="A630" s="4"/>
    </row>
    <row r="631">
      <c r="A631" s="12"/>
    </row>
    <row r="632">
      <c r="A632" s="4"/>
    </row>
    <row r="633">
      <c r="A633" s="12"/>
    </row>
    <row r="634">
      <c r="A634" s="4"/>
    </row>
    <row r="635">
      <c r="A635" s="12"/>
    </row>
    <row r="636">
      <c r="A636" s="4"/>
    </row>
    <row r="637">
      <c r="A637" s="12"/>
    </row>
    <row r="638">
      <c r="A638" s="4"/>
    </row>
    <row r="639">
      <c r="A639" s="12"/>
    </row>
    <row r="640">
      <c r="A640" s="4"/>
    </row>
    <row r="641">
      <c r="A641" s="12"/>
    </row>
    <row r="642">
      <c r="A642" s="4"/>
    </row>
    <row r="643">
      <c r="A643" s="12"/>
    </row>
    <row r="644">
      <c r="A644" s="4"/>
    </row>
    <row r="645">
      <c r="A645" s="12"/>
    </row>
    <row r="646">
      <c r="A646" s="4"/>
    </row>
    <row r="647">
      <c r="A647" s="12"/>
    </row>
    <row r="648">
      <c r="A648" s="4"/>
    </row>
    <row r="649">
      <c r="A649" s="12"/>
    </row>
    <row r="650">
      <c r="A650" s="4"/>
    </row>
    <row r="651">
      <c r="A651" s="12"/>
    </row>
    <row r="652">
      <c r="A652" s="4"/>
    </row>
    <row r="653">
      <c r="A653" s="12"/>
    </row>
    <row r="654">
      <c r="A654" s="4"/>
    </row>
    <row r="655">
      <c r="A655" s="12"/>
    </row>
    <row r="656">
      <c r="A656" s="4"/>
    </row>
    <row r="657">
      <c r="A657" s="12"/>
    </row>
    <row r="658">
      <c r="A658" s="4"/>
    </row>
    <row r="659">
      <c r="A659" s="12"/>
    </row>
    <row r="660">
      <c r="A660" s="4"/>
    </row>
    <row r="661">
      <c r="A661" s="12"/>
    </row>
    <row r="662">
      <c r="A662" s="4"/>
    </row>
    <row r="663">
      <c r="A663" s="12"/>
    </row>
    <row r="664">
      <c r="A664" s="4"/>
    </row>
    <row r="665">
      <c r="A665" s="12"/>
    </row>
    <row r="666">
      <c r="A666" s="4"/>
    </row>
    <row r="667">
      <c r="A667" s="12"/>
    </row>
    <row r="668">
      <c r="A668" s="4"/>
    </row>
    <row r="669">
      <c r="A669" s="12"/>
    </row>
    <row r="670">
      <c r="A670" s="4"/>
    </row>
    <row r="671">
      <c r="A671" s="12"/>
    </row>
    <row r="672">
      <c r="A672" s="4"/>
    </row>
    <row r="673">
      <c r="A673" s="12"/>
    </row>
    <row r="674">
      <c r="A674" s="4"/>
    </row>
    <row r="675">
      <c r="A675" s="12"/>
    </row>
    <row r="676">
      <c r="A676" s="4"/>
    </row>
    <row r="677">
      <c r="A677" s="12"/>
    </row>
    <row r="678">
      <c r="A678" s="4"/>
    </row>
    <row r="679">
      <c r="A679" s="12"/>
    </row>
    <row r="680">
      <c r="A680" s="4"/>
    </row>
    <row r="681">
      <c r="A681" s="12"/>
    </row>
    <row r="682">
      <c r="A682" s="4"/>
    </row>
    <row r="683">
      <c r="A683" s="12"/>
    </row>
    <row r="684">
      <c r="A684" s="4"/>
    </row>
    <row r="685">
      <c r="A685" s="12"/>
    </row>
    <row r="686">
      <c r="A686" s="4"/>
    </row>
    <row r="687">
      <c r="A687" s="12"/>
    </row>
    <row r="688">
      <c r="A688" s="4"/>
    </row>
    <row r="689">
      <c r="A689" s="12"/>
    </row>
    <row r="690">
      <c r="A690" s="4"/>
    </row>
    <row r="691">
      <c r="A691" s="12"/>
    </row>
    <row r="692">
      <c r="A692" s="4"/>
    </row>
    <row r="693">
      <c r="A693" s="12"/>
    </row>
    <row r="694">
      <c r="A694" s="4"/>
    </row>
    <row r="695">
      <c r="A695" s="12"/>
    </row>
    <row r="696">
      <c r="A696" s="4"/>
    </row>
    <row r="697">
      <c r="A697" s="12"/>
    </row>
    <row r="698">
      <c r="A698" s="4"/>
    </row>
    <row r="699">
      <c r="A699" s="12"/>
    </row>
    <row r="700">
      <c r="A700" s="4"/>
    </row>
    <row r="701">
      <c r="A701" s="12"/>
    </row>
    <row r="702">
      <c r="A702" s="4"/>
    </row>
    <row r="703">
      <c r="A703" s="12"/>
    </row>
    <row r="704">
      <c r="A704" s="4"/>
    </row>
    <row r="705">
      <c r="A705" s="12"/>
    </row>
    <row r="706">
      <c r="A706" s="4"/>
    </row>
    <row r="707">
      <c r="A707" s="12"/>
    </row>
    <row r="708">
      <c r="A708" s="4"/>
    </row>
    <row r="709">
      <c r="A709" s="12"/>
    </row>
    <row r="710">
      <c r="A710" s="4"/>
    </row>
    <row r="711">
      <c r="A711" s="12"/>
    </row>
    <row r="712">
      <c r="A712" s="4"/>
    </row>
    <row r="713">
      <c r="A713" s="12"/>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33</v>
      </c>
    </row>
    <row r="3">
      <c r="A3" s="4" t="s">
        <v>144</v>
      </c>
    </row>
    <row r="4">
      <c r="A4" s="4" t="s">
        <v>50</v>
      </c>
    </row>
    <row r="5">
      <c r="A5" s="4" t="s">
        <v>40</v>
      </c>
    </row>
    <row r="6">
      <c r="A6" s="4" t="s">
        <v>33</v>
      </c>
    </row>
    <row r="7">
      <c r="A7" s="4" t="s">
        <v>34</v>
      </c>
    </row>
    <row r="8">
      <c r="A8" s="4" t="s">
        <v>75</v>
      </c>
    </row>
    <row r="9">
      <c r="A9" s="4" t="s">
        <v>1505</v>
      </c>
    </row>
    <row r="10">
      <c r="A10" s="4" t="s">
        <v>109</v>
      </c>
    </row>
    <row r="11">
      <c r="A11" s="4" t="s">
        <v>119</v>
      </c>
    </row>
    <row r="12">
      <c r="A12" s="4" t="s">
        <v>109</v>
      </c>
    </row>
    <row r="13">
      <c r="A13" s="4" t="s">
        <v>1395</v>
      </c>
    </row>
    <row r="14">
      <c r="A14" s="4" t="s">
        <v>33</v>
      </c>
    </row>
    <row r="15">
      <c r="A15" s="4" t="s">
        <v>158</v>
      </c>
    </row>
    <row r="16">
      <c r="A16" s="4" t="s">
        <v>1235</v>
      </c>
    </row>
    <row r="17">
      <c r="A17" s="4" t="s">
        <v>44</v>
      </c>
    </row>
    <row r="18">
      <c r="A18" s="4" t="s">
        <v>2604</v>
      </c>
    </row>
    <row r="19">
      <c r="A19" s="4" t="s">
        <v>33</v>
      </c>
    </row>
    <row r="20">
      <c r="A20" s="4" t="s">
        <v>34</v>
      </c>
    </row>
    <row r="21">
      <c r="A21" s="4" t="s">
        <v>9029</v>
      </c>
    </row>
    <row r="22">
      <c r="A22" s="4" t="s">
        <v>508</v>
      </c>
    </row>
    <row r="23">
      <c r="A23" s="4" t="s">
        <v>1367</v>
      </c>
    </row>
    <row r="24">
      <c r="A24" s="4" t="s">
        <v>98</v>
      </c>
    </row>
    <row r="25">
      <c r="A25" s="4" t="s">
        <v>99</v>
      </c>
    </row>
    <row r="26">
      <c r="A26" s="4" t="s">
        <v>1244</v>
      </c>
    </row>
    <row r="27">
      <c r="A27" s="4" t="s">
        <v>33</v>
      </c>
    </row>
    <row r="28">
      <c r="A28" s="4" t="s">
        <v>34</v>
      </c>
    </row>
    <row r="29">
      <c r="A29" s="4" t="s">
        <v>35</v>
      </c>
    </row>
    <row r="30">
      <c r="A30" s="4" t="s">
        <v>96</v>
      </c>
    </row>
    <row r="31">
      <c r="A31" s="4" t="s">
        <v>65</v>
      </c>
    </row>
    <row r="32">
      <c r="A32" s="4" t="s">
        <v>88</v>
      </c>
    </row>
    <row r="33">
      <c r="A33" s="4" t="s">
        <v>89</v>
      </c>
    </row>
    <row r="34">
      <c r="A34" s="4" t="s">
        <v>33</v>
      </c>
    </row>
    <row r="35">
      <c r="A35" s="4" t="s">
        <v>108</v>
      </c>
    </row>
    <row r="36">
      <c r="A36" s="4" t="s">
        <v>88</v>
      </c>
    </row>
    <row r="37">
      <c r="A37" s="4" t="s">
        <v>89</v>
      </c>
    </row>
    <row r="38">
      <c r="A38" s="4" t="s">
        <v>33</v>
      </c>
    </row>
    <row r="39">
      <c r="A39" s="4" t="s">
        <v>34</v>
      </c>
    </row>
    <row r="40">
      <c r="A40" s="4" t="s">
        <v>40</v>
      </c>
    </row>
    <row r="41">
      <c r="A41" s="4" t="s">
        <v>53</v>
      </c>
    </row>
    <row r="42">
      <c r="A42" s="4" t="s">
        <v>33</v>
      </c>
    </row>
    <row r="43">
      <c r="A43" s="4" t="s">
        <v>48</v>
      </c>
    </row>
    <row r="44">
      <c r="A44" s="4" t="s">
        <v>107</v>
      </c>
    </row>
    <row r="45">
      <c r="A45" s="4" t="s">
        <v>41</v>
      </c>
    </row>
    <row r="46">
      <c r="A46" s="4" t="s">
        <v>42</v>
      </c>
    </row>
    <row r="47">
      <c r="A47" s="4" t="s">
        <v>36</v>
      </c>
    </row>
    <row r="48">
      <c r="A48" s="4" t="s">
        <v>523</v>
      </c>
    </row>
    <row r="49">
      <c r="A49" s="4" t="s">
        <v>33</v>
      </c>
    </row>
    <row r="50">
      <c r="A50" s="4" t="s">
        <v>34</v>
      </c>
    </row>
    <row r="51">
      <c r="A51" s="4" t="s">
        <v>40</v>
      </c>
    </row>
    <row r="52">
      <c r="A52" s="4" t="s">
        <v>75</v>
      </c>
    </row>
    <row r="53">
      <c r="A53" s="4" t="s">
        <v>100</v>
      </c>
    </row>
    <row r="54">
      <c r="A54" s="4" t="s">
        <v>90</v>
      </c>
    </row>
    <row r="55">
      <c r="A55" s="4" t="s">
        <v>33</v>
      </c>
    </row>
    <row r="56">
      <c r="A56" s="4" t="s">
        <v>34</v>
      </c>
    </row>
    <row r="57">
      <c r="A57" s="4" t="s">
        <v>36</v>
      </c>
    </row>
    <row r="58">
      <c r="A58" s="4" t="s">
        <v>3583</v>
      </c>
    </row>
    <row r="59">
      <c r="A59" s="4" t="s">
        <v>41</v>
      </c>
    </row>
    <row r="60">
      <c r="A60" s="4" t="s">
        <v>908</v>
      </c>
    </row>
    <row r="61">
      <c r="A61" s="4" t="s">
        <v>88</v>
      </c>
    </row>
    <row r="62">
      <c r="A62" s="4" t="s">
        <v>40</v>
      </c>
    </row>
    <row r="63">
      <c r="A63" s="4" t="s">
        <v>75</v>
      </c>
    </row>
    <row r="64">
      <c r="A64" s="4" t="s">
        <v>90</v>
      </c>
    </row>
    <row r="65">
      <c r="A65" s="4" t="s">
        <v>33</v>
      </c>
    </row>
    <row r="66">
      <c r="A66" s="4" t="s">
        <v>34</v>
      </c>
    </row>
    <row r="67">
      <c r="A67" s="4" t="s">
        <v>35</v>
      </c>
    </row>
    <row r="68">
      <c r="A68" s="4" t="s">
        <v>65</v>
      </c>
    </row>
    <row r="69">
      <c r="A69" s="4" t="s">
        <v>119</v>
      </c>
    </row>
    <row r="70">
      <c r="A70" s="4" t="s">
        <v>880</v>
      </c>
    </row>
    <row r="71">
      <c r="A71" s="4" t="s">
        <v>126</v>
      </c>
    </row>
    <row r="72">
      <c r="A72" s="4" t="s">
        <v>133</v>
      </c>
    </row>
    <row r="73">
      <c r="A73" s="4" t="s">
        <v>33</v>
      </c>
    </row>
    <row r="74">
      <c r="A74" s="4" t="s">
        <v>144</v>
      </c>
    </row>
    <row r="75">
      <c r="A75" s="4" t="s">
        <v>50</v>
      </c>
    </row>
    <row r="76">
      <c r="A76" s="4" t="s">
        <v>40</v>
      </c>
    </row>
    <row r="77">
      <c r="A77" s="4" t="s">
        <v>33</v>
      </c>
    </row>
    <row r="78">
      <c r="A78" s="4" t="s">
        <v>34</v>
      </c>
    </row>
    <row r="79">
      <c r="A79" s="4" t="s">
        <v>35</v>
      </c>
    </row>
    <row r="80">
      <c r="A80" s="4" t="s">
        <v>65</v>
      </c>
    </row>
    <row r="81">
      <c r="A81" s="4" t="s">
        <v>138</v>
      </c>
    </row>
    <row r="82">
      <c r="A82" s="4" t="s">
        <v>88</v>
      </c>
    </row>
    <row r="83">
      <c r="A83" s="4" t="s">
        <v>48</v>
      </c>
    </row>
    <row r="84">
      <c r="A84" s="4" t="s">
        <v>1243</v>
      </c>
    </row>
    <row r="85">
      <c r="A85" s="4" t="s">
        <v>62</v>
      </c>
    </row>
    <row r="86">
      <c r="A86" s="4" t="s">
        <v>63</v>
      </c>
    </row>
    <row r="87">
      <c r="A87" s="4" t="s">
        <v>64</v>
      </c>
    </row>
    <row r="88">
      <c r="A88" s="4" t="s">
        <v>35</v>
      </c>
    </row>
    <row r="89">
      <c r="A89" s="4" t="s">
        <v>65</v>
      </c>
    </row>
    <row r="90">
      <c r="A90" s="4" t="s">
        <v>88</v>
      </c>
    </row>
    <row r="91">
      <c r="A91" s="4" t="s">
        <v>89</v>
      </c>
    </row>
    <row r="92">
      <c r="A92" s="4" t="s">
        <v>48</v>
      </c>
    </row>
    <row r="93">
      <c r="A93" s="4" t="s">
        <v>549</v>
      </c>
    </row>
    <row r="94">
      <c r="A94" s="4" t="s">
        <v>5447</v>
      </c>
    </row>
    <row r="95">
      <c r="A95" s="4" t="s">
        <v>33</v>
      </c>
    </row>
    <row r="96">
      <c r="A96" s="4" t="s">
        <v>102</v>
      </c>
    </row>
    <row r="97">
      <c r="A97" s="4" t="s">
        <v>39</v>
      </c>
    </row>
    <row r="98">
      <c r="A98" s="4" t="s">
        <v>40</v>
      </c>
    </row>
    <row r="99">
      <c r="A99" s="4" t="s">
        <v>5459</v>
      </c>
    </row>
    <row r="100">
      <c r="A100" s="4" t="s">
        <v>33</v>
      </c>
    </row>
    <row r="101">
      <c r="A101" s="4" t="s">
        <v>34</v>
      </c>
    </row>
    <row r="102">
      <c r="A102" s="4" t="s">
        <v>88</v>
      </c>
    </row>
    <row r="103">
      <c r="A103" s="4" t="s">
        <v>89</v>
      </c>
    </row>
    <row r="104">
      <c r="A104" s="4" t="s">
        <v>48</v>
      </c>
    </row>
    <row r="105">
      <c r="A105" s="4" t="s">
        <v>35</v>
      </c>
    </row>
    <row r="106">
      <c r="A106" s="4" t="s">
        <v>107</v>
      </c>
    </row>
    <row r="107">
      <c r="A107" s="4" t="s">
        <v>41</v>
      </c>
    </row>
    <row r="108">
      <c r="A108" s="4" t="s">
        <v>42</v>
      </c>
    </row>
    <row r="109">
      <c r="A109" s="4" t="s">
        <v>33</v>
      </c>
    </row>
    <row r="110">
      <c r="A110" s="4" t="s">
        <v>34</v>
      </c>
    </row>
    <row r="111">
      <c r="A111" s="4" t="s">
        <v>140</v>
      </c>
    </row>
    <row r="112">
      <c r="A112" s="4" t="s">
        <v>139</v>
      </c>
    </row>
    <row r="113">
      <c r="A113" s="4" t="s">
        <v>90</v>
      </c>
    </row>
    <row r="114">
      <c r="A114" s="4" t="s">
        <v>33</v>
      </c>
    </row>
    <row r="115">
      <c r="A115" s="4" t="s">
        <v>9030</v>
      </c>
    </row>
    <row r="116">
      <c r="A116" s="4" t="s">
        <v>115</v>
      </c>
    </row>
    <row r="117">
      <c r="A117" s="4" t="s">
        <v>518</v>
      </c>
    </row>
    <row r="118">
      <c r="A118" s="4" t="s">
        <v>500</v>
      </c>
    </row>
    <row r="119">
      <c r="A119" s="4" t="s">
        <v>65</v>
      </c>
    </row>
    <row r="120">
      <c r="A120" s="4" t="s">
        <v>33</v>
      </c>
    </row>
    <row r="121">
      <c r="A121" s="4" t="s">
        <v>64</v>
      </c>
    </row>
    <row r="122">
      <c r="A122" s="4" t="s">
        <v>509</v>
      </c>
    </row>
    <row r="123">
      <c r="A123" s="4" t="s">
        <v>92</v>
      </c>
    </row>
    <row r="124">
      <c r="A124" s="4" t="s">
        <v>122</v>
      </c>
    </row>
    <row r="125">
      <c r="A125" s="4" t="s">
        <v>33</v>
      </c>
    </row>
    <row r="126">
      <c r="A126" s="4" t="s">
        <v>34</v>
      </c>
    </row>
    <row r="127">
      <c r="A127" s="4" t="s">
        <v>51</v>
      </c>
    </row>
    <row r="128">
      <c r="A128" s="4" t="s">
        <v>37</v>
      </c>
    </row>
    <row r="129">
      <c r="A129" s="4" t="s">
        <v>38</v>
      </c>
    </row>
    <row r="130">
      <c r="A130" s="4" t="s">
        <v>103</v>
      </c>
    </row>
    <row r="131">
      <c r="A131" s="4" t="s">
        <v>1222</v>
      </c>
    </row>
    <row r="132">
      <c r="A132" s="4" t="s">
        <v>92</v>
      </c>
    </row>
    <row r="133">
      <c r="A133" s="4" t="s">
        <v>1223</v>
      </c>
    </row>
    <row r="134">
      <c r="A134" s="4" t="s">
        <v>98</v>
      </c>
    </row>
    <row r="135">
      <c r="A135" s="4" t="s">
        <v>153</v>
      </c>
    </row>
    <row r="136">
      <c r="A136" s="4" t="s">
        <v>3580</v>
      </c>
    </row>
    <row r="137">
      <c r="A137" s="4" t="s">
        <v>48</v>
      </c>
    </row>
    <row r="138">
      <c r="A138" s="4" t="s">
        <v>9031</v>
      </c>
    </row>
    <row r="139">
      <c r="A139" s="4" t="s">
        <v>33</v>
      </c>
    </row>
    <row r="140">
      <c r="A140" s="4" t="s">
        <v>34</v>
      </c>
    </row>
    <row r="141">
      <c r="A141" s="4" t="s">
        <v>546</v>
      </c>
    </row>
    <row r="142">
      <c r="A142" s="4" t="s">
        <v>910</v>
      </c>
    </row>
    <row r="143">
      <c r="A143" s="4" t="s">
        <v>9032</v>
      </c>
    </row>
    <row r="144">
      <c r="A144" s="4" t="s">
        <v>33</v>
      </c>
    </row>
    <row r="145">
      <c r="A145" s="4" t="s">
        <v>34</v>
      </c>
    </row>
    <row r="146">
      <c r="A146" s="4" t="s">
        <v>40</v>
      </c>
    </row>
    <row r="147">
      <c r="A147" s="4" t="s">
        <v>53</v>
      </c>
    </row>
    <row r="148">
      <c r="A148" s="4" t="s">
        <v>62</v>
      </c>
    </row>
    <row r="149">
      <c r="A149" s="4" t="s">
        <v>43</v>
      </c>
    </row>
    <row r="150">
      <c r="A150" s="4" t="s">
        <v>35</v>
      </c>
    </row>
    <row r="151">
      <c r="A151" s="4" t="s">
        <v>65</v>
      </c>
    </row>
    <row r="152">
      <c r="A152" s="4" t="s">
        <v>501</v>
      </c>
    </row>
    <row r="153">
      <c r="A153" s="4" t="s">
        <v>75</v>
      </c>
    </row>
    <row r="154">
      <c r="A154" s="4" t="s">
        <v>1227</v>
      </c>
    </row>
    <row r="155">
      <c r="A155" s="4" t="s">
        <v>48</v>
      </c>
    </row>
    <row r="156">
      <c r="A156" s="4" t="s">
        <v>7480</v>
      </c>
    </row>
    <row r="157">
      <c r="A157" s="4" t="s">
        <v>89</v>
      </c>
    </row>
    <row r="158">
      <c r="A158" s="4" t="s">
        <v>57</v>
      </c>
    </row>
    <row r="159">
      <c r="A159" s="4" t="s">
        <v>33</v>
      </c>
    </row>
    <row r="160">
      <c r="A160" s="4" t="s">
        <v>34</v>
      </c>
    </row>
    <row r="161">
      <c r="A161" s="4" t="s">
        <v>35</v>
      </c>
    </row>
    <row r="162">
      <c r="A162" s="4" t="s">
        <v>65</v>
      </c>
    </row>
    <row r="163">
      <c r="A163" s="4" t="s">
        <v>138</v>
      </c>
    </row>
    <row r="164">
      <c r="A164" s="4" t="s">
        <v>88</v>
      </c>
    </row>
    <row r="165">
      <c r="A165" s="4" t="s">
        <v>33</v>
      </c>
    </row>
    <row r="166">
      <c r="A166" s="4" t="s">
        <v>144</v>
      </c>
    </row>
    <row r="167">
      <c r="A167" s="4" t="s">
        <v>140</v>
      </c>
    </row>
    <row r="168">
      <c r="A168" s="4" t="s">
        <v>139</v>
      </c>
    </row>
    <row r="169">
      <c r="A169" s="4" t="s">
        <v>33</v>
      </c>
    </row>
    <row r="170">
      <c r="A170" s="4" t="s">
        <v>34</v>
      </c>
    </row>
    <row r="171">
      <c r="A171" s="4" t="s">
        <v>40</v>
      </c>
    </row>
    <row r="172">
      <c r="A172" s="4" t="s">
        <v>53</v>
      </c>
    </row>
    <row r="173">
      <c r="A173" s="4" t="s">
        <v>115</v>
      </c>
    </row>
    <row r="174">
      <c r="A174" s="4" t="s">
        <v>970</v>
      </c>
    </row>
    <row r="175">
      <c r="A175" s="4" t="s">
        <v>33</v>
      </c>
    </row>
    <row r="176">
      <c r="A176" s="4" t="s">
        <v>164</v>
      </c>
    </row>
    <row r="177">
      <c r="A177" s="4" t="s">
        <v>88</v>
      </c>
    </row>
    <row r="178">
      <c r="A178" s="4" t="s">
        <v>89</v>
      </c>
    </row>
    <row r="179">
      <c r="A179" s="4" t="s">
        <v>966</v>
      </c>
    </row>
    <row r="180">
      <c r="A180" s="4" t="s">
        <v>62</v>
      </c>
    </row>
    <row r="181">
      <c r="A181" s="4" t="s">
        <v>64</v>
      </c>
    </row>
    <row r="182">
      <c r="A182" s="4" t="s">
        <v>33</v>
      </c>
    </row>
    <row r="183">
      <c r="A183" s="4" t="s">
        <v>112</v>
      </c>
    </row>
    <row r="184">
      <c r="A184" s="4" t="s">
        <v>36</v>
      </c>
    </row>
    <row r="185">
      <c r="A185" s="4" t="s">
        <v>113</v>
      </c>
    </row>
    <row r="186">
      <c r="A186" s="4" t="s">
        <v>104</v>
      </c>
    </row>
    <row r="187">
      <c r="A187" s="4" t="s">
        <v>65</v>
      </c>
    </row>
    <row r="188">
      <c r="A188" s="4" t="s">
        <v>33</v>
      </c>
    </row>
    <row r="189">
      <c r="A189" s="4" t="s">
        <v>34</v>
      </c>
    </row>
    <row r="190">
      <c r="A190" s="4" t="s">
        <v>88</v>
      </c>
    </row>
    <row r="191">
      <c r="A191" s="4" t="s">
        <v>89</v>
      </c>
    </row>
    <row r="192">
      <c r="A192" s="4" t="s">
        <v>90</v>
      </c>
    </row>
    <row r="193">
      <c r="A193" s="4" t="s">
        <v>33</v>
      </c>
    </row>
    <row r="194">
      <c r="A194" s="4" t="s">
        <v>34</v>
      </c>
    </row>
    <row r="195">
      <c r="A195" s="4" t="s">
        <v>51</v>
      </c>
    </row>
    <row r="196">
      <c r="A196" s="4" t="s">
        <v>4468</v>
      </c>
    </row>
    <row r="197">
      <c r="A197" s="4" t="s">
        <v>9033</v>
      </c>
    </row>
    <row r="198">
      <c r="A198" s="4" t="s">
        <v>88</v>
      </c>
    </row>
    <row r="199">
      <c r="A199" s="4" t="s">
        <v>89</v>
      </c>
    </row>
    <row r="200">
      <c r="A200" s="4" t="s">
        <v>33</v>
      </c>
    </row>
    <row r="201">
      <c r="A201" s="4" t="s">
        <v>34</v>
      </c>
    </row>
    <row r="202">
      <c r="A202" s="4" t="s">
        <v>40</v>
      </c>
    </row>
    <row r="203">
      <c r="A203" s="4" t="s">
        <v>90</v>
      </c>
    </row>
    <row r="204">
      <c r="A204" s="4" t="s">
        <v>33</v>
      </c>
    </row>
    <row r="205">
      <c r="A205" s="4" t="s">
        <v>34</v>
      </c>
    </row>
    <row r="206">
      <c r="A206" s="4" t="s">
        <v>132</v>
      </c>
    </row>
    <row r="207">
      <c r="A207" s="4" t="s">
        <v>133</v>
      </c>
    </row>
    <row r="208">
      <c r="A208" s="4" t="s">
        <v>46</v>
      </c>
    </row>
    <row r="209">
      <c r="A209" s="4" t="s">
        <v>90</v>
      </c>
    </row>
    <row r="210">
      <c r="A210" s="4" t="s">
        <v>33</v>
      </c>
    </row>
    <row r="211">
      <c r="A211" s="4" t="s">
        <v>34</v>
      </c>
    </row>
    <row r="212">
      <c r="A212" s="4" t="s">
        <v>36</v>
      </c>
    </row>
    <row r="213">
      <c r="A213" s="4" t="s">
        <v>3583</v>
      </c>
    </row>
    <row r="214">
      <c r="A214" s="4" t="s">
        <v>41</v>
      </c>
    </row>
    <row r="215">
      <c r="A215" s="4" t="s">
        <v>908</v>
      </c>
    </row>
    <row r="216">
      <c r="A216" s="4" t="s">
        <v>88</v>
      </c>
    </row>
    <row r="217">
      <c r="A217" s="4" t="s">
        <v>75</v>
      </c>
    </row>
    <row r="218">
      <c r="A218" s="4" t="s">
        <v>48</v>
      </c>
    </row>
    <row r="219">
      <c r="A219" s="4" t="s">
        <v>35</v>
      </c>
    </row>
    <row r="220">
      <c r="A220" s="4" t="s">
        <v>147</v>
      </c>
    </row>
    <row r="221">
      <c r="A221" s="4" t="s">
        <v>33</v>
      </c>
    </row>
    <row r="222">
      <c r="A222" s="4" t="s">
        <v>34</v>
      </c>
    </row>
    <row r="223">
      <c r="A223" s="4" t="s">
        <v>36</v>
      </c>
    </row>
    <row r="224">
      <c r="A224" s="4" t="s">
        <v>71</v>
      </c>
    </row>
    <row r="225">
      <c r="A225" s="4" t="s">
        <v>109</v>
      </c>
    </row>
    <row r="226">
      <c r="A226" s="4" t="s">
        <v>110</v>
      </c>
    </row>
    <row r="227">
      <c r="A227" s="4" t="s">
        <v>111</v>
      </c>
    </row>
    <row r="228">
      <c r="A228" s="4" t="s">
        <v>119</v>
      </c>
    </row>
    <row r="229">
      <c r="A229" s="4" t="s">
        <v>62</v>
      </c>
    </row>
    <row r="230">
      <c r="A230" s="4" t="s">
        <v>1363</v>
      </c>
    </row>
    <row r="231">
      <c r="A231" s="4" t="s">
        <v>1356</v>
      </c>
    </row>
    <row r="232">
      <c r="A232" s="4" t="s">
        <v>970</v>
      </c>
    </row>
    <row r="233">
      <c r="A233" s="4" t="s">
        <v>961</v>
      </c>
    </row>
    <row r="234">
      <c r="A234" s="4" t="s">
        <v>33</v>
      </c>
    </row>
    <row r="235">
      <c r="A235" s="4" t="s">
        <v>34</v>
      </c>
    </row>
    <row r="236">
      <c r="A236" s="4" t="s">
        <v>90</v>
      </c>
    </row>
    <row r="237">
      <c r="A237" s="4" t="s">
        <v>33</v>
      </c>
    </row>
    <row r="238">
      <c r="A238" s="4" t="s">
        <v>112</v>
      </c>
    </row>
    <row r="239">
      <c r="A239" s="4" t="s">
        <v>933</v>
      </c>
    </row>
    <row r="240">
      <c r="A240" s="4" t="s">
        <v>9034</v>
      </c>
    </row>
    <row r="241">
      <c r="A241" s="4" t="s">
        <v>88</v>
      </c>
    </row>
    <row r="242">
      <c r="A242" s="4" t="s">
        <v>89</v>
      </c>
    </row>
    <row r="243">
      <c r="A243" s="4" t="s">
        <v>115</v>
      </c>
    </row>
    <row r="244">
      <c r="A244" s="4" t="s">
        <v>119</v>
      </c>
    </row>
    <row r="245">
      <c r="A245" s="4" t="s">
        <v>62</v>
      </c>
    </row>
    <row r="246">
      <c r="A246" s="4" t="s">
        <v>9035</v>
      </c>
    </row>
    <row r="247">
      <c r="A247" s="4" t="s">
        <v>33</v>
      </c>
    </row>
    <row r="248">
      <c r="A248" s="4" t="s">
        <v>34</v>
      </c>
    </row>
    <row r="249">
      <c r="A249" s="4" t="s">
        <v>35</v>
      </c>
    </row>
    <row r="250">
      <c r="A250" s="4" t="s">
        <v>521</v>
      </c>
    </row>
    <row r="251">
      <c r="A251" s="4" t="s">
        <v>4468</v>
      </c>
    </row>
    <row r="252">
      <c r="A252" s="4" t="s">
        <v>9036</v>
      </c>
    </row>
    <row r="253">
      <c r="A253" s="4" t="s">
        <v>103</v>
      </c>
    </row>
    <row r="254">
      <c r="A254" s="4" t="s">
        <v>2613</v>
      </c>
    </row>
    <row r="255">
      <c r="A255" s="4" t="s">
        <v>33</v>
      </c>
    </row>
    <row r="256">
      <c r="A256" s="4" t="s">
        <v>124</v>
      </c>
    </row>
    <row r="257">
      <c r="A257" s="4" t="s">
        <v>110</v>
      </c>
    </row>
    <row r="258">
      <c r="A258" s="4" t="s">
        <v>518</v>
      </c>
    </row>
    <row r="259">
      <c r="A259" s="4" t="s">
        <v>534</v>
      </c>
    </row>
    <row r="260">
      <c r="A260" s="4" t="s">
        <v>41</v>
      </c>
    </row>
    <row r="261">
      <c r="A261" s="4" t="s">
        <v>535</v>
      </c>
    </row>
    <row r="262">
      <c r="A262" s="4" t="s">
        <v>41</v>
      </c>
    </row>
    <row r="263">
      <c r="A263" s="4" t="s">
        <v>541</v>
      </c>
    </row>
    <row r="264">
      <c r="A264" s="4" t="s">
        <v>139</v>
      </c>
    </row>
    <row r="265">
      <c r="A265" s="4" t="s">
        <v>33</v>
      </c>
    </row>
    <row r="266">
      <c r="A266" s="4" t="s">
        <v>51</v>
      </c>
    </row>
    <row r="267">
      <c r="A267" s="4" t="s">
        <v>9037</v>
      </c>
    </row>
    <row r="268">
      <c r="A268" s="4" t="s">
        <v>61</v>
      </c>
    </row>
    <row r="269">
      <c r="A269" s="4" t="s">
        <v>33</v>
      </c>
    </row>
    <row r="270">
      <c r="A270" s="4" t="s">
        <v>144</v>
      </c>
    </row>
    <row r="271">
      <c r="A271" s="4" t="s">
        <v>501</v>
      </c>
    </row>
    <row r="272">
      <c r="A272" s="4" t="s">
        <v>518</v>
      </c>
    </row>
    <row r="273">
      <c r="A273" s="4" t="s">
        <v>500</v>
      </c>
    </row>
    <row r="274">
      <c r="A274" s="4" t="s">
        <v>4873</v>
      </c>
    </row>
    <row r="275">
      <c r="A275" s="4" t="s">
        <v>44</v>
      </c>
    </row>
    <row r="276">
      <c r="A276" s="4" t="s">
        <v>1246</v>
      </c>
    </row>
    <row r="277">
      <c r="A277" s="4" t="s">
        <v>33</v>
      </c>
    </row>
    <row r="278">
      <c r="A278" s="4" t="s">
        <v>36</v>
      </c>
    </row>
    <row r="279">
      <c r="A279" s="4" t="s">
        <v>102</v>
      </c>
    </row>
    <row r="280">
      <c r="A280" s="4" t="s">
        <v>88</v>
      </c>
    </row>
    <row r="281">
      <c r="A281" s="4" t="s">
        <v>40</v>
      </c>
    </row>
    <row r="282">
      <c r="A282" s="4" t="s">
        <v>75</v>
      </c>
    </row>
    <row r="283">
      <c r="A283" s="4" t="s">
        <v>48</v>
      </c>
    </row>
    <row r="284">
      <c r="A284" s="4" t="s">
        <v>35</v>
      </c>
    </row>
    <row r="285">
      <c r="A285" s="4" t="s">
        <v>107</v>
      </c>
    </row>
    <row r="286">
      <c r="A286" s="4" t="s">
        <v>41</v>
      </c>
    </row>
    <row r="287">
      <c r="A287" s="4" t="s">
        <v>42</v>
      </c>
    </row>
    <row r="288">
      <c r="A288" s="4" t="s">
        <v>33</v>
      </c>
    </row>
    <row r="289">
      <c r="A289" s="4" t="s">
        <v>48</v>
      </c>
    </row>
    <row r="290">
      <c r="A290" s="4" t="s">
        <v>75</v>
      </c>
    </row>
    <row r="291">
      <c r="A291" s="4" t="s">
        <v>128</v>
      </c>
    </row>
    <row r="292">
      <c r="A292" s="4" t="s">
        <v>101</v>
      </c>
    </row>
    <row r="293">
      <c r="A293" s="4" t="s">
        <v>51</v>
      </c>
    </row>
    <row r="294">
      <c r="A294" s="4" t="s">
        <v>3566</v>
      </c>
    </row>
    <row r="295">
      <c r="A295" s="4" t="s">
        <v>106</v>
      </c>
    </row>
    <row r="296">
      <c r="A296" s="4" t="s">
        <v>90</v>
      </c>
    </row>
    <row r="297">
      <c r="A297" s="4" t="s">
        <v>33</v>
      </c>
    </row>
    <row r="298">
      <c r="A298" s="4" t="s">
        <v>34</v>
      </c>
    </row>
    <row r="299">
      <c r="A299" s="4" t="s">
        <v>40</v>
      </c>
    </row>
    <row r="300">
      <c r="A300" s="4" t="s">
        <v>53</v>
      </c>
    </row>
    <row r="301">
      <c r="A301" s="4" t="s">
        <v>33</v>
      </c>
    </row>
    <row r="302">
      <c r="A302" s="4" t="s">
        <v>48</v>
      </c>
    </row>
    <row r="303">
      <c r="A303" s="4" t="s">
        <v>147</v>
      </c>
    </row>
    <row r="304">
      <c r="A304" s="4" t="s">
        <v>119</v>
      </c>
    </row>
    <row r="305">
      <c r="A305" s="4" t="s">
        <v>62</v>
      </c>
    </row>
    <row r="306">
      <c r="A306" s="4" t="s">
        <v>63</v>
      </c>
    </row>
    <row r="307">
      <c r="A307" s="4" t="s">
        <v>1237</v>
      </c>
    </row>
    <row r="308">
      <c r="A308" s="4" t="s">
        <v>90</v>
      </c>
    </row>
    <row r="309">
      <c r="A309" s="4" t="s">
        <v>33</v>
      </c>
    </row>
    <row r="310">
      <c r="A310" s="4" t="s">
        <v>34</v>
      </c>
    </row>
    <row r="311">
      <c r="A311" s="4" t="s">
        <v>96</v>
      </c>
    </row>
    <row r="312">
      <c r="A312" s="4" t="s">
        <v>35</v>
      </c>
    </row>
    <row r="313">
      <c r="A313" s="4" t="s">
        <v>65</v>
      </c>
    </row>
    <row r="314">
      <c r="A314" s="4" t="s">
        <v>33</v>
      </c>
    </row>
    <row r="315">
      <c r="A315" s="4" t="s">
        <v>34</v>
      </c>
    </row>
    <row r="316">
      <c r="A316" s="4" t="s">
        <v>36</v>
      </c>
    </row>
    <row r="317">
      <c r="A317" s="4" t="s">
        <v>9030</v>
      </c>
    </row>
    <row r="318">
      <c r="A318" s="4" t="s">
        <v>2617</v>
      </c>
    </row>
    <row r="319">
      <c r="A319" s="4" t="s">
        <v>44</v>
      </c>
    </row>
    <row r="320">
      <c r="A320" s="4" t="s">
        <v>84</v>
      </c>
    </row>
    <row r="321">
      <c r="A321" s="4" t="s">
        <v>2610</v>
      </c>
    </row>
    <row r="322">
      <c r="A322" s="4" t="s">
        <v>33</v>
      </c>
    </row>
    <row r="323">
      <c r="A323" s="4" t="s">
        <v>36</v>
      </c>
    </row>
    <row r="324">
      <c r="A324" s="4" t="s">
        <v>9038</v>
      </c>
    </row>
    <row r="325">
      <c r="A325" s="4" t="s">
        <v>41</v>
      </c>
    </row>
    <row r="326">
      <c r="A326" s="4" t="s">
        <v>4468</v>
      </c>
    </row>
    <row r="327">
      <c r="A327" s="4" t="s">
        <v>50</v>
      </c>
    </row>
    <row r="328">
      <c r="A328" s="4" t="s">
        <v>40</v>
      </c>
    </row>
    <row r="329">
      <c r="A329" s="4" t="s">
        <v>126</v>
      </c>
    </row>
    <row r="330">
      <c r="A330" s="4" t="s">
        <v>139</v>
      </c>
    </row>
    <row r="331">
      <c r="A331" s="4" t="s">
        <v>129</v>
      </c>
    </row>
    <row r="332">
      <c r="A332" s="4" t="s">
        <v>4468</v>
      </c>
    </row>
    <row r="333">
      <c r="A333" s="4" t="s">
        <v>33</v>
      </c>
    </row>
    <row r="334">
      <c r="A334" s="4" t="s">
        <v>34</v>
      </c>
    </row>
    <row r="335">
      <c r="A335" s="4" t="s">
        <v>35</v>
      </c>
    </row>
    <row r="336">
      <c r="A336" s="4" t="s">
        <v>96</v>
      </c>
    </row>
    <row r="337">
      <c r="A337" s="4" t="s">
        <v>65</v>
      </c>
    </row>
    <row r="338">
      <c r="A338" s="4" t="s">
        <v>50</v>
      </c>
    </row>
    <row r="339">
      <c r="A339" s="4" t="s">
        <v>40</v>
      </c>
    </row>
    <row r="340">
      <c r="A340" s="4" t="s">
        <v>129</v>
      </c>
    </row>
    <row r="341">
      <c r="A341" s="4" t="s">
        <v>120</v>
      </c>
    </row>
    <row r="342">
      <c r="A342" s="4" t="s">
        <v>524</v>
      </c>
    </row>
    <row r="343">
      <c r="A343" s="4" t="s">
        <v>33</v>
      </c>
    </row>
    <row r="344">
      <c r="A344" s="4" t="s">
        <v>3563</v>
      </c>
    </row>
    <row r="345">
      <c r="A345" s="4" t="s">
        <v>94</v>
      </c>
    </row>
    <row r="346">
      <c r="A346" s="4" t="s">
        <v>9039</v>
      </c>
    </row>
    <row r="347">
      <c r="A347" s="4" t="s">
        <v>96</v>
      </c>
    </row>
    <row r="348">
      <c r="A348" s="4" t="s">
        <v>1222</v>
      </c>
    </row>
    <row r="349">
      <c r="A349" s="4" t="s">
        <v>1367</v>
      </c>
    </row>
    <row r="350">
      <c r="A350" s="4" t="s">
        <v>98</v>
      </c>
    </row>
    <row r="351">
      <c r="A351" s="4" t="s">
        <v>9040</v>
      </c>
    </row>
    <row r="352">
      <c r="A352" s="4" t="s">
        <v>33</v>
      </c>
    </row>
    <row r="353">
      <c r="A353" s="4" t="s">
        <v>102</v>
      </c>
    </row>
    <row r="354">
      <c r="A354" s="4" t="s">
        <v>89</v>
      </c>
    </row>
    <row r="355">
      <c r="A355" s="4" t="s">
        <v>88</v>
      </c>
    </row>
    <row r="356">
      <c r="A356" s="4" t="s">
        <v>75</v>
      </c>
    </row>
    <row r="357">
      <c r="A357" s="4" t="s">
        <v>949</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175</v>
      </c>
      <c r="D2" s="4" t="str">
        <f t="shared" ref="D2:D298" si="1">C2</f>
        <v>{"valorA":"ótimo","valorB":1.0}</v>
      </c>
      <c r="E2" s="8" t="str">
        <f t="shared" ref="E2:E298" si="2">SUBSTITUTE(MID(C2,FIND(":",C2)+1,FIND(",",C2)-FIND(":",C2)-1),"""","")</f>
        <v>ótimo</v>
      </c>
      <c r="F2" s="8" t="str">
        <f>IFERROR(__xludf.DUMMYFUNCTION("UNIQUE(E2:E298)"),"ótimo")</f>
        <v>ótimo</v>
      </c>
      <c r="G2" s="8" t="str">
        <f t="shared" ref="G2:G298" si="3">MID(C2,FIND("valorB",C2)+8,FIND("}",C2)-FIND("valorB",C2)-8)</f>
        <v>1.0</v>
      </c>
      <c r="H2" s="9">
        <f t="shared" ref="H2:H298" si="4">VALUE(SUBSTITUTE(G2,".",","))</f>
        <v>1</v>
      </c>
      <c r="I2" s="10">
        <f>IFERROR(__xludf.DUMMYFUNCTION("MAX(FILTER($H:$H,$E:$E=F2))"),48.0)</f>
        <v>48</v>
      </c>
    </row>
    <row r="3">
      <c r="A3" s="4"/>
      <c r="C3" s="4" t="s">
        <v>178</v>
      </c>
      <c r="D3" s="4" t="str">
        <f t="shared" si="1"/>
        <v>{"valorA":"para","valorB":1.0}</v>
      </c>
      <c r="E3" s="8" t="str">
        <f t="shared" si="2"/>
        <v>para</v>
      </c>
      <c r="F3" s="8" t="str">
        <f>IFERROR(__xludf.DUMMYFUNCTION("""COMPUTED_VALUE"""),"para")</f>
        <v>para</v>
      </c>
      <c r="G3" s="8" t="str">
        <f t="shared" si="3"/>
        <v>1.0</v>
      </c>
      <c r="H3" s="9">
        <f t="shared" si="4"/>
        <v>1</v>
      </c>
      <c r="I3" s="10">
        <f>IFERROR(__xludf.DUMMYFUNCTION("MAX(FILTER($H:$H,$E:$E=F3))"),3.0)</f>
        <v>3</v>
      </c>
    </row>
    <row r="4">
      <c r="A4" s="4"/>
      <c r="C4" s="4" t="s">
        <v>9041</v>
      </c>
      <c r="D4" s="4" t="str">
        <f t="shared" si="1"/>
        <v>{"valorA":"faço","valorB":1.0}</v>
      </c>
      <c r="E4" s="8" t="str">
        <f t="shared" si="2"/>
        <v>faço</v>
      </c>
      <c r="F4" s="8" t="str">
        <f>IFERROR(__xludf.DUMMYFUNCTION("""COMPUTED_VALUE"""),"faço")</f>
        <v>faço</v>
      </c>
      <c r="G4" s="8" t="str">
        <f t="shared" si="3"/>
        <v>1.0</v>
      </c>
      <c r="H4" s="9">
        <f t="shared" si="4"/>
        <v>1</v>
      </c>
      <c r="I4" s="10">
        <f>IFERROR(__xludf.DUMMYFUNCTION("MAX(FILTER($H:$H,$E:$E=F4))"),1.0)</f>
        <v>1</v>
      </c>
    </row>
    <row r="5">
      <c r="A5" s="4"/>
      <c r="C5" s="4" t="s">
        <v>251</v>
      </c>
      <c r="D5" s="4" t="str">
        <f t="shared" si="1"/>
        <v>{"valorA":"vida","valorB":1.0}</v>
      </c>
      <c r="E5" s="8" t="str">
        <f t="shared" si="2"/>
        <v>vida</v>
      </c>
      <c r="F5" s="8" t="str">
        <f>IFERROR(__xludf.DUMMYFUNCTION("""COMPUTED_VALUE"""),"vida")</f>
        <v>vida</v>
      </c>
      <c r="G5" s="8" t="str">
        <f t="shared" si="3"/>
        <v>1.0</v>
      </c>
      <c r="H5" s="9">
        <f t="shared" si="4"/>
        <v>1</v>
      </c>
      <c r="I5" s="10">
        <f>IFERROR(__xludf.DUMMYFUNCTION("MAX(FILTER($H:$H,$E:$E=F5))"),1.0)</f>
        <v>1</v>
      </c>
    </row>
    <row r="6">
      <c r="A6" s="4"/>
      <c r="C6" s="4" t="s">
        <v>437</v>
      </c>
      <c r="D6" s="4" t="str">
        <f t="shared" si="1"/>
        <v>{"valorA":"relojoeiro","valorB":1.0}</v>
      </c>
      <c r="E6" s="8" t="str">
        <f t="shared" si="2"/>
        <v>relojoeiro</v>
      </c>
      <c r="F6" s="8" t="str">
        <f>IFERROR(__xludf.DUMMYFUNCTION("""COMPUTED_VALUE"""),"relojoeiro")</f>
        <v>relojoeiro</v>
      </c>
      <c r="G6" s="8" t="str">
        <f t="shared" si="3"/>
        <v>1.0</v>
      </c>
      <c r="H6" s="9">
        <f t="shared" si="4"/>
        <v>1</v>
      </c>
      <c r="I6" s="10">
        <f>IFERROR(__xludf.DUMMYFUNCTION("MAX(FILTER($H:$H,$E:$E=F6))"),1.0)</f>
        <v>1</v>
      </c>
    </row>
    <row r="7">
      <c r="A7" s="4"/>
      <c r="C7" s="4" t="s">
        <v>4510</v>
      </c>
      <c r="D7" s="4" t="str">
        <f t="shared" si="1"/>
        <v>{"valorA":"mim","valorB":1.0}</v>
      </c>
      <c r="E7" s="8" t="str">
        <f t="shared" si="2"/>
        <v>mim</v>
      </c>
      <c r="F7" s="8" t="str">
        <f>IFERROR(__xludf.DUMMYFUNCTION("""COMPUTED_VALUE"""),"mim")</f>
        <v>mim</v>
      </c>
      <c r="G7" s="8" t="str">
        <f t="shared" si="3"/>
        <v>1.0</v>
      </c>
      <c r="H7" s="9">
        <f t="shared" si="4"/>
        <v>1</v>
      </c>
      <c r="I7" s="10">
        <f>IFERROR(__xludf.DUMMYFUNCTION("MAX(FILTER($H:$H,$E:$E=F7))"),1.0)</f>
        <v>1</v>
      </c>
    </row>
    <row r="8">
      <c r="A8" s="4"/>
      <c r="C8" s="4" t="s">
        <v>220</v>
      </c>
      <c r="D8" s="4" t="str">
        <f t="shared" si="1"/>
        <v>{"valorA":"bem","valorB":1.0}</v>
      </c>
      <c r="E8" s="8" t="str">
        <f t="shared" si="2"/>
        <v>bem</v>
      </c>
      <c r="F8" s="8" t="str">
        <f>IFERROR(__xludf.DUMMYFUNCTION("""COMPUTED_VALUE"""),"bem")</f>
        <v>bem</v>
      </c>
      <c r="G8" s="8" t="str">
        <f t="shared" si="3"/>
        <v>1.0</v>
      </c>
      <c r="H8" s="9">
        <f t="shared" si="4"/>
        <v>1</v>
      </c>
      <c r="I8" s="10">
        <f>IFERROR(__xludf.DUMMYFUNCTION("MAX(FILTER($H:$H,$E:$E=F8))"),8.0)</f>
        <v>8</v>
      </c>
    </row>
    <row r="9">
      <c r="A9" s="4"/>
      <c r="C9" s="4" t="s">
        <v>310</v>
      </c>
      <c r="D9" s="4" t="str">
        <f t="shared" si="1"/>
        <v>{"valorA":"o","valorB":1.0}</v>
      </c>
      <c r="E9" s="8" t="str">
        <f t="shared" si="2"/>
        <v>o</v>
      </c>
      <c r="F9" s="8" t="str">
        <f>IFERROR(__xludf.DUMMYFUNCTION("""COMPUTED_VALUE"""),"o")</f>
        <v>o</v>
      </c>
      <c r="G9" s="8" t="str">
        <f t="shared" si="3"/>
        <v>1.0</v>
      </c>
      <c r="H9" s="9">
        <f t="shared" si="4"/>
        <v>1</v>
      </c>
      <c r="I9" s="10">
        <f>IFERROR(__xludf.DUMMYFUNCTION("MAX(FILTER($H:$H,$E:$E=F9))"),5.0)</f>
        <v>5</v>
      </c>
    </row>
    <row r="10">
      <c r="A10" s="4"/>
      <c r="C10" s="4" t="s">
        <v>1487</v>
      </c>
      <c r="D10" s="4" t="str">
        <f t="shared" si="1"/>
        <v>{"valorA":"esperava","valorB":1.0}</v>
      </c>
      <c r="E10" s="8" t="str">
        <f t="shared" si="2"/>
        <v>esperava</v>
      </c>
      <c r="F10" s="8" t="str">
        <f>IFERROR(__xludf.DUMMYFUNCTION("""COMPUTED_VALUE"""),"esperava")</f>
        <v>esperava</v>
      </c>
      <c r="G10" s="8" t="str">
        <f t="shared" si="3"/>
        <v>1.0</v>
      </c>
      <c r="H10" s="9">
        <f t="shared" si="4"/>
        <v>1</v>
      </c>
      <c r="I10" s="10">
        <f>IFERROR(__xludf.DUMMYFUNCTION("MAX(FILTER($H:$H,$E:$E=F10))"),1.0)</f>
        <v>1</v>
      </c>
    </row>
    <row r="11">
      <c r="A11" s="4"/>
      <c r="C11" s="4" t="s">
        <v>1274</v>
      </c>
      <c r="D11" s="4" t="str">
        <f t="shared" si="1"/>
        <v>{"valorA":"perfecto","valorB":1.0}</v>
      </c>
      <c r="E11" s="8" t="str">
        <f t="shared" si="2"/>
        <v>perfecto</v>
      </c>
      <c r="F11" s="8" t="str">
        <f>IFERROR(__xludf.DUMMYFUNCTION("""COMPUTED_VALUE"""),"perfecto")</f>
        <v>perfecto</v>
      </c>
      <c r="G11" s="8" t="str">
        <f t="shared" si="3"/>
        <v>1.0</v>
      </c>
      <c r="H11" s="9">
        <f t="shared" si="4"/>
        <v>1</v>
      </c>
      <c r="I11" s="10">
        <f>IFERROR(__xludf.DUMMYFUNCTION("MAX(FILTER($H:$H,$E:$E=F11))"),1.0)</f>
        <v>1</v>
      </c>
    </row>
    <row r="12">
      <c r="A12" s="4"/>
      <c r="C12" s="4" t="s">
        <v>333</v>
      </c>
      <c r="D12" s="4" t="str">
        <f t="shared" si="1"/>
        <v>{"valorA":"que","valorB":2.0}</v>
      </c>
      <c r="E12" s="8" t="str">
        <f t="shared" si="2"/>
        <v>que</v>
      </c>
      <c r="F12" s="8" t="str">
        <f>IFERROR(__xludf.DUMMYFUNCTION("""COMPUTED_VALUE"""),"que")</f>
        <v>que</v>
      </c>
      <c r="G12" s="8" t="str">
        <f t="shared" si="3"/>
        <v>2.0</v>
      </c>
      <c r="H12" s="9">
        <f t="shared" si="4"/>
        <v>2</v>
      </c>
      <c r="I12" s="10">
        <f>IFERROR(__xludf.DUMMYFUNCTION("MAX(FILTER($H:$H,$E:$E=F12))"),3.0)</f>
        <v>3</v>
      </c>
    </row>
    <row r="13">
      <c r="A13" s="4"/>
      <c r="C13" s="4" t="s">
        <v>189</v>
      </c>
      <c r="D13" s="4" t="str">
        <f t="shared" si="1"/>
        <v>{"valorA":"produto","valorB":2.0}</v>
      </c>
      <c r="E13" s="8" t="str">
        <f t="shared" si="2"/>
        <v>produto</v>
      </c>
      <c r="F13" s="8" t="str">
        <f>IFERROR(__xludf.DUMMYFUNCTION("""COMPUTED_VALUE"""),"produto")</f>
        <v>produto</v>
      </c>
      <c r="G13" s="8" t="str">
        <f t="shared" si="3"/>
        <v>2.0</v>
      </c>
      <c r="H13" s="9">
        <f t="shared" si="4"/>
        <v>2</v>
      </c>
      <c r="I13" s="10">
        <f>IFERROR(__xludf.DUMMYFUNCTION("MAX(FILTER($H:$H,$E:$E=F13))"),27.0)</f>
        <v>27</v>
      </c>
    </row>
    <row r="14">
      <c r="A14" s="4"/>
      <c r="C14" s="4" t="s">
        <v>190</v>
      </c>
      <c r="D14" s="4" t="str">
        <f t="shared" si="1"/>
        <v>{"valorA":"gostei","valorB":1.0}</v>
      </c>
      <c r="E14" s="8" t="str">
        <f t="shared" si="2"/>
        <v>gostei</v>
      </c>
      <c r="F14" s="8" t="str">
        <f>IFERROR(__xludf.DUMMYFUNCTION("""COMPUTED_VALUE"""),"gostei")</f>
        <v>gostei</v>
      </c>
      <c r="G14" s="8" t="str">
        <f t="shared" si="3"/>
        <v>1.0</v>
      </c>
      <c r="H14" s="9">
        <f t="shared" si="4"/>
        <v>1</v>
      </c>
      <c r="I14" s="10">
        <f>IFERROR(__xludf.DUMMYFUNCTION("MAX(FILTER($H:$H,$E:$E=F14))"),4.0)</f>
        <v>4</v>
      </c>
    </row>
    <row r="15">
      <c r="A15" s="4"/>
      <c r="C15" s="4" t="s">
        <v>587</v>
      </c>
      <c r="D15" s="4" t="str">
        <f t="shared" si="1"/>
        <v>{"valorA":"ótimo","valorB":4.0}</v>
      </c>
      <c r="E15" s="8" t="str">
        <f t="shared" si="2"/>
        <v>ótimo</v>
      </c>
      <c r="F15" s="8" t="str">
        <f>IFERROR(__xludf.DUMMYFUNCTION("""COMPUTED_VALUE"""),"muito")</f>
        <v>muito</v>
      </c>
      <c r="G15" s="8" t="str">
        <f t="shared" si="3"/>
        <v>4.0</v>
      </c>
      <c r="H15" s="9">
        <f t="shared" si="4"/>
        <v>4</v>
      </c>
      <c r="I15" s="10">
        <f>IFERROR(__xludf.DUMMYFUNCTION("MAX(FILTER($H:$H,$E:$E=F15))"),13.0)</f>
        <v>13</v>
      </c>
    </row>
    <row r="16">
      <c r="A16" s="4"/>
      <c r="C16" s="4" t="s">
        <v>579</v>
      </c>
      <c r="D16" s="4" t="str">
        <f t="shared" si="1"/>
        <v>{"valorA":"muito","valorB":1.0}</v>
      </c>
      <c r="E16" s="8" t="str">
        <f t="shared" si="2"/>
        <v>muito</v>
      </c>
      <c r="F16" s="8" t="str">
        <f>IFERROR(__xludf.DUMMYFUNCTION("""COMPUTED_VALUE"""),"melhor")</f>
        <v>melhor</v>
      </c>
      <c r="G16" s="8" t="str">
        <f t="shared" si="3"/>
        <v>1.0</v>
      </c>
      <c r="H16" s="9">
        <f t="shared" si="4"/>
        <v>1</v>
      </c>
      <c r="I16" s="10">
        <f>IFERROR(__xludf.DUMMYFUNCTION("MAX(FILTER($H:$H,$E:$E=F16))"),1.0)</f>
        <v>1</v>
      </c>
    </row>
    <row r="17">
      <c r="A17" s="4"/>
      <c r="C17" s="4" t="s">
        <v>1569</v>
      </c>
      <c r="D17" s="4" t="str">
        <f t="shared" si="1"/>
        <v>{"valorA":"melhor","valorB":1.0}</v>
      </c>
      <c r="E17" s="8" t="str">
        <f t="shared" si="2"/>
        <v>melhor</v>
      </c>
      <c r="F17" s="8" t="str">
        <f>IFERROR(__xludf.DUMMYFUNCTION("""COMPUTED_VALUE"""),"relojoeira")</f>
        <v>relojoeira</v>
      </c>
      <c r="G17" s="8" t="str">
        <f t="shared" si="3"/>
        <v>1.0</v>
      </c>
      <c r="H17" s="9">
        <f t="shared" si="4"/>
        <v>1</v>
      </c>
      <c r="I17" s="10">
        <f>IFERROR(__xludf.DUMMYFUNCTION("MAX(FILTER($H:$H,$E:$E=F17))"),4.0)</f>
        <v>4</v>
      </c>
    </row>
    <row r="18">
      <c r="A18" s="4"/>
      <c r="C18" s="4" t="s">
        <v>399</v>
      </c>
      <c r="D18" s="4" t="str">
        <f t="shared" si="1"/>
        <v>{"valorA":"relojoeira","valorB":1.0}</v>
      </c>
      <c r="E18" s="8" t="str">
        <f t="shared" si="2"/>
        <v>relojoeira</v>
      </c>
      <c r="F18" s="8" t="str">
        <f>IFERROR(__xludf.DUMMYFUNCTION("""COMPUTED_VALUE"""),"diária")</f>
        <v>diária</v>
      </c>
      <c r="G18" s="8" t="str">
        <f t="shared" si="3"/>
        <v>1.0</v>
      </c>
      <c r="H18" s="9">
        <f t="shared" si="4"/>
        <v>1</v>
      </c>
      <c r="I18" s="10">
        <f>IFERROR(__xludf.DUMMYFUNCTION("MAX(FILTER($H:$H,$E:$E=F18))"),1.0)</f>
        <v>1</v>
      </c>
    </row>
    <row r="19">
      <c r="A19" s="4"/>
      <c r="C19" s="4" t="s">
        <v>1318</v>
      </c>
      <c r="D19" s="4" t="str">
        <f t="shared" si="1"/>
        <v>{"valorA":"diária","valorB":1.0}</v>
      </c>
      <c r="E19" s="8" t="str">
        <f t="shared" si="2"/>
        <v>diária</v>
      </c>
      <c r="F19" s="8" t="str">
        <f>IFERROR(__xludf.DUMMYFUNCTION("""COMPUTED_VALUE"""),"diferença")</f>
        <v>diferença</v>
      </c>
      <c r="G19" s="8" t="str">
        <f t="shared" si="3"/>
        <v>1.0</v>
      </c>
      <c r="H19" s="9">
        <f t="shared" si="4"/>
        <v>1</v>
      </c>
      <c r="I19" s="10">
        <f>IFERROR(__xludf.DUMMYFUNCTION("MAX(FILTER($H:$H,$E:$E=F19))"),1.0)</f>
        <v>1</v>
      </c>
    </row>
    <row r="20">
      <c r="A20" s="4"/>
      <c r="C20" s="4" t="s">
        <v>598</v>
      </c>
      <c r="D20" s="4" t="str">
        <f t="shared" si="1"/>
        <v>{"valorA":"diferença","valorB":1.0}</v>
      </c>
      <c r="E20" s="8" t="str">
        <f t="shared" si="2"/>
        <v>diferença</v>
      </c>
      <c r="F20" s="8" t="str">
        <f>IFERROR(__xludf.DUMMYFUNCTION("""COMPUTED_VALUE"""),"na")</f>
        <v>na</v>
      </c>
      <c r="G20" s="8" t="str">
        <f t="shared" si="3"/>
        <v>1.0</v>
      </c>
      <c r="H20" s="9">
        <f t="shared" si="4"/>
        <v>1</v>
      </c>
      <c r="I20" s="10">
        <f>IFERROR(__xludf.DUMMYFUNCTION("MAX(FILTER($H:$H,$E:$E=F20))"),2.0)</f>
        <v>2</v>
      </c>
    </row>
    <row r="21">
      <c r="A21" s="4"/>
      <c r="C21" s="4" t="s">
        <v>1440</v>
      </c>
      <c r="D21" s="4" t="str">
        <f t="shared" si="1"/>
        <v>{"valorA":"na","valorB":1.0}</v>
      </c>
      <c r="E21" s="8" t="str">
        <f t="shared" si="2"/>
        <v>na</v>
      </c>
      <c r="F21" s="8" t="str">
        <f>IFERROR(__xludf.DUMMYFUNCTION("""COMPUTED_VALUE"""),"minha")</f>
        <v>minha</v>
      </c>
      <c r="G21" s="8" t="str">
        <f t="shared" si="3"/>
        <v>1.0</v>
      </c>
      <c r="H21" s="9">
        <f t="shared" si="4"/>
        <v>1</v>
      </c>
      <c r="I21" s="10">
        <f>IFERROR(__xludf.DUMMYFUNCTION("MAX(FILTER($H:$H,$E:$E=F21))"),3.0)</f>
        <v>3</v>
      </c>
    </row>
    <row r="22">
      <c r="A22" s="4"/>
      <c r="C22" s="4" t="s">
        <v>265</v>
      </c>
      <c r="D22" s="4" t="str">
        <f t="shared" si="1"/>
        <v>{"valorA":"minha","valorB":1.0}</v>
      </c>
      <c r="E22" s="8" t="str">
        <f t="shared" si="2"/>
        <v>minha</v>
      </c>
      <c r="F22" s="8" t="str">
        <f>IFERROR(__xludf.DUMMYFUNCTION("""COMPUTED_VALUE"""),"é")</f>
        <v>é</v>
      </c>
      <c r="G22" s="8" t="str">
        <f t="shared" si="3"/>
        <v>1.0</v>
      </c>
      <c r="H22" s="9">
        <f t="shared" si="4"/>
        <v>1</v>
      </c>
      <c r="I22" s="10">
        <f>IFERROR(__xludf.DUMMYFUNCTION("MAX(FILTER($H:$H,$E:$E=F22))"),12.0)</f>
        <v>12</v>
      </c>
    </row>
    <row r="23">
      <c r="A23" s="4"/>
      <c r="C23" s="4" t="s">
        <v>177</v>
      </c>
      <c r="D23" s="4" t="str">
        <f t="shared" si="1"/>
        <v>{"valorA":"é","valorB":1.0}</v>
      </c>
      <c r="E23" s="8" t="str">
        <f t="shared" si="2"/>
        <v>é</v>
      </c>
      <c r="F23" s="8" t="str">
        <f>IFERROR(__xludf.DUMMYFUNCTION("""COMPUTED_VALUE"""),"refrigerador")</f>
        <v>refrigerador</v>
      </c>
      <c r="G23" s="8" t="str">
        <f t="shared" si="3"/>
        <v>1.0</v>
      </c>
      <c r="H23" s="9">
        <f t="shared" si="4"/>
        <v>1</v>
      </c>
      <c r="I23" s="10">
        <f>IFERROR(__xludf.DUMMYFUNCTION("MAX(FILTER($H:$H,$E:$E=F23))"),1.0)</f>
        <v>1</v>
      </c>
    </row>
    <row r="24">
      <c r="A24" s="4"/>
      <c r="C24" s="4" t="s">
        <v>292</v>
      </c>
      <c r="D24" s="4" t="str">
        <f t="shared" si="1"/>
        <v>{"valorA":"refrigerador","valorB":1.0}</v>
      </c>
      <c r="E24" s="8" t="str">
        <f t="shared" si="2"/>
        <v>refrigerador</v>
      </c>
      <c r="F24" s="8" t="str">
        <f>IFERROR(__xludf.DUMMYFUNCTION("""COMPUTED_VALUE"""),"incrível")</f>
        <v>incrível</v>
      </c>
      <c r="G24" s="8" t="str">
        <f t="shared" si="3"/>
        <v>1.0</v>
      </c>
      <c r="H24" s="9">
        <f t="shared" si="4"/>
        <v>1</v>
      </c>
      <c r="I24" s="10">
        <f>IFERROR(__xludf.DUMMYFUNCTION("MAX(FILTER($H:$H,$E:$E=F24))"),10.0)</f>
        <v>10</v>
      </c>
    </row>
    <row r="25">
      <c r="A25" s="4"/>
      <c r="C25" s="4" t="s">
        <v>202</v>
      </c>
      <c r="D25" s="4" t="str">
        <f t="shared" si="1"/>
        <v>{"valorA":"incrível","valorB":1.0}</v>
      </c>
      <c r="E25" s="8" t="str">
        <f t="shared" si="2"/>
        <v>incrível</v>
      </c>
      <c r="F25" s="8" t="str">
        <f>IFERROR(__xludf.DUMMYFUNCTION("""COMPUTED_VALUE"""),"realmente")</f>
        <v>realmente</v>
      </c>
      <c r="G25" s="8" t="str">
        <f t="shared" si="3"/>
        <v>1.0</v>
      </c>
      <c r="H25" s="9">
        <f t="shared" si="4"/>
        <v>1</v>
      </c>
      <c r="I25" s="10">
        <f>IFERROR(__xludf.DUMMYFUNCTION("MAX(FILTER($H:$H,$E:$E=F25))"),4.0)</f>
        <v>4</v>
      </c>
    </row>
    <row r="26">
      <c r="A26" s="4"/>
      <c r="C26" s="4" t="s">
        <v>585</v>
      </c>
      <c r="D26" s="4" t="str">
        <f t="shared" si="1"/>
        <v>{"valorA":"produto","valorB":3.0}</v>
      </c>
      <c r="E26" s="8" t="str">
        <f t="shared" si="2"/>
        <v>produto</v>
      </c>
      <c r="F26" s="8" t="str">
        <f>IFERROR(__xludf.DUMMYFUNCTION("""COMPUTED_VALUE"""),"perfeitamente")</f>
        <v>perfeitamente</v>
      </c>
      <c r="G26" s="8" t="str">
        <f t="shared" si="3"/>
        <v>3.0</v>
      </c>
      <c r="H26" s="9">
        <f t="shared" si="4"/>
        <v>3</v>
      </c>
      <c r="I26" s="10">
        <f>IFERROR(__xludf.DUMMYFUNCTION("MAX(FILTER($H:$H,$E:$E=F26))"),10.0)</f>
        <v>10</v>
      </c>
    </row>
    <row r="27">
      <c r="A27" s="4"/>
      <c r="C27" s="4" t="s">
        <v>594</v>
      </c>
      <c r="D27" s="4" t="str">
        <f t="shared" si="1"/>
        <v>{"valorA":"ótimo","valorB":6.0}</v>
      </c>
      <c r="E27" s="8" t="str">
        <f t="shared" si="2"/>
        <v>ótimo</v>
      </c>
      <c r="F27" s="8" t="str">
        <f>IFERROR(__xludf.DUMMYFUNCTION("""COMPUTED_VALUE"""),"funciona")</f>
        <v>funciona</v>
      </c>
      <c r="G27" s="8" t="str">
        <f t="shared" si="3"/>
        <v>6.0</v>
      </c>
      <c r="H27" s="9">
        <f t="shared" si="4"/>
        <v>6</v>
      </c>
      <c r="I27" s="10">
        <f>IFERROR(__xludf.DUMMYFUNCTION("MAX(FILTER($H:$H,$E:$E=F27))"),14.0)</f>
        <v>14</v>
      </c>
    </row>
    <row r="28">
      <c r="A28" s="4"/>
      <c r="C28" s="4" t="s">
        <v>261</v>
      </c>
      <c r="D28" s="4" t="str">
        <f t="shared" si="1"/>
        <v>{"valorA":"realmente","valorB":1.0}</v>
      </c>
      <c r="E28" s="8" t="str">
        <f t="shared" si="2"/>
        <v>realmente</v>
      </c>
      <c r="F28" s="8" t="str">
        <f>IFERROR(__xludf.DUMMYFUNCTION("""COMPUTED_VALUE"""),"recomendo")</f>
        <v>recomendo</v>
      </c>
      <c r="G28" s="8" t="str">
        <f t="shared" si="3"/>
        <v>1.0</v>
      </c>
      <c r="H28" s="9">
        <f t="shared" si="4"/>
        <v>1</v>
      </c>
      <c r="I28" s="10">
        <f>IFERROR(__xludf.DUMMYFUNCTION("MAX(FILTER($H:$H,$E:$E=F28))"),9.0)</f>
        <v>9</v>
      </c>
    </row>
    <row r="29">
      <c r="A29" s="4"/>
      <c r="C29" s="4" t="s">
        <v>689</v>
      </c>
      <c r="D29" s="4" t="str">
        <f t="shared" si="1"/>
        <v>{"valorA":"perfeitamente","valorB":2.0}</v>
      </c>
      <c r="E29" s="8" t="str">
        <f t="shared" si="2"/>
        <v>perfeitamente</v>
      </c>
      <c r="F29" s="8" t="str">
        <f>IFERROR(__xludf.DUMMYFUNCTION("""COMPUTED_VALUE"""),"usar")</f>
        <v>usar</v>
      </c>
      <c r="G29" s="8" t="str">
        <f t="shared" si="3"/>
        <v>2.0</v>
      </c>
      <c r="H29" s="9">
        <f t="shared" si="4"/>
        <v>2</v>
      </c>
      <c r="I29" s="10">
        <f>IFERROR(__xludf.DUMMYFUNCTION("MAX(FILTER($H:$H,$E:$E=F29))"),3.0)</f>
        <v>3</v>
      </c>
    </row>
    <row r="30">
      <c r="A30" s="4"/>
      <c r="C30" s="4" t="s">
        <v>631</v>
      </c>
      <c r="D30" s="4" t="str">
        <f t="shared" si="1"/>
        <v>{"valorA":"funciona","valorB":2.0}</v>
      </c>
      <c r="E30" s="8" t="str">
        <f t="shared" si="2"/>
        <v>funciona</v>
      </c>
      <c r="F30" s="8" t="str">
        <f>IFERROR(__xludf.DUMMYFUNCTION("""COMPUTED_VALUE"""),"e")</f>
        <v>e</v>
      </c>
      <c r="G30" s="8" t="str">
        <f t="shared" si="3"/>
        <v>2.0</v>
      </c>
      <c r="H30" s="9">
        <f t="shared" si="4"/>
        <v>2</v>
      </c>
      <c r="I30" s="10">
        <f>IFERROR(__xludf.DUMMYFUNCTION("MAX(FILTER($H:$H,$E:$E=F30))"),10.0)</f>
        <v>10</v>
      </c>
    </row>
    <row r="31">
      <c r="A31" s="4"/>
      <c r="C31" s="4" t="s">
        <v>235</v>
      </c>
      <c r="D31" s="4" t="str">
        <f t="shared" si="1"/>
        <v>{"valorA":"recomendo","valorB":1.0}</v>
      </c>
      <c r="E31" s="8" t="str">
        <f t="shared" si="2"/>
        <v>recomendo</v>
      </c>
      <c r="F31" s="8" t="str">
        <f>IFERROR(__xludf.DUMMYFUNCTION("""COMPUTED_VALUE"""),"de")</f>
        <v>de</v>
      </c>
      <c r="G31" s="8" t="str">
        <f t="shared" si="3"/>
        <v>1.0</v>
      </c>
      <c r="H31" s="9">
        <f t="shared" si="4"/>
        <v>1</v>
      </c>
      <c r="I31" s="10">
        <f>IFERROR(__xludf.DUMMYFUNCTION("MAX(FILTER($H:$H,$E:$E=F31))"),8.0)</f>
        <v>8</v>
      </c>
    </row>
    <row r="32">
      <c r="A32" s="4"/>
      <c r="C32" s="4" t="s">
        <v>634</v>
      </c>
      <c r="D32" s="4" t="str">
        <f t="shared" si="1"/>
        <v>{"valorA":"bem","valorB":2.0}</v>
      </c>
      <c r="E32" s="8" t="str">
        <f t="shared" si="2"/>
        <v>bem</v>
      </c>
      <c r="F32" s="8" t="str">
        <f>IFERROR(__xludf.DUMMYFUNCTION("""COMPUTED_VALUE"""),"feito")</f>
        <v>feito</v>
      </c>
      <c r="G32" s="8" t="str">
        <f t="shared" si="3"/>
        <v>2.0</v>
      </c>
      <c r="H32" s="9">
        <f t="shared" si="4"/>
        <v>2</v>
      </c>
      <c r="I32" s="10">
        <f>IFERROR(__xludf.DUMMYFUNCTION("MAX(FILTER($H:$H,$E:$E=F32))"),1.0)</f>
        <v>1</v>
      </c>
    </row>
    <row r="33">
      <c r="A33" s="4"/>
      <c r="C33" s="4" t="s">
        <v>640</v>
      </c>
      <c r="D33" s="4" t="str">
        <f t="shared" si="1"/>
        <v>{"valorA":"usar","valorB":1.0}</v>
      </c>
      <c r="E33" s="8" t="str">
        <f t="shared" si="2"/>
        <v>usar</v>
      </c>
      <c r="F33" s="8" t="str">
        <f>IFERROR(__xludf.DUMMYFUNCTION("""COMPUTED_VALUE"""),"scanner")</f>
        <v>scanner</v>
      </c>
      <c r="G33" s="8" t="str">
        <f t="shared" si="3"/>
        <v>1.0</v>
      </c>
      <c r="H33" s="9">
        <f t="shared" si="4"/>
        <v>1</v>
      </c>
      <c r="I33" s="10">
        <f>IFERROR(__xludf.DUMMYFUNCTION("MAX(FILTER($H:$H,$E:$E=F33))"),1.0)</f>
        <v>1</v>
      </c>
    </row>
    <row r="34">
      <c r="A34" s="4"/>
      <c r="C34" s="4" t="s">
        <v>184</v>
      </c>
      <c r="D34" s="4" t="str">
        <f t="shared" si="1"/>
        <v>{"valorA":"e","valorB":1.0}</v>
      </c>
      <c r="E34" s="8" t="str">
        <f t="shared" si="2"/>
        <v>e</v>
      </c>
      <c r="F34" s="8" t="str">
        <f>IFERROR(__xludf.DUMMYFUNCTION("""COMPUTED_VALUE"""),"esse")</f>
        <v>esse</v>
      </c>
      <c r="G34" s="8" t="str">
        <f t="shared" si="3"/>
        <v>1.0</v>
      </c>
      <c r="H34" s="9">
        <f t="shared" si="4"/>
        <v>1</v>
      </c>
      <c r="I34" s="10">
        <f>IFERROR(__xludf.DUMMYFUNCTION("MAX(FILTER($H:$H,$E:$E=F34))"),8.0)</f>
        <v>8</v>
      </c>
    </row>
    <row r="35">
      <c r="A35" s="4"/>
      <c r="C35" s="4" t="s">
        <v>642</v>
      </c>
      <c r="D35" s="4" t="str">
        <f t="shared" si="1"/>
        <v>{"valorA":"de","valorB":1.0}</v>
      </c>
      <c r="E35" s="8" t="str">
        <f t="shared" si="2"/>
        <v>de</v>
      </c>
      <c r="F35" s="8" t="str">
        <f>IFERROR(__xludf.DUMMYFUNCTION("""COMPUTED_VALUE"""),"fácil")</f>
        <v>fácil</v>
      </c>
      <c r="G35" s="8" t="str">
        <f t="shared" si="3"/>
        <v>1.0</v>
      </c>
      <c r="H35" s="9">
        <f t="shared" si="4"/>
        <v>1</v>
      </c>
      <c r="I35" s="10">
        <f>IFERROR(__xludf.DUMMYFUNCTION("MAX(FILTER($H:$H,$E:$E=F35))"),3.0)</f>
        <v>3</v>
      </c>
    </row>
    <row r="36">
      <c r="A36" s="4"/>
      <c r="C36" s="4" t="s">
        <v>1308</v>
      </c>
      <c r="D36" s="4" t="str">
        <f t="shared" si="1"/>
        <v>{"valorA":"feito","valorB":1.0}</v>
      </c>
      <c r="E36" s="8" t="str">
        <f t="shared" si="2"/>
        <v>feito</v>
      </c>
      <c r="F36" s="8" t="str">
        <f>IFERROR(__xludf.DUMMYFUNCTION("""COMPUTED_VALUE"""),"satisfeito")</f>
        <v>satisfeito</v>
      </c>
      <c r="G36" s="8" t="str">
        <f t="shared" si="3"/>
        <v>1.0</v>
      </c>
      <c r="H36" s="9">
        <f t="shared" si="4"/>
        <v>1</v>
      </c>
      <c r="I36" s="10">
        <f>IFERROR(__xludf.DUMMYFUNCTION("MAX(FILTER($H:$H,$E:$E=F36))"),4.0)</f>
        <v>4</v>
      </c>
    </row>
    <row r="37">
      <c r="A37" s="4"/>
      <c r="C37" s="4" t="s">
        <v>623</v>
      </c>
      <c r="D37" s="4" t="str">
        <f t="shared" si="1"/>
        <v>{"valorA":"scanner","valorB":1.0}</v>
      </c>
      <c r="E37" s="8" t="str">
        <f t="shared" si="2"/>
        <v>scanner</v>
      </c>
      <c r="F37" s="8" t="str">
        <f>IFERROR(__xludf.DUMMYFUNCTION("""COMPUTED_VALUE"""),"serviço")</f>
        <v>serviço</v>
      </c>
      <c r="G37" s="8" t="str">
        <f t="shared" si="3"/>
        <v>1.0</v>
      </c>
      <c r="H37" s="9">
        <f t="shared" si="4"/>
        <v>1</v>
      </c>
      <c r="I37" s="10">
        <f>IFERROR(__xludf.DUMMYFUNCTION("MAX(FILTER($H:$H,$E:$E=F37))"),1.0)</f>
        <v>1</v>
      </c>
    </row>
    <row r="38">
      <c r="A38" s="4"/>
      <c r="C38" s="4" t="s">
        <v>604</v>
      </c>
      <c r="D38" s="4" t="str">
        <f t="shared" si="1"/>
        <v>{"valorA":"produto","valorB":5.0}</v>
      </c>
      <c r="E38" s="8" t="str">
        <f t="shared" si="2"/>
        <v>produto</v>
      </c>
      <c r="F38" s="8" t="str">
        <f>IFERROR(__xludf.DUMMYFUNCTION("""COMPUTED_VALUE"""),"condicionador")</f>
        <v>condicionador</v>
      </c>
      <c r="G38" s="8" t="str">
        <f t="shared" si="3"/>
        <v>5.0</v>
      </c>
      <c r="H38" s="9">
        <f t="shared" si="4"/>
        <v>5</v>
      </c>
      <c r="I38" s="10">
        <f>IFERROR(__xludf.DUMMYFUNCTION("MAX(FILTER($H:$H,$E:$E=F38))"),2.0)</f>
        <v>2</v>
      </c>
    </row>
    <row r="39">
      <c r="A39" s="4"/>
      <c r="C39" s="4" t="s">
        <v>242</v>
      </c>
      <c r="D39" s="4" t="str">
        <f t="shared" si="1"/>
        <v>{"valorA":"ótimo","valorB":9.0}</v>
      </c>
      <c r="E39" s="8" t="str">
        <f t="shared" si="2"/>
        <v>ótimo</v>
      </c>
      <c r="F39" s="8" t="str">
        <f>IFERROR(__xludf.DUMMYFUNCTION("""COMPUTED_VALUE"""),"ar")</f>
        <v>ar</v>
      </c>
      <c r="G39" s="8" t="str">
        <f t="shared" si="3"/>
        <v>9.0</v>
      </c>
      <c r="H39" s="9">
        <f t="shared" si="4"/>
        <v>9</v>
      </c>
      <c r="I39" s="10">
        <f>IFERROR(__xludf.DUMMYFUNCTION("MAX(FILTER($H:$H,$E:$E=F39))"),2.0)</f>
        <v>2</v>
      </c>
    </row>
    <row r="40">
      <c r="A40" s="4"/>
      <c r="C40" s="4" t="s">
        <v>192</v>
      </c>
      <c r="D40" s="4" t="str">
        <f t="shared" si="1"/>
        <v>{"valorA":"esse","valorB":1.0}</v>
      </c>
      <c r="E40" s="8" t="str">
        <f t="shared" si="2"/>
        <v>esse</v>
      </c>
      <c r="F40" s="8" t="str">
        <f>IFERROR(__xludf.DUMMYFUNCTION("""COMPUTED_VALUE"""),"loja")</f>
        <v>loja</v>
      </c>
      <c r="G40" s="8" t="str">
        <f t="shared" si="3"/>
        <v>1.0</v>
      </c>
      <c r="H40" s="9">
        <f t="shared" si="4"/>
        <v>1</v>
      </c>
      <c r="I40" s="10">
        <f>IFERROR(__xludf.DUMMYFUNCTION("MAX(FILTER($H:$H,$E:$E=F40))"),2.0)</f>
        <v>2</v>
      </c>
    </row>
    <row r="41">
      <c r="A41" s="4"/>
      <c r="C41" s="4" t="s">
        <v>285</v>
      </c>
      <c r="D41" s="4" t="str">
        <f t="shared" si="1"/>
        <v>{"valorA":"fácil","valorB":1.0}</v>
      </c>
      <c r="E41" s="8" t="str">
        <f t="shared" si="2"/>
        <v>fácil</v>
      </c>
      <c r="F41" s="8" t="str">
        <f>IFERROR(__xludf.DUMMYFUNCTION("""COMPUTED_VALUE"""),"da")</f>
        <v>da</v>
      </c>
      <c r="G41" s="8" t="str">
        <f t="shared" si="3"/>
        <v>1.0</v>
      </c>
      <c r="H41" s="9">
        <f t="shared" si="4"/>
        <v>1</v>
      </c>
      <c r="I41" s="10">
        <f>IFERROR(__xludf.DUMMYFUNCTION("MAX(FILTER($H:$H,$E:$E=F41))"),2.0)</f>
        <v>2</v>
      </c>
    </row>
    <row r="42">
      <c r="A42" s="4"/>
      <c r="C42" s="4" t="s">
        <v>212</v>
      </c>
      <c r="D42" s="4" t="str">
        <f t="shared" si="1"/>
        <v>{"valorA":"muito","valorB":3.0}</v>
      </c>
      <c r="E42" s="8" t="str">
        <f t="shared" si="2"/>
        <v>muito</v>
      </c>
      <c r="F42" s="8" t="str">
        <f>IFERROR(__xludf.DUMMYFUNCTION("""COMPUTED_VALUE"""),"dura")</f>
        <v>dura</v>
      </c>
      <c r="G42" s="8" t="str">
        <f t="shared" si="3"/>
        <v>3.0</v>
      </c>
      <c r="H42" s="9">
        <f t="shared" si="4"/>
        <v>3</v>
      </c>
      <c r="I42" s="10">
        <f>IFERROR(__xludf.DUMMYFUNCTION("MAX(FILTER($H:$H,$E:$E=F42))"),1.0)</f>
        <v>1</v>
      </c>
    </row>
    <row r="43">
      <c r="A43" s="4"/>
      <c r="C43" s="4" t="s">
        <v>215</v>
      </c>
      <c r="D43" s="4" t="str">
        <f t="shared" si="1"/>
        <v>{"valorA":"satisfeito","valorB":1.0}</v>
      </c>
      <c r="E43" s="8" t="str">
        <f t="shared" si="2"/>
        <v>satisfeito</v>
      </c>
      <c r="F43" s="8" t="str">
        <f>IFERROR(__xludf.DUMMYFUNCTION("""COMPUTED_VALUE"""),"como")</f>
        <v>como</v>
      </c>
      <c r="G43" s="8" t="str">
        <f t="shared" si="3"/>
        <v>1.0</v>
      </c>
      <c r="H43" s="9">
        <f t="shared" si="4"/>
        <v>1</v>
      </c>
      <c r="I43" s="10">
        <f>IFERROR(__xludf.DUMMYFUNCTION("MAX(FILTER($H:$H,$E:$E=F43))"),2.0)</f>
        <v>2</v>
      </c>
    </row>
    <row r="44">
      <c r="A44" s="4"/>
      <c r="C44" s="4" t="s">
        <v>197</v>
      </c>
      <c r="D44" s="4" t="str">
        <f t="shared" si="1"/>
        <v>{"valorA":"é","valorB":2.0}</v>
      </c>
      <c r="E44" s="8" t="str">
        <f t="shared" si="2"/>
        <v>é</v>
      </c>
      <c r="F44" s="8" t="str">
        <f>IFERROR(__xludf.DUMMYFUNCTION("""COMPUTED_VALUE"""),"adoro")</f>
        <v>adoro</v>
      </c>
      <c r="G44" s="8" t="str">
        <f t="shared" si="3"/>
        <v>2.0</v>
      </c>
      <c r="H44" s="9">
        <f t="shared" si="4"/>
        <v>2</v>
      </c>
      <c r="I44" s="10">
        <f>IFERROR(__xludf.DUMMYFUNCTION("MAX(FILTER($H:$H,$E:$E=F44))"),1.0)</f>
        <v>1</v>
      </c>
    </row>
    <row r="45">
      <c r="A45" s="4"/>
      <c r="C45" s="4" t="s">
        <v>277</v>
      </c>
      <c r="D45" s="4" t="str">
        <f t="shared" si="1"/>
        <v>{"valorA":"recomendo","valorB":2.0}</v>
      </c>
      <c r="E45" s="8" t="str">
        <f t="shared" si="2"/>
        <v>recomendo</v>
      </c>
      <c r="F45" s="8" t="str">
        <f>IFERROR(__xludf.DUMMYFUNCTION("""COMPUTED_VALUE"""),"relogio")</f>
        <v>relogio</v>
      </c>
      <c r="G45" s="8" t="str">
        <f t="shared" si="3"/>
        <v>2.0</v>
      </c>
      <c r="H45" s="9">
        <f t="shared" si="4"/>
        <v>2</v>
      </c>
      <c r="I45" s="10">
        <f>IFERROR(__xludf.DUMMYFUNCTION("MAX(FILTER($H:$H,$E:$E=F45))"),3.0)</f>
        <v>3</v>
      </c>
    </row>
    <row r="46">
      <c r="A46" s="4"/>
      <c r="C46" s="4" t="s">
        <v>992</v>
      </c>
      <c r="D46" s="4" t="str">
        <f t="shared" si="1"/>
        <v>{"valorA":"serviço","valorB":1.0}</v>
      </c>
      <c r="E46" s="8" t="str">
        <f t="shared" si="2"/>
        <v>serviço</v>
      </c>
      <c r="F46" s="8" t="str">
        <f>IFERROR(__xludf.DUMMYFUNCTION("""COMPUTED_VALUE"""),"meu")</f>
        <v>meu</v>
      </c>
      <c r="G46" s="8" t="str">
        <f t="shared" si="3"/>
        <v>1.0</v>
      </c>
      <c r="H46" s="9">
        <f t="shared" si="4"/>
        <v>1</v>
      </c>
      <c r="I46" s="10">
        <f>IFERROR(__xludf.DUMMYFUNCTION("MAX(FILTER($H:$H,$E:$E=F46))"),6.0)</f>
        <v>6</v>
      </c>
    </row>
    <row r="47">
      <c r="A47" s="4"/>
      <c r="C47" s="4" t="s">
        <v>268</v>
      </c>
      <c r="D47" s="4" t="str">
        <f t="shared" si="1"/>
        <v>{"valorA":"bem","valorB":3.0}</v>
      </c>
      <c r="E47" s="8" t="str">
        <f t="shared" si="2"/>
        <v>bem</v>
      </c>
      <c r="F47" s="8" t="str">
        <f>IFERROR(__xludf.DUMMYFUNCTION("""COMPUTED_VALUE"""),"eu")</f>
        <v>eu</v>
      </c>
      <c r="G47" s="8" t="str">
        <f t="shared" si="3"/>
        <v>3.0</v>
      </c>
      <c r="H47" s="9">
        <f t="shared" si="4"/>
        <v>3</v>
      </c>
      <c r="I47" s="10">
        <f>IFERROR(__xludf.DUMMYFUNCTION("MAX(FILTER($H:$H,$E:$E=F47))"),1.0)</f>
        <v>1</v>
      </c>
    </row>
    <row r="48">
      <c r="A48" s="4"/>
      <c r="C48" s="4" t="s">
        <v>309</v>
      </c>
      <c r="D48" s="4" t="str">
        <f t="shared" si="1"/>
        <v>{"valorA":"incrível","valorB":2.0}</v>
      </c>
      <c r="E48" s="8" t="str">
        <f t="shared" si="2"/>
        <v>incrível</v>
      </c>
      <c r="F48" s="8" t="str">
        <f>IFERROR(__xludf.DUMMYFUNCTION("""COMPUTED_VALUE"""),"gosto")</f>
        <v>gosto</v>
      </c>
      <c r="G48" s="8" t="str">
        <f t="shared" si="3"/>
        <v>2.0</v>
      </c>
      <c r="H48" s="9">
        <f t="shared" si="4"/>
        <v>2</v>
      </c>
      <c r="I48" s="10">
        <f>IFERROR(__xludf.DUMMYFUNCTION("MAX(FILTER($H:$H,$E:$E=F48))"),1.0)</f>
        <v>1</v>
      </c>
    </row>
    <row r="49">
      <c r="A49" s="4"/>
      <c r="C49" s="4" t="s">
        <v>4511</v>
      </c>
      <c r="D49" s="4" t="str">
        <f t="shared" si="1"/>
        <v>{"valorA":"condicionador","valorB":1.0}</v>
      </c>
      <c r="E49" s="8" t="str">
        <f t="shared" si="2"/>
        <v>condicionador</v>
      </c>
      <c r="F49" s="8" t="str">
        <f>IFERROR(__xludf.DUMMYFUNCTION("""COMPUTED_VALUE"""),"dele")</f>
        <v>dele</v>
      </c>
      <c r="G49" s="8" t="str">
        <f t="shared" si="3"/>
        <v>1.0</v>
      </c>
      <c r="H49" s="9">
        <f t="shared" si="4"/>
        <v>1</v>
      </c>
      <c r="I49" s="10">
        <f>IFERROR(__xludf.DUMMYFUNCTION("MAX(FILTER($H:$H,$E:$E=F49))"),1.0)</f>
        <v>1</v>
      </c>
    </row>
    <row r="50">
      <c r="A50" s="4"/>
      <c r="C50" s="4" t="s">
        <v>332</v>
      </c>
      <c r="D50" s="4" t="str">
        <f t="shared" si="1"/>
        <v>{"valorA":"o","valorB":2.0}</v>
      </c>
      <c r="E50" s="8" t="str">
        <f t="shared" si="2"/>
        <v>o</v>
      </c>
      <c r="F50" s="8" t="str">
        <f>IFERROR(__xludf.DUMMYFUNCTION("""COMPUTED_VALUE"""),"carro")</f>
        <v>carro</v>
      </c>
      <c r="G50" s="8" t="str">
        <f t="shared" si="3"/>
        <v>2.0</v>
      </c>
      <c r="H50" s="9">
        <f t="shared" si="4"/>
        <v>2</v>
      </c>
      <c r="I50" s="10">
        <f>IFERROR(__xludf.DUMMYFUNCTION("MAX(FILTER($H:$H,$E:$E=F50))"),3.0)</f>
        <v>3</v>
      </c>
    </row>
    <row r="51">
      <c r="A51" s="4"/>
      <c r="C51" s="4" t="s">
        <v>186</v>
      </c>
      <c r="D51" s="4" t="str">
        <f t="shared" si="1"/>
        <v>{"valorA":"de","valorB":2.0}</v>
      </c>
      <c r="E51" s="8" t="str">
        <f t="shared" si="2"/>
        <v>de</v>
      </c>
      <c r="F51" s="8" t="str">
        <f>IFERROR(__xludf.DUMMYFUNCTION("""COMPUTED_VALUE"""),"novo")</f>
        <v>novo</v>
      </c>
      <c r="G51" s="8" t="str">
        <f t="shared" si="3"/>
        <v>2.0</v>
      </c>
      <c r="H51" s="9">
        <f t="shared" si="4"/>
        <v>2</v>
      </c>
      <c r="I51" s="10">
        <f>IFERROR(__xludf.DUMMYFUNCTION("MAX(FILTER($H:$H,$E:$E=F51))"),2.0)</f>
        <v>2</v>
      </c>
    </row>
    <row r="52">
      <c r="A52" s="4"/>
      <c r="C52" s="4" t="s">
        <v>1034</v>
      </c>
      <c r="D52" s="4" t="str">
        <f t="shared" si="1"/>
        <v>{"valorA":"ar","valorB":1.0}</v>
      </c>
      <c r="E52" s="8" t="str">
        <f t="shared" si="2"/>
        <v>ar</v>
      </c>
      <c r="F52" s="8" t="str">
        <f>IFERROR(__xludf.DUMMYFUNCTION("""COMPUTED_VALUE"""),"relojoeir")</f>
        <v>relojoeir</v>
      </c>
      <c r="G52" s="8" t="str">
        <f t="shared" si="3"/>
        <v>1.0</v>
      </c>
      <c r="H52" s="9">
        <f t="shared" si="4"/>
        <v>1</v>
      </c>
      <c r="I52" s="10">
        <f>IFERROR(__xludf.DUMMYFUNCTION("MAX(FILTER($H:$H,$E:$E=F52))"),2.0)</f>
        <v>2</v>
      </c>
    </row>
    <row r="53">
      <c r="A53" s="4"/>
      <c r="C53" s="4" t="s">
        <v>616</v>
      </c>
      <c r="D53" s="4" t="str">
        <f t="shared" si="1"/>
        <v>{"valorA":"produto","valorB":7.0}</v>
      </c>
      <c r="E53" s="8" t="str">
        <f t="shared" si="2"/>
        <v>produto</v>
      </c>
      <c r="F53" s="8" t="str">
        <f>IFERROR(__xludf.DUMMYFUNCTION("""COMPUTED_VALUE"""),"qualidade")</f>
        <v>qualidade</v>
      </c>
      <c r="G53" s="8" t="str">
        <f t="shared" si="3"/>
        <v>7.0</v>
      </c>
      <c r="H53" s="9">
        <f t="shared" si="4"/>
        <v>7</v>
      </c>
      <c r="I53" s="10">
        <f>IFERROR(__xludf.DUMMYFUNCTION("MAX(FILTER($H:$H,$E:$E=F53))"),4.0)</f>
        <v>4</v>
      </c>
    </row>
    <row r="54">
      <c r="A54" s="4"/>
      <c r="C54" s="4" t="s">
        <v>621</v>
      </c>
      <c r="D54" s="4" t="str">
        <f t="shared" si="1"/>
        <v>{"valorA":"ótimo","valorB":11.0}</v>
      </c>
      <c r="E54" s="8" t="str">
        <f t="shared" si="2"/>
        <v>ótimo</v>
      </c>
      <c r="F54" s="8" t="str">
        <f>IFERROR(__xludf.DUMMYFUNCTION("""COMPUTED_VALUE"""),"com")</f>
        <v>com</v>
      </c>
      <c r="G54" s="8" t="str">
        <f t="shared" si="3"/>
        <v>11.0</v>
      </c>
      <c r="H54" s="9">
        <f t="shared" si="4"/>
        <v>11</v>
      </c>
      <c r="I54" s="10">
        <f>IFERROR(__xludf.DUMMYFUNCTION("MAX(FILTER($H:$H,$E:$E=F54))"),3.0)</f>
        <v>3</v>
      </c>
    </row>
    <row r="55">
      <c r="A55" s="4"/>
      <c r="C55" s="4" t="s">
        <v>228</v>
      </c>
      <c r="D55" s="4" t="str">
        <f t="shared" si="1"/>
        <v>{"valorA":"esse","valorB":2.0}</v>
      </c>
      <c r="E55" s="8" t="str">
        <f t="shared" si="2"/>
        <v>esse</v>
      </c>
      <c r="F55" s="8" t="str">
        <f>IFERROR(__xludf.DUMMYFUNCTION("""COMPUTED_VALUE"""),"excelente")</f>
        <v>excelente</v>
      </c>
      <c r="G55" s="8" t="str">
        <f t="shared" si="3"/>
        <v>2.0</v>
      </c>
      <c r="H55" s="9">
        <f t="shared" si="4"/>
        <v>2</v>
      </c>
      <c r="I55" s="10">
        <f>IFERROR(__xludf.DUMMYFUNCTION("MAX(FILTER($H:$H,$E:$E=F55))"),2.0)</f>
        <v>2</v>
      </c>
    </row>
    <row r="56">
      <c r="A56" s="4"/>
      <c r="C56" s="4" t="s">
        <v>246</v>
      </c>
      <c r="D56" s="4" t="str">
        <f t="shared" si="1"/>
        <v>{"valorA":"muito","valorB":4.0}</v>
      </c>
      <c r="E56" s="8" t="str">
        <f t="shared" si="2"/>
        <v>muito</v>
      </c>
      <c r="F56" s="8" t="str">
        <f>IFERROR(__xludf.DUMMYFUNCTION("""COMPUTED_VALUE"""),"um")</f>
        <v>um</v>
      </c>
      <c r="G56" s="8" t="str">
        <f t="shared" si="3"/>
        <v>4.0</v>
      </c>
      <c r="H56" s="9">
        <f t="shared" si="4"/>
        <v>4</v>
      </c>
      <c r="I56" s="10">
        <f>IFERROR(__xludf.DUMMYFUNCTION("MAX(FILTER($H:$H,$E:$E=F56))"),3.0)</f>
        <v>3</v>
      </c>
    </row>
    <row r="57">
      <c r="A57" s="4"/>
      <c r="C57" s="4" t="s">
        <v>361</v>
      </c>
      <c r="D57" s="4" t="str">
        <f t="shared" si="1"/>
        <v>{"valorA":"loja","valorB":1.0}</v>
      </c>
      <c r="E57" s="8" t="str">
        <f t="shared" si="2"/>
        <v>loja</v>
      </c>
      <c r="F57" s="8" t="str">
        <f>IFERROR(__xludf.DUMMYFUNCTION("""COMPUTED_VALUE"""),"preço")</f>
        <v>preço</v>
      </c>
      <c r="G57" s="8" t="str">
        <f t="shared" si="3"/>
        <v>1.0</v>
      </c>
      <c r="H57" s="9">
        <f t="shared" si="4"/>
        <v>1</v>
      </c>
      <c r="I57" s="10">
        <f>IFERROR(__xludf.DUMMYFUNCTION("MAX(FILTER($H:$H,$E:$E=F57))"),2.0)</f>
        <v>2</v>
      </c>
    </row>
    <row r="58">
      <c r="A58" s="4"/>
      <c r="C58" s="4" t="s">
        <v>636</v>
      </c>
      <c r="D58" s="4" t="str">
        <f t="shared" si="1"/>
        <v>{"valorA":"funciona","valorB":3.0}</v>
      </c>
      <c r="E58" s="8" t="str">
        <f t="shared" si="2"/>
        <v>funciona</v>
      </c>
      <c r="F58" s="8" t="str">
        <f>IFERROR(__xludf.DUMMYFUNCTION("""COMPUTED_VALUE"""),"ajuda")</f>
        <v>ajuda</v>
      </c>
      <c r="G58" s="8" t="str">
        <f t="shared" si="3"/>
        <v>3.0</v>
      </c>
      <c r="H58" s="9">
        <f t="shared" si="4"/>
        <v>3</v>
      </c>
      <c r="I58" s="10">
        <f>IFERROR(__xludf.DUMMYFUNCTION("MAX(FILTER($H:$H,$E:$E=F58))"),2.0)</f>
        <v>2</v>
      </c>
    </row>
    <row r="59">
      <c r="A59" s="4"/>
      <c r="C59" s="4" t="s">
        <v>323</v>
      </c>
      <c r="D59" s="4" t="str">
        <f t="shared" si="1"/>
        <v>{"valorA":"da","valorB":1.0}</v>
      </c>
      <c r="E59" s="8" t="str">
        <f t="shared" si="2"/>
        <v>da</v>
      </c>
      <c r="F59" s="8" t="str">
        <f>IFERROR(__xludf.DUMMYFUNCTION("""COMPUTED_VALUE"""),"valeu")</f>
        <v>valeu</v>
      </c>
      <c r="G59" s="8" t="str">
        <f t="shared" si="3"/>
        <v>1.0</v>
      </c>
      <c r="H59" s="9">
        <f t="shared" si="4"/>
        <v>1</v>
      </c>
      <c r="I59" s="10">
        <f>IFERROR(__xludf.DUMMYFUNCTION("MAX(FILTER($H:$H,$E:$E=F59))"),1.0)</f>
        <v>1</v>
      </c>
    </row>
    <row r="60">
      <c r="A60" s="4"/>
      <c r="C60" s="4" t="s">
        <v>276</v>
      </c>
      <c r="D60" s="4" t="str">
        <f t="shared" si="1"/>
        <v>{"valorA":"é","valorB":3.0}</v>
      </c>
      <c r="E60" s="8" t="str">
        <f t="shared" si="2"/>
        <v>é</v>
      </c>
      <c r="F60" s="8" t="str">
        <f>IFERROR(__xludf.DUMMYFUNCTION("""COMPUTED_VALUE"""),"saudável")</f>
        <v>saudável</v>
      </c>
      <c r="G60" s="8" t="str">
        <f t="shared" si="3"/>
        <v>3.0</v>
      </c>
      <c r="H60" s="9">
        <f t="shared" si="4"/>
        <v>3</v>
      </c>
      <c r="I60" s="10">
        <f>IFERROR(__xludf.DUMMYFUNCTION("MAX(FILTER($H:$H,$E:$E=F60))"),1.0)</f>
        <v>1</v>
      </c>
    </row>
    <row r="61">
      <c r="A61" s="4"/>
      <c r="C61" s="4" t="s">
        <v>1295</v>
      </c>
      <c r="D61" s="4" t="str">
        <f t="shared" si="1"/>
        <v>{"valorA":"dura","valorB":1.0}</v>
      </c>
      <c r="E61" s="8" t="str">
        <f t="shared" si="2"/>
        <v>dura</v>
      </c>
      <c r="F61" s="8" t="str">
        <f>IFERROR(__xludf.DUMMYFUNCTION("""COMPUTED_VALUE"""),"pena")</f>
        <v>pena</v>
      </c>
      <c r="G61" s="8" t="str">
        <f t="shared" si="3"/>
        <v>1.0</v>
      </c>
      <c r="H61" s="9">
        <f t="shared" si="4"/>
        <v>1</v>
      </c>
      <c r="I61" s="10">
        <f>IFERROR(__xludf.DUMMYFUNCTION("MAX(FILTER($H:$H,$E:$E=F61))"),1.0)</f>
        <v>1</v>
      </c>
    </row>
    <row r="62">
      <c r="A62" s="4"/>
      <c r="C62" s="4" t="s">
        <v>369</v>
      </c>
      <c r="D62" s="4" t="str">
        <f t="shared" si="1"/>
        <v>{"valorA":"incrível","valorB":3.0}</v>
      </c>
      <c r="E62" s="8" t="str">
        <f t="shared" si="2"/>
        <v>incrível</v>
      </c>
      <c r="F62" s="8" t="str">
        <f>IFERROR(__xludf.DUMMYFUNCTION("""COMPUTED_VALUE"""),"me")</f>
        <v>me</v>
      </c>
      <c r="G62" s="8" t="str">
        <f t="shared" si="3"/>
        <v>3.0</v>
      </c>
      <c r="H62" s="9">
        <f t="shared" si="4"/>
        <v>3</v>
      </c>
      <c r="I62" s="10">
        <f>IFERROR(__xludf.DUMMYFUNCTION("MAX(FILTER($H:$H,$E:$E=F62))"),2.0)</f>
        <v>2</v>
      </c>
    </row>
    <row r="63">
      <c r="A63" s="4"/>
      <c r="C63" s="4" t="s">
        <v>223</v>
      </c>
      <c r="D63" s="4" t="str">
        <f t="shared" si="1"/>
        <v>{"valorA":"e","valorB":2.0}</v>
      </c>
      <c r="E63" s="8" t="str">
        <f t="shared" si="2"/>
        <v>e</v>
      </c>
      <c r="F63" s="8" t="str">
        <f>IFERROR(__xludf.DUMMYFUNCTION("""COMPUTED_VALUE"""),"creme")</f>
        <v>creme</v>
      </c>
      <c r="G63" s="8" t="str">
        <f t="shared" si="3"/>
        <v>2.0</v>
      </c>
      <c r="H63" s="9">
        <f t="shared" si="4"/>
        <v>2</v>
      </c>
      <c r="I63" s="10">
        <f>IFERROR(__xludf.DUMMYFUNCTION("MAX(FILTER($H:$H,$E:$E=F63))"),1.0)</f>
        <v>1</v>
      </c>
    </row>
    <row r="64">
      <c r="A64" s="4"/>
      <c r="C64" s="4" t="s">
        <v>258</v>
      </c>
      <c r="D64" s="4" t="str">
        <f t="shared" si="1"/>
        <v>{"valorA":"produto","valorB":8.0}</v>
      </c>
      <c r="E64" s="8" t="str">
        <f t="shared" si="2"/>
        <v>produto</v>
      </c>
      <c r="F64" s="8" t="str">
        <f>IFERROR(__xludf.DUMMYFUNCTION("""COMPUTED_VALUE"""),"pele")</f>
        <v>pele</v>
      </c>
      <c r="G64" s="8" t="str">
        <f t="shared" si="3"/>
        <v>8.0</v>
      </c>
      <c r="H64" s="9">
        <f t="shared" si="4"/>
        <v>8</v>
      </c>
      <c r="I64" s="10">
        <f>IFERROR(__xludf.DUMMYFUNCTION("MAX(FILTER($H:$H,$E:$E=F64))"),1.0)</f>
        <v>1</v>
      </c>
    </row>
    <row r="65">
      <c r="A65" s="4"/>
      <c r="C65" s="4" t="s">
        <v>260</v>
      </c>
      <c r="D65" s="4" t="str">
        <f t="shared" si="1"/>
        <v>{"valorA":"gostei","valorB":2.0}</v>
      </c>
      <c r="E65" s="8" t="str">
        <f t="shared" si="2"/>
        <v>gostei</v>
      </c>
      <c r="F65" s="8" t="str">
        <f>IFERROR(__xludf.DUMMYFUNCTION("""COMPUTED_VALUE"""),"a")</f>
        <v>a</v>
      </c>
      <c r="G65" s="8" t="str">
        <f t="shared" si="3"/>
        <v>2.0</v>
      </c>
      <c r="H65" s="9">
        <f t="shared" si="4"/>
        <v>2</v>
      </c>
      <c r="I65" s="10">
        <f>IFERROR(__xludf.DUMMYFUNCTION("MAX(FILTER($H:$H,$E:$E=F65))"),2.0)</f>
        <v>2</v>
      </c>
    </row>
    <row r="66">
      <c r="A66" s="4"/>
      <c r="C66" s="4" t="s">
        <v>628</v>
      </c>
      <c r="D66" s="4" t="str">
        <f t="shared" si="1"/>
        <v>{"valorA":"ótimo","valorB":13.0}</v>
      </c>
      <c r="E66" s="8" t="str">
        <f t="shared" si="2"/>
        <v>ótimo</v>
      </c>
      <c r="F66" s="8" t="str">
        <f>IFERROR(__xludf.DUMMYFUNCTION("""COMPUTED_VALUE"""),"hidratante")</f>
        <v>hidratante</v>
      </c>
      <c r="G66" s="8" t="str">
        <f t="shared" si="3"/>
        <v>13.0</v>
      </c>
      <c r="H66" s="9">
        <f t="shared" si="4"/>
        <v>13</v>
      </c>
      <c r="I66" s="10">
        <f>IFERROR(__xludf.DUMMYFUNCTION("MAX(FILTER($H:$H,$E:$E=F66))"),1.0)</f>
        <v>1</v>
      </c>
    </row>
    <row r="67">
      <c r="A67" s="4"/>
      <c r="C67" s="4" t="s">
        <v>262</v>
      </c>
      <c r="D67" s="4" t="str">
        <f t="shared" si="1"/>
        <v>{"valorA":"muito","valorB":5.0}</v>
      </c>
      <c r="E67" s="8" t="str">
        <f t="shared" si="2"/>
        <v>muito</v>
      </c>
      <c r="F67" s="8" t="str">
        <f>IFERROR(__xludf.DUMMYFUNCTION("""COMPUTED_VALUE"""),"suave")</f>
        <v>suave</v>
      </c>
      <c r="G67" s="8" t="str">
        <f t="shared" si="3"/>
        <v>5.0</v>
      </c>
      <c r="H67" s="9">
        <f t="shared" si="4"/>
        <v>5</v>
      </c>
      <c r="I67" s="10">
        <f>IFERROR(__xludf.DUMMYFUNCTION("MAX(FILTER($H:$H,$E:$E=F67))"),1.0)</f>
        <v>1</v>
      </c>
    </row>
    <row r="68">
      <c r="A68" s="4"/>
      <c r="C68" s="4" t="s">
        <v>359</v>
      </c>
      <c r="D68" s="4" t="str">
        <f t="shared" si="1"/>
        <v>{"valorA":"como","valorB":1.0}</v>
      </c>
      <c r="E68" s="8" t="str">
        <f t="shared" si="2"/>
        <v>como</v>
      </c>
      <c r="F68" s="8" t="str">
        <f>IFERROR(__xludf.DUMMYFUNCTION("""COMPUTED_VALUE"""),"manter")</f>
        <v>manter</v>
      </c>
      <c r="G68" s="8" t="str">
        <f t="shared" si="3"/>
        <v>1.0</v>
      </c>
      <c r="H68" s="9">
        <f t="shared" si="4"/>
        <v>1</v>
      </c>
      <c r="I68" s="10">
        <f>IFERROR(__xludf.DUMMYFUNCTION("MAX(FILTER($H:$H,$E:$E=F68))"),1.0)</f>
        <v>1</v>
      </c>
    </row>
    <row r="69">
      <c r="A69" s="4"/>
      <c r="C69" s="4" t="s">
        <v>418</v>
      </c>
      <c r="D69" s="4" t="str">
        <f t="shared" si="1"/>
        <v>{"valorA":"relojoeira","valorB":2.0}</v>
      </c>
      <c r="E69" s="8" t="str">
        <f t="shared" si="2"/>
        <v>relojoeira</v>
      </c>
      <c r="F69" s="8" t="str">
        <f>IFERROR(__xludf.DUMMYFUNCTION("""COMPUTED_VALUE"""),"desse")</f>
        <v>desse</v>
      </c>
      <c r="G69" s="8" t="str">
        <f t="shared" si="3"/>
        <v>2.0</v>
      </c>
      <c r="H69" s="9">
        <f t="shared" si="4"/>
        <v>2</v>
      </c>
      <c r="I69" s="10">
        <f>IFERROR(__xludf.DUMMYFUNCTION("MAX(FILTER($H:$H,$E:$E=F69))"),4.0)</f>
        <v>4</v>
      </c>
    </row>
    <row r="70">
      <c r="A70" s="4"/>
      <c r="C70" s="4" t="s">
        <v>288</v>
      </c>
      <c r="D70" s="4" t="str">
        <f t="shared" si="1"/>
        <v>{"valorA":"funciona","valorB":4.0}</v>
      </c>
      <c r="E70" s="8" t="str">
        <f t="shared" si="2"/>
        <v>funciona</v>
      </c>
      <c r="F70" s="8" t="str">
        <f>IFERROR(__xludf.DUMMYFUNCTION("""COMPUTED_VALUE"""),"totalmente")</f>
        <v>totalmente</v>
      </c>
      <c r="G70" s="8" t="str">
        <f t="shared" si="3"/>
        <v>4.0</v>
      </c>
      <c r="H70" s="9">
        <f t="shared" si="4"/>
        <v>4</v>
      </c>
      <c r="I70" s="10">
        <f>IFERROR(__xludf.DUMMYFUNCTION("MAX(FILTER($H:$H,$E:$E=F70))"),1.0)</f>
        <v>1</v>
      </c>
    </row>
    <row r="71">
      <c r="A71" s="4"/>
      <c r="C71" s="4" t="s">
        <v>5530</v>
      </c>
      <c r="D71" s="4" t="str">
        <f t="shared" si="1"/>
        <v>{"valorA":"adoro","valorB":1.0}</v>
      </c>
      <c r="E71" s="8" t="str">
        <f t="shared" si="2"/>
        <v>adoro</v>
      </c>
      <c r="F71" s="8" t="str">
        <f>IFERROR(__xludf.DUMMYFUNCTION("""COMPUTED_VALUE"""),"valor")</f>
        <v>valor</v>
      </c>
      <c r="G71" s="8" t="str">
        <f t="shared" si="3"/>
        <v>1.0</v>
      </c>
      <c r="H71" s="9">
        <f t="shared" si="4"/>
        <v>1</v>
      </c>
      <c r="I71" s="10">
        <f>IFERROR(__xludf.DUMMYFUNCTION("MAX(FILTER($H:$H,$E:$E=F71))"),1.0)</f>
        <v>1</v>
      </c>
    </row>
    <row r="72">
      <c r="A72" s="4"/>
      <c r="C72" s="4" t="s">
        <v>326</v>
      </c>
      <c r="D72" s="4" t="str">
        <f t="shared" si="1"/>
        <v>{"valorA":"é","valorB":5.0}</v>
      </c>
      <c r="E72" s="8" t="str">
        <f t="shared" si="2"/>
        <v>é</v>
      </c>
      <c r="F72" s="8" t="str">
        <f>IFERROR(__xludf.DUMMYFUNCTION("""COMPUTED_VALUE"""),"justificado")</f>
        <v>justificado</v>
      </c>
      <c r="G72" s="8" t="str">
        <f t="shared" si="3"/>
        <v>5.0</v>
      </c>
      <c r="H72" s="9">
        <f t="shared" si="4"/>
        <v>5</v>
      </c>
      <c r="I72" s="10">
        <f>IFERROR(__xludf.DUMMYFUNCTION("MAX(FILTER($H:$H,$E:$E=F72))"),1.0)</f>
        <v>1</v>
      </c>
    </row>
    <row r="73">
      <c r="A73" s="4"/>
      <c r="C73" s="4" t="s">
        <v>267</v>
      </c>
      <c r="D73" s="4" t="str">
        <f t="shared" si="1"/>
        <v>{"valorA":"relogio","valorB":1.0}</v>
      </c>
      <c r="E73" s="8" t="str">
        <f t="shared" si="2"/>
        <v>relogio</v>
      </c>
      <c r="F73" s="8" t="str">
        <f>IFERROR(__xludf.DUMMYFUNCTION("""COMPUTED_VALUE"""),"comentário")</f>
        <v>comentário</v>
      </c>
      <c r="G73" s="8" t="str">
        <f t="shared" si="3"/>
        <v>1.0</v>
      </c>
      <c r="H73" s="9">
        <f t="shared" si="4"/>
        <v>1</v>
      </c>
      <c r="I73" s="10">
        <f>IFERROR(__xludf.DUMMYFUNCTION("MAX(FILTER($H:$H,$E:$E=F73))"),1.0)</f>
        <v>1</v>
      </c>
    </row>
    <row r="74">
      <c r="A74" s="4"/>
      <c r="C74" s="4" t="s">
        <v>200</v>
      </c>
      <c r="D74" s="4" t="str">
        <f t="shared" si="1"/>
        <v>{"valorA":"meu","valorB":1.0}</v>
      </c>
      <c r="E74" s="8" t="str">
        <f t="shared" si="2"/>
        <v>meu</v>
      </c>
      <c r="F74" s="8" t="str">
        <f>IFERROR(__xludf.DUMMYFUNCTION("""COMPUTED_VALUE"""),"carrinho")</f>
        <v>carrinho</v>
      </c>
      <c r="G74" s="8" t="str">
        <f t="shared" si="3"/>
        <v>1.0</v>
      </c>
      <c r="H74" s="9">
        <f t="shared" si="4"/>
        <v>1</v>
      </c>
      <c r="I74" s="10">
        <f>IFERROR(__xludf.DUMMYFUNCTION("MAX(FILTER($H:$H,$E:$E=F74))"),1.0)</f>
        <v>1</v>
      </c>
    </row>
    <row r="75">
      <c r="A75" s="4"/>
      <c r="C75" s="4" t="s">
        <v>182</v>
      </c>
      <c r="D75" s="4" t="str">
        <f t="shared" si="1"/>
        <v>{"valorA":"usar","valorB":2.0}</v>
      </c>
      <c r="E75" s="8" t="str">
        <f t="shared" si="2"/>
        <v>usar</v>
      </c>
      <c r="F75" s="8" t="str">
        <f>IFERROR(__xludf.DUMMYFUNCTION("""COMPUTED_VALUE"""),"funcionou")</f>
        <v>funcionou</v>
      </c>
      <c r="G75" s="8" t="str">
        <f t="shared" si="3"/>
        <v>2.0</v>
      </c>
      <c r="H75" s="9">
        <f t="shared" si="4"/>
        <v>2</v>
      </c>
      <c r="I75" s="10">
        <f>IFERROR(__xludf.DUMMYFUNCTION("MAX(FILTER($H:$H,$E:$E=F75))"),1.0)</f>
        <v>1</v>
      </c>
    </row>
    <row r="76">
      <c r="A76" s="4"/>
      <c r="C76" s="4" t="s">
        <v>457</v>
      </c>
      <c r="D76" s="4" t="str">
        <f t="shared" si="1"/>
        <v>{"valorA":"incrível","valorB":4.0}</v>
      </c>
      <c r="E76" s="8" t="str">
        <f t="shared" si="2"/>
        <v>incrível</v>
      </c>
      <c r="F76" s="8" t="str">
        <f>IFERROR(__xludf.DUMMYFUNCTION("""COMPUTED_VALUE"""),"pouco")</f>
        <v>pouco</v>
      </c>
      <c r="G76" s="8" t="str">
        <f t="shared" si="3"/>
        <v>4.0</v>
      </c>
      <c r="H76" s="9">
        <f t="shared" si="4"/>
        <v>4</v>
      </c>
      <c r="I76" s="10">
        <f>IFERROR(__xludf.DUMMYFUNCTION("MAX(FILTER($H:$H,$E:$E=F76))"),1.0)</f>
        <v>1</v>
      </c>
    </row>
    <row r="77">
      <c r="A77" s="4"/>
      <c r="C77" s="4" t="s">
        <v>280</v>
      </c>
      <c r="D77" s="4" t="str">
        <f t="shared" si="1"/>
        <v>{"valorA":"e","valorB":4.0}</v>
      </c>
      <c r="E77" s="8" t="str">
        <f t="shared" si="2"/>
        <v>e</v>
      </c>
      <c r="F77" s="8" t="str">
        <f>IFERROR(__xludf.DUMMYFUNCTION("""COMPUTED_VALUE"""),"paguei")</f>
        <v>paguei</v>
      </c>
      <c r="G77" s="8" t="str">
        <f t="shared" si="3"/>
        <v>4.0</v>
      </c>
      <c r="H77" s="9">
        <f t="shared" si="4"/>
        <v>4</v>
      </c>
      <c r="I77" s="10">
        <f>IFERROR(__xludf.DUMMYFUNCTION("MAX(FILTER($H:$H,$E:$E=F77))"),2.0)</f>
        <v>2</v>
      </c>
    </row>
    <row r="78">
      <c r="A78" s="4"/>
      <c r="C78" s="4" t="s">
        <v>255</v>
      </c>
      <c r="D78" s="4" t="str">
        <f t="shared" si="1"/>
        <v>{"valorA":"de","valorB":3.0}</v>
      </c>
      <c r="E78" s="8" t="str">
        <f t="shared" si="2"/>
        <v>de</v>
      </c>
      <c r="F78" s="8" t="str">
        <f>IFERROR(__xludf.DUMMYFUNCTION("""COMPUTED_VALUE"""),"ele")</f>
        <v>ele</v>
      </c>
      <c r="G78" s="8" t="str">
        <f t="shared" si="3"/>
        <v>3.0</v>
      </c>
      <c r="H78" s="9">
        <f t="shared" si="4"/>
        <v>3</v>
      </c>
      <c r="I78" s="10">
        <f>IFERROR(__xludf.DUMMYFUNCTION("MAX(FILTER($H:$H,$E:$E=F78))"),2.0)</f>
        <v>2</v>
      </c>
    </row>
    <row r="79">
      <c r="A79" s="4"/>
      <c r="C79" s="4" t="s">
        <v>732</v>
      </c>
      <c r="D79" s="4" t="str">
        <f t="shared" si="1"/>
        <v>{"valorA":"eu","valorB":1.0}</v>
      </c>
      <c r="E79" s="8" t="str">
        <f t="shared" si="2"/>
        <v>eu</v>
      </c>
      <c r="F79" s="8" t="str">
        <f>IFERROR(__xludf.DUMMYFUNCTION("""COMPUTED_VALUE"""),"cabelo")</f>
        <v>cabelo</v>
      </c>
      <c r="G79" s="8" t="str">
        <f t="shared" si="3"/>
        <v>1.0</v>
      </c>
      <c r="H79" s="9">
        <f t="shared" si="4"/>
        <v>1</v>
      </c>
      <c r="I79" s="10">
        <f>IFERROR(__xludf.DUMMYFUNCTION("MAX(FILTER($H:$H,$E:$E=F79))"),1.0)</f>
        <v>1</v>
      </c>
    </row>
    <row r="80">
      <c r="A80" s="4"/>
      <c r="C80" s="4" t="s">
        <v>187</v>
      </c>
      <c r="D80" s="4" t="str">
        <f t="shared" si="1"/>
        <v>{"valorA":"gosto","valorB":1.0}</v>
      </c>
      <c r="E80" s="8" t="str">
        <f t="shared" si="2"/>
        <v>gosto</v>
      </c>
      <c r="F80" s="8" t="str">
        <f>IFERROR(__xludf.DUMMYFUNCTION("""COMPUTED_VALUE"""),"refrigerante")</f>
        <v>refrigerante</v>
      </c>
      <c r="G80" s="8" t="str">
        <f t="shared" si="3"/>
        <v>1.0</v>
      </c>
      <c r="H80" s="9">
        <f t="shared" si="4"/>
        <v>1</v>
      </c>
      <c r="I80" s="10">
        <f>IFERROR(__xludf.DUMMYFUNCTION("MAX(FILTER($H:$H,$E:$E=F80))"),1.0)</f>
        <v>1</v>
      </c>
    </row>
    <row r="81">
      <c r="A81" s="4"/>
      <c r="C81" s="4" t="s">
        <v>5553</v>
      </c>
      <c r="D81" s="4" t="str">
        <f t="shared" si="1"/>
        <v>{"valorA":"dele","valorB":1.0}</v>
      </c>
      <c r="E81" s="8" t="str">
        <f t="shared" si="2"/>
        <v>dele</v>
      </c>
      <c r="F81" s="8" t="str">
        <f>IFERROR(__xludf.DUMMYFUNCTION("""COMPUTED_VALUE"""),"no")</f>
        <v>no</v>
      </c>
      <c r="G81" s="8" t="str">
        <f t="shared" si="3"/>
        <v>1.0</v>
      </c>
      <c r="H81" s="9">
        <f t="shared" si="4"/>
        <v>1</v>
      </c>
      <c r="I81" s="10">
        <f>IFERROR(__xludf.DUMMYFUNCTION("MAX(FILTER($H:$H,$E:$E=F81))"),1.0)</f>
        <v>1</v>
      </c>
    </row>
    <row r="82">
      <c r="A82" s="4"/>
      <c r="C82" s="4" t="s">
        <v>208</v>
      </c>
      <c r="D82" s="4" t="str">
        <f t="shared" si="1"/>
        <v>{"valorA":"carro","valorB":1.0}</v>
      </c>
      <c r="E82" s="8" t="str">
        <f t="shared" si="2"/>
        <v>carro</v>
      </c>
      <c r="F82" s="8" t="str">
        <f>IFERROR(__xludf.DUMMYFUNCTION("""COMPUTED_VALUE"""),"parece")</f>
        <v>parece</v>
      </c>
      <c r="G82" s="8" t="str">
        <f t="shared" si="3"/>
        <v>1.0</v>
      </c>
      <c r="H82" s="9">
        <f t="shared" si="4"/>
        <v>1</v>
      </c>
      <c r="I82" s="10">
        <f>IFERROR(__xludf.DUMMYFUNCTION("MAX(FILTER($H:$H,$E:$E=F82))"),1.0)</f>
        <v>1</v>
      </c>
    </row>
    <row r="83">
      <c r="A83" s="4"/>
      <c r="C83" s="4" t="s">
        <v>272</v>
      </c>
      <c r="D83" s="4" t="str">
        <f t="shared" si="1"/>
        <v>{"valorA":"produto","valorB":9.0}</v>
      </c>
      <c r="E83" s="8" t="str">
        <f t="shared" si="2"/>
        <v>produto</v>
      </c>
      <c r="F83" s="8" t="str">
        <f>IFERROR(__xludf.DUMMYFUNCTION("""COMPUTED_VALUE"""),"comprimento")</f>
        <v>comprimento</v>
      </c>
      <c r="G83" s="8" t="str">
        <f t="shared" si="3"/>
        <v>9.0</v>
      </c>
      <c r="H83" s="9">
        <f t="shared" si="4"/>
        <v>9</v>
      </c>
      <c r="I83" s="10">
        <f>IFERROR(__xludf.DUMMYFUNCTION("MAX(FILTER($H:$H,$E:$E=F83))"),2.0)</f>
        <v>2</v>
      </c>
    </row>
    <row r="84">
      <c r="A84" s="4"/>
      <c r="C84" s="4" t="s">
        <v>638</v>
      </c>
      <c r="D84" s="4" t="str">
        <f t="shared" si="1"/>
        <v>{"valorA":"ótimo","valorB":15.0}</v>
      </c>
      <c r="E84" s="8" t="str">
        <f t="shared" si="2"/>
        <v>ótimo</v>
      </c>
      <c r="F84" s="8" t="str">
        <f>IFERROR(__xludf.DUMMYFUNCTION("""COMPUTED_VALUE"""),"expresso")</f>
        <v>expresso</v>
      </c>
      <c r="G84" s="8" t="str">
        <f t="shared" si="3"/>
        <v>15.0</v>
      </c>
      <c r="H84" s="9">
        <f t="shared" si="4"/>
        <v>15</v>
      </c>
      <c r="I84" s="10">
        <f>IFERROR(__xludf.DUMMYFUNCTION("MAX(FILTER($H:$H,$E:$E=F84))"),1.0)</f>
        <v>1</v>
      </c>
    </row>
    <row r="85">
      <c r="A85" s="4"/>
      <c r="C85" s="4" t="s">
        <v>396</v>
      </c>
      <c r="D85" s="4" t="str">
        <f t="shared" si="1"/>
        <v>{"valorA":"fácil","valorB":2.0}</v>
      </c>
      <c r="E85" s="8" t="str">
        <f t="shared" si="2"/>
        <v>fácil</v>
      </c>
      <c r="F85" s="8" t="str">
        <f>IFERROR(__xludf.DUMMYFUNCTION("""COMPUTED_VALUE"""),"café")</f>
        <v>café</v>
      </c>
      <c r="G85" s="8" t="str">
        <f t="shared" si="3"/>
        <v>2.0</v>
      </c>
      <c r="H85" s="9">
        <f t="shared" si="4"/>
        <v>2</v>
      </c>
      <c r="I85" s="10">
        <f>IFERROR(__xludf.DUMMYFUNCTION("MAX(FILTER($H:$H,$E:$E=F85))"),4.0)</f>
        <v>4</v>
      </c>
    </row>
    <row r="86">
      <c r="A86" s="4"/>
      <c r="C86" s="4" t="s">
        <v>287</v>
      </c>
      <c r="D86" s="4" t="str">
        <f t="shared" si="1"/>
        <v>{"valorA":"perfeitamente","valorB":4.0}</v>
      </c>
      <c r="E86" s="8" t="str">
        <f t="shared" si="2"/>
        <v>perfeitamente</v>
      </c>
      <c r="F86" s="8" t="str">
        <f>IFERROR(__xludf.DUMMYFUNCTION("""COMPUTED_VALUE"""),"online")</f>
        <v>online</v>
      </c>
      <c r="G86" s="8" t="str">
        <f t="shared" si="3"/>
        <v>4.0</v>
      </c>
      <c r="H86" s="9">
        <f t="shared" si="4"/>
        <v>4</v>
      </c>
      <c r="I86" s="10">
        <f>IFERROR(__xludf.DUMMYFUNCTION("MAX(FILTER($H:$H,$E:$E=F86))"),1.0)</f>
        <v>1</v>
      </c>
    </row>
    <row r="87">
      <c r="A87" s="4"/>
      <c r="C87" s="4" t="s">
        <v>662</v>
      </c>
      <c r="D87" s="4" t="str">
        <f t="shared" si="1"/>
        <v>{"valorA":"muito","valorB":6.0}</v>
      </c>
      <c r="E87" s="8" t="str">
        <f t="shared" si="2"/>
        <v>muito</v>
      </c>
      <c r="F87" s="8" t="str">
        <f>IFERROR(__xludf.DUMMYFUNCTION("""COMPUTED_VALUE"""),"confortável")</f>
        <v>confortável</v>
      </c>
      <c r="G87" s="8" t="str">
        <f t="shared" si="3"/>
        <v>6.0</v>
      </c>
      <c r="H87" s="9">
        <f t="shared" si="4"/>
        <v>6</v>
      </c>
      <c r="I87" s="10">
        <f>IFERROR(__xludf.DUMMYFUNCTION("MAX(FILTER($H:$H,$E:$E=F87))"),2.0)</f>
        <v>2</v>
      </c>
    </row>
    <row r="88">
      <c r="A88" s="4"/>
      <c r="C88" s="4" t="s">
        <v>216</v>
      </c>
      <c r="D88" s="4" t="str">
        <f t="shared" si="1"/>
        <v>{"valorA":"novo","valorB":1.0}</v>
      </c>
      <c r="E88" s="8" t="str">
        <f t="shared" si="2"/>
        <v>novo</v>
      </c>
      <c r="F88" s="8" t="str">
        <f>IFERROR(__xludf.DUMMYFUNCTION("""COMPUTED_VALUE"""),"dessa")</f>
        <v>dessa</v>
      </c>
      <c r="G88" s="8" t="str">
        <f t="shared" si="3"/>
        <v>1.0</v>
      </c>
      <c r="H88" s="9">
        <f t="shared" si="4"/>
        <v>1</v>
      </c>
      <c r="I88" s="10">
        <f>IFERROR(__xludf.DUMMYFUNCTION("MAX(FILTER($H:$H,$E:$E=F88))"),1.0)</f>
        <v>1</v>
      </c>
    </row>
    <row r="89">
      <c r="A89" s="4"/>
      <c r="C89" s="4" t="s">
        <v>324</v>
      </c>
      <c r="D89" s="4" t="str">
        <f t="shared" si="1"/>
        <v>{"valorA":"funciona","valorB":6.0}</v>
      </c>
      <c r="E89" s="8" t="str">
        <f t="shared" si="2"/>
        <v>funciona</v>
      </c>
      <c r="F89" s="8" t="str">
        <f>IFERROR(__xludf.DUMMYFUNCTION("""COMPUTED_VALUE"""),"coment")</f>
        <v>coment</v>
      </c>
      <c r="G89" s="8" t="str">
        <f t="shared" si="3"/>
        <v>6.0</v>
      </c>
      <c r="H89" s="9">
        <f t="shared" si="4"/>
        <v>6</v>
      </c>
      <c r="I89" s="10">
        <f>IFERROR(__xludf.DUMMYFUNCTION("MAX(FILTER($H:$H,$E:$E=F89))"),1.0)</f>
        <v>1</v>
      </c>
    </row>
    <row r="90">
      <c r="A90" s="4"/>
      <c r="C90" s="4" t="s">
        <v>9042</v>
      </c>
      <c r="D90" s="4" t="str">
        <f t="shared" si="1"/>
        <v>{"valorA":"relojoeir","valorB":1.0}</v>
      </c>
      <c r="E90" s="8" t="str">
        <f t="shared" si="2"/>
        <v>relojoeir</v>
      </c>
      <c r="F90" s="8" t="str">
        <f>IFERROR(__xludf.DUMMYFUNCTION("""COMPUTED_VALUE"""),"ontem")</f>
        <v>ontem</v>
      </c>
      <c r="G90" s="8" t="str">
        <f t="shared" si="3"/>
        <v>1.0</v>
      </c>
      <c r="H90" s="9">
        <f t="shared" si="4"/>
        <v>1</v>
      </c>
      <c r="I90" s="10">
        <f>IFERROR(__xludf.DUMMYFUNCTION("MAX(FILTER($H:$H,$E:$E=F90))"),1.0)</f>
        <v>1</v>
      </c>
    </row>
    <row r="91">
      <c r="A91" s="4"/>
      <c r="C91" s="4" t="s">
        <v>325</v>
      </c>
      <c r="D91" s="4" t="str">
        <f t="shared" si="1"/>
        <v>{"valorA":"recomendo","valorB":3.0}</v>
      </c>
      <c r="E91" s="8" t="str">
        <f t="shared" si="2"/>
        <v>recomendo</v>
      </c>
      <c r="F91" s="8" t="str">
        <f>IFERROR(__xludf.DUMMYFUNCTION("""COMPUTED_VALUE"""),"comprei")</f>
        <v>comprei</v>
      </c>
      <c r="G91" s="8" t="str">
        <f t="shared" si="3"/>
        <v>3.0</v>
      </c>
      <c r="H91" s="9">
        <f t="shared" si="4"/>
        <v>3</v>
      </c>
      <c r="I91" s="10">
        <f>IFERROR(__xludf.DUMMYFUNCTION("MAX(FILTER($H:$H,$E:$E=F91))"),2.0)</f>
        <v>2</v>
      </c>
    </row>
    <row r="92">
      <c r="A92" s="4"/>
      <c r="C92" s="4" t="s">
        <v>346</v>
      </c>
      <c r="D92" s="4" t="str">
        <f t="shared" si="1"/>
        <v>{"valorA":"qualidade","valorB":1.0}</v>
      </c>
      <c r="E92" s="8" t="str">
        <f t="shared" si="2"/>
        <v>qualidade</v>
      </c>
      <c r="F92" s="8" t="str">
        <f>IFERROR(__xludf.DUMMYFUNCTION("""COMPUTED_VALUE"""),"brinquedo")</f>
        <v>brinquedo</v>
      </c>
      <c r="G92" s="8" t="str">
        <f t="shared" si="3"/>
        <v>1.0</v>
      </c>
      <c r="H92" s="9">
        <f t="shared" si="4"/>
        <v>1</v>
      </c>
      <c r="I92" s="10">
        <f>IFERROR(__xludf.DUMMYFUNCTION("MAX(FILTER($H:$H,$E:$E=F92))"),1.0)</f>
        <v>1</v>
      </c>
    </row>
    <row r="93">
      <c r="A93" s="4"/>
      <c r="C93" s="4" t="s">
        <v>290</v>
      </c>
      <c r="D93" s="4" t="str">
        <f t="shared" si="1"/>
        <v>{"valorA":"com","valorB":1.0}</v>
      </c>
      <c r="E93" s="8" t="str">
        <f t="shared" si="2"/>
        <v>com</v>
      </c>
      <c r="F93" s="8" t="str">
        <f>IFERROR(__xludf.DUMMYFUNCTION("""COMPUTED_VALUE"""),"adora")</f>
        <v>adora</v>
      </c>
      <c r="G93" s="8" t="str">
        <f t="shared" si="3"/>
        <v>1.0</v>
      </c>
      <c r="H93" s="9">
        <f t="shared" si="4"/>
        <v>1</v>
      </c>
      <c r="I93" s="10">
        <f>IFERROR(__xludf.DUMMYFUNCTION("MAX(FILTER($H:$H,$E:$E=F93))"),1.0)</f>
        <v>1</v>
      </c>
    </row>
    <row r="94">
      <c r="A94" s="4"/>
      <c r="C94" s="4" t="s">
        <v>1264</v>
      </c>
      <c r="D94" s="4" t="str">
        <f t="shared" si="1"/>
        <v>{"valorA":"incrível","valorB":5.0}</v>
      </c>
      <c r="E94" s="8" t="str">
        <f t="shared" si="2"/>
        <v>incrível</v>
      </c>
      <c r="F94" s="8" t="str">
        <f>IFERROR(__xludf.DUMMYFUNCTION("""COMPUTED_VALUE"""),"filho")</f>
        <v>filho</v>
      </c>
      <c r="G94" s="8" t="str">
        <f t="shared" si="3"/>
        <v>5.0</v>
      </c>
      <c r="H94" s="9">
        <f t="shared" si="4"/>
        <v>5</v>
      </c>
      <c r="I94" s="10">
        <f>IFERROR(__xludf.DUMMYFUNCTION("MAX(FILTER($H:$H,$E:$E=F94))"),1.0)</f>
        <v>1</v>
      </c>
    </row>
    <row r="95">
      <c r="A95" s="4"/>
      <c r="C95" s="4" t="s">
        <v>643</v>
      </c>
      <c r="D95" s="4" t="str">
        <f t="shared" si="1"/>
        <v>{"valorA":"produto","valorB":10.0}</v>
      </c>
      <c r="E95" s="8" t="str">
        <f t="shared" si="2"/>
        <v>produto</v>
      </c>
      <c r="F95" s="8" t="str">
        <f>IFERROR(__xludf.DUMMYFUNCTION("""COMPUTED_VALUE"""),"joystick")</f>
        <v>joystick</v>
      </c>
      <c r="G95" s="8" t="str">
        <f t="shared" si="3"/>
        <v>10.0</v>
      </c>
      <c r="H95" s="9">
        <f t="shared" si="4"/>
        <v>10</v>
      </c>
      <c r="I95" s="10">
        <f>IFERROR(__xludf.DUMMYFUNCTION("MAX(FILTER($H:$H,$E:$E=F95))"),1.0)</f>
        <v>1</v>
      </c>
    </row>
    <row r="96">
      <c r="A96" s="4"/>
      <c r="C96" s="4" t="s">
        <v>284</v>
      </c>
      <c r="D96" s="4" t="str">
        <f t="shared" si="1"/>
        <v>{"valorA":"ótimo","valorB":17.0}</v>
      </c>
      <c r="E96" s="8" t="str">
        <f t="shared" si="2"/>
        <v>ótimo</v>
      </c>
      <c r="F96" s="8" t="str">
        <f>IFERROR(__xludf.DUMMYFUNCTION("""COMPUTED_VALUE"""),"deste")</f>
        <v>deste</v>
      </c>
      <c r="G96" s="8" t="str">
        <f t="shared" si="3"/>
        <v>17.0</v>
      </c>
      <c r="H96" s="9">
        <f t="shared" si="4"/>
        <v>17</v>
      </c>
      <c r="I96" s="10">
        <f>IFERROR(__xludf.DUMMYFUNCTION("MAX(FILTER($H:$H,$E:$E=F96))"),1.0)</f>
        <v>1</v>
      </c>
    </row>
    <row r="97">
      <c r="A97" s="4"/>
      <c r="C97" s="4" t="s">
        <v>357</v>
      </c>
      <c r="D97" s="4" t="str">
        <f t="shared" si="1"/>
        <v>{"valorA":"excelente","valorB":1.0}</v>
      </c>
      <c r="E97" s="8" t="str">
        <f t="shared" si="2"/>
        <v>excelente</v>
      </c>
      <c r="F97" s="8" t="str">
        <f>IFERROR(__xludf.DUMMYFUNCTION("""COMPUTED_VALUE"""),"console")</f>
        <v>console</v>
      </c>
      <c r="G97" s="8" t="str">
        <f t="shared" si="3"/>
        <v>1.0</v>
      </c>
      <c r="H97" s="9">
        <f t="shared" si="4"/>
        <v>1</v>
      </c>
      <c r="I97" s="10">
        <f>IFERROR(__xludf.DUMMYFUNCTION("MAX(FILTER($H:$H,$E:$E=F97))"),1.0)</f>
        <v>1</v>
      </c>
    </row>
    <row r="98">
      <c r="A98" s="4"/>
      <c r="C98" s="4" t="s">
        <v>619</v>
      </c>
      <c r="D98" s="4" t="str">
        <f t="shared" si="1"/>
        <v>{"valorA":"um","valorB":1.0}</v>
      </c>
      <c r="E98" s="8" t="str">
        <f t="shared" si="2"/>
        <v>um</v>
      </c>
      <c r="F98" s="8" t="str">
        <f>IFERROR(__xludf.DUMMYFUNCTION("""COMPUTED_VALUE"""),"encanta")</f>
        <v>encanta</v>
      </c>
      <c r="G98" s="8" t="str">
        <f t="shared" si="3"/>
        <v>1.0</v>
      </c>
      <c r="H98" s="9">
        <f t="shared" si="4"/>
        <v>1</v>
      </c>
      <c r="I98" s="10">
        <f>IFERROR(__xludf.DUMMYFUNCTION("MAX(FILTER($H:$H,$E:$E=F98))"),1.0)</f>
        <v>1</v>
      </c>
    </row>
    <row r="99">
      <c r="A99" s="4"/>
      <c r="C99" s="4" t="s">
        <v>583</v>
      </c>
      <c r="D99" s="4" t="str">
        <f t="shared" si="1"/>
        <v>{"valorA":"preço","valorB":1.0}</v>
      </c>
      <c r="E99" s="8" t="str">
        <f t="shared" si="2"/>
        <v>preço</v>
      </c>
      <c r="F99" s="8" t="str">
        <f>IFERROR(__xludf.DUMMYFUNCTION("""COMPUTED_VALUE"""),"este")</f>
        <v>este</v>
      </c>
      <c r="G99" s="8" t="str">
        <f t="shared" si="3"/>
        <v>1.0</v>
      </c>
      <c r="H99" s="9">
        <f t="shared" si="4"/>
        <v>1</v>
      </c>
      <c r="I99" s="10">
        <f>IFERROR(__xludf.DUMMYFUNCTION("MAX(FILTER($H:$H,$E:$E=F99))"),1.0)</f>
        <v>1</v>
      </c>
    </row>
    <row r="100">
      <c r="A100" s="4"/>
      <c r="C100" s="4" t="s">
        <v>1256</v>
      </c>
      <c r="D100" s="4" t="str">
        <f t="shared" si="1"/>
        <v>{"valorA":"ajuda","valorB":1.0}</v>
      </c>
      <c r="E100" s="8" t="str">
        <f t="shared" si="2"/>
        <v>ajuda</v>
      </c>
      <c r="F100" s="8" t="str">
        <f>IFERROR(__xludf.DUMMYFUNCTION("""COMPUTED_VALUE"""),"maker")</f>
        <v>maker</v>
      </c>
      <c r="G100" s="8" t="str">
        <f t="shared" si="3"/>
        <v>1.0</v>
      </c>
      <c r="H100" s="9">
        <f t="shared" si="4"/>
        <v>1</v>
      </c>
      <c r="I100" s="10">
        <f>IFERROR(__xludf.DUMMYFUNCTION("MAX(FILTER($H:$H,$E:$E=F100))"),1.0)</f>
        <v>1</v>
      </c>
    </row>
    <row r="101">
      <c r="A101" s="4"/>
      <c r="C101" s="4" t="s">
        <v>600</v>
      </c>
      <c r="D101" s="4" t="str">
        <f t="shared" si="1"/>
        <v>{"valorA":"valeu","valorB":1.0}</v>
      </c>
      <c r="E101" s="8" t="str">
        <f t="shared" si="2"/>
        <v>valeu</v>
      </c>
      <c r="F101" s="8" t="str">
        <f>IFERROR(__xludf.DUMMYFUNCTION("""COMPUTED_VALUE"""),"sorveter")</f>
        <v>sorveter</v>
      </c>
      <c r="G101" s="8" t="str">
        <f t="shared" si="3"/>
        <v>1.0</v>
      </c>
      <c r="H101" s="9">
        <f t="shared" si="4"/>
        <v>1</v>
      </c>
      <c r="I101" s="10">
        <f>IFERROR(__xludf.DUMMYFUNCTION("MAX(FILTER($H:$H,$E:$E=F101))"),1.0)</f>
        <v>1</v>
      </c>
    </row>
    <row r="102">
      <c r="A102" s="4"/>
      <c r="C102" s="4" t="s">
        <v>9043</v>
      </c>
      <c r="D102" s="4" t="str">
        <f t="shared" si="1"/>
        <v>{"valorA":"saudável","valorB":1.0}</v>
      </c>
      <c r="E102" s="8" t="str">
        <f t="shared" si="2"/>
        <v>saudável</v>
      </c>
      <c r="F102" s="8" t="str">
        <f>IFERROR(__xludf.DUMMYFUNCTION("""COMPUTED_VALUE"""),"justo")</f>
        <v>justo</v>
      </c>
      <c r="G102" s="8" t="str">
        <f t="shared" si="3"/>
        <v>1.0</v>
      </c>
      <c r="H102" s="9">
        <f t="shared" si="4"/>
        <v>1</v>
      </c>
      <c r="I102" s="10">
        <f>IFERROR(__xludf.DUMMYFUNCTION("MAX(FILTER($H:$H,$E:$E=F102))"),1.0)</f>
        <v>1</v>
      </c>
    </row>
    <row r="103">
      <c r="A103" s="4"/>
      <c r="C103" s="4" t="s">
        <v>307</v>
      </c>
      <c r="D103" s="4" t="str">
        <f t="shared" si="1"/>
        <v>{"valorA":"pena","valorB":1.0}</v>
      </c>
      <c r="E103" s="8" t="str">
        <f t="shared" si="2"/>
        <v>pena</v>
      </c>
      <c r="F103" s="8" t="str">
        <f>IFERROR(__xludf.DUMMYFUNCTION("""COMPUTED_VALUE"""),"ela")</f>
        <v>ela</v>
      </c>
      <c r="G103" s="8" t="str">
        <f t="shared" si="3"/>
        <v>1.0</v>
      </c>
      <c r="H103" s="9">
        <f t="shared" si="4"/>
        <v>1</v>
      </c>
      <c r="I103" s="10">
        <f>IFERROR(__xludf.DUMMYFUNCTION("MAX(FILTER($H:$H,$E:$E=F103))"),1.0)</f>
        <v>1</v>
      </c>
    </row>
    <row r="104">
      <c r="A104" s="4"/>
      <c r="C104" s="4" t="s">
        <v>269</v>
      </c>
      <c r="D104" s="4" t="str">
        <f t="shared" si="1"/>
        <v>{"valorA":"me","valorB":1.0}</v>
      </c>
      <c r="E104" s="8" t="str">
        <f t="shared" si="2"/>
        <v>me</v>
      </c>
      <c r="F104" s="8" t="str">
        <f>IFERROR(__xludf.DUMMYFUNCTION("""COMPUTED_VALUE"""),"alta")</f>
        <v>alta</v>
      </c>
      <c r="G104" s="8" t="str">
        <f t="shared" si="3"/>
        <v>1.0</v>
      </c>
      <c r="H104" s="9">
        <f t="shared" si="4"/>
        <v>1</v>
      </c>
      <c r="I104" s="10">
        <f>IFERROR(__xludf.DUMMYFUNCTION("MAX(FILTER($H:$H,$E:$E=F104))"),1.0)</f>
        <v>1</v>
      </c>
    </row>
    <row r="105">
      <c r="A105" s="4"/>
      <c r="C105" s="4" t="s">
        <v>331</v>
      </c>
      <c r="D105" s="4" t="str">
        <f t="shared" si="1"/>
        <v>{"valorA":"e","valorB":5.0}</v>
      </c>
      <c r="E105" s="8" t="str">
        <f t="shared" si="2"/>
        <v>e</v>
      </c>
      <c r="F105" s="8" t="str">
        <f>IFERROR(__xludf.DUMMYFUNCTION("""COMPUTED_VALUE"""),"som")</f>
        <v>som</v>
      </c>
      <c r="G105" s="8" t="str">
        <f t="shared" si="3"/>
        <v>5.0</v>
      </c>
      <c r="H105" s="9">
        <f t="shared" si="4"/>
        <v>5</v>
      </c>
      <c r="I105" s="10">
        <f>IFERROR(__xludf.DUMMYFUNCTION("MAX(FILTER($H:$H,$E:$E=F105))"),1.0)</f>
        <v>1</v>
      </c>
    </row>
    <row r="106">
      <c r="A106" s="4"/>
      <c r="C106" s="4" t="s">
        <v>185</v>
      </c>
      <c r="D106" s="4" t="str">
        <f t="shared" si="1"/>
        <v>{"valorA":"creme","valorB":1.0}</v>
      </c>
      <c r="E106" s="8" t="str">
        <f t="shared" si="2"/>
        <v>creme</v>
      </c>
      <c r="F106" s="8" t="str">
        <f>IFERROR(__xludf.DUMMYFUNCTION("""COMPUTED_VALUE"""),"sistema")</f>
        <v>sistema</v>
      </c>
      <c r="G106" s="8" t="str">
        <f t="shared" si="3"/>
        <v>1.0</v>
      </c>
      <c r="H106" s="9">
        <f t="shared" si="4"/>
        <v>1</v>
      </c>
      <c r="I106" s="10">
        <f>IFERROR(__xludf.DUMMYFUNCTION("MAX(FILTER($H:$H,$E:$E=F106))"),1.0)</f>
        <v>1</v>
      </c>
    </row>
    <row r="107">
      <c r="A107" s="4"/>
      <c r="C107" s="4" t="s">
        <v>424</v>
      </c>
      <c r="D107" s="4" t="str">
        <f t="shared" si="1"/>
        <v>{"valorA":"pele","valorB":1.0}</v>
      </c>
      <c r="E107" s="8" t="str">
        <f t="shared" si="2"/>
        <v>pele</v>
      </c>
      <c r="F107" s="8" t="str">
        <f>IFERROR(__xludf.DUMMYFUNCTION("""COMPUTED_VALUE"""),"deseio")</f>
        <v>deseio</v>
      </c>
      <c r="G107" s="8" t="str">
        <f t="shared" si="3"/>
        <v>1.0</v>
      </c>
      <c r="H107" s="9">
        <f t="shared" si="4"/>
        <v>1</v>
      </c>
      <c r="I107" s="10">
        <f>IFERROR(__xludf.DUMMYFUNCTION("MAX(FILTER($H:$H,$E:$E=F107))"),1.0)</f>
        <v>1</v>
      </c>
    </row>
    <row r="108">
      <c r="A108" s="4"/>
      <c r="C108" s="4" t="s">
        <v>374</v>
      </c>
      <c r="D108" s="4" t="str">
        <f t="shared" si="1"/>
        <v>{"valorA":"carro","valorB":2.0}</v>
      </c>
      <c r="E108" s="8" t="str">
        <f t="shared" si="2"/>
        <v>carro</v>
      </c>
      <c r="F108" s="8" t="str">
        <f>IFERROR(__xludf.DUMMYFUNCTION("""COMPUTED_VALUE"""),"adorei")</f>
        <v>adorei</v>
      </c>
      <c r="G108" s="8" t="str">
        <f t="shared" si="3"/>
        <v>2.0</v>
      </c>
      <c r="H108" s="9">
        <f t="shared" si="4"/>
        <v>2</v>
      </c>
      <c r="I108" s="10">
        <f>IFERROR(__xludf.DUMMYFUNCTION("MAX(FILTER($H:$H,$E:$E=F108))"),1.0)</f>
        <v>1</v>
      </c>
    </row>
    <row r="109">
      <c r="A109" s="4"/>
      <c r="C109" s="4" t="s">
        <v>651</v>
      </c>
      <c r="D109" s="4" t="str">
        <f t="shared" si="1"/>
        <v>{"valorA":"produto","valorB":11.0}</v>
      </c>
      <c r="E109" s="8" t="str">
        <f t="shared" si="2"/>
        <v>produto</v>
      </c>
      <c r="F109" s="8" t="str">
        <f>IFERROR(__xludf.DUMMYFUNCTION("""COMPUTED_VALUE"""),"solar")</f>
        <v>solar</v>
      </c>
      <c r="G109" s="8" t="str">
        <f t="shared" si="3"/>
        <v>11.0</v>
      </c>
      <c r="H109" s="9">
        <f t="shared" si="4"/>
        <v>11</v>
      </c>
      <c r="I109" s="10">
        <f>IFERROR(__xludf.DUMMYFUNCTION("MAX(FILTER($H:$H,$E:$E=F109))"),1.0)</f>
        <v>1</v>
      </c>
    </row>
    <row r="110">
      <c r="A110" s="4"/>
      <c r="C110" s="4" t="s">
        <v>298</v>
      </c>
      <c r="D110" s="4" t="str">
        <f t="shared" si="1"/>
        <v>{"valorA":"ótimo","valorB":19.0}</v>
      </c>
      <c r="E110" s="8" t="str">
        <f t="shared" si="2"/>
        <v>ótimo</v>
      </c>
      <c r="F110" s="8" t="str">
        <f>IFERROR(__xludf.DUMMYFUNCTION("""COMPUTED_VALUE"""),"barato")</f>
        <v>barato</v>
      </c>
      <c r="G110" s="8" t="str">
        <f t="shared" si="3"/>
        <v>19.0</v>
      </c>
      <c r="H110" s="9">
        <f t="shared" si="4"/>
        <v>19</v>
      </c>
      <c r="I110" s="10">
        <f>IFERROR(__xludf.DUMMYFUNCTION("MAX(FILTER($H:$H,$E:$E=F110))"),1.0)</f>
        <v>1</v>
      </c>
    </row>
    <row r="111">
      <c r="A111" s="4"/>
      <c r="C111" s="4" t="s">
        <v>264</v>
      </c>
      <c r="D111" s="4" t="str">
        <f t="shared" si="1"/>
        <v>{"valorA":"a","valorB":2.0}</v>
      </c>
      <c r="E111" s="8" t="str">
        <f t="shared" si="2"/>
        <v>a</v>
      </c>
      <c r="F111" s="8" t="str">
        <f>IFERROR(__xludf.DUMMYFUNCTION("""COMPUTED_VALUE"""),"painel")</f>
        <v>painel</v>
      </c>
      <c r="G111" s="8" t="str">
        <f t="shared" si="3"/>
        <v>2.0</v>
      </c>
      <c r="H111" s="9">
        <f t="shared" si="4"/>
        <v>2</v>
      </c>
      <c r="I111" s="10">
        <f>IFERROR(__xludf.DUMMYFUNCTION("MAX(FILTER($H:$H,$E:$E=F111))"),1.0)</f>
        <v>1</v>
      </c>
    </row>
    <row r="112">
      <c r="A112" s="4"/>
      <c r="C112" s="4" t="s">
        <v>194</v>
      </c>
      <c r="D112" s="4" t="str">
        <f t="shared" si="1"/>
        <v>{"valorA":"hidratante","valorB":1.0}</v>
      </c>
      <c r="E112" s="8" t="str">
        <f t="shared" si="2"/>
        <v>hidratante</v>
      </c>
      <c r="F112" s="8" t="str">
        <f>IFERROR(__xludf.DUMMYFUNCTION("""COMPUTED_VALUE"""),"mais")</f>
        <v>mais</v>
      </c>
      <c r="G112" s="8" t="str">
        <f t="shared" si="3"/>
        <v>1.0</v>
      </c>
      <c r="H112" s="9">
        <f t="shared" si="4"/>
        <v>1</v>
      </c>
      <c r="I112" s="10">
        <f>IFERROR(__xludf.DUMMYFUNCTION("MAX(FILTER($H:$H,$E:$E=F112))"),1.0)</f>
        <v>1</v>
      </c>
    </row>
    <row r="113">
      <c r="A113" s="4"/>
      <c r="C113" s="4" t="s">
        <v>9044</v>
      </c>
      <c r="D113" s="4" t="str">
        <f t="shared" si="1"/>
        <v>{"valorA":"suave","valorB":1.0}</v>
      </c>
      <c r="E113" s="8" t="str">
        <f t="shared" si="2"/>
        <v>suave</v>
      </c>
      <c r="F113" s="8" t="str">
        <f>IFERROR(__xludf.DUMMYFUNCTION("""COMPUTED_VALUE"""),"minhas")</f>
        <v>minhas</v>
      </c>
      <c r="G113" s="8" t="str">
        <f t="shared" si="3"/>
        <v>1.0</v>
      </c>
      <c r="H113" s="9">
        <f t="shared" si="4"/>
        <v>1</v>
      </c>
      <c r="I113" s="10">
        <f>IFERROR(__xludf.DUMMYFUNCTION("MAX(FILTER($H:$H,$E:$E=F113))"),1.0)</f>
        <v>1</v>
      </c>
    </row>
    <row r="114">
      <c r="A114" s="4"/>
      <c r="C114" s="4" t="s">
        <v>1259</v>
      </c>
      <c r="D114" s="4" t="str">
        <f t="shared" si="1"/>
        <v>{"valorA":"manter","valorB":1.0}</v>
      </c>
      <c r="E114" s="8" t="str">
        <f t="shared" si="2"/>
        <v>manter</v>
      </c>
      <c r="F114" s="8" t="str">
        <f>IFERROR(__xludf.DUMMYFUNCTION("""COMPUTED_VALUE"""),"necessidades")</f>
        <v>necessidades</v>
      </c>
      <c r="G114" s="8" t="str">
        <f t="shared" si="3"/>
        <v>1.0</v>
      </c>
      <c r="H114" s="9">
        <f t="shared" si="4"/>
        <v>1</v>
      </c>
      <c r="I114" s="10">
        <f>IFERROR(__xludf.DUMMYFUNCTION("MAX(FILTER($H:$H,$E:$E=F114))"),1.0)</f>
        <v>1</v>
      </c>
    </row>
    <row r="115">
      <c r="A115" s="4"/>
      <c r="C115" s="4" t="s">
        <v>195</v>
      </c>
      <c r="D115" s="4" t="str">
        <f t="shared" si="1"/>
        <v>{"valorA":"desse","valorB":1.0}</v>
      </c>
      <c r="E115" s="8" t="str">
        <f t="shared" si="2"/>
        <v>desse</v>
      </c>
      <c r="F115" s="8" t="str">
        <f>IFERROR(__xludf.DUMMYFUNCTION("""COMPUTED_VALUE"""),"sofá")</f>
        <v>sofá</v>
      </c>
      <c r="G115" s="8" t="str">
        <f t="shared" si="3"/>
        <v>1.0</v>
      </c>
      <c r="H115" s="9">
        <f t="shared" si="4"/>
        <v>1</v>
      </c>
      <c r="I115" s="10">
        <f>IFERROR(__xludf.DUMMYFUNCTION("MAX(FILTER($H:$H,$E:$E=F115))"),1.0)</f>
        <v>1</v>
      </c>
    </row>
    <row r="116">
      <c r="A116" s="4"/>
      <c r="C116" s="4" t="s">
        <v>1272</v>
      </c>
      <c r="D116" s="4" t="str">
        <f t="shared" si="1"/>
        <v>{"valorA":"minha","valorB":2.0}</v>
      </c>
      <c r="E116" s="8" t="str">
        <f t="shared" si="2"/>
        <v>minha</v>
      </c>
      <c r="F116" s="8" t="str">
        <f>IFERROR(__xludf.DUMMYFUNCTION("""COMPUTED_VALUE"""),"perfeito")</f>
        <v>perfeito</v>
      </c>
      <c r="G116" s="8" t="str">
        <f t="shared" si="3"/>
        <v>2.0</v>
      </c>
      <c r="H116" s="9">
        <f t="shared" si="4"/>
        <v>2</v>
      </c>
      <c r="I116" s="10">
        <f>IFERROR(__xludf.DUMMYFUNCTION("MAX(FILTER($H:$H,$E:$E=F116))"),1.0)</f>
        <v>1</v>
      </c>
    </row>
    <row r="117">
      <c r="A117" s="4"/>
      <c r="C117" s="4" t="s">
        <v>1029</v>
      </c>
      <c r="D117" s="4" t="str">
        <f t="shared" si="1"/>
        <v>{"valorA":"totalmente","valorB":1.0}</v>
      </c>
      <c r="E117" s="8" t="str">
        <f t="shared" si="2"/>
        <v>totalmente</v>
      </c>
      <c r="F117" s="8" t="str">
        <f>IFERROR(__xludf.DUMMYFUNCTION("""COMPUTED_VALUE"""),"paraíso")</f>
        <v>paraíso</v>
      </c>
      <c r="G117" s="8" t="str">
        <f t="shared" si="3"/>
        <v>1.0</v>
      </c>
      <c r="H117" s="9">
        <f t="shared" si="4"/>
        <v>1</v>
      </c>
      <c r="I117" s="10">
        <f>IFERROR(__xludf.DUMMYFUNCTION("MAX(FILTER($H:$H,$E:$E=F117))"),1.0)</f>
        <v>1</v>
      </c>
    </row>
    <row r="118">
      <c r="A118" s="4"/>
      <c r="C118" s="4" t="s">
        <v>708</v>
      </c>
      <c r="D118" s="4" t="str">
        <f t="shared" si="1"/>
        <v>{"valorA":"valor","valorB":1.0}</v>
      </c>
      <c r="E118" s="8" t="str">
        <f t="shared" si="2"/>
        <v>valor</v>
      </c>
      <c r="F118" s="8" t="str">
        <f>IFERROR(__xludf.DUMMYFUNCTION("""COMPUTED_VALUE"""),"do")</f>
        <v>do</v>
      </c>
      <c r="G118" s="8" t="str">
        <f t="shared" si="3"/>
        <v>1.0</v>
      </c>
      <c r="H118" s="9">
        <f t="shared" si="4"/>
        <v>1</v>
      </c>
      <c r="I118" s="10">
        <f>IFERROR(__xludf.DUMMYFUNCTION("MAX(FILTER($H:$H,$E:$E=F118))"),2.0)</f>
        <v>2</v>
      </c>
    </row>
    <row r="119">
      <c r="A119" s="4"/>
      <c r="C119" s="4" t="s">
        <v>9045</v>
      </c>
      <c r="D119" s="4" t="str">
        <f t="shared" si="1"/>
        <v>{"valorA":"justificado","valorB":1.0}</v>
      </c>
      <c r="E119" s="8" t="str">
        <f t="shared" si="2"/>
        <v>justificado</v>
      </c>
      <c r="F119" s="8" t="str">
        <f>IFERROR(__xludf.DUMMYFUNCTION("""COMPUTED_VALUE"""),"resultado")</f>
        <v>resultado</v>
      </c>
      <c r="G119" s="8" t="str">
        <f t="shared" si="3"/>
        <v>1.0</v>
      </c>
      <c r="H119" s="9">
        <f t="shared" si="4"/>
        <v>1</v>
      </c>
      <c r="I119" s="10">
        <f>IFERROR(__xludf.DUMMYFUNCTION("MAX(FILTER($H:$H,$E:$E=F119))"),1.0)</f>
        <v>1</v>
      </c>
    </row>
    <row r="120">
      <c r="A120" s="4"/>
      <c r="C120" s="4" t="s">
        <v>661</v>
      </c>
      <c r="D120" s="4" t="str">
        <f t="shared" si="1"/>
        <v>{"valorA":"produto","valorB":13.0}</v>
      </c>
      <c r="E120" s="8" t="str">
        <f t="shared" si="2"/>
        <v>produto</v>
      </c>
      <c r="F120" s="8" t="str">
        <f>IFERROR(__xludf.DUMMYFUNCTION("""COMPUTED_VALUE"""),"final")</f>
        <v>final</v>
      </c>
      <c r="G120" s="8" t="str">
        <f t="shared" si="3"/>
        <v>13.0</v>
      </c>
      <c r="H120" s="9">
        <f t="shared" si="4"/>
        <v>13</v>
      </c>
      <c r="I120" s="10">
        <f>IFERROR(__xludf.DUMMYFUNCTION("MAX(FILTER($H:$H,$E:$E=F120))"),1.0)</f>
        <v>1</v>
      </c>
    </row>
    <row r="121">
      <c r="A121" s="4"/>
      <c r="C121" s="4" t="s">
        <v>677</v>
      </c>
      <c r="D121" s="4" t="str">
        <f t="shared" si="1"/>
        <v>{"valorA":"ótimo","valorB":21.0}</v>
      </c>
      <c r="E121" s="8" t="str">
        <f t="shared" si="2"/>
        <v>ótimo</v>
      </c>
      <c r="F121" s="8" t="str">
        <f>IFERROR(__xludf.DUMMYFUNCTION("""COMPUTED_VALUE"""),"sem")</f>
        <v>sem</v>
      </c>
      <c r="G121" s="8" t="str">
        <f t="shared" si="3"/>
        <v>21.0</v>
      </c>
      <c r="H121" s="9">
        <f t="shared" si="4"/>
        <v>21</v>
      </c>
      <c r="I121" s="10">
        <f>IFERROR(__xludf.DUMMYFUNCTION("MAX(FILTER($H:$H,$E:$E=F121))"),1.0)</f>
        <v>1</v>
      </c>
    </row>
    <row r="122">
      <c r="A122" s="4"/>
      <c r="C122" s="4" t="s">
        <v>274</v>
      </c>
      <c r="D122" s="4" t="str">
        <f t="shared" si="1"/>
        <v>{"valorA":"muito","valorB":7.0}</v>
      </c>
      <c r="E122" s="8" t="str">
        <f t="shared" si="2"/>
        <v>muito</v>
      </c>
      <c r="F122" s="8" t="str">
        <f>IFERROR(__xludf.DUMMYFUNCTION("""COMPUTED_VALUE"""),"sorvete")</f>
        <v>sorvete</v>
      </c>
      <c r="G122" s="8" t="str">
        <f t="shared" si="3"/>
        <v>7.0</v>
      </c>
      <c r="H122" s="9">
        <f t="shared" si="4"/>
        <v>7</v>
      </c>
      <c r="I122" s="10">
        <f>IFERROR(__xludf.DUMMYFUNCTION("MAX(FILTER($H:$H,$E:$E=F122))"),1.0)</f>
        <v>1</v>
      </c>
    </row>
    <row r="123">
      <c r="A123" s="4"/>
      <c r="C123" s="4" t="s">
        <v>340</v>
      </c>
      <c r="D123" s="4" t="str">
        <f t="shared" si="1"/>
        <v>{"valorA":"satisfeito","valorB":2.0}</v>
      </c>
      <c r="E123" s="8" t="str">
        <f t="shared" si="2"/>
        <v>satisfeito</v>
      </c>
      <c r="F123" s="8" t="str">
        <f>IFERROR(__xludf.DUMMYFUNCTION("""COMPUTED_VALUE"""),"comigo")</f>
        <v>comigo</v>
      </c>
      <c r="G123" s="8" t="str">
        <f t="shared" si="3"/>
        <v>2.0</v>
      </c>
      <c r="H123" s="9">
        <f t="shared" si="4"/>
        <v>2</v>
      </c>
      <c r="I123" s="10">
        <f>IFERROR(__xludf.DUMMYFUNCTION("MAX(FILTER($H:$H,$E:$E=F123))"),1.0)</f>
        <v>1</v>
      </c>
    </row>
    <row r="124">
      <c r="A124" s="4"/>
      <c r="C124" s="4" t="s">
        <v>1255</v>
      </c>
      <c r="D124" s="4" t="str">
        <f t="shared" si="1"/>
        <v>{"valorA":"é","valorB":7.0}</v>
      </c>
      <c r="E124" s="8" t="str">
        <f t="shared" si="2"/>
        <v>é</v>
      </c>
      <c r="F124" s="8" t="str">
        <f>IFERROR(__xludf.DUMMYFUNCTION("""COMPUTED_VALUE"""),"dieta")</f>
        <v>dieta</v>
      </c>
      <c r="G124" s="8" t="str">
        <f t="shared" si="3"/>
        <v>7.0</v>
      </c>
      <c r="H124" s="9">
        <f t="shared" si="4"/>
        <v>7</v>
      </c>
      <c r="I124" s="10">
        <f>IFERROR(__xludf.DUMMYFUNCTION("MAX(FILTER($H:$H,$E:$E=F124))"),1.0)</f>
        <v>1</v>
      </c>
    </row>
    <row r="125">
      <c r="A125" s="4"/>
      <c r="C125" s="4" t="s">
        <v>198</v>
      </c>
      <c r="D125" s="4" t="str">
        <f t="shared" si="1"/>
        <v>{"valorA":"comentário","valorB":1.0}</v>
      </c>
      <c r="E125" s="8" t="str">
        <f t="shared" si="2"/>
        <v>comentário</v>
      </c>
      <c r="F125" s="8" t="str">
        <f>IFERROR(__xludf.DUMMYFUNCTION("""COMPUTED_VALUE"""),"gluten")</f>
        <v>gluten</v>
      </c>
      <c r="G125" s="8" t="str">
        <f t="shared" si="3"/>
        <v>1.0</v>
      </c>
      <c r="H125" s="9">
        <f t="shared" si="4"/>
        <v>1</v>
      </c>
      <c r="I125" s="10">
        <f>IFERROR(__xludf.DUMMYFUNCTION("MAX(FILTER($H:$H,$E:$E=F125))"),1.0)</f>
        <v>1</v>
      </c>
    </row>
    <row r="126">
      <c r="A126" s="4"/>
      <c r="C126" s="4" t="s">
        <v>591</v>
      </c>
      <c r="D126" s="4" t="str">
        <f t="shared" si="1"/>
        <v>{"valorA":"qualidade","valorB":2.0}</v>
      </c>
      <c r="E126" s="8" t="str">
        <f t="shared" si="2"/>
        <v>qualidade</v>
      </c>
      <c r="F126" s="8"/>
      <c r="G126" s="8" t="str">
        <f t="shared" si="3"/>
        <v>2.0</v>
      </c>
      <c r="H126" s="9">
        <f t="shared" si="4"/>
        <v>2</v>
      </c>
      <c r="I126" s="6" t="str">
        <f>IFERROR(__xludf.DUMMYFUNCTION("MAX(FILTER($H:$H,$E:$E=F126))"),"#N/A")</f>
        <v>#N/A</v>
      </c>
    </row>
    <row r="127">
      <c r="A127" s="4"/>
      <c r="C127" s="4" t="s">
        <v>180</v>
      </c>
      <c r="D127" s="4" t="str">
        <f t="shared" si="1"/>
        <v>{"valorA":"carrinho","valorB":1.0}</v>
      </c>
      <c r="E127" s="8" t="str">
        <f t="shared" si="2"/>
        <v>carrinho</v>
      </c>
      <c r="F127" s="8"/>
      <c r="G127" s="8" t="str">
        <f t="shared" si="3"/>
        <v>1.0</v>
      </c>
      <c r="H127" s="9">
        <f t="shared" si="4"/>
        <v>1</v>
      </c>
      <c r="I127" s="6" t="str">
        <f>IFERROR(__xludf.DUMMYFUNCTION("MAX(FILTER($H:$H,$E:$E=F127))"),"#N/A")</f>
        <v>#N/A</v>
      </c>
    </row>
    <row r="128">
      <c r="A128" s="4"/>
      <c r="C128" s="4" t="s">
        <v>367</v>
      </c>
      <c r="D128" s="4" t="str">
        <f t="shared" si="1"/>
        <v>{"valorA":"meu","valorB":2.0}</v>
      </c>
      <c r="E128" s="8" t="str">
        <f t="shared" si="2"/>
        <v>meu</v>
      </c>
      <c r="F128" s="8"/>
      <c r="G128" s="8" t="str">
        <f t="shared" si="3"/>
        <v>2.0</v>
      </c>
      <c r="H128" s="9">
        <f t="shared" si="4"/>
        <v>2</v>
      </c>
      <c r="I128" s="6" t="str">
        <f>IFERROR(__xludf.DUMMYFUNCTION("MAX(FILTER($H:$H,$E:$E=F128))"),"#N/A")</f>
        <v>#N/A</v>
      </c>
    </row>
    <row r="129">
      <c r="A129" s="4"/>
      <c r="C129" s="4" t="s">
        <v>1281</v>
      </c>
      <c r="D129" s="4" t="str">
        <f t="shared" si="1"/>
        <v>{"valorA":"incrível","valorB":7.0}</v>
      </c>
      <c r="E129" s="8" t="str">
        <f t="shared" si="2"/>
        <v>incrível</v>
      </c>
      <c r="F129" s="8"/>
      <c r="G129" s="8" t="str">
        <f t="shared" si="3"/>
        <v>7.0</v>
      </c>
      <c r="H129" s="9">
        <f t="shared" si="4"/>
        <v>7</v>
      </c>
      <c r="I129" s="6" t="str">
        <f>IFERROR(__xludf.DUMMYFUNCTION("MAX(FILTER($H:$H,$E:$E=F129))"),"#N/A")</f>
        <v>#N/A</v>
      </c>
    </row>
    <row r="130">
      <c r="A130" s="4"/>
      <c r="C130" s="4" t="s">
        <v>293</v>
      </c>
      <c r="D130" s="4" t="str">
        <f t="shared" si="1"/>
        <v>{"valorA":"bem","valorB":4.0}</v>
      </c>
      <c r="E130" s="8" t="str">
        <f t="shared" si="2"/>
        <v>bem</v>
      </c>
      <c r="F130" s="8"/>
      <c r="G130" s="8" t="str">
        <f t="shared" si="3"/>
        <v>4.0</v>
      </c>
      <c r="H130" s="9">
        <f t="shared" si="4"/>
        <v>4</v>
      </c>
      <c r="I130" s="6" t="str">
        <f>IFERROR(__xludf.DUMMYFUNCTION("MAX(FILTER($H:$H,$E:$E=F130))"),"#N/A")</f>
        <v>#N/A</v>
      </c>
    </row>
    <row r="131">
      <c r="A131" s="4"/>
      <c r="C131" s="4" t="s">
        <v>371</v>
      </c>
      <c r="D131" s="4" t="str">
        <f t="shared" si="1"/>
        <v>{"valorA":"e","valorB":6.0}</v>
      </c>
      <c r="E131" s="8" t="str">
        <f t="shared" si="2"/>
        <v>e</v>
      </c>
      <c r="F131" s="8"/>
      <c r="G131" s="8" t="str">
        <f t="shared" si="3"/>
        <v>6.0</v>
      </c>
      <c r="H131" s="9">
        <f t="shared" si="4"/>
        <v>6</v>
      </c>
      <c r="I131" s="6" t="str">
        <f>IFERROR(__xludf.DUMMYFUNCTION("MAX(FILTER($H:$H,$E:$E=F131))"),"#N/A")</f>
        <v>#N/A</v>
      </c>
    </row>
    <row r="132">
      <c r="A132" s="4"/>
      <c r="C132" s="4" t="s">
        <v>9046</v>
      </c>
      <c r="D132" s="4" t="str">
        <f t="shared" si="1"/>
        <v>{"valorA":"funcionou","valorB":1.0}</v>
      </c>
      <c r="E132" s="8" t="str">
        <f t="shared" si="2"/>
        <v>funcionou</v>
      </c>
      <c r="F132" s="8"/>
      <c r="G132" s="8" t="str">
        <f t="shared" si="3"/>
        <v>1.0</v>
      </c>
      <c r="H132" s="9">
        <f t="shared" si="4"/>
        <v>1</v>
      </c>
      <c r="I132" s="6" t="str">
        <f>IFERROR(__xludf.DUMMYFUNCTION("MAX(FILTER($H:$H,$E:$E=F132))"),"#N/A")</f>
        <v>#N/A</v>
      </c>
    </row>
    <row r="133">
      <c r="A133" s="4"/>
      <c r="C133" s="4" t="s">
        <v>313</v>
      </c>
      <c r="D133" s="4" t="str">
        <f t="shared" si="1"/>
        <v>{"valorA":"produto","valorB":14.0}</v>
      </c>
      <c r="E133" s="8" t="str">
        <f t="shared" si="2"/>
        <v>produto</v>
      </c>
      <c r="F133" s="8"/>
      <c r="G133" s="8" t="str">
        <f t="shared" si="3"/>
        <v>14.0</v>
      </c>
      <c r="H133" s="9">
        <f t="shared" si="4"/>
        <v>14</v>
      </c>
      <c r="I133" s="6" t="str">
        <f>IFERROR(__xludf.DUMMYFUNCTION("MAX(FILTER($H:$H,$E:$E=F133))"),"#N/A")</f>
        <v>#N/A</v>
      </c>
    </row>
    <row r="134">
      <c r="A134" s="4"/>
      <c r="C134" s="4" t="s">
        <v>690</v>
      </c>
      <c r="D134" s="4" t="str">
        <f t="shared" si="1"/>
        <v>{"valorA":"ótimo","valorB":23.0}</v>
      </c>
      <c r="E134" s="8" t="str">
        <f t="shared" si="2"/>
        <v>ótimo</v>
      </c>
      <c r="F134" s="8"/>
      <c r="G134" s="8" t="str">
        <f t="shared" si="3"/>
        <v>23.0</v>
      </c>
      <c r="H134" s="9">
        <f t="shared" si="4"/>
        <v>23</v>
      </c>
      <c r="I134" s="6" t="str">
        <f>IFERROR(__xludf.DUMMYFUNCTION("MAX(FILTER($H:$H,$E:$E=F134))"),"#N/A")</f>
        <v>#N/A</v>
      </c>
    </row>
    <row r="135">
      <c r="A135" s="4"/>
      <c r="C135" s="4" t="s">
        <v>1262</v>
      </c>
      <c r="D135" s="4" t="str">
        <f t="shared" si="1"/>
        <v>{"valorA":"pouco","valorB":1.0}</v>
      </c>
      <c r="E135" s="8" t="str">
        <f t="shared" si="2"/>
        <v>pouco</v>
      </c>
      <c r="F135" s="8"/>
      <c r="G135" s="8" t="str">
        <f t="shared" si="3"/>
        <v>1.0</v>
      </c>
      <c r="H135" s="9">
        <f t="shared" si="4"/>
        <v>1</v>
      </c>
      <c r="I135" s="6" t="str">
        <f>IFERROR(__xludf.DUMMYFUNCTION("MAX(FILTER($H:$H,$E:$E=F135))"),"#N/A")</f>
        <v>#N/A</v>
      </c>
    </row>
    <row r="136">
      <c r="A136" s="4"/>
      <c r="C136" s="4" t="s">
        <v>577</v>
      </c>
      <c r="D136" s="4" t="str">
        <f t="shared" si="1"/>
        <v>{"valorA":"paguei","valorB":1.0}</v>
      </c>
      <c r="E136" s="8" t="str">
        <f t="shared" si="2"/>
        <v>paguei</v>
      </c>
      <c r="F136" s="8"/>
      <c r="G136" s="8" t="str">
        <f t="shared" si="3"/>
        <v>1.0</v>
      </c>
      <c r="H136" s="9">
        <f t="shared" si="4"/>
        <v>1</v>
      </c>
      <c r="I136" s="6" t="str">
        <f>IFERROR(__xludf.DUMMYFUNCTION("MAX(FILTER($H:$H,$E:$E=F136))"),"#N/A")</f>
        <v>#N/A</v>
      </c>
    </row>
    <row r="137">
      <c r="A137" s="4"/>
      <c r="C137" s="4" t="s">
        <v>1467</v>
      </c>
      <c r="D137" s="4" t="str">
        <f t="shared" si="1"/>
        <v>{"valorA":"excelente","valorB":2.0}</v>
      </c>
      <c r="E137" s="8" t="str">
        <f t="shared" si="2"/>
        <v>excelente</v>
      </c>
      <c r="F137" s="8"/>
      <c r="G137" s="8" t="str">
        <f t="shared" si="3"/>
        <v>2.0</v>
      </c>
      <c r="H137" s="9">
        <f t="shared" si="4"/>
        <v>2</v>
      </c>
      <c r="I137" s="6" t="str">
        <f>IFERROR(__xludf.DUMMYFUNCTION("MAX(FILTER($H:$H,$E:$E=F137))"),"#N/A")</f>
        <v>#N/A</v>
      </c>
    </row>
    <row r="138">
      <c r="A138" s="4"/>
      <c r="C138" s="4" t="s">
        <v>338</v>
      </c>
      <c r="D138" s="4" t="str">
        <f t="shared" si="1"/>
        <v>{"valorA":"perfeitamente","valorB":5.0}</v>
      </c>
      <c r="E138" s="8" t="str">
        <f t="shared" si="2"/>
        <v>perfeitamente</v>
      </c>
      <c r="F138" s="8"/>
      <c r="G138" s="8" t="str">
        <f t="shared" si="3"/>
        <v>5.0</v>
      </c>
      <c r="H138" s="9">
        <f t="shared" si="4"/>
        <v>5</v>
      </c>
      <c r="I138" s="6" t="str">
        <f>IFERROR(__xludf.DUMMYFUNCTION("MAX(FILTER($H:$H,$E:$E=F138))"),"#N/A")</f>
        <v>#N/A</v>
      </c>
    </row>
    <row r="139">
      <c r="A139" s="4"/>
      <c r="C139" s="4" t="s">
        <v>774</v>
      </c>
      <c r="D139" s="4" t="str">
        <f t="shared" si="1"/>
        <v>{"valorA":"como","valorB":2.0}</v>
      </c>
      <c r="E139" s="8" t="str">
        <f t="shared" si="2"/>
        <v>como</v>
      </c>
      <c r="F139" s="8"/>
      <c r="G139" s="8" t="str">
        <f t="shared" si="3"/>
        <v>2.0</v>
      </c>
      <c r="H139" s="9">
        <f t="shared" si="4"/>
        <v>2</v>
      </c>
      <c r="I139" s="6" t="str">
        <f>IFERROR(__xludf.DUMMYFUNCTION("MAX(FILTER($H:$H,$E:$E=F139))"),"#N/A")</f>
        <v>#N/A</v>
      </c>
    </row>
    <row r="140">
      <c r="A140" s="4"/>
      <c r="C140" s="4" t="s">
        <v>466</v>
      </c>
      <c r="D140" s="4" t="str">
        <f t="shared" si="1"/>
        <v>{"valorA":"relojoeira","valorB":3.0}</v>
      </c>
      <c r="E140" s="8" t="str">
        <f t="shared" si="2"/>
        <v>relojoeira</v>
      </c>
      <c r="F140" s="8"/>
      <c r="G140" s="8" t="str">
        <f t="shared" si="3"/>
        <v>3.0</v>
      </c>
      <c r="H140" s="9">
        <f t="shared" si="4"/>
        <v>3</v>
      </c>
      <c r="I140" s="6" t="str">
        <f>IFERROR(__xludf.DUMMYFUNCTION("MAX(FILTER($H:$H,$E:$E=F140))"),"#N/A")</f>
        <v>#N/A</v>
      </c>
    </row>
    <row r="141">
      <c r="A141" s="4"/>
      <c r="C141" s="4" t="s">
        <v>343</v>
      </c>
      <c r="D141" s="4" t="str">
        <f t="shared" si="1"/>
        <v>{"valorA":"funciona","valorB":7.0}</v>
      </c>
      <c r="E141" s="8" t="str">
        <f t="shared" si="2"/>
        <v>funciona</v>
      </c>
      <c r="F141" s="8"/>
      <c r="G141" s="8" t="str">
        <f t="shared" si="3"/>
        <v>7.0</v>
      </c>
      <c r="H141" s="9">
        <f t="shared" si="4"/>
        <v>7</v>
      </c>
      <c r="I141" s="6" t="str">
        <f>IFERROR(__xludf.DUMMYFUNCTION("MAX(FILTER($H:$H,$E:$E=F141))"),"#N/A")</f>
        <v>#N/A</v>
      </c>
    </row>
    <row r="142">
      <c r="A142" s="4"/>
      <c r="C142" s="4" t="s">
        <v>1149</v>
      </c>
      <c r="D142" s="4" t="str">
        <f t="shared" si="1"/>
        <v>{"valorA":"ele","valorB":1.0}</v>
      </c>
      <c r="E142" s="8" t="str">
        <f t="shared" si="2"/>
        <v>ele</v>
      </c>
      <c r="F142" s="8"/>
      <c r="G142" s="8" t="str">
        <f t="shared" si="3"/>
        <v>1.0</v>
      </c>
      <c r="H142" s="9">
        <f t="shared" si="4"/>
        <v>1</v>
      </c>
      <c r="I142" s="6" t="str">
        <f>IFERROR(__xludf.DUMMYFUNCTION("MAX(FILTER($H:$H,$E:$E=F142))"),"#N/A")</f>
        <v>#N/A</v>
      </c>
    </row>
    <row r="143">
      <c r="A143" s="4"/>
      <c r="C143" s="4" t="s">
        <v>328</v>
      </c>
      <c r="D143" s="4" t="str">
        <f t="shared" si="1"/>
        <v>{"valorA":"com","valorB":2.0}</v>
      </c>
      <c r="E143" s="8" t="str">
        <f t="shared" si="2"/>
        <v>com</v>
      </c>
      <c r="F143" s="8"/>
      <c r="G143" s="8" t="str">
        <f t="shared" si="3"/>
        <v>2.0</v>
      </c>
      <c r="H143" s="9">
        <f t="shared" si="4"/>
        <v>2</v>
      </c>
      <c r="I143" s="6" t="str">
        <f>IFERROR(__xludf.DUMMYFUNCTION("MAX(FILTER($H:$H,$E:$E=F143))"),"#N/A")</f>
        <v>#N/A</v>
      </c>
    </row>
    <row r="144">
      <c r="A144" s="4"/>
      <c r="C144" s="4" t="s">
        <v>707</v>
      </c>
      <c r="D144" s="4" t="str">
        <f t="shared" si="1"/>
        <v>{"valorA":"meu","valorB":3.0}</v>
      </c>
      <c r="E144" s="8" t="str">
        <f t="shared" si="2"/>
        <v>meu</v>
      </c>
      <c r="F144" s="8"/>
      <c r="G144" s="8" t="str">
        <f t="shared" si="3"/>
        <v>3.0</v>
      </c>
      <c r="H144" s="9">
        <f t="shared" si="4"/>
        <v>3</v>
      </c>
      <c r="I144" s="6" t="str">
        <f>IFERROR(__xludf.DUMMYFUNCTION("MAX(FILTER($H:$H,$E:$E=F144))"),"#N/A")</f>
        <v>#N/A</v>
      </c>
    </row>
    <row r="145">
      <c r="A145" s="4"/>
      <c r="C145" s="4" t="s">
        <v>1301</v>
      </c>
      <c r="D145" s="4" t="str">
        <f t="shared" si="1"/>
        <v>{"valorA":"incrível","valorB":8.0}</v>
      </c>
      <c r="E145" s="8" t="str">
        <f t="shared" si="2"/>
        <v>incrível</v>
      </c>
      <c r="F145" s="8"/>
      <c r="G145" s="8" t="str">
        <f t="shared" si="3"/>
        <v>8.0</v>
      </c>
      <c r="H145" s="9">
        <f t="shared" si="4"/>
        <v>8</v>
      </c>
      <c r="I145" s="6" t="str">
        <f>IFERROR(__xludf.DUMMYFUNCTION("MAX(FILTER($H:$H,$E:$E=F145))"),"#N/A")</f>
        <v>#N/A</v>
      </c>
    </row>
    <row r="146">
      <c r="A146" s="4"/>
      <c r="C146" s="4" t="s">
        <v>390</v>
      </c>
      <c r="D146" s="4" t="str">
        <f t="shared" si="1"/>
        <v>{"valorA":"carro","valorB":3.0}</v>
      </c>
      <c r="E146" s="8" t="str">
        <f t="shared" si="2"/>
        <v>carro</v>
      </c>
      <c r="F146" s="8"/>
      <c r="G146" s="8" t="str">
        <f t="shared" si="3"/>
        <v>3.0</v>
      </c>
      <c r="H146" s="9">
        <f t="shared" si="4"/>
        <v>3</v>
      </c>
      <c r="I146" s="6" t="str">
        <f>IFERROR(__xludf.DUMMYFUNCTION("MAX(FILTER($H:$H,$E:$E=F146))"),"#N/A")</f>
        <v>#N/A</v>
      </c>
    </row>
    <row r="147">
      <c r="A147" s="4"/>
      <c r="C147" s="4" t="s">
        <v>684</v>
      </c>
      <c r="D147" s="4" t="str">
        <f t="shared" si="1"/>
        <v>{"valorA":"produto","valorB":15.0}</v>
      </c>
      <c r="E147" s="8" t="str">
        <f t="shared" si="2"/>
        <v>produto</v>
      </c>
      <c r="F147" s="8"/>
      <c r="G147" s="8" t="str">
        <f t="shared" si="3"/>
        <v>15.0</v>
      </c>
      <c r="H147" s="9">
        <f t="shared" si="4"/>
        <v>15</v>
      </c>
      <c r="I147" s="6" t="str">
        <f>IFERROR(__xludf.DUMMYFUNCTION("MAX(FILTER($H:$H,$E:$E=F147))"),"#N/A")</f>
        <v>#N/A</v>
      </c>
    </row>
    <row r="148">
      <c r="A148" s="4"/>
      <c r="C148" s="4" t="s">
        <v>712</v>
      </c>
      <c r="D148" s="4" t="str">
        <f t="shared" si="1"/>
        <v>{"valorA":"ótimo","valorB":26.0}</v>
      </c>
      <c r="E148" s="8" t="str">
        <f t="shared" si="2"/>
        <v>ótimo</v>
      </c>
      <c r="F148" s="8"/>
      <c r="G148" s="8" t="str">
        <f t="shared" si="3"/>
        <v>26.0</v>
      </c>
      <c r="H148" s="9">
        <f t="shared" si="4"/>
        <v>26</v>
      </c>
      <c r="I148" s="6" t="str">
        <f>IFERROR(__xludf.DUMMYFUNCTION("MAX(FILTER($H:$H,$E:$E=F148))"),"#N/A")</f>
        <v>#N/A</v>
      </c>
    </row>
    <row r="149">
      <c r="A149" s="4"/>
      <c r="C149" s="4" t="s">
        <v>243</v>
      </c>
      <c r="D149" s="4" t="str">
        <f t="shared" si="1"/>
        <v>{"valorA":"esse","valorB":3.0}</v>
      </c>
      <c r="E149" s="8" t="str">
        <f t="shared" si="2"/>
        <v>esse</v>
      </c>
      <c r="F149" s="8"/>
      <c r="G149" s="8" t="str">
        <f t="shared" si="3"/>
        <v>3.0</v>
      </c>
      <c r="H149" s="9">
        <f t="shared" si="4"/>
        <v>3</v>
      </c>
      <c r="I149" s="6" t="str">
        <f>IFERROR(__xludf.DUMMYFUNCTION("MAX(FILTER($H:$H,$E:$E=F149))"),"#N/A")</f>
        <v>#N/A</v>
      </c>
    </row>
    <row r="150">
      <c r="A150" s="4"/>
      <c r="C150" s="4" t="s">
        <v>299</v>
      </c>
      <c r="D150" s="4" t="str">
        <f t="shared" si="1"/>
        <v>{"valorA":"cabelo","valorB":1.0}</v>
      </c>
      <c r="E150" s="8" t="str">
        <f t="shared" si="2"/>
        <v>cabelo</v>
      </c>
      <c r="F150" s="8"/>
      <c r="G150" s="8" t="str">
        <f t="shared" si="3"/>
        <v>1.0</v>
      </c>
      <c r="H150" s="9">
        <f t="shared" si="4"/>
        <v>1</v>
      </c>
      <c r="I150" s="6" t="str">
        <f>IFERROR(__xludf.DUMMYFUNCTION("MAX(FILTER($H:$H,$E:$E=F150))"),"#N/A")</f>
        <v>#N/A</v>
      </c>
    </row>
    <row r="151">
      <c r="A151" s="4"/>
      <c r="C151" s="4" t="s">
        <v>486</v>
      </c>
      <c r="D151" s="4" t="str">
        <f t="shared" si="1"/>
        <v>{"valorA":"refrigerante","valorB":1.0}</v>
      </c>
      <c r="E151" s="8" t="str">
        <f t="shared" si="2"/>
        <v>refrigerante</v>
      </c>
      <c r="F151" s="8"/>
      <c r="G151" s="8" t="str">
        <f t="shared" si="3"/>
        <v>1.0</v>
      </c>
      <c r="H151" s="9">
        <f t="shared" si="4"/>
        <v>1</v>
      </c>
      <c r="I151" s="6" t="str">
        <f>IFERROR(__xludf.DUMMYFUNCTION("MAX(FILTER($H:$H,$E:$E=F151))"),"#N/A")</f>
        <v>#N/A</v>
      </c>
    </row>
    <row r="152">
      <c r="A152" s="4"/>
      <c r="C152" s="4" t="s">
        <v>1160</v>
      </c>
      <c r="D152" s="4" t="str">
        <f t="shared" si="1"/>
        <v>{"valorA":"no","valorB":1.0}</v>
      </c>
      <c r="E152" s="8" t="str">
        <f t="shared" si="2"/>
        <v>no</v>
      </c>
      <c r="F152" s="8"/>
      <c r="G152" s="8" t="str">
        <f t="shared" si="3"/>
        <v>1.0</v>
      </c>
      <c r="H152" s="9">
        <f t="shared" si="4"/>
        <v>1</v>
      </c>
      <c r="I152" s="6" t="str">
        <f>IFERROR(__xludf.DUMMYFUNCTION("MAX(FILTER($H:$H,$E:$E=F152))"),"#N/A")</f>
        <v>#N/A</v>
      </c>
    </row>
    <row r="153">
      <c r="A153" s="4"/>
      <c r="C153" s="4" t="s">
        <v>448</v>
      </c>
      <c r="D153" s="4" t="str">
        <f t="shared" si="1"/>
        <v>{"valorA":"perfeitamente","valorB":6.0}</v>
      </c>
      <c r="E153" s="8" t="str">
        <f t="shared" si="2"/>
        <v>perfeitamente</v>
      </c>
      <c r="F153" s="8"/>
      <c r="G153" s="8" t="str">
        <f t="shared" si="3"/>
        <v>6.0</v>
      </c>
      <c r="H153" s="9">
        <f t="shared" si="4"/>
        <v>6</v>
      </c>
      <c r="I153" s="6" t="str">
        <f>IFERROR(__xludf.DUMMYFUNCTION("MAX(FILTER($H:$H,$E:$E=F153))"),"#N/A")</f>
        <v>#N/A</v>
      </c>
    </row>
    <row r="154">
      <c r="A154" s="4"/>
      <c r="C154" s="4" t="s">
        <v>275</v>
      </c>
      <c r="D154" s="4" t="str">
        <f t="shared" si="1"/>
        <v>{"valorA":"parece","valorB":1.0}</v>
      </c>
      <c r="E154" s="8" t="str">
        <f t="shared" si="2"/>
        <v>parece</v>
      </c>
      <c r="F154" s="8"/>
      <c r="G154" s="8" t="str">
        <f t="shared" si="3"/>
        <v>1.0</v>
      </c>
      <c r="H154" s="9">
        <f t="shared" si="4"/>
        <v>1</v>
      </c>
      <c r="I154" s="6" t="str">
        <f>IFERROR(__xludf.DUMMYFUNCTION("MAX(FILTER($H:$H,$E:$E=F154))"),"#N/A")</f>
        <v>#N/A</v>
      </c>
    </row>
    <row r="155">
      <c r="A155" s="4"/>
      <c r="C155" s="4" t="s">
        <v>300</v>
      </c>
      <c r="D155" s="4" t="str">
        <f t="shared" si="1"/>
        <v>{"valorA":"muito","valorB":8.0}</v>
      </c>
      <c r="E155" s="8" t="str">
        <f t="shared" si="2"/>
        <v>muito</v>
      </c>
      <c r="F155" s="8"/>
      <c r="G155" s="8" t="str">
        <f t="shared" si="3"/>
        <v>8.0</v>
      </c>
      <c r="H155" s="9">
        <f t="shared" si="4"/>
        <v>8</v>
      </c>
      <c r="I155" s="6" t="str">
        <f>IFERROR(__xludf.DUMMYFUNCTION("MAX(FILTER($H:$H,$E:$E=F155))"),"#N/A")</f>
        <v>#N/A</v>
      </c>
    </row>
    <row r="156">
      <c r="A156" s="4"/>
      <c r="C156" s="4" t="s">
        <v>450</v>
      </c>
      <c r="D156" s="4" t="str">
        <f t="shared" si="1"/>
        <v>{"valorA":"satisfeito","valorB":3.0}</v>
      </c>
      <c r="E156" s="8" t="str">
        <f t="shared" si="2"/>
        <v>satisfeito</v>
      </c>
      <c r="F156" s="8"/>
      <c r="G156" s="8" t="str">
        <f t="shared" si="3"/>
        <v>3.0</v>
      </c>
      <c r="H156" s="9">
        <f t="shared" si="4"/>
        <v>3</v>
      </c>
      <c r="I156" s="6" t="str">
        <f>IFERROR(__xludf.DUMMYFUNCTION("MAX(FILTER($H:$H,$E:$E=F156))"),"#N/A")</f>
        <v>#N/A</v>
      </c>
    </row>
    <row r="157">
      <c r="A157" s="4"/>
      <c r="C157" s="4" t="s">
        <v>302</v>
      </c>
      <c r="D157" s="4" t="str">
        <f t="shared" si="1"/>
        <v>{"valorA":"comprimento","valorB":1.0}</v>
      </c>
      <c r="E157" s="8" t="str">
        <f t="shared" si="2"/>
        <v>comprimento</v>
      </c>
      <c r="F157" s="8"/>
      <c r="G157" s="8" t="str">
        <f t="shared" si="3"/>
        <v>1.0</v>
      </c>
      <c r="H157" s="9">
        <f t="shared" si="4"/>
        <v>1</v>
      </c>
      <c r="I157" s="6" t="str">
        <f>IFERROR(__xludf.DUMMYFUNCTION("MAX(FILTER($H:$H,$E:$E=F157))"),"#N/A")</f>
        <v>#N/A</v>
      </c>
    </row>
    <row r="158">
      <c r="A158" s="4"/>
      <c r="C158" s="4" t="s">
        <v>363</v>
      </c>
      <c r="D158" s="4" t="str">
        <f t="shared" si="1"/>
        <v>{"valorA":"funciona","valorB":8.0}</v>
      </c>
      <c r="E158" s="8" t="str">
        <f t="shared" si="2"/>
        <v>funciona</v>
      </c>
      <c r="F158" s="8"/>
      <c r="G158" s="8" t="str">
        <f t="shared" si="3"/>
        <v>8.0</v>
      </c>
      <c r="H158" s="9">
        <f t="shared" si="4"/>
        <v>8</v>
      </c>
      <c r="I158" s="6" t="str">
        <f>IFERROR(__xludf.DUMMYFUNCTION("MAX(FILTER($H:$H,$E:$E=F158))"),"#N/A")</f>
        <v>#N/A</v>
      </c>
    </row>
    <row r="159">
      <c r="A159" s="4"/>
      <c r="C159" s="4" t="s">
        <v>383</v>
      </c>
      <c r="D159" s="4" t="str">
        <f t="shared" si="1"/>
        <v>{"valorA":"recomendo","valorB":5.0}</v>
      </c>
      <c r="E159" s="8" t="str">
        <f t="shared" si="2"/>
        <v>recomendo</v>
      </c>
      <c r="F159" s="8"/>
      <c r="G159" s="8" t="str">
        <f t="shared" si="3"/>
        <v>5.0</v>
      </c>
      <c r="H159" s="9">
        <f t="shared" si="4"/>
        <v>5</v>
      </c>
      <c r="I159" s="6" t="str">
        <f>IFERROR(__xludf.DUMMYFUNCTION("MAX(FILTER($H:$H,$E:$E=F159))"),"#N/A")</f>
        <v>#N/A</v>
      </c>
    </row>
    <row r="160">
      <c r="A160" s="4"/>
      <c r="C160" s="4" t="s">
        <v>9047</v>
      </c>
      <c r="D160" s="4" t="str">
        <f t="shared" si="1"/>
        <v>{"valorA":"expresso","valorB":1.0}</v>
      </c>
      <c r="E160" s="8" t="str">
        <f t="shared" si="2"/>
        <v>expresso</v>
      </c>
      <c r="F160" s="8"/>
      <c r="G160" s="8" t="str">
        <f t="shared" si="3"/>
        <v>1.0</v>
      </c>
      <c r="H160" s="9">
        <f t="shared" si="4"/>
        <v>1</v>
      </c>
      <c r="I160" s="6" t="str">
        <f>IFERROR(__xludf.DUMMYFUNCTION("MAX(FILTER($H:$H,$E:$E=F160))"),"#N/A")</f>
        <v>#N/A</v>
      </c>
    </row>
    <row r="161">
      <c r="A161" s="4"/>
      <c r="C161" s="4" t="s">
        <v>714</v>
      </c>
      <c r="D161" s="4" t="str">
        <f t="shared" si="1"/>
        <v>{"valorA":"produto","valorB":18.0}</v>
      </c>
      <c r="E161" s="8" t="str">
        <f t="shared" si="2"/>
        <v>produto</v>
      </c>
      <c r="F161" s="8"/>
      <c r="G161" s="8" t="str">
        <f t="shared" si="3"/>
        <v>18.0</v>
      </c>
      <c r="H161" s="9">
        <f t="shared" si="4"/>
        <v>18</v>
      </c>
      <c r="I161" s="6" t="str">
        <f>IFERROR(__xludf.DUMMYFUNCTION("MAX(FILTER($H:$H,$E:$E=F161))"),"#N/A")</f>
        <v>#N/A</v>
      </c>
    </row>
    <row r="162">
      <c r="A162" s="4"/>
      <c r="C162" s="4" t="s">
        <v>727</v>
      </c>
      <c r="D162" s="4" t="str">
        <f t="shared" si="1"/>
        <v>{"valorA":"ótimo","valorB":29.0}</v>
      </c>
      <c r="E162" s="8" t="str">
        <f t="shared" si="2"/>
        <v>ótimo</v>
      </c>
      <c r="F162" s="8"/>
      <c r="G162" s="8" t="str">
        <f t="shared" si="3"/>
        <v>29.0</v>
      </c>
      <c r="H162" s="9">
        <f t="shared" si="4"/>
        <v>29</v>
      </c>
      <c r="I162" s="6" t="str">
        <f>IFERROR(__xludf.DUMMYFUNCTION("MAX(FILTER($H:$H,$E:$E=F162))"),"#N/A")</f>
        <v>#N/A</v>
      </c>
    </row>
    <row r="163">
      <c r="A163" s="4"/>
      <c r="C163" s="4" t="s">
        <v>1161</v>
      </c>
      <c r="D163" s="4" t="str">
        <f t="shared" si="1"/>
        <v>{"valorA":"perfeitamente","valorB":8.0}</v>
      </c>
      <c r="E163" s="8" t="str">
        <f t="shared" si="2"/>
        <v>perfeitamente</v>
      </c>
      <c r="F163" s="8"/>
      <c r="G163" s="8" t="str">
        <f t="shared" si="3"/>
        <v>8.0</v>
      </c>
      <c r="H163" s="9">
        <f t="shared" si="4"/>
        <v>8</v>
      </c>
      <c r="I163" s="6" t="str">
        <f>IFERROR(__xludf.DUMMYFUNCTION("MAX(FILTER($H:$H,$E:$E=F163))"),"#N/A")</f>
        <v>#N/A</v>
      </c>
    </row>
    <row r="164">
      <c r="A164" s="4"/>
      <c r="C164" s="4" t="s">
        <v>319</v>
      </c>
      <c r="D164" s="4" t="str">
        <f t="shared" si="1"/>
        <v>{"valorA":"muito","valorB":9.0}</v>
      </c>
      <c r="E164" s="8" t="str">
        <f t="shared" si="2"/>
        <v>muito</v>
      </c>
      <c r="F164" s="8"/>
      <c r="G164" s="8" t="str">
        <f t="shared" si="3"/>
        <v>9.0</v>
      </c>
      <c r="H164" s="9">
        <f t="shared" si="4"/>
        <v>9</v>
      </c>
      <c r="I164" s="6" t="str">
        <f>IFERROR(__xludf.DUMMYFUNCTION("MAX(FILTER($H:$H,$E:$E=F164))"),"#N/A")</f>
        <v>#N/A</v>
      </c>
    </row>
    <row r="165">
      <c r="A165" s="4"/>
      <c r="C165" s="4" t="s">
        <v>4500</v>
      </c>
      <c r="D165" s="4" t="str">
        <f t="shared" si="1"/>
        <v>{"valorA":"café","valorB":1.0}</v>
      </c>
      <c r="E165" s="8" t="str">
        <f t="shared" si="2"/>
        <v>café</v>
      </c>
      <c r="F165" s="8"/>
      <c r="G165" s="8" t="str">
        <f t="shared" si="3"/>
        <v>1.0</v>
      </c>
      <c r="H165" s="9">
        <f t="shared" si="4"/>
        <v>1</v>
      </c>
      <c r="I165" s="6" t="str">
        <f>IFERROR(__xludf.DUMMYFUNCTION("MAX(FILTER($H:$H,$E:$E=F165))"),"#N/A")</f>
        <v>#N/A</v>
      </c>
    </row>
    <row r="166">
      <c r="A166" s="4"/>
      <c r="C166" s="4" t="s">
        <v>434</v>
      </c>
      <c r="D166" s="4" t="str">
        <f t="shared" si="1"/>
        <v>{"valorA":"funciona","valorB":10.0}</v>
      </c>
      <c r="E166" s="8" t="str">
        <f t="shared" si="2"/>
        <v>funciona</v>
      </c>
      <c r="F166" s="8"/>
      <c r="G166" s="8" t="str">
        <f t="shared" si="3"/>
        <v>10.0</v>
      </c>
      <c r="H166" s="9">
        <f t="shared" si="4"/>
        <v>10</v>
      </c>
      <c r="I166" s="6" t="str">
        <f>IFERROR(__xludf.DUMMYFUNCTION("MAX(FILTER($H:$H,$E:$E=F166))"),"#N/A")</f>
        <v>#N/A</v>
      </c>
    </row>
    <row r="167">
      <c r="A167" s="4"/>
      <c r="C167" s="4" t="s">
        <v>231</v>
      </c>
      <c r="D167" s="4" t="str">
        <f t="shared" si="1"/>
        <v>{"valorA":"desse","valorB":2.0}</v>
      </c>
      <c r="E167" s="8" t="str">
        <f t="shared" si="2"/>
        <v>desse</v>
      </c>
      <c r="F167" s="8"/>
      <c r="G167" s="8" t="str">
        <f t="shared" si="3"/>
        <v>2.0</v>
      </c>
      <c r="H167" s="9">
        <f t="shared" si="4"/>
        <v>2</v>
      </c>
      <c r="I167" s="6" t="str">
        <f>IFERROR(__xludf.DUMMYFUNCTION("MAX(FILTER($H:$H,$E:$E=F167))"),"#N/A")</f>
        <v>#N/A</v>
      </c>
    </row>
    <row r="168">
      <c r="A168" s="4"/>
      <c r="C168" s="4" t="s">
        <v>364</v>
      </c>
      <c r="D168" s="4" t="str">
        <f t="shared" si="1"/>
        <v>{"valorA":"é","valorB":8.0}</v>
      </c>
      <c r="E168" s="8" t="str">
        <f t="shared" si="2"/>
        <v>é</v>
      </c>
      <c r="F168" s="8"/>
      <c r="G168" s="8" t="str">
        <f t="shared" si="3"/>
        <v>8.0</v>
      </c>
      <c r="H168" s="9">
        <f t="shared" si="4"/>
        <v>8</v>
      </c>
      <c r="I168" s="6" t="str">
        <f>IFERROR(__xludf.DUMMYFUNCTION("MAX(FILTER($H:$H,$E:$E=F168))"),"#N/A")</f>
        <v>#N/A</v>
      </c>
    </row>
    <row r="169">
      <c r="A169" s="4"/>
      <c r="C169" s="4" t="s">
        <v>422</v>
      </c>
      <c r="D169" s="4" t="str">
        <f t="shared" si="1"/>
        <v>{"valorA":"recomendo","valorB":6.0}</v>
      </c>
      <c r="E169" s="8" t="str">
        <f t="shared" si="2"/>
        <v>recomendo</v>
      </c>
      <c r="F169" s="8"/>
      <c r="G169" s="8" t="str">
        <f t="shared" si="3"/>
        <v>6.0</v>
      </c>
      <c r="H169" s="9">
        <f t="shared" si="4"/>
        <v>6</v>
      </c>
      <c r="I169" s="6" t="str">
        <f>IFERROR(__xludf.DUMMYFUNCTION("MAX(FILTER($H:$H,$E:$E=F169))"),"#N/A")</f>
        <v>#N/A</v>
      </c>
    </row>
    <row r="170">
      <c r="A170" s="4"/>
      <c r="C170" s="4" t="s">
        <v>179</v>
      </c>
      <c r="D170" s="4" t="str">
        <f t="shared" si="1"/>
        <v>{"valorA":"online","valorB":1.0}</v>
      </c>
      <c r="E170" s="8" t="str">
        <f t="shared" si="2"/>
        <v>online</v>
      </c>
      <c r="F170" s="8"/>
      <c r="G170" s="8" t="str">
        <f t="shared" si="3"/>
        <v>1.0</v>
      </c>
      <c r="H170" s="9">
        <f t="shared" si="4"/>
        <v>1</v>
      </c>
      <c r="I170" s="6" t="str">
        <f>IFERROR(__xludf.DUMMYFUNCTION("MAX(FILTER($H:$H,$E:$E=F170))"),"#N/A")</f>
        <v>#N/A</v>
      </c>
    </row>
    <row r="171">
      <c r="A171" s="4"/>
      <c r="C171" s="4" t="s">
        <v>308</v>
      </c>
      <c r="D171" s="4" t="str">
        <f t="shared" si="1"/>
        <v>{"valorA":"bem","valorB":5.0}</v>
      </c>
      <c r="E171" s="8" t="str">
        <f t="shared" si="2"/>
        <v>bem</v>
      </c>
      <c r="F171" s="8"/>
      <c r="G171" s="8" t="str">
        <f t="shared" si="3"/>
        <v>5.0</v>
      </c>
      <c r="H171" s="9">
        <f t="shared" si="4"/>
        <v>5</v>
      </c>
      <c r="I171" s="6" t="str">
        <f>IFERROR(__xludf.DUMMYFUNCTION("MAX(FILTER($H:$H,$E:$E=F171))"),"#N/A")</f>
        <v>#N/A</v>
      </c>
    </row>
    <row r="172">
      <c r="A172" s="4"/>
      <c r="C172" s="4" t="s">
        <v>9048</v>
      </c>
      <c r="D172" s="4" t="str">
        <f t="shared" si="1"/>
        <v>{"valorA":"condicionador","valorB":2.0}</v>
      </c>
      <c r="E172" s="8" t="str">
        <f t="shared" si="2"/>
        <v>condicionador</v>
      </c>
      <c r="F172" s="8"/>
      <c r="G172" s="8" t="str">
        <f t="shared" si="3"/>
        <v>2.0</v>
      </c>
      <c r="H172" s="9">
        <f t="shared" si="4"/>
        <v>2</v>
      </c>
      <c r="I172" s="6" t="str">
        <f>IFERROR(__xludf.DUMMYFUNCTION("MAX(FILTER($H:$H,$E:$E=F172))"),"#N/A")</f>
        <v>#N/A</v>
      </c>
    </row>
    <row r="173">
      <c r="A173" s="4"/>
      <c r="C173" s="4" t="s">
        <v>666</v>
      </c>
      <c r="D173" s="4" t="str">
        <f t="shared" si="1"/>
        <v>{"valorA":"e","valorB":7.0}</v>
      </c>
      <c r="E173" s="8" t="str">
        <f t="shared" si="2"/>
        <v>e</v>
      </c>
      <c r="F173" s="8"/>
      <c r="G173" s="8" t="str">
        <f t="shared" si="3"/>
        <v>7.0</v>
      </c>
      <c r="H173" s="9">
        <f t="shared" si="4"/>
        <v>7</v>
      </c>
      <c r="I173" s="6" t="str">
        <f>IFERROR(__xludf.DUMMYFUNCTION("MAX(FILTER($H:$H,$E:$E=F173))"),"#N/A")</f>
        <v>#N/A</v>
      </c>
    </row>
    <row r="174">
      <c r="A174" s="4"/>
      <c r="C174" s="4" t="s">
        <v>281</v>
      </c>
      <c r="D174" s="4" t="str">
        <f t="shared" si="1"/>
        <v>{"valorA":"de","valorB":4.0}</v>
      </c>
      <c r="E174" s="8" t="str">
        <f t="shared" si="2"/>
        <v>de</v>
      </c>
      <c r="F174" s="8"/>
      <c r="G174" s="8" t="str">
        <f t="shared" si="3"/>
        <v>4.0</v>
      </c>
      <c r="H174" s="9">
        <f t="shared" si="4"/>
        <v>4</v>
      </c>
      <c r="I174" s="6" t="str">
        <f>IFERROR(__xludf.DUMMYFUNCTION("MAX(FILTER($H:$H,$E:$E=F174))"),"#N/A")</f>
        <v>#N/A</v>
      </c>
    </row>
    <row r="175">
      <c r="A175" s="4"/>
      <c r="C175" s="4" t="s">
        <v>1068</v>
      </c>
      <c r="D175" s="4" t="str">
        <f t="shared" si="1"/>
        <v>{"valorA":"ar","valorB":2.0}</v>
      </c>
      <c r="E175" s="8" t="str">
        <f t="shared" si="2"/>
        <v>ar</v>
      </c>
      <c r="F175" s="8"/>
      <c r="G175" s="8" t="str">
        <f t="shared" si="3"/>
        <v>2.0</v>
      </c>
      <c r="H175" s="9">
        <f t="shared" si="4"/>
        <v>2</v>
      </c>
      <c r="I175" s="6" t="str">
        <f>IFERROR(__xludf.DUMMYFUNCTION("MAX(FILTER($H:$H,$E:$E=F175))"),"#N/A")</f>
        <v>#N/A</v>
      </c>
    </row>
    <row r="176">
      <c r="A176" s="4"/>
      <c r="C176" s="4" t="s">
        <v>723</v>
      </c>
      <c r="D176" s="4" t="str">
        <f t="shared" si="1"/>
        <v>{"valorA":"produto","valorB":20.0}</v>
      </c>
      <c r="E176" s="8" t="str">
        <f t="shared" si="2"/>
        <v>produto</v>
      </c>
      <c r="F176" s="8"/>
      <c r="G176" s="8" t="str">
        <f t="shared" si="3"/>
        <v>20.0</v>
      </c>
      <c r="H176" s="9">
        <f t="shared" si="4"/>
        <v>20</v>
      </c>
      <c r="I176" s="6" t="str">
        <f>IFERROR(__xludf.DUMMYFUNCTION("MAX(FILTER($H:$H,$E:$E=F176))"),"#N/A")</f>
        <v>#N/A</v>
      </c>
    </row>
    <row r="177">
      <c r="A177" s="4"/>
      <c r="C177" s="4" t="s">
        <v>739</v>
      </c>
      <c r="D177" s="4" t="str">
        <f t="shared" si="1"/>
        <v>{"valorA":"ótimo","valorB":31.0}</v>
      </c>
      <c r="E177" s="8" t="str">
        <f t="shared" si="2"/>
        <v>ótimo</v>
      </c>
      <c r="F177" s="8"/>
      <c r="G177" s="8" t="str">
        <f t="shared" si="3"/>
        <v>31.0</v>
      </c>
      <c r="H177" s="9">
        <f t="shared" si="4"/>
        <v>31</v>
      </c>
      <c r="I177" s="6" t="str">
        <f>IFERROR(__xludf.DUMMYFUNCTION("MAX(FILTER($H:$H,$E:$E=F177))"),"#N/A")</f>
        <v>#N/A</v>
      </c>
    </row>
    <row r="178">
      <c r="A178" s="4"/>
      <c r="C178" s="4" t="s">
        <v>286</v>
      </c>
      <c r="D178" s="4" t="str">
        <f t="shared" si="1"/>
        <v>{"valorA":"esse","valorB":4.0}</v>
      </c>
      <c r="E178" s="8" t="str">
        <f t="shared" si="2"/>
        <v>esse</v>
      </c>
      <c r="F178" s="8"/>
      <c r="G178" s="8" t="str">
        <f t="shared" si="3"/>
        <v>4.0</v>
      </c>
      <c r="H178" s="9">
        <f t="shared" si="4"/>
        <v>4</v>
      </c>
      <c r="I178" s="6" t="str">
        <f>IFERROR(__xludf.DUMMYFUNCTION("MAX(FILTER($H:$H,$E:$E=F178))"),"#N/A")</f>
        <v>#N/A</v>
      </c>
    </row>
    <row r="179">
      <c r="A179" s="4"/>
      <c r="C179" s="4" t="s">
        <v>398</v>
      </c>
      <c r="D179" s="4" t="str">
        <f t="shared" si="1"/>
        <v>{"valorA":"confortável","valorB":1.0}</v>
      </c>
      <c r="E179" s="8" t="str">
        <f t="shared" si="2"/>
        <v>confortável</v>
      </c>
      <c r="F179" s="8"/>
      <c r="G179" s="8" t="str">
        <f t="shared" si="3"/>
        <v>1.0</v>
      </c>
      <c r="H179" s="9">
        <f t="shared" si="4"/>
        <v>1</v>
      </c>
      <c r="I179" s="6" t="str">
        <f>IFERROR(__xludf.DUMMYFUNCTION("MAX(FILTER($H:$H,$E:$E=F179))"),"#N/A")</f>
        <v>#N/A</v>
      </c>
    </row>
    <row r="180">
      <c r="A180" s="4"/>
      <c r="C180" s="4" t="s">
        <v>360</v>
      </c>
      <c r="D180" s="4" t="str">
        <f t="shared" si="1"/>
        <v>{"valorA":"dessa","valorB":1.0}</v>
      </c>
      <c r="E180" s="8" t="str">
        <f t="shared" si="2"/>
        <v>dessa</v>
      </c>
      <c r="F180" s="8"/>
      <c r="G180" s="8" t="str">
        <f t="shared" si="3"/>
        <v>1.0</v>
      </c>
      <c r="H180" s="9">
        <f t="shared" si="4"/>
        <v>1</v>
      </c>
      <c r="I180" s="6" t="str">
        <f>IFERROR(__xludf.DUMMYFUNCTION("MAX(FILTER($H:$H,$E:$E=F180))"),"#N/A")</f>
        <v>#N/A</v>
      </c>
    </row>
    <row r="181">
      <c r="A181" s="4"/>
      <c r="C181" s="4" t="s">
        <v>380</v>
      </c>
      <c r="D181" s="4" t="str">
        <f t="shared" si="1"/>
        <v>{"valorA":"loja","valorB":2.0}</v>
      </c>
      <c r="E181" s="8" t="str">
        <f t="shared" si="2"/>
        <v>loja</v>
      </c>
      <c r="F181" s="8"/>
      <c r="G181" s="8" t="str">
        <f t="shared" si="3"/>
        <v>2.0</v>
      </c>
      <c r="H181" s="9">
        <f t="shared" si="4"/>
        <v>2</v>
      </c>
      <c r="I181" s="6" t="str">
        <f>IFERROR(__xludf.DUMMYFUNCTION("MAX(FILTER($H:$H,$E:$E=F181))"),"#N/A")</f>
        <v>#N/A</v>
      </c>
    </row>
    <row r="182">
      <c r="A182" s="4"/>
      <c r="C182" s="4" t="s">
        <v>453</v>
      </c>
      <c r="D182" s="4" t="str">
        <f t="shared" si="1"/>
        <v>{"valorA":"funciona","valorB":11.0}</v>
      </c>
      <c r="E182" s="8" t="str">
        <f t="shared" si="2"/>
        <v>funciona</v>
      </c>
      <c r="F182" s="8"/>
      <c r="G182" s="8" t="str">
        <f t="shared" si="3"/>
        <v>11.0</v>
      </c>
      <c r="H182" s="9">
        <f t="shared" si="4"/>
        <v>11</v>
      </c>
      <c r="I182" s="6" t="str">
        <f>IFERROR(__xludf.DUMMYFUNCTION("MAX(FILTER($H:$H,$E:$E=F182))"),"#N/A")</f>
        <v>#N/A</v>
      </c>
    </row>
    <row r="183">
      <c r="A183" s="4"/>
      <c r="C183" s="4" t="s">
        <v>1127</v>
      </c>
      <c r="D183" s="4" t="str">
        <f t="shared" si="1"/>
        <v>{"valorA":"coment","valorB":1.0}</v>
      </c>
      <c r="E183" s="8" t="str">
        <f t="shared" si="2"/>
        <v>coment</v>
      </c>
      <c r="F183" s="8"/>
      <c r="G183" s="8" t="str">
        <f t="shared" si="3"/>
        <v>1.0</v>
      </c>
      <c r="H183" s="9">
        <f t="shared" si="4"/>
        <v>1</v>
      </c>
      <c r="I183" s="6" t="str">
        <f>IFERROR(__xludf.DUMMYFUNCTION("MAX(FILTER($H:$H,$E:$E=F183))"),"#N/A")</f>
        <v>#N/A</v>
      </c>
    </row>
    <row r="184">
      <c r="A184" s="4"/>
      <c r="C184" s="4" t="s">
        <v>491</v>
      </c>
      <c r="D184" s="4" t="str">
        <f t="shared" si="1"/>
        <v>{"valorA":"recomendo","valorB":7.0}</v>
      </c>
      <c r="E184" s="8" t="str">
        <f t="shared" si="2"/>
        <v>recomendo</v>
      </c>
      <c r="F184" s="8"/>
      <c r="G184" s="8" t="str">
        <f t="shared" si="3"/>
        <v>7.0</v>
      </c>
      <c r="H184" s="9">
        <f t="shared" si="4"/>
        <v>7</v>
      </c>
      <c r="I184" s="6" t="str">
        <f>IFERROR(__xludf.DUMMYFUNCTION("MAX(FILTER($H:$H,$E:$E=F184))"),"#N/A")</f>
        <v>#N/A</v>
      </c>
    </row>
    <row r="185">
      <c r="A185" s="4"/>
      <c r="C185" s="4" t="s">
        <v>1425</v>
      </c>
      <c r="D185" s="4" t="str">
        <f t="shared" si="1"/>
        <v>{"valorA":"ele","valorB":2.0}</v>
      </c>
      <c r="E185" s="8" t="str">
        <f t="shared" si="2"/>
        <v>ele</v>
      </c>
      <c r="F185" s="8"/>
      <c r="G185" s="8" t="str">
        <f t="shared" si="3"/>
        <v>2.0</v>
      </c>
      <c r="H185" s="9">
        <f t="shared" si="4"/>
        <v>2</v>
      </c>
      <c r="I185" s="6" t="str">
        <f>IFERROR(__xludf.DUMMYFUNCTION("MAX(FILTER($H:$H,$E:$E=F185))"),"#N/A")</f>
        <v>#N/A</v>
      </c>
    </row>
    <row r="186">
      <c r="A186" s="4"/>
      <c r="C186" s="4" t="s">
        <v>289</v>
      </c>
      <c r="D186" s="4" t="str">
        <f t="shared" si="1"/>
        <v>{"valorA":"ontem","valorB":1.0}</v>
      </c>
      <c r="E186" s="8" t="str">
        <f t="shared" si="2"/>
        <v>ontem</v>
      </c>
      <c r="F186" s="8"/>
      <c r="G186" s="8" t="str">
        <f t="shared" si="3"/>
        <v>1.0</v>
      </c>
      <c r="H186" s="9">
        <f t="shared" si="4"/>
        <v>1</v>
      </c>
      <c r="I186" s="6" t="str">
        <f>IFERROR(__xludf.DUMMYFUNCTION("MAX(FILTER($H:$H,$E:$E=F186))"),"#N/A")</f>
        <v>#N/A</v>
      </c>
    </row>
    <row r="187">
      <c r="A187" s="4"/>
      <c r="C187" s="4" t="s">
        <v>291</v>
      </c>
      <c r="D187" s="4" t="str">
        <f t="shared" si="1"/>
        <v>{"valorA":"comprei","valorB":1.0}</v>
      </c>
      <c r="E187" s="8" t="str">
        <f t="shared" si="2"/>
        <v>comprei</v>
      </c>
      <c r="F187" s="8"/>
      <c r="G187" s="8" t="str">
        <f t="shared" si="3"/>
        <v>1.0</v>
      </c>
      <c r="H187" s="9">
        <f t="shared" si="4"/>
        <v>1</v>
      </c>
      <c r="I187" s="6" t="str">
        <f>IFERROR(__xludf.DUMMYFUNCTION("MAX(FILTER($H:$H,$E:$E=F187))"),"#N/A")</f>
        <v>#N/A</v>
      </c>
    </row>
    <row r="188">
      <c r="A188" s="4"/>
      <c r="C188" s="4" t="s">
        <v>407</v>
      </c>
      <c r="D188" s="4" t="str">
        <f t="shared" si="1"/>
        <v>{"valorA":"meu","valorB":4.0}</v>
      </c>
      <c r="E188" s="8" t="str">
        <f t="shared" si="2"/>
        <v>meu</v>
      </c>
      <c r="F188" s="8"/>
      <c r="G188" s="8" t="str">
        <f t="shared" si="3"/>
        <v>4.0</v>
      </c>
      <c r="H188" s="9">
        <f t="shared" si="4"/>
        <v>4</v>
      </c>
      <c r="I188" s="6" t="str">
        <f>IFERROR(__xludf.DUMMYFUNCTION("MAX(FILTER($H:$H,$E:$E=F188))"),"#N/A")</f>
        <v>#N/A</v>
      </c>
    </row>
    <row r="189">
      <c r="A189" s="4"/>
      <c r="C189" s="4" t="s">
        <v>351</v>
      </c>
      <c r="D189" s="4" t="str">
        <f t="shared" si="1"/>
        <v>{"valorA":"o","valorB":3.0}</v>
      </c>
      <c r="E189" s="8" t="str">
        <f t="shared" si="2"/>
        <v>o</v>
      </c>
      <c r="F189" s="8"/>
      <c r="G189" s="8" t="str">
        <f t="shared" si="3"/>
        <v>3.0</v>
      </c>
      <c r="H189" s="9">
        <f t="shared" si="4"/>
        <v>3</v>
      </c>
      <c r="I189" s="6" t="str">
        <f>IFERROR(__xludf.DUMMYFUNCTION("MAX(FILTER($H:$H,$E:$E=F189))"),"#N/A")</f>
        <v>#N/A</v>
      </c>
    </row>
    <row r="190">
      <c r="A190" s="4"/>
      <c r="C190" s="4" t="s">
        <v>593</v>
      </c>
      <c r="D190" s="4" t="str">
        <f t="shared" si="1"/>
        <v>{"valorA":"que","valorB":3.0}</v>
      </c>
      <c r="E190" s="8" t="str">
        <f t="shared" si="2"/>
        <v>que</v>
      </c>
      <c r="F190" s="8"/>
      <c r="G190" s="8" t="str">
        <f t="shared" si="3"/>
        <v>3.0</v>
      </c>
      <c r="H190" s="9">
        <f t="shared" si="4"/>
        <v>3</v>
      </c>
      <c r="I190" s="6" t="str">
        <f>IFERROR(__xludf.DUMMYFUNCTION("MAX(FILTER($H:$H,$E:$E=F190))"),"#N/A")</f>
        <v>#N/A</v>
      </c>
    </row>
    <row r="191">
      <c r="A191" s="4"/>
      <c r="C191" s="4" t="s">
        <v>741</v>
      </c>
      <c r="D191" s="4" t="str">
        <f t="shared" si="1"/>
        <v>{"valorA":"produto","valorB":22.0}</v>
      </c>
      <c r="E191" s="8" t="str">
        <f t="shared" si="2"/>
        <v>produto</v>
      </c>
      <c r="F191" s="8"/>
      <c r="G191" s="8" t="str">
        <f t="shared" si="3"/>
        <v>22.0</v>
      </c>
      <c r="H191" s="9">
        <f t="shared" si="4"/>
        <v>22</v>
      </c>
      <c r="I191" s="6" t="str">
        <f>IFERROR(__xludf.DUMMYFUNCTION("MAX(FILTER($H:$H,$E:$E=F191))"),"#N/A")</f>
        <v>#N/A</v>
      </c>
    </row>
    <row r="192">
      <c r="A192" s="4"/>
      <c r="C192" s="4" t="s">
        <v>762</v>
      </c>
      <c r="D192" s="4" t="str">
        <f t="shared" si="1"/>
        <v>{"valorA":"ótimo","valorB":33.0}</v>
      </c>
      <c r="E192" s="8" t="str">
        <f t="shared" si="2"/>
        <v>ótimo</v>
      </c>
      <c r="F192" s="8"/>
      <c r="G192" s="8" t="str">
        <f t="shared" si="3"/>
        <v>33.0</v>
      </c>
      <c r="H192" s="9">
        <f t="shared" si="4"/>
        <v>33</v>
      </c>
      <c r="I192" s="6" t="str">
        <f>IFERROR(__xludf.DUMMYFUNCTION("MAX(FILTER($H:$H,$E:$E=F192))"),"#N/A")</f>
        <v>#N/A</v>
      </c>
    </row>
    <row r="193">
      <c r="A193" s="4"/>
      <c r="C193" s="4" t="s">
        <v>317</v>
      </c>
      <c r="D193" s="4" t="str">
        <f t="shared" si="1"/>
        <v>{"valorA":"esse","valorB":5.0}</v>
      </c>
      <c r="E193" s="8" t="str">
        <f t="shared" si="2"/>
        <v>esse</v>
      </c>
      <c r="F193" s="8"/>
      <c r="G193" s="8" t="str">
        <f t="shared" si="3"/>
        <v>5.0</v>
      </c>
      <c r="H193" s="9">
        <f t="shared" si="4"/>
        <v>5</v>
      </c>
      <c r="I193" s="6" t="str">
        <f>IFERROR(__xludf.DUMMYFUNCTION("MAX(FILTER($H:$H,$E:$E=F193))"),"#N/A")</f>
        <v>#N/A</v>
      </c>
    </row>
    <row r="194">
      <c r="A194" s="4"/>
      <c r="C194" s="4" t="s">
        <v>4486</v>
      </c>
      <c r="D194" s="4" t="str">
        <f t="shared" si="1"/>
        <v>{"valorA":"brinquedo","valorB":1.0}</v>
      </c>
      <c r="E194" s="8" t="str">
        <f t="shared" si="2"/>
        <v>brinquedo</v>
      </c>
      <c r="F194" s="8"/>
      <c r="G194" s="8" t="str">
        <f t="shared" si="3"/>
        <v>1.0</v>
      </c>
      <c r="H194" s="9">
        <f t="shared" si="4"/>
        <v>1</v>
      </c>
      <c r="I194" s="6" t="str">
        <f>IFERROR(__xludf.DUMMYFUNCTION("MAX(FILTER($H:$H,$E:$E=F194))"),"#N/A")</f>
        <v>#N/A</v>
      </c>
    </row>
    <row r="195">
      <c r="A195" s="4"/>
      <c r="C195" s="4" t="s">
        <v>1422</v>
      </c>
      <c r="D195" s="4" t="str">
        <f t="shared" si="1"/>
        <v>{"valorA":"adora","valorB":1.0}</v>
      </c>
      <c r="E195" s="8" t="str">
        <f t="shared" si="2"/>
        <v>adora</v>
      </c>
      <c r="F195" s="8"/>
      <c r="G195" s="8" t="str">
        <f t="shared" si="3"/>
        <v>1.0</v>
      </c>
      <c r="H195" s="9">
        <f t="shared" si="4"/>
        <v>1</v>
      </c>
      <c r="I195" s="6" t="str">
        <f>IFERROR(__xludf.DUMMYFUNCTION("MAX(FILTER($H:$H,$E:$E=F195))"),"#N/A")</f>
        <v>#N/A</v>
      </c>
    </row>
    <row r="196">
      <c r="A196" s="4"/>
      <c r="C196" s="4" t="s">
        <v>1432</v>
      </c>
      <c r="D196" s="4" t="str">
        <f t="shared" si="1"/>
        <v>{"valorA":"filho","valorB":1.0}</v>
      </c>
      <c r="E196" s="8" t="str">
        <f t="shared" si="2"/>
        <v>filho</v>
      </c>
      <c r="F196" s="8"/>
      <c r="G196" s="8" t="str">
        <f t="shared" si="3"/>
        <v>1.0</v>
      </c>
      <c r="H196" s="9">
        <f t="shared" si="4"/>
        <v>1</v>
      </c>
      <c r="I196" s="6" t="str">
        <f>IFERROR(__xludf.DUMMYFUNCTION("MAX(FILTER($H:$H,$E:$E=F196))"),"#N/A")</f>
        <v>#N/A</v>
      </c>
    </row>
    <row r="197">
      <c r="A197" s="4"/>
      <c r="C197" s="4" t="s">
        <v>384</v>
      </c>
      <c r="D197" s="4" t="str">
        <f t="shared" si="1"/>
        <v>{"valorA":"é","valorB":9.0}</v>
      </c>
      <c r="E197" s="8" t="str">
        <f t="shared" si="2"/>
        <v>é</v>
      </c>
      <c r="F197" s="8"/>
      <c r="G197" s="8" t="str">
        <f t="shared" si="3"/>
        <v>9.0</v>
      </c>
      <c r="H197" s="9">
        <f t="shared" si="4"/>
        <v>9</v>
      </c>
      <c r="I197" s="6" t="str">
        <f>IFERROR(__xludf.DUMMYFUNCTION("MAX(FILTER($H:$H,$E:$E=F197))"),"#N/A")</f>
        <v>#N/A</v>
      </c>
    </row>
    <row r="198">
      <c r="A198" s="4"/>
      <c r="C198" s="4" t="s">
        <v>404</v>
      </c>
      <c r="D198" s="4" t="str">
        <f t="shared" si="1"/>
        <v>{"valorA":"com","valorB":3.0}</v>
      </c>
      <c r="E198" s="8" t="str">
        <f t="shared" si="2"/>
        <v>com</v>
      </c>
      <c r="F198" s="8"/>
      <c r="G198" s="8" t="str">
        <f t="shared" si="3"/>
        <v>3.0</v>
      </c>
      <c r="H198" s="9">
        <f t="shared" si="4"/>
        <v>3</v>
      </c>
      <c r="I198" s="6" t="str">
        <f>IFERROR(__xludf.DUMMYFUNCTION("MAX(FILTER($H:$H,$E:$E=F198))"),"#N/A")</f>
        <v>#N/A</v>
      </c>
    </row>
    <row r="199">
      <c r="A199" s="4"/>
      <c r="C199" s="4" t="s">
        <v>831</v>
      </c>
      <c r="D199" s="4" t="str">
        <f t="shared" si="1"/>
        <v>{"valorA":"meu","valorB":5.0}</v>
      </c>
      <c r="E199" s="8" t="str">
        <f t="shared" si="2"/>
        <v>meu</v>
      </c>
      <c r="F199" s="8"/>
      <c r="G199" s="8" t="str">
        <f t="shared" si="3"/>
        <v>5.0</v>
      </c>
      <c r="H199" s="9">
        <f t="shared" si="4"/>
        <v>5</v>
      </c>
      <c r="I199" s="6" t="str">
        <f>IFERROR(__xludf.DUMMYFUNCTION("MAX(FILTER($H:$H,$E:$E=F199))"),"#N/A")</f>
        <v>#N/A</v>
      </c>
    </row>
    <row r="200">
      <c r="A200" s="4"/>
      <c r="C200" s="4" t="s">
        <v>758</v>
      </c>
      <c r="D200" s="4" t="str">
        <f t="shared" si="1"/>
        <v>{"valorA":"me","valorB":2.0}</v>
      </c>
      <c r="E200" s="8" t="str">
        <f t="shared" si="2"/>
        <v>me</v>
      </c>
      <c r="F200" s="8"/>
      <c r="G200" s="8" t="str">
        <f t="shared" si="3"/>
        <v>2.0</v>
      </c>
      <c r="H200" s="9">
        <f t="shared" si="4"/>
        <v>2</v>
      </c>
      <c r="I200" s="6" t="str">
        <f>IFERROR(__xludf.DUMMYFUNCTION("MAX(FILTER($H:$H,$E:$E=F200))"),"#N/A")</f>
        <v>#N/A</v>
      </c>
    </row>
    <row r="201">
      <c r="A201" s="4"/>
      <c r="C201" s="4" t="s">
        <v>372</v>
      </c>
      <c r="D201" s="4" t="str">
        <f t="shared" si="1"/>
        <v>{"valorA":"o","valorB":4.0}</v>
      </c>
      <c r="E201" s="8" t="str">
        <f t="shared" si="2"/>
        <v>o</v>
      </c>
      <c r="F201" s="8"/>
      <c r="G201" s="8" t="str">
        <f t="shared" si="3"/>
        <v>4.0</v>
      </c>
      <c r="H201" s="9">
        <f t="shared" si="4"/>
        <v>4</v>
      </c>
      <c r="I201" s="6" t="str">
        <f>IFERROR(__xludf.DUMMYFUNCTION("MAX(FILTER($H:$H,$E:$E=F201))"),"#N/A")</f>
        <v>#N/A</v>
      </c>
    </row>
    <row r="202">
      <c r="A202" s="4"/>
      <c r="C202" s="4" t="s">
        <v>9049</v>
      </c>
      <c r="D202" s="4" t="str">
        <f t="shared" si="1"/>
        <v>{"valorA":"joystick","valorB":1.0}</v>
      </c>
      <c r="E202" s="8" t="str">
        <f t="shared" si="2"/>
        <v>joystick</v>
      </c>
      <c r="F202" s="8"/>
      <c r="G202" s="8" t="str">
        <f t="shared" si="3"/>
        <v>1.0</v>
      </c>
      <c r="H202" s="9">
        <f t="shared" si="4"/>
        <v>1</v>
      </c>
      <c r="I202" s="6" t="str">
        <f>IFERROR(__xludf.DUMMYFUNCTION("MAX(FILTER($H:$H,$E:$E=F202))"),"#N/A")</f>
        <v>#N/A</v>
      </c>
    </row>
    <row r="203">
      <c r="A203" s="4"/>
      <c r="C203" s="4" t="s">
        <v>391</v>
      </c>
      <c r="D203" s="4" t="str">
        <f t="shared" si="1"/>
        <v>{"valorA":"produto","valorB":23.0}</v>
      </c>
      <c r="E203" s="8" t="str">
        <f t="shared" si="2"/>
        <v>produto</v>
      </c>
      <c r="F203" s="8"/>
      <c r="G203" s="8" t="str">
        <f t="shared" si="3"/>
        <v>23.0</v>
      </c>
      <c r="H203" s="9">
        <f t="shared" si="4"/>
        <v>23</v>
      </c>
      <c r="I203" s="6" t="str">
        <f>IFERROR(__xludf.DUMMYFUNCTION("MAX(FILTER($H:$H,$E:$E=F203))"),"#N/A")</f>
        <v>#N/A</v>
      </c>
    </row>
    <row r="204">
      <c r="A204" s="4"/>
      <c r="C204" s="4" t="s">
        <v>768</v>
      </c>
      <c r="D204" s="4" t="str">
        <f t="shared" si="1"/>
        <v>{"valorA":"ótimo","valorB":35.0}</v>
      </c>
      <c r="E204" s="8" t="str">
        <f t="shared" si="2"/>
        <v>ótimo</v>
      </c>
      <c r="F204" s="8"/>
      <c r="G204" s="8" t="str">
        <f t="shared" si="3"/>
        <v>35.0</v>
      </c>
      <c r="H204" s="9">
        <f t="shared" si="4"/>
        <v>35</v>
      </c>
      <c r="I204" s="6" t="str">
        <f>IFERROR(__xludf.DUMMYFUNCTION("MAX(FILTER($H:$H,$E:$E=F204))"),"#N/A")</f>
        <v>#N/A</v>
      </c>
    </row>
    <row r="205">
      <c r="A205" s="4"/>
      <c r="C205" s="4" t="s">
        <v>1079</v>
      </c>
      <c r="D205" s="4" t="str">
        <f t="shared" si="1"/>
        <v>{"valorA":"deste","valorB":1.0}</v>
      </c>
      <c r="E205" s="8" t="str">
        <f t="shared" si="2"/>
        <v>deste</v>
      </c>
      <c r="F205" s="8"/>
      <c r="G205" s="8" t="str">
        <f t="shared" si="3"/>
        <v>1.0</v>
      </c>
      <c r="H205" s="9">
        <f t="shared" si="4"/>
        <v>1</v>
      </c>
      <c r="I205" s="6" t="str">
        <f>IFERROR(__xludf.DUMMYFUNCTION("MAX(FILTER($H:$H,$E:$E=F205))"),"#N/A")</f>
        <v>#N/A</v>
      </c>
    </row>
    <row r="206">
      <c r="A206" s="4"/>
      <c r="C206" s="4" t="s">
        <v>9050</v>
      </c>
      <c r="D206" s="4" t="str">
        <f t="shared" si="1"/>
        <v>{"valorA":"console","valorB":1.0}</v>
      </c>
      <c r="E206" s="8" t="str">
        <f t="shared" si="2"/>
        <v>console</v>
      </c>
      <c r="F206" s="8"/>
      <c r="G206" s="8" t="str">
        <f t="shared" si="3"/>
        <v>1.0</v>
      </c>
      <c r="H206" s="9">
        <f t="shared" si="4"/>
        <v>1</v>
      </c>
      <c r="I206" s="6" t="str">
        <f>IFERROR(__xludf.DUMMYFUNCTION("MAX(FILTER($H:$H,$E:$E=F206))"),"#N/A")</f>
        <v>#N/A</v>
      </c>
    </row>
    <row r="207">
      <c r="A207" s="4"/>
      <c r="C207" s="4" t="s">
        <v>1173</v>
      </c>
      <c r="D207" s="4" t="str">
        <f t="shared" si="1"/>
        <v>{"valorA":"perfeitamente","valorB":9.0}</v>
      </c>
      <c r="E207" s="8" t="str">
        <f t="shared" si="2"/>
        <v>perfeitamente</v>
      </c>
      <c r="F207" s="8"/>
      <c r="G207" s="8" t="str">
        <f t="shared" si="3"/>
        <v>9.0</v>
      </c>
      <c r="H207" s="9">
        <f t="shared" si="4"/>
        <v>9</v>
      </c>
      <c r="I207" s="6" t="str">
        <f>IFERROR(__xludf.DUMMYFUNCTION("MAX(FILTER($H:$H,$E:$E=F207))"),"#N/A")</f>
        <v>#N/A</v>
      </c>
    </row>
    <row r="208">
      <c r="A208" s="4"/>
      <c r="C208" s="4" t="s">
        <v>9051</v>
      </c>
      <c r="D208" s="4" t="str">
        <f t="shared" si="1"/>
        <v>{"valorA":"encanta","valorB":1.0}</v>
      </c>
      <c r="E208" s="8" t="str">
        <f t="shared" si="2"/>
        <v>encanta</v>
      </c>
      <c r="F208" s="8"/>
      <c r="G208" s="8" t="str">
        <f t="shared" si="3"/>
        <v>1.0</v>
      </c>
      <c r="H208" s="9">
        <f t="shared" si="4"/>
        <v>1</v>
      </c>
      <c r="I208" s="6" t="str">
        <f>IFERROR(__xludf.DUMMYFUNCTION("MAX(FILTER($H:$H,$E:$E=F208))"),"#N/A")</f>
        <v>#N/A</v>
      </c>
    </row>
    <row r="209">
      <c r="A209" s="4"/>
      <c r="C209" s="4" t="s">
        <v>618</v>
      </c>
      <c r="D209" s="4" t="str">
        <f t="shared" si="1"/>
        <v>{"valorA":"este","valorB":1.0}</v>
      </c>
      <c r="E209" s="8" t="str">
        <f t="shared" si="2"/>
        <v>este</v>
      </c>
      <c r="F209" s="8"/>
      <c r="G209" s="8" t="str">
        <f t="shared" si="3"/>
        <v>1.0</v>
      </c>
      <c r="H209" s="9">
        <f t="shared" si="4"/>
        <v>1</v>
      </c>
      <c r="I209" s="6" t="str">
        <f>IFERROR(__xludf.DUMMYFUNCTION("MAX(FILTER($H:$H,$E:$E=F209))"),"#N/A")</f>
        <v>#N/A</v>
      </c>
    </row>
    <row r="210">
      <c r="A210" s="4"/>
      <c r="C210" s="4" t="s">
        <v>9052</v>
      </c>
      <c r="D210" s="4" t="str">
        <f t="shared" si="1"/>
        <v>{"valorA":"café","valorB":2.0}</v>
      </c>
      <c r="E210" s="8" t="str">
        <f t="shared" si="2"/>
        <v>café</v>
      </c>
      <c r="F210" s="8"/>
      <c r="G210" s="8" t="str">
        <f t="shared" si="3"/>
        <v>2.0</v>
      </c>
      <c r="H210" s="9">
        <f t="shared" si="4"/>
        <v>2</v>
      </c>
      <c r="I210" s="6" t="str">
        <f>IFERROR(__xludf.DUMMYFUNCTION("MAX(FILTER($H:$H,$E:$E=F210))"),"#N/A")</f>
        <v>#N/A</v>
      </c>
    </row>
    <row r="211">
      <c r="A211" s="4"/>
      <c r="C211" s="4" t="s">
        <v>1290</v>
      </c>
      <c r="D211" s="4" t="str">
        <f t="shared" si="1"/>
        <v>{"valorA":"comprimento","valorB":2.0}</v>
      </c>
      <c r="E211" s="8" t="str">
        <f t="shared" si="2"/>
        <v>comprimento</v>
      </c>
      <c r="F211" s="8"/>
      <c r="G211" s="8" t="str">
        <f t="shared" si="3"/>
        <v>2.0</v>
      </c>
      <c r="H211" s="9">
        <f t="shared" si="4"/>
        <v>2</v>
      </c>
      <c r="I211" s="6" t="str">
        <f>IFERROR(__xludf.DUMMYFUNCTION("MAX(FILTER($H:$H,$E:$E=F211))"),"#N/A")</f>
        <v>#N/A</v>
      </c>
    </row>
    <row r="212">
      <c r="A212" s="4"/>
      <c r="C212" s="4" t="s">
        <v>490</v>
      </c>
      <c r="D212" s="4" t="str">
        <f t="shared" si="1"/>
        <v>{"valorA":"funciona","valorB":12.0}</v>
      </c>
      <c r="E212" s="8" t="str">
        <f t="shared" si="2"/>
        <v>funciona</v>
      </c>
      <c r="F212" s="8"/>
      <c r="G212" s="8" t="str">
        <f t="shared" si="3"/>
        <v>12.0</v>
      </c>
      <c r="H212" s="9">
        <f t="shared" si="4"/>
        <v>12</v>
      </c>
      <c r="I212" s="6" t="str">
        <f>IFERROR(__xludf.DUMMYFUNCTION("MAX(FILTER($H:$H,$E:$E=F212))"),"#N/A")</f>
        <v>#N/A</v>
      </c>
    </row>
    <row r="213">
      <c r="A213" s="4"/>
      <c r="C213" s="4" t="s">
        <v>9053</v>
      </c>
      <c r="D213" s="4" t="str">
        <f t="shared" si="1"/>
        <v>{"valorA":"maker","valorB":1.0}</v>
      </c>
      <c r="E213" s="8" t="str">
        <f t="shared" si="2"/>
        <v>maker</v>
      </c>
      <c r="F213" s="8"/>
      <c r="G213" s="8" t="str">
        <f t="shared" si="3"/>
        <v>1.0</v>
      </c>
      <c r="H213" s="9">
        <f t="shared" si="4"/>
        <v>1</v>
      </c>
      <c r="I213" s="6" t="str">
        <f>IFERROR(__xludf.DUMMYFUNCTION("MAX(FILTER($H:$H,$E:$E=F213))"),"#N/A")</f>
        <v>#N/A</v>
      </c>
    </row>
    <row r="214">
      <c r="A214" s="4"/>
      <c r="C214" s="4" t="s">
        <v>613</v>
      </c>
      <c r="D214" s="4" t="str">
        <f t="shared" si="1"/>
        <v>{"valorA":"para","valorB":2.0}</v>
      </c>
      <c r="E214" s="8" t="str">
        <f t="shared" si="2"/>
        <v>para</v>
      </c>
      <c r="F214" s="8"/>
      <c r="G214" s="8" t="str">
        <f t="shared" si="3"/>
        <v>2.0</v>
      </c>
      <c r="H214" s="9">
        <f t="shared" si="4"/>
        <v>2</v>
      </c>
      <c r="I214" s="6" t="str">
        <f>IFERROR(__xludf.DUMMYFUNCTION("MAX(FILTER($H:$H,$E:$E=F214))"),"#N/A")</f>
        <v>#N/A</v>
      </c>
    </row>
    <row r="215">
      <c r="A215" s="4"/>
      <c r="C215" s="4" t="s">
        <v>1414</v>
      </c>
      <c r="D215" s="4" t="str">
        <f t="shared" si="1"/>
        <v>{"valorA":"qualidade","valorB":3.0}</v>
      </c>
      <c r="E215" s="8" t="str">
        <f t="shared" si="2"/>
        <v>qualidade</v>
      </c>
      <c r="F215" s="8"/>
      <c r="G215" s="8" t="str">
        <f t="shared" si="3"/>
        <v>3.0</v>
      </c>
      <c r="H215" s="9">
        <f t="shared" si="4"/>
        <v>3</v>
      </c>
      <c r="I215" s="6" t="str">
        <f>IFERROR(__xludf.DUMMYFUNCTION("MAX(FILTER($H:$H,$E:$E=F215))"),"#N/A")</f>
        <v>#N/A</v>
      </c>
    </row>
    <row r="216">
      <c r="A216" s="4"/>
      <c r="C216" s="4" t="s">
        <v>470</v>
      </c>
      <c r="D216" s="4" t="str">
        <f t="shared" si="1"/>
        <v>{"valorA":"comprei","valorB":2.0}</v>
      </c>
      <c r="E216" s="8" t="str">
        <f t="shared" si="2"/>
        <v>comprei</v>
      </c>
      <c r="F216" s="8"/>
      <c r="G216" s="8" t="str">
        <f t="shared" si="3"/>
        <v>2.0</v>
      </c>
      <c r="H216" s="9">
        <f t="shared" si="4"/>
        <v>2</v>
      </c>
      <c r="I216" s="6" t="str">
        <f>IFERROR(__xludf.DUMMYFUNCTION("MAX(FILTER($H:$H,$E:$E=F216))"),"#N/A")</f>
        <v>#N/A</v>
      </c>
    </row>
    <row r="217">
      <c r="A217" s="4"/>
      <c r="C217" s="4" t="s">
        <v>9054</v>
      </c>
      <c r="D217" s="4" t="str">
        <f t="shared" si="1"/>
        <v>{"valorA":"sorveter","valorB":1.0}</v>
      </c>
      <c r="E217" s="8" t="str">
        <f t="shared" si="2"/>
        <v>sorveter</v>
      </c>
      <c r="F217" s="8"/>
      <c r="G217" s="8" t="str">
        <f t="shared" si="3"/>
        <v>1.0</v>
      </c>
      <c r="H217" s="9">
        <f t="shared" si="4"/>
        <v>1</v>
      </c>
      <c r="I217" s="6" t="str">
        <f>IFERROR(__xludf.DUMMYFUNCTION("MAX(FILTER($H:$H,$E:$E=F217))"),"#N/A")</f>
        <v>#N/A</v>
      </c>
    </row>
    <row r="218">
      <c r="A218" s="4"/>
      <c r="C218" s="4" t="s">
        <v>4906</v>
      </c>
      <c r="D218" s="4" t="str">
        <f t="shared" si="1"/>
        <v>{"valorA":"justo","valorB":1.0}</v>
      </c>
      <c r="E218" s="8" t="str">
        <f t="shared" si="2"/>
        <v>justo</v>
      </c>
      <c r="F218" s="8"/>
      <c r="G218" s="8" t="str">
        <f t="shared" si="3"/>
        <v>1.0</v>
      </c>
      <c r="H218" s="9">
        <f t="shared" si="4"/>
        <v>1</v>
      </c>
      <c r="I218" s="6" t="str">
        <f>IFERROR(__xludf.DUMMYFUNCTION("MAX(FILTER($H:$H,$E:$E=F218))"),"#N/A")</f>
        <v>#N/A</v>
      </c>
    </row>
    <row r="219">
      <c r="A219" s="4"/>
      <c r="C219" s="4" t="s">
        <v>294</v>
      </c>
      <c r="D219" s="4" t="str">
        <f t="shared" si="1"/>
        <v>{"valorA":"de","valorB":6.0}</v>
      </c>
      <c r="E219" s="8" t="str">
        <f t="shared" si="2"/>
        <v>de</v>
      </c>
      <c r="F219" s="8"/>
      <c r="G219" s="8" t="str">
        <f t="shared" si="3"/>
        <v>6.0</v>
      </c>
      <c r="H219" s="9">
        <f t="shared" si="4"/>
        <v>6</v>
      </c>
      <c r="I219" s="6" t="str">
        <f>IFERROR(__xludf.DUMMYFUNCTION("MAX(FILTER($H:$H,$E:$E=F219))"),"#N/A")</f>
        <v>#N/A</v>
      </c>
    </row>
    <row r="220">
      <c r="A220" s="4"/>
      <c r="C220" s="4" t="s">
        <v>1331</v>
      </c>
      <c r="D220" s="4" t="str">
        <f t="shared" si="1"/>
        <v>{"valorA":"ela","valorB":1.0}</v>
      </c>
      <c r="E220" s="8" t="str">
        <f t="shared" si="2"/>
        <v>ela</v>
      </c>
      <c r="F220" s="8"/>
      <c r="G220" s="8" t="str">
        <f t="shared" si="3"/>
        <v>1.0</v>
      </c>
      <c r="H220" s="9">
        <f t="shared" si="4"/>
        <v>1</v>
      </c>
      <c r="I220" s="6" t="str">
        <f>IFERROR(__xludf.DUMMYFUNCTION("MAX(FILTER($H:$H,$E:$E=F220))"),"#N/A")</f>
        <v>#N/A</v>
      </c>
    </row>
    <row r="221">
      <c r="A221" s="4"/>
      <c r="C221" s="4" t="s">
        <v>683</v>
      </c>
      <c r="D221" s="4" t="str">
        <f t="shared" si="1"/>
        <v>{"valorA":"alta","valorB":1.0}</v>
      </c>
      <c r="E221" s="8" t="str">
        <f t="shared" si="2"/>
        <v>alta</v>
      </c>
      <c r="F221" s="8"/>
      <c r="G221" s="8" t="str">
        <f t="shared" si="3"/>
        <v>1.0</v>
      </c>
      <c r="H221" s="9">
        <f t="shared" si="4"/>
        <v>1</v>
      </c>
      <c r="I221" s="6" t="str">
        <f>IFERROR(__xludf.DUMMYFUNCTION("MAX(FILTER($H:$H,$E:$E=F221))"),"#N/A")</f>
        <v>#N/A</v>
      </c>
    </row>
    <row r="222">
      <c r="A222" s="4"/>
      <c r="C222" s="4" t="s">
        <v>430</v>
      </c>
      <c r="D222" s="4" t="str">
        <f t="shared" si="1"/>
        <v>{"valorA":"ótimo","valorB":38.0}</v>
      </c>
      <c r="E222" s="8" t="str">
        <f t="shared" si="2"/>
        <v>ótimo</v>
      </c>
      <c r="F222" s="8"/>
      <c r="G222" s="8" t="str">
        <f t="shared" si="3"/>
        <v>38.0</v>
      </c>
      <c r="H222" s="9">
        <f t="shared" si="4"/>
        <v>38</v>
      </c>
      <c r="I222" s="6" t="str">
        <f>IFERROR(__xludf.DUMMYFUNCTION("MAX(FILTER($H:$H,$E:$E=F222))"),"#N/A")</f>
        <v>#N/A</v>
      </c>
    </row>
    <row r="223">
      <c r="A223" s="4"/>
      <c r="C223" s="4" t="s">
        <v>667</v>
      </c>
      <c r="D223" s="4" t="str">
        <f t="shared" si="1"/>
        <v>{"valorA":"som","valorB":1.0}</v>
      </c>
      <c r="E223" s="8" t="str">
        <f t="shared" si="2"/>
        <v>som</v>
      </c>
      <c r="F223" s="8"/>
      <c r="G223" s="8" t="str">
        <f t="shared" si="3"/>
        <v>1.0</v>
      </c>
      <c r="H223" s="9">
        <f t="shared" si="4"/>
        <v>1</v>
      </c>
      <c r="I223" s="6" t="str">
        <f>IFERROR(__xludf.DUMMYFUNCTION("MAX(FILTER($H:$H,$E:$E=F223))"),"#N/A")</f>
        <v>#N/A</v>
      </c>
    </row>
    <row r="224">
      <c r="A224" s="4"/>
      <c r="C224" s="4" t="s">
        <v>595</v>
      </c>
      <c r="D224" s="4" t="str">
        <f t="shared" si="1"/>
        <v>{"valorA":"paguei","valorB":2.0}</v>
      </c>
      <c r="E224" s="8" t="str">
        <f t="shared" si="2"/>
        <v>paguei</v>
      </c>
      <c r="F224" s="8"/>
      <c r="G224" s="8" t="str">
        <f t="shared" si="3"/>
        <v>2.0</v>
      </c>
      <c r="H224" s="9">
        <f t="shared" si="4"/>
        <v>2</v>
      </c>
      <c r="I224" s="6" t="str">
        <f>IFERROR(__xludf.DUMMYFUNCTION("MAX(FILTER($H:$H,$E:$E=F224))"),"#N/A")</f>
        <v>#N/A</v>
      </c>
    </row>
    <row r="225">
      <c r="A225" s="4"/>
      <c r="C225" s="4" t="s">
        <v>668</v>
      </c>
      <c r="D225" s="4" t="str">
        <f t="shared" si="1"/>
        <v>{"valorA":"sistema","valorB":1.0}</v>
      </c>
      <c r="E225" s="8" t="str">
        <f t="shared" si="2"/>
        <v>sistema</v>
      </c>
      <c r="F225" s="8"/>
      <c r="G225" s="8" t="str">
        <f t="shared" si="3"/>
        <v>1.0</v>
      </c>
      <c r="H225" s="9">
        <f t="shared" si="4"/>
        <v>1</v>
      </c>
      <c r="I225" s="6" t="str">
        <f>IFERROR(__xludf.DUMMYFUNCTION("MAX(FILTER($H:$H,$E:$E=F225))"),"#N/A")</f>
        <v>#N/A</v>
      </c>
    </row>
    <row r="226">
      <c r="A226" s="4"/>
      <c r="C226" s="4" t="s">
        <v>321</v>
      </c>
      <c r="D226" s="4" t="str">
        <f t="shared" si="1"/>
        <v>{"valorA":"deseio","valorB":1.0}</v>
      </c>
      <c r="E226" s="8" t="str">
        <f t="shared" si="2"/>
        <v>deseio</v>
      </c>
      <c r="F226" s="8"/>
      <c r="G226" s="8" t="str">
        <f t="shared" si="3"/>
        <v>1.0</v>
      </c>
      <c r="H226" s="9">
        <f t="shared" si="4"/>
        <v>1</v>
      </c>
      <c r="I226" s="6" t="str">
        <f>IFERROR(__xludf.DUMMYFUNCTION("MAX(FILTER($H:$H,$E:$E=F226))"),"#N/A")</f>
        <v>#N/A</v>
      </c>
    </row>
    <row r="227">
      <c r="A227" s="4"/>
      <c r="C227" s="4" t="s">
        <v>217</v>
      </c>
      <c r="D227" s="4" t="str">
        <f t="shared" si="1"/>
        <v>{"valorA":"adorei","valorB":1.0}</v>
      </c>
      <c r="E227" s="8" t="str">
        <f t="shared" si="2"/>
        <v>adorei</v>
      </c>
      <c r="F227" s="8"/>
      <c r="G227" s="8" t="str">
        <f t="shared" si="3"/>
        <v>1.0</v>
      </c>
      <c r="H227" s="9">
        <f t="shared" si="4"/>
        <v>1</v>
      </c>
      <c r="I227" s="6" t="str">
        <f>IFERROR(__xludf.DUMMYFUNCTION("MAX(FILTER($H:$H,$E:$E=F227))"),"#N/A")</f>
        <v>#N/A</v>
      </c>
    </row>
    <row r="228">
      <c r="A228" s="4"/>
      <c r="C228" s="4" t="s">
        <v>1313</v>
      </c>
      <c r="D228" s="4" t="str">
        <f t="shared" si="1"/>
        <v>{"valorA":"relojoeira","valorB":4.0}</v>
      </c>
      <c r="E228" s="8" t="str">
        <f t="shared" si="2"/>
        <v>relojoeira</v>
      </c>
      <c r="F228" s="8"/>
      <c r="G228" s="8" t="str">
        <f t="shared" si="3"/>
        <v>4.0</v>
      </c>
      <c r="H228" s="9">
        <f t="shared" si="4"/>
        <v>4</v>
      </c>
      <c r="I228" s="6" t="str">
        <f>IFERROR(__xludf.DUMMYFUNCTION("MAX(FILTER($H:$H,$E:$E=F228))"),"#N/A")</f>
        <v>#N/A</v>
      </c>
    </row>
    <row r="229">
      <c r="A229" s="4"/>
      <c r="C229" s="4" t="s">
        <v>1277</v>
      </c>
      <c r="D229" s="4" t="str">
        <f t="shared" si="1"/>
        <v>{"valorA":"desse","valorB":3.0}</v>
      </c>
      <c r="E229" s="8" t="str">
        <f t="shared" si="2"/>
        <v>desse</v>
      </c>
      <c r="F229" s="8"/>
      <c r="G229" s="8" t="str">
        <f t="shared" si="3"/>
        <v>3.0</v>
      </c>
      <c r="H229" s="9">
        <f t="shared" si="4"/>
        <v>3</v>
      </c>
      <c r="I229" s="6" t="str">
        <f>IFERROR(__xludf.DUMMYFUNCTION("MAX(FILTER($H:$H,$E:$E=F229))"),"#N/A")</f>
        <v>#N/A</v>
      </c>
    </row>
    <row r="230">
      <c r="A230" s="4"/>
      <c r="C230" s="4" t="s">
        <v>670</v>
      </c>
      <c r="D230" s="4" t="str">
        <f t="shared" si="1"/>
        <v>{"valorA":"um","valorB":3.0}</v>
      </c>
      <c r="E230" s="8" t="str">
        <f t="shared" si="2"/>
        <v>um</v>
      </c>
      <c r="F230" s="8"/>
      <c r="G230" s="8" t="str">
        <f t="shared" si="3"/>
        <v>3.0</v>
      </c>
      <c r="H230" s="9">
        <f t="shared" si="4"/>
        <v>3</v>
      </c>
      <c r="I230" s="6" t="str">
        <f>IFERROR(__xludf.DUMMYFUNCTION("MAX(FILTER($H:$H,$E:$E=F230))"),"#N/A")</f>
        <v>#N/A</v>
      </c>
    </row>
    <row r="231">
      <c r="A231" s="4"/>
      <c r="C231" s="4" t="s">
        <v>1268</v>
      </c>
      <c r="D231" s="4" t="str">
        <f t="shared" si="1"/>
        <v>{"valorA":"preço","valorB":2.0}</v>
      </c>
      <c r="E231" s="8" t="str">
        <f t="shared" si="2"/>
        <v>preço</v>
      </c>
      <c r="F231" s="8"/>
      <c r="G231" s="8" t="str">
        <f t="shared" si="3"/>
        <v>2.0</v>
      </c>
      <c r="H231" s="9">
        <f t="shared" si="4"/>
        <v>2</v>
      </c>
      <c r="I231" s="6" t="str">
        <f>IFERROR(__xludf.DUMMYFUNCTION("MAX(FILTER($H:$H,$E:$E=F231))"),"#N/A")</f>
        <v>#N/A</v>
      </c>
    </row>
    <row r="232">
      <c r="A232" s="4"/>
      <c r="C232" s="4" t="s">
        <v>420</v>
      </c>
      <c r="D232" s="4" t="str">
        <f t="shared" si="1"/>
        <v>{"valorA":"é","valorB":10.0}</v>
      </c>
      <c r="E232" s="8" t="str">
        <f t="shared" si="2"/>
        <v>é</v>
      </c>
      <c r="F232" s="8"/>
      <c r="G232" s="8" t="str">
        <f t="shared" si="3"/>
        <v>10.0</v>
      </c>
      <c r="H232" s="9">
        <f t="shared" si="4"/>
        <v>10</v>
      </c>
      <c r="I232" s="6" t="str">
        <f>IFERROR(__xludf.DUMMYFUNCTION("MAX(FILTER($H:$H,$E:$E=F232))"),"#N/A")</f>
        <v>#N/A</v>
      </c>
    </row>
    <row r="233">
      <c r="A233" s="4"/>
      <c r="C233" s="4" t="s">
        <v>1097</v>
      </c>
      <c r="D233" s="4" t="str">
        <f t="shared" si="1"/>
        <v>{"valorA":"recomendo","valorB":8.0}</v>
      </c>
      <c r="E233" s="8" t="str">
        <f t="shared" si="2"/>
        <v>recomendo</v>
      </c>
      <c r="F233" s="8"/>
      <c r="G233" s="8" t="str">
        <f t="shared" si="3"/>
        <v>8.0</v>
      </c>
      <c r="H233" s="9">
        <f t="shared" si="4"/>
        <v>8</v>
      </c>
      <c r="I233" s="6" t="str">
        <f>IFERROR(__xludf.DUMMYFUNCTION("MAX(FILTER($H:$H,$E:$E=F233))"),"#N/A")</f>
        <v>#N/A</v>
      </c>
    </row>
    <row r="234">
      <c r="A234" s="4"/>
      <c r="C234" s="4" t="s">
        <v>278</v>
      </c>
      <c r="D234" s="4" t="str">
        <f t="shared" si="1"/>
        <v>{"valorA":"solar","valorB":1.0}</v>
      </c>
      <c r="E234" s="8" t="str">
        <f t="shared" si="2"/>
        <v>solar</v>
      </c>
      <c r="F234" s="8"/>
      <c r="G234" s="8" t="str">
        <f t="shared" si="3"/>
        <v>1.0</v>
      </c>
      <c r="H234" s="9">
        <f t="shared" si="4"/>
        <v>1</v>
      </c>
      <c r="I234" s="6" t="str">
        <f>IFERROR(__xludf.DUMMYFUNCTION("MAX(FILTER($H:$H,$E:$E=F234))"),"#N/A")</f>
        <v>#N/A</v>
      </c>
    </row>
    <row r="235">
      <c r="A235" s="4"/>
      <c r="C235" s="4" t="s">
        <v>266</v>
      </c>
      <c r="D235" s="4" t="str">
        <f t="shared" si="1"/>
        <v>{"valorA":"barato","valorB":1.0}</v>
      </c>
      <c r="E235" s="8" t="str">
        <f t="shared" si="2"/>
        <v>barato</v>
      </c>
      <c r="F235" s="8"/>
      <c r="G235" s="8" t="str">
        <f t="shared" si="3"/>
        <v>1.0</v>
      </c>
      <c r="H235" s="9">
        <f t="shared" si="4"/>
        <v>1</v>
      </c>
      <c r="I235" s="6" t="str">
        <f>IFERROR(__xludf.DUMMYFUNCTION("MAX(FILTER($H:$H,$E:$E=F235))"),"#N/A")</f>
        <v>#N/A</v>
      </c>
    </row>
    <row r="236">
      <c r="A236" s="4"/>
      <c r="C236" s="4" t="s">
        <v>1328</v>
      </c>
      <c r="D236" s="4" t="str">
        <f t="shared" si="1"/>
        <v>{"valorA":"relogio","valorB":2.0}</v>
      </c>
      <c r="E236" s="8" t="str">
        <f t="shared" si="2"/>
        <v>relogio</v>
      </c>
      <c r="F236" s="8"/>
      <c r="G236" s="8" t="str">
        <f t="shared" si="3"/>
        <v>2.0</v>
      </c>
      <c r="H236" s="9">
        <f t="shared" si="4"/>
        <v>2</v>
      </c>
      <c r="I236" s="6" t="str">
        <f>IFERROR(__xludf.DUMMYFUNCTION("MAX(FILTER($H:$H,$E:$E=F236))"),"#N/A")</f>
        <v>#N/A</v>
      </c>
    </row>
    <row r="237">
      <c r="A237" s="4"/>
      <c r="C237" s="4" t="s">
        <v>9055</v>
      </c>
      <c r="D237" s="4" t="str">
        <f t="shared" si="1"/>
        <v>{"valorA":"painel","valorB":1.0}</v>
      </c>
      <c r="E237" s="8" t="str">
        <f t="shared" si="2"/>
        <v>painel</v>
      </c>
      <c r="F237" s="8"/>
      <c r="G237" s="8" t="str">
        <f t="shared" si="3"/>
        <v>1.0</v>
      </c>
      <c r="H237" s="9">
        <f t="shared" si="4"/>
        <v>1</v>
      </c>
      <c r="I237" s="6" t="str">
        <f>IFERROR(__xludf.DUMMYFUNCTION("MAX(FILTER($H:$H,$E:$E=F237))"),"#N/A")</f>
        <v>#N/A</v>
      </c>
    </row>
    <row r="238">
      <c r="A238" s="4"/>
      <c r="C238" s="4" t="s">
        <v>744</v>
      </c>
      <c r="D238" s="4" t="str">
        <f t="shared" si="1"/>
        <v>{"valorA":"bem","valorB":7.0}</v>
      </c>
      <c r="E238" s="8" t="str">
        <f t="shared" si="2"/>
        <v>bem</v>
      </c>
      <c r="F238" s="8"/>
      <c r="G238" s="8" t="str">
        <f t="shared" si="3"/>
        <v>7.0</v>
      </c>
      <c r="H238" s="9">
        <f t="shared" si="4"/>
        <v>7</v>
      </c>
      <c r="I238" s="6" t="str">
        <f>IFERROR(__xludf.DUMMYFUNCTION("MAX(FILTER($H:$H,$E:$E=F238))"),"#N/A")</f>
        <v>#N/A</v>
      </c>
    </row>
    <row r="239">
      <c r="A239" s="4"/>
      <c r="C239" s="4" t="s">
        <v>279</v>
      </c>
      <c r="D239" s="4" t="str">
        <f t="shared" si="1"/>
        <v>{"valorA":"usar","valorB":3.0}</v>
      </c>
      <c r="E239" s="8" t="str">
        <f t="shared" si="2"/>
        <v>usar</v>
      </c>
      <c r="F239" s="8"/>
      <c r="G239" s="8" t="str">
        <f t="shared" si="3"/>
        <v>3.0</v>
      </c>
      <c r="H239" s="9">
        <f t="shared" si="4"/>
        <v>3</v>
      </c>
      <c r="I239" s="6" t="str">
        <f>IFERROR(__xludf.DUMMYFUNCTION("MAX(FILTER($H:$H,$E:$E=F239))"),"#N/A")</f>
        <v>#N/A</v>
      </c>
    </row>
    <row r="240">
      <c r="A240" s="4"/>
      <c r="C240" s="4" t="s">
        <v>425</v>
      </c>
      <c r="D240" s="4" t="str">
        <f t="shared" si="1"/>
        <v>{"valorA":"e","valorB":9.0}</v>
      </c>
      <c r="E240" s="8" t="str">
        <f t="shared" si="2"/>
        <v>e</v>
      </c>
      <c r="F240" s="8"/>
      <c r="G240" s="8" t="str">
        <f t="shared" si="3"/>
        <v>9.0</v>
      </c>
      <c r="H240" s="9">
        <f t="shared" si="4"/>
        <v>9</v>
      </c>
      <c r="I240" s="6" t="str">
        <f>IFERROR(__xludf.DUMMYFUNCTION("MAX(FILTER($H:$H,$E:$E=F240))"),"#N/A")</f>
        <v>#N/A</v>
      </c>
    </row>
    <row r="241">
      <c r="A241" s="4"/>
      <c r="C241" s="4" t="s">
        <v>350</v>
      </c>
      <c r="D241" s="4" t="str">
        <f t="shared" si="1"/>
        <v>{"valorA":"de","valorB":7.0}</v>
      </c>
      <c r="E241" s="8" t="str">
        <f t="shared" si="2"/>
        <v>de</v>
      </c>
      <c r="F241" s="8"/>
      <c r="G241" s="8" t="str">
        <f t="shared" si="3"/>
        <v>7.0</v>
      </c>
      <c r="H241" s="9">
        <f t="shared" si="4"/>
        <v>7</v>
      </c>
      <c r="I241" s="6" t="str">
        <f>IFERROR(__xludf.DUMMYFUNCTION("MAX(FILTER($H:$H,$E:$E=F241))"),"#N/A")</f>
        <v>#N/A</v>
      </c>
    </row>
    <row r="242">
      <c r="A242" s="4"/>
      <c r="C242" s="4" t="s">
        <v>413</v>
      </c>
      <c r="D242" s="4" t="str">
        <f t="shared" si="1"/>
        <v>{"valorA":"produto","valorB":24.0}</v>
      </c>
      <c r="E242" s="8" t="str">
        <f t="shared" si="2"/>
        <v>produto</v>
      </c>
      <c r="F242" s="8"/>
      <c r="G242" s="8" t="str">
        <f t="shared" si="3"/>
        <v>24.0</v>
      </c>
      <c r="H242" s="9">
        <f t="shared" si="4"/>
        <v>24</v>
      </c>
      <c r="I242" s="6" t="str">
        <f>IFERROR(__xludf.DUMMYFUNCTION("MAX(FILTER($H:$H,$E:$E=F242))"),"#N/A")</f>
        <v>#N/A</v>
      </c>
    </row>
    <row r="243">
      <c r="A243" s="4"/>
      <c r="C243" s="4" t="s">
        <v>444</v>
      </c>
      <c r="D243" s="4" t="str">
        <f t="shared" si="1"/>
        <v>{"valorA":"ótimo","valorB":41.0}</v>
      </c>
      <c r="E243" s="8" t="str">
        <f t="shared" si="2"/>
        <v>ótimo</v>
      </c>
      <c r="F243" s="8"/>
      <c r="G243" s="8" t="str">
        <f t="shared" si="3"/>
        <v>41.0</v>
      </c>
      <c r="H243" s="9">
        <f t="shared" si="4"/>
        <v>41</v>
      </c>
      <c r="I243" s="6" t="str">
        <f>IFERROR(__xludf.DUMMYFUNCTION("MAX(FILTER($H:$H,$E:$E=F243))"),"#N/A")</f>
        <v>#N/A</v>
      </c>
    </row>
    <row r="244">
      <c r="A244" s="4"/>
      <c r="C244" s="4" t="s">
        <v>337</v>
      </c>
      <c r="D244" s="4" t="str">
        <f t="shared" si="1"/>
        <v>{"valorA":"mais","valorB":1.0}</v>
      </c>
      <c r="E244" s="8" t="str">
        <f t="shared" si="2"/>
        <v>mais</v>
      </c>
      <c r="F244" s="8"/>
      <c r="G244" s="8" t="str">
        <f t="shared" si="3"/>
        <v>1.0</v>
      </c>
      <c r="H244" s="9">
        <f t="shared" si="4"/>
        <v>1</v>
      </c>
      <c r="I244" s="6" t="str">
        <f>IFERROR(__xludf.DUMMYFUNCTION("MAX(FILTER($H:$H,$E:$E=F244))"),"#N/A")</f>
        <v>#N/A</v>
      </c>
    </row>
    <row r="245">
      <c r="A245" s="4"/>
      <c r="C245" s="4" t="s">
        <v>431</v>
      </c>
      <c r="D245" s="4" t="str">
        <f t="shared" si="1"/>
        <v>{"valorA":"fácil","valorB":3.0}</v>
      </c>
      <c r="E245" s="8" t="str">
        <f t="shared" si="2"/>
        <v>fácil</v>
      </c>
      <c r="F245" s="8"/>
      <c r="G245" s="8" t="str">
        <f t="shared" si="3"/>
        <v>3.0</v>
      </c>
      <c r="H245" s="9">
        <f t="shared" si="4"/>
        <v>3</v>
      </c>
      <c r="I245" s="6" t="str">
        <f>IFERROR(__xludf.DUMMYFUNCTION("MAX(FILTER($H:$H,$E:$E=F245))"),"#N/A")</f>
        <v>#N/A</v>
      </c>
    </row>
    <row r="246">
      <c r="A246" s="4"/>
      <c r="C246" s="4" t="s">
        <v>356</v>
      </c>
      <c r="D246" s="4" t="str">
        <f t="shared" si="1"/>
        <v>{"valorA":"esse","valorB":6.0}</v>
      </c>
      <c r="E246" s="8" t="str">
        <f t="shared" si="2"/>
        <v>esse</v>
      </c>
      <c r="F246" s="8"/>
      <c r="G246" s="8" t="str">
        <f t="shared" si="3"/>
        <v>6.0</v>
      </c>
      <c r="H246" s="9">
        <f t="shared" si="4"/>
        <v>6</v>
      </c>
      <c r="I246" s="6" t="str">
        <f>IFERROR(__xludf.DUMMYFUNCTION("MAX(FILTER($H:$H,$E:$E=F246))"),"#N/A")</f>
        <v>#N/A</v>
      </c>
    </row>
    <row r="247">
      <c r="A247" s="4"/>
      <c r="C247" s="4" t="s">
        <v>358</v>
      </c>
      <c r="D247" s="4" t="str">
        <f t="shared" si="1"/>
        <v>{"valorA":"muito","valorB":11.0}</v>
      </c>
      <c r="E247" s="8" t="str">
        <f t="shared" si="2"/>
        <v>muito</v>
      </c>
      <c r="F247" s="8"/>
      <c r="G247" s="8" t="str">
        <f t="shared" si="3"/>
        <v>11.0</v>
      </c>
      <c r="H247" s="9">
        <f t="shared" si="4"/>
        <v>11</v>
      </c>
      <c r="I247" s="6" t="str">
        <f>IFERROR(__xludf.DUMMYFUNCTION("MAX(FILTER($H:$H,$E:$E=F247))"),"#N/A")</f>
        <v>#N/A</v>
      </c>
    </row>
    <row r="248">
      <c r="A248" s="4"/>
      <c r="C248" s="4" t="s">
        <v>495</v>
      </c>
      <c r="D248" s="4" t="str">
        <f t="shared" si="1"/>
        <v>{"valorA":"satisfeito","valorB":4.0}</v>
      </c>
      <c r="E248" s="8" t="str">
        <f t="shared" si="2"/>
        <v>satisfeito</v>
      </c>
      <c r="F248" s="8"/>
      <c r="G248" s="8" t="str">
        <f t="shared" si="3"/>
        <v>4.0</v>
      </c>
      <c r="H248" s="9">
        <f t="shared" si="4"/>
        <v>4</v>
      </c>
      <c r="I248" s="6" t="str">
        <f>IFERROR(__xludf.DUMMYFUNCTION("MAX(FILTER($H:$H,$E:$E=F248))"),"#N/A")</f>
        <v>#N/A</v>
      </c>
    </row>
    <row r="249">
      <c r="A249" s="4"/>
      <c r="C249" s="4" t="s">
        <v>1180</v>
      </c>
      <c r="D249" s="4" t="str">
        <f t="shared" si="1"/>
        <v>{"valorA":"funciona","valorB":13.0}</v>
      </c>
      <c r="E249" s="8" t="str">
        <f t="shared" si="2"/>
        <v>funciona</v>
      </c>
      <c r="F249" s="8"/>
      <c r="G249" s="8" t="str">
        <f t="shared" si="3"/>
        <v>13.0</v>
      </c>
      <c r="H249" s="9">
        <f t="shared" si="4"/>
        <v>13</v>
      </c>
      <c r="I249" s="6" t="str">
        <f>IFERROR(__xludf.DUMMYFUNCTION("MAX(FILTER($H:$H,$E:$E=F249))"),"#N/A")</f>
        <v>#N/A</v>
      </c>
    </row>
    <row r="250">
      <c r="A250" s="4"/>
      <c r="C250" s="4" t="s">
        <v>1314</v>
      </c>
      <c r="D250" s="4" t="str">
        <f t="shared" si="1"/>
        <v>{"valorA":"desse","valorB":4.0}</v>
      </c>
      <c r="E250" s="8" t="str">
        <f t="shared" si="2"/>
        <v>desse</v>
      </c>
      <c r="F250" s="8"/>
      <c r="G250" s="8" t="str">
        <f t="shared" si="3"/>
        <v>4.0</v>
      </c>
      <c r="H250" s="9">
        <f t="shared" si="4"/>
        <v>4</v>
      </c>
      <c r="I250" s="6" t="str">
        <f>IFERROR(__xludf.DUMMYFUNCTION("MAX(FILTER($H:$H,$E:$E=F250))"),"#N/A")</f>
        <v>#N/A</v>
      </c>
    </row>
    <row r="251">
      <c r="A251" s="4"/>
      <c r="C251" s="4" t="s">
        <v>9056</v>
      </c>
      <c r="D251" s="4" t="str">
        <f t="shared" si="1"/>
        <v>{"valorA":"relojoeir","valorB":2.0}</v>
      </c>
      <c r="E251" s="8" t="str">
        <f t="shared" si="2"/>
        <v>relojoeir</v>
      </c>
      <c r="F251" s="8"/>
      <c r="G251" s="8" t="str">
        <f t="shared" si="3"/>
        <v>2.0</v>
      </c>
      <c r="H251" s="9">
        <f t="shared" si="4"/>
        <v>2</v>
      </c>
      <c r="I251" s="6" t="str">
        <f>IFERROR(__xludf.DUMMYFUNCTION("MAX(FILTER($H:$H,$E:$E=F251))"),"#N/A")</f>
        <v>#N/A</v>
      </c>
    </row>
    <row r="252">
      <c r="A252" s="4"/>
      <c r="C252" s="4" t="s">
        <v>1113</v>
      </c>
      <c r="D252" s="4" t="str">
        <f t="shared" si="1"/>
        <v>{"valorA":"recomendo","valorB":9.0}</v>
      </c>
      <c r="E252" s="8" t="str">
        <f t="shared" si="2"/>
        <v>recomendo</v>
      </c>
      <c r="F252" s="8"/>
      <c r="G252" s="8" t="str">
        <f t="shared" si="3"/>
        <v>9.0</v>
      </c>
      <c r="H252" s="9">
        <f t="shared" si="4"/>
        <v>9</v>
      </c>
      <c r="I252" s="6" t="str">
        <f>IFERROR(__xludf.DUMMYFUNCTION("MAX(FILTER($H:$H,$E:$E=F252))"),"#N/A")</f>
        <v>#N/A</v>
      </c>
    </row>
    <row r="253">
      <c r="A253" s="4"/>
      <c r="C253" s="4" t="s">
        <v>232</v>
      </c>
      <c r="D253" s="4" t="str">
        <f t="shared" si="1"/>
        <v>{"valorA":"minhas","valorB":1.0}</v>
      </c>
      <c r="E253" s="8" t="str">
        <f t="shared" si="2"/>
        <v>minhas</v>
      </c>
      <c r="F253" s="8"/>
      <c r="G253" s="8" t="str">
        <f t="shared" si="3"/>
        <v>1.0</v>
      </c>
      <c r="H253" s="9">
        <f t="shared" si="4"/>
        <v>1</v>
      </c>
      <c r="I253" s="6" t="str">
        <f>IFERROR(__xludf.DUMMYFUNCTION("MAX(FILTER($H:$H,$E:$E=F253))"),"#N/A")</f>
        <v>#N/A</v>
      </c>
    </row>
    <row r="254">
      <c r="A254" s="4"/>
      <c r="C254" s="4" t="s">
        <v>4508</v>
      </c>
      <c r="D254" s="4" t="str">
        <f t="shared" si="1"/>
        <v>{"valorA":"é","valorB":11.0}</v>
      </c>
      <c r="E254" s="8" t="str">
        <f t="shared" si="2"/>
        <v>é</v>
      </c>
      <c r="F254" s="8"/>
      <c r="G254" s="8" t="str">
        <f t="shared" si="3"/>
        <v>11.0</v>
      </c>
      <c r="H254" s="9">
        <f t="shared" si="4"/>
        <v>11</v>
      </c>
      <c r="I254" s="6" t="str">
        <f>IFERROR(__xludf.DUMMYFUNCTION("MAX(FILTER($H:$H,$E:$E=F254))"),"#N/A")</f>
        <v>#N/A</v>
      </c>
    </row>
    <row r="255">
      <c r="A255" s="4"/>
      <c r="C255" s="4" t="s">
        <v>218</v>
      </c>
      <c r="D255" s="4" t="str">
        <f t="shared" si="1"/>
        <v>{"valorA":"para","valorB":3.0}</v>
      </c>
      <c r="E255" s="8" t="str">
        <f t="shared" si="2"/>
        <v>para</v>
      </c>
      <c r="F255" s="8"/>
      <c r="G255" s="8" t="str">
        <f t="shared" si="3"/>
        <v>3.0</v>
      </c>
      <c r="H255" s="9">
        <f t="shared" si="4"/>
        <v>3</v>
      </c>
      <c r="I255" s="6" t="str">
        <f>IFERROR(__xludf.DUMMYFUNCTION("MAX(FILTER($H:$H,$E:$E=F255))"),"#N/A")</f>
        <v>#N/A</v>
      </c>
    </row>
    <row r="256">
      <c r="A256" s="4"/>
      <c r="C256" s="4" t="s">
        <v>839</v>
      </c>
      <c r="D256" s="4" t="str">
        <f t="shared" si="1"/>
        <v>{"valorA":"meu","valorB":6.0}</v>
      </c>
      <c r="E256" s="8" t="str">
        <f t="shared" si="2"/>
        <v>meu</v>
      </c>
      <c r="F256" s="8"/>
      <c r="G256" s="8" t="str">
        <f t="shared" si="3"/>
        <v>6.0</v>
      </c>
      <c r="H256" s="9">
        <f t="shared" si="4"/>
        <v>6</v>
      </c>
      <c r="I256" s="6" t="str">
        <f>IFERROR(__xludf.DUMMYFUNCTION("MAX(FILTER($H:$H,$E:$E=F256))"),"#N/A")</f>
        <v>#N/A</v>
      </c>
    </row>
    <row r="257">
      <c r="A257" s="4"/>
      <c r="C257" s="4" t="s">
        <v>9057</v>
      </c>
      <c r="D257" s="4" t="str">
        <f t="shared" si="1"/>
        <v>{"valorA":"necessidades","valorB":1.0}</v>
      </c>
      <c r="E257" s="8" t="str">
        <f t="shared" si="2"/>
        <v>necessidades</v>
      </c>
      <c r="F257" s="8"/>
      <c r="G257" s="8" t="str">
        <f t="shared" si="3"/>
        <v>1.0</v>
      </c>
      <c r="H257" s="9">
        <f t="shared" si="4"/>
        <v>1</v>
      </c>
      <c r="I257" s="6" t="str">
        <f>IFERROR(__xludf.DUMMYFUNCTION("MAX(FILTER($H:$H,$E:$E=F257))"),"#N/A")</f>
        <v>#N/A</v>
      </c>
    </row>
    <row r="258">
      <c r="A258" s="4"/>
      <c r="C258" s="4" t="s">
        <v>1307</v>
      </c>
      <c r="D258" s="4" t="str">
        <f t="shared" si="1"/>
        <v>{"valorA":"incrível","valorB":9.0}</v>
      </c>
      <c r="E258" s="8" t="str">
        <f t="shared" si="2"/>
        <v>incrível</v>
      </c>
      <c r="F258" s="8"/>
      <c r="G258" s="8" t="str">
        <f t="shared" si="3"/>
        <v>9.0</v>
      </c>
      <c r="H258" s="9">
        <f t="shared" si="4"/>
        <v>9</v>
      </c>
      <c r="I258" s="6" t="str">
        <f>IFERROR(__xludf.DUMMYFUNCTION("MAX(FILTER($H:$H,$E:$E=F258))"),"#N/A")</f>
        <v>#N/A</v>
      </c>
    </row>
    <row r="259">
      <c r="A259" s="4"/>
      <c r="C259" s="4" t="s">
        <v>440</v>
      </c>
      <c r="D259" s="4" t="str">
        <f t="shared" si="1"/>
        <v>{"valorA":"e","valorB":10.0}</v>
      </c>
      <c r="E259" s="8" t="str">
        <f t="shared" si="2"/>
        <v>e</v>
      </c>
      <c r="F259" s="8"/>
      <c r="G259" s="8" t="str">
        <f t="shared" si="3"/>
        <v>10.0</v>
      </c>
      <c r="H259" s="9">
        <f t="shared" si="4"/>
        <v>10</v>
      </c>
      <c r="I259" s="6" t="str">
        <f>IFERROR(__xludf.DUMMYFUNCTION("MAX(FILTER($H:$H,$E:$E=F259))"),"#N/A")</f>
        <v>#N/A</v>
      </c>
    </row>
    <row r="260">
      <c r="A260" s="4"/>
      <c r="C260" s="4" t="s">
        <v>655</v>
      </c>
      <c r="D260" s="4" t="str">
        <f t="shared" si="1"/>
        <v>{"valorA":"o","valorB":5.0}</v>
      </c>
      <c r="E260" s="8" t="str">
        <f t="shared" si="2"/>
        <v>o</v>
      </c>
      <c r="F260" s="8"/>
      <c r="G260" s="8" t="str">
        <f t="shared" si="3"/>
        <v>5.0</v>
      </c>
      <c r="H260" s="9">
        <f t="shared" si="4"/>
        <v>5</v>
      </c>
      <c r="I260" s="6" t="str">
        <f>IFERROR(__xludf.DUMMYFUNCTION("MAX(FILTER($H:$H,$E:$E=F260))"),"#N/A")</f>
        <v>#N/A</v>
      </c>
    </row>
    <row r="261">
      <c r="A261" s="4"/>
      <c r="C261" s="4" t="s">
        <v>1288</v>
      </c>
      <c r="D261" s="4" t="str">
        <f t="shared" si="1"/>
        <v>{"valorA":"sofá","valorB":1.0}</v>
      </c>
      <c r="E261" s="8" t="str">
        <f t="shared" si="2"/>
        <v>sofá</v>
      </c>
      <c r="F261" s="8"/>
      <c r="G261" s="8" t="str">
        <f t="shared" si="3"/>
        <v>1.0</v>
      </c>
      <c r="H261" s="9">
        <f t="shared" si="4"/>
        <v>1</v>
      </c>
      <c r="I261" s="6" t="str">
        <f>IFERROR(__xludf.DUMMYFUNCTION("MAX(FILTER($H:$H,$E:$E=F261))"),"#N/A")</f>
        <v>#N/A</v>
      </c>
    </row>
    <row r="262">
      <c r="A262" s="4"/>
      <c r="C262" s="4" t="s">
        <v>428</v>
      </c>
      <c r="D262" s="4" t="str">
        <f t="shared" si="1"/>
        <v>{"valorA":"produto","valorB":26.0}</v>
      </c>
      <c r="E262" s="8" t="str">
        <f t="shared" si="2"/>
        <v>produto</v>
      </c>
      <c r="F262" s="8"/>
      <c r="G262" s="8" t="str">
        <f t="shared" si="3"/>
        <v>26.0</v>
      </c>
      <c r="H262" s="9">
        <f t="shared" si="4"/>
        <v>26</v>
      </c>
      <c r="I262" s="6" t="str">
        <f>IFERROR(__xludf.DUMMYFUNCTION("MAX(FILTER($H:$H,$E:$E=F262))"),"#N/A")</f>
        <v>#N/A</v>
      </c>
    </row>
    <row r="263">
      <c r="A263" s="4"/>
      <c r="C263" s="4" t="s">
        <v>464</v>
      </c>
      <c r="D263" s="4" t="str">
        <f t="shared" si="1"/>
        <v>{"valorA":"ótimo","valorB":44.0}</v>
      </c>
      <c r="E263" s="8" t="str">
        <f t="shared" si="2"/>
        <v>ótimo</v>
      </c>
      <c r="F263" s="8"/>
      <c r="G263" s="8" t="str">
        <f t="shared" si="3"/>
        <v>44.0</v>
      </c>
      <c r="H263" s="9">
        <f t="shared" si="4"/>
        <v>44</v>
      </c>
      <c r="I263" s="6" t="str">
        <f>IFERROR(__xludf.DUMMYFUNCTION("MAX(FILTER($H:$H,$E:$E=F263))"),"#N/A")</f>
        <v>#N/A</v>
      </c>
    </row>
    <row r="264">
      <c r="A264" s="4"/>
      <c r="C264" s="4" t="s">
        <v>395</v>
      </c>
      <c r="D264" s="4" t="str">
        <f t="shared" si="1"/>
        <v>{"valorA":"esse","valorB":7.0}</v>
      </c>
      <c r="E264" s="8" t="str">
        <f t="shared" si="2"/>
        <v>esse</v>
      </c>
      <c r="F264" s="8"/>
      <c r="G264" s="8" t="str">
        <f t="shared" si="3"/>
        <v>7.0</v>
      </c>
      <c r="H264" s="9">
        <f t="shared" si="4"/>
        <v>7</v>
      </c>
      <c r="I264" s="6" t="str">
        <f>IFERROR(__xludf.DUMMYFUNCTION("MAX(FILTER($H:$H,$E:$E=F264))"),"#N/A")</f>
        <v>#N/A</v>
      </c>
    </row>
    <row r="265">
      <c r="A265" s="4"/>
      <c r="C265" s="4" t="s">
        <v>1258</v>
      </c>
      <c r="D265" s="4" t="str">
        <f t="shared" si="1"/>
        <v>{"valorA":"realmente","valorB":2.0}</v>
      </c>
      <c r="E265" s="8" t="str">
        <f t="shared" si="2"/>
        <v>realmente</v>
      </c>
      <c r="F265" s="8"/>
      <c r="G265" s="8" t="str">
        <f t="shared" si="3"/>
        <v>2.0</v>
      </c>
      <c r="H265" s="9">
        <f t="shared" si="4"/>
        <v>2</v>
      </c>
      <c r="I265" s="6" t="str">
        <f>IFERROR(__xludf.DUMMYFUNCTION("MAX(FILTER($H:$H,$E:$E=F265))"),"#N/A")</f>
        <v>#N/A</v>
      </c>
    </row>
    <row r="266">
      <c r="A266" s="4"/>
      <c r="C266" s="4" t="s">
        <v>1080</v>
      </c>
      <c r="D266" s="4" t="str">
        <f t="shared" si="1"/>
        <v>{"valorA":"confortável","valorB":2.0}</v>
      </c>
      <c r="E266" s="8" t="str">
        <f t="shared" si="2"/>
        <v>confortável</v>
      </c>
      <c r="F266" s="8"/>
      <c r="G266" s="8" t="str">
        <f t="shared" si="3"/>
        <v>2.0</v>
      </c>
      <c r="H266" s="9">
        <f t="shared" si="4"/>
        <v>2</v>
      </c>
      <c r="I266" s="6" t="str">
        <f>IFERROR(__xludf.DUMMYFUNCTION("MAX(FILTER($H:$H,$E:$E=F266))"),"#N/A")</f>
        <v>#N/A</v>
      </c>
    </row>
    <row r="267">
      <c r="A267" s="4"/>
      <c r="C267" s="4" t="s">
        <v>379</v>
      </c>
      <c r="D267" s="4" t="str">
        <f t="shared" si="1"/>
        <v>{"valorA":"novo","valorB":2.0}</v>
      </c>
      <c r="E267" s="8" t="str">
        <f t="shared" si="2"/>
        <v>novo</v>
      </c>
      <c r="F267" s="8"/>
      <c r="G267" s="8" t="str">
        <f t="shared" si="3"/>
        <v>2.0</v>
      </c>
      <c r="H267" s="9">
        <f t="shared" si="4"/>
        <v>2</v>
      </c>
      <c r="I267" s="6" t="str">
        <f>IFERROR(__xludf.DUMMYFUNCTION("MAX(FILTER($H:$H,$E:$E=F267))"),"#N/A")</f>
        <v>#N/A</v>
      </c>
    </row>
    <row r="268">
      <c r="A268" s="4"/>
      <c r="C268" s="4" t="s">
        <v>4509</v>
      </c>
      <c r="D268" s="4" t="str">
        <f t="shared" si="1"/>
        <v>{"valorA":"perfeito","valorB":1.0}</v>
      </c>
      <c r="E268" s="8" t="str">
        <f t="shared" si="2"/>
        <v>perfeito</v>
      </c>
      <c r="F268" s="8"/>
      <c r="G268" s="8" t="str">
        <f t="shared" si="3"/>
        <v>1.0</v>
      </c>
      <c r="H268" s="9">
        <f t="shared" si="4"/>
        <v>1</v>
      </c>
      <c r="I268" s="6" t="str">
        <f>IFERROR(__xludf.DUMMYFUNCTION("MAX(FILTER($H:$H,$E:$E=F268))"),"#N/A")</f>
        <v>#N/A</v>
      </c>
    </row>
    <row r="269">
      <c r="A269" s="4"/>
      <c r="C269" s="4" t="s">
        <v>435</v>
      </c>
      <c r="D269" s="4" t="str">
        <f t="shared" si="1"/>
        <v>{"valorA":"é","valorB":12.0}</v>
      </c>
      <c r="E269" s="8" t="str">
        <f t="shared" si="2"/>
        <v>é</v>
      </c>
      <c r="F269" s="8"/>
      <c r="G269" s="8" t="str">
        <f t="shared" si="3"/>
        <v>12.0</v>
      </c>
      <c r="H269" s="9">
        <f t="shared" si="4"/>
        <v>12</v>
      </c>
      <c r="I269" s="6" t="str">
        <f>IFERROR(__xludf.DUMMYFUNCTION("MAX(FILTER($H:$H,$E:$E=F269))"),"#N/A")</f>
        <v>#N/A</v>
      </c>
    </row>
    <row r="270">
      <c r="A270" s="4"/>
      <c r="C270" s="4" t="s">
        <v>606</v>
      </c>
      <c r="D270" s="4" t="str">
        <f t="shared" si="1"/>
        <v>{"valorA":"qualidade","valorB":4.0}</v>
      </c>
      <c r="E270" s="8" t="str">
        <f t="shared" si="2"/>
        <v>qualidade</v>
      </c>
      <c r="F270" s="8"/>
      <c r="G270" s="8" t="str">
        <f t="shared" si="3"/>
        <v>4.0</v>
      </c>
      <c r="H270" s="9">
        <f t="shared" si="4"/>
        <v>4</v>
      </c>
      <c r="I270" s="6" t="str">
        <f>IFERROR(__xludf.DUMMYFUNCTION("MAX(FILTER($H:$H,$E:$E=F270))"),"#N/A")</f>
        <v>#N/A</v>
      </c>
    </row>
    <row r="271">
      <c r="A271" s="4"/>
      <c r="C271" s="4" t="s">
        <v>9058</v>
      </c>
      <c r="D271" s="4" t="str">
        <f t="shared" si="1"/>
        <v>{"valorA":"incrível","valorB":10.0}</v>
      </c>
      <c r="E271" s="8" t="str">
        <f t="shared" si="2"/>
        <v>incrível</v>
      </c>
      <c r="F271" s="8"/>
      <c r="G271" s="8" t="str">
        <f t="shared" si="3"/>
        <v>10.0</v>
      </c>
      <c r="H271" s="9">
        <f t="shared" si="4"/>
        <v>10</v>
      </c>
      <c r="I271" s="6" t="str">
        <f>IFERROR(__xludf.DUMMYFUNCTION("MAX(FILTER($H:$H,$E:$E=F271))"),"#N/A")</f>
        <v>#N/A</v>
      </c>
    </row>
    <row r="272">
      <c r="A272" s="4"/>
      <c r="C272" s="4" t="s">
        <v>389</v>
      </c>
      <c r="D272" s="4" t="str">
        <f t="shared" si="1"/>
        <v>{"valorA":"de","valorB":8.0}</v>
      </c>
      <c r="E272" s="8" t="str">
        <f t="shared" si="2"/>
        <v>de</v>
      </c>
      <c r="F272" s="8"/>
      <c r="G272" s="8" t="str">
        <f t="shared" si="3"/>
        <v>8.0</v>
      </c>
      <c r="H272" s="9">
        <f t="shared" si="4"/>
        <v>8</v>
      </c>
      <c r="I272" s="6" t="str">
        <f>IFERROR(__xludf.DUMMYFUNCTION("MAX(FILTER($H:$H,$E:$E=F272))"),"#N/A")</f>
        <v>#N/A</v>
      </c>
    </row>
    <row r="273">
      <c r="A273" s="4"/>
      <c r="C273" s="4" t="s">
        <v>9059</v>
      </c>
      <c r="D273" s="4" t="str">
        <f t="shared" si="1"/>
        <v>{"valorA":"paraíso","valorB":1.0}</v>
      </c>
      <c r="E273" s="8" t="str">
        <f t="shared" si="2"/>
        <v>paraíso</v>
      </c>
      <c r="F273" s="8"/>
      <c r="G273" s="8" t="str">
        <f t="shared" si="3"/>
        <v>1.0</v>
      </c>
      <c r="H273" s="9">
        <f t="shared" si="4"/>
        <v>1</v>
      </c>
      <c r="I273" s="6" t="str">
        <f>IFERROR(__xludf.DUMMYFUNCTION("MAX(FILTER($H:$H,$E:$E=F273))"),"#N/A")</f>
        <v>#N/A</v>
      </c>
    </row>
    <row r="274">
      <c r="A274" s="4"/>
      <c r="C274" s="4" t="s">
        <v>392</v>
      </c>
      <c r="D274" s="4" t="str">
        <f t="shared" si="1"/>
        <v>{"valorA":"do","valorB":2.0}</v>
      </c>
      <c r="E274" s="8" t="str">
        <f t="shared" si="2"/>
        <v>do</v>
      </c>
      <c r="F274" s="8"/>
      <c r="G274" s="8" t="str">
        <f t="shared" si="3"/>
        <v>2.0</v>
      </c>
      <c r="H274" s="9">
        <f t="shared" si="4"/>
        <v>2</v>
      </c>
      <c r="I274" s="6" t="str">
        <f>IFERROR(__xludf.DUMMYFUNCTION("MAX(FILTER($H:$H,$E:$E=F274))"),"#N/A")</f>
        <v>#N/A</v>
      </c>
    </row>
    <row r="275">
      <c r="A275" s="4"/>
      <c r="C275" s="4" t="s">
        <v>780</v>
      </c>
      <c r="D275" s="4" t="str">
        <f t="shared" si="1"/>
        <v>{"valorA":"produto","valorB":27.0}</v>
      </c>
      <c r="E275" s="8" t="str">
        <f t="shared" si="2"/>
        <v>produto</v>
      </c>
      <c r="F275" s="8"/>
      <c r="G275" s="8" t="str">
        <f t="shared" si="3"/>
        <v>27.0</v>
      </c>
      <c r="H275" s="9">
        <f t="shared" si="4"/>
        <v>27</v>
      </c>
      <c r="I275" s="6" t="str">
        <f>IFERROR(__xludf.DUMMYFUNCTION("MAX(FILTER($H:$H,$E:$E=F275))"),"#N/A")</f>
        <v>#N/A</v>
      </c>
    </row>
    <row r="276">
      <c r="A276" s="4"/>
      <c r="C276" s="4" t="s">
        <v>393</v>
      </c>
      <c r="D276" s="4" t="str">
        <f t="shared" si="1"/>
        <v>{"valorA":"gostei","valorB":4.0}</v>
      </c>
      <c r="E276" s="8" t="str">
        <f t="shared" si="2"/>
        <v>gostei</v>
      </c>
      <c r="F276" s="8"/>
      <c r="G276" s="8" t="str">
        <f t="shared" si="3"/>
        <v>4.0</v>
      </c>
      <c r="H276" s="9">
        <f t="shared" si="4"/>
        <v>4</v>
      </c>
      <c r="I276" s="6" t="str">
        <f>IFERROR(__xludf.DUMMYFUNCTION("MAX(FILTER($H:$H,$E:$E=F276))"),"#N/A")</f>
        <v>#N/A</v>
      </c>
    </row>
    <row r="277">
      <c r="A277" s="4"/>
      <c r="C277" s="4" t="s">
        <v>314</v>
      </c>
      <c r="D277" s="4" t="str">
        <f t="shared" si="1"/>
        <v>{"valorA":"resultado","valorB":1.0}</v>
      </c>
      <c r="E277" s="8" t="str">
        <f t="shared" si="2"/>
        <v>resultado</v>
      </c>
      <c r="F277" s="8"/>
      <c r="G277" s="8" t="str">
        <f t="shared" si="3"/>
        <v>1.0</v>
      </c>
      <c r="H277" s="9">
        <f t="shared" si="4"/>
        <v>1</v>
      </c>
      <c r="I277" s="6" t="str">
        <f>IFERROR(__xludf.DUMMYFUNCTION("MAX(FILTER($H:$H,$E:$E=F277))"),"#N/A")</f>
        <v>#N/A</v>
      </c>
    </row>
    <row r="278">
      <c r="A278" s="4"/>
      <c r="C278" s="4" t="s">
        <v>835</v>
      </c>
      <c r="D278" s="4" t="str">
        <f t="shared" si="1"/>
        <v>{"valorA":"ótimo","valorB":46.0}</v>
      </c>
      <c r="E278" s="8" t="str">
        <f t="shared" si="2"/>
        <v>ótimo</v>
      </c>
      <c r="F278" s="8"/>
      <c r="G278" s="8" t="str">
        <f t="shared" si="3"/>
        <v>46.0</v>
      </c>
      <c r="H278" s="9">
        <f t="shared" si="4"/>
        <v>46</v>
      </c>
      <c r="I278" s="6" t="str">
        <f>IFERROR(__xludf.DUMMYFUNCTION("MAX(FILTER($H:$H,$E:$E=F278))"),"#N/A")</f>
        <v>#N/A</v>
      </c>
    </row>
    <row r="279">
      <c r="A279" s="4"/>
      <c r="C279" s="4" t="s">
        <v>627</v>
      </c>
      <c r="D279" s="4" t="str">
        <f t="shared" si="1"/>
        <v>{"valorA":"final","valorB":1.0}</v>
      </c>
      <c r="E279" s="8" t="str">
        <f t="shared" si="2"/>
        <v>final</v>
      </c>
      <c r="F279" s="8"/>
      <c r="G279" s="8" t="str">
        <f t="shared" si="3"/>
        <v>1.0</v>
      </c>
      <c r="H279" s="9">
        <f t="shared" si="4"/>
        <v>1</v>
      </c>
      <c r="I279" s="6" t="str">
        <f>IFERROR(__xludf.DUMMYFUNCTION("MAX(FILTER($H:$H,$E:$E=F279))"),"#N/A")</f>
        <v>#N/A</v>
      </c>
    </row>
    <row r="280">
      <c r="A280" s="4"/>
      <c r="C280" s="4" t="s">
        <v>487</v>
      </c>
      <c r="D280" s="4" t="str">
        <f t="shared" si="1"/>
        <v>{"valorA":"esse","valorB":8.0}</v>
      </c>
      <c r="E280" s="8" t="str">
        <f t="shared" si="2"/>
        <v>esse</v>
      </c>
      <c r="F280" s="8"/>
      <c r="G280" s="8" t="str">
        <f t="shared" si="3"/>
        <v>8.0</v>
      </c>
      <c r="H280" s="9">
        <f t="shared" si="4"/>
        <v>8</v>
      </c>
      <c r="I280" s="6" t="str">
        <f>IFERROR(__xludf.DUMMYFUNCTION("MAX(FILTER($H:$H,$E:$E=F280))"),"#N/A")</f>
        <v>#N/A</v>
      </c>
    </row>
    <row r="281">
      <c r="A281" s="4"/>
      <c r="C281" s="4" t="s">
        <v>318</v>
      </c>
      <c r="D281" s="4" t="str">
        <f t="shared" si="1"/>
        <v>{"valorA":"realmente","valorB":3.0}</v>
      </c>
      <c r="E281" s="8" t="str">
        <f t="shared" si="2"/>
        <v>realmente</v>
      </c>
      <c r="F281" s="8"/>
      <c r="G281" s="8" t="str">
        <f t="shared" si="3"/>
        <v>3.0</v>
      </c>
      <c r="H281" s="9">
        <f t="shared" si="4"/>
        <v>3</v>
      </c>
      <c r="I281" s="6" t="str">
        <f>IFERROR(__xludf.DUMMYFUNCTION("MAX(FILTER($H:$H,$E:$E=F281))"),"#N/A")</f>
        <v>#N/A</v>
      </c>
    </row>
    <row r="282">
      <c r="A282" s="4"/>
      <c r="C282" s="4" t="s">
        <v>829</v>
      </c>
      <c r="D282" s="4" t="str">
        <f t="shared" si="1"/>
        <v>{"valorA":"muito","valorB":13.0}</v>
      </c>
      <c r="E282" s="8" t="str">
        <f t="shared" si="2"/>
        <v>muito</v>
      </c>
      <c r="F282" s="8"/>
      <c r="G282" s="8" t="str">
        <f t="shared" si="3"/>
        <v>13.0</v>
      </c>
      <c r="H282" s="9">
        <f t="shared" si="4"/>
        <v>13</v>
      </c>
      <c r="I282" s="6" t="str">
        <f>IFERROR(__xludf.DUMMYFUNCTION("MAX(FILTER($H:$H,$E:$E=F282))"),"#N/A")</f>
        <v>#N/A</v>
      </c>
    </row>
    <row r="283">
      <c r="A283" s="4"/>
      <c r="C283" s="4" t="s">
        <v>9060</v>
      </c>
      <c r="D283" s="4" t="str">
        <f t="shared" si="1"/>
        <v>{"valorA":"café","valorB":4.0}</v>
      </c>
      <c r="E283" s="8" t="str">
        <f t="shared" si="2"/>
        <v>café</v>
      </c>
      <c r="F283" s="8"/>
      <c r="G283" s="8" t="str">
        <f t="shared" si="3"/>
        <v>4.0</v>
      </c>
      <c r="H283" s="9">
        <f t="shared" si="4"/>
        <v>4</v>
      </c>
      <c r="I283" s="6" t="str">
        <f>IFERROR(__xludf.DUMMYFUNCTION("MAX(FILTER($H:$H,$E:$E=F283))"),"#N/A")</f>
        <v>#N/A</v>
      </c>
    </row>
    <row r="284">
      <c r="A284" s="4"/>
      <c r="C284" s="4" t="s">
        <v>402</v>
      </c>
      <c r="D284" s="4" t="str">
        <f t="shared" si="1"/>
        <v>{"valorA":"da","valorB":2.0}</v>
      </c>
      <c r="E284" s="8" t="str">
        <f t="shared" si="2"/>
        <v>da</v>
      </c>
      <c r="F284" s="8"/>
      <c r="G284" s="8" t="str">
        <f t="shared" si="3"/>
        <v>2.0</v>
      </c>
      <c r="H284" s="9">
        <f t="shared" si="4"/>
        <v>2</v>
      </c>
      <c r="I284" s="6" t="str">
        <f>IFERROR(__xludf.DUMMYFUNCTION("MAX(FILTER($H:$H,$E:$E=F284))"),"#N/A")</f>
        <v>#N/A</v>
      </c>
    </row>
    <row r="285">
      <c r="A285" s="4"/>
      <c r="C285" s="4" t="s">
        <v>9061</v>
      </c>
      <c r="D285" s="4" t="str">
        <f t="shared" si="1"/>
        <v>{"valorA":"ajuda","valorB":2.0}</v>
      </c>
      <c r="E285" s="8" t="str">
        <f t="shared" si="2"/>
        <v>ajuda</v>
      </c>
      <c r="F285" s="8"/>
      <c r="G285" s="8" t="str">
        <f t="shared" si="3"/>
        <v>2.0</v>
      </c>
      <c r="H285" s="9">
        <f t="shared" si="4"/>
        <v>2</v>
      </c>
      <c r="I285" s="6" t="str">
        <f>IFERROR(__xludf.DUMMYFUNCTION("MAX(FILTER($H:$H,$E:$E=F285))"),"#N/A")</f>
        <v>#N/A</v>
      </c>
    </row>
    <row r="286">
      <c r="A286" s="4"/>
      <c r="C286" s="4" t="s">
        <v>9062</v>
      </c>
      <c r="D286" s="4" t="str">
        <f t="shared" si="1"/>
        <v>{"valorA":"relogio","valorB":3.0}</v>
      </c>
      <c r="E286" s="8" t="str">
        <f t="shared" si="2"/>
        <v>relogio</v>
      </c>
      <c r="F286" s="8"/>
      <c r="G286" s="8" t="str">
        <f t="shared" si="3"/>
        <v>3.0</v>
      </c>
      <c r="H286" s="9">
        <f t="shared" si="4"/>
        <v>3</v>
      </c>
      <c r="I286" s="6" t="str">
        <f>IFERROR(__xludf.DUMMYFUNCTION("MAX(FILTER($H:$H,$E:$E=F286))"),"#N/A")</f>
        <v>#N/A</v>
      </c>
    </row>
    <row r="287">
      <c r="A287" s="4"/>
      <c r="C287" s="4" t="s">
        <v>348</v>
      </c>
      <c r="D287" s="4" t="str">
        <f t="shared" si="1"/>
        <v>{"valorA":"bem","valorB":8.0}</v>
      </c>
      <c r="E287" s="8" t="str">
        <f t="shared" si="2"/>
        <v>bem</v>
      </c>
      <c r="F287" s="8"/>
      <c r="G287" s="8" t="str">
        <f t="shared" si="3"/>
        <v>8.0</v>
      </c>
      <c r="H287" s="9">
        <f t="shared" si="4"/>
        <v>8</v>
      </c>
      <c r="I287" s="6" t="str">
        <f>IFERROR(__xludf.DUMMYFUNCTION("MAX(FILTER($H:$H,$E:$E=F287))"),"#N/A")</f>
        <v>#N/A</v>
      </c>
    </row>
    <row r="288">
      <c r="A288" s="4"/>
      <c r="C288" s="4" t="s">
        <v>257</v>
      </c>
      <c r="D288" s="4" t="str">
        <f t="shared" si="1"/>
        <v>{"valorA":"sem","valorB":1.0}</v>
      </c>
      <c r="E288" s="8" t="str">
        <f t="shared" si="2"/>
        <v>sem</v>
      </c>
      <c r="F288" s="8"/>
      <c r="G288" s="8" t="str">
        <f t="shared" si="3"/>
        <v>1.0</v>
      </c>
      <c r="H288" s="9">
        <f t="shared" si="4"/>
        <v>1</v>
      </c>
      <c r="I288" s="6" t="str">
        <f>IFERROR(__xludf.DUMMYFUNCTION("MAX(FILTER($H:$H,$E:$E=F288))"),"#N/A")</f>
        <v>#N/A</v>
      </c>
    </row>
    <row r="289">
      <c r="A289" s="4"/>
      <c r="C289" s="4" t="s">
        <v>9063</v>
      </c>
      <c r="D289" s="4" t="str">
        <f t="shared" si="1"/>
        <v>{"valorA":"sorvete","valorB":1.0}</v>
      </c>
      <c r="E289" s="8" t="str">
        <f t="shared" si="2"/>
        <v>sorvete</v>
      </c>
      <c r="F289" s="8"/>
      <c r="G289" s="8" t="str">
        <f t="shared" si="3"/>
        <v>1.0</v>
      </c>
      <c r="H289" s="9">
        <f t="shared" si="4"/>
        <v>1</v>
      </c>
      <c r="I289" s="6" t="str">
        <f>IFERROR(__xludf.DUMMYFUNCTION("MAX(FILTER($H:$H,$E:$E=F289))"),"#N/A")</f>
        <v>#N/A</v>
      </c>
    </row>
    <row r="290">
      <c r="A290" s="4"/>
      <c r="C290" s="4" t="s">
        <v>858</v>
      </c>
      <c r="D290" s="4" t="str">
        <f t="shared" si="1"/>
        <v>{"valorA":"ótimo","valorB":48.0}</v>
      </c>
      <c r="E290" s="8" t="str">
        <f t="shared" si="2"/>
        <v>ótimo</v>
      </c>
      <c r="F290" s="8"/>
      <c r="G290" s="8" t="str">
        <f t="shared" si="3"/>
        <v>48.0</v>
      </c>
      <c r="H290" s="9">
        <f t="shared" si="4"/>
        <v>48</v>
      </c>
      <c r="I290" s="6" t="str">
        <f>IFERROR(__xludf.DUMMYFUNCTION("MAX(FILTER($H:$H,$E:$E=F290))"),"#N/A")</f>
        <v>#N/A</v>
      </c>
    </row>
    <row r="291">
      <c r="A291" s="4"/>
      <c r="C291" s="4" t="s">
        <v>1189</v>
      </c>
      <c r="D291" s="4" t="str">
        <f t="shared" si="1"/>
        <v>{"valorA":"perfeitamente","valorB":10.0}</v>
      </c>
      <c r="E291" s="8" t="str">
        <f t="shared" si="2"/>
        <v>perfeitamente</v>
      </c>
      <c r="F291" s="8"/>
      <c r="G291" s="8" t="str">
        <f t="shared" si="3"/>
        <v>10.0</v>
      </c>
      <c r="H291" s="9">
        <f t="shared" si="4"/>
        <v>10</v>
      </c>
      <c r="I291" s="6" t="str">
        <f>IFERROR(__xludf.DUMMYFUNCTION("MAX(FILTER($H:$H,$E:$E=F291))"),"#N/A")</f>
        <v>#N/A</v>
      </c>
    </row>
    <row r="292">
      <c r="A292" s="4"/>
      <c r="C292" s="4" t="s">
        <v>465</v>
      </c>
      <c r="D292" s="4" t="str">
        <f t="shared" si="1"/>
        <v>{"valorA":"realmente","valorB":4.0}</v>
      </c>
      <c r="E292" s="8" t="str">
        <f t="shared" si="2"/>
        <v>realmente</v>
      </c>
      <c r="F292" s="8"/>
      <c r="G292" s="8" t="str">
        <f t="shared" si="3"/>
        <v>4.0</v>
      </c>
      <c r="H292" s="9">
        <f t="shared" si="4"/>
        <v>4</v>
      </c>
      <c r="I292" s="6" t="str">
        <f>IFERROR(__xludf.DUMMYFUNCTION("MAX(FILTER($H:$H,$E:$E=F292))"),"#N/A")</f>
        <v>#N/A</v>
      </c>
    </row>
    <row r="293">
      <c r="A293" s="4"/>
      <c r="C293" s="4" t="s">
        <v>1110</v>
      </c>
      <c r="D293" s="4" t="str">
        <f t="shared" si="1"/>
        <v>{"valorA":"comigo","valorB":1.0}</v>
      </c>
      <c r="E293" s="8" t="str">
        <f t="shared" si="2"/>
        <v>comigo</v>
      </c>
      <c r="F293" s="8"/>
      <c r="G293" s="8" t="str">
        <f t="shared" si="3"/>
        <v>1.0</v>
      </c>
      <c r="H293" s="9">
        <f t="shared" si="4"/>
        <v>1</v>
      </c>
      <c r="I293" s="6" t="str">
        <f>IFERROR(__xludf.DUMMYFUNCTION("MAX(FILTER($H:$H,$E:$E=F293))"),"#N/A")</f>
        <v>#N/A</v>
      </c>
    </row>
    <row r="294">
      <c r="A294" s="4"/>
      <c r="C294" s="4" t="s">
        <v>9064</v>
      </c>
      <c r="D294" s="4" t="str">
        <f t="shared" si="1"/>
        <v>{"valorA":"dieta","valorB":1.0}</v>
      </c>
      <c r="E294" s="8" t="str">
        <f t="shared" si="2"/>
        <v>dieta</v>
      </c>
      <c r="F294" s="8"/>
      <c r="G294" s="8" t="str">
        <f t="shared" si="3"/>
        <v>1.0</v>
      </c>
      <c r="H294" s="9">
        <f t="shared" si="4"/>
        <v>1</v>
      </c>
      <c r="I294" s="6" t="str">
        <f>IFERROR(__xludf.DUMMYFUNCTION("MAX(FILTER($H:$H,$E:$E=F294))"),"#N/A")</f>
        <v>#N/A</v>
      </c>
    </row>
    <row r="295">
      <c r="A295" s="4"/>
      <c r="C295" s="4" t="s">
        <v>1191</v>
      </c>
      <c r="D295" s="4" t="str">
        <f t="shared" si="1"/>
        <v>{"valorA":"funciona","valorB":14.0}</v>
      </c>
      <c r="E295" s="8" t="str">
        <f t="shared" si="2"/>
        <v>funciona</v>
      </c>
      <c r="F295" s="8"/>
      <c r="G295" s="8" t="str">
        <f t="shared" si="3"/>
        <v>14.0</v>
      </c>
      <c r="H295" s="9">
        <f t="shared" si="4"/>
        <v>14</v>
      </c>
      <c r="I295" s="6" t="str">
        <f>IFERROR(__xludf.DUMMYFUNCTION("MAX(FILTER($H:$H,$E:$E=F295))"),"#N/A")</f>
        <v>#N/A</v>
      </c>
    </row>
    <row r="296">
      <c r="A296" s="4"/>
      <c r="C296" s="4" t="s">
        <v>9065</v>
      </c>
      <c r="D296" s="4" t="str">
        <f t="shared" si="1"/>
        <v>{"valorA":"gluten","valorB":1.0}</v>
      </c>
      <c r="E296" s="8" t="str">
        <f t="shared" si="2"/>
        <v>gluten</v>
      </c>
      <c r="F296" s="8"/>
      <c r="G296" s="8" t="str">
        <f t="shared" si="3"/>
        <v>1.0</v>
      </c>
      <c r="H296" s="9">
        <f t="shared" si="4"/>
        <v>1</v>
      </c>
      <c r="I296" s="6" t="str">
        <f>IFERROR(__xludf.DUMMYFUNCTION("MAX(FILTER($H:$H,$E:$E=F296))"),"#N/A")</f>
        <v>#N/A</v>
      </c>
    </row>
    <row r="297">
      <c r="A297" s="4"/>
      <c r="C297" s="4" t="s">
        <v>9066</v>
      </c>
      <c r="D297" s="4" t="str">
        <f t="shared" si="1"/>
        <v>{"valorA":"na","valorB":2.0}</v>
      </c>
      <c r="E297" s="8" t="str">
        <f t="shared" si="2"/>
        <v>na</v>
      </c>
      <c r="F297" s="8"/>
      <c r="G297" s="8" t="str">
        <f t="shared" si="3"/>
        <v>2.0</v>
      </c>
      <c r="H297" s="9">
        <f t="shared" si="4"/>
        <v>2</v>
      </c>
      <c r="I297" s="6" t="str">
        <f>IFERROR(__xludf.DUMMYFUNCTION("MAX(FILTER($H:$H,$E:$E=F297))"),"#N/A")</f>
        <v>#N/A</v>
      </c>
    </row>
    <row r="298">
      <c r="A298" s="4"/>
      <c r="C298" s="4" t="s">
        <v>1319</v>
      </c>
      <c r="D298" s="4" t="str">
        <f t="shared" si="1"/>
        <v>{"valorA":"minha","valorB":3.0}</v>
      </c>
      <c r="E298" s="8" t="str">
        <f t="shared" si="2"/>
        <v>minha</v>
      </c>
      <c r="F298" s="8"/>
      <c r="G298" s="8" t="str">
        <f t="shared" si="3"/>
        <v>3.0</v>
      </c>
      <c r="H298" s="9">
        <f t="shared" si="4"/>
        <v>3</v>
      </c>
      <c r="I298" s="6" t="str">
        <f>IFERROR(__xludf.DUMMYFUNCTION("MAX(FILTER($H:$H,$E:$E=F298))"),"#N/A")</f>
        <v>#N/A</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 t="s">
        <v>32</v>
      </c>
      <c r="B1" s="7" t="s">
        <v>8667</v>
      </c>
      <c r="C1" s="5" t="s">
        <v>8668</v>
      </c>
      <c r="D1" s="5" t="s">
        <v>8669</v>
      </c>
      <c r="F1" s="5"/>
      <c r="G1" s="22" t="s">
        <v>8670</v>
      </c>
      <c r="H1" s="23"/>
      <c r="J1" s="22" t="s">
        <v>8671</v>
      </c>
      <c r="K1" s="23"/>
      <c r="M1" s="22" t="s">
        <v>8672</v>
      </c>
      <c r="N1" s="23"/>
    </row>
    <row r="2">
      <c r="A2" s="4" t="s">
        <v>9067</v>
      </c>
      <c r="B2" s="10">
        <f t="shared" ref="B2:B298" si="1">VALUE(SUBSTITUTE(MID(A2,FIND("CPU usage is:",A2)+13,FIND("RAM memory",A2)-FIND("CPU usage is:",A2)-13),".",","))</f>
        <v>100</v>
      </c>
      <c r="C2" s="6">
        <f t="shared" ref="C2:C298" si="2">VALUE(SUBSTITUTE(SUBSTITUTE(MID(A2,FIND("RAM memory % used:",A2)+18,9),"RAM",""),".",","))</f>
        <v>96.2</v>
      </c>
      <c r="D2" s="6">
        <f t="shared" ref="D2:D298" si="3">VALUE(SUBSTITUTE(SUBSTITUTE(MID(A2,FIND("RAM Used (GB):",A2)+14,9),"RAM",""),".",","))</f>
        <v>16.385323</v>
      </c>
      <c r="G2" s="25" t="s">
        <v>4013</v>
      </c>
      <c r="H2" s="25" t="s">
        <v>4247</v>
      </c>
      <c r="J2" s="25" t="s">
        <v>4013</v>
      </c>
      <c r="K2" s="25" t="s">
        <v>4247</v>
      </c>
      <c r="M2" s="25" t="s">
        <v>4013</v>
      </c>
      <c r="N2" s="25" t="s">
        <v>4247</v>
      </c>
    </row>
    <row r="3">
      <c r="A3" s="4" t="s">
        <v>9068</v>
      </c>
      <c r="B3" s="10">
        <f t="shared" si="1"/>
        <v>100</v>
      </c>
      <c r="C3" s="6">
        <f t="shared" si="2"/>
        <v>91.9</v>
      </c>
      <c r="D3" s="6">
        <f t="shared" si="3"/>
        <v>15.661707</v>
      </c>
      <c r="G3" s="28">
        <f>AVERAGE(B2:B298)</f>
        <v>62.62626263</v>
      </c>
      <c r="H3" s="20">
        <f>STDEV(B2:B298)</f>
        <v>48.46116846</v>
      </c>
      <c r="J3" s="20">
        <f>AVERAGE(C2:C298)</f>
        <v>88.81346801</v>
      </c>
      <c r="K3" s="20">
        <f>STDEV(C2:C298)</f>
        <v>6.985889767</v>
      </c>
      <c r="M3" s="20">
        <f>AVERAGE(D2:D298)</f>
        <v>15.13483419</v>
      </c>
      <c r="N3" s="20">
        <f>STDEV(D2:D298)</f>
        <v>1.190536776</v>
      </c>
    </row>
    <row r="4">
      <c r="A4" s="4" t="s">
        <v>9069</v>
      </c>
      <c r="B4" s="10">
        <f t="shared" si="1"/>
        <v>0</v>
      </c>
      <c r="C4" s="6">
        <f t="shared" si="2"/>
        <v>93.8</v>
      </c>
      <c r="D4" s="6">
        <f t="shared" si="3"/>
        <v>15.976579</v>
      </c>
    </row>
    <row r="5">
      <c r="A5" s="4" t="s">
        <v>9070</v>
      </c>
      <c r="B5" s="10">
        <f t="shared" si="1"/>
        <v>100</v>
      </c>
      <c r="C5" s="6">
        <f t="shared" si="2"/>
        <v>91.6</v>
      </c>
      <c r="D5" s="6">
        <f t="shared" si="3"/>
        <v>15.613497</v>
      </c>
    </row>
    <row r="6">
      <c r="A6" s="4" t="s">
        <v>9071</v>
      </c>
      <c r="B6" s="10">
        <f t="shared" si="1"/>
        <v>100</v>
      </c>
      <c r="C6" s="6">
        <f t="shared" si="2"/>
        <v>92.7</v>
      </c>
      <c r="D6" s="6">
        <f t="shared" si="3"/>
        <v>15.801266</v>
      </c>
    </row>
    <row r="7">
      <c r="A7" s="4" t="s">
        <v>9072</v>
      </c>
      <c r="B7" s="10">
        <f t="shared" si="1"/>
        <v>0</v>
      </c>
      <c r="C7" s="6">
        <f t="shared" si="2"/>
        <v>91.5</v>
      </c>
      <c r="D7" s="6">
        <f t="shared" si="3"/>
        <v>15.592902</v>
      </c>
    </row>
    <row r="8">
      <c r="A8" s="4" t="s">
        <v>9073</v>
      </c>
      <c r="B8" s="10">
        <f t="shared" si="1"/>
        <v>100</v>
      </c>
      <c r="C8" s="6">
        <f t="shared" si="2"/>
        <v>91.7</v>
      </c>
      <c r="D8" s="6">
        <f t="shared" si="3"/>
        <v>15.632535</v>
      </c>
    </row>
    <row r="9">
      <c r="A9" s="4" t="s">
        <v>9074</v>
      </c>
      <c r="B9" s="10">
        <f t="shared" si="1"/>
        <v>100</v>
      </c>
      <c r="C9" s="6">
        <f t="shared" si="2"/>
        <v>91.7</v>
      </c>
      <c r="D9" s="6">
        <f t="shared" si="3"/>
        <v>15.622967</v>
      </c>
    </row>
    <row r="10">
      <c r="A10" s="4" t="s">
        <v>9075</v>
      </c>
      <c r="B10" s="10">
        <f t="shared" si="1"/>
        <v>100</v>
      </c>
      <c r="C10" s="6">
        <f t="shared" si="2"/>
        <v>91.9</v>
      </c>
      <c r="D10" s="6">
        <f t="shared" si="3"/>
        <v>15.652941</v>
      </c>
    </row>
    <row r="11">
      <c r="A11" s="4" t="s">
        <v>9076</v>
      </c>
      <c r="B11" s="10">
        <f t="shared" si="1"/>
        <v>0</v>
      </c>
      <c r="C11" s="6">
        <f t="shared" si="2"/>
        <v>91.7</v>
      </c>
      <c r="D11" s="6">
        <f t="shared" si="3"/>
        <v>15.633784</v>
      </c>
    </row>
    <row r="12">
      <c r="A12" s="4" t="s">
        <v>9077</v>
      </c>
      <c r="B12" s="10">
        <f t="shared" si="1"/>
        <v>0</v>
      </c>
      <c r="C12" s="6">
        <f t="shared" si="2"/>
        <v>91.4</v>
      </c>
      <c r="D12" s="6">
        <f t="shared" si="3"/>
        <v>15.570403</v>
      </c>
    </row>
    <row r="13">
      <c r="A13" s="4" t="s">
        <v>9078</v>
      </c>
      <c r="B13" s="10">
        <f t="shared" si="1"/>
        <v>0</v>
      </c>
      <c r="C13" s="6">
        <f t="shared" si="2"/>
        <v>91.4</v>
      </c>
      <c r="D13" s="6">
        <f t="shared" si="3"/>
        <v>15.582244</v>
      </c>
    </row>
    <row r="14">
      <c r="A14" s="4" t="s">
        <v>9079</v>
      </c>
      <c r="B14" s="10">
        <f t="shared" si="1"/>
        <v>0</v>
      </c>
      <c r="C14" s="6">
        <f t="shared" si="2"/>
        <v>91.3</v>
      </c>
      <c r="D14" s="6">
        <f t="shared" si="3"/>
        <v>15.563444</v>
      </c>
    </row>
    <row r="15">
      <c r="A15" s="4" t="s">
        <v>9080</v>
      </c>
      <c r="B15" s="10">
        <f t="shared" si="1"/>
        <v>0</v>
      </c>
      <c r="C15" s="6">
        <f t="shared" si="2"/>
        <v>91.3</v>
      </c>
      <c r="D15" s="6">
        <f t="shared" si="3"/>
        <v>15.561084</v>
      </c>
    </row>
    <row r="16">
      <c r="A16" s="4" t="s">
        <v>9081</v>
      </c>
      <c r="B16" s="10">
        <f t="shared" si="1"/>
        <v>100</v>
      </c>
      <c r="C16" s="6">
        <f t="shared" si="2"/>
        <v>91.4</v>
      </c>
      <c r="D16" s="6">
        <f t="shared" si="3"/>
        <v>15.569027</v>
      </c>
    </row>
    <row r="17">
      <c r="A17" s="4" t="s">
        <v>9082</v>
      </c>
      <c r="B17" s="10">
        <f t="shared" si="1"/>
        <v>100</v>
      </c>
      <c r="C17" s="6">
        <f t="shared" si="2"/>
        <v>91.4</v>
      </c>
      <c r="D17" s="6">
        <f t="shared" si="3"/>
        <v>15.568326</v>
      </c>
    </row>
    <row r="18">
      <c r="A18" s="4" t="s">
        <v>9083</v>
      </c>
      <c r="B18" s="10">
        <f t="shared" si="1"/>
        <v>0</v>
      </c>
      <c r="C18" s="6">
        <f t="shared" si="2"/>
        <v>91.5</v>
      </c>
      <c r="D18" s="6">
        <f t="shared" si="3"/>
        <v>15.58725</v>
      </c>
    </row>
    <row r="19">
      <c r="A19" s="4" t="s">
        <v>9084</v>
      </c>
      <c r="B19" s="10">
        <f t="shared" si="1"/>
        <v>100</v>
      </c>
      <c r="C19" s="6">
        <f t="shared" si="2"/>
        <v>91.3</v>
      </c>
      <c r="D19" s="6">
        <f t="shared" si="3"/>
        <v>15.558504</v>
      </c>
    </row>
    <row r="20">
      <c r="A20" s="4" t="s">
        <v>9085</v>
      </c>
      <c r="B20" s="10">
        <f t="shared" si="1"/>
        <v>100</v>
      </c>
      <c r="C20" s="6">
        <f t="shared" si="2"/>
        <v>91.4</v>
      </c>
      <c r="D20" s="6">
        <f t="shared" si="3"/>
        <v>15.583723</v>
      </c>
    </row>
    <row r="21">
      <c r="A21" s="4" t="s">
        <v>9086</v>
      </c>
      <c r="B21" s="10">
        <f t="shared" si="1"/>
        <v>0</v>
      </c>
      <c r="C21" s="6">
        <f t="shared" si="2"/>
        <v>91.7</v>
      </c>
      <c r="D21" s="6">
        <f t="shared" si="3"/>
        <v>15.625322</v>
      </c>
    </row>
    <row r="22">
      <c r="A22" s="4" t="s">
        <v>9087</v>
      </c>
      <c r="B22" s="10">
        <f t="shared" si="1"/>
        <v>100</v>
      </c>
      <c r="C22" s="6">
        <f t="shared" si="2"/>
        <v>91.1</v>
      </c>
      <c r="D22" s="6">
        <f t="shared" si="3"/>
        <v>15.525924</v>
      </c>
    </row>
    <row r="23">
      <c r="A23" s="4" t="s">
        <v>9088</v>
      </c>
      <c r="B23" s="10">
        <f t="shared" si="1"/>
        <v>100</v>
      </c>
      <c r="C23" s="6">
        <f t="shared" si="2"/>
        <v>91.5</v>
      </c>
      <c r="D23" s="6">
        <f t="shared" si="3"/>
        <v>15.584362</v>
      </c>
    </row>
    <row r="24">
      <c r="A24" s="4" t="s">
        <v>9089</v>
      </c>
      <c r="B24" s="10">
        <f t="shared" si="1"/>
        <v>100</v>
      </c>
      <c r="C24" s="6">
        <f t="shared" si="2"/>
        <v>91</v>
      </c>
      <c r="D24" s="6">
        <f t="shared" si="3"/>
        <v>15.512092</v>
      </c>
    </row>
    <row r="25">
      <c r="A25" s="4" t="s">
        <v>9090</v>
      </c>
      <c r="B25" s="10">
        <f t="shared" si="1"/>
        <v>100</v>
      </c>
      <c r="C25" s="6">
        <f t="shared" si="2"/>
        <v>91</v>
      </c>
      <c r="D25" s="6">
        <f t="shared" si="3"/>
        <v>15.506632</v>
      </c>
    </row>
    <row r="26">
      <c r="A26" s="4" t="s">
        <v>9091</v>
      </c>
      <c r="B26" s="10">
        <f t="shared" si="1"/>
        <v>100</v>
      </c>
      <c r="C26" s="6">
        <f t="shared" si="2"/>
        <v>89.7</v>
      </c>
      <c r="D26" s="6">
        <f t="shared" si="3"/>
        <v>15.285039</v>
      </c>
    </row>
    <row r="27">
      <c r="A27" s="4" t="s">
        <v>9092</v>
      </c>
      <c r="B27" s="10">
        <f t="shared" si="1"/>
        <v>100</v>
      </c>
      <c r="C27" s="6">
        <f t="shared" si="2"/>
        <v>91.7</v>
      </c>
      <c r="D27" s="6">
        <f t="shared" si="3"/>
        <v>15.627395</v>
      </c>
    </row>
    <row r="28">
      <c r="A28" s="4" t="s">
        <v>9093</v>
      </c>
      <c r="B28" s="10">
        <f t="shared" si="1"/>
        <v>100</v>
      </c>
      <c r="C28" s="6">
        <f t="shared" si="2"/>
        <v>91</v>
      </c>
      <c r="D28" s="6">
        <f t="shared" si="3"/>
        <v>15.508553</v>
      </c>
    </row>
    <row r="29">
      <c r="A29" s="4" t="s">
        <v>9094</v>
      </c>
      <c r="B29" s="10">
        <f t="shared" si="1"/>
        <v>0</v>
      </c>
      <c r="C29" s="6">
        <f t="shared" si="2"/>
        <v>90.7</v>
      </c>
      <c r="D29" s="6">
        <f t="shared" si="3"/>
        <v>15.451717</v>
      </c>
    </row>
    <row r="30">
      <c r="A30" s="4" t="s">
        <v>9095</v>
      </c>
      <c r="B30" s="10">
        <f t="shared" si="1"/>
        <v>100</v>
      </c>
      <c r="C30" s="6">
        <f t="shared" si="2"/>
        <v>91.6</v>
      </c>
      <c r="D30" s="6">
        <f t="shared" si="3"/>
        <v>15.607934</v>
      </c>
    </row>
    <row r="31">
      <c r="A31" s="4" t="s">
        <v>9096</v>
      </c>
      <c r="B31" s="10">
        <f t="shared" si="1"/>
        <v>100</v>
      </c>
      <c r="C31" s="6">
        <f t="shared" si="2"/>
        <v>88.9</v>
      </c>
      <c r="D31" s="6">
        <f t="shared" si="3"/>
        <v>15.149969</v>
      </c>
    </row>
    <row r="32">
      <c r="A32" s="4" t="s">
        <v>9097</v>
      </c>
      <c r="B32" s="10">
        <f t="shared" si="1"/>
        <v>0</v>
      </c>
      <c r="C32" s="6">
        <f t="shared" si="2"/>
        <v>88.9</v>
      </c>
      <c r="D32" s="6">
        <f t="shared" si="3"/>
        <v>15.14557</v>
      </c>
    </row>
    <row r="33">
      <c r="A33" s="4" t="s">
        <v>9098</v>
      </c>
      <c r="B33" s="10">
        <f t="shared" si="1"/>
        <v>100</v>
      </c>
      <c r="C33" s="6">
        <f t="shared" si="2"/>
        <v>88.8</v>
      </c>
      <c r="D33" s="6">
        <f t="shared" si="3"/>
        <v>15.125745</v>
      </c>
    </row>
    <row r="34">
      <c r="A34" s="4" t="s">
        <v>9099</v>
      </c>
      <c r="B34" s="10">
        <f t="shared" si="1"/>
        <v>0</v>
      </c>
      <c r="C34" s="6">
        <f t="shared" si="2"/>
        <v>88.8</v>
      </c>
      <c r="D34" s="6">
        <f t="shared" si="3"/>
        <v>15.136628</v>
      </c>
    </row>
    <row r="35">
      <c r="A35" s="4" t="s">
        <v>9100</v>
      </c>
      <c r="B35" s="10">
        <f t="shared" si="1"/>
        <v>100</v>
      </c>
      <c r="C35" s="6">
        <f t="shared" si="2"/>
        <v>91.4</v>
      </c>
      <c r="D35" s="6">
        <f t="shared" si="3"/>
        <v>15.570563</v>
      </c>
    </row>
    <row r="36">
      <c r="A36" s="4" t="s">
        <v>9101</v>
      </c>
      <c r="B36" s="10">
        <f t="shared" si="1"/>
        <v>100</v>
      </c>
      <c r="C36" s="6">
        <f t="shared" si="2"/>
        <v>88.8</v>
      </c>
      <c r="D36" s="6">
        <f t="shared" si="3"/>
        <v>15.138709</v>
      </c>
    </row>
    <row r="37">
      <c r="A37" s="4" t="s">
        <v>9102</v>
      </c>
      <c r="B37" s="10">
        <f t="shared" si="1"/>
        <v>0</v>
      </c>
      <c r="C37" s="6">
        <f t="shared" si="2"/>
        <v>89.2</v>
      </c>
      <c r="D37" s="6">
        <f t="shared" si="3"/>
        <v>15.205019</v>
      </c>
    </row>
    <row r="38">
      <c r="A38" s="4" t="s">
        <v>9103</v>
      </c>
      <c r="B38" s="10">
        <f t="shared" si="1"/>
        <v>0</v>
      </c>
      <c r="C38" s="6">
        <f t="shared" si="2"/>
        <v>88.6</v>
      </c>
      <c r="D38" s="6">
        <f t="shared" si="3"/>
        <v>15.09564</v>
      </c>
    </row>
    <row r="39">
      <c r="A39" s="4" t="s">
        <v>9104</v>
      </c>
      <c r="B39" s="10">
        <f t="shared" si="1"/>
        <v>0</v>
      </c>
      <c r="C39" s="6">
        <f t="shared" si="2"/>
        <v>88.6</v>
      </c>
      <c r="D39" s="6">
        <f t="shared" si="3"/>
        <v>15.091511</v>
      </c>
    </row>
    <row r="40">
      <c r="A40" s="4" t="s">
        <v>9105</v>
      </c>
      <c r="B40" s="10">
        <f t="shared" si="1"/>
        <v>100</v>
      </c>
      <c r="C40" s="6">
        <f t="shared" si="2"/>
        <v>88.7</v>
      </c>
      <c r="D40" s="6">
        <f t="shared" si="3"/>
        <v>15.110037</v>
      </c>
    </row>
    <row r="41">
      <c r="A41" s="4" t="s">
        <v>9106</v>
      </c>
      <c r="B41" s="10">
        <f t="shared" si="1"/>
        <v>0</v>
      </c>
      <c r="C41" s="6">
        <f t="shared" si="2"/>
        <v>88.7</v>
      </c>
      <c r="D41" s="6">
        <f t="shared" si="3"/>
        <v>15.109046</v>
      </c>
    </row>
    <row r="42">
      <c r="A42" s="4" t="s">
        <v>9107</v>
      </c>
      <c r="B42" s="10">
        <f t="shared" si="1"/>
        <v>100</v>
      </c>
      <c r="C42" s="6">
        <f t="shared" si="2"/>
        <v>88.7</v>
      </c>
      <c r="D42" s="6">
        <f t="shared" si="3"/>
        <v>15.122182</v>
      </c>
    </row>
    <row r="43">
      <c r="A43" s="4" t="s">
        <v>9108</v>
      </c>
      <c r="B43" s="10">
        <f t="shared" si="1"/>
        <v>100</v>
      </c>
      <c r="C43" s="6">
        <f t="shared" si="2"/>
        <v>88.8</v>
      </c>
      <c r="D43" s="6">
        <f t="shared" si="3"/>
        <v>15.12964</v>
      </c>
    </row>
    <row r="44">
      <c r="A44" s="4" t="s">
        <v>9109</v>
      </c>
      <c r="B44" s="10">
        <f t="shared" si="1"/>
        <v>100</v>
      </c>
      <c r="C44" s="6">
        <f t="shared" si="2"/>
        <v>89</v>
      </c>
      <c r="D44" s="6">
        <f t="shared" si="3"/>
        <v>15.161626</v>
      </c>
    </row>
    <row r="45">
      <c r="A45" s="4" t="s">
        <v>9110</v>
      </c>
      <c r="B45" s="10">
        <f t="shared" si="1"/>
        <v>0</v>
      </c>
      <c r="C45" s="6">
        <f t="shared" si="2"/>
        <v>89</v>
      </c>
      <c r="D45" s="6">
        <f t="shared" si="3"/>
        <v>15.165497</v>
      </c>
    </row>
    <row r="46">
      <c r="A46" s="4" t="s">
        <v>9111</v>
      </c>
      <c r="B46" s="10">
        <f t="shared" si="1"/>
        <v>100</v>
      </c>
      <c r="C46" s="6">
        <f t="shared" si="2"/>
        <v>90.1</v>
      </c>
      <c r="D46" s="6">
        <f t="shared" si="3"/>
        <v>15.362473</v>
      </c>
    </row>
    <row r="47">
      <c r="A47" s="4" t="s">
        <v>9112</v>
      </c>
      <c r="B47" s="10">
        <f t="shared" si="1"/>
        <v>100</v>
      </c>
      <c r="C47" s="6">
        <f t="shared" si="2"/>
        <v>89.6</v>
      </c>
      <c r="D47" s="6">
        <f t="shared" si="3"/>
        <v>15.269703</v>
      </c>
    </row>
    <row r="48">
      <c r="A48" s="4" t="s">
        <v>9113</v>
      </c>
      <c r="B48" s="10">
        <f t="shared" si="1"/>
        <v>100</v>
      </c>
      <c r="C48" s="6">
        <f t="shared" si="2"/>
        <v>90.1</v>
      </c>
      <c r="D48" s="6">
        <f t="shared" si="3"/>
        <v>15.361126</v>
      </c>
    </row>
    <row r="49">
      <c r="A49" s="4" t="s">
        <v>9114</v>
      </c>
      <c r="B49" s="10">
        <f t="shared" si="1"/>
        <v>100</v>
      </c>
      <c r="C49" s="6">
        <f t="shared" si="2"/>
        <v>89.9</v>
      </c>
      <c r="D49" s="6">
        <f t="shared" si="3"/>
        <v>15.315406</v>
      </c>
    </row>
    <row r="50">
      <c r="A50" s="4" t="s">
        <v>9115</v>
      </c>
      <c r="B50" s="10">
        <f t="shared" si="1"/>
        <v>100</v>
      </c>
      <c r="C50" s="6">
        <f t="shared" si="2"/>
        <v>89.7</v>
      </c>
      <c r="D50" s="6">
        <f t="shared" si="3"/>
        <v>15.289331</v>
      </c>
    </row>
    <row r="51">
      <c r="A51" s="4" t="s">
        <v>9116</v>
      </c>
      <c r="B51" s="10">
        <f t="shared" si="1"/>
        <v>0</v>
      </c>
      <c r="C51" s="6">
        <f t="shared" si="2"/>
        <v>89.7</v>
      </c>
      <c r="D51" s="6">
        <f t="shared" si="3"/>
        <v>15.287738</v>
      </c>
    </row>
    <row r="52">
      <c r="A52" s="4" t="s">
        <v>9117</v>
      </c>
      <c r="B52" s="10">
        <f t="shared" si="1"/>
        <v>100</v>
      </c>
      <c r="C52" s="6">
        <f t="shared" si="2"/>
        <v>89.9</v>
      </c>
      <c r="D52" s="6">
        <f t="shared" si="3"/>
        <v>15.324114</v>
      </c>
    </row>
    <row r="53">
      <c r="A53" s="4" t="s">
        <v>9118</v>
      </c>
      <c r="B53" s="10">
        <f t="shared" si="1"/>
        <v>100</v>
      </c>
      <c r="C53" s="6">
        <f t="shared" si="2"/>
        <v>90.1</v>
      </c>
      <c r="D53" s="6">
        <f t="shared" si="3"/>
        <v>15.356104</v>
      </c>
    </row>
    <row r="54">
      <c r="A54" s="4" t="s">
        <v>9119</v>
      </c>
      <c r="B54" s="10">
        <f t="shared" si="1"/>
        <v>100</v>
      </c>
      <c r="C54" s="6">
        <f t="shared" si="2"/>
        <v>90.2</v>
      </c>
      <c r="D54" s="6">
        <f t="shared" si="3"/>
        <v>15.36933</v>
      </c>
    </row>
    <row r="55">
      <c r="A55" s="4" t="s">
        <v>9120</v>
      </c>
      <c r="B55" s="10">
        <f t="shared" si="1"/>
        <v>0</v>
      </c>
      <c r="C55" s="6">
        <f t="shared" si="2"/>
        <v>91.1</v>
      </c>
      <c r="D55" s="6">
        <f t="shared" si="3"/>
        <v>15.529463</v>
      </c>
    </row>
    <row r="56">
      <c r="A56" s="4" t="s">
        <v>9121</v>
      </c>
      <c r="B56" s="10">
        <f t="shared" si="1"/>
        <v>100</v>
      </c>
      <c r="C56" s="6">
        <f t="shared" si="2"/>
        <v>90.6</v>
      </c>
      <c r="D56" s="6">
        <f t="shared" si="3"/>
        <v>15.433859</v>
      </c>
    </row>
    <row r="57">
      <c r="A57" s="4" t="s">
        <v>9122</v>
      </c>
      <c r="B57" s="10">
        <f t="shared" si="1"/>
        <v>100</v>
      </c>
      <c r="C57" s="6">
        <f t="shared" si="2"/>
        <v>90.5</v>
      </c>
      <c r="D57" s="6">
        <f t="shared" si="3"/>
        <v>15.417757</v>
      </c>
    </row>
    <row r="58">
      <c r="A58" s="4" t="s">
        <v>9123</v>
      </c>
      <c r="B58" s="10">
        <f t="shared" si="1"/>
        <v>0</v>
      </c>
      <c r="C58" s="6">
        <f t="shared" si="2"/>
        <v>90.4</v>
      </c>
      <c r="D58" s="6">
        <f t="shared" si="3"/>
        <v>15.411589</v>
      </c>
    </row>
    <row r="59">
      <c r="A59" s="4" t="s">
        <v>9124</v>
      </c>
      <c r="B59" s="10">
        <f t="shared" si="1"/>
        <v>100</v>
      </c>
      <c r="C59" s="6">
        <f t="shared" si="2"/>
        <v>90.5</v>
      </c>
      <c r="D59" s="6">
        <f t="shared" si="3"/>
        <v>15.416631</v>
      </c>
    </row>
    <row r="60">
      <c r="A60" s="4" t="s">
        <v>9125</v>
      </c>
      <c r="B60" s="10">
        <f t="shared" si="1"/>
        <v>100</v>
      </c>
      <c r="C60" s="6">
        <f t="shared" si="2"/>
        <v>90.8</v>
      </c>
      <c r="D60" s="6">
        <f t="shared" si="3"/>
        <v>15.475359</v>
      </c>
    </row>
    <row r="61">
      <c r="A61" s="4" t="s">
        <v>9126</v>
      </c>
      <c r="B61" s="10">
        <f t="shared" si="1"/>
        <v>0</v>
      </c>
      <c r="C61" s="6">
        <f t="shared" si="2"/>
        <v>90.8</v>
      </c>
      <c r="D61" s="6">
        <f t="shared" si="3"/>
        <v>15.477858</v>
      </c>
    </row>
    <row r="62">
      <c r="A62" s="4" t="s">
        <v>9127</v>
      </c>
      <c r="B62" s="10">
        <f t="shared" si="1"/>
        <v>100</v>
      </c>
      <c r="C62" s="6">
        <f t="shared" si="2"/>
        <v>93</v>
      </c>
      <c r="D62" s="6">
        <f t="shared" si="3"/>
        <v>15.852716</v>
      </c>
    </row>
    <row r="63">
      <c r="A63" s="4" t="s">
        <v>9128</v>
      </c>
      <c r="B63" s="10">
        <f t="shared" si="1"/>
        <v>100</v>
      </c>
      <c r="C63" s="6">
        <f t="shared" si="2"/>
        <v>90.6</v>
      </c>
      <c r="D63" s="6">
        <f t="shared" si="3"/>
        <v>15.431262</v>
      </c>
    </row>
    <row r="64">
      <c r="A64" s="4" t="s">
        <v>9129</v>
      </c>
      <c r="B64" s="10">
        <f t="shared" si="1"/>
        <v>100</v>
      </c>
      <c r="C64" s="6">
        <f t="shared" si="2"/>
        <v>90.7</v>
      </c>
      <c r="D64" s="6">
        <f t="shared" si="3"/>
        <v>15.450206</v>
      </c>
    </row>
    <row r="65">
      <c r="A65" s="4" t="s">
        <v>9130</v>
      </c>
      <c r="B65" s="10">
        <f t="shared" si="1"/>
        <v>100</v>
      </c>
      <c r="C65" s="6">
        <f t="shared" si="2"/>
        <v>90.7</v>
      </c>
      <c r="D65" s="6">
        <f t="shared" si="3"/>
        <v>15.4508</v>
      </c>
    </row>
    <row r="66">
      <c r="A66" s="4" t="s">
        <v>9131</v>
      </c>
      <c r="B66" s="10">
        <f t="shared" si="1"/>
        <v>100</v>
      </c>
      <c r="C66" s="6">
        <f t="shared" si="2"/>
        <v>90.8</v>
      </c>
      <c r="D66" s="6">
        <f t="shared" si="3"/>
        <v>15.472029</v>
      </c>
    </row>
    <row r="67">
      <c r="A67" s="4" t="s">
        <v>9132</v>
      </c>
      <c r="B67" s="10">
        <f t="shared" si="1"/>
        <v>100</v>
      </c>
      <c r="C67" s="6">
        <f t="shared" si="2"/>
        <v>90.7</v>
      </c>
      <c r="D67" s="6">
        <f t="shared" si="3"/>
        <v>15.461457</v>
      </c>
    </row>
    <row r="68">
      <c r="A68" s="4" t="s">
        <v>9133</v>
      </c>
      <c r="B68" s="10">
        <f t="shared" si="1"/>
        <v>0</v>
      </c>
      <c r="C68" s="6">
        <f t="shared" si="2"/>
        <v>90.8</v>
      </c>
      <c r="D68" s="6">
        <f t="shared" si="3"/>
        <v>15.470764</v>
      </c>
    </row>
    <row r="69">
      <c r="A69" s="4" t="s">
        <v>9134</v>
      </c>
      <c r="B69" s="10">
        <f t="shared" si="1"/>
        <v>100</v>
      </c>
      <c r="C69" s="6">
        <f t="shared" si="2"/>
        <v>90.8</v>
      </c>
      <c r="D69" s="6">
        <f t="shared" si="3"/>
        <v>15.474089</v>
      </c>
    </row>
    <row r="70">
      <c r="A70" s="4" t="s">
        <v>9135</v>
      </c>
      <c r="B70" s="10">
        <f t="shared" si="1"/>
        <v>0</v>
      </c>
      <c r="C70" s="6">
        <f t="shared" si="2"/>
        <v>92.3</v>
      </c>
      <c r="D70" s="6">
        <f t="shared" si="3"/>
        <v>15.737028</v>
      </c>
    </row>
    <row r="71">
      <c r="A71" s="4" t="s">
        <v>9136</v>
      </c>
      <c r="B71" s="10">
        <f t="shared" si="1"/>
        <v>100</v>
      </c>
      <c r="C71" s="6">
        <f t="shared" si="2"/>
        <v>90.5</v>
      </c>
      <c r="D71" s="6">
        <f t="shared" si="3"/>
        <v>15.414173</v>
      </c>
    </row>
    <row r="72">
      <c r="A72" s="4" t="s">
        <v>9137</v>
      </c>
      <c r="B72" s="10">
        <f t="shared" si="1"/>
        <v>100</v>
      </c>
      <c r="C72" s="6">
        <f t="shared" si="2"/>
        <v>90.6</v>
      </c>
      <c r="D72" s="6">
        <f t="shared" si="3"/>
        <v>15.443517</v>
      </c>
    </row>
    <row r="73">
      <c r="A73" s="4" t="s">
        <v>9138</v>
      </c>
      <c r="B73" s="10">
        <f t="shared" si="1"/>
        <v>100</v>
      </c>
      <c r="C73" s="6">
        <f t="shared" si="2"/>
        <v>90.6</v>
      </c>
      <c r="D73" s="6">
        <f t="shared" si="3"/>
        <v>15.445327</v>
      </c>
    </row>
    <row r="74">
      <c r="A74" s="4" t="s">
        <v>9139</v>
      </c>
      <c r="B74" s="10">
        <f t="shared" si="1"/>
        <v>100</v>
      </c>
      <c r="C74" s="6">
        <f t="shared" si="2"/>
        <v>90.4</v>
      </c>
      <c r="D74" s="6">
        <f t="shared" si="3"/>
        <v>15.407255</v>
      </c>
    </row>
    <row r="75">
      <c r="A75" s="4" t="s">
        <v>9140</v>
      </c>
      <c r="B75" s="10">
        <f t="shared" si="1"/>
        <v>100</v>
      </c>
      <c r="C75" s="6">
        <f t="shared" si="2"/>
        <v>90.7</v>
      </c>
      <c r="D75" s="6">
        <f t="shared" si="3"/>
        <v>15.450136</v>
      </c>
    </row>
    <row r="76">
      <c r="A76" s="4" t="s">
        <v>9141</v>
      </c>
      <c r="B76" s="10">
        <f t="shared" si="1"/>
        <v>0</v>
      </c>
      <c r="C76" s="6">
        <f t="shared" si="2"/>
        <v>90.7</v>
      </c>
      <c r="D76" s="6">
        <f t="shared" si="3"/>
        <v>15.460196</v>
      </c>
    </row>
    <row r="77">
      <c r="A77" s="4" t="s">
        <v>9142</v>
      </c>
      <c r="B77" s="10">
        <f t="shared" si="1"/>
        <v>100</v>
      </c>
      <c r="C77" s="6">
        <f t="shared" si="2"/>
        <v>90.7</v>
      </c>
      <c r="D77" s="6">
        <f t="shared" si="3"/>
        <v>15.457587</v>
      </c>
    </row>
    <row r="78">
      <c r="A78" s="4" t="s">
        <v>9143</v>
      </c>
      <c r="B78" s="10">
        <f t="shared" si="1"/>
        <v>100</v>
      </c>
      <c r="C78" s="6">
        <f t="shared" si="2"/>
        <v>90.6</v>
      </c>
      <c r="D78" s="6">
        <f t="shared" si="3"/>
        <v>15.439302</v>
      </c>
    </row>
    <row r="79">
      <c r="A79" s="4" t="s">
        <v>9144</v>
      </c>
      <c r="B79" s="10">
        <f t="shared" si="1"/>
        <v>100</v>
      </c>
      <c r="C79" s="6">
        <f t="shared" si="2"/>
        <v>90.7</v>
      </c>
      <c r="D79" s="6">
        <f t="shared" si="3"/>
        <v>15.45186</v>
      </c>
    </row>
    <row r="80">
      <c r="A80" s="4" t="s">
        <v>9145</v>
      </c>
      <c r="B80" s="10">
        <f t="shared" si="1"/>
        <v>100</v>
      </c>
      <c r="C80" s="6">
        <f t="shared" si="2"/>
        <v>92.3</v>
      </c>
      <c r="D80" s="6">
        <f t="shared" si="3"/>
        <v>15.722852</v>
      </c>
    </row>
    <row r="81">
      <c r="A81" s="4" t="s">
        <v>9146</v>
      </c>
      <c r="B81" s="10">
        <f t="shared" si="1"/>
        <v>100</v>
      </c>
      <c r="C81" s="6">
        <f t="shared" si="2"/>
        <v>90.4</v>
      </c>
      <c r="D81" s="6">
        <f t="shared" si="3"/>
        <v>15.409917</v>
      </c>
    </row>
    <row r="82">
      <c r="A82" s="4" t="s">
        <v>9147</v>
      </c>
      <c r="B82" s="10">
        <f t="shared" si="1"/>
        <v>0</v>
      </c>
      <c r="C82" s="6">
        <f t="shared" si="2"/>
        <v>90.7</v>
      </c>
      <c r="D82" s="6">
        <f t="shared" si="3"/>
        <v>15.45977</v>
      </c>
    </row>
    <row r="83">
      <c r="A83" s="4" t="s">
        <v>9148</v>
      </c>
      <c r="B83" s="10">
        <f t="shared" si="1"/>
        <v>100</v>
      </c>
      <c r="C83" s="6">
        <f t="shared" si="2"/>
        <v>90.9</v>
      </c>
      <c r="D83" s="6">
        <f t="shared" si="3"/>
        <v>15.497252</v>
      </c>
    </row>
    <row r="84">
      <c r="A84" s="4" t="s">
        <v>9149</v>
      </c>
      <c r="B84" s="10">
        <f t="shared" si="1"/>
        <v>100</v>
      </c>
      <c r="C84" s="6">
        <f t="shared" si="2"/>
        <v>90.5</v>
      </c>
      <c r="D84" s="6">
        <f t="shared" si="3"/>
        <v>15.421136</v>
      </c>
    </row>
    <row r="85">
      <c r="A85" s="4" t="s">
        <v>9150</v>
      </c>
      <c r="B85" s="10">
        <f t="shared" si="1"/>
        <v>100</v>
      </c>
      <c r="C85" s="6">
        <f t="shared" si="2"/>
        <v>90.5</v>
      </c>
      <c r="D85" s="6">
        <f t="shared" si="3"/>
        <v>15.430225</v>
      </c>
    </row>
    <row r="86">
      <c r="A86" s="4" t="s">
        <v>9151</v>
      </c>
      <c r="B86" s="10">
        <f t="shared" si="1"/>
        <v>0</v>
      </c>
      <c r="C86" s="6">
        <f t="shared" si="2"/>
        <v>90.7</v>
      </c>
      <c r="D86" s="6">
        <f t="shared" si="3"/>
        <v>15.447998</v>
      </c>
    </row>
    <row r="87">
      <c r="A87" s="4" t="s">
        <v>9152</v>
      </c>
      <c r="B87" s="10">
        <f t="shared" si="1"/>
        <v>100</v>
      </c>
      <c r="C87" s="6">
        <f t="shared" si="2"/>
        <v>90.6</v>
      </c>
      <c r="D87" s="6">
        <f t="shared" si="3"/>
        <v>15.440769</v>
      </c>
    </row>
    <row r="88">
      <c r="A88" s="4" t="s">
        <v>9153</v>
      </c>
      <c r="B88" s="10">
        <f t="shared" si="1"/>
        <v>100</v>
      </c>
      <c r="C88" s="6">
        <f t="shared" si="2"/>
        <v>90.7</v>
      </c>
      <c r="D88" s="6">
        <f t="shared" si="3"/>
        <v>15.450456</v>
      </c>
    </row>
    <row r="89">
      <c r="A89" s="4" t="s">
        <v>9154</v>
      </c>
      <c r="B89" s="10">
        <f t="shared" si="1"/>
        <v>100</v>
      </c>
      <c r="C89" s="6">
        <f t="shared" si="2"/>
        <v>90.9</v>
      </c>
      <c r="D89" s="6">
        <f t="shared" si="3"/>
        <v>15.482081</v>
      </c>
    </row>
    <row r="90">
      <c r="A90" s="4" t="s">
        <v>9155</v>
      </c>
      <c r="B90" s="10">
        <f t="shared" si="1"/>
        <v>0</v>
      </c>
      <c r="C90" s="6">
        <f t="shared" si="2"/>
        <v>90.9</v>
      </c>
      <c r="D90" s="6">
        <f t="shared" si="3"/>
        <v>15.492628</v>
      </c>
    </row>
    <row r="91">
      <c r="A91" s="4" t="s">
        <v>9156</v>
      </c>
      <c r="B91" s="10">
        <f t="shared" si="1"/>
        <v>100</v>
      </c>
      <c r="C91" s="6">
        <f t="shared" si="2"/>
        <v>92.3</v>
      </c>
      <c r="D91" s="6">
        <f t="shared" si="3"/>
        <v>15.728656</v>
      </c>
    </row>
    <row r="92">
      <c r="A92" s="4" t="s">
        <v>9157</v>
      </c>
      <c r="B92" s="10">
        <f t="shared" si="1"/>
        <v>0</v>
      </c>
      <c r="C92" s="6">
        <f t="shared" si="2"/>
        <v>90.7</v>
      </c>
      <c r="D92" s="6">
        <f t="shared" si="3"/>
        <v>15.457525</v>
      </c>
    </row>
    <row r="93">
      <c r="A93" s="4" t="s">
        <v>9158</v>
      </c>
      <c r="B93" s="10">
        <f t="shared" si="1"/>
        <v>100</v>
      </c>
      <c r="C93" s="6">
        <f t="shared" si="2"/>
        <v>90.8</v>
      </c>
      <c r="D93" s="6">
        <f t="shared" si="3"/>
        <v>15.467495</v>
      </c>
    </row>
    <row r="94">
      <c r="A94" s="4" t="s">
        <v>9159</v>
      </c>
      <c r="B94" s="10">
        <f t="shared" si="1"/>
        <v>100</v>
      </c>
      <c r="C94" s="6">
        <f t="shared" si="2"/>
        <v>90.5</v>
      </c>
      <c r="D94" s="6">
        <f t="shared" si="3"/>
        <v>15.420833</v>
      </c>
    </row>
    <row r="95">
      <c r="A95" s="4" t="s">
        <v>9160</v>
      </c>
      <c r="B95" s="10">
        <f t="shared" si="1"/>
        <v>100</v>
      </c>
      <c r="C95" s="6">
        <f t="shared" si="2"/>
        <v>91.3</v>
      </c>
      <c r="D95" s="6">
        <f t="shared" si="3"/>
        <v>15.565983</v>
      </c>
    </row>
    <row r="96">
      <c r="A96" s="4" t="s">
        <v>9161</v>
      </c>
      <c r="B96" s="10">
        <f t="shared" si="1"/>
        <v>100</v>
      </c>
      <c r="C96" s="6">
        <f t="shared" si="2"/>
        <v>91.4</v>
      </c>
      <c r="D96" s="6">
        <f t="shared" si="3"/>
        <v>15.57764</v>
      </c>
    </row>
    <row r="97">
      <c r="A97" s="4" t="s">
        <v>9162</v>
      </c>
      <c r="B97" s="10">
        <f t="shared" si="1"/>
        <v>100</v>
      </c>
      <c r="C97" s="6">
        <f t="shared" si="2"/>
        <v>91.2</v>
      </c>
      <c r="D97" s="6">
        <f t="shared" si="3"/>
        <v>15.541186</v>
      </c>
    </row>
    <row r="98">
      <c r="A98" s="4" t="s">
        <v>9163</v>
      </c>
      <c r="B98" s="10">
        <f t="shared" si="1"/>
        <v>0</v>
      </c>
      <c r="C98" s="6">
        <f t="shared" si="2"/>
        <v>90.1</v>
      </c>
      <c r="D98" s="6">
        <f t="shared" si="3"/>
        <v>15.359041</v>
      </c>
    </row>
    <row r="99">
      <c r="A99" s="4" t="s">
        <v>9164</v>
      </c>
      <c r="B99" s="10">
        <f t="shared" si="1"/>
        <v>100</v>
      </c>
      <c r="C99" s="6">
        <f t="shared" si="2"/>
        <v>89.8</v>
      </c>
      <c r="D99" s="6">
        <f t="shared" si="3"/>
        <v>15.310696</v>
      </c>
    </row>
    <row r="100">
      <c r="A100" s="4" t="s">
        <v>9165</v>
      </c>
      <c r="B100" s="10">
        <f t="shared" si="1"/>
        <v>100</v>
      </c>
      <c r="C100" s="6">
        <f t="shared" si="2"/>
        <v>89.1</v>
      </c>
      <c r="D100" s="6">
        <f t="shared" si="3"/>
        <v>15.181352</v>
      </c>
    </row>
    <row r="101">
      <c r="A101" s="4" t="s">
        <v>9166</v>
      </c>
      <c r="B101" s="10">
        <f t="shared" si="1"/>
        <v>0</v>
      </c>
      <c r="C101" s="6">
        <f t="shared" si="2"/>
        <v>89.1</v>
      </c>
      <c r="D101" s="6">
        <f t="shared" si="3"/>
        <v>15.185723</v>
      </c>
    </row>
    <row r="102">
      <c r="A102" s="4" t="s">
        <v>9167</v>
      </c>
      <c r="B102" s="10">
        <f t="shared" si="1"/>
        <v>100</v>
      </c>
      <c r="C102" s="6">
        <f t="shared" si="2"/>
        <v>89.5</v>
      </c>
      <c r="D102" s="6">
        <f t="shared" si="3"/>
        <v>15.256944</v>
      </c>
    </row>
    <row r="103">
      <c r="A103" s="4" t="s">
        <v>9168</v>
      </c>
      <c r="B103" s="10">
        <f t="shared" si="1"/>
        <v>0</v>
      </c>
      <c r="C103" s="6">
        <f t="shared" si="2"/>
        <v>89.4</v>
      </c>
      <c r="D103" s="6">
        <f t="shared" si="3"/>
        <v>15.239512</v>
      </c>
    </row>
    <row r="104">
      <c r="A104" s="4" t="s">
        <v>9169</v>
      </c>
      <c r="B104" s="10">
        <f t="shared" si="1"/>
        <v>100</v>
      </c>
      <c r="C104" s="6">
        <f t="shared" si="2"/>
        <v>89.4</v>
      </c>
      <c r="D104" s="6">
        <f t="shared" si="3"/>
        <v>15.229468</v>
      </c>
    </row>
    <row r="105">
      <c r="A105" s="4" t="s">
        <v>9170</v>
      </c>
      <c r="B105" s="10">
        <f t="shared" si="1"/>
        <v>0</v>
      </c>
      <c r="C105" s="6">
        <f t="shared" si="2"/>
        <v>89.3</v>
      </c>
      <c r="D105" s="6">
        <f t="shared" si="3"/>
        <v>15.221268</v>
      </c>
    </row>
    <row r="106">
      <c r="A106" s="4" t="s">
        <v>9171</v>
      </c>
      <c r="B106" s="10">
        <f t="shared" si="1"/>
        <v>100</v>
      </c>
      <c r="C106" s="6">
        <f t="shared" si="2"/>
        <v>89.6</v>
      </c>
      <c r="D106" s="6">
        <f t="shared" si="3"/>
        <v>15.264161</v>
      </c>
    </row>
    <row r="107">
      <c r="A107" s="4" t="s">
        <v>9172</v>
      </c>
      <c r="B107" s="10">
        <f t="shared" si="1"/>
        <v>0</v>
      </c>
      <c r="C107" s="6">
        <f t="shared" si="2"/>
        <v>89.5</v>
      </c>
      <c r="D107" s="6">
        <f t="shared" si="3"/>
        <v>15.256367</v>
      </c>
    </row>
    <row r="108">
      <c r="A108" s="4" t="s">
        <v>9173</v>
      </c>
      <c r="B108" s="10">
        <f t="shared" si="1"/>
        <v>100</v>
      </c>
      <c r="C108" s="6">
        <f t="shared" si="2"/>
        <v>89.6</v>
      </c>
      <c r="D108" s="6">
        <f t="shared" si="3"/>
        <v>15.267811</v>
      </c>
    </row>
    <row r="109">
      <c r="A109" s="4" t="s">
        <v>9174</v>
      </c>
      <c r="B109" s="10">
        <f t="shared" si="1"/>
        <v>100</v>
      </c>
      <c r="C109" s="6">
        <f t="shared" si="2"/>
        <v>89.7</v>
      </c>
      <c r="D109" s="6">
        <f t="shared" si="3"/>
        <v>15.289036</v>
      </c>
    </row>
    <row r="110">
      <c r="A110" s="4" t="s">
        <v>9175</v>
      </c>
      <c r="B110" s="10">
        <f t="shared" si="1"/>
        <v>0</v>
      </c>
      <c r="C110" s="6">
        <f t="shared" si="2"/>
        <v>90</v>
      </c>
      <c r="D110" s="6">
        <f t="shared" si="3"/>
        <v>15.338217</v>
      </c>
    </row>
    <row r="111">
      <c r="A111" s="4" t="s">
        <v>9176</v>
      </c>
      <c r="B111" s="10">
        <f t="shared" si="1"/>
        <v>0</v>
      </c>
      <c r="C111" s="6">
        <f t="shared" si="2"/>
        <v>89.8</v>
      </c>
      <c r="D111" s="6">
        <f t="shared" si="3"/>
        <v>15.300009</v>
      </c>
    </row>
    <row r="112">
      <c r="A112" s="4" t="s">
        <v>9177</v>
      </c>
      <c r="B112" s="10">
        <f t="shared" si="1"/>
        <v>0</v>
      </c>
      <c r="C112" s="6">
        <f t="shared" si="2"/>
        <v>90</v>
      </c>
      <c r="D112" s="6">
        <f t="shared" si="3"/>
        <v>15.329353</v>
      </c>
    </row>
    <row r="113">
      <c r="A113" s="4" t="s">
        <v>9178</v>
      </c>
      <c r="B113" s="10">
        <f t="shared" si="1"/>
        <v>100</v>
      </c>
      <c r="C113" s="6">
        <f t="shared" si="2"/>
        <v>91.5</v>
      </c>
      <c r="D113" s="6">
        <f t="shared" si="3"/>
        <v>15.599587</v>
      </c>
    </row>
    <row r="114">
      <c r="A114" s="4" t="s">
        <v>9179</v>
      </c>
      <c r="B114" s="10">
        <f t="shared" si="1"/>
        <v>0</v>
      </c>
      <c r="C114" s="6">
        <f t="shared" si="2"/>
        <v>89.8</v>
      </c>
      <c r="D114" s="6">
        <f t="shared" si="3"/>
        <v>15.306944</v>
      </c>
    </row>
    <row r="115">
      <c r="A115" s="4" t="s">
        <v>9180</v>
      </c>
      <c r="B115" s="10">
        <f t="shared" si="1"/>
        <v>100</v>
      </c>
      <c r="C115" s="6">
        <f t="shared" si="2"/>
        <v>89.9</v>
      </c>
      <c r="D115" s="6">
        <f t="shared" si="3"/>
        <v>15.32015</v>
      </c>
    </row>
    <row r="116">
      <c r="A116" s="4" t="s">
        <v>9181</v>
      </c>
      <c r="B116" s="10">
        <f t="shared" si="1"/>
        <v>0</v>
      </c>
      <c r="C116" s="6">
        <f t="shared" si="2"/>
        <v>89.7</v>
      </c>
      <c r="D116" s="6">
        <f t="shared" si="3"/>
        <v>15.286747</v>
      </c>
    </row>
    <row r="117">
      <c r="A117" s="4" t="s">
        <v>9182</v>
      </c>
      <c r="B117" s="10">
        <f t="shared" si="1"/>
        <v>100</v>
      </c>
      <c r="C117" s="6">
        <f t="shared" si="2"/>
        <v>90.8</v>
      </c>
      <c r="D117" s="6">
        <f t="shared" si="3"/>
        <v>15.477239</v>
      </c>
    </row>
    <row r="118">
      <c r="A118" s="4" t="s">
        <v>9183</v>
      </c>
      <c r="B118" s="10">
        <f t="shared" si="1"/>
        <v>0</v>
      </c>
      <c r="C118" s="6">
        <f t="shared" si="2"/>
        <v>90.4</v>
      </c>
      <c r="D118" s="6">
        <f t="shared" si="3"/>
        <v>15.399837</v>
      </c>
    </row>
    <row r="119">
      <c r="A119" s="4" t="s">
        <v>9184</v>
      </c>
      <c r="B119" s="10">
        <f t="shared" si="1"/>
        <v>100</v>
      </c>
      <c r="C119" s="6">
        <f t="shared" si="2"/>
        <v>90.9</v>
      </c>
      <c r="D119" s="6">
        <f t="shared" si="3"/>
        <v>15.494545</v>
      </c>
    </row>
    <row r="120">
      <c r="A120" s="4" t="s">
        <v>9185</v>
      </c>
      <c r="B120" s="10">
        <f t="shared" si="1"/>
        <v>100</v>
      </c>
      <c r="C120" s="6">
        <f t="shared" si="2"/>
        <v>91</v>
      </c>
      <c r="D120" s="6">
        <f t="shared" si="3"/>
        <v>15.500107</v>
      </c>
    </row>
    <row r="121">
      <c r="A121" s="4" t="s">
        <v>9186</v>
      </c>
      <c r="B121" s="10">
        <f t="shared" si="1"/>
        <v>0</v>
      </c>
      <c r="C121" s="6">
        <f t="shared" si="2"/>
        <v>91.2</v>
      </c>
      <c r="D121" s="6">
        <f t="shared" si="3"/>
        <v>15.53451</v>
      </c>
    </row>
    <row r="122">
      <c r="A122" s="4" t="s">
        <v>9187</v>
      </c>
      <c r="B122" s="10">
        <f t="shared" si="1"/>
        <v>100</v>
      </c>
      <c r="C122" s="6">
        <f t="shared" si="2"/>
        <v>92.2</v>
      </c>
      <c r="D122" s="6">
        <f t="shared" si="3"/>
        <v>15.713251</v>
      </c>
    </row>
    <row r="123">
      <c r="A123" s="4" t="s">
        <v>9188</v>
      </c>
      <c r="B123" s="10">
        <f t="shared" si="1"/>
        <v>100</v>
      </c>
      <c r="C123" s="6">
        <f t="shared" si="2"/>
        <v>92.5</v>
      </c>
      <c r="D123" s="6">
        <f t="shared" si="3"/>
        <v>15.762497</v>
      </c>
    </row>
    <row r="124">
      <c r="A124" s="4" t="s">
        <v>9189</v>
      </c>
      <c r="B124" s="10">
        <f t="shared" si="1"/>
        <v>100</v>
      </c>
      <c r="C124" s="6">
        <f t="shared" si="2"/>
        <v>91.1</v>
      </c>
      <c r="D124" s="6">
        <f t="shared" si="3"/>
        <v>15.524487</v>
      </c>
    </row>
    <row r="125">
      <c r="A125" s="4" t="s">
        <v>9190</v>
      </c>
      <c r="B125" s="10">
        <f t="shared" si="1"/>
        <v>100</v>
      </c>
      <c r="C125" s="6">
        <f t="shared" si="2"/>
        <v>90.9</v>
      </c>
      <c r="D125" s="6">
        <f t="shared" si="3"/>
        <v>15.498067</v>
      </c>
    </row>
    <row r="126">
      <c r="A126" s="4" t="s">
        <v>9191</v>
      </c>
      <c r="B126" s="10">
        <f t="shared" si="1"/>
        <v>0</v>
      </c>
      <c r="C126" s="6">
        <f t="shared" si="2"/>
        <v>91</v>
      </c>
      <c r="D126" s="6">
        <f t="shared" si="3"/>
        <v>15.515217</v>
      </c>
    </row>
    <row r="127">
      <c r="A127" s="4" t="s">
        <v>9192</v>
      </c>
      <c r="B127" s="10">
        <f t="shared" si="1"/>
        <v>0</v>
      </c>
      <c r="C127" s="6">
        <f t="shared" si="2"/>
        <v>91.1</v>
      </c>
      <c r="D127" s="6">
        <f t="shared" si="3"/>
        <v>15.530147</v>
      </c>
    </row>
    <row r="128">
      <c r="A128" s="4" t="s">
        <v>9193</v>
      </c>
      <c r="B128" s="10">
        <f t="shared" si="1"/>
        <v>0</v>
      </c>
      <c r="C128" s="6">
        <f t="shared" si="2"/>
        <v>91</v>
      </c>
      <c r="D128" s="6">
        <f t="shared" si="3"/>
        <v>15.50707</v>
      </c>
    </row>
    <row r="129">
      <c r="A129" s="4" t="s">
        <v>9194</v>
      </c>
      <c r="B129" s="10">
        <f t="shared" si="1"/>
        <v>0</v>
      </c>
      <c r="C129" s="6">
        <f t="shared" si="2"/>
        <v>93.1</v>
      </c>
      <c r="D129" s="6">
        <f t="shared" si="3"/>
        <v>15.862845</v>
      </c>
    </row>
    <row r="130">
      <c r="A130" s="4" t="s">
        <v>9195</v>
      </c>
      <c r="B130" s="10">
        <f t="shared" si="1"/>
        <v>100</v>
      </c>
      <c r="C130" s="6">
        <f t="shared" si="2"/>
        <v>91</v>
      </c>
      <c r="D130" s="6">
        <f t="shared" si="3"/>
        <v>15.511244</v>
      </c>
    </row>
    <row r="131">
      <c r="A131" s="4" t="s">
        <v>9196</v>
      </c>
      <c r="B131" s="10">
        <f t="shared" si="1"/>
        <v>0</v>
      </c>
      <c r="C131" s="6">
        <f t="shared" si="2"/>
        <v>91.1</v>
      </c>
      <c r="D131" s="6">
        <f t="shared" si="3"/>
        <v>15.533158</v>
      </c>
    </row>
    <row r="132">
      <c r="A132" s="4" t="s">
        <v>9197</v>
      </c>
      <c r="B132" s="10">
        <f t="shared" si="1"/>
        <v>0</v>
      </c>
      <c r="C132" s="6">
        <f t="shared" si="2"/>
        <v>91</v>
      </c>
      <c r="D132" s="6">
        <f t="shared" si="3"/>
        <v>15.499812</v>
      </c>
    </row>
    <row r="133">
      <c r="A133" s="4" t="s">
        <v>9198</v>
      </c>
      <c r="B133" s="10">
        <f t="shared" si="1"/>
        <v>100</v>
      </c>
      <c r="C133" s="6">
        <f t="shared" si="2"/>
        <v>91.3</v>
      </c>
      <c r="D133" s="6">
        <f t="shared" si="3"/>
        <v>15.557083</v>
      </c>
    </row>
    <row r="134">
      <c r="A134" s="4" t="s">
        <v>9199</v>
      </c>
      <c r="B134" s="10">
        <f t="shared" si="1"/>
        <v>0</v>
      </c>
      <c r="C134" s="6">
        <f t="shared" si="2"/>
        <v>91.2</v>
      </c>
      <c r="D134" s="6">
        <f t="shared" si="3"/>
        <v>15.534989</v>
      </c>
    </row>
    <row r="135">
      <c r="A135" s="4" t="s">
        <v>9200</v>
      </c>
      <c r="B135" s="10">
        <f t="shared" si="1"/>
        <v>0</v>
      </c>
      <c r="C135" s="6">
        <f t="shared" si="2"/>
        <v>91.1</v>
      </c>
      <c r="D135" s="6">
        <f t="shared" si="3"/>
        <v>15.521591</v>
      </c>
    </row>
    <row r="136">
      <c r="A136" s="4" t="s">
        <v>9201</v>
      </c>
      <c r="B136" s="10">
        <f t="shared" si="1"/>
        <v>0</v>
      </c>
      <c r="C136" s="6">
        <f t="shared" si="2"/>
        <v>91.1</v>
      </c>
      <c r="D136" s="6">
        <f t="shared" si="3"/>
        <v>15.523336</v>
      </c>
    </row>
    <row r="137">
      <c r="A137" s="4" t="s">
        <v>9202</v>
      </c>
      <c r="B137" s="10">
        <f t="shared" si="1"/>
        <v>100</v>
      </c>
      <c r="C137" s="6">
        <f t="shared" si="2"/>
        <v>91.1</v>
      </c>
      <c r="D137" s="6">
        <f t="shared" si="3"/>
        <v>15.519735</v>
      </c>
    </row>
    <row r="138">
      <c r="A138" s="4" t="s">
        <v>9203</v>
      </c>
      <c r="B138" s="10">
        <f t="shared" si="1"/>
        <v>100</v>
      </c>
      <c r="C138" s="6">
        <f t="shared" si="2"/>
        <v>91.2</v>
      </c>
      <c r="D138" s="6">
        <f t="shared" si="3"/>
        <v>15.537991</v>
      </c>
    </row>
    <row r="139">
      <c r="A139" s="4" t="s">
        <v>9204</v>
      </c>
      <c r="B139" s="10">
        <f t="shared" si="1"/>
        <v>0</v>
      </c>
      <c r="C139" s="6">
        <f t="shared" si="2"/>
        <v>91.4</v>
      </c>
      <c r="D139" s="6">
        <f t="shared" si="3"/>
        <v>15.568826</v>
      </c>
    </row>
    <row r="140">
      <c r="A140" s="4" t="s">
        <v>9205</v>
      </c>
      <c r="B140" s="10">
        <f t="shared" si="1"/>
        <v>100</v>
      </c>
      <c r="C140" s="6">
        <f t="shared" si="2"/>
        <v>91.2</v>
      </c>
      <c r="D140" s="6">
        <f t="shared" si="3"/>
        <v>15.544397</v>
      </c>
    </row>
    <row r="141">
      <c r="A141" s="4" t="s">
        <v>9206</v>
      </c>
      <c r="B141" s="10">
        <f t="shared" si="1"/>
        <v>100</v>
      </c>
      <c r="C141" s="6">
        <f t="shared" si="2"/>
        <v>91.2</v>
      </c>
      <c r="D141" s="6">
        <f t="shared" si="3"/>
        <v>15.543771</v>
      </c>
    </row>
    <row r="142">
      <c r="A142" s="4" t="s">
        <v>9207</v>
      </c>
      <c r="B142" s="10">
        <f t="shared" si="1"/>
        <v>0</v>
      </c>
      <c r="C142" s="6">
        <f t="shared" si="2"/>
        <v>91.4</v>
      </c>
      <c r="D142" s="6">
        <f t="shared" si="3"/>
        <v>15.570812</v>
      </c>
    </row>
    <row r="143">
      <c r="A143" s="4" t="s">
        <v>9208</v>
      </c>
      <c r="B143" s="10">
        <f t="shared" si="1"/>
        <v>100</v>
      </c>
      <c r="C143" s="6">
        <f t="shared" si="2"/>
        <v>91.4</v>
      </c>
      <c r="D143" s="6">
        <f t="shared" si="3"/>
        <v>15.568015</v>
      </c>
    </row>
    <row r="144">
      <c r="A144" s="4" t="s">
        <v>9209</v>
      </c>
      <c r="B144" s="10">
        <f t="shared" si="1"/>
        <v>0</v>
      </c>
      <c r="C144" s="6">
        <f t="shared" si="2"/>
        <v>91.4</v>
      </c>
      <c r="D144" s="6">
        <f t="shared" si="3"/>
        <v>15.567339</v>
      </c>
    </row>
    <row r="145">
      <c r="A145" s="4" t="s">
        <v>9210</v>
      </c>
      <c r="B145" s="10">
        <f t="shared" si="1"/>
        <v>100</v>
      </c>
      <c r="C145" s="6">
        <f t="shared" si="2"/>
        <v>91.5</v>
      </c>
      <c r="D145" s="6">
        <f t="shared" si="3"/>
        <v>15.588835</v>
      </c>
    </row>
    <row r="146">
      <c r="A146" s="4" t="s">
        <v>9211</v>
      </c>
      <c r="B146" s="10">
        <f t="shared" si="1"/>
        <v>100</v>
      </c>
      <c r="C146" s="6">
        <f t="shared" si="2"/>
        <v>93</v>
      </c>
      <c r="D146" s="6">
        <f t="shared" si="3"/>
        <v>15.852023</v>
      </c>
    </row>
    <row r="147">
      <c r="A147" s="4" t="s">
        <v>9212</v>
      </c>
      <c r="B147" s="10">
        <f t="shared" si="1"/>
        <v>100</v>
      </c>
      <c r="C147" s="6">
        <f t="shared" si="2"/>
        <v>91.9</v>
      </c>
      <c r="D147" s="6">
        <f t="shared" si="3"/>
        <v>15.660191</v>
      </c>
    </row>
    <row r="148">
      <c r="A148" s="4" t="s">
        <v>9213</v>
      </c>
      <c r="B148" s="10">
        <f t="shared" si="1"/>
        <v>0</v>
      </c>
      <c r="C148" s="6">
        <f t="shared" si="2"/>
        <v>91.9</v>
      </c>
      <c r="D148" s="6">
        <f t="shared" si="3"/>
        <v>15.664975</v>
      </c>
    </row>
    <row r="149">
      <c r="A149" s="4" t="s">
        <v>9214</v>
      </c>
      <c r="B149" s="10">
        <f t="shared" si="1"/>
        <v>100</v>
      </c>
      <c r="C149" s="6">
        <f t="shared" si="2"/>
        <v>92</v>
      </c>
      <c r="D149" s="6">
        <f t="shared" si="3"/>
        <v>15.67934</v>
      </c>
    </row>
    <row r="150">
      <c r="A150" s="4" t="s">
        <v>9215</v>
      </c>
      <c r="B150" s="10">
        <f t="shared" si="1"/>
        <v>100</v>
      </c>
      <c r="C150" s="6">
        <f t="shared" si="2"/>
        <v>92.3</v>
      </c>
      <c r="D150" s="6">
        <f t="shared" si="3"/>
        <v>15.732563</v>
      </c>
    </row>
    <row r="151">
      <c r="A151" s="4" t="s">
        <v>9216</v>
      </c>
      <c r="B151" s="10">
        <f t="shared" si="1"/>
        <v>100</v>
      </c>
      <c r="C151" s="6">
        <f t="shared" si="2"/>
        <v>93.4</v>
      </c>
      <c r="D151" s="6">
        <f t="shared" si="3"/>
        <v>15.915077</v>
      </c>
    </row>
    <row r="152">
      <c r="A152" s="4" t="s">
        <v>9217</v>
      </c>
      <c r="B152" s="10">
        <f t="shared" si="1"/>
        <v>100</v>
      </c>
      <c r="C152" s="6">
        <f t="shared" si="2"/>
        <v>92.1</v>
      </c>
      <c r="D152" s="6">
        <f t="shared" si="3"/>
        <v>15.69044</v>
      </c>
    </row>
    <row r="153">
      <c r="A153" s="4" t="s">
        <v>9218</v>
      </c>
      <c r="B153" s="10">
        <f t="shared" si="1"/>
        <v>100</v>
      </c>
      <c r="C153" s="6">
        <f t="shared" si="2"/>
        <v>92</v>
      </c>
      <c r="D153" s="6">
        <f t="shared" si="3"/>
        <v>15.686238</v>
      </c>
    </row>
    <row r="154">
      <c r="A154" s="4" t="s">
        <v>9219</v>
      </c>
      <c r="B154" s="10">
        <f t="shared" si="1"/>
        <v>100</v>
      </c>
      <c r="C154" s="6">
        <f t="shared" si="2"/>
        <v>92.2</v>
      </c>
      <c r="D154" s="6">
        <f t="shared" si="3"/>
        <v>15.717634</v>
      </c>
    </row>
    <row r="155">
      <c r="A155" s="4" t="s">
        <v>9220</v>
      </c>
      <c r="B155" s="10">
        <f t="shared" si="1"/>
        <v>100</v>
      </c>
      <c r="C155" s="6">
        <f t="shared" si="2"/>
        <v>92.1</v>
      </c>
      <c r="D155" s="6">
        <f t="shared" si="3"/>
        <v>15.697965</v>
      </c>
    </row>
    <row r="156">
      <c r="A156" s="4" t="s">
        <v>9221</v>
      </c>
      <c r="B156" s="10">
        <f t="shared" si="1"/>
        <v>100</v>
      </c>
      <c r="C156" s="6">
        <f t="shared" si="2"/>
        <v>92.2</v>
      </c>
      <c r="D156" s="6">
        <f t="shared" si="3"/>
        <v>15.719448</v>
      </c>
    </row>
    <row r="157">
      <c r="A157" s="4" t="s">
        <v>9222</v>
      </c>
      <c r="B157" s="10">
        <f t="shared" si="1"/>
        <v>0</v>
      </c>
      <c r="C157" s="6">
        <f t="shared" si="2"/>
        <v>92.2</v>
      </c>
      <c r="D157" s="6">
        <f t="shared" si="3"/>
        <v>15.709163</v>
      </c>
    </row>
    <row r="158">
      <c r="A158" s="4" t="s">
        <v>9223</v>
      </c>
      <c r="B158" s="10">
        <f t="shared" si="1"/>
        <v>0</v>
      </c>
      <c r="C158" s="6">
        <f t="shared" si="2"/>
        <v>92.2</v>
      </c>
      <c r="D158" s="6">
        <f t="shared" si="3"/>
        <v>15.716179</v>
      </c>
    </row>
    <row r="159">
      <c r="A159" s="4" t="s">
        <v>9224</v>
      </c>
      <c r="B159" s="10">
        <f t="shared" si="1"/>
        <v>100</v>
      </c>
      <c r="C159" s="6">
        <f t="shared" si="2"/>
        <v>94.1</v>
      </c>
      <c r="D159" s="6">
        <f t="shared" si="3"/>
        <v>16.036446</v>
      </c>
    </row>
    <row r="160">
      <c r="A160" s="4" t="s">
        <v>9225</v>
      </c>
      <c r="B160" s="10">
        <f t="shared" si="1"/>
        <v>100</v>
      </c>
      <c r="C160" s="6">
        <f t="shared" si="2"/>
        <v>94.4</v>
      </c>
      <c r="D160" s="6">
        <f t="shared" si="3"/>
        <v>16.095141</v>
      </c>
    </row>
    <row r="161">
      <c r="A161" s="4" t="s">
        <v>9226</v>
      </c>
      <c r="B161" s="10">
        <f t="shared" si="1"/>
        <v>100</v>
      </c>
      <c r="C161" s="6">
        <f t="shared" si="2"/>
        <v>94.2</v>
      </c>
      <c r="D161" s="6">
        <f t="shared" si="3"/>
        <v>16.056803</v>
      </c>
    </row>
    <row r="162">
      <c r="A162" s="4" t="s">
        <v>9227</v>
      </c>
      <c r="B162" s="10">
        <f t="shared" si="1"/>
        <v>100</v>
      </c>
      <c r="C162" s="6">
        <f t="shared" si="2"/>
        <v>92.4</v>
      </c>
      <c r="D162" s="6">
        <f t="shared" si="3"/>
        <v>15.745515</v>
      </c>
    </row>
    <row r="163">
      <c r="A163" s="4" t="s">
        <v>9228</v>
      </c>
      <c r="B163" s="10">
        <f t="shared" si="1"/>
        <v>100</v>
      </c>
      <c r="C163" s="6">
        <f t="shared" si="2"/>
        <v>91.9</v>
      </c>
      <c r="D163" s="6">
        <f t="shared" si="3"/>
        <v>15.66237</v>
      </c>
    </row>
    <row r="164">
      <c r="A164" s="4" t="s">
        <v>9229</v>
      </c>
      <c r="B164" s="10">
        <f t="shared" si="1"/>
        <v>0</v>
      </c>
      <c r="C164" s="6">
        <f t="shared" si="2"/>
        <v>94.4</v>
      </c>
      <c r="D164" s="6">
        <f t="shared" si="3"/>
        <v>16.084217</v>
      </c>
    </row>
    <row r="165">
      <c r="A165" s="4" t="s">
        <v>9230</v>
      </c>
      <c r="B165" s="10">
        <f t="shared" si="1"/>
        <v>100</v>
      </c>
      <c r="C165" s="6">
        <f t="shared" si="2"/>
        <v>94.3</v>
      </c>
      <c r="D165" s="6">
        <f t="shared" si="3"/>
        <v>16.073199</v>
      </c>
    </row>
    <row r="166">
      <c r="A166" s="4" t="s">
        <v>9231</v>
      </c>
      <c r="B166" s="10">
        <f t="shared" si="1"/>
        <v>100</v>
      </c>
      <c r="C166" s="6">
        <f t="shared" si="2"/>
        <v>91.6</v>
      </c>
      <c r="D166" s="6">
        <f t="shared" si="3"/>
        <v>15.607619</v>
      </c>
    </row>
    <row r="167">
      <c r="A167" s="4" t="s">
        <v>9232</v>
      </c>
      <c r="B167" s="10">
        <f t="shared" si="1"/>
        <v>0</v>
      </c>
      <c r="C167" s="6">
        <f t="shared" si="2"/>
        <v>93.9</v>
      </c>
      <c r="D167" s="6">
        <f t="shared" si="3"/>
        <v>16.006172</v>
      </c>
    </row>
    <row r="168">
      <c r="A168" s="4" t="s">
        <v>9233</v>
      </c>
      <c r="B168" s="10">
        <f t="shared" si="1"/>
        <v>0</v>
      </c>
      <c r="C168" s="6">
        <f t="shared" si="2"/>
        <v>94.2</v>
      </c>
      <c r="D168" s="6">
        <f t="shared" si="3"/>
        <v>16.050569</v>
      </c>
    </row>
    <row r="169">
      <c r="A169" s="4" t="s">
        <v>9234</v>
      </c>
      <c r="B169" s="10">
        <f t="shared" si="1"/>
        <v>0</v>
      </c>
      <c r="C169" s="6">
        <f t="shared" si="2"/>
        <v>91.4</v>
      </c>
      <c r="D169" s="6">
        <f t="shared" si="3"/>
        <v>15.577346</v>
      </c>
    </row>
    <row r="170">
      <c r="A170" s="4" t="s">
        <v>9235</v>
      </c>
      <c r="B170" s="10">
        <f t="shared" si="1"/>
        <v>100</v>
      </c>
      <c r="C170" s="6">
        <f t="shared" si="2"/>
        <v>91.4</v>
      </c>
      <c r="D170" s="6">
        <f t="shared" si="3"/>
        <v>15.575126</v>
      </c>
    </row>
    <row r="171">
      <c r="A171" s="4" t="s">
        <v>9236</v>
      </c>
      <c r="B171" s="10">
        <f t="shared" si="1"/>
        <v>100</v>
      </c>
      <c r="C171" s="6">
        <f t="shared" si="2"/>
        <v>91.1</v>
      </c>
      <c r="D171" s="6">
        <f t="shared" si="3"/>
        <v>15.530913</v>
      </c>
    </row>
    <row r="172">
      <c r="A172" s="4" t="s">
        <v>9237</v>
      </c>
      <c r="B172" s="10">
        <f t="shared" si="1"/>
        <v>0</v>
      </c>
      <c r="C172" s="6">
        <f t="shared" si="2"/>
        <v>91</v>
      </c>
      <c r="D172" s="6">
        <f t="shared" si="3"/>
        <v>15.499542</v>
      </c>
    </row>
    <row r="173">
      <c r="A173" s="4" t="s">
        <v>9238</v>
      </c>
      <c r="B173" s="10">
        <f t="shared" si="1"/>
        <v>100</v>
      </c>
      <c r="C173" s="6">
        <f t="shared" si="2"/>
        <v>91</v>
      </c>
      <c r="D173" s="6">
        <f t="shared" si="3"/>
        <v>15.511543</v>
      </c>
    </row>
    <row r="174">
      <c r="A174" s="4" t="s">
        <v>9239</v>
      </c>
      <c r="B174" s="10">
        <f t="shared" si="1"/>
        <v>100</v>
      </c>
      <c r="C174" s="6">
        <f t="shared" si="2"/>
        <v>91</v>
      </c>
      <c r="D174" s="6">
        <f t="shared" si="3"/>
        <v>15.501856</v>
      </c>
    </row>
    <row r="175">
      <c r="A175" s="4" t="s">
        <v>9240</v>
      </c>
      <c r="B175" s="10">
        <f t="shared" si="1"/>
        <v>0</v>
      </c>
      <c r="C175" s="6">
        <f t="shared" si="2"/>
        <v>90.8</v>
      </c>
      <c r="D175" s="6">
        <f t="shared" si="3"/>
        <v>15.46659</v>
      </c>
    </row>
    <row r="176">
      <c r="A176" s="4" t="s">
        <v>9241</v>
      </c>
      <c r="B176" s="10">
        <f t="shared" si="1"/>
        <v>0</v>
      </c>
      <c r="C176" s="6">
        <f t="shared" si="2"/>
        <v>90.9</v>
      </c>
      <c r="D176" s="6">
        <f t="shared" si="3"/>
        <v>15.483719</v>
      </c>
    </row>
    <row r="177">
      <c r="A177" s="4" t="s">
        <v>9242</v>
      </c>
      <c r="B177" s="10">
        <f t="shared" si="1"/>
        <v>100</v>
      </c>
      <c r="C177" s="6">
        <f t="shared" si="2"/>
        <v>90.7</v>
      </c>
      <c r="D177" s="6">
        <f t="shared" si="3"/>
        <v>15.452782</v>
      </c>
    </row>
    <row r="178">
      <c r="A178" s="4" t="s">
        <v>9243</v>
      </c>
      <c r="B178" s="10">
        <f t="shared" si="1"/>
        <v>100</v>
      </c>
      <c r="C178" s="6">
        <f t="shared" si="2"/>
        <v>91.5</v>
      </c>
      <c r="D178" s="6">
        <f t="shared" si="3"/>
        <v>15.598891</v>
      </c>
    </row>
    <row r="179">
      <c r="A179" s="4" t="s">
        <v>9244</v>
      </c>
      <c r="B179" s="10">
        <f t="shared" si="1"/>
        <v>0</v>
      </c>
      <c r="C179" s="6">
        <f t="shared" si="2"/>
        <v>92.2</v>
      </c>
      <c r="D179" s="6">
        <f t="shared" si="3"/>
        <v>15.716081</v>
      </c>
    </row>
    <row r="180">
      <c r="A180" s="4" t="s">
        <v>9245</v>
      </c>
      <c r="B180" s="10">
        <f t="shared" si="1"/>
        <v>0</v>
      </c>
      <c r="C180" s="6">
        <f t="shared" si="2"/>
        <v>92.4</v>
      </c>
      <c r="D180" s="6">
        <f t="shared" si="3"/>
        <v>15.738249</v>
      </c>
    </row>
    <row r="181">
      <c r="A181" s="4" t="s">
        <v>9246</v>
      </c>
      <c r="B181" s="10">
        <f t="shared" si="1"/>
        <v>0</v>
      </c>
      <c r="C181" s="6">
        <f t="shared" si="2"/>
        <v>89.3</v>
      </c>
      <c r="D181" s="6">
        <f t="shared" si="3"/>
        <v>15.214673</v>
      </c>
    </row>
    <row r="182">
      <c r="A182" s="4" t="s">
        <v>9247</v>
      </c>
      <c r="B182" s="10">
        <f t="shared" si="1"/>
        <v>100</v>
      </c>
      <c r="C182" s="6">
        <f t="shared" si="2"/>
        <v>89.1</v>
      </c>
      <c r="D182" s="6">
        <f t="shared" si="3"/>
        <v>15.19167</v>
      </c>
    </row>
    <row r="183">
      <c r="A183" s="4" t="s">
        <v>9248</v>
      </c>
      <c r="B183" s="10">
        <f t="shared" si="1"/>
        <v>0</v>
      </c>
      <c r="C183" s="6">
        <f t="shared" si="2"/>
        <v>89.3</v>
      </c>
      <c r="D183" s="6">
        <f t="shared" si="3"/>
        <v>15.214665</v>
      </c>
    </row>
    <row r="184">
      <c r="A184" s="4" t="s">
        <v>9249</v>
      </c>
      <c r="B184" s="10">
        <f t="shared" si="1"/>
        <v>100</v>
      </c>
      <c r="C184" s="6">
        <f t="shared" si="2"/>
        <v>89.3</v>
      </c>
      <c r="D184" s="6">
        <f t="shared" si="3"/>
        <v>15.21161</v>
      </c>
    </row>
    <row r="185">
      <c r="A185" s="4" t="s">
        <v>9250</v>
      </c>
      <c r="B185" s="10">
        <f t="shared" si="1"/>
        <v>0</v>
      </c>
      <c r="C185" s="6">
        <f t="shared" si="2"/>
        <v>89.3</v>
      </c>
      <c r="D185" s="6">
        <f t="shared" si="3"/>
        <v>15.219261</v>
      </c>
    </row>
    <row r="186">
      <c r="A186" s="4" t="s">
        <v>9251</v>
      </c>
      <c r="B186" s="10">
        <f t="shared" si="1"/>
        <v>0</v>
      </c>
      <c r="C186" s="6">
        <f t="shared" si="2"/>
        <v>89.3</v>
      </c>
      <c r="D186" s="6">
        <f t="shared" si="3"/>
        <v>15.215616</v>
      </c>
    </row>
    <row r="187">
      <c r="A187" s="4" t="s">
        <v>9252</v>
      </c>
      <c r="B187" s="10">
        <f t="shared" si="1"/>
        <v>0</v>
      </c>
      <c r="C187" s="6">
        <f t="shared" si="2"/>
        <v>89.4</v>
      </c>
      <c r="D187" s="6">
        <f t="shared" si="3"/>
        <v>15.235256</v>
      </c>
    </row>
    <row r="188">
      <c r="A188" s="4" t="s">
        <v>9253</v>
      </c>
      <c r="B188" s="10">
        <f t="shared" si="1"/>
        <v>100</v>
      </c>
      <c r="C188" s="6">
        <f t="shared" si="2"/>
        <v>89.4</v>
      </c>
      <c r="D188" s="6">
        <f t="shared" si="3"/>
        <v>15.233261</v>
      </c>
    </row>
    <row r="189">
      <c r="A189" s="4" t="s">
        <v>9254</v>
      </c>
      <c r="B189" s="10">
        <f t="shared" si="1"/>
        <v>0</v>
      </c>
      <c r="C189" s="6">
        <f t="shared" si="2"/>
        <v>91.3</v>
      </c>
      <c r="D189" s="6">
        <f t="shared" si="3"/>
        <v>15.553822</v>
      </c>
    </row>
    <row r="190">
      <c r="A190" s="4" t="s">
        <v>9255</v>
      </c>
      <c r="B190" s="10">
        <f t="shared" si="1"/>
        <v>100</v>
      </c>
      <c r="C190" s="6">
        <f t="shared" si="2"/>
        <v>89.4</v>
      </c>
      <c r="D190" s="6">
        <f t="shared" si="3"/>
        <v>15.237668</v>
      </c>
    </row>
    <row r="191">
      <c r="A191" s="4" t="s">
        <v>9256</v>
      </c>
      <c r="B191" s="10">
        <f t="shared" si="1"/>
        <v>0</v>
      </c>
      <c r="C191" s="6">
        <f t="shared" si="2"/>
        <v>89.4</v>
      </c>
      <c r="D191" s="6">
        <f t="shared" si="3"/>
        <v>15.24133</v>
      </c>
    </row>
    <row r="192">
      <c r="A192" s="4" t="s">
        <v>9257</v>
      </c>
      <c r="B192" s="10">
        <f t="shared" si="1"/>
        <v>100</v>
      </c>
      <c r="C192" s="6">
        <f t="shared" si="2"/>
        <v>89.3</v>
      </c>
      <c r="D192" s="6">
        <f t="shared" si="3"/>
        <v>15.223156</v>
      </c>
    </row>
    <row r="193">
      <c r="A193" s="4" t="s">
        <v>9258</v>
      </c>
      <c r="B193" s="10">
        <f t="shared" si="1"/>
        <v>0</v>
      </c>
      <c r="C193" s="6">
        <f t="shared" si="2"/>
        <v>89.6</v>
      </c>
      <c r="D193" s="6">
        <f t="shared" si="3"/>
        <v>15.272099</v>
      </c>
    </row>
    <row r="194">
      <c r="A194" s="4" t="s">
        <v>9259</v>
      </c>
      <c r="B194" s="10">
        <f t="shared" si="1"/>
        <v>100</v>
      </c>
      <c r="C194" s="6">
        <f t="shared" si="2"/>
        <v>90</v>
      </c>
      <c r="D194" s="6">
        <f t="shared" si="3"/>
        <v>15.343652</v>
      </c>
    </row>
    <row r="195">
      <c r="A195" s="4" t="s">
        <v>9260</v>
      </c>
      <c r="B195" s="10">
        <f t="shared" si="1"/>
        <v>100</v>
      </c>
      <c r="C195" s="6">
        <f t="shared" si="2"/>
        <v>91.6</v>
      </c>
      <c r="D195" s="6">
        <f t="shared" si="3"/>
        <v>15.601401</v>
      </c>
    </row>
    <row r="196">
      <c r="A196" s="4" t="s">
        <v>9261</v>
      </c>
      <c r="B196" s="10">
        <f t="shared" si="1"/>
        <v>100</v>
      </c>
      <c r="C196" s="6">
        <f t="shared" si="2"/>
        <v>90.2</v>
      </c>
      <c r="D196" s="6">
        <f t="shared" si="3"/>
        <v>15.377317</v>
      </c>
    </row>
    <row r="197">
      <c r="A197" s="4" t="s">
        <v>9262</v>
      </c>
      <c r="B197" s="10">
        <f t="shared" si="1"/>
        <v>100</v>
      </c>
      <c r="C197" s="6">
        <f t="shared" si="2"/>
        <v>92.5</v>
      </c>
      <c r="D197" s="6">
        <f t="shared" si="3"/>
        <v>15.763021</v>
      </c>
    </row>
    <row r="198">
      <c r="A198" s="4" t="s">
        <v>9263</v>
      </c>
      <c r="B198" s="10">
        <f t="shared" si="1"/>
        <v>0</v>
      </c>
      <c r="C198" s="6">
        <f t="shared" si="2"/>
        <v>90.9</v>
      </c>
      <c r="D198" s="6">
        <f t="shared" si="3"/>
        <v>15.498158</v>
      </c>
    </row>
    <row r="199">
      <c r="A199" s="4" t="s">
        <v>9264</v>
      </c>
      <c r="B199" s="10">
        <f t="shared" si="1"/>
        <v>100</v>
      </c>
      <c r="C199" s="6">
        <f t="shared" si="2"/>
        <v>91</v>
      </c>
      <c r="D199" s="6">
        <f t="shared" si="3"/>
        <v>15.512678</v>
      </c>
    </row>
    <row r="200">
      <c r="A200" s="4" t="s">
        <v>9265</v>
      </c>
      <c r="B200" s="10">
        <f t="shared" si="1"/>
        <v>0</v>
      </c>
      <c r="C200" s="6">
        <f t="shared" si="2"/>
        <v>91</v>
      </c>
      <c r="D200" s="6">
        <f t="shared" si="3"/>
        <v>15.500673</v>
      </c>
    </row>
    <row r="201">
      <c r="A201" s="4" t="s">
        <v>9266</v>
      </c>
      <c r="B201" s="10">
        <f t="shared" si="1"/>
        <v>100</v>
      </c>
      <c r="C201" s="6">
        <f t="shared" si="2"/>
        <v>91.4</v>
      </c>
      <c r="D201" s="6">
        <f t="shared" si="3"/>
        <v>15.573999</v>
      </c>
    </row>
    <row r="202">
      <c r="A202" s="4" t="s">
        <v>9267</v>
      </c>
      <c r="B202" s="10">
        <f t="shared" si="1"/>
        <v>0</v>
      </c>
      <c r="C202" s="6">
        <f t="shared" si="2"/>
        <v>90.3</v>
      </c>
      <c r="D202" s="6">
        <f t="shared" si="3"/>
        <v>15.395209</v>
      </c>
    </row>
    <row r="203">
      <c r="A203" s="4" t="s">
        <v>9268</v>
      </c>
      <c r="B203" s="10">
        <f t="shared" si="1"/>
        <v>0</v>
      </c>
      <c r="C203" s="6">
        <f t="shared" si="2"/>
        <v>90.5</v>
      </c>
      <c r="D203" s="6">
        <f t="shared" si="3"/>
        <v>15.42368</v>
      </c>
    </row>
    <row r="204">
      <c r="A204" s="4" t="s">
        <v>9269</v>
      </c>
      <c r="B204" s="10">
        <f t="shared" si="1"/>
        <v>0</v>
      </c>
      <c r="C204" s="6">
        <f t="shared" si="2"/>
        <v>90.4</v>
      </c>
      <c r="D204" s="6">
        <f t="shared" si="3"/>
        <v>15.409242</v>
      </c>
    </row>
    <row r="205">
      <c r="A205" s="4" t="s">
        <v>9270</v>
      </c>
      <c r="B205" s="10">
        <f t="shared" si="1"/>
        <v>0</v>
      </c>
      <c r="C205" s="6">
        <f t="shared" si="2"/>
        <v>90.5</v>
      </c>
      <c r="D205" s="6">
        <f t="shared" si="3"/>
        <v>15.429537</v>
      </c>
    </row>
    <row r="206">
      <c r="A206" s="4" t="s">
        <v>9271</v>
      </c>
      <c r="B206" s="10">
        <f t="shared" si="1"/>
        <v>100</v>
      </c>
      <c r="C206" s="6">
        <f t="shared" si="2"/>
        <v>90.5</v>
      </c>
      <c r="D206" s="6">
        <f t="shared" si="3"/>
        <v>15.416676</v>
      </c>
    </row>
    <row r="207">
      <c r="A207" s="4" t="s">
        <v>9272</v>
      </c>
      <c r="B207" s="10">
        <f t="shared" si="1"/>
        <v>0</v>
      </c>
      <c r="C207" s="6">
        <f t="shared" si="2"/>
        <v>90.4</v>
      </c>
      <c r="D207" s="6">
        <f t="shared" si="3"/>
        <v>15.413051</v>
      </c>
    </row>
    <row r="208">
      <c r="A208" s="4" t="s">
        <v>9273</v>
      </c>
      <c r="B208" s="10">
        <f t="shared" si="1"/>
        <v>100</v>
      </c>
      <c r="C208" s="6">
        <f t="shared" si="2"/>
        <v>90.5</v>
      </c>
      <c r="D208" s="6">
        <f t="shared" si="3"/>
        <v>15.428538</v>
      </c>
    </row>
    <row r="209">
      <c r="A209" s="4" t="s">
        <v>9274</v>
      </c>
      <c r="B209" s="10">
        <f t="shared" si="1"/>
        <v>0</v>
      </c>
      <c r="C209" s="6">
        <f t="shared" si="2"/>
        <v>90.6</v>
      </c>
      <c r="D209" s="6">
        <f t="shared" si="3"/>
        <v>15.43684</v>
      </c>
    </row>
    <row r="210">
      <c r="A210" s="4" t="s">
        <v>9275</v>
      </c>
      <c r="B210" s="10">
        <f t="shared" si="1"/>
        <v>100</v>
      </c>
      <c r="C210" s="6">
        <f t="shared" si="2"/>
        <v>90.5</v>
      </c>
      <c r="D210" s="6">
        <f t="shared" si="3"/>
        <v>15.422775</v>
      </c>
    </row>
    <row r="211">
      <c r="A211" s="4" t="s">
        <v>9276</v>
      </c>
      <c r="B211" s="10">
        <f t="shared" si="1"/>
        <v>100</v>
      </c>
      <c r="C211" s="6">
        <f t="shared" si="2"/>
        <v>90.8</v>
      </c>
      <c r="D211" s="6">
        <f t="shared" si="3"/>
        <v>15.471587</v>
      </c>
    </row>
    <row r="212">
      <c r="A212" s="4" t="s">
        <v>9277</v>
      </c>
      <c r="B212" s="10">
        <f t="shared" si="1"/>
        <v>100</v>
      </c>
      <c r="C212" s="6">
        <f t="shared" si="2"/>
        <v>90.7</v>
      </c>
      <c r="D212" s="6">
        <f t="shared" si="3"/>
        <v>15.449817</v>
      </c>
    </row>
    <row r="213">
      <c r="A213" s="4" t="s">
        <v>9278</v>
      </c>
      <c r="B213" s="10">
        <f t="shared" si="1"/>
        <v>100</v>
      </c>
      <c r="C213" s="6">
        <f t="shared" si="2"/>
        <v>90.7</v>
      </c>
      <c r="D213" s="6">
        <f t="shared" si="3"/>
        <v>15.458312</v>
      </c>
    </row>
    <row r="214">
      <c r="A214" s="4" t="s">
        <v>9279</v>
      </c>
      <c r="B214" s="10">
        <f t="shared" si="1"/>
        <v>100</v>
      </c>
      <c r="C214" s="6">
        <f t="shared" si="2"/>
        <v>90.6</v>
      </c>
      <c r="D214" s="6">
        <f t="shared" si="3"/>
        <v>15.434997</v>
      </c>
    </row>
    <row r="215">
      <c r="A215" s="4" t="s">
        <v>9280</v>
      </c>
      <c r="B215" s="10">
        <f t="shared" si="1"/>
        <v>100</v>
      </c>
      <c r="C215" s="6">
        <f t="shared" si="2"/>
        <v>90.6</v>
      </c>
      <c r="D215" s="6">
        <f t="shared" si="3"/>
        <v>15.431696</v>
      </c>
    </row>
    <row r="216">
      <c r="A216" s="4" t="s">
        <v>9281</v>
      </c>
      <c r="B216" s="10">
        <f t="shared" si="1"/>
        <v>100</v>
      </c>
      <c r="C216" s="6">
        <f t="shared" si="2"/>
        <v>90.6</v>
      </c>
      <c r="D216" s="6">
        <f t="shared" si="3"/>
        <v>15.443435</v>
      </c>
    </row>
    <row r="217">
      <c r="A217" s="4" t="s">
        <v>9282</v>
      </c>
      <c r="B217" s="10">
        <f t="shared" si="1"/>
        <v>100</v>
      </c>
      <c r="C217" s="6">
        <f t="shared" si="2"/>
        <v>90.4</v>
      </c>
      <c r="D217" s="6">
        <f t="shared" si="3"/>
        <v>15.410364</v>
      </c>
    </row>
    <row r="218">
      <c r="A218" s="4" t="s">
        <v>9283</v>
      </c>
      <c r="B218" s="10">
        <f t="shared" si="1"/>
        <v>100</v>
      </c>
      <c r="C218" s="6">
        <f t="shared" si="2"/>
        <v>92.4</v>
      </c>
      <c r="D218" s="6">
        <f t="shared" si="3"/>
        <v>15.745105</v>
      </c>
    </row>
    <row r="219">
      <c r="A219" s="4" t="s">
        <v>9284</v>
      </c>
      <c r="B219" s="10">
        <f t="shared" si="1"/>
        <v>100</v>
      </c>
      <c r="C219" s="6">
        <f t="shared" si="2"/>
        <v>90.6</v>
      </c>
      <c r="D219" s="6">
        <f t="shared" si="3"/>
        <v>15.431073</v>
      </c>
    </row>
    <row r="220">
      <c r="A220" s="4" t="s">
        <v>9285</v>
      </c>
      <c r="B220" s="10">
        <f t="shared" si="1"/>
        <v>0</v>
      </c>
      <c r="C220" s="6">
        <f t="shared" si="2"/>
        <v>90.9</v>
      </c>
      <c r="D220" s="6">
        <f t="shared" si="3"/>
        <v>15.497887</v>
      </c>
    </row>
    <row r="221">
      <c r="A221" s="4" t="s">
        <v>9286</v>
      </c>
      <c r="B221" s="10">
        <f t="shared" si="1"/>
        <v>0</v>
      </c>
      <c r="C221" s="6">
        <f t="shared" si="2"/>
        <v>93.2</v>
      </c>
      <c r="D221" s="6">
        <f t="shared" si="3"/>
        <v>15.890644</v>
      </c>
    </row>
    <row r="222">
      <c r="A222" s="4" t="s">
        <v>9287</v>
      </c>
      <c r="B222" s="10">
        <f t="shared" si="1"/>
        <v>0</v>
      </c>
      <c r="C222" s="6">
        <f t="shared" si="2"/>
        <v>91.2</v>
      </c>
      <c r="D222" s="6">
        <f t="shared" si="3"/>
        <v>15.541604</v>
      </c>
    </row>
    <row r="223">
      <c r="A223" s="4" t="s">
        <v>9288</v>
      </c>
      <c r="B223" s="10">
        <f t="shared" si="1"/>
        <v>100</v>
      </c>
      <c r="C223" s="6">
        <f t="shared" si="2"/>
        <v>91.6</v>
      </c>
      <c r="D223" s="6">
        <f t="shared" si="3"/>
        <v>15.606603</v>
      </c>
    </row>
    <row r="224">
      <c r="A224" s="4" t="s">
        <v>9289</v>
      </c>
      <c r="B224" s="10">
        <f t="shared" si="1"/>
        <v>0</v>
      </c>
      <c r="C224" s="6">
        <f t="shared" si="2"/>
        <v>93.8</v>
      </c>
      <c r="D224" s="6">
        <f t="shared" si="3"/>
        <v>15.981916</v>
      </c>
    </row>
    <row r="225">
      <c r="A225" s="4" t="s">
        <v>9290</v>
      </c>
      <c r="B225" s="10">
        <f t="shared" si="1"/>
        <v>100</v>
      </c>
      <c r="C225" s="6">
        <f t="shared" si="2"/>
        <v>91.2</v>
      </c>
      <c r="D225" s="6">
        <f t="shared" si="3"/>
        <v>15.534989</v>
      </c>
    </row>
    <row r="226">
      <c r="A226" s="4" t="s">
        <v>9291</v>
      </c>
      <c r="B226" s="10">
        <f t="shared" si="1"/>
        <v>100</v>
      </c>
      <c r="C226" s="6">
        <f t="shared" si="2"/>
        <v>90.9</v>
      </c>
      <c r="D226" s="6">
        <f t="shared" si="3"/>
        <v>15.491297</v>
      </c>
    </row>
    <row r="227">
      <c r="A227" s="4" t="s">
        <v>9292</v>
      </c>
      <c r="B227" s="10">
        <f t="shared" si="1"/>
        <v>100</v>
      </c>
      <c r="C227" s="6">
        <f t="shared" si="2"/>
        <v>91.1</v>
      </c>
      <c r="D227" s="6">
        <f t="shared" si="3"/>
        <v>15.528435</v>
      </c>
    </row>
    <row r="228">
      <c r="A228" s="4" t="s">
        <v>9293</v>
      </c>
      <c r="B228" s="10">
        <f t="shared" si="1"/>
        <v>0</v>
      </c>
      <c r="C228" s="6">
        <f t="shared" si="2"/>
        <v>91.2</v>
      </c>
      <c r="D228" s="6">
        <f t="shared" si="3"/>
        <v>15.549333</v>
      </c>
    </row>
    <row r="229">
      <c r="A229" s="4" t="s">
        <v>9294</v>
      </c>
      <c r="B229" s="10">
        <f t="shared" si="1"/>
        <v>0</v>
      </c>
      <c r="C229" s="6">
        <f t="shared" si="2"/>
        <v>91.1</v>
      </c>
      <c r="D229" s="6">
        <f t="shared" si="3"/>
        <v>15.51702</v>
      </c>
    </row>
    <row r="230">
      <c r="A230" s="4" t="s">
        <v>9295</v>
      </c>
      <c r="B230" s="10">
        <f t="shared" si="1"/>
        <v>100</v>
      </c>
      <c r="C230" s="6">
        <f t="shared" si="2"/>
        <v>92.3</v>
      </c>
      <c r="D230" s="6">
        <f t="shared" si="3"/>
        <v>15.727562</v>
      </c>
    </row>
    <row r="231">
      <c r="A231" s="4" t="s">
        <v>9296</v>
      </c>
      <c r="B231" s="10">
        <f t="shared" si="1"/>
        <v>100</v>
      </c>
      <c r="C231" s="6">
        <f t="shared" si="2"/>
        <v>90.4</v>
      </c>
      <c r="D231" s="6">
        <f t="shared" si="3"/>
        <v>15.396995</v>
      </c>
    </row>
    <row r="232">
      <c r="A232" s="4" t="s">
        <v>9297</v>
      </c>
      <c r="B232" s="10">
        <f t="shared" si="1"/>
        <v>0</v>
      </c>
      <c r="C232" s="6">
        <f t="shared" si="2"/>
        <v>90.1</v>
      </c>
      <c r="D232" s="6">
        <f t="shared" si="3"/>
        <v>15.357337</v>
      </c>
    </row>
    <row r="233">
      <c r="A233" s="4" t="s">
        <v>9298</v>
      </c>
      <c r="B233" s="10">
        <f t="shared" si="1"/>
        <v>0</v>
      </c>
      <c r="C233" s="6">
        <f t="shared" si="2"/>
        <v>90.2</v>
      </c>
      <c r="D233" s="6">
        <f t="shared" si="3"/>
        <v>15.364366</v>
      </c>
    </row>
    <row r="234">
      <c r="A234" s="4" t="s">
        <v>9299</v>
      </c>
      <c r="B234" s="10">
        <f t="shared" si="1"/>
        <v>100</v>
      </c>
      <c r="C234" s="6">
        <f t="shared" si="2"/>
        <v>90.2</v>
      </c>
      <c r="D234" s="6">
        <f t="shared" si="3"/>
        <v>15.370764</v>
      </c>
    </row>
    <row r="235">
      <c r="A235" s="4" t="s">
        <v>9300</v>
      </c>
      <c r="B235" s="10">
        <f t="shared" si="1"/>
        <v>0</v>
      </c>
      <c r="C235" s="6">
        <f t="shared" si="2"/>
        <v>90.1</v>
      </c>
      <c r="D235" s="6">
        <f t="shared" si="3"/>
        <v>15.361761</v>
      </c>
    </row>
    <row r="236">
      <c r="A236" s="4" t="s">
        <v>9301</v>
      </c>
      <c r="B236" s="10">
        <f t="shared" si="1"/>
        <v>0</v>
      </c>
      <c r="C236" s="6">
        <f t="shared" si="2"/>
        <v>90.4</v>
      </c>
      <c r="D236" s="6">
        <f t="shared" si="3"/>
        <v>15.404273</v>
      </c>
    </row>
    <row r="237">
      <c r="A237" s="4" t="s">
        <v>9302</v>
      </c>
      <c r="B237" s="10">
        <f t="shared" si="1"/>
        <v>0</v>
      </c>
      <c r="C237" s="6">
        <f t="shared" si="2"/>
        <v>90.1</v>
      </c>
      <c r="D237" s="6">
        <f t="shared" si="3"/>
        <v>15.358742</v>
      </c>
    </row>
    <row r="238">
      <c r="A238" s="4" t="s">
        <v>9303</v>
      </c>
      <c r="B238" s="10">
        <f t="shared" si="1"/>
        <v>100</v>
      </c>
      <c r="C238" s="6">
        <f t="shared" si="2"/>
        <v>90.1</v>
      </c>
      <c r="D238" s="6">
        <f t="shared" si="3"/>
        <v>15.356633</v>
      </c>
    </row>
    <row r="239">
      <c r="A239" s="4" t="s">
        <v>9304</v>
      </c>
      <c r="B239" s="10">
        <f t="shared" si="1"/>
        <v>100</v>
      </c>
      <c r="C239" s="6">
        <f t="shared" si="2"/>
        <v>90.5</v>
      </c>
      <c r="D239" s="6">
        <f t="shared" si="3"/>
        <v>15.415148</v>
      </c>
    </row>
    <row r="240">
      <c r="A240" s="4" t="s">
        <v>9305</v>
      </c>
      <c r="B240" s="10">
        <f t="shared" si="1"/>
        <v>0</v>
      </c>
      <c r="C240" s="6">
        <f t="shared" si="2"/>
        <v>92.9</v>
      </c>
      <c r="D240" s="6">
        <f t="shared" si="3"/>
        <v>15.825207</v>
      </c>
    </row>
    <row r="241">
      <c r="A241" s="4" t="s">
        <v>9306</v>
      </c>
      <c r="B241" s="10">
        <f t="shared" si="1"/>
        <v>100</v>
      </c>
      <c r="C241" s="6">
        <f t="shared" si="2"/>
        <v>90.2</v>
      </c>
      <c r="D241" s="6">
        <f t="shared" si="3"/>
        <v>15.373848</v>
      </c>
    </row>
    <row r="242">
      <c r="A242" s="4" t="s">
        <v>9307</v>
      </c>
      <c r="B242" s="10">
        <f t="shared" si="1"/>
        <v>100</v>
      </c>
      <c r="C242" s="6">
        <f t="shared" si="2"/>
        <v>90.3</v>
      </c>
      <c r="D242" s="6">
        <f t="shared" si="3"/>
        <v>15.395045</v>
      </c>
    </row>
    <row r="243">
      <c r="A243" s="4" t="s">
        <v>9308</v>
      </c>
      <c r="B243" s="10">
        <f t="shared" si="1"/>
        <v>100</v>
      </c>
      <c r="C243" s="6">
        <f t="shared" si="2"/>
        <v>90.2</v>
      </c>
      <c r="D243" s="6">
        <f t="shared" si="3"/>
        <v>15.376003</v>
      </c>
    </row>
    <row r="244">
      <c r="A244" s="4" t="s">
        <v>9309</v>
      </c>
      <c r="B244" s="10">
        <f t="shared" si="1"/>
        <v>0</v>
      </c>
      <c r="C244" s="6">
        <f t="shared" si="2"/>
        <v>90.2</v>
      </c>
      <c r="D244" s="6">
        <f t="shared" si="3"/>
        <v>15.37869</v>
      </c>
    </row>
    <row r="245">
      <c r="A245" s="4" t="s">
        <v>9310</v>
      </c>
      <c r="B245" s="10">
        <f t="shared" si="1"/>
        <v>100</v>
      </c>
      <c r="C245" s="6">
        <f t="shared" si="2"/>
        <v>90.2</v>
      </c>
      <c r="D245" s="6">
        <f t="shared" si="3"/>
        <v>15.37196</v>
      </c>
    </row>
    <row r="246">
      <c r="A246" s="4" t="s">
        <v>9311</v>
      </c>
      <c r="B246" s="10">
        <f t="shared" si="1"/>
        <v>100</v>
      </c>
      <c r="C246" s="6">
        <f t="shared" si="2"/>
        <v>90.2</v>
      </c>
      <c r="D246" s="6">
        <f t="shared" si="3"/>
        <v>15.36951</v>
      </c>
    </row>
    <row r="247">
      <c r="A247" s="4" t="s">
        <v>9312</v>
      </c>
      <c r="B247" s="10">
        <f t="shared" si="1"/>
        <v>100</v>
      </c>
      <c r="C247" s="6">
        <f t="shared" si="2"/>
        <v>90.2</v>
      </c>
      <c r="D247" s="6">
        <f t="shared" si="3"/>
        <v>15.365656</v>
      </c>
    </row>
    <row r="248">
      <c r="A248" s="4" t="s">
        <v>9313</v>
      </c>
      <c r="B248" s="10">
        <f t="shared" si="1"/>
        <v>0</v>
      </c>
      <c r="C248" s="6">
        <f t="shared" si="2"/>
        <v>90.7</v>
      </c>
      <c r="D248" s="6">
        <f t="shared" si="3"/>
        <v>15.451</v>
      </c>
    </row>
    <row r="249">
      <c r="A249" s="4" t="s">
        <v>9314</v>
      </c>
      <c r="B249" s="10">
        <f t="shared" si="1"/>
        <v>100</v>
      </c>
      <c r="C249" s="6">
        <f t="shared" si="2"/>
        <v>90.2</v>
      </c>
      <c r="D249" s="6">
        <f t="shared" si="3"/>
        <v>15.369551</v>
      </c>
    </row>
    <row r="250">
      <c r="A250" s="4" t="s">
        <v>9315</v>
      </c>
      <c r="B250" s="10">
        <f t="shared" si="1"/>
        <v>100</v>
      </c>
      <c r="C250" s="6">
        <f t="shared" si="2"/>
        <v>90.1</v>
      </c>
      <c r="D250" s="6">
        <f t="shared" si="3"/>
        <v>15.354859</v>
      </c>
    </row>
    <row r="251">
      <c r="A251" s="4" t="s">
        <v>9316</v>
      </c>
      <c r="B251" s="10">
        <f t="shared" si="1"/>
        <v>100</v>
      </c>
      <c r="C251" s="6">
        <f t="shared" si="2"/>
        <v>90.2</v>
      </c>
      <c r="D251" s="6">
        <f t="shared" si="3"/>
        <v>15.375089</v>
      </c>
    </row>
    <row r="252">
      <c r="A252" s="4" t="s">
        <v>9317</v>
      </c>
      <c r="B252" s="10">
        <f t="shared" si="1"/>
        <v>100</v>
      </c>
      <c r="C252" s="6">
        <f t="shared" si="2"/>
        <v>90.3</v>
      </c>
      <c r="D252" s="6">
        <f t="shared" si="3"/>
        <v>15.382106</v>
      </c>
    </row>
    <row r="253">
      <c r="A253" s="4" t="s">
        <v>9318</v>
      </c>
      <c r="B253" s="10">
        <f t="shared" si="1"/>
        <v>100</v>
      </c>
      <c r="C253" s="6">
        <f t="shared" si="2"/>
        <v>90.1</v>
      </c>
      <c r="D253" s="6">
        <f t="shared" si="3"/>
        <v>15.362424</v>
      </c>
    </row>
    <row r="254">
      <c r="A254" s="4" t="s">
        <v>9319</v>
      </c>
      <c r="B254" s="10">
        <f t="shared" si="1"/>
        <v>100</v>
      </c>
      <c r="C254" s="6">
        <f t="shared" si="2"/>
        <v>90.3</v>
      </c>
      <c r="D254" s="6">
        <f t="shared" si="3"/>
        <v>15.392124</v>
      </c>
    </row>
    <row r="255">
      <c r="A255" s="4" t="s">
        <v>9320</v>
      </c>
      <c r="B255" s="10">
        <f t="shared" si="1"/>
        <v>100</v>
      </c>
      <c r="C255" s="6">
        <f t="shared" si="2"/>
        <v>90.3</v>
      </c>
      <c r="D255" s="6">
        <f t="shared" si="3"/>
        <v>15.384973</v>
      </c>
    </row>
    <row r="256">
      <c r="A256" s="4" t="s">
        <v>9321</v>
      </c>
      <c r="B256" s="10">
        <f t="shared" si="1"/>
        <v>0</v>
      </c>
      <c r="C256" s="6">
        <f t="shared" si="2"/>
        <v>91.2</v>
      </c>
      <c r="D256" s="6">
        <f t="shared" si="3"/>
        <v>15.533948</v>
      </c>
    </row>
    <row r="257">
      <c r="A257" s="4" t="s">
        <v>9322</v>
      </c>
      <c r="B257" s="10">
        <f t="shared" si="1"/>
        <v>0</v>
      </c>
      <c r="C257" s="6">
        <f t="shared" si="2"/>
        <v>90.3</v>
      </c>
      <c r="D257" s="6">
        <f t="shared" si="3"/>
        <v>15.393918</v>
      </c>
    </row>
    <row r="258">
      <c r="A258" s="4" t="s">
        <v>9323</v>
      </c>
      <c r="B258" s="10">
        <f t="shared" si="1"/>
        <v>100</v>
      </c>
      <c r="C258" s="6">
        <f t="shared" si="2"/>
        <v>90.8</v>
      </c>
      <c r="D258" s="6">
        <f t="shared" si="3"/>
        <v>15.466299</v>
      </c>
    </row>
    <row r="259">
      <c r="A259" s="4" t="s">
        <v>9324</v>
      </c>
      <c r="B259" s="10">
        <f t="shared" si="1"/>
        <v>0</v>
      </c>
      <c r="C259" s="6">
        <f t="shared" si="2"/>
        <v>90.7</v>
      </c>
      <c r="D259" s="6">
        <f t="shared" si="3"/>
        <v>15.459835</v>
      </c>
    </row>
    <row r="260">
      <c r="A260" s="4" t="s">
        <v>9325</v>
      </c>
      <c r="B260" s="10">
        <f t="shared" si="1"/>
        <v>0</v>
      </c>
      <c r="C260" s="6">
        <f t="shared" si="2"/>
        <v>90.6</v>
      </c>
      <c r="D260" s="6">
        <f t="shared" si="3"/>
        <v>15.434682</v>
      </c>
    </row>
    <row r="261">
      <c r="A261" s="4" t="s">
        <v>9326</v>
      </c>
      <c r="B261" s="10">
        <f t="shared" si="1"/>
        <v>100</v>
      </c>
      <c r="C261" s="6">
        <f t="shared" si="2"/>
        <v>90.7</v>
      </c>
      <c r="D261" s="6">
        <f t="shared" si="3"/>
        <v>15.460712</v>
      </c>
    </row>
    <row r="262">
      <c r="A262" s="4" t="s">
        <v>9327</v>
      </c>
      <c r="B262" s="10">
        <f t="shared" si="1"/>
        <v>100</v>
      </c>
      <c r="C262" s="6">
        <f t="shared" si="2"/>
        <v>90.8</v>
      </c>
      <c r="D262" s="6">
        <f t="shared" si="3"/>
        <v>15.475675</v>
      </c>
    </row>
    <row r="263">
      <c r="A263" s="4" t="s">
        <v>9328</v>
      </c>
      <c r="B263" s="10">
        <f t="shared" si="1"/>
        <v>100</v>
      </c>
      <c r="C263" s="6">
        <f t="shared" si="2"/>
        <v>90.7</v>
      </c>
      <c r="D263" s="6">
        <f t="shared" si="3"/>
        <v>15.46337</v>
      </c>
    </row>
    <row r="264">
      <c r="A264" s="4" t="s">
        <v>9329</v>
      </c>
      <c r="B264" s="10">
        <f t="shared" si="1"/>
        <v>100</v>
      </c>
      <c r="C264" s="6">
        <f t="shared" si="2"/>
        <v>90.8</v>
      </c>
      <c r="D264" s="6">
        <f t="shared" si="3"/>
        <v>15.469744</v>
      </c>
    </row>
    <row r="265">
      <c r="A265" s="4" t="s">
        <v>9330</v>
      </c>
      <c r="B265" s="10">
        <f t="shared" si="1"/>
        <v>0</v>
      </c>
      <c r="C265" s="6">
        <f t="shared" si="2"/>
        <v>90.8</v>
      </c>
      <c r="D265" s="6">
        <f t="shared" si="3"/>
        <v>15.473295</v>
      </c>
    </row>
    <row r="266">
      <c r="A266" s="4" t="s">
        <v>9331</v>
      </c>
      <c r="B266" s="10">
        <f t="shared" si="1"/>
        <v>0</v>
      </c>
      <c r="C266" s="6">
        <f t="shared" si="2"/>
        <v>90.8</v>
      </c>
      <c r="D266" s="6">
        <f t="shared" si="3"/>
        <v>15.473549</v>
      </c>
    </row>
    <row r="267">
      <c r="A267" s="4" t="s">
        <v>9332</v>
      </c>
      <c r="B267" s="10">
        <f t="shared" si="1"/>
        <v>100</v>
      </c>
      <c r="C267" s="6">
        <f t="shared" si="2"/>
        <v>90.9</v>
      </c>
      <c r="D267" s="6">
        <f t="shared" si="3"/>
        <v>15.484743</v>
      </c>
    </row>
    <row r="268">
      <c r="A268" s="4" t="s">
        <v>9333</v>
      </c>
      <c r="B268" s="10">
        <f t="shared" si="1"/>
        <v>100</v>
      </c>
      <c r="C268" s="6">
        <f t="shared" si="2"/>
        <v>90.7</v>
      </c>
      <c r="D268" s="6">
        <f t="shared" si="3"/>
        <v>15.453384</v>
      </c>
    </row>
    <row r="269">
      <c r="A269" s="4" t="s">
        <v>9334</v>
      </c>
      <c r="B269" s="10">
        <f t="shared" si="1"/>
        <v>0</v>
      </c>
      <c r="C269" s="6">
        <f t="shared" si="2"/>
        <v>90.3</v>
      </c>
      <c r="D269" s="6">
        <f t="shared" si="3"/>
        <v>15.394123</v>
      </c>
    </row>
    <row r="270">
      <c r="A270" s="4" t="s">
        <v>9335</v>
      </c>
      <c r="B270" s="10">
        <f t="shared" si="1"/>
        <v>0</v>
      </c>
      <c r="C270" s="6">
        <f t="shared" si="2"/>
        <v>91.8</v>
      </c>
      <c r="D270" s="6">
        <f t="shared" si="3"/>
        <v>15.636303</v>
      </c>
    </row>
    <row r="271">
      <c r="A271" s="4" t="s">
        <v>9336</v>
      </c>
      <c r="B271" s="10">
        <f t="shared" si="1"/>
        <v>100</v>
      </c>
      <c r="C271" s="6">
        <f t="shared" si="2"/>
        <v>91.3</v>
      </c>
      <c r="D271" s="6">
        <f t="shared" si="3"/>
        <v>15.553548</v>
      </c>
    </row>
    <row r="272">
      <c r="A272" s="4" t="s">
        <v>9337</v>
      </c>
      <c r="B272" s="10">
        <f t="shared" si="1"/>
        <v>0</v>
      </c>
      <c r="C272" s="6">
        <f t="shared" si="2"/>
        <v>90.1</v>
      </c>
      <c r="D272" s="6">
        <f t="shared" si="3"/>
        <v>15.356379</v>
      </c>
    </row>
    <row r="273">
      <c r="A273" s="4" t="s">
        <v>9338</v>
      </c>
      <c r="B273" s="10">
        <f t="shared" si="1"/>
        <v>100</v>
      </c>
      <c r="C273" s="6">
        <f t="shared" si="2"/>
        <v>91.9</v>
      </c>
      <c r="D273" s="6">
        <f t="shared" si="3"/>
        <v>15.654666</v>
      </c>
    </row>
    <row r="274">
      <c r="A274" s="4" t="s">
        <v>9339</v>
      </c>
      <c r="B274" s="10">
        <f t="shared" si="1"/>
        <v>0</v>
      </c>
      <c r="C274" s="6">
        <f t="shared" si="2"/>
        <v>81.6</v>
      </c>
      <c r="D274" s="6">
        <f t="shared" si="3"/>
        <v>13.898047</v>
      </c>
    </row>
    <row r="275">
      <c r="A275" s="4" t="s">
        <v>9340</v>
      </c>
      <c r="B275" s="10">
        <f t="shared" si="1"/>
        <v>100</v>
      </c>
      <c r="C275" s="6">
        <f t="shared" si="2"/>
        <v>75.2</v>
      </c>
      <c r="D275" s="6">
        <f t="shared" si="3"/>
        <v>12.807168</v>
      </c>
    </row>
    <row r="276">
      <c r="A276" s="4" t="s">
        <v>9341</v>
      </c>
      <c r="B276" s="10">
        <f t="shared" si="1"/>
        <v>100</v>
      </c>
      <c r="C276" s="6">
        <f t="shared" si="2"/>
        <v>64.8</v>
      </c>
      <c r="D276" s="6">
        <f t="shared" si="3"/>
        <v>11.046981</v>
      </c>
    </row>
    <row r="277">
      <c r="A277" s="4" t="s">
        <v>9342</v>
      </c>
      <c r="B277" s="10">
        <f t="shared" si="1"/>
        <v>100</v>
      </c>
      <c r="C277" s="6">
        <f t="shared" si="2"/>
        <v>65.1</v>
      </c>
      <c r="D277" s="6">
        <f t="shared" si="3"/>
        <v>11.100635</v>
      </c>
    </row>
    <row r="278">
      <c r="A278" s="4" t="s">
        <v>9343</v>
      </c>
      <c r="B278" s="10">
        <f t="shared" si="1"/>
        <v>100</v>
      </c>
      <c r="C278" s="6">
        <f t="shared" si="2"/>
        <v>64.8</v>
      </c>
      <c r="D278" s="6">
        <f t="shared" si="3"/>
        <v>11.040526</v>
      </c>
    </row>
    <row r="279">
      <c r="A279" s="4" t="s">
        <v>9344</v>
      </c>
      <c r="B279" s="10">
        <f t="shared" si="1"/>
        <v>100</v>
      </c>
      <c r="C279" s="6">
        <f t="shared" si="2"/>
        <v>65</v>
      </c>
      <c r="D279" s="6">
        <f t="shared" si="3"/>
        <v>11.080413</v>
      </c>
    </row>
    <row r="280">
      <c r="A280" s="4" t="s">
        <v>9345</v>
      </c>
      <c r="B280" s="10">
        <f t="shared" si="1"/>
        <v>0</v>
      </c>
      <c r="C280" s="6">
        <f t="shared" si="2"/>
        <v>65.1</v>
      </c>
      <c r="D280" s="6">
        <f t="shared" si="3"/>
        <v>11.087872</v>
      </c>
    </row>
    <row r="281">
      <c r="A281" s="4" t="s">
        <v>9346</v>
      </c>
      <c r="B281" s="10">
        <f t="shared" si="1"/>
        <v>100</v>
      </c>
      <c r="C281" s="6">
        <f t="shared" si="2"/>
        <v>65</v>
      </c>
      <c r="D281" s="6">
        <f t="shared" si="3"/>
        <v>11.077648</v>
      </c>
    </row>
    <row r="282">
      <c r="A282" s="4" t="s">
        <v>9347</v>
      </c>
      <c r="B282" s="10">
        <f t="shared" si="1"/>
        <v>100</v>
      </c>
      <c r="C282" s="6">
        <f t="shared" si="2"/>
        <v>65</v>
      </c>
      <c r="D282" s="6">
        <f t="shared" si="3"/>
        <v>11.073908</v>
      </c>
    </row>
    <row r="283">
      <c r="A283" s="4" t="s">
        <v>9348</v>
      </c>
      <c r="B283" s="10">
        <f t="shared" si="1"/>
        <v>0</v>
      </c>
      <c r="C283" s="6">
        <f t="shared" si="2"/>
        <v>64.9</v>
      </c>
      <c r="D283" s="6">
        <f t="shared" si="3"/>
        <v>11.058892</v>
      </c>
    </row>
    <row r="284">
      <c r="A284" s="4" t="s">
        <v>9349</v>
      </c>
      <c r="B284" s="10">
        <f t="shared" si="1"/>
        <v>100</v>
      </c>
      <c r="C284" s="6">
        <f t="shared" si="2"/>
        <v>64.5</v>
      </c>
      <c r="D284" s="6">
        <f t="shared" si="3"/>
        <v>10.99307</v>
      </c>
    </row>
    <row r="285">
      <c r="A285" s="4" t="s">
        <v>9350</v>
      </c>
      <c r="B285" s="10">
        <f t="shared" si="1"/>
        <v>100</v>
      </c>
      <c r="C285" s="6">
        <f t="shared" si="2"/>
        <v>65</v>
      </c>
      <c r="D285" s="6">
        <f t="shared" si="3"/>
        <v>11.08339</v>
      </c>
    </row>
    <row r="286">
      <c r="A286" s="4" t="s">
        <v>9351</v>
      </c>
      <c r="B286" s="10">
        <f t="shared" si="1"/>
        <v>100</v>
      </c>
      <c r="C286" s="6">
        <f t="shared" si="2"/>
        <v>65</v>
      </c>
      <c r="D286" s="6">
        <f t="shared" si="3"/>
        <v>11.075321</v>
      </c>
    </row>
    <row r="287">
      <c r="A287" s="4" t="s">
        <v>9352</v>
      </c>
      <c r="B287" s="10">
        <f t="shared" si="1"/>
        <v>100</v>
      </c>
      <c r="C287" s="6">
        <f t="shared" si="2"/>
        <v>65.5</v>
      </c>
      <c r="D287" s="6">
        <f t="shared" si="3"/>
        <v>11.159617</v>
      </c>
    </row>
    <row r="288">
      <c r="A288" s="4" t="s">
        <v>9353</v>
      </c>
      <c r="B288" s="10">
        <f t="shared" si="1"/>
        <v>0</v>
      </c>
      <c r="C288" s="6">
        <f t="shared" si="2"/>
        <v>65.4</v>
      </c>
      <c r="D288" s="6">
        <f t="shared" si="3"/>
        <v>11.150909</v>
      </c>
    </row>
    <row r="289">
      <c r="A289" s="4" t="s">
        <v>9354</v>
      </c>
      <c r="B289" s="10">
        <f t="shared" si="1"/>
        <v>100</v>
      </c>
      <c r="C289" s="6">
        <f t="shared" si="2"/>
        <v>65.4</v>
      </c>
      <c r="D289" s="6">
        <f t="shared" si="3"/>
        <v>11.138789</v>
      </c>
    </row>
    <row r="290">
      <c r="A290" s="4" t="s">
        <v>9355</v>
      </c>
      <c r="B290" s="10">
        <f t="shared" si="1"/>
        <v>100</v>
      </c>
      <c r="C290" s="6">
        <f t="shared" si="2"/>
        <v>65.4</v>
      </c>
      <c r="D290" s="6">
        <f t="shared" si="3"/>
        <v>11.143671</v>
      </c>
    </row>
    <row r="291">
      <c r="A291" s="4" t="s">
        <v>9356</v>
      </c>
      <c r="B291" s="10">
        <f t="shared" si="1"/>
        <v>0</v>
      </c>
      <c r="C291" s="6">
        <f t="shared" si="2"/>
        <v>65.4</v>
      </c>
      <c r="D291" s="6">
        <f t="shared" si="3"/>
        <v>11.152773</v>
      </c>
    </row>
    <row r="292">
      <c r="A292" s="4" t="s">
        <v>9357</v>
      </c>
      <c r="B292" s="10">
        <f t="shared" si="1"/>
        <v>100</v>
      </c>
      <c r="C292" s="6">
        <f t="shared" si="2"/>
        <v>65.3</v>
      </c>
      <c r="D292" s="6">
        <f t="shared" si="3"/>
        <v>11.129286</v>
      </c>
    </row>
    <row r="293">
      <c r="A293" s="4" t="s">
        <v>9358</v>
      </c>
      <c r="B293" s="10">
        <f t="shared" si="1"/>
        <v>100</v>
      </c>
      <c r="C293" s="6">
        <f t="shared" si="2"/>
        <v>67.1</v>
      </c>
      <c r="D293" s="6">
        <f t="shared" si="3"/>
        <v>11.430264</v>
      </c>
    </row>
    <row r="294">
      <c r="A294" s="4" t="s">
        <v>9359</v>
      </c>
      <c r="B294" s="10">
        <f t="shared" si="1"/>
        <v>100</v>
      </c>
      <c r="C294" s="6">
        <f t="shared" si="2"/>
        <v>65.5</v>
      </c>
      <c r="D294" s="6">
        <f t="shared" si="3"/>
        <v>11.169116</v>
      </c>
    </row>
    <row r="295">
      <c r="A295" s="4" t="s">
        <v>9360</v>
      </c>
      <c r="B295" s="10">
        <f t="shared" si="1"/>
        <v>100</v>
      </c>
      <c r="C295" s="6">
        <f t="shared" si="2"/>
        <v>67.6</v>
      </c>
      <c r="D295" s="6">
        <f t="shared" si="3"/>
        <v>11.514208</v>
      </c>
    </row>
    <row r="296">
      <c r="A296" s="4" t="s">
        <v>9361</v>
      </c>
      <c r="B296" s="10">
        <f t="shared" si="1"/>
        <v>0</v>
      </c>
      <c r="C296" s="6">
        <f t="shared" si="2"/>
        <v>65.4</v>
      </c>
      <c r="D296" s="6">
        <f t="shared" si="3"/>
        <v>11.1374</v>
      </c>
    </row>
    <row r="297">
      <c r="A297" s="4" t="s">
        <v>9362</v>
      </c>
      <c r="B297" s="10">
        <f t="shared" si="1"/>
        <v>0</v>
      </c>
      <c r="C297" s="6">
        <f t="shared" si="2"/>
        <v>65.3</v>
      </c>
      <c r="D297" s="6">
        <f t="shared" si="3"/>
        <v>11.122327</v>
      </c>
    </row>
    <row r="298">
      <c r="A298" s="4" t="s">
        <v>9363</v>
      </c>
      <c r="B298" s="10">
        <f t="shared" si="1"/>
        <v>0</v>
      </c>
      <c r="C298" s="6">
        <f t="shared" si="2"/>
        <v>65.2</v>
      </c>
      <c r="D298" s="6">
        <f t="shared" si="3"/>
        <v>11.110207</v>
      </c>
    </row>
  </sheetData>
  <mergeCells count="3">
    <mergeCell ref="G1:H1"/>
    <mergeCell ref="J1:K1"/>
    <mergeCell ref="M1:N1"/>
  </mergeCells>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30</v>
      </c>
    </row>
    <row r="2">
      <c r="A2" s="4" t="s">
        <v>9364</v>
      </c>
    </row>
    <row r="3">
      <c r="A3" s="12"/>
    </row>
    <row r="4">
      <c r="A4" s="4"/>
    </row>
    <row r="5">
      <c r="A5" s="12"/>
    </row>
    <row r="6">
      <c r="A6" s="4"/>
    </row>
    <row r="7">
      <c r="A7" s="12"/>
    </row>
    <row r="8">
      <c r="A8" s="4"/>
    </row>
    <row r="9">
      <c r="A9" s="12"/>
    </row>
    <row r="10">
      <c r="A10" s="4"/>
    </row>
    <row r="11">
      <c r="A11" s="12"/>
    </row>
    <row r="12">
      <c r="A12" s="4"/>
    </row>
    <row r="13">
      <c r="A13" s="12"/>
    </row>
    <row r="14">
      <c r="A14" s="4"/>
    </row>
    <row r="15">
      <c r="A15" s="12"/>
    </row>
    <row r="16">
      <c r="A16" s="4"/>
    </row>
    <row r="17">
      <c r="A17" s="12"/>
    </row>
    <row r="18">
      <c r="A18" s="4"/>
    </row>
    <row r="19">
      <c r="A19" s="12"/>
    </row>
    <row r="20">
      <c r="A20" s="4"/>
    </row>
    <row r="21">
      <c r="A21" s="12"/>
    </row>
    <row r="22">
      <c r="A22" s="4"/>
    </row>
    <row r="23">
      <c r="A23" s="12"/>
    </row>
    <row r="24">
      <c r="A24" s="4"/>
    </row>
    <row r="25">
      <c r="A25" s="12"/>
    </row>
    <row r="26">
      <c r="A26" s="4"/>
    </row>
    <row r="27">
      <c r="A27" s="12"/>
    </row>
    <row r="28">
      <c r="A28" s="4"/>
    </row>
    <row r="29">
      <c r="A29" s="12"/>
    </row>
    <row r="30">
      <c r="A30" s="4"/>
    </row>
    <row r="31">
      <c r="A31" s="12"/>
    </row>
    <row r="32">
      <c r="A32" s="4"/>
    </row>
    <row r="33">
      <c r="A33" s="12"/>
    </row>
    <row r="34">
      <c r="A34" s="4"/>
    </row>
    <row r="35">
      <c r="A35" s="12"/>
    </row>
    <row r="36">
      <c r="A36" s="4"/>
    </row>
    <row r="37">
      <c r="A37" s="12"/>
    </row>
    <row r="38">
      <c r="A38" s="4"/>
    </row>
    <row r="39">
      <c r="A39" s="12"/>
    </row>
    <row r="40">
      <c r="A40" s="4"/>
    </row>
    <row r="41">
      <c r="A41" s="12"/>
    </row>
    <row r="42">
      <c r="A42" s="4"/>
    </row>
    <row r="43">
      <c r="A43" s="12"/>
    </row>
    <row r="44">
      <c r="A44" s="4"/>
    </row>
    <row r="45">
      <c r="A45" s="12"/>
    </row>
    <row r="46">
      <c r="A46" s="4"/>
    </row>
    <row r="47">
      <c r="A47" s="12"/>
    </row>
    <row r="48">
      <c r="A48" s="4"/>
    </row>
    <row r="49">
      <c r="A49" s="12"/>
    </row>
    <row r="50">
      <c r="A50" s="4"/>
    </row>
    <row r="51">
      <c r="A51" s="12"/>
    </row>
    <row r="52">
      <c r="A52" s="4"/>
    </row>
    <row r="53">
      <c r="A53" s="12"/>
    </row>
    <row r="54">
      <c r="A54" s="4"/>
    </row>
    <row r="55">
      <c r="A55" s="12"/>
    </row>
    <row r="56">
      <c r="A56" s="4"/>
    </row>
    <row r="57">
      <c r="A57" s="12"/>
    </row>
    <row r="58">
      <c r="A58" s="4"/>
    </row>
    <row r="59">
      <c r="A59" s="12"/>
    </row>
    <row r="60">
      <c r="A60" s="4"/>
    </row>
    <row r="61">
      <c r="A61" s="12"/>
    </row>
    <row r="62">
      <c r="A62" s="4"/>
    </row>
    <row r="63">
      <c r="A63" s="12"/>
    </row>
    <row r="64">
      <c r="A64" s="4"/>
    </row>
    <row r="65">
      <c r="A65" s="12"/>
    </row>
    <row r="66">
      <c r="A66" s="4"/>
    </row>
    <row r="67">
      <c r="A67" s="12"/>
    </row>
    <row r="68">
      <c r="A68" s="4"/>
    </row>
    <row r="69">
      <c r="A69" s="12"/>
    </row>
    <row r="70">
      <c r="A70" s="4"/>
    </row>
    <row r="71">
      <c r="A71" s="12"/>
    </row>
    <row r="72">
      <c r="A72" s="4"/>
    </row>
    <row r="73">
      <c r="A73" s="12"/>
    </row>
    <row r="74">
      <c r="A74" s="4"/>
    </row>
    <row r="75">
      <c r="A75" s="12"/>
    </row>
    <row r="76">
      <c r="A76" s="4"/>
    </row>
    <row r="77">
      <c r="A77" s="12"/>
    </row>
    <row r="78">
      <c r="A78" s="4"/>
    </row>
    <row r="79">
      <c r="A79" s="12"/>
    </row>
    <row r="80">
      <c r="A80" s="4"/>
    </row>
    <row r="81">
      <c r="A81" s="12"/>
    </row>
    <row r="82">
      <c r="A82" s="4"/>
    </row>
    <row r="83">
      <c r="A83" s="12"/>
    </row>
    <row r="84">
      <c r="A84" s="4"/>
    </row>
    <row r="85">
      <c r="A85" s="12"/>
    </row>
    <row r="86">
      <c r="A86" s="4"/>
    </row>
    <row r="87">
      <c r="A87" s="12"/>
    </row>
    <row r="88">
      <c r="A88" s="4"/>
    </row>
    <row r="89">
      <c r="A89" s="12"/>
    </row>
    <row r="90">
      <c r="A90" s="4"/>
    </row>
    <row r="91">
      <c r="A91" s="12"/>
    </row>
    <row r="92">
      <c r="A92" s="4"/>
    </row>
    <row r="93">
      <c r="A93" s="12"/>
    </row>
    <row r="94">
      <c r="A94" s="4"/>
    </row>
    <row r="95">
      <c r="A95" s="12"/>
    </row>
    <row r="96">
      <c r="A96" s="4"/>
    </row>
    <row r="97">
      <c r="A97" s="12"/>
    </row>
    <row r="98">
      <c r="A98" s="4"/>
    </row>
    <row r="99">
      <c r="A99" s="12"/>
    </row>
    <row r="100">
      <c r="A100" s="4"/>
    </row>
    <row r="101">
      <c r="A101" s="12"/>
    </row>
    <row r="102">
      <c r="A102" s="4"/>
    </row>
    <row r="103">
      <c r="A103" s="12"/>
    </row>
    <row r="104">
      <c r="A104" s="4"/>
    </row>
    <row r="105">
      <c r="A105" s="12"/>
    </row>
    <row r="106">
      <c r="A106" s="4"/>
    </row>
    <row r="107">
      <c r="A107" s="12"/>
    </row>
    <row r="108">
      <c r="A108" s="4"/>
    </row>
    <row r="109">
      <c r="A109" s="12"/>
    </row>
    <row r="110">
      <c r="A110" s="4"/>
    </row>
    <row r="111">
      <c r="A111" s="12"/>
    </row>
    <row r="112">
      <c r="A112" s="4"/>
    </row>
    <row r="113">
      <c r="A113" s="12"/>
    </row>
    <row r="114">
      <c r="A114" s="4"/>
    </row>
    <row r="115">
      <c r="A115" s="12"/>
    </row>
    <row r="116">
      <c r="A116" s="4"/>
    </row>
    <row r="117">
      <c r="A117" s="12"/>
    </row>
    <row r="118">
      <c r="A118" s="4"/>
    </row>
    <row r="119">
      <c r="A119" s="12"/>
    </row>
    <row r="120">
      <c r="A120" s="4"/>
    </row>
    <row r="121">
      <c r="A121" s="12"/>
    </row>
    <row r="122">
      <c r="A122" s="4"/>
    </row>
    <row r="123">
      <c r="A123" s="12"/>
    </row>
    <row r="124">
      <c r="A124" s="4"/>
    </row>
    <row r="125">
      <c r="A125" s="12"/>
    </row>
    <row r="126">
      <c r="A126" s="4"/>
    </row>
    <row r="127">
      <c r="A127" s="12"/>
    </row>
    <row r="128">
      <c r="A128" s="4"/>
    </row>
    <row r="129">
      <c r="A129" s="12"/>
    </row>
    <row r="130">
      <c r="A130" s="4"/>
    </row>
    <row r="131">
      <c r="A131" s="12"/>
    </row>
    <row r="132">
      <c r="A132" s="4"/>
    </row>
    <row r="133">
      <c r="A133" s="12"/>
    </row>
    <row r="134">
      <c r="A134" s="4"/>
    </row>
    <row r="135">
      <c r="A135" s="12"/>
    </row>
    <row r="136">
      <c r="A136" s="4"/>
    </row>
    <row r="137">
      <c r="A137" s="12"/>
    </row>
    <row r="138">
      <c r="A138" s="4"/>
    </row>
    <row r="139">
      <c r="A139" s="12"/>
    </row>
    <row r="140">
      <c r="A140" s="4"/>
    </row>
    <row r="141">
      <c r="A141" s="12"/>
    </row>
    <row r="142">
      <c r="A142" s="4"/>
    </row>
    <row r="143">
      <c r="A143" s="12"/>
    </row>
    <row r="144">
      <c r="A144" s="4"/>
    </row>
    <row r="145">
      <c r="A145" s="12"/>
    </row>
    <row r="146">
      <c r="A146" s="4"/>
    </row>
    <row r="147">
      <c r="A147" s="12"/>
    </row>
    <row r="148">
      <c r="A148" s="4"/>
    </row>
    <row r="149">
      <c r="A149" s="12"/>
    </row>
    <row r="150">
      <c r="A150" s="4"/>
    </row>
    <row r="151">
      <c r="A151" s="12"/>
    </row>
    <row r="152">
      <c r="A152" s="4"/>
    </row>
    <row r="153">
      <c r="A153" s="12"/>
    </row>
    <row r="154">
      <c r="A154" s="4"/>
    </row>
    <row r="155">
      <c r="A155" s="12"/>
    </row>
    <row r="156">
      <c r="A156" s="4"/>
    </row>
    <row r="157">
      <c r="A157" s="12"/>
    </row>
    <row r="158">
      <c r="A158" s="4"/>
    </row>
    <row r="159">
      <c r="A159" s="12"/>
    </row>
    <row r="160">
      <c r="A160" s="4"/>
    </row>
    <row r="161">
      <c r="A161" s="12"/>
    </row>
    <row r="162">
      <c r="A162" s="4"/>
    </row>
    <row r="163">
      <c r="A163" s="12"/>
    </row>
    <row r="164">
      <c r="A164" s="4"/>
    </row>
    <row r="165">
      <c r="A165" s="12"/>
    </row>
    <row r="166">
      <c r="A166" s="4"/>
    </row>
    <row r="167">
      <c r="A167" s="12"/>
    </row>
    <row r="168">
      <c r="A168" s="4"/>
    </row>
    <row r="169">
      <c r="A169" s="12"/>
    </row>
    <row r="170">
      <c r="A170" s="4"/>
    </row>
    <row r="171">
      <c r="A171" s="12"/>
    </row>
    <row r="172">
      <c r="A172" s="4"/>
    </row>
    <row r="173">
      <c r="A173" s="12"/>
    </row>
    <row r="174">
      <c r="A174" s="4"/>
    </row>
    <row r="175">
      <c r="A175" s="12"/>
    </row>
    <row r="176">
      <c r="A176" s="4"/>
    </row>
    <row r="177">
      <c r="A177" s="12"/>
    </row>
    <row r="178">
      <c r="A178" s="4"/>
    </row>
    <row r="179">
      <c r="A179" s="12"/>
    </row>
    <row r="180">
      <c r="A180" s="4"/>
    </row>
    <row r="181">
      <c r="A181" s="12"/>
    </row>
    <row r="182">
      <c r="A182" s="4"/>
    </row>
    <row r="183">
      <c r="A183" s="12"/>
    </row>
    <row r="184">
      <c r="A184" s="4"/>
    </row>
    <row r="185">
      <c r="A185" s="12"/>
    </row>
    <row r="186">
      <c r="A186" s="4"/>
    </row>
    <row r="187">
      <c r="A187" s="12"/>
    </row>
    <row r="188">
      <c r="A188" s="4"/>
    </row>
    <row r="189">
      <c r="A189" s="12"/>
    </row>
    <row r="190">
      <c r="A190" s="4"/>
    </row>
    <row r="191">
      <c r="A191" s="12"/>
    </row>
    <row r="192">
      <c r="A192" s="4"/>
    </row>
    <row r="193">
      <c r="A193" s="12"/>
    </row>
    <row r="194">
      <c r="A194" s="4"/>
    </row>
    <row r="195">
      <c r="A195" s="12"/>
    </row>
    <row r="196">
      <c r="A196" s="4"/>
    </row>
    <row r="197">
      <c r="A197" s="12"/>
    </row>
    <row r="198">
      <c r="A198" s="4"/>
    </row>
    <row r="199">
      <c r="A199" s="12"/>
    </row>
    <row r="200">
      <c r="A200" s="4"/>
    </row>
    <row r="201">
      <c r="A201" s="12"/>
    </row>
    <row r="202">
      <c r="A202" s="4"/>
    </row>
    <row r="203">
      <c r="A203" s="12"/>
    </row>
    <row r="204">
      <c r="A204" s="4"/>
    </row>
    <row r="205">
      <c r="A205" s="12"/>
    </row>
    <row r="206">
      <c r="A206" s="4"/>
    </row>
    <row r="207">
      <c r="A207" s="12"/>
    </row>
    <row r="208">
      <c r="A208" s="4"/>
    </row>
    <row r="209">
      <c r="A209" s="12"/>
    </row>
    <row r="210">
      <c r="A210" s="4"/>
    </row>
    <row r="211">
      <c r="A211" s="12"/>
    </row>
    <row r="212">
      <c r="A212" s="4"/>
    </row>
    <row r="213">
      <c r="A213" s="12"/>
    </row>
    <row r="214">
      <c r="A214" s="4"/>
    </row>
    <row r="215">
      <c r="A215" s="12"/>
    </row>
    <row r="216">
      <c r="A216" s="4"/>
    </row>
    <row r="217">
      <c r="A217" s="12"/>
    </row>
    <row r="218">
      <c r="A218" s="4"/>
    </row>
    <row r="219">
      <c r="A219" s="12"/>
    </row>
    <row r="220">
      <c r="A220" s="4"/>
    </row>
    <row r="221">
      <c r="A221" s="12"/>
    </row>
    <row r="222">
      <c r="A222" s="4"/>
    </row>
    <row r="223">
      <c r="A223" s="12"/>
    </row>
    <row r="224">
      <c r="A224" s="4"/>
    </row>
    <row r="225">
      <c r="A225" s="12"/>
    </row>
    <row r="226">
      <c r="A226" s="4"/>
    </row>
    <row r="227">
      <c r="A227" s="12"/>
    </row>
    <row r="228">
      <c r="A228" s="4"/>
    </row>
    <row r="229">
      <c r="A229" s="12"/>
    </row>
    <row r="230">
      <c r="A230" s="4"/>
    </row>
    <row r="231">
      <c r="A231" s="12"/>
    </row>
    <row r="232">
      <c r="A232" s="4"/>
    </row>
    <row r="233">
      <c r="A233" s="12"/>
    </row>
    <row r="234">
      <c r="A234" s="4"/>
    </row>
    <row r="235">
      <c r="A235" s="12"/>
    </row>
    <row r="236">
      <c r="A236" s="4"/>
    </row>
    <row r="237">
      <c r="A237" s="12"/>
    </row>
    <row r="238">
      <c r="A238" s="4"/>
    </row>
    <row r="239">
      <c r="A239" s="12"/>
    </row>
    <row r="240">
      <c r="A240" s="4"/>
    </row>
    <row r="241">
      <c r="A241" s="12"/>
    </row>
    <row r="242">
      <c r="A242" s="4"/>
    </row>
    <row r="243">
      <c r="A243" s="12"/>
    </row>
    <row r="244">
      <c r="A244" s="4"/>
    </row>
    <row r="245">
      <c r="A245" s="12"/>
    </row>
    <row r="246">
      <c r="A246" s="4"/>
    </row>
    <row r="247">
      <c r="A247" s="12"/>
    </row>
    <row r="248">
      <c r="A248" s="4"/>
    </row>
    <row r="249">
      <c r="A249" s="12"/>
    </row>
    <row r="250">
      <c r="A250" s="4"/>
    </row>
    <row r="251">
      <c r="A251" s="12"/>
    </row>
    <row r="252">
      <c r="A252" s="4"/>
    </row>
    <row r="253">
      <c r="A253" s="12"/>
    </row>
    <row r="254">
      <c r="A254" s="4"/>
    </row>
    <row r="255">
      <c r="A255" s="12"/>
    </row>
    <row r="256">
      <c r="A256" s="4"/>
    </row>
    <row r="257">
      <c r="A257" s="12"/>
    </row>
    <row r="258">
      <c r="A258" s="4"/>
    </row>
    <row r="259">
      <c r="A259" s="12"/>
    </row>
    <row r="260">
      <c r="A260" s="4"/>
    </row>
    <row r="261">
      <c r="A261" s="12"/>
    </row>
    <row r="262">
      <c r="A262" s="4"/>
    </row>
    <row r="263">
      <c r="A263" s="12"/>
    </row>
    <row r="264">
      <c r="A264" s="4"/>
    </row>
    <row r="265">
      <c r="A265" s="12"/>
    </row>
    <row r="266">
      <c r="A266" s="4"/>
    </row>
    <row r="267">
      <c r="A267" s="12"/>
    </row>
    <row r="268">
      <c r="A268" s="4"/>
    </row>
    <row r="269">
      <c r="A269" s="12"/>
    </row>
    <row r="270">
      <c r="A270" s="4"/>
    </row>
    <row r="271">
      <c r="A271" s="12"/>
    </row>
    <row r="272">
      <c r="A272" s="4"/>
    </row>
    <row r="273">
      <c r="A273" s="12"/>
    </row>
    <row r="274">
      <c r="A274" s="4"/>
    </row>
    <row r="275">
      <c r="A275" s="12"/>
    </row>
    <row r="276">
      <c r="A276" s="4"/>
    </row>
    <row r="277">
      <c r="A277" s="12"/>
    </row>
    <row r="278">
      <c r="A278" s="4"/>
    </row>
    <row r="279">
      <c r="A279" s="12"/>
    </row>
    <row r="280">
      <c r="A280" s="4"/>
    </row>
    <row r="281">
      <c r="A281" s="12"/>
    </row>
    <row r="282">
      <c r="A282" s="4"/>
    </row>
    <row r="283">
      <c r="A283" s="12"/>
    </row>
    <row r="284">
      <c r="A284" s="4"/>
    </row>
    <row r="285">
      <c r="A285" s="12"/>
    </row>
    <row r="286">
      <c r="A286" s="4"/>
    </row>
    <row r="287">
      <c r="A287" s="12"/>
    </row>
    <row r="288">
      <c r="A288" s="4"/>
    </row>
    <row r="289">
      <c r="A289" s="12"/>
    </row>
    <row r="290">
      <c r="A290" s="4"/>
    </row>
    <row r="291">
      <c r="A291" s="12"/>
    </row>
    <row r="292">
      <c r="A292" s="4"/>
    </row>
    <row r="293">
      <c r="A293" s="12"/>
    </row>
    <row r="294">
      <c r="A294" s="4"/>
    </row>
    <row r="295">
      <c r="A295" s="12"/>
    </row>
    <row r="296">
      <c r="A296" s="4"/>
    </row>
    <row r="297">
      <c r="A297" s="12"/>
    </row>
    <row r="298">
      <c r="A298" s="4"/>
    </row>
    <row r="299">
      <c r="A299" s="12"/>
    </row>
    <row r="300">
      <c r="A300" s="4"/>
    </row>
    <row r="301">
      <c r="A301" s="12"/>
    </row>
    <row r="302">
      <c r="A302" s="4"/>
    </row>
    <row r="303">
      <c r="A303" s="12"/>
    </row>
    <row r="304">
      <c r="A304" s="4"/>
    </row>
    <row r="305">
      <c r="A305" s="12"/>
    </row>
    <row r="306">
      <c r="A306" s="4"/>
    </row>
    <row r="307">
      <c r="A307" s="12"/>
    </row>
    <row r="308">
      <c r="A308" s="4"/>
    </row>
    <row r="309">
      <c r="A309" s="12"/>
    </row>
    <row r="310">
      <c r="A310" s="4"/>
    </row>
    <row r="311">
      <c r="A311" s="12"/>
    </row>
    <row r="312">
      <c r="A312" s="4"/>
    </row>
    <row r="313">
      <c r="A313" s="12"/>
    </row>
    <row r="314">
      <c r="A314" s="4"/>
    </row>
    <row r="315">
      <c r="A315" s="12"/>
    </row>
    <row r="316">
      <c r="A316" s="4"/>
    </row>
    <row r="317">
      <c r="A317" s="12"/>
    </row>
    <row r="318">
      <c r="A318" s="4"/>
    </row>
    <row r="319">
      <c r="A319" s="12"/>
    </row>
    <row r="320">
      <c r="A320" s="4"/>
    </row>
    <row r="321">
      <c r="A321" s="12"/>
    </row>
    <row r="322">
      <c r="A322" s="4"/>
    </row>
    <row r="323">
      <c r="A323" s="12"/>
    </row>
    <row r="324">
      <c r="A324" s="4"/>
    </row>
    <row r="325">
      <c r="A325" s="12"/>
    </row>
    <row r="326">
      <c r="A326" s="4"/>
    </row>
    <row r="327">
      <c r="A327" s="12"/>
    </row>
    <row r="328">
      <c r="A328" s="4"/>
    </row>
    <row r="329">
      <c r="A329" s="12"/>
    </row>
    <row r="330">
      <c r="A330" s="4"/>
    </row>
    <row r="331">
      <c r="A331" s="12"/>
    </row>
    <row r="332">
      <c r="A332" s="4"/>
    </row>
    <row r="333">
      <c r="A333" s="12"/>
    </row>
    <row r="334">
      <c r="A334" s="4"/>
    </row>
    <row r="335">
      <c r="A335" s="12"/>
    </row>
    <row r="336">
      <c r="A336" s="4"/>
    </row>
    <row r="337">
      <c r="A337" s="12"/>
    </row>
    <row r="338">
      <c r="A338" s="4"/>
    </row>
    <row r="339">
      <c r="A339" s="12"/>
    </row>
    <row r="340">
      <c r="A340" s="4"/>
    </row>
    <row r="341">
      <c r="A341" s="12"/>
    </row>
    <row r="342">
      <c r="A342" s="4"/>
    </row>
    <row r="343">
      <c r="A343" s="12"/>
    </row>
    <row r="344">
      <c r="A344" s="4"/>
    </row>
    <row r="345">
      <c r="A345" s="12"/>
    </row>
    <row r="346">
      <c r="A346" s="4"/>
    </row>
    <row r="347">
      <c r="A347" s="12"/>
    </row>
    <row r="348">
      <c r="A348" s="4"/>
    </row>
    <row r="349">
      <c r="A349" s="12"/>
    </row>
    <row r="350">
      <c r="A350" s="4"/>
    </row>
    <row r="351">
      <c r="A351" s="12"/>
    </row>
    <row r="352">
      <c r="A352" s="4"/>
    </row>
    <row r="353">
      <c r="A353" s="12"/>
    </row>
    <row r="354">
      <c r="A354" s="4"/>
    </row>
    <row r="355">
      <c r="A355" s="12"/>
    </row>
    <row r="356">
      <c r="A356" s="4"/>
    </row>
    <row r="357">
      <c r="A357" s="12"/>
    </row>
    <row r="358">
      <c r="A358" s="4"/>
    </row>
    <row r="359">
      <c r="A359" s="12"/>
    </row>
    <row r="360">
      <c r="A360" s="4"/>
    </row>
    <row r="361">
      <c r="A361" s="12"/>
    </row>
    <row r="362">
      <c r="A362" s="4"/>
    </row>
    <row r="363">
      <c r="A363" s="12"/>
    </row>
    <row r="364">
      <c r="A364" s="4"/>
    </row>
    <row r="365">
      <c r="A365" s="12"/>
    </row>
    <row r="366">
      <c r="A366" s="4"/>
    </row>
    <row r="367">
      <c r="A367" s="12"/>
    </row>
    <row r="368">
      <c r="A368" s="4"/>
    </row>
    <row r="369">
      <c r="A369" s="12"/>
    </row>
    <row r="370">
      <c r="A370" s="4"/>
    </row>
    <row r="371">
      <c r="A371" s="12"/>
    </row>
    <row r="372">
      <c r="A372" s="4"/>
    </row>
    <row r="373">
      <c r="A373" s="12"/>
    </row>
    <row r="374">
      <c r="A374" s="4"/>
    </row>
    <row r="375">
      <c r="A375" s="12"/>
    </row>
    <row r="376">
      <c r="A376" s="4"/>
    </row>
    <row r="377">
      <c r="A377" s="12"/>
    </row>
    <row r="378">
      <c r="A378" s="4"/>
    </row>
    <row r="379">
      <c r="A379" s="12"/>
    </row>
    <row r="380">
      <c r="A380" s="4"/>
    </row>
    <row r="381">
      <c r="A381" s="12"/>
    </row>
    <row r="382">
      <c r="A382" s="4"/>
    </row>
    <row r="383">
      <c r="A383" s="12"/>
    </row>
    <row r="384">
      <c r="A384" s="4"/>
    </row>
    <row r="385">
      <c r="A385" s="12"/>
    </row>
    <row r="386">
      <c r="A386" s="4"/>
    </row>
    <row r="387">
      <c r="A387" s="12"/>
    </row>
    <row r="388">
      <c r="A388" s="4"/>
    </row>
    <row r="389">
      <c r="A389" s="12"/>
    </row>
    <row r="390">
      <c r="A390" s="4"/>
    </row>
    <row r="391">
      <c r="A391" s="12"/>
    </row>
    <row r="392">
      <c r="A392" s="4"/>
    </row>
    <row r="393">
      <c r="A393" s="12"/>
    </row>
    <row r="394">
      <c r="A394" s="4"/>
    </row>
    <row r="395">
      <c r="A395" s="12"/>
    </row>
    <row r="396">
      <c r="A396" s="4"/>
    </row>
    <row r="397">
      <c r="A397" s="12"/>
    </row>
    <row r="398">
      <c r="A398" s="4"/>
    </row>
    <row r="399">
      <c r="A399" s="12"/>
    </row>
    <row r="400">
      <c r="A400" s="4"/>
    </row>
    <row r="401">
      <c r="A401" s="12"/>
    </row>
    <row r="402">
      <c r="A402" s="4"/>
    </row>
    <row r="403">
      <c r="A403" s="12"/>
    </row>
    <row r="404">
      <c r="A404" s="4"/>
    </row>
    <row r="405">
      <c r="A405" s="12"/>
    </row>
    <row r="406">
      <c r="A406" s="4"/>
    </row>
    <row r="407">
      <c r="A407" s="12"/>
    </row>
    <row r="408">
      <c r="A408" s="4"/>
    </row>
    <row r="409">
      <c r="A409" s="12"/>
    </row>
    <row r="410">
      <c r="A410" s="4"/>
    </row>
    <row r="411">
      <c r="A411" s="12"/>
    </row>
    <row r="412">
      <c r="A412" s="4"/>
    </row>
    <row r="413">
      <c r="A413" s="12"/>
    </row>
    <row r="414">
      <c r="A414" s="4"/>
    </row>
    <row r="415">
      <c r="A415" s="12"/>
    </row>
    <row r="416">
      <c r="A416" s="4"/>
    </row>
    <row r="417">
      <c r="A417" s="12"/>
    </row>
    <row r="418">
      <c r="A418" s="4"/>
    </row>
    <row r="419">
      <c r="A419" s="12"/>
    </row>
    <row r="420">
      <c r="A420" s="4"/>
    </row>
    <row r="421">
      <c r="A421" s="12"/>
    </row>
    <row r="422">
      <c r="A422" s="4"/>
    </row>
    <row r="423">
      <c r="A423" s="12"/>
    </row>
    <row r="424">
      <c r="A424" s="4"/>
    </row>
    <row r="425">
      <c r="A425" s="12"/>
    </row>
    <row r="426">
      <c r="A426" s="4"/>
    </row>
    <row r="427">
      <c r="A427" s="12"/>
    </row>
    <row r="428">
      <c r="A428" s="4"/>
    </row>
    <row r="429">
      <c r="A429" s="12"/>
    </row>
    <row r="430">
      <c r="A430" s="4"/>
    </row>
    <row r="431">
      <c r="A431" s="12"/>
    </row>
    <row r="432">
      <c r="A432" s="4"/>
    </row>
    <row r="433">
      <c r="A433" s="12"/>
    </row>
    <row r="434">
      <c r="A434" s="4"/>
    </row>
    <row r="435">
      <c r="A435" s="12"/>
    </row>
    <row r="436">
      <c r="A436" s="4"/>
    </row>
    <row r="437">
      <c r="A437" s="12"/>
    </row>
    <row r="438">
      <c r="A438" s="4"/>
    </row>
    <row r="439">
      <c r="A439" s="12"/>
    </row>
    <row r="440">
      <c r="A440" s="4"/>
    </row>
    <row r="441">
      <c r="A441" s="12"/>
    </row>
    <row r="442">
      <c r="A442" s="4"/>
    </row>
    <row r="443">
      <c r="A443" s="12"/>
    </row>
    <row r="444">
      <c r="A444" s="4"/>
    </row>
    <row r="445">
      <c r="A445" s="12"/>
    </row>
    <row r="446">
      <c r="A446" s="4"/>
    </row>
    <row r="447">
      <c r="A447" s="12"/>
    </row>
    <row r="448">
      <c r="A448" s="4"/>
    </row>
    <row r="449">
      <c r="A449" s="12"/>
    </row>
    <row r="450">
      <c r="A450" s="4"/>
    </row>
    <row r="451">
      <c r="A451" s="12"/>
    </row>
    <row r="452">
      <c r="A452" s="4"/>
    </row>
    <row r="453">
      <c r="A453" s="12"/>
    </row>
    <row r="454">
      <c r="A454" s="4"/>
    </row>
    <row r="455">
      <c r="A455" s="12"/>
    </row>
    <row r="456">
      <c r="A456" s="4"/>
    </row>
    <row r="457">
      <c r="A457" s="12"/>
    </row>
    <row r="458">
      <c r="A458" s="4"/>
    </row>
    <row r="459">
      <c r="A459" s="12"/>
    </row>
    <row r="460">
      <c r="A460" s="4"/>
    </row>
    <row r="461">
      <c r="A461" s="12"/>
    </row>
    <row r="462">
      <c r="A462" s="4"/>
    </row>
    <row r="463">
      <c r="A463" s="12"/>
    </row>
    <row r="464">
      <c r="A464" s="4"/>
    </row>
    <row r="465">
      <c r="A465" s="12"/>
    </row>
    <row r="466">
      <c r="A466" s="4"/>
    </row>
    <row r="467">
      <c r="A467" s="12"/>
    </row>
    <row r="468">
      <c r="A468" s="4"/>
    </row>
    <row r="469">
      <c r="A469" s="12"/>
    </row>
    <row r="470">
      <c r="A470" s="4"/>
    </row>
    <row r="471">
      <c r="A471" s="12"/>
    </row>
    <row r="472">
      <c r="A472" s="4"/>
    </row>
    <row r="473">
      <c r="A473" s="12"/>
    </row>
    <row r="474">
      <c r="A474" s="4"/>
    </row>
    <row r="475">
      <c r="A475" s="12"/>
    </row>
    <row r="476">
      <c r="A476" s="4"/>
    </row>
    <row r="477">
      <c r="A477" s="12"/>
    </row>
    <row r="478">
      <c r="A478" s="4"/>
    </row>
    <row r="479">
      <c r="A479" s="12"/>
    </row>
    <row r="480">
      <c r="A480" s="4"/>
    </row>
    <row r="481">
      <c r="A481" s="12"/>
    </row>
    <row r="482">
      <c r="A482" s="4"/>
    </row>
    <row r="483">
      <c r="A483" s="12"/>
    </row>
    <row r="484">
      <c r="A484" s="4"/>
    </row>
    <row r="485">
      <c r="A485" s="12"/>
    </row>
    <row r="486">
      <c r="A486" s="4"/>
    </row>
    <row r="487">
      <c r="A487" s="12"/>
    </row>
    <row r="488">
      <c r="A488" s="4"/>
    </row>
    <row r="489">
      <c r="A489" s="12"/>
    </row>
    <row r="490">
      <c r="A490" s="4"/>
    </row>
    <row r="491">
      <c r="A491" s="12"/>
    </row>
    <row r="492">
      <c r="A492" s="4"/>
    </row>
    <row r="493">
      <c r="A493" s="12"/>
    </row>
    <row r="494">
      <c r="A494" s="4"/>
    </row>
    <row r="495">
      <c r="A495" s="12"/>
    </row>
    <row r="496">
      <c r="A496" s="4"/>
    </row>
    <row r="497">
      <c r="A497" s="12"/>
    </row>
    <row r="498">
      <c r="A498" s="4"/>
    </row>
    <row r="499">
      <c r="A499" s="12"/>
    </row>
    <row r="500">
      <c r="A500" s="4"/>
    </row>
    <row r="501">
      <c r="A501" s="12"/>
    </row>
    <row r="502">
      <c r="A502" s="4"/>
    </row>
    <row r="503">
      <c r="A503" s="12"/>
    </row>
    <row r="504">
      <c r="A504" s="4"/>
    </row>
    <row r="505">
      <c r="A505" s="12"/>
    </row>
    <row r="506">
      <c r="A506" s="4"/>
    </row>
    <row r="507">
      <c r="A507" s="12"/>
    </row>
    <row r="508">
      <c r="A508" s="4"/>
    </row>
    <row r="509">
      <c r="A509" s="12"/>
    </row>
    <row r="510">
      <c r="A510" s="4"/>
    </row>
    <row r="511">
      <c r="A511" s="12"/>
    </row>
    <row r="512">
      <c r="A512" s="4"/>
    </row>
    <row r="513">
      <c r="A513" s="12"/>
    </row>
    <row r="514">
      <c r="A514" s="4"/>
    </row>
    <row r="515">
      <c r="A515" s="12"/>
    </row>
    <row r="516">
      <c r="A516" s="4"/>
    </row>
    <row r="517">
      <c r="A517" s="12"/>
    </row>
    <row r="518">
      <c r="A518" s="4"/>
    </row>
    <row r="519">
      <c r="A519" s="12"/>
    </row>
    <row r="520">
      <c r="A520" s="4"/>
    </row>
    <row r="521">
      <c r="A521" s="12"/>
    </row>
    <row r="522">
      <c r="A522" s="4"/>
    </row>
    <row r="523">
      <c r="A523" s="12"/>
    </row>
    <row r="524">
      <c r="A524" s="4"/>
    </row>
    <row r="525">
      <c r="A525" s="12"/>
    </row>
    <row r="526">
      <c r="A526" s="4"/>
    </row>
    <row r="527">
      <c r="A527" s="12"/>
    </row>
    <row r="528">
      <c r="A528" s="4"/>
    </row>
    <row r="529">
      <c r="A529" s="12"/>
    </row>
    <row r="530">
      <c r="A530" s="4"/>
    </row>
    <row r="531">
      <c r="A531" s="12"/>
    </row>
    <row r="532">
      <c r="A532" s="4"/>
    </row>
    <row r="533">
      <c r="A533" s="12"/>
    </row>
    <row r="534">
      <c r="A534" s="4"/>
    </row>
    <row r="535">
      <c r="A535" s="12"/>
    </row>
    <row r="536">
      <c r="A536" s="4"/>
    </row>
    <row r="537">
      <c r="A537" s="12"/>
    </row>
    <row r="538">
      <c r="A538" s="4"/>
    </row>
    <row r="539">
      <c r="A539" s="12"/>
    </row>
    <row r="540">
      <c r="A540" s="4"/>
    </row>
    <row r="541">
      <c r="A541" s="12"/>
    </row>
    <row r="542">
      <c r="A542" s="4"/>
    </row>
    <row r="543">
      <c r="A543" s="12"/>
    </row>
    <row r="544">
      <c r="A544" s="4"/>
    </row>
    <row r="545">
      <c r="A545" s="12"/>
    </row>
    <row r="546">
      <c r="A546" s="4"/>
    </row>
    <row r="547">
      <c r="A547" s="12"/>
    </row>
    <row r="548">
      <c r="A548" s="4"/>
    </row>
    <row r="549">
      <c r="A549" s="12"/>
    </row>
    <row r="550">
      <c r="A550" s="4"/>
    </row>
    <row r="551">
      <c r="A551" s="12"/>
    </row>
    <row r="552">
      <c r="A552" s="4"/>
    </row>
    <row r="553">
      <c r="A553" s="12"/>
    </row>
    <row r="554">
      <c r="A554" s="4"/>
    </row>
    <row r="555">
      <c r="A555" s="12"/>
    </row>
    <row r="556">
      <c r="A556" s="4"/>
    </row>
    <row r="557">
      <c r="A557" s="12"/>
    </row>
    <row r="558">
      <c r="A558" s="4"/>
    </row>
    <row r="559">
      <c r="A559" s="12"/>
    </row>
    <row r="560">
      <c r="A560" s="4"/>
    </row>
    <row r="561">
      <c r="A561" s="12"/>
    </row>
    <row r="562">
      <c r="A562" s="4"/>
    </row>
    <row r="563">
      <c r="A563" s="12"/>
    </row>
    <row r="564">
      <c r="A564" s="4"/>
    </row>
    <row r="565">
      <c r="A565" s="12"/>
    </row>
    <row r="566">
      <c r="A566" s="4"/>
    </row>
    <row r="567">
      <c r="A567" s="12"/>
    </row>
    <row r="568">
      <c r="A568" s="4"/>
    </row>
    <row r="569">
      <c r="A569" s="12"/>
    </row>
    <row r="570">
      <c r="A570" s="4"/>
    </row>
    <row r="571">
      <c r="A571" s="12"/>
    </row>
    <row r="572">
      <c r="A572" s="4"/>
    </row>
    <row r="573">
      <c r="A573" s="12"/>
    </row>
    <row r="574">
      <c r="A574" s="4"/>
    </row>
    <row r="575">
      <c r="A575" s="12"/>
    </row>
    <row r="576">
      <c r="A576" s="4"/>
    </row>
    <row r="577">
      <c r="A577" s="12"/>
    </row>
    <row r="578">
      <c r="A578" s="4"/>
    </row>
    <row r="579">
      <c r="A579" s="12"/>
    </row>
    <row r="580">
      <c r="A580" s="4"/>
    </row>
    <row r="581">
      <c r="A581" s="12"/>
    </row>
    <row r="582">
      <c r="A582" s="4"/>
    </row>
    <row r="583">
      <c r="A583" s="12"/>
    </row>
    <row r="584">
      <c r="A584" s="4"/>
    </row>
    <row r="585">
      <c r="A585" s="12"/>
    </row>
    <row r="586">
      <c r="A586" s="4"/>
    </row>
    <row r="587">
      <c r="A587" s="12"/>
    </row>
    <row r="588">
      <c r="A588" s="4"/>
    </row>
    <row r="589">
      <c r="A589" s="12"/>
    </row>
    <row r="590">
      <c r="A590" s="4"/>
    </row>
    <row r="591">
      <c r="A591" s="12"/>
    </row>
    <row r="592">
      <c r="A592" s="4"/>
    </row>
    <row r="593">
      <c r="A593" s="12"/>
    </row>
    <row r="594">
      <c r="A594" s="4"/>
    </row>
    <row r="595">
      <c r="A595" s="12"/>
    </row>
    <row r="596">
      <c r="A596" s="4"/>
    </row>
    <row r="597">
      <c r="A597" s="12"/>
    </row>
    <row r="598">
      <c r="A598" s="4"/>
    </row>
    <row r="599">
      <c r="A599" s="12"/>
    </row>
    <row r="600">
      <c r="A600" s="4"/>
    </row>
    <row r="601">
      <c r="A601" s="12"/>
    </row>
    <row r="602">
      <c r="A602" s="4"/>
    </row>
    <row r="603">
      <c r="A603" s="12"/>
    </row>
    <row r="604">
      <c r="A604" s="4"/>
    </row>
    <row r="605">
      <c r="A605" s="12"/>
    </row>
    <row r="606">
      <c r="A606" s="4"/>
    </row>
    <row r="607">
      <c r="A607" s="12"/>
    </row>
    <row r="608">
      <c r="A608" s="4"/>
    </row>
    <row r="609">
      <c r="A609" s="12"/>
    </row>
    <row r="610">
      <c r="A610" s="4"/>
    </row>
    <row r="611">
      <c r="A611" s="12"/>
    </row>
    <row r="612">
      <c r="A612" s="4"/>
    </row>
    <row r="613">
      <c r="A613" s="12"/>
    </row>
    <row r="614">
      <c r="A614" s="4"/>
    </row>
    <row r="615">
      <c r="A615" s="12"/>
    </row>
    <row r="616">
      <c r="A616" s="4"/>
    </row>
    <row r="617">
      <c r="A617" s="12"/>
    </row>
    <row r="618">
      <c r="A618" s="4"/>
    </row>
    <row r="619">
      <c r="A619" s="12"/>
    </row>
    <row r="620">
      <c r="A620" s="4"/>
    </row>
    <row r="621">
      <c r="A621" s="12"/>
    </row>
    <row r="622">
      <c r="A622" s="4"/>
    </row>
    <row r="623">
      <c r="A623" s="12"/>
    </row>
    <row r="624">
      <c r="A624" s="4"/>
    </row>
    <row r="625">
      <c r="A625" s="12"/>
    </row>
    <row r="626">
      <c r="A626" s="4"/>
    </row>
    <row r="627">
      <c r="A627" s="12"/>
    </row>
    <row r="628">
      <c r="A628" s="4"/>
    </row>
    <row r="629">
      <c r="A629" s="12"/>
    </row>
    <row r="630">
      <c r="A630" s="4"/>
    </row>
    <row r="631">
      <c r="A631" s="12"/>
    </row>
    <row r="632">
      <c r="A632" s="4"/>
    </row>
    <row r="633">
      <c r="A633" s="12"/>
    </row>
    <row r="634">
      <c r="A634" s="4"/>
    </row>
    <row r="635">
      <c r="A635" s="12"/>
    </row>
    <row r="636">
      <c r="A636" s="4"/>
    </row>
    <row r="637">
      <c r="A637" s="12"/>
    </row>
    <row r="638">
      <c r="A638" s="4"/>
    </row>
    <row r="639">
      <c r="A639" s="12"/>
    </row>
    <row r="640">
      <c r="A640" s="4"/>
    </row>
    <row r="641">
      <c r="A641" s="12"/>
    </row>
    <row r="642">
      <c r="A642" s="4"/>
    </row>
    <row r="643">
      <c r="A643" s="12"/>
    </row>
    <row r="644">
      <c r="A644" s="4"/>
    </row>
    <row r="645">
      <c r="A645" s="12"/>
    </row>
    <row r="646">
      <c r="A646" s="4"/>
    </row>
    <row r="647">
      <c r="A647" s="12"/>
    </row>
    <row r="648">
      <c r="A648" s="4"/>
    </row>
    <row r="649">
      <c r="A649" s="12"/>
    </row>
    <row r="650">
      <c r="A650" s="4"/>
    </row>
    <row r="651">
      <c r="A651" s="12"/>
    </row>
    <row r="652">
      <c r="A652" s="4"/>
    </row>
    <row r="653">
      <c r="A653" s="12"/>
    </row>
    <row r="654">
      <c r="A654" s="4"/>
    </row>
    <row r="655">
      <c r="A655" s="12"/>
    </row>
    <row r="656">
      <c r="A656" s="4"/>
    </row>
    <row r="657">
      <c r="A657" s="12"/>
    </row>
    <row r="658">
      <c r="A658" s="4"/>
    </row>
    <row r="659">
      <c r="A659" s="12"/>
    </row>
    <row r="660">
      <c r="A660" s="4"/>
    </row>
    <row r="661">
      <c r="A661" s="12"/>
    </row>
    <row r="662">
      <c r="A662" s="4"/>
    </row>
    <row r="663">
      <c r="A663" s="12"/>
    </row>
    <row r="664">
      <c r="A664" s="4"/>
    </row>
    <row r="665">
      <c r="A665" s="12"/>
    </row>
    <row r="666">
      <c r="A666" s="4"/>
    </row>
    <row r="667">
      <c r="A667" s="12"/>
    </row>
    <row r="668">
      <c r="A668" s="4"/>
    </row>
    <row r="669">
      <c r="A669" s="12"/>
    </row>
    <row r="670">
      <c r="A670" s="4"/>
    </row>
    <row r="671">
      <c r="A671" s="12"/>
    </row>
    <row r="672">
      <c r="A672" s="4"/>
    </row>
    <row r="673">
      <c r="A673" s="12"/>
    </row>
    <row r="674">
      <c r="A674" s="4"/>
    </row>
    <row r="675">
      <c r="A675" s="12"/>
    </row>
    <row r="676">
      <c r="A676" s="4"/>
    </row>
    <row r="677">
      <c r="A677" s="12"/>
    </row>
    <row r="678">
      <c r="A678" s="4"/>
    </row>
    <row r="679">
      <c r="A679" s="12"/>
    </row>
    <row r="680">
      <c r="A680" s="4"/>
    </row>
    <row r="681">
      <c r="A681" s="12"/>
    </row>
    <row r="682">
      <c r="A682" s="4"/>
    </row>
    <row r="683">
      <c r="A683" s="12"/>
    </row>
    <row r="684">
      <c r="A684" s="4"/>
    </row>
    <row r="685">
      <c r="A685" s="12"/>
    </row>
    <row r="686">
      <c r="A686" s="4"/>
    </row>
    <row r="687">
      <c r="A687" s="12"/>
    </row>
    <row r="688">
      <c r="A688" s="4"/>
    </row>
    <row r="689">
      <c r="A689" s="12"/>
    </row>
    <row r="690">
      <c r="A690" s="4"/>
    </row>
    <row r="691">
      <c r="A691" s="12"/>
    </row>
    <row r="692">
      <c r="A692" s="4"/>
    </row>
    <row r="693">
      <c r="A693" s="12"/>
    </row>
    <row r="694">
      <c r="A694" s="4"/>
    </row>
    <row r="695">
      <c r="A695" s="12"/>
    </row>
    <row r="696">
      <c r="A696" s="4"/>
    </row>
    <row r="697">
      <c r="A697" s="12"/>
    </row>
    <row r="698">
      <c r="A698" s="4"/>
    </row>
    <row r="699">
      <c r="A699" s="12"/>
    </row>
    <row r="700">
      <c r="A700" s="4"/>
    </row>
    <row r="701">
      <c r="A701" s="12"/>
    </row>
    <row r="702">
      <c r="A702" s="4"/>
    </row>
    <row r="703">
      <c r="A703" s="12"/>
    </row>
    <row r="704">
      <c r="A704" s="4"/>
    </row>
    <row r="705">
      <c r="A705" s="12"/>
    </row>
    <row r="706">
      <c r="A706" s="4"/>
    </row>
    <row r="707">
      <c r="A707" s="12"/>
    </row>
    <row r="708">
      <c r="A708" s="4"/>
    </row>
    <row r="709">
      <c r="A709" s="12"/>
    </row>
    <row r="710">
      <c r="A710" s="4"/>
    </row>
    <row r="711">
      <c r="A711" s="12"/>
    </row>
    <row r="712">
      <c r="A712" s="4"/>
    </row>
    <row r="713">
      <c r="A713" s="12"/>
    </row>
    <row r="714">
      <c r="A714" s="4"/>
    </row>
    <row r="715">
      <c r="A715" s="12"/>
    </row>
    <row r="716">
      <c r="A716" s="4"/>
    </row>
    <row r="717">
      <c r="A717" s="12"/>
    </row>
    <row r="718">
      <c r="A718" s="4"/>
    </row>
    <row r="719">
      <c r="A719" s="12"/>
    </row>
    <row r="720">
      <c r="A720" s="4"/>
    </row>
    <row r="721">
      <c r="A721" s="12"/>
    </row>
    <row r="722">
      <c r="A722" s="4"/>
    </row>
    <row r="723">
      <c r="A723" s="12"/>
    </row>
    <row r="724">
      <c r="A724" s="4"/>
    </row>
    <row r="725">
      <c r="A725" s="12"/>
    </row>
    <row r="726">
      <c r="A726" s="4"/>
    </row>
    <row r="727">
      <c r="A727" s="12"/>
    </row>
    <row r="728">
      <c r="A728" s="4"/>
    </row>
    <row r="729">
      <c r="A729" s="12"/>
    </row>
    <row r="730">
      <c r="A730" s="4"/>
    </row>
    <row r="731">
      <c r="A731" s="12"/>
    </row>
    <row r="732">
      <c r="A732" s="4"/>
    </row>
    <row r="733">
      <c r="A733" s="12"/>
    </row>
    <row r="734">
      <c r="A734" s="4"/>
    </row>
    <row r="735">
      <c r="A735" s="12"/>
    </row>
    <row r="736">
      <c r="A736" s="4"/>
    </row>
    <row r="737">
      <c r="A737" s="12"/>
    </row>
    <row r="738">
      <c r="A738" s="4"/>
    </row>
    <row r="739">
      <c r="A739" s="12"/>
    </row>
    <row r="740">
      <c r="A740" s="4"/>
    </row>
    <row r="741">
      <c r="A741" s="12"/>
    </row>
    <row r="742">
      <c r="A742" s="4"/>
    </row>
    <row r="743">
      <c r="A743" s="12"/>
    </row>
    <row r="744">
      <c r="A744" s="4"/>
    </row>
    <row r="745">
      <c r="A745" s="12"/>
    </row>
    <row r="746">
      <c r="A746" s="4"/>
    </row>
    <row r="747">
      <c r="A747" s="12"/>
    </row>
    <row r="748">
      <c r="A748" s="4"/>
    </row>
    <row r="749">
      <c r="A749" s="12"/>
    </row>
    <row r="750">
      <c r="A750" s="4"/>
    </row>
    <row r="751">
      <c r="A751" s="12"/>
    </row>
    <row r="752">
      <c r="A752" s="4"/>
    </row>
    <row r="753">
      <c r="A753" s="12"/>
    </row>
    <row r="754">
      <c r="A754" s="4"/>
    </row>
    <row r="755">
      <c r="A755" s="12"/>
    </row>
    <row r="756">
      <c r="A756" s="4"/>
    </row>
    <row r="757">
      <c r="A757" s="12"/>
    </row>
    <row r="758">
      <c r="A758" s="4"/>
    </row>
    <row r="759">
      <c r="A759" s="12"/>
    </row>
    <row r="760">
      <c r="A760" s="4"/>
    </row>
    <row r="761">
      <c r="A761" s="12"/>
    </row>
    <row r="762">
      <c r="A762" s="4"/>
    </row>
    <row r="763">
      <c r="A763" s="12"/>
    </row>
    <row r="764">
      <c r="A764" s="4"/>
    </row>
    <row r="765">
      <c r="A765" s="12"/>
    </row>
    <row r="766">
      <c r="A766" s="4"/>
    </row>
    <row r="767">
      <c r="A767" s="12"/>
    </row>
    <row r="768">
      <c r="A768" s="4"/>
    </row>
    <row r="769">
      <c r="A769" s="12"/>
    </row>
    <row r="770">
      <c r="A770" s="4"/>
    </row>
    <row r="771">
      <c r="A771" s="12"/>
    </row>
    <row r="772">
      <c r="A772" s="4"/>
    </row>
    <row r="773">
      <c r="A773" s="12"/>
    </row>
    <row r="774">
      <c r="A774" s="4"/>
    </row>
    <row r="775">
      <c r="A775" s="12"/>
    </row>
    <row r="776">
      <c r="A776" s="4"/>
    </row>
    <row r="777">
      <c r="A777" s="12"/>
    </row>
    <row r="778">
      <c r="A778" s="4"/>
    </row>
    <row r="779">
      <c r="A779" s="12"/>
    </row>
    <row r="780">
      <c r="A780" s="4"/>
    </row>
    <row r="781">
      <c r="A781" s="12"/>
    </row>
    <row r="782">
      <c r="A782" s="4"/>
    </row>
    <row r="783">
      <c r="A783" s="12"/>
    </row>
    <row r="784">
      <c r="A784" s="4"/>
    </row>
    <row r="785">
      <c r="A785" s="12"/>
    </row>
    <row r="786">
      <c r="A786" s="4"/>
    </row>
    <row r="787">
      <c r="A787" s="12"/>
    </row>
    <row r="788">
      <c r="A788" s="4"/>
    </row>
    <row r="789">
      <c r="A789" s="12"/>
    </row>
    <row r="790">
      <c r="A790" s="4"/>
    </row>
    <row r="791">
      <c r="A791" s="12"/>
    </row>
    <row r="792">
      <c r="A792" s="4"/>
    </row>
    <row r="793">
      <c r="A793" s="12"/>
    </row>
    <row r="794">
      <c r="A794" s="4"/>
    </row>
    <row r="795">
      <c r="A795" s="12"/>
    </row>
    <row r="796">
      <c r="A796" s="4"/>
    </row>
    <row r="797">
      <c r="A797" s="12"/>
    </row>
    <row r="798">
      <c r="A798" s="4"/>
    </row>
    <row r="799">
      <c r="A799" s="12"/>
    </row>
    <row r="800">
      <c r="A800" s="4"/>
    </row>
    <row r="801">
      <c r="A801" s="12"/>
    </row>
    <row r="802">
      <c r="A802" s="4"/>
    </row>
    <row r="803">
      <c r="A803" s="12"/>
    </row>
    <row r="804">
      <c r="A804" s="4"/>
    </row>
    <row r="805">
      <c r="A805" s="12"/>
    </row>
    <row r="806">
      <c r="A806" s="4"/>
    </row>
    <row r="807">
      <c r="A807" s="12"/>
    </row>
    <row r="808">
      <c r="A808" s="4"/>
    </row>
    <row r="809">
      <c r="A809" s="12"/>
    </row>
    <row r="810">
      <c r="A810" s="4"/>
    </row>
    <row r="811">
      <c r="A811" s="12"/>
    </row>
    <row r="812">
      <c r="A812" s="4"/>
    </row>
    <row r="813">
      <c r="A813" s="12"/>
    </row>
    <row r="814">
      <c r="A814" s="4"/>
    </row>
    <row r="815">
      <c r="A815" s="12"/>
    </row>
    <row r="816">
      <c r="A816" s="4"/>
    </row>
    <row r="817">
      <c r="A817" s="12"/>
    </row>
    <row r="818">
      <c r="A818" s="4"/>
    </row>
    <row r="819">
      <c r="A819" s="12"/>
    </row>
    <row r="820">
      <c r="A820" s="4"/>
    </row>
    <row r="821">
      <c r="A821" s="12"/>
    </row>
    <row r="822">
      <c r="A822" s="4"/>
    </row>
    <row r="823">
      <c r="A823" s="12"/>
    </row>
    <row r="824">
      <c r="A824" s="4"/>
    </row>
    <row r="825">
      <c r="A825" s="12"/>
    </row>
    <row r="826">
      <c r="A826" s="4"/>
    </row>
    <row r="827">
      <c r="A827" s="12"/>
    </row>
    <row r="828">
      <c r="A828" s="4"/>
    </row>
    <row r="829">
      <c r="A829" s="12"/>
    </row>
    <row r="830">
      <c r="A830" s="4"/>
    </row>
    <row r="831">
      <c r="A831" s="12"/>
    </row>
    <row r="832">
      <c r="A832" s="4"/>
    </row>
    <row r="833">
      <c r="A833" s="12"/>
    </row>
    <row r="834">
      <c r="A834" s="4"/>
    </row>
    <row r="835">
      <c r="A835" s="12"/>
    </row>
    <row r="836">
      <c r="A836" s="4"/>
    </row>
    <row r="837">
      <c r="A837" s="12"/>
    </row>
    <row r="838">
      <c r="A838" s="4"/>
    </row>
    <row r="839">
      <c r="A839" s="12"/>
    </row>
    <row r="840">
      <c r="A840" s="4"/>
    </row>
    <row r="841">
      <c r="A841" s="12"/>
    </row>
    <row r="842">
      <c r="A842" s="4"/>
    </row>
    <row r="843">
      <c r="A843" s="12"/>
    </row>
    <row r="844">
      <c r="A844" s="4"/>
    </row>
    <row r="845">
      <c r="A845" s="12"/>
    </row>
    <row r="846">
      <c r="A846" s="4"/>
    </row>
    <row r="847">
      <c r="A847" s="12"/>
    </row>
    <row r="848">
      <c r="A848" s="4"/>
    </row>
    <row r="849">
      <c r="A849" s="12"/>
    </row>
    <row r="850">
      <c r="A850" s="4"/>
    </row>
    <row r="851">
      <c r="A851" s="12"/>
    </row>
    <row r="852">
      <c r="A852" s="4"/>
    </row>
    <row r="853">
      <c r="A853" s="12"/>
    </row>
    <row r="854">
      <c r="A854" s="4"/>
    </row>
    <row r="855">
      <c r="A855" s="12"/>
    </row>
    <row r="856">
      <c r="A856" s="4"/>
    </row>
    <row r="857">
      <c r="A857" s="12"/>
    </row>
    <row r="858">
      <c r="A858" s="4"/>
    </row>
    <row r="859">
      <c r="A859" s="12"/>
    </row>
    <row r="860">
      <c r="A860" s="4"/>
    </row>
    <row r="861">
      <c r="A861" s="12"/>
    </row>
    <row r="862">
      <c r="A862" s="4"/>
    </row>
    <row r="863">
      <c r="A863" s="12"/>
    </row>
    <row r="864">
      <c r="A864" s="4"/>
    </row>
    <row r="865">
      <c r="A865" s="12"/>
    </row>
    <row r="866">
      <c r="A866" s="4"/>
    </row>
    <row r="867">
      <c r="A867" s="12"/>
    </row>
    <row r="868">
      <c r="A868" s="4"/>
    </row>
    <row r="869">
      <c r="A869" s="12"/>
    </row>
    <row r="870">
      <c r="A870" s="4"/>
    </row>
    <row r="871">
      <c r="A871" s="12"/>
    </row>
    <row r="872">
      <c r="A872" s="4"/>
    </row>
    <row r="873">
      <c r="A873" s="12"/>
    </row>
    <row r="874">
      <c r="A874" s="4"/>
    </row>
    <row r="875">
      <c r="A875" s="12"/>
    </row>
    <row r="876">
      <c r="A876" s="4"/>
    </row>
    <row r="877">
      <c r="A877" s="12"/>
    </row>
    <row r="878">
      <c r="A878" s="4"/>
    </row>
    <row r="879">
      <c r="A879" s="12"/>
    </row>
    <row r="880">
      <c r="A880" s="4"/>
    </row>
    <row r="881">
      <c r="A881" s="12"/>
    </row>
    <row r="882">
      <c r="A882" s="4"/>
    </row>
    <row r="883">
      <c r="A883" s="12"/>
    </row>
    <row r="884">
      <c r="A884" s="4"/>
    </row>
    <row r="885">
      <c r="A885" s="12"/>
    </row>
    <row r="886">
      <c r="A886" s="4"/>
    </row>
    <row r="887">
      <c r="A887" s="12"/>
    </row>
    <row r="888">
      <c r="A888" s="4"/>
    </row>
    <row r="889">
      <c r="A889" s="12"/>
    </row>
    <row r="890">
      <c r="A890" s="4"/>
    </row>
    <row r="891">
      <c r="A891" s="12"/>
    </row>
    <row r="892">
      <c r="A892" s="4"/>
    </row>
    <row r="893">
      <c r="A893" s="12"/>
    </row>
    <row r="894">
      <c r="A894" s="4"/>
    </row>
    <row r="895">
      <c r="A895" s="12"/>
    </row>
    <row r="896">
      <c r="A896" s="4"/>
    </row>
    <row r="897">
      <c r="A897" s="12"/>
    </row>
    <row r="898">
      <c r="A898" s="4"/>
    </row>
    <row r="899">
      <c r="A899" s="12"/>
    </row>
    <row r="900">
      <c r="A900" s="4"/>
    </row>
    <row r="901">
      <c r="A901" s="12"/>
    </row>
    <row r="902">
      <c r="A902" s="4"/>
    </row>
    <row r="903">
      <c r="A903" s="12"/>
    </row>
    <row r="904">
      <c r="A904" s="4"/>
    </row>
    <row r="905">
      <c r="A905" s="12"/>
    </row>
    <row r="906">
      <c r="A906" s="4"/>
    </row>
    <row r="907">
      <c r="A907" s="12"/>
    </row>
    <row r="908">
      <c r="A908" s="4"/>
    </row>
    <row r="909">
      <c r="A909" s="12"/>
    </row>
    <row r="910">
      <c r="A910" s="4"/>
    </row>
    <row r="911">
      <c r="A911" s="12"/>
    </row>
    <row r="912">
      <c r="A912" s="4"/>
    </row>
    <row r="913">
      <c r="A913" s="12"/>
    </row>
    <row r="914">
      <c r="A914" s="4"/>
    </row>
    <row r="915">
      <c r="A915" s="12"/>
    </row>
    <row r="916">
      <c r="A916" s="4"/>
    </row>
    <row r="917">
      <c r="A917" s="12"/>
    </row>
    <row r="918">
      <c r="A918" s="4"/>
    </row>
    <row r="919">
      <c r="A919" s="12"/>
    </row>
    <row r="920">
      <c r="A920" s="4"/>
    </row>
    <row r="921">
      <c r="A921" s="12"/>
    </row>
    <row r="922">
      <c r="A922" s="4"/>
    </row>
    <row r="923">
      <c r="A923" s="12"/>
    </row>
    <row r="924">
      <c r="A924" s="4"/>
    </row>
    <row r="925">
      <c r="A925" s="12"/>
    </row>
    <row r="926">
      <c r="A926" s="4"/>
    </row>
    <row r="927">
      <c r="A927" s="12"/>
    </row>
    <row r="928">
      <c r="A928" s="4"/>
    </row>
    <row r="929">
      <c r="A929" s="12"/>
    </row>
    <row r="930">
      <c r="A930" s="4"/>
    </row>
    <row r="931">
      <c r="A931" s="12"/>
    </row>
    <row r="932">
      <c r="A932" s="4"/>
    </row>
    <row r="933">
      <c r="A933" s="12"/>
    </row>
    <row r="934">
      <c r="A934" s="4"/>
    </row>
    <row r="935">
      <c r="A935" s="12"/>
    </row>
    <row r="936">
      <c r="A936" s="4"/>
    </row>
    <row r="937">
      <c r="A937" s="12"/>
    </row>
    <row r="938">
      <c r="A938" s="4"/>
    </row>
    <row r="939">
      <c r="A939" s="12"/>
    </row>
    <row r="940">
      <c r="A940" s="4"/>
    </row>
    <row r="941">
      <c r="A941" s="12"/>
    </row>
    <row r="942">
      <c r="A942" s="4"/>
    </row>
    <row r="943">
      <c r="A943" s="12"/>
    </row>
    <row r="944">
      <c r="A944" s="4"/>
    </row>
    <row r="945">
      <c r="A945" s="12"/>
    </row>
    <row r="946">
      <c r="A946" s="4"/>
    </row>
    <row r="947">
      <c r="A947" s="12"/>
    </row>
    <row r="948">
      <c r="A948" s="4"/>
    </row>
    <row r="949">
      <c r="A949" s="12"/>
    </row>
    <row r="950">
      <c r="A950" s="4"/>
    </row>
    <row r="951">
      <c r="A951" s="12"/>
    </row>
    <row r="952">
      <c r="A952" s="4"/>
    </row>
    <row r="953">
      <c r="A953" s="12"/>
    </row>
    <row r="954">
      <c r="A954" s="4"/>
    </row>
    <row r="955">
      <c r="A955" s="12"/>
    </row>
    <row r="956">
      <c r="A956" s="4"/>
    </row>
    <row r="957">
      <c r="A957" s="12"/>
    </row>
    <row r="958">
      <c r="A958" s="4"/>
    </row>
    <row r="959">
      <c r="A959" s="12"/>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33</v>
      </c>
    </row>
    <row r="3">
      <c r="A3" s="4" t="s">
        <v>34</v>
      </c>
    </row>
    <row r="4">
      <c r="A4" s="4" t="s">
        <v>565</v>
      </c>
    </row>
    <row r="5">
      <c r="A5" s="4" t="s">
        <v>40</v>
      </c>
    </row>
    <row r="6">
      <c r="A6" s="4" t="s">
        <v>75</v>
      </c>
    </row>
    <row r="7">
      <c r="A7" s="4" t="s">
        <v>119</v>
      </c>
    </row>
    <row r="8">
      <c r="A8" s="4" t="s">
        <v>166</v>
      </c>
    </row>
    <row r="9">
      <c r="A9" s="4" t="s">
        <v>33</v>
      </c>
    </row>
    <row r="10">
      <c r="A10" s="4" t="s">
        <v>34</v>
      </c>
    </row>
    <row r="11">
      <c r="A11" s="4" t="s">
        <v>44</v>
      </c>
    </row>
    <row r="12">
      <c r="A12" s="4" t="s">
        <v>119</v>
      </c>
    </row>
    <row r="13">
      <c r="A13" s="4" t="s">
        <v>500</v>
      </c>
    </row>
    <row r="14">
      <c r="A14" s="4" t="s">
        <v>109</v>
      </c>
    </row>
    <row r="15">
      <c r="A15" s="4" t="s">
        <v>4864</v>
      </c>
    </row>
    <row r="16">
      <c r="A16" s="4" t="s">
        <v>88</v>
      </c>
    </row>
    <row r="17">
      <c r="A17" s="4" t="s">
        <v>89</v>
      </c>
    </row>
    <row r="18">
      <c r="A18" s="4" t="s">
        <v>33</v>
      </c>
    </row>
    <row r="19">
      <c r="A19" s="4" t="s">
        <v>506</v>
      </c>
    </row>
    <row r="20">
      <c r="A20" s="4" t="s">
        <v>565</v>
      </c>
    </row>
    <row r="21">
      <c r="A21" s="4" t="s">
        <v>549</v>
      </c>
    </row>
    <row r="22">
      <c r="A22" s="4" t="s">
        <v>110</v>
      </c>
    </row>
    <row r="23">
      <c r="A23" s="4" t="s">
        <v>33</v>
      </c>
    </row>
    <row r="24">
      <c r="A24" s="4" t="s">
        <v>34</v>
      </c>
    </row>
    <row r="25">
      <c r="A25" s="4" t="s">
        <v>509</v>
      </c>
    </row>
    <row r="26">
      <c r="A26" s="4" t="s">
        <v>92</v>
      </c>
    </row>
    <row r="27">
      <c r="A27" s="4" t="s">
        <v>510</v>
      </c>
    </row>
    <row r="28">
      <c r="A28" s="4" t="s">
        <v>33</v>
      </c>
    </row>
    <row r="29">
      <c r="A29" s="4" t="s">
        <v>1359</v>
      </c>
    </row>
    <row r="30">
      <c r="A30" s="4" t="s">
        <v>509</v>
      </c>
    </row>
    <row r="31">
      <c r="A31" s="4" t="s">
        <v>3009</v>
      </c>
    </row>
    <row r="32">
      <c r="A32" s="4" t="s">
        <v>3010</v>
      </c>
    </row>
    <row r="33">
      <c r="A33" s="4" t="s">
        <v>33</v>
      </c>
    </row>
    <row r="34">
      <c r="A34" s="4" t="s">
        <v>1350</v>
      </c>
    </row>
    <row r="35">
      <c r="A35" s="4" t="s">
        <v>48</v>
      </c>
    </row>
    <row r="36">
      <c r="A36" s="4" t="s">
        <v>145</v>
      </c>
    </row>
    <row r="37">
      <c r="A37" s="4" t="s">
        <v>90</v>
      </c>
    </row>
    <row r="38">
      <c r="A38" s="4" t="s">
        <v>36</v>
      </c>
    </row>
    <row r="39">
      <c r="A39" s="4" t="s">
        <v>540</v>
      </c>
    </row>
    <row r="40">
      <c r="A40" s="4" t="s">
        <v>33</v>
      </c>
    </row>
    <row r="41">
      <c r="A41" s="4" t="s">
        <v>34</v>
      </c>
    </row>
    <row r="42">
      <c r="A42" s="4" t="s">
        <v>90</v>
      </c>
    </row>
    <row r="43">
      <c r="A43" s="4" t="s">
        <v>44</v>
      </c>
    </row>
    <row r="44">
      <c r="A44" s="4" t="s">
        <v>513</v>
      </c>
    </row>
    <row r="45">
      <c r="A45" s="4" t="s">
        <v>7491</v>
      </c>
    </row>
    <row r="46">
      <c r="A46" s="4" t="s">
        <v>518</v>
      </c>
    </row>
    <row r="47">
      <c r="A47" s="4" t="s">
        <v>34</v>
      </c>
    </row>
    <row r="48">
      <c r="A48" s="4" t="s">
        <v>7492</v>
      </c>
    </row>
    <row r="49">
      <c r="A49" s="4" t="s">
        <v>33</v>
      </c>
    </row>
    <row r="50">
      <c r="A50" s="4" t="s">
        <v>34</v>
      </c>
    </row>
    <row r="51">
      <c r="A51" s="4" t="s">
        <v>44</v>
      </c>
    </row>
    <row r="52">
      <c r="A52" s="4" t="s">
        <v>513</v>
      </c>
    </row>
    <row r="53">
      <c r="A53" s="4" t="s">
        <v>533</v>
      </c>
    </row>
    <row r="54">
      <c r="A54" s="4" t="s">
        <v>116</v>
      </c>
    </row>
    <row r="55">
      <c r="A55" s="4" t="s">
        <v>4879</v>
      </c>
    </row>
    <row r="56">
      <c r="A56" s="4" t="s">
        <v>137</v>
      </c>
    </row>
    <row r="57">
      <c r="A57" s="4" t="s">
        <v>48</v>
      </c>
    </row>
    <row r="58">
      <c r="A58" s="4" t="s">
        <v>107</v>
      </c>
    </row>
    <row r="59">
      <c r="A59" s="4" t="s">
        <v>39</v>
      </c>
    </row>
    <row r="60">
      <c r="A60" s="4" t="s">
        <v>40</v>
      </c>
    </row>
    <row r="61">
      <c r="A61" s="4" t="s">
        <v>33</v>
      </c>
    </row>
    <row r="62">
      <c r="A62" s="4" t="s">
        <v>540</v>
      </c>
    </row>
    <row r="63">
      <c r="A63" s="4" t="s">
        <v>41</v>
      </c>
    </row>
    <row r="64">
      <c r="A64" s="4" t="s">
        <v>1548</v>
      </c>
    </row>
    <row r="65">
      <c r="A65" s="4" t="s">
        <v>50</v>
      </c>
    </row>
    <row r="66">
      <c r="A66" s="4" t="s">
        <v>40</v>
      </c>
    </row>
    <row r="67">
      <c r="A67" s="4" t="s">
        <v>129</v>
      </c>
    </row>
    <row r="68">
      <c r="A68" s="4" t="s">
        <v>1350</v>
      </c>
    </row>
    <row r="69">
      <c r="A69" s="4" t="s">
        <v>48</v>
      </c>
    </row>
    <row r="70">
      <c r="A70" s="4" t="s">
        <v>126</v>
      </c>
    </row>
    <row r="71">
      <c r="A71" s="4" t="s">
        <v>9365</v>
      </c>
    </row>
    <row r="72">
      <c r="A72" s="4" t="s">
        <v>33</v>
      </c>
    </row>
    <row r="73">
      <c r="A73" s="4" t="s">
        <v>560</v>
      </c>
    </row>
    <row r="74">
      <c r="A74" s="4" t="s">
        <v>107</v>
      </c>
    </row>
    <row r="75">
      <c r="A75" s="4" t="s">
        <v>41</v>
      </c>
    </row>
    <row r="76">
      <c r="A76" s="4" t="s">
        <v>42</v>
      </c>
    </row>
    <row r="77">
      <c r="A77" s="4" t="s">
        <v>48</v>
      </c>
    </row>
    <row r="78">
      <c r="A78" s="4" t="s">
        <v>115</v>
      </c>
    </row>
    <row r="79">
      <c r="A79" s="4" t="s">
        <v>116</v>
      </c>
    </row>
    <row r="80">
      <c r="A80" s="4" t="s">
        <v>1354</v>
      </c>
    </row>
    <row r="81">
      <c r="A81" s="4" t="s">
        <v>139</v>
      </c>
    </row>
    <row r="82">
      <c r="A82" s="4" t="s">
        <v>41</v>
      </c>
    </row>
    <row r="83">
      <c r="A83" s="4" t="s">
        <v>9366</v>
      </c>
    </row>
    <row r="84">
      <c r="A84" s="4" t="s">
        <v>33</v>
      </c>
    </row>
    <row r="85">
      <c r="A85" s="4" t="s">
        <v>500</v>
      </c>
    </row>
    <row r="86">
      <c r="A86" s="4" t="s">
        <v>48</v>
      </c>
    </row>
    <row r="87">
      <c r="A87" s="4" t="s">
        <v>139</v>
      </c>
    </row>
    <row r="88">
      <c r="A88" s="4" t="s">
        <v>44</v>
      </c>
    </row>
    <row r="89">
      <c r="A89" s="4" t="s">
        <v>119</v>
      </c>
    </row>
    <row r="90">
      <c r="A90" s="4" t="s">
        <v>62</v>
      </c>
    </row>
    <row r="91">
      <c r="A91" s="4" t="s">
        <v>523</v>
      </c>
    </row>
    <row r="92">
      <c r="A92" s="4" t="s">
        <v>33</v>
      </c>
    </row>
    <row r="93">
      <c r="A93" s="4" t="s">
        <v>34</v>
      </c>
    </row>
    <row r="94">
      <c r="A94" s="4" t="s">
        <v>44</v>
      </c>
    </row>
    <row r="95">
      <c r="A95" s="4" t="s">
        <v>513</v>
      </c>
    </row>
    <row r="96">
      <c r="A96" s="4" t="s">
        <v>533</v>
      </c>
    </row>
    <row r="97">
      <c r="A97" s="4" t="s">
        <v>518</v>
      </c>
    </row>
    <row r="98">
      <c r="A98" s="4" t="s">
        <v>34</v>
      </c>
    </row>
    <row r="99">
      <c r="A99" s="4" t="s">
        <v>1230</v>
      </c>
    </row>
    <row r="100">
      <c r="A100" s="4" t="s">
        <v>48</v>
      </c>
    </row>
    <row r="101">
      <c r="A101" s="4" t="s">
        <v>9367</v>
      </c>
    </row>
    <row r="102">
      <c r="A102" s="4" t="s">
        <v>33</v>
      </c>
    </row>
    <row r="103">
      <c r="A103" s="4" t="s">
        <v>34</v>
      </c>
    </row>
    <row r="104">
      <c r="A104" s="4" t="s">
        <v>44</v>
      </c>
    </row>
    <row r="105">
      <c r="A105" s="4" t="s">
        <v>513</v>
      </c>
    </row>
    <row r="106">
      <c r="A106" s="4" t="s">
        <v>533</v>
      </c>
    </row>
    <row r="107">
      <c r="A107" s="4" t="s">
        <v>116</v>
      </c>
    </row>
    <row r="108">
      <c r="A108" s="4" t="s">
        <v>1354</v>
      </c>
    </row>
    <row r="109">
      <c r="A109" s="4" t="s">
        <v>9368</v>
      </c>
    </row>
    <row r="110">
      <c r="A110" s="4" t="s">
        <v>33</v>
      </c>
    </row>
    <row r="111">
      <c r="A111" s="4" t="s">
        <v>34</v>
      </c>
    </row>
    <row r="112">
      <c r="A112" s="4" t="s">
        <v>44</v>
      </c>
    </row>
    <row r="113">
      <c r="A113" s="4" t="s">
        <v>513</v>
      </c>
    </row>
    <row r="114">
      <c r="A114" s="4" t="s">
        <v>533</v>
      </c>
    </row>
    <row r="115">
      <c r="A115" s="4" t="s">
        <v>518</v>
      </c>
    </row>
    <row r="116">
      <c r="A116" s="4" t="s">
        <v>506</v>
      </c>
    </row>
    <row r="117">
      <c r="A117" s="4" t="s">
        <v>9369</v>
      </c>
    </row>
    <row r="118">
      <c r="A118" s="4" t="s">
        <v>88</v>
      </c>
    </row>
    <row r="119">
      <c r="A119" s="4" t="s">
        <v>75</v>
      </c>
    </row>
    <row r="120">
      <c r="A120" s="4" t="s">
        <v>33</v>
      </c>
    </row>
    <row r="121">
      <c r="A121" s="4" t="s">
        <v>500</v>
      </c>
    </row>
    <row r="122">
      <c r="A122" s="4" t="s">
        <v>48</v>
      </c>
    </row>
    <row r="123">
      <c r="A123" s="4" t="s">
        <v>139</v>
      </c>
    </row>
    <row r="124">
      <c r="A124" s="4" t="s">
        <v>50</v>
      </c>
    </row>
    <row r="125">
      <c r="A125" s="4" t="s">
        <v>129</v>
      </c>
    </row>
    <row r="126">
      <c r="A126" s="4" t="s">
        <v>62</v>
      </c>
    </row>
    <row r="127">
      <c r="A127" s="4" t="s">
        <v>9370</v>
      </c>
    </row>
    <row r="128">
      <c r="A128" s="4" t="s">
        <v>63</v>
      </c>
    </row>
    <row r="129">
      <c r="A129" s="4" t="s">
        <v>33</v>
      </c>
    </row>
    <row r="130">
      <c r="A130" s="4" t="s">
        <v>34</v>
      </c>
    </row>
    <row r="131">
      <c r="A131" s="4" t="s">
        <v>509</v>
      </c>
    </row>
    <row r="132">
      <c r="A132" s="4" t="s">
        <v>92</v>
      </c>
    </row>
    <row r="133">
      <c r="A133" s="4" t="s">
        <v>510</v>
      </c>
    </row>
    <row r="134">
      <c r="A134" s="4" t="s">
        <v>50</v>
      </c>
    </row>
    <row r="135">
      <c r="A135" s="4" t="s">
        <v>40</v>
      </c>
    </row>
    <row r="136">
      <c r="A136" s="4" t="s">
        <v>33</v>
      </c>
    </row>
    <row r="137">
      <c r="A137" s="4" t="s">
        <v>500</v>
      </c>
    </row>
    <row r="138">
      <c r="A138" s="4" t="s">
        <v>44</v>
      </c>
    </row>
    <row r="139">
      <c r="A139" s="4" t="s">
        <v>518</v>
      </c>
    </row>
    <row r="140">
      <c r="A140" s="4" t="s">
        <v>34</v>
      </c>
    </row>
    <row r="141">
      <c r="A141" s="4" t="s">
        <v>519</v>
      </c>
    </row>
    <row r="142">
      <c r="A142" s="4" t="s">
        <v>520</v>
      </c>
    </row>
    <row r="143">
      <c r="A143" s="4" t="s">
        <v>88</v>
      </c>
    </row>
    <row r="144">
      <c r="A144" s="4" t="s">
        <v>89</v>
      </c>
    </row>
    <row r="145">
      <c r="A145" s="4" t="s">
        <v>33</v>
      </c>
    </row>
    <row r="146">
      <c r="A146" s="4" t="s">
        <v>560</v>
      </c>
    </row>
    <row r="147">
      <c r="A147" s="4" t="s">
        <v>107</v>
      </c>
    </row>
    <row r="148">
      <c r="A148" s="4" t="s">
        <v>41</v>
      </c>
    </row>
    <row r="149">
      <c r="A149" s="4" t="s">
        <v>42</v>
      </c>
    </row>
    <row r="150">
      <c r="A150" s="4" t="s">
        <v>48</v>
      </c>
    </row>
    <row r="151">
      <c r="A151" s="4" t="s">
        <v>115</v>
      </c>
    </row>
    <row r="152">
      <c r="A152" s="4" t="s">
        <v>116</v>
      </c>
    </row>
    <row r="153">
      <c r="A153" s="4" t="s">
        <v>3678</v>
      </c>
    </row>
    <row r="154">
      <c r="A154" s="4" t="s">
        <v>65</v>
      </c>
    </row>
    <row r="155">
      <c r="A155" s="4" t="s">
        <v>33</v>
      </c>
    </row>
    <row r="156">
      <c r="A156" s="4" t="s">
        <v>34</v>
      </c>
    </row>
    <row r="157">
      <c r="A157" s="4" t="s">
        <v>44</v>
      </c>
    </row>
    <row r="158">
      <c r="A158" s="4" t="s">
        <v>513</v>
      </c>
    </row>
    <row r="159">
      <c r="A159" s="4" t="s">
        <v>533</v>
      </c>
    </row>
    <row r="160">
      <c r="A160" s="4" t="s">
        <v>139</v>
      </c>
    </row>
    <row r="161">
      <c r="A161" s="4" t="s">
        <v>48</v>
      </c>
    </row>
    <row r="162">
      <c r="A162" s="4" t="s">
        <v>9371</v>
      </c>
    </row>
    <row r="163">
      <c r="A163" s="4" t="s">
        <v>48</v>
      </c>
    </row>
    <row r="164">
      <c r="A164" s="4" t="s">
        <v>107</v>
      </c>
    </row>
    <row r="165">
      <c r="A165" s="4" t="s">
        <v>41</v>
      </c>
    </row>
    <row r="166">
      <c r="A166" s="4" t="s">
        <v>892</v>
      </c>
    </row>
    <row r="167">
      <c r="A167" s="4" t="s">
        <v>33</v>
      </c>
    </row>
    <row r="168">
      <c r="A168" s="4" t="s">
        <v>34</v>
      </c>
    </row>
    <row r="169">
      <c r="A169" s="4" t="s">
        <v>509</v>
      </c>
    </row>
    <row r="170">
      <c r="A170" s="4" t="s">
        <v>92</v>
      </c>
    </row>
    <row r="171">
      <c r="A171" s="4" t="s">
        <v>510</v>
      </c>
    </row>
    <row r="172">
      <c r="A172" s="4" t="s">
        <v>90</v>
      </c>
    </row>
    <row r="173">
      <c r="A173" s="4" t="s">
        <v>44</v>
      </c>
    </row>
    <row r="174">
      <c r="A174" s="4" t="s">
        <v>522</v>
      </c>
    </row>
    <row r="175">
      <c r="A175" s="4" t="s">
        <v>33</v>
      </c>
    </row>
    <row r="176">
      <c r="A176" s="4" t="s">
        <v>1359</v>
      </c>
    </row>
    <row r="177">
      <c r="A177" s="4" t="s">
        <v>107</v>
      </c>
    </row>
    <row r="178">
      <c r="A178" s="4" t="s">
        <v>41</v>
      </c>
    </row>
    <row r="179">
      <c r="A179" s="4" t="s">
        <v>42</v>
      </c>
    </row>
    <row r="180">
      <c r="A180" s="4" t="s">
        <v>48</v>
      </c>
    </row>
    <row r="181">
      <c r="A181" s="4" t="s">
        <v>115</v>
      </c>
    </row>
    <row r="182">
      <c r="A182" s="4" t="s">
        <v>116</v>
      </c>
    </row>
    <row r="183">
      <c r="A183" s="4" t="s">
        <v>1354</v>
      </c>
    </row>
    <row r="184">
      <c r="A184" s="4" t="s">
        <v>9372</v>
      </c>
    </row>
    <row r="185">
      <c r="A185" s="4" t="s">
        <v>9373</v>
      </c>
    </row>
    <row r="186">
      <c r="A186" s="4" t="s">
        <v>33</v>
      </c>
    </row>
    <row r="187">
      <c r="A187" s="4" t="s">
        <v>506</v>
      </c>
    </row>
    <row r="188">
      <c r="A188" s="4" t="s">
        <v>872</v>
      </c>
    </row>
    <row r="189">
      <c r="A189" s="4" t="s">
        <v>9374</v>
      </c>
    </row>
    <row r="190">
      <c r="A190" s="4" t="s">
        <v>9375</v>
      </c>
    </row>
    <row r="191">
      <c r="A191" s="4" t="s">
        <v>44</v>
      </c>
    </row>
    <row r="192">
      <c r="A192" s="4" t="s">
        <v>498</v>
      </c>
    </row>
    <row r="193">
      <c r="A193" s="4" t="s">
        <v>537</v>
      </c>
    </row>
    <row r="194">
      <c r="A194" s="4" t="s">
        <v>130</v>
      </c>
    </row>
    <row r="195">
      <c r="A195" s="4" t="s">
        <v>946</v>
      </c>
    </row>
    <row r="196">
      <c r="A196" s="4" t="s">
        <v>9376</v>
      </c>
    </row>
    <row r="197">
      <c r="A197" s="4" t="s">
        <v>3677</v>
      </c>
    </row>
    <row r="198">
      <c r="A198" s="4" t="s">
        <v>57</v>
      </c>
    </row>
    <row r="199">
      <c r="A199" s="4" t="s">
        <v>33</v>
      </c>
    </row>
    <row r="200">
      <c r="A200" s="4" t="s">
        <v>64</v>
      </c>
    </row>
    <row r="201">
      <c r="A201" s="4" t="s">
        <v>499</v>
      </c>
    </row>
    <row r="202">
      <c r="A202" s="4" t="s">
        <v>40</v>
      </c>
    </row>
    <row r="203">
      <c r="A203" s="4" t="s">
        <v>128</v>
      </c>
    </row>
    <row r="204">
      <c r="A204" s="4" t="s">
        <v>129</v>
      </c>
    </row>
    <row r="205">
      <c r="A205" s="4" t="s">
        <v>109</v>
      </c>
    </row>
    <row r="206">
      <c r="A206" s="4" t="s">
        <v>501</v>
      </c>
    </row>
    <row r="207">
      <c r="A207" s="4" t="s">
        <v>33</v>
      </c>
    </row>
    <row r="208">
      <c r="A208" s="4" t="s">
        <v>34</v>
      </c>
    </row>
    <row r="209">
      <c r="A209" s="4" t="s">
        <v>44</v>
      </c>
    </row>
    <row r="210">
      <c r="A210" s="4" t="s">
        <v>513</v>
      </c>
    </row>
    <row r="211">
      <c r="A211" s="4" t="s">
        <v>533</v>
      </c>
    </row>
    <row r="212">
      <c r="A212" s="4" t="s">
        <v>116</v>
      </c>
    </row>
    <row r="213">
      <c r="A213" s="4" t="s">
        <v>1378</v>
      </c>
    </row>
    <row r="214">
      <c r="A214" s="4" t="s">
        <v>41</v>
      </c>
    </row>
    <row r="215">
      <c r="A215" s="4" t="s">
        <v>912</v>
      </c>
    </row>
    <row r="216">
      <c r="A216" s="4" t="s">
        <v>40</v>
      </c>
    </row>
    <row r="217">
      <c r="A217" s="4" t="s">
        <v>520</v>
      </c>
    </row>
    <row r="218">
      <c r="A218" s="4" t="s">
        <v>9377</v>
      </c>
    </row>
    <row r="219">
      <c r="A219" s="4" t="s">
        <v>33</v>
      </c>
    </row>
    <row r="220">
      <c r="A220" s="4" t="s">
        <v>34</v>
      </c>
    </row>
    <row r="221">
      <c r="A221" s="4" t="s">
        <v>497</v>
      </c>
    </row>
    <row r="222">
      <c r="A222" s="4" t="s">
        <v>498</v>
      </c>
    </row>
    <row r="223">
      <c r="A223" s="4" t="s">
        <v>50</v>
      </c>
    </row>
    <row r="224">
      <c r="A224" s="4" t="s">
        <v>129</v>
      </c>
    </row>
    <row r="225">
      <c r="A225" s="4" t="s">
        <v>500</v>
      </c>
    </row>
    <row r="226">
      <c r="A226" s="4" t="s">
        <v>8019</v>
      </c>
    </row>
    <row r="227">
      <c r="A227" s="4" t="s">
        <v>40</v>
      </c>
    </row>
    <row r="228">
      <c r="A228" s="4" t="s">
        <v>552</v>
      </c>
    </row>
    <row r="229">
      <c r="A229" s="4" t="s">
        <v>9378</v>
      </c>
    </row>
    <row r="230">
      <c r="A230" s="4" t="s">
        <v>9379</v>
      </c>
    </row>
    <row r="231">
      <c r="A231" s="4" t="s">
        <v>9380</v>
      </c>
    </row>
    <row r="232">
      <c r="A232" s="4" t="s">
        <v>9381</v>
      </c>
    </row>
    <row r="233">
      <c r="A233" s="4" t="s">
        <v>9382</v>
      </c>
    </row>
    <row r="234">
      <c r="A234" s="4" t="s">
        <v>3016</v>
      </c>
    </row>
    <row r="235">
      <c r="A235" s="4" t="s">
        <v>3014</v>
      </c>
    </row>
    <row r="236">
      <c r="A236" s="4" t="s">
        <v>33</v>
      </c>
    </row>
    <row r="237">
      <c r="A237" s="4" t="s">
        <v>560</v>
      </c>
    </row>
    <row r="238">
      <c r="A238" s="4" t="s">
        <v>107</v>
      </c>
    </row>
    <row r="239">
      <c r="A239" s="4" t="s">
        <v>41</v>
      </c>
    </row>
    <row r="240">
      <c r="A240" s="4" t="s">
        <v>42</v>
      </c>
    </row>
    <row r="241">
      <c r="A241" s="4" t="s">
        <v>48</v>
      </c>
    </row>
    <row r="242">
      <c r="A242" s="4" t="s">
        <v>115</v>
      </c>
    </row>
    <row r="243">
      <c r="A243" s="4" t="s">
        <v>116</v>
      </c>
    </row>
    <row r="244">
      <c r="A244" s="4" t="s">
        <v>3678</v>
      </c>
    </row>
    <row r="245">
      <c r="A245" s="4" t="s">
        <v>65</v>
      </c>
    </row>
    <row r="246">
      <c r="A246" s="4" t="s">
        <v>33</v>
      </c>
    </row>
    <row r="247">
      <c r="A247" s="4" t="s">
        <v>34</v>
      </c>
    </row>
    <row r="248">
      <c r="A248" s="4" t="s">
        <v>110</v>
      </c>
    </row>
    <row r="249">
      <c r="A249" s="4" t="s">
        <v>44</v>
      </c>
    </row>
    <row r="250">
      <c r="A250" s="4" t="s">
        <v>2604</v>
      </c>
    </row>
    <row r="251">
      <c r="A251" s="4" t="s">
        <v>48</v>
      </c>
    </row>
    <row r="252">
      <c r="A252" s="4" t="s">
        <v>98</v>
      </c>
    </row>
    <row r="253">
      <c r="A253" s="4" t="s">
        <v>9383</v>
      </c>
    </row>
    <row r="254">
      <c r="A254" s="4" t="s">
        <v>48</v>
      </c>
    </row>
    <row r="255">
      <c r="A255" s="4" t="s">
        <v>9384</v>
      </c>
    </row>
    <row r="256">
      <c r="A256" s="4" t="s">
        <v>9385</v>
      </c>
    </row>
    <row r="257">
      <c r="A257" s="4" t="s">
        <v>33</v>
      </c>
    </row>
    <row r="258">
      <c r="A258" s="4" t="s">
        <v>9386</v>
      </c>
    </row>
    <row r="259">
      <c r="A259" s="4" t="s">
        <v>500</v>
      </c>
    </row>
    <row r="260">
      <c r="A260" s="4" t="s">
        <v>551</v>
      </c>
    </row>
    <row r="261">
      <c r="A261" s="4" t="s">
        <v>512</v>
      </c>
    </row>
    <row r="262">
      <c r="A262" s="4" t="s">
        <v>115</v>
      </c>
    </row>
    <row r="263">
      <c r="A263" s="4" t="s">
        <v>92</v>
      </c>
    </row>
    <row r="264">
      <c r="A264" s="4" t="s">
        <v>93</v>
      </c>
    </row>
    <row r="265">
      <c r="A265" s="4" t="s">
        <v>33</v>
      </c>
    </row>
    <row r="266">
      <c r="A266" s="4" t="s">
        <v>540</v>
      </c>
    </row>
    <row r="267">
      <c r="A267" s="4" t="s">
        <v>41</v>
      </c>
    </row>
    <row r="268">
      <c r="A268" s="4" t="s">
        <v>939</v>
      </c>
    </row>
    <row r="269">
      <c r="A269" s="4" t="s">
        <v>39</v>
      </c>
    </row>
    <row r="270">
      <c r="A270" s="4" t="s">
        <v>40</v>
      </c>
    </row>
    <row r="271">
      <c r="A271" s="4" t="s">
        <v>129</v>
      </c>
    </row>
    <row r="272">
      <c r="A272" s="4" t="s">
        <v>1350</v>
      </c>
    </row>
    <row r="273">
      <c r="A273" s="4" t="s">
        <v>48</v>
      </c>
    </row>
    <row r="274">
      <c r="A274" s="4" t="s">
        <v>126</v>
      </c>
    </row>
    <row r="275">
      <c r="A275" s="4" t="s">
        <v>139</v>
      </c>
    </row>
    <row r="276">
      <c r="A276" s="4" t="s">
        <v>41</v>
      </c>
    </row>
    <row r="277">
      <c r="A277" s="4" t="s">
        <v>1338</v>
      </c>
    </row>
    <row r="278">
      <c r="A278" s="4" t="s">
        <v>33</v>
      </c>
    </row>
    <row r="279">
      <c r="A279" s="4" t="s">
        <v>560</v>
      </c>
    </row>
    <row r="280">
      <c r="A280" s="4" t="s">
        <v>50</v>
      </c>
    </row>
    <row r="281">
      <c r="A281" s="4" t="s">
        <v>40</v>
      </c>
    </row>
    <row r="282">
      <c r="A282" s="4" t="s">
        <v>129</v>
      </c>
    </row>
    <row r="283">
      <c r="A283" s="4" t="s">
        <v>557</v>
      </c>
    </row>
    <row r="284">
      <c r="A284" s="4" t="s">
        <v>126</v>
      </c>
    </row>
    <row r="285">
      <c r="A285" s="4" t="s">
        <v>1548</v>
      </c>
    </row>
    <row r="286">
      <c r="A286" s="4" t="s">
        <v>48</v>
      </c>
    </row>
    <row r="287">
      <c r="A287" s="4" t="s">
        <v>126</v>
      </c>
    </row>
    <row r="288">
      <c r="A288" s="4" t="s">
        <v>139</v>
      </c>
    </row>
    <row r="289">
      <c r="A289" s="4" t="s">
        <v>33</v>
      </c>
    </row>
    <row r="290">
      <c r="A290" s="4" t="s">
        <v>34</v>
      </c>
    </row>
    <row r="291">
      <c r="A291" s="4" t="s">
        <v>509</v>
      </c>
    </row>
    <row r="292">
      <c r="A292" s="4" t="s">
        <v>92</v>
      </c>
    </row>
    <row r="293">
      <c r="A293" s="4" t="s">
        <v>510</v>
      </c>
    </row>
    <row r="294">
      <c r="A294" s="4" t="s">
        <v>39</v>
      </c>
    </row>
    <row r="295">
      <c r="A295" s="4" t="s">
        <v>40</v>
      </c>
    </row>
    <row r="296">
      <c r="A296" s="4" t="s">
        <v>129</v>
      </c>
    </row>
    <row r="297">
      <c r="A297" s="4" t="s">
        <v>500</v>
      </c>
    </row>
    <row r="298">
      <c r="A298" s="4" t="s">
        <v>1362</v>
      </c>
    </row>
    <row r="299">
      <c r="A299" s="4" t="s">
        <v>33</v>
      </c>
    </row>
    <row r="300">
      <c r="A300" s="4" t="s">
        <v>1359</v>
      </c>
    </row>
    <row r="301">
      <c r="A301" s="4" t="s">
        <v>88</v>
      </c>
    </row>
    <row r="302">
      <c r="A302" s="4" t="s">
        <v>75</v>
      </c>
    </row>
    <row r="303">
      <c r="A303" s="4" t="s">
        <v>48</v>
      </c>
    </row>
    <row r="304">
      <c r="A304" s="4" t="s">
        <v>35</v>
      </c>
    </row>
    <row r="305">
      <c r="A305" s="4" t="s">
        <v>40</v>
      </c>
    </row>
    <row r="306">
      <c r="A306" s="4" t="s">
        <v>935</v>
      </c>
    </row>
    <row r="307">
      <c r="A307" s="4" t="s">
        <v>33</v>
      </c>
    </row>
    <row r="308">
      <c r="A308" s="4" t="s">
        <v>34</v>
      </c>
    </row>
    <row r="309">
      <c r="A309" s="4" t="s">
        <v>44</v>
      </c>
    </row>
    <row r="310">
      <c r="A310" s="4" t="s">
        <v>513</v>
      </c>
    </row>
    <row r="311">
      <c r="A311" s="4" t="s">
        <v>533</v>
      </c>
    </row>
    <row r="312">
      <c r="A312" s="4" t="s">
        <v>116</v>
      </c>
    </row>
    <row r="313">
      <c r="A313" s="4" t="s">
        <v>155</v>
      </c>
    </row>
    <row r="314">
      <c r="A314" s="4" t="s">
        <v>41</v>
      </c>
    </row>
    <row r="315">
      <c r="A315" s="4" t="s">
        <v>139</v>
      </c>
    </row>
    <row r="316">
      <c r="A316" s="4" t="s">
        <v>107</v>
      </c>
    </row>
    <row r="317">
      <c r="A317" s="4" t="s">
        <v>41</v>
      </c>
    </row>
    <row r="318">
      <c r="A318" s="4" t="s">
        <v>42</v>
      </c>
    </row>
    <row r="319">
      <c r="A319" s="4" t="s">
        <v>48</v>
      </c>
    </row>
    <row r="320">
      <c r="A320" s="4" t="s">
        <v>88</v>
      </c>
    </row>
    <row r="321">
      <c r="A321" s="4" t="s">
        <v>40</v>
      </c>
    </row>
    <row r="322">
      <c r="A322" s="4" t="s">
        <v>75</v>
      </c>
    </row>
    <row r="323">
      <c r="A323" s="4" t="s">
        <v>33</v>
      </c>
    </row>
    <row r="324">
      <c r="A324" s="4" t="s">
        <v>500</v>
      </c>
    </row>
    <row r="325">
      <c r="A325" s="4" t="s">
        <v>48</v>
      </c>
    </row>
    <row r="326">
      <c r="A326" s="4" t="s">
        <v>139</v>
      </c>
    </row>
    <row r="327">
      <c r="A327" s="4" t="s">
        <v>129</v>
      </c>
    </row>
    <row r="328">
      <c r="A328" s="4" t="s">
        <v>62</v>
      </c>
    </row>
    <row r="329">
      <c r="A329" s="4" t="s">
        <v>540</v>
      </c>
    </row>
    <row r="330">
      <c r="A330" s="4" t="s">
        <v>41</v>
      </c>
    </row>
    <row r="331">
      <c r="A331" s="4" t="s">
        <v>939</v>
      </c>
    </row>
    <row r="332">
      <c r="A332" s="4" t="s">
        <v>2995</v>
      </c>
    </row>
    <row r="333">
      <c r="A333" s="4" t="s">
        <v>9387</v>
      </c>
    </row>
    <row r="334">
      <c r="A334" s="4" t="s">
        <v>116</v>
      </c>
    </row>
    <row r="335">
      <c r="A335" s="4" t="s">
        <v>9388</v>
      </c>
    </row>
    <row r="336">
      <c r="A336" s="4" t="s">
        <v>9389</v>
      </c>
    </row>
    <row r="337">
      <c r="A337" s="4" t="s">
        <v>33</v>
      </c>
    </row>
    <row r="338">
      <c r="A338" s="4" t="s">
        <v>1359</v>
      </c>
    </row>
    <row r="339">
      <c r="A339" s="4" t="s">
        <v>107</v>
      </c>
    </row>
    <row r="340">
      <c r="A340" s="4" t="s">
        <v>41</v>
      </c>
    </row>
    <row r="341">
      <c r="A341" s="4" t="s">
        <v>3017</v>
      </c>
    </row>
    <row r="342">
      <c r="A342" s="4" t="s">
        <v>48</v>
      </c>
    </row>
    <row r="343">
      <c r="A343" s="4" t="s">
        <v>115</v>
      </c>
    </row>
    <row r="344">
      <c r="A344" s="4" t="s">
        <v>518</v>
      </c>
    </row>
    <row r="345">
      <c r="A345" s="4" t="s">
        <v>146</v>
      </c>
    </row>
    <row r="346">
      <c r="A346" s="4" t="s">
        <v>65</v>
      </c>
    </row>
    <row r="347">
      <c r="A347" s="4" t="s">
        <v>9390</v>
      </c>
    </row>
    <row r="348">
      <c r="A348" s="4" t="s">
        <v>3285</v>
      </c>
    </row>
    <row r="349">
      <c r="A349" s="4" t="s">
        <v>570</v>
      </c>
    </row>
    <row r="350">
      <c r="A350" s="4" t="s">
        <v>9391</v>
      </c>
    </row>
    <row r="351">
      <c r="A351" s="4" t="s">
        <v>9392</v>
      </c>
    </row>
    <row r="352">
      <c r="A352" s="4" t="s">
        <v>33</v>
      </c>
    </row>
    <row r="353">
      <c r="A353" s="4" t="s">
        <v>34</v>
      </c>
    </row>
    <row r="354">
      <c r="A354" s="4" t="s">
        <v>497</v>
      </c>
    </row>
    <row r="355">
      <c r="A355" s="4" t="s">
        <v>35</v>
      </c>
    </row>
    <row r="356">
      <c r="A356" s="4" t="s">
        <v>40</v>
      </c>
    </row>
    <row r="357">
      <c r="A357" s="4" t="s">
        <v>552</v>
      </c>
    </row>
    <row r="358">
      <c r="A358" s="4" t="s">
        <v>33</v>
      </c>
    </row>
    <row r="359">
      <c r="A359" s="4" t="s">
        <v>34</v>
      </c>
    </row>
    <row r="360">
      <c r="A360" s="4" t="s">
        <v>498</v>
      </c>
    </row>
    <row r="361">
      <c r="A361" s="4" t="s">
        <v>872</v>
      </c>
    </row>
    <row r="362">
      <c r="A362" s="4" t="s">
        <v>41</v>
      </c>
    </row>
    <row r="363">
      <c r="A363" s="4" t="s">
        <v>9393</v>
      </c>
    </row>
    <row r="364">
      <c r="A364" s="4" t="s">
        <v>128</v>
      </c>
    </row>
    <row r="365">
      <c r="A365" s="4" t="s">
        <v>50</v>
      </c>
    </row>
    <row r="366">
      <c r="A366" s="4" t="s">
        <v>40</v>
      </c>
    </row>
    <row r="367">
      <c r="A367" s="4" t="s">
        <v>129</v>
      </c>
    </row>
    <row r="368">
      <c r="A368" s="4" t="s">
        <v>500</v>
      </c>
    </row>
    <row r="369">
      <c r="A369" s="4" t="s">
        <v>1362</v>
      </c>
    </row>
    <row r="370">
      <c r="A370" s="4" t="s">
        <v>33</v>
      </c>
    </row>
    <row r="371">
      <c r="A371" s="4" t="s">
        <v>34</v>
      </c>
    </row>
    <row r="372">
      <c r="A372" s="4" t="s">
        <v>509</v>
      </c>
    </row>
    <row r="373">
      <c r="A373" s="4" t="s">
        <v>92</v>
      </c>
    </row>
    <row r="374">
      <c r="A374" s="4" t="s">
        <v>510</v>
      </c>
    </row>
    <row r="375">
      <c r="A375" s="4" t="s">
        <v>48</v>
      </c>
    </row>
    <row r="376">
      <c r="A376" s="4" t="s">
        <v>119</v>
      </c>
    </row>
    <row r="377">
      <c r="A377" s="4" t="s">
        <v>500</v>
      </c>
    </row>
    <row r="378">
      <c r="A378" s="4" t="s">
        <v>109</v>
      </c>
    </row>
    <row r="379">
      <c r="A379" s="4" t="s">
        <v>501</v>
      </c>
    </row>
    <row r="380">
      <c r="A380" s="4" t="s">
        <v>33</v>
      </c>
    </row>
    <row r="381">
      <c r="A381" s="4" t="s">
        <v>34</v>
      </c>
    </row>
    <row r="382">
      <c r="A382" s="4" t="s">
        <v>509</v>
      </c>
    </row>
    <row r="383">
      <c r="A383" s="4" t="s">
        <v>92</v>
      </c>
    </row>
    <row r="384">
      <c r="A384" s="4" t="s">
        <v>510</v>
      </c>
    </row>
    <row r="385">
      <c r="A385" s="4" t="s">
        <v>50</v>
      </c>
    </row>
    <row r="386">
      <c r="A386" s="4" t="s">
        <v>40</v>
      </c>
    </row>
    <row r="387">
      <c r="A387" s="4" t="s">
        <v>33</v>
      </c>
    </row>
    <row r="388">
      <c r="A388" s="4" t="s">
        <v>500</v>
      </c>
    </row>
    <row r="389">
      <c r="A389" s="4" t="s">
        <v>44</v>
      </c>
    </row>
    <row r="390">
      <c r="A390" s="4" t="s">
        <v>518</v>
      </c>
    </row>
    <row r="391">
      <c r="A391" s="4" t="s">
        <v>34</v>
      </c>
    </row>
    <row r="392">
      <c r="A392" s="4" t="s">
        <v>519</v>
      </c>
    </row>
    <row r="393">
      <c r="A393" s="4" t="s">
        <v>520</v>
      </c>
    </row>
    <row r="394">
      <c r="A394" s="4" t="s">
        <v>138</v>
      </c>
    </row>
    <row r="395">
      <c r="A395" s="4" t="s">
        <v>521</v>
      </c>
    </row>
    <row r="396">
      <c r="A396" s="4" t="s">
        <v>90</v>
      </c>
    </row>
    <row r="397">
      <c r="A397" s="4" t="s">
        <v>33</v>
      </c>
    </row>
    <row r="398">
      <c r="A398" s="4" t="s">
        <v>155</v>
      </c>
    </row>
    <row r="399">
      <c r="A399" s="4" t="s">
        <v>509</v>
      </c>
    </row>
    <row r="400">
      <c r="A400" s="4" t="s">
        <v>92</v>
      </c>
    </row>
    <row r="401">
      <c r="A401" s="4" t="s">
        <v>510</v>
      </c>
    </row>
    <row r="402">
      <c r="A402" s="4" t="s">
        <v>33</v>
      </c>
    </row>
    <row r="403">
      <c r="A403" s="4" t="s">
        <v>34</v>
      </c>
    </row>
    <row r="404">
      <c r="A404" s="4" t="s">
        <v>107</v>
      </c>
    </row>
    <row r="405">
      <c r="A405" s="4" t="s">
        <v>41</v>
      </c>
    </row>
    <row r="406">
      <c r="A406" s="4" t="s">
        <v>42</v>
      </c>
    </row>
    <row r="407">
      <c r="A407" s="4" t="s">
        <v>48</v>
      </c>
    </row>
    <row r="408">
      <c r="A408" s="4" t="s">
        <v>529</v>
      </c>
    </row>
    <row r="409">
      <c r="A409" s="4" t="s">
        <v>33</v>
      </c>
    </row>
    <row r="410">
      <c r="A410" s="4" t="s">
        <v>34</v>
      </c>
    </row>
    <row r="411">
      <c r="A411" s="4" t="s">
        <v>107</v>
      </c>
    </row>
    <row r="412">
      <c r="A412" s="4" t="s">
        <v>41</v>
      </c>
    </row>
    <row r="413">
      <c r="A413" s="4" t="s">
        <v>42</v>
      </c>
    </row>
    <row r="414">
      <c r="A414" s="4" t="s">
        <v>48</v>
      </c>
    </row>
    <row r="415">
      <c r="A415" s="4" t="s">
        <v>8022</v>
      </c>
    </row>
    <row r="416">
      <c r="A416" s="4" t="s">
        <v>50</v>
      </c>
    </row>
    <row r="417">
      <c r="A417" s="4" t="s">
        <v>40</v>
      </c>
    </row>
    <row r="418">
      <c r="A418" s="4" t="s">
        <v>33</v>
      </c>
    </row>
    <row r="419">
      <c r="A419" s="4" t="s">
        <v>62</v>
      </c>
    </row>
    <row r="420">
      <c r="A420" s="4" t="s">
        <v>523</v>
      </c>
    </row>
    <row r="421">
      <c r="A421" s="4" t="s">
        <v>88</v>
      </c>
    </row>
    <row r="422">
      <c r="A422" s="4" t="s">
        <v>75</v>
      </c>
    </row>
    <row r="423">
      <c r="A423" s="4" t="s">
        <v>48</v>
      </c>
    </row>
    <row r="424">
      <c r="A424" s="4" t="s">
        <v>35</v>
      </c>
    </row>
    <row r="425">
      <c r="A425" s="4" t="s">
        <v>107</v>
      </c>
    </row>
    <row r="426">
      <c r="A426" s="4" t="s">
        <v>41</v>
      </c>
    </row>
    <row r="427">
      <c r="A427" s="4" t="s">
        <v>42</v>
      </c>
    </row>
    <row r="428">
      <c r="A428" s="4" t="s">
        <v>9390</v>
      </c>
    </row>
    <row r="429">
      <c r="A429" s="4" t="s">
        <v>9394</v>
      </c>
    </row>
    <row r="430">
      <c r="A430" s="4" t="s">
        <v>33</v>
      </c>
    </row>
    <row r="431">
      <c r="A431" s="4" t="s">
        <v>34</v>
      </c>
    </row>
    <row r="432">
      <c r="A432" s="4" t="s">
        <v>44</v>
      </c>
    </row>
    <row r="433">
      <c r="A433" s="4" t="s">
        <v>513</v>
      </c>
    </row>
    <row r="434">
      <c r="A434" s="4" t="s">
        <v>543</v>
      </c>
    </row>
    <row r="435">
      <c r="A435" s="4" t="s">
        <v>41</v>
      </c>
    </row>
    <row r="436">
      <c r="A436" s="4" t="s">
        <v>116</v>
      </c>
    </row>
    <row r="437">
      <c r="A437" s="4" t="s">
        <v>3019</v>
      </c>
    </row>
    <row r="438">
      <c r="A438" s="4" t="s">
        <v>41</v>
      </c>
    </row>
    <row r="439">
      <c r="A439" s="4" t="s">
        <v>867</v>
      </c>
    </row>
    <row r="440">
      <c r="A440" s="4" t="s">
        <v>90</v>
      </c>
    </row>
    <row r="441">
      <c r="A441" s="4" t="s">
        <v>33</v>
      </c>
    </row>
    <row r="442">
      <c r="A442" s="4" t="s">
        <v>119</v>
      </c>
    </row>
    <row r="443">
      <c r="A443" s="4" t="s">
        <v>62</v>
      </c>
    </row>
    <row r="444">
      <c r="A444" s="4" t="s">
        <v>523</v>
      </c>
    </row>
    <row r="445">
      <c r="A445" s="4" t="s">
        <v>88</v>
      </c>
    </row>
    <row r="446">
      <c r="A446" s="4" t="s">
        <v>89</v>
      </c>
    </row>
    <row r="447">
      <c r="A447" s="4" t="s">
        <v>553</v>
      </c>
    </row>
    <row r="448">
      <c r="A448" s="4" t="s">
        <v>93</v>
      </c>
    </row>
    <row r="449">
      <c r="A449" s="4" t="s">
        <v>119</v>
      </c>
    </row>
    <row r="450">
      <c r="A450" s="4" t="s">
        <v>540</v>
      </c>
    </row>
    <row r="451">
      <c r="A451" s="4" t="s">
        <v>35</v>
      </c>
    </row>
    <row r="452">
      <c r="A452" s="4" t="s">
        <v>40</v>
      </c>
    </row>
    <row r="453">
      <c r="A453" s="4" t="s">
        <v>520</v>
      </c>
    </row>
    <row r="454">
      <c r="A454" s="4" t="s">
        <v>33</v>
      </c>
    </row>
    <row r="455">
      <c r="A455" s="4" t="s">
        <v>62</v>
      </c>
    </row>
    <row r="456">
      <c r="A456" s="4" t="s">
        <v>1217</v>
      </c>
    </row>
    <row r="457">
      <c r="A457" s="4" t="s">
        <v>88</v>
      </c>
    </row>
    <row r="458">
      <c r="A458" s="4" t="s">
        <v>40</v>
      </c>
    </row>
    <row r="459">
      <c r="A459" s="4" t="s">
        <v>75</v>
      </c>
    </row>
    <row r="460">
      <c r="A460" s="4" t="s">
        <v>33</v>
      </c>
    </row>
    <row r="461">
      <c r="A461" s="4" t="s">
        <v>34</v>
      </c>
    </row>
    <row r="462">
      <c r="A462" s="4" t="s">
        <v>44</v>
      </c>
    </row>
    <row r="463">
      <c r="A463" s="4" t="s">
        <v>513</v>
      </c>
    </row>
    <row r="464">
      <c r="A464" s="4" t="s">
        <v>533</v>
      </c>
    </row>
    <row r="465">
      <c r="A465" s="4" t="s">
        <v>518</v>
      </c>
    </row>
    <row r="466">
      <c r="A466" s="4" t="s">
        <v>9395</v>
      </c>
    </row>
    <row r="467">
      <c r="A467" s="4" t="s">
        <v>924</v>
      </c>
    </row>
    <row r="468">
      <c r="A468" s="4" t="s">
        <v>48</v>
      </c>
    </row>
    <row r="469">
      <c r="A469" s="4" t="s">
        <v>526</v>
      </c>
    </row>
    <row r="470">
      <c r="A470" s="4" t="s">
        <v>33</v>
      </c>
    </row>
    <row r="471">
      <c r="A471" s="4" t="s">
        <v>34</v>
      </c>
    </row>
    <row r="472">
      <c r="A472" s="4" t="s">
        <v>44</v>
      </c>
    </row>
    <row r="473">
      <c r="A473" s="4" t="s">
        <v>513</v>
      </c>
    </row>
    <row r="474">
      <c r="A474" s="4" t="s">
        <v>902</v>
      </c>
    </row>
    <row r="475">
      <c r="A475" s="4" t="s">
        <v>940</v>
      </c>
    </row>
    <row r="476">
      <c r="A476" s="4" t="s">
        <v>941</v>
      </c>
    </row>
    <row r="477">
      <c r="A477" s="4" t="s">
        <v>44</v>
      </c>
    </row>
    <row r="478">
      <c r="A478" s="4" t="s">
        <v>9396</v>
      </c>
    </row>
    <row r="479">
      <c r="A479" s="4" t="s">
        <v>50</v>
      </c>
    </row>
    <row r="480">
      <c r="A480" s="4" t="s">
        <v>40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175</v>
      </c>
      <c r="D2" s="4" t="str">
        <f t="shared" ref="D2:D459" si="1">C2</f>
        <v>{"valorA":"ótimo","valorB":1.0}</v>
      </c>
      <c r="E2" s="8" t="str">
        <f t="shared" ref="E2:E459" si="2">SUBSTITUTE(MID(C2,FIND(":",C2)+1,FIND(",",C2)-FIND(":",C2)-1),"""","")</f>
        <v>ótimo</v>
      </c>
      <c r="F2" s="8" t="str">
        <f>IFERROR(__xludf.DUMMYFUNCTION("UNIQUE(E2:E459)"),"ótimo")</f>
        <v>ótimo</v>
      </c>
      <c r="G2" s="8" t="str">
        <f t="shared" ref="G2:G459" si="3">MID(C2,FIND("valorB",C2)+8,FIND("}",C2)-FIND("valorB",C2)-8)</f>
        <v>1.0</v>
      </c>
      <c r="H2" s="9">
        <f t="shared" ref="H2:H459" si="4">VALUE(SUBSTITUTE(G2,".",","))</f>
        <v>1</v>
      </c>
      <c r="I2" s="10">
        <f>IFERROR(__xludf.DUMMYFUNCTION("MAX(FILTER($H:$H,$E:$E=F2))"),49.0)</f>
        <v>49</v>
      </c>
    </row>
    <row r="3">
      <c r="A3" s="4"/>
      <c r="C3" s="4" t="s">
        <v>220</v>
      </c>
      <c r="D3" s="4" t="str">
        <f t="shared" si="1"/>
        <v>{"valorA":"bem","valorB":1.0}</v>
      </c>
      <c r="E3" s="8" t="str">
        <f t="shared" si="2"/>
        <v>bem</v>
      </c>
      <c r="F3" s="8" t="str">
        <f>IFERROR(__xludf.DUMMYFUNCTION("""COMPUTED_VALUE"""),"bem")</f>
        <v>bem</v>
      </c>
      <c r="G3" s="8" t="str">
        <f t="shared" si="3"/>
        <v>1.0</v>
      </c>
      <c r="H3" s="9">
        <f t="shared" si="4"/>
        <v>1</v>
      </c>
      <c r="I3" s="10">
        <f>IFERROR(__xludf.DUMMYFUNCTION("MAX(FILTER($H:$H,$E:$E=F3))"),6.0)</f>
        <v>6</v>
      </c>
    </row>
    <row r="4">
      <c r="A4" s="4"/>
      <c r="C4" s="4" t="s">
        <v>310</v>
      </c>
      <c r="D4" s="4" t="str">
        <f t="shared" si="1"/>
        <v>{"valorA":"o","valorB":1.0}</v>
      </c>
      <c r="E4" s="8" t="str">
        <f t="shared" si="2"/>
        <v>o</v>
      </c>
      <c r="F4" s="8" t="str">
        <f>IFERROR(__xludf.DUMMYFUNCTION("""COMPUTED_VALUE"""),"o")</f>
        <v>o</v>
      </c>
      <c r="G4" s="8" t="str">
        <f t="shared" si="3"/>
        <v>1.0</v>
      </c>
      <c r="H4" s="9">
        <f t="shared" si="4"/>
        <v>1</v>
      </c>
      <c r="I4" s="10">
        <f>IFERROR(__xludf.DUMMYFUNCTION("MAX(FILTER($H:$H,$E:$E=F4))"),6.0)</f>
        <v>6</v>
      </c>
    </row>
    <row r="5">
      <c r="A5" s="4"/>
      <c r="C5" s="4" t="s">
        <v>478</v>
      </c>
      <c r="D5" s="4" t="str">
        <f t="shared" si="1"/>
        <v>{"valorA":"dinheiro","valorB":1.0}</v>
      </c>
      <c r="E5" s="8" t="str">
        <f t="shared" si="2"/>
        <v>dinheiro</v>
      </c>
      <c r="F5" s="8" t="str">
        <f>IFERROR(__xludf.DUMMYFUNCTION("""COMPUTED_VALUE"""),"dinheiro")</f>
        <v>dinheiro</v>
      </c>
      <c r="G5" s="8" t="str">
        <f t="shared" si="3"/>
        <v>1.0</v>
      </c>
      <c r="H5" s="9">
        <f t="shared" si="4"/>
        <v>1</v>
      </c>
      <c r="I5" s="10">
        <f>IFERROR(__xludf.DUMMYFUNCTION("MAX(FILTER($H:$H,$E:$E=F5))"),1.0)</f>
        <v>1</v>
      </c>
    </row>
    <row r="6">
      <c r="A6" s="4"/>
      <c r="C6" s="4" t="s">
        <v>1001</v>
      </c>
      <c r="D6" s="4" t="str">
        <f t="shared" si="1"/>
        <v>{"valorA":"produto","valorB":1.0}</v>
      </c>
      <c r="E6" s="8" t="str">
        <f t="shared" si="2"/>
        <v>produto</v>
      </c>
      <c r="F6" s="8" t="str">
        <f>IFERROR(__xludf.DUMMYFUNCTION("""COMPUTED_VALUE"""),"produto")</f>
        <v>produto</v>
      </c>
      <c r="G6" s="8" t="str">
        <f t="shared" si="3"/>
        <v>1.0</v>
      </c>
      <c r="H6" s="9">
        <f t="shared" si="4"/>
        <v>1</v>
      </c>
      <c r="I6" s="10">
        <f>IFERROR(__xludf.DUMMYFUNCTION("MAX(FILTER($H:$H,$E:$E=F6))"),29.0)</f>
        <v>29</v>
      </c>
    </row>
    <row r="7">
      <c r="A7" s="4"/>
      <c r="C7" s="4" t="s">
        <v>579</v>
      </c>
      <c r="D7" s="4" t="str">
        <f t="shared" si="1"/>
        <v>{"valorA":"muito","valorB":1.0}</v>
      </c>
      <c r="E7" s="8" t="str">
        <f t="shared" si="2"/>
        <v>muito</v>
      </c>
      <c r="F7" s="8" t="str">
        <f>IFERROR(__xludf.DUMMYFUNCTION("""COMPUTED_VALUE"""),"muito")</f>
        <v>muito</v>
      </c>
      <c r="G7" s="8" t="str">
        <f t="shared" si="3"/>
        <v>1.0</v>
      </c>
      <c r="H7" s="9">
        <f t="shared" si="4"/>
        <v>1</v>
      </c>
      <c r="I7" s="10">
        <f>IFERROR(__xludf.DUMMYFUNCTION("MAX(FILTER($H:$H,$E:$E=F7))"),19.0)</f>
        <v>19</v>
      </c>
    </row>
    <row r="8">
      <c r="A8" s="4"/>
      <c r="C8" s="4" t="s">
        <v>823</v>
      </c>
      <c r="D8" s="4" t="str">
        <f t="shared" si="1"/>
        <v>{"valorA":"valorizado","valorB":1.0}</v>
      </c>
      <c r="E8" s="8" t="str">
        <f t="shared" si="2"/>
        <v>valorizado</v>
      </c>
      <c r="F8" s="8" t="str">
        <f>IFERROR(__xludf.DUMMYFUNCTION("""COMPUTED_VALUE"""),"valorizado")</f>
        <v>valorizado</v>
      </c>
      <c r="G8" s="8" t="str">
        <f t="shared" si="3"/>
        <v>1.0</v>
      </c>
      <c r="H8" s="9">
        <f t="shared" si="4"/>
        <v>1</v>
      </c>
      <c r="I8" s="10">
        <f>IFERROR(__xludf.DUMMYFUNCTION("MAX(FILTER($H:$H,$E:$E=F8))"),2.0)</f>
        <v>2</v>
      </c>
    </row>
    <row r="9">
      <c r="A9" s="4"/>
      <c r="C9" s="4" t="s">
        <v>576</v>
      </c>
      <c r="D9" s="4" t="str">
        <f t="shared" si="1"/>
        <v>{"valorA":"ótimo","valorB":2.0}</v>
      </c>
      <c r="E9" s="8" t="str">
        <f t="shared" si="2"/>
        <v>ótimo</v>
      </c>
      <c r="F9" s="8" t="str">
        <f>IFERROR(__xludf.DUMMYFUNCTION("""COMPUTED_VALUE"""),"para")</f>
        <v>para</v>
      </c>
      <c r="G9" s="8" t="str">
        <f t="shared" si="3"/>
        <v>2.0</v>
      </c>
      <c r="H9" s="9">
        <f t="shared" si="4"/>
        <v>2</v>
      </c>
      <c r="I9" s="10">
        <f>IFERROR(__xludf.DUMMYFUNCTION("MAX(FILTER($H:$H,$E:$E=F9))"),19.0)</f>
        <v>19</v>
      </c>
    </row>
    <row r="10">
      <c r="A10" s="4"/>
      <c r="C10" s="4" t="s">
        <v>178</v>
      </c>
      <c r="D10" s="4" t="str">
        <f t="shared" si="1"/>
        <v>{"valorA":"para","valorB":1.0}</v>
      </c>
      <c r="E10" s="8" t="str">
        <f t="shared" si="2"/>
        <v>para</v>
      </c>
      <c r="F10" s="8" t="str">
        <f>IFERROR(__xludf.DUMMYFUNCTION("""COMPUTED_VALUE"""),"que")</f>
        <v>que</v>
      </c>
      <c r="G10" s="8" t="str">
        <f t="shared" si="3"/>
        <v>1.0</v>
      </c>
      <c r="H10" s="9">
        <f t="shared" si="4"/>
        <v>1</v>
      </c>
      <c r="I10" s="10">
        <f>IFERROR(__xludf.DUMMYFUNCTION("MAX(FILTER($H:$H,$E:$E=F10))"),3.0)</f>
        <v>3</v>
      </c>
    </row>
    <row r="11">
      <c r="A11" s="4"/>
      <c r="C11" s="4" t="s">
        <v>332</v>
      </c>
      <c r="D11" s="4" t="str">
        <f t="shared" si="1"/>
        <v>{"valorA":"o","valorB":2.0}</v>
      </c>
      <c r="E11" s="8" t="str">
        <f t="shared" si="2"/>
        <v>o</v>
      </c>
      <c r="F11" s="8" t="str">
        <f>IFERROR(__xludf.DUMMYFUNCTION("""COMPUTED_VALUE"""),"perfeitamente")</f>
        <v>perfeitamente</v>
      </c>
      <c r="G11" s="8" t="str">
        <f t="shared" si="3"/>
        <v>2.0</v>
      </c>
      <c r="H11" s="9">
        <f t="shared" si="4"/>
        <v>2</v>
      </c>
      <c r="I11" s="10">
        <f>IFERROR(__xludf.DUMMYFUNCTION("MAX(FILTER($H:$H,$E:$E=F11))"),3.0)</f>
        <v>3</v>
      </c>
    </row>
    <row r="12">
      <c r="A12" s="4"/>
      <c r="C12" s="4" t="s">
        <v>295</v>
      </c>
      <c r="D12" s="4" t="str">
        <f t="shared" si="1"/>
        <v>{"valorA":"que","valorB":1.0}</v>
      </c>
      <c r="E12" s="8" t="str">
        <f t="shared" si="2"/>
        <v>que</v>
      </c>
      <c r="F12" s="8" t="str">
        <f>IFERROR(__xludf.DUMMYFUNCTION("""COMPUTED_VALUE"""),"custou")</f>
        <v>custou</v>
      </c>
      <c r="G12" s="8" t="str">
        <f t="shared" si="3"/>
        <v>1.0</v>
      </c>
      <c r="H12" s="9">
        <f t="shared" si="4"/>
        <v>1</v>
      </c>
      <c r="I12" s="10">
        <f>IFERROR(__xludf.DUMMYFUNCTION("MAX(FILTER($H:$H,$E:$E=F12))"),1.0)</f>
        <v>1</v>
      </c>
    </row>
    <row r="13">
      <c r="A13" s="4"/>
      <c r="C13" s="4" t="s">
        <v>189</v>
      </c>
      <c r="D13" s="4" t="str">
        <f t="shared" si="1"/>
        <v>{"valorA":"produto","valorB":2.0}</v>
      </c>
      <c r="E13" s="8" t="str">
        <f t="shared" si="2"/>
        <v>produto</v>
      </c>
      <c r="F13" s="8" t="str">
        <f>IFERROR(__xludf.DUMMYFUNCTION("""COMPUTED_VALUE"""),"funciona")</f>
        <v>funciona</v>
      </c>
      <c r="G13" s="8" t="str">
        <f t="shared" si="3"/>
        <v>2.0</v>
      </c>
      <c r="H13" s="9">
        <f t="shared" si="4"/>
        <v>2</v>
      </c>
      <c r="I13" s="10">
        <f>IFERROR(__xludf.DUMMYFUNCTION("MAX(FILTER($H:$H,$E:$E=F13))"),8.0)</f>
        <v>8</v>
      </c>
    </row>
    <row r="14">
      <c r="A14" s="4"/>
      <c r="C14" s="4" t="s">
        <v>245</v>
      </c>
      <c r="D14" s="4" t="str">
        <f t="shared" si="1"/>
        <v>{"valorA":"perfeitamente","valorB":1.0}</v>
      </c>
      <c r="E14" s="8" t="str">
        <f t="shared" si="2"/>
        <v>perfeitamente</v>
      </c>
      <c r="F14" s="8" t="str">
        <f>IFERROR(__xludf.DUMMYFUNCTION("""COMPUTED_VALUE"""),"preço")</f>
        <v>preço</v>
      </c>
      <c r="G14" s="8" t="str">
        <f t="shared" si="3"/>
        <v>1.0</v>
      </c>
      <c r="H14" s="9">
        <f t="shared" si="4"/>
        <v>1</v>
      </c>
      <c r="I14" s="10">
        <f>IFERROR(__xludf.DUMMYFUNCTION("MAX(FILTER($H:$H,$E:$E=F14))"),11.0)</f>
        <v>11</v>
      </c>
    </row>
    <row r="15">
      <c r="A15" s="4"/>
      <c r="C15" s="4" t="s">
        <v>4893</v>
      </c>
      <c r="D15" s="4" t="str">
        <f t="shared" si="1"/>
        <v>{"valorA":"custou","valorB":1.0}</v>
      </c>
      <c r="E15" s="8" t="str">
        <f t="shared" si="2"/>
        <v>custou</v>
      </c>
      <c r="F15" s="8" t="str">
        <f>IFERROR(__xludf.DUMMYFUNCTION("""COMPUTED_VALUE"""),"comprei")</f>
        <v>comprei</v>
      </c>
      <c r="G15" s="8" t="str">
        <f t="shared" si="3"/>
        <v>1.0</v>
      </c>
      <c r="H15" s="9">
        <f t="shared" si="4"/>
        <v>1</v>
      </c>
      <c r="I15" s="10">
        <f>IFERROR(__xludf.DUMMYFUNCTION("MAX(FILTER($H:$H,$E:$E=F15))"),2.0)</f>
        <v>2</v>
      </c>
    </row>
    <row r="16">
      <c r="A16" s="4"/>
      <c r="C16" s="4" t="s">
        <v>248</v>
      </c>
      <c r="D16" s="4" t="str">
        <f t="shared" si="1"/>
        <v>{"valorA":"funciona","valorB":1.0}</v>
      </c>
      <c r="E16" s="8" t="str">
        <f t="shared" si="2"/>
        <v>funciona</v>
      </c>
      <c r="F16" s="8" t="str">
        <f>IFERROR(__xludf.DUMMYFUNCTION("""COMPUTED_VALUE"""),"eu")</f>
        <v>eu</v>
      </c>
      <c r="G16" s="8" t="str">
        <f t="shared" si="3"/>
        <v>1.0</v>
      </c>
      <c r="H16" s="9">
        <f t="shared" si="4"/>
        <v>1</v>
      </c>
      <c r="I16" s="10">
        <f>IFERROR(__xludf.DUMMYFUNCTION("MAX(FILTER($H:$H,$E:$E=F16))"),1.0)</f>
        <v>1</v>
      </c>
    </row>
    <row r="17">
      <c r="A17" s="4"/>
      <c r="C17" s="4" t="s">
        <v>583</v>
      </c>
      <c r="D17" s="4" t="str">
        <f t="shared" si="1"/>
        <v>{"valorA":"preço","valorB":1.0}</v>
      </c>
      <c r="E17" s="8" t="str">
        <f t="shared" si="2"/>
        <v>preço</v>
      </c>
      <c r="F17" s="8" t="str">
        <f>IFERROR(__xludf.DUMMYFUNCTION("""COMPUTED_VALUE"""),"televisor")</f>
        <v>televisor</v>
      </c>
      <c r="G17" s="8" t="str">
        <f t="shared" si="3"/>
        <v>1.0</v>
      </c>
      <c r="H17" s="9">
        <f t="shared" si="4"/>
        <v>1</v>
      </c>
      <c r="I17" s="10">
        <f>IFERROR(__xludf.DUMMYFUNCTION("MAX(FILTER($H:$H,$E:$E=F17))"),3.0)</f>
        <v>3</v>
      </c>
    </row>
    <row r="18">
      <c r="A18" s="4"/>
      <c r="C18" s="4" t="s">
        <v>191</v>
      </c>
      <c r="D18" s="4" t="str">
        <f t="shared" si="1"/>
        <v>{"valorA":"ótimo","valorB":3.0}</v>
      </c>
      <c r="E18" s="8" t="str">
        <f t="shared" si="2"/>
        <v>ótimo</v>
      </c>
      <c r="F18" s="8" t="str">
        <f>IFERROR(__xludf.DUMMYFUNCTION("""COMPUTED_VALUE"""),"valeu")</f>
        <v>valeu</v>
      </c>
      <c r="G18" s="8" t="str">
        <f t="shared" si="3"/>
        <v>3.0</v>
      </c>
      <c r="H18" s="9">
        <f t="shared" si="4"/>
        <v>3</v>
      </c>
      <c r="I18" s="10">
        <f>IFERROR(__xludf.DUMMYFUNCTION("MAX(FILTER($H:$H,$E:$E=F18))"),8.0)</f>
        <v>8</v>
      </c>
    </row>
    <row r="19">
      <c r="A19" s="4"/>
      <c r="C19" s="4" t="s">
        <v>291</v>
      </c>
      <c r="D19" s="4" t="str">
        <f t="shared" si="1"/>
        <v>{"valorA":"comprei","valorB":1.0}</v>
      </c>
      <c r="E19" s="8" t="str">
        <f t="shared" si="2"/>
        <v>comprei</v>
      </c>
      <c r="F19" s="8" t="str">
        <f>IFERROR(__xludf.DUMMYFUNCTION("""COMPUTED_VALUE"""),"espera")</f>
        <v>espera</v>
      </c>
      <c r="G19" s="8" t="str">
        <f t="shared" si="3"/>
        <v>1.0</v>
      </c>
      <c r="H19" s="9">
        <f t="shared" si="4"/>
        <v>1</v>
      </c>
      <c r="I19" s="10">
        <f>IFERROR(__xludf.DUMMYFUNCTION("MAX(FILTER($H:$H,$E:$E=F19))"),7.0)</f>
        <v>7</v>
      </c>
    </row>
    <row r="20">
      <c r="A20" s="4"/>
      <c r="C20" s="4" t="s">
        <v>732</v>
      </c>
      <c r="D20" s="4" t="str">
        <f t="shared" si="1"/>
        <v>{"valorA":"eu","valorB":1.0}</v>
      </c>
      <c r="E20" s="8" t="str">
        <f t="shared" si="2"/>
        <v>eu</v>
      </c>
      <c r="F20" s="8" t="str">
        <f>IFERROR(__xludf.DUMMYFUNCTION("""COMPUTED_VALUE"""),"a")</f>
        <v>a</v>
      </c>
      <c r="G20" s="8" t="str">
        <f t="shared" si="3"/>
        <v>1.0</v>
      </c>
      <c r="H20" s="9">
        <f t="shared" si="4"/>
        <v>1</v>
      </c>
      <c r="I20" s="10">
        <f>IFERROR(__xludf.DUMMYFUNCTION("MAX(FILTER($H:$H,$E:$E=F20))"),8.0)</f>
        <v>8</v>
      </c>
    </row>
    <row r="21">
      <c r="A21" s="4"/>
      <c r="C21" s="4" t="s">
        <v>586</v>
      </c>
      <c r="D21" s="4" t="str">
        <f t="shared" si="1"/>
        <v>{"valorA":"televisor","valorB":1.0}</v>
      </c>
      <c r="E21" s="8" t="str">
        <f t="shared" si="2"/>
        <v>televisor</v>
      </c>
      <c r="F21" s="8" t="str">
        <f>IFERROR(__xludf.DUMMYFUNCTION("""COMPUTED_VALUE"""),"laptop")</f>
        <v>laptop</v>
      </c>
      <c r="G21" s="8" t="str">
        <f t="shared" si="3"/>
        <v>1.0</v>
      </c>
      <c r="H21" s="9">
        <f t="shared" si="4"/>
        <v>1</v>
      </c>
      <c r="I21" s="10">
        <f>IFERROR(__xludf.DUMMYFUNCTION("MAX(FILTER($H:$H,$E:$E=F21))"),4.0)</f>
        <v>4</v>
      </c>
    </row>
    <row r="22">
      <c r="A22" s="4"/>
      <c r="C22" s="4" t="s">
        <v>9397</v>
      </c>
      <c r="D22" s="4" t="str">
        <f t="shared" si="1"/>
        <v>{"valorA":"valorizado","valorB":2.0}</v>
      </c>
      <c r="E22" s="8" t="str">
        <f t="shared" si="2"/>
        <v>valorizado</v>
      </c>
      <c r="F22" s="8" t="str">
        <f>IFERROR(__xludf.DUMMYFUNCTION("""COMPUTED_VALUE"""),"cada")</f>
        <v>cada</v>
      </c>
      <c r="G22" s="8" t="str">
        <f t="shared" si="3"/>
        <v>2.0</v>
      </c>
      <c r="H22" s="9">
        <f t="shared" si="4"/>
        <v>2</v>
      </c>
      <c r="I22" s="10">
        <f>IFERROR(__xludf.DUMMYFUNCTION("MAX(FILTER($H:$H,$E:$E=F22))"),1.0)</f>
        <v>1</v>
      </c>
    </row>
    <row r="23">
      <c r="A23" s="4"/>
      <c r="C23" s="4" t="s">
        <v>587</v>
      </c>
      <c r="D23" s="4" t="str">
        <f t="shared" si="1"/>
        <v>{"valorA":"ótimo","valorB":4.0}</v>
      </c>
      <c r="E23" s="8" t="str">
        <f t="shared" si="2"/>
        <v>ótimo</v>
      </c>
      <c r="F23" s="8" t="str">
        <f>IFERROR(__xludf.DUMMYFUNCTION("""COMPUTED_VALUE"""),"penny")</f>
        <v>penny</v>
      </c>
      <c r="G23" s="8" t="str">
        <f t="shared" si="3"/>
        <v>4.0</v>
      </c>
      <c r="H23" s="9">
        <f t="shared" si="4"/>
        <v>4</v>
      </c>
      <c r="I23" s="10">
        <f>IFERROR(__xludf.DUMMYFUNCTION("MAX(FILTER($H:$H,$E:$E=F23))"),1.0)</f>
        <v>1</v>
      </c>
    </row>
    <row r="24">
      <c r="A24" s="4"/>
      <c r="C24" s="4" t="s">
        <v>600</v>
      </c>
      <c r="D24" s="4" t="str">
        <f t="shared" si="1"/>
        <v>{"valorA":"valeu","valorB":1.0}</v>
      </c>
      <c r="E24" s="8" t="str">
        <f t="shared" si="2"/>
        <v>valeu</v>
      </c>
      <c r="F24" s="8" t="str">
        <f>IFERROR(__xludf.DUMMYFUNCTION("""COMPUTED_VALUE"""),"brilho")</f>
        <v>brilho</v>
      </c>
      <c r="G24" s="8" t="str">
        <f t="shared" si="3"/>
        <v>1.0</v>
      </c>
      <c r="H24" s="9">
        <f t="shared" si="4"/>
        <v>1</v>
      </c>
      <c r="I24" s="10">
        <f>IFERROR(__xludf.DUMMYFUNCTION("MAX(FILTER($H:$H,$E:$E=F24))"),3.0)</f>
        <v>3</v>
      </c>
    </row>
    <row r="25">
      <c r="A25" s="4"/>
      <c r="C25" s="4" t="s">
        <v>603</v>
      </c>
      <c r="D25" s="4" t="str">
        <f t="shared" si="1"/>
        <v>{"valorA":"espera","valorB":1.0}</v>
      </c>
      <c r="E25" s="8" t="str">
        <f t="shared" si="2"/>
        <v>espera</v>
      </c>
      <c r="F25" s="8" t="str">
        <f>IFERROR(__xludf.DUMMYFUNCTION("""COMPUTED_VALUE"""),"recomendo")</f>
        <v>recomendo</v>
      </c>
      <c r="G25" s="8" t="str">
        <f t="shared" si="3"/>
        <v>1.0</v>
      </c>
      <c r="H25" s="9">
        <f t="shared" si="4"/>
        <v>1</v>
      </c>
      <c r="I25" s="10">
        <f>IFERROR(__xludf.DUMMYFUNCTION("MAX(FILTER($H:$H,$E:$E=F25))"),5.0)</f>
        <v>5</v>
      </c>
    </row>
    <row r="26">
      <c r="A26" s="4"/>
      <c r="C26" s="4" t="s">
        <v>585</v>
      </c>
      <c r="D26" s="4" t="str">
        <f t="shared" si="1"/>
        <v>{"valorA":"produto","valorB":3.0}</v>
      </c>
      <c r="E26" s="8" t="str">
        <f t="shared" si="2"/>
        <v>produto</v>
      </c>
      <c r="F26" s="8" t="str">
        <f>IFERROR(__xludf.DUMMYFUNCTION("""COMPUTED_VALUE"""),"semelhante")</f>
        <v>semelhante</v>
      </c>
      <c r="G26" s="8" t="str">
        <f t="shared" si="3"/>
        <v>3.0</v>
      </c>
      <c r="H26" s="9">
        <f t="shared" si="4"/>
        <v>3</v>
      </c>
      <c r="I26" s="10">
        <f>IFERROR(__xludf.DUMMYFUNCTION("MAX(FILTER($H:$H,$E:$E=F26))"),1.0)</f>
        <v>1</v>
      </c>
    </row>
    <row r="27">
      <c r="A27" s="4"/>
      <c r="C27" s="4" t="s">
        <v>580</v>
      </c>
      <c r="D27" s="4" t="str">
        <f t="shared" si="1"/>
        <v>{"valorA":"a","valorB":1.0}</v>
      </c>
      <c r="E27" s="8" t="str">
        <f t="shared" si="2"/>
        <v>a</v>
      </c>
      <c r="F27" s="8" t="str">
        <f>IFERROR(__xludf.DUMMYFUNCTION("""COMPUTED_VALUE"""),"procurar")</f>
        <v>procurar</v>
      </c>
      <c r="G27" s="8" t="str">
        <f t="shared" si="3"/>
        <v>1.0</v>
      </c>
      <c r="H27" s="9">
        <f t="shared" si="4"/>
        <v>1</v>
      </c>
      <c r="I27" s="10">
        <f>IFERROR(__xludf.DUMMYFUNCTION("MAX(FILTER($H:$H,$E:$E=F27))"),1.0)</f>
        <v>1</v>
      </c>
    </row>
    <row r="28">
      <c r="A28" s="4"/>
      <c r="C28" s="4" t="s">
        <v>210</v>
      </c>
      <c r="D28" s="4" t="str">
        <f t="shared" si="1"/>
        <v>{"valorA":"ótimo","valorB":5.0}</v>
      </c>
      <c r="E28" s="8" t="str">
        <f t="shared" si="2"/>
        <v>ótimo</v>
      </c>
      <c r="F28" s="8" t="str">
        <f>IFERROR(__xludf.DUMMYFUNCTION("""COMPUTED_VALUE"""),"quem")</f>
        <v>quem</v>
      </c>
      <c r="G28" s="8" t="str">
        <f t="shared" si="3"/>
        <v>5.0</v>
      </c>
      <c r="H28" s="9">
        <f t="shared" si="4"/>
        <v>5</v>
      </c>
      <c r="I28" s="10">
        <f>IFERROR(__xludf.DUMMYFUNCTION("MAX(FILTER($H:$H,$E:$E=F28))"),11.0)</f>
        <v>11</v>
      </c>
    </row>
    <row r="29">
      <c r="A29" s="4"/>
      <c r="C29" s="4" t="s">
        <v>625</v>
      </c>
      <c r="D29" s="4" t="str">
        <f t="shared" si="1"/>
        <v>{"valorA":"valeu","valorB":2.0}</v>
      </c>
      <c r="E29" s="8" t="str">
        <f t="shared" si="2"/>
        <v>valeu</v>
      </c>
      <c r="F29" s="8" t="str">
        <f>IFERROR(__xludf.DUMMYFUNCTION("""COMPUTED_VALUE"""),"e")</f>
        <v>e</v>
      </c>
      <c r="G29" s="8" t="str">
        <f t="shared" si="3"/>
        <v>2.0</v>
      </c>
      <c r="H29" s="9">
        <f t="shared" si="4"/>
        <v>2</v>
      </c>
      <c r="I29" s="10">
        <f>IFERROR(__xludf.DUMMYFUNCTION("MAX(FILTER($H:$H,$E:$E=F29))"),25.0)</f>
        <v>25</v>
      </c>
    </row>
    <row r="30">
      <c r="A30" s="4"/>
      <c r="C30" s="4" t="s">
        <v>1426</v>
      </c>
      <c r="D30" s="4" t="str">
        <f t="shared" si="1"/>
        <v>{"valorA":"laptop","valorB":1.0}</v>
      </c>
      <c r="E30" s="8" t="str">
        <f t="shared" si="2"/>
        <v>laptop</v>
      </c>
      <c r="F30" s="8" t="str">
        <f>IFERROR(__xludf.DUMMYFUNCTION("""COMPUTED_VALUE"""),"durável")</f>
        <v>durável</v>
      </c>
      <c r="G30" s="8" t="str">
        <f t="shared" si="3"/>
        <v>1.0</v>
      </c>
      <c r="H30" s="9">
        <f t="shared" si="4"/>
        <v>1</v>
      </c>
      <c r="I30" s="10">
        <f>IFERROR(__xludf.DUMMYFUNCTION("MAX(FILTER($H:$H,$E:$E=F30))"),1.0)</f>
        <v>1</v>
      </c>
    </row>
    <row r="31">
      <c r="A31" s="4"/>
      <c r="C31" s="4" t="s">
        <v>9398</v>
      </c>
      <c r="D31" s="4" t="str">
        <f t="shared" si="1"/>
        <v>{"valorA":"cada","valorB":1.0}</v>
      </c>
      <c r="E31" s="8" t="str">
        <f t="shared" si="2"/>
        <v>cada</v>
      </c>
      <c r="F31" s="8" t="str">
        <f>IFERROR(__xludf.DUMMYFUNCTION("""COMPUTED_VALUE"""),"monitor")</f>
        <v>monitor</v>
      </c>
      <c r="G31" s="8" t="str">
        <f t="shared" si="3"/>
        <v>1.0</v>
      </c>
      <c r="H31" s="9">
        <f t="shared" si="4"/>
        <v>1</v>
      </c>
      <c r="I31" s="10">
        <f>IFERROR(__xludf.DUMMYFUNCTION("MAX(FILTER($H:$H,$E:$E=F31))"),5.0)</f>
        <v>5</v>
      </c>
    </row>
    <row r="32">
      <c r="A32" s="4"/>
      <c r="C32" s="4" t="s">
        <v>9399</v>
      </c>
      <c r="D32" s="4" t="str">
        <f t="shared" si="1"/>
        <v>{"valorA":"penny","valorB":1.0}</v>
      </c>
      <c r="E32" s="8" t="str">
        <f t="shared" si="2"/>
        <v>penny</v>
      </c>
      <c r="F32" s="8" t="str">
        <f>IFERROR(__xludf.DUMMYFUNCTION("""COMPUTED_VALUE"""),"esse")</f>
        <v>esse</v>
      </c>
      <c r="G32" s="8" t="str">
        <f t="shared" si="3"/>
        <v>1.0</v>
      </c>
      <c r="H32" s="9">
        <f t="shared" si="4"/>
        <v>1</v>
      </c>
      <c r="I32" s="10">
        <f>IFERROR(__xludf.DUMMYFUNCTION("MAX(FILTER($H:$H,$E:$E=F32))"),1.0)</f>
        <v>1</v>
      </c>
    </row>
    <row r="33">
      <c r="A33" s="4"/>
      <c r="C33" s="4" t="s">
        <v>594</v>
      </c>
      <c r="D33" s="4" t="str">
        <f t="shared" si="1"/>
        <v>{"valorA":"ótimo","valorB":6.0}</v>
      </c>
      <c r="E33" s="8" t="str">
        <f t="shared" si="2"/>
        <v>ótimo</v>
      </c>
      <c r="F33" s="8" t="str">
        <f>IFERROR(__xludf.DUMMYFUNCTION("""COMPUTED_VALUE"""),"um")</f>
        <v>um</v>
      </c>
      <c r="G33" s="8" t="str">
        <f t="shared" si="3"/>
        <v>6.0</v>
      </c>
      <c r="H33" s="9">
        <f t="shared" si="4"/>
        <v>6</v>
      </c>
      <c r="I33" s="10">
        <f>IFERROR(__xludf.DUMMYFUNCTION("MAX(FILTER($H:$H,$E:$E=F33))"),7.0)</f>
        <v>7</v>
      </c>
    </row>
    <row r="34">
      <c r="A34" s="4"/>
      <c r="C34" s="4" t="s">
        <v>613</v>
      </c>
      <c r="D34" s="4" t="str">
        <f t="shared" si="1"/>
        <v>{"valorA":"para","valorB":2.0}</v>
      </c>
      <c r="E34" s="8" t="str">
        <f t="shared" si="2"/>
        <v>para</v>
      </c>
      <c r="F34" s="8" t="str">
        <f>IFERROR(__xludf.DUMMYFUNCTION("""COMPUTED_VALUE"""),"rápida")</f>
        <v>rápida</v>
      </c>
      <c r="G34" s="8" t="str">
        <f t="shared" si="3"/>
        <v>2.0</v>
      </c>
      <c r="H34" s="9">
        <f t="shared" si="4"/>
        <v>2</v>
      </c>
      <c r="I34" s="10">
        <f>IFERROR(__xludf.DUMMYFUNCTION("MAX(FILTER($H:$H,$E:$E=F34))"),1.0)</f>
        <v>1</v>
      </c>
    </row>
    <row r="35">
      <c r="A35" s="4"/>
      <c r="C35" s="4" t="s">
        <v>1413</v>
      </c>
      <c r="D35" s="4" t="str">
        <f t="shared" si="1"/>
        <v>{"valorA":"brilho","valorB":1.0}</v>
      </c>
      <c r="E35" s="8" t="str">
        <f t="shared" si="2"/>
        <v>brilho</v>
      </c>
      <c r="F35" s="8" t="str">
        <f>IFERROR(__xludf.DUMMYFUNCTION("""COMPUTED_VALUE"""),"solução")</f>
        <v>solução</v>
      </c>
      <c r="G35" s="8" t="str">
        <f t="shared" si="3"/>
        <v>1.0</v>
      </c>
      <c r="H35" s="9">
        <f t="shared" si="4"/>
        <v>1</v>
      </c>
      <c r="I35" s="10">
        <f>IFERROR(__xludf.DUMMYFUNCTION("MAX(FILTER($H:$H,$E:$E=F35))"),1.0)</f>
        <v>1</v>
      </c>
    </row>
    <row r="36">
      <c r="A36" s="4"/>
      <c r="C36" s="4" t="s">
        <v>277</v>
      </c>
      <c r="D36" s="4" t="str">
        <f t="shared" si="1"/>
        <v>{"valorA":"recomendo","valorB":2.0}</v>
      </c>
      <c r="E36" s="8" t="str">
        <f t="shared" si="2"/>
        <v>recomendo</v>
      </c>
      <c r="F36" s="8" t="str">
        <f>IFERROR(__xludf.DUMMYFUNCTION("""COMPUTED_VALUE"""),"gosto")</f>
        <v>gosto</v>
      </c>
      <c r="G36" s="8" t="str">
        <f t="shared" si="3"/>
        <v>2.0</v>
      </c>
      <c r="H36" s="9">
        <f t="shared" si="4"/>
        <v>2</v>
      </c>
      <c r="I36" s="10">
        <f>IFERROR(__xludf.DUMMYFUNCTION("MAX(FILTER($H:$H,$E:$E=F36))"),3.0)</f>
        <v>3</v>
      </c>
    </row>
    <row r="37">
      <c r="A37" s="4"/>
      <c r="C37" s="4" t="s">
        <v>9400</v>
      </c>
      <c r="D37" s="4" t="str">
        <f t="shared" si="1"/>
        <v>{"valorA":"semelhante","valorB":1.0}</v>
      </c>
      <c r="E37" s="8" t="str">
        <f t="shared" si="2"/>
        <v>semelhante</v>
      </c>
      <c r="F37" s="8" t="str">
        <f>IFERROR(__xludf.DUMMYFUNCTION("""COMPUTED_VALUE"""),"uma")</f>
        <v>uma</v>
      </c>
      <c r="G37" s="8" t="str">
        <f t="shared" si="3"/>
        <v>1.0</v>
      </c>
      <c r="H37" s="9">
        <f t="shared" si="4"/>
        <v>1</v>
      </c>
      <c r="I37" s="10">
        <f>IFERROR(__xludf.DUMMYFUNCTION("MAX(FILTER($H:$H,$E:$E=F37))"),10.0)</f>
        <v>10</v>
      </c>
    </row>
    <row r="38">
      <c r="A38" s="4"/>
      <c r="C38" s="4" t="s">
        <v>9401</v>
      </c>
      <c r="D38" s="4" t="str">
        <f t="shared" si="1"/>
        <v>{"valorA":"procurar","valorB":1.0}</v>
      </c>
      <c r="E38" s="8" t="str">
        <f t="shared" si="2"/>
        <v>procurar</v>
      </c>
      <c r="F38" s="8" t="str">
        <f>IFERROR(__xludf.DUMMYFUNCTION("""COMPUTED_VALUE"""),"fácil")</f>
        <v>fácil</v>
      </c>
      <c r="G38" s="8" t="str">
        <f t="shared" si="3"/>
        <v>1.0</v>
      </c>
      <c r="H38" s="9">
        <f t="shared" si="4"/>
        <v>1</v>
      </c>
      <c r="I38" s="10">
        <f>IFERROR(__xludf.DUMMYFUNCTION("MAX(FILTER($H:$H,$E:$E=F38))"),11.0)</f>
        <v>11</v>
      </c>
    </row>
    <row r="39">
      <c r="A39" s="4"/>
      <c r="C39" s="4" t="s">
        <v>610</v>
      </c>
      <c r="D39" s="4" t="str">
        <f t="shared" si="1"/>
        <v>{"valorA":"quem","valorB":1.0}</v>
      </c>
      <c r="E39" s="8" t="str">
        <f t="shared" si="2"/>
        <v>quem</v>
      </c>
      <c r="F39" s="8" t="str">
        <f>IFERROR(__xludf.DUMMYFUNCTION("""COMPUTED_VALUE"""),"busca")</f>
        <v>busca</v>
      </c>
      <c r="G39" s="8" t="str">
        <f t="shared" si="3"/>
        <v>1.0</v>
      </c>
      <c r="H39" s="9">
        <f t="shared" si="4"/>
        <v>1</v>
      </c>
      <c r="I39" s="10">
        <f>IFERROR(__xludf.DUMMYFUNCTION("MAX(FILTER($H:$H,$E:$E=F39))"),8.0)</f>
        <v>8</v>
      </c>
    </row>
    <row r="40">
      <c r="A40" s="4"/>
      <c r="C40" s="4" t="s">
        <v>184</v>
      </c>
      <c r="D40" s="4" t="str">
        <f t="shared" si="1"/>
        <v>{"valorA":"e","valorB":1.0}</v>
      </c>
      <c r="E40" s="8" t="str">
        <f t="shared" si="2"/>
        <v>e</v>
      </c>
      <c r="F40" s="8" t="str">
        <f>IFERROR(__xludf.DUMMYFUNCTION("""COMPUTED_VALUE"""),"de")</f>
        <v>de</v>
      </c>
      <c r="G40" s="8" t="str">
        <f t="shared" si="3"/>
        <v>1.0</v>
      </c>
      <c r="H40" s="9">
        <f t="shared" si="4"/>
        <v>1</v>
      </c>
      <c r="I40" s="10">
        <f>IFERROR(__xludf.DUMMYFUNCTION("MAX(FILTER($H:$H,$E:$E=F40))"),20.0)</f>
        <v>20</v>
      </c>
    </row>
    <row r="41">
      <c r="A41" s="4"/>
      <c r="C41" s="4" t="s">
        <v>388</v>
      </c>
      <c r="D41" s="4" t="str">
        <f t="shared" si="1"/>
        <v>{"valorA":"durável","valorB":1.0}</v>
      </c>
      <c r="E41" s="8" t="str">
        <f t="shared" si="2"/>
        <v>durável</v>
      </c>
      <c r="F41" s="8" t="str">
        <f>IFERROR(__xludf.DUMMYFUNCTION("""COMPUTED_VALUE"""),"tela")</f>
        <v>tela</v>
      </c>
      <c r="G41" s="8" t="str">
        <f t="shared" si="3"/>
        <v>1.0</v>
      </c>
      <c r="H41" s="9">
        <f t="shared" si="4"/>
        <v>1</v>
      </c>
      <c r="I41" s="10">
        <f>IFERROR(__xludf.DUMMYFUNCTION("MAX(FILTER($H:$H,$E:$E=F41))"),2.0)</f>
        <v>2</v>
      </c>
    </row>
    <row r="42">
      <c r="A42" s="4"/>
      <c r="C42" s="4" t="s">
        <v>682</v>
      </c>
      <c r="D42" s="4" t="str">
        <f t="shared" si="1"/>
        <v>{"valorA":"monitor","valorB":1.0}</v>
      </c>
      <c r="E42" s="8" t="str">
        <f t="shared" si="2"/>
        <v>monitor</v>
      </c>
      <c r="F42" s="8" t="str">
        <f>IFERROR(__xludf.DUMMYFUNCTION("""COMPUTED_VALUE"""),"do")</f>
        <v>do</v>
      </c>
      <c r="G42" s="8" t="str">
        <f t="shared" si="3"/>
        <v>1.0</v>
      </c>
      <c r="H42" s="9">
        <f t="shared" si="4"/>
        <v>1</v>
      </c>
      <c r="I42" s="10">
        <f>IFERROR(__xludf.DUMMYFUNCTION("MAX(FILTER($H:$H,$E:$E=F42))"),9.0)</f>
        <v>9</v>
      </c>
    </row>
    <row r="43">
      <c r="A43" s="4"/>
      <c r="C43" s="4" t="s">
        <v>604</v>
      </c>
      <c r="D43" s="4" t="str">
        <f t="shared" si="1"/>
        <v>{"valorA":"produto","valorB":5.0}</v>
      </c>
      <c r="E43" s="8" t="str">
        <f t="shared" si="2"/>
        <v>produto</v>
      </c>
      <c r="F43" s="8" t="str">
        <f>IFERROR(__xludf.DUMMYFUNCTION("""COMPUTED_VALUE"""),"cor")</f>
        <v>cor</v>
      </c>
      <c r="G43" s="8" t="str">
        <f t="shared" si="3"/>
        <v>5.0</v>
      </c>
      <c r="H43" s="9">
        <f t="shared" si="4"/>
        <v>5</v>
      </c>
      <c r="I43" s="10">
        <f>IFERROR(__xludf.DUMMYFUNCTION("MAX(FILTER($H:$H,$E:$E=F43))"),1.0)</f>
        <v>1</v>
      </c>
    </row>
    <row r="44">
      <c r="A44" s="4"/>
      <c r="C44" s="4" t="s">
        <v>227</v>
      </c>
      <c r="D44" s="4" t="str">
        <f t="shared" si="1"/>
        <v>{"valorA":"ótimo","valorB":7.0}</v>
      </c>
      <c r="E44" s="8" t="str">
        <f t="shared" si="2"/>
        <v>ótimo</v>
      </c>
      <c r="F44" s="8" t="str">
        <f>IFERROR(__xludf.DUMMYFUNCTION("""COMPUTED_VALUE"""),"gostei")</f>
        <v>gostei</v>
      </c>
      <c r="G44" s="8" t="str">
        <f t="shared" si="3"/>
        <v>7.0</v>
      </c>
      <c r="H44" s="9">
        <f t="shared" si="4"/>
        <v>7</v>
      </c>
      <c r="I44" s="10">
        <f>IFERROR(__xludf.DUMMYFUNCTION("MAX(FILTER($H:$H,$E:$E=F44))"),9.0)</f>
        <v>9</v>
      </c>
    </row>
    <row r="45">
      <c r="A45" s="4"/>
      <c r="C45" s="4" t="s">
        <v>192</v>
      </c>
      <c r="D45" s="4" t="str">
        <f t="shared" si="1"/>
        <v>{"valorA":"esse","valorB":1.0}</v>
      </c>
      <c r="E45" s="8" t="str">
        <f t="shared" si="2"/>
        <v>esse</v>
      </c>
      <c r="F45" s="8" t="str">
        <f>IFERROR(__xludf.DUMMYFUNCTION("""COMPUTED_VALUE"""),"da")</f>
        <v>da</v>
      </c>
      <c r="G45" s="8" t="str">
        <f t="shared" si="3"/>
        <v>1.0</v>
      </c>
      <c r="H45" s="9">
        <f t="shared" si="4"/>
        <v>1</v>
      </c>
      <c r="I45" s="10">
        <f>IFERROR(__xludf.DUMMYFUNCTION("MAX(FILTER($H:$H,$E:$E=F45))"),4.0)</f>
        <v>4</v>
      </c>
    </row>
    <row r="46">
      <c r="A46" s="4"/>
      <c r="C46" s="4" t="s">
        <v>619</v>
      </c>
      <c r="D46" s="4" t="str">
        <f t="shared" si="1"/>
        <v>{"valorA":"um","valorB":1.0}</v>
      </c>
      <c r="E46" s="8" t="str">
        <f t="shared" si="2"/>
        <v>um</v>
      </c>
      <c r="F46" s="8" t="str">
        <f>IFERROR(__xludf.DUMMYFUNCTION("""COMPUTED_VALUE"""),"construção")</f>
        <v>construção</v>
      </c>
      <c r="G46" s="8" t="str">
        <f t="shared" si="3"/>
        <v>1.0</v>
      </c>
      <c r="H46" s="9">
        <f t="shared" si="4"/>
        <v>1</v>
      </c>
      <c r="I46" s="10">
        <f>IFERROR(__xludf.DUMMYFUNCTION("MAX(FILTER($H:$H,$E:$E=F46))"),1.0)</f>
        <v>1</v>
      </c>
    </row>
    <row r="47">
      <c r="A47" s="4"/>
      <c r="C47" s="4" t="s">
        <v>218</v>
      </c>
      <c r="D47" s="4" t="str">
        <f t="shared" si="1"/>
        <v>{"valorA":"para","valorB":3.0}</v>
      </c>
      <c r="E47" s="8" t="str">
        <f t="shared" si="2"/>
        <v>para</v>
      </c>
      <c r="F47" s="8" t="str">
        <f>IFERROR(__xludf.DUMMYFUNCTION("""COMPUTED_VALUE"""),"qualidade")</f>
        <v>qualidade</v>
      </c>
      <c r="G47" s="8" t="str">
        <f t="shared" si="3"/>
        <v>3.0</v>
      </c>
      <c r="H47" s="9">
        <f t="shared" si="4"/>
        <v>3</v>
      </c>
      <c r="I47" s="10">
        <f>IFERROR(__xludf.DUMMYFUNCTION("MAX(FILTER($H:$H,$E:$E=F47))"),8.0)</f>
        <v>8</v>
      </c>
    </row>
    <row r="48">
      <c r="A48" s="4"/>
      <c r="C48" s="4" t="s">
        <v>347</v>
      </c>
      <c r="D48" s="4" t="str">
        <f t="shared" si="1"/>
        <v>{"valorA":"rápida","valorB":1.0}</v>
      </c>
      <c r="E48" s="8" t="str">
        <f t="shared" si="2"/>
        <v>rápida</v>
      </c>
      <c r="F48" s="8" t="str">
        <f>IFERROR(__xludf.DUMMYFUNCTION("""COMPUTED_VALUE"""),"com")</f>
        <v>com</v>
      </c>
      <c r="G48" s="8" t="str">
        <f t="shared" si="3"/>
        <v>1.0</v>
      </c>
      <c r="H48" s="9">
        <f t="shared" si="4"/>
        <v>1</v>
      </c>
      <c r="I48" s="10">
        <f>IFERROR(__xludf.DUMMYFUNCTION("MAX(FILTER($H:$H,$E:$E=F48))"),6.0)</f>
        <v>6</v>
      </c>
    </row>
    <row r="49">
      <c r="A49" s="4"/>
      <c r="C49" s="4" t="s">
        <v>4915</v>
      </c>
      <c r="D49" s="4" t="str">
        <f t="shared" si="1"/>
        <v>{"valorA":"solução","valorB":1.0}</v>
      </c>
      <c r="E49" s="8" t="str">
        <f t="shared" si="2"/>
        <v>solução</v>
      </c>
      <c r="F49" s="8" t="str">
        <f>IFERROR(__xludf.DUMMYFUNCTION("""COMPUTED_VALUE"""),"meu")</f>
        <v>meu</v>
      </c>
      <c r="G49" s="8" t="str">
        <f t="shared" si="3"/>
        <v>1.0</v>
      </c>
      <c r="H49" s="9">
        <f t="shared" si="4"/>
        <v>1</v>
      </c>
      <c r="I49" s="10">
        <f>IFERROR(__xludf.DUMMYFUNCTION("MAX(FILTER($H:$H,$E:$E=F49))"),6.0)</f>
        <v>6</v>
      </c>
    </row>
    <row r="50">
      <c r="A50" s="4"/>
      <c r="C50" s="4" t="s">
        <v>665</v>
      </c>
      <c r="D50" s="4" t="str">
        <f t="shared" si="1"/>
        <v>{"valorA":"quem","valorB":2.0}</v>
      </c>
      <c r="E50" s="8" t="str">
        <f t="shared" si="2"/>
        <v>quem</v>
      </c>
      <c r="F50" s="8" t="str">
        <f>IFERROR(__xludf.DUMMYFUNCTION("""COMPUTED_VALUE"""),"tablet")</f>
        <v>tablet</v>
      </c>
      <c r="G50" s="8" t="str">
        <f t="shared" si="3"/>
        <v>2.0</v>
      </c>
      <c r="H50" s="9">
        <f t="shared" si="4"/>
        <v>2</v>
      </c>
      <c r="I50" s="10">
        <f>IFERROR(__xludf.DUMMYFUNCTION("MAX(FILTER($H:$H,$E:$E=F50))"),4.0)</f>
        <v>4</v>
      </c>
    </row>
    <row r="51">
      <c r="A51" s="4"/>
      <c r="C51" s="4" t="s">
        <v>223</v>
      </c>
      <c r="D51" s="4" t="str">
        <f t="shared" si="1"/>
        <v>{"valorA":"e","valorB":2.0}</v>
      </c>
      <c r="E51" s="8" t="str">
        <f t="shared" si="2"/>
        <v>e</v>
      </c>
      <c r="F51" s="8" t="str">
        <f>IFERROR(__xludf.DUMMYFUNCTION("""COMPUTED_VALUE"""),"usar")</f>
        <v>usar</v>
      </c>
      <c r="G51" s="8" t="str">
        <f t="shared" si="3"/>
        <v>2.0</v>
      </c>
      <c r="H51" s="9">
        <f t="shared" si="4"/>
        <v>2</v>
      </c>
      <c r="I51" s="10">
        <f>IFERROR(__xludf.DUMMYFUNCTION("MAX(FILTER($H:$H,$E:$E=F51))"),8.0)</f>
        <v>8</v>
      </c>
    </row>
    <row r="52">
      <c r="A52" s="4"/>
      <c r="C52" s="4" t="s">
        <v>187</v>
      </c>
      <c r="D52" s="4" t="str">
        <f t="shared" si="1"/>
        <v>{"valorA":"gosto","valorB":1.0}</v>
      </c>
      <c r="E52" s="8" t="str">
        <f t="shared" si="2"/>
        <v>gosto</v>
      </c>
      <c r="F52" s="8" t="str">
        <f>IFERROR(__xludf.DUMMYFUNCTION("""COMPUTED_VALUE"""),"boa")</f>
        <v>boa</v>
      </c>
      <c r="G52" s="8" t="str">
        <f t="shared" si="3"/>
        <v>1.0</v>
      </c>
      <c r="H52" s="9">
        <f t="shared" si="4"/>
        <v>1</v>
      </c>
      <c r="I52" s="10">
        <f>IFERROR(__xludf.DUMMYFUNCTION("MAX(FILTER($H:$H,$E:$E=F52))"),3.0)</f>
        <v>3</v>
      </c>
    </row>
    <row r="53">
      <c r="A53" s="4"/>
      <c r="C53" s="4" t="s">
        <v>241</v>
      </c>
      <c r="D53" s="4" t="str">
        <f t="shared" si="1"/>
        <v>{"valorA":"produto","valorB":6.0}</v>
      </c>
      <c r="E53" s="8" t="str">
        <f t="shared" si="2"/>
        <v>produto</v>
      </c>
      <c r="F53" s="8" t="str">
        <f>IFERROR(__xludf.DUMMYFUNCTION("""COMPUTED_VALUE"""),"scanner")</f>
        <v>scanner</v>
      </c>
      <c r="G53" s="8" t="str">
        <f t="shared" si="3"/>
        <v>6.0</v>
      </c>
      <c r="H53" s="9">
        <f t="shared" si="4"/>
        <v>6</v>
      </c>
      <c r="I53" s="10">
        <f>IFERROR(__xludf.DUMMYFUNCTION("MAX(FILTER($H:$H,$E:$E=F53))"),3.0)</f>
        <v>3</v>
      </c>
    </row>
    <row r="54">
      <c r="A54" s="4"/>
      <c r="C54" s="4" t="s">
        <v>605</v>
      </c>
      <c r="D54" s="4" t="str">
        <f t="shared" si="1"/>
        <v>{"valorA":"ótimo","valorB":8.0}</v>
      </c>
      <c r="E54" s="8" t="str">
        <f t="shared" si="2"/>
        <v>ótimo</v>
      </c>
      <c r="F54" s="8" t="str">
        <f>IFERROR(__xludf.DUMMYFUNCTION("""COMPUTED_VALUE"""),"confiável")</f>
        <v>confiável</v>
      </c>
      <c r="G54" s="8" t="str">
        <f t="shared" si="3"/>
        <v>8.0</v>
      </c>
      <c r="H54" s="9">
        <f t="shared" si="4"/>
        <v>8</v>
      </c>
      <c r="I54" s="10">
        <f>IFERROR(__xludf.DUMMYFUNCTION("MAX(FILTER($H:$H,$E:$E=F54))"),1.0)</f>
        <v>1</v>
      </c>
    </row>
    <row r="55">
      <c r="A55" s="4"/>
      <c r="C55" s="4" t="s">
        <v>297</v>
      </c>
      <c r="D55" s="4" t="str">
        <f t="shared" si="1"/>
        <v>{"valorA":"uma","valorB":1.0}</v>
      </c>
      <c r="E55" s="8" t="str">
        <f t="shared" si="2"/>
        <v>uma</v>
      </c>
      <c r="F55" s="8" t="str">
        <f>IFERROR(__xludf.DUMMYFUNCTION("""COMPUTED_VALUE"""),"resistente")</f>
        <v>resistente</v>
      </c>
      <c r="G55" s="8" t="str">
        <f t="shared" si="3"/>
        <v>1.0</v>
      </c>
      <c r="H55" s="9">
        <f t="shared" si="4"/>
        <v>1</v>
      </c>
      <c r="I55" s="10">
        <f>IFERROR(__xludf.DUMMYFUNCTION("MAX(FILTER($H:$H,$E:$E=F55))"),1.0)</f>
        <v>1</v>
      </c>
    </row>
    <row r="56">
      <c r="A56" s="4"/>
      <c r="C56" s="4" t="s">
        <v>285</v>
      </c>
      <c r="D56" s="4" t="str">
        <f t="shared" si="1"/>
        <v>{"valorA":"fácil","valorB":1.0}</v>
      </c>
      <c r="E56" s="8" t="str">
        <f t="shared" si="2"/>
        <v>fácil</v>
      </c>
      <c r="F56" s="8" t="str">
        <f>IFERROR(__xludf.DUMMYFUNCTION("""COMPUTED_VALUE"""),"economia")</f>
        <v>economia</v>
      </c>
      <c r="G56" s="8" t="str">
        <f t="shared" si="3"/>
        <v>1.0</v>
      </c>
      <c r="H56" s="9">
        <f t="shared" si="4"/>
        <v>1</v>
      </c>
      <c r="I56" s="10">
        <f>IFERROR(__xludf.DUMMYFUNCTION("MAX(FILTER($H:$H,$E:$E=F56))"),1.0)</f>
        <v>1</v>
      </c>
    </row>
    <row r="57">
      <c r="A57" s="4"/>
      <c r="C57" s="4" t="s">
        <v>193</v>
      </c>
      <c r="D57" s="4" t="str">
        <f t="shared" si="1"/>
        <v>{"valorA":"muito","valorB":2.0}</v>
      </c>
      <c r="E57" s="8" t="str">
        <f t="shared" si="2"/>
        <v>muito</v>
      </c>
      <c r="F57" s="8" t="str">
        <f>IFERROR(__xludf.DUMMYFUNCTION("""COMPUTED_VALUE"""),"economicado")</f>
        <v>economicado</v>
      </c>
      <c r="G57" s="8" t="str">
        <f t="shared" si="3"/>
        <v>2.0</v>
      </c>
      <c r="H57" s="9">
        <f t="shared" si="4"/>
        <v>2</v>
      </c>
      <c r="I57" s="10">
        <f>IFERROR(__xludf.DUMMYFUNCTION("MAX(FILTER($H:$H,$E:$E=F57))"),1.0)</f>
        <v>1</v>
      </c>
    </row>
    <row r="58">
      <c r="A58" s="4"/>
      <c r="C58" s="4" t="s">
        <v>669</v>
      </c>
      <c r="D58" s="4" t="str">
        <f t="shared" si="1"/>
        <v>{"valorA":"busca","valorB":1.0}</v>
      </c>
      <c r="E58" s="8" t="str">
        <f t="shared" si="2"/>
        <v>busca</v>
      </c>
      <c r="F58" s="8" t="str">
        <f>IFERROR(__xludf.DUMMYFUNCTION("""COMPUTED_VALUE"""),"novo")</f>
        <v>novo</v>
      </c>
      <c r="G58" s="8" t="str">
        <f t="shared" si="3"/>
        <v>1.0</v>
      </c>
      <c r="H58" s="9">
        <f t="shared" si="4"/>
        <v>1</v>
      </c>
      <c r="I58" s="10">
        <f>IFERROR(__xludf.DUMMYFUNCTION("MAX(FILTER($H:$H,$E:$E=F58))"),1.0)</f>
        <v>1</v>
      </c>
    </row>
    <row r="59">
      <c r="A59" s="4"/>
      <c r="C59" s="4" t="s">
        <v>242</v>
      </c>
      <c r="D59" s="4" t="str">
        <f t="shared" si="1"/>
        <v>{"valorA":"ótimo","valorB":9.0}</v>
      </c>
      <c r="E59" s="8" t="str">
        <f t="shared" si="2"/>
        <v>ótimo</v>
      </c>
      <c r="F59" s="8" t="str">
        <f>IFERROR(__xludf.DUMMYFUNCTION("""COMPUTED_VALUE"""),"terno")</f>
        <v>terno</v>
      </c>
      <c r="G59" s="8" t="str">
        <f t="shared" si="3"/>
        <v>9.0</v>
      </c>
      <c r="H59" s="9">
        <f t="shared" si="4"/>
        <v>9</v>
      </c>
      <c r="I59" s="10">
        <f>IFERROR(__xludf.DUMMYFUNCTION("MAX(FILTER($H:$H,$E:$E=F59))"),1.0)</f>
        <v>1</v>
      </c>
    </row>
    <row r="60">
      <c r="A60" s="4"/>
      <c r="C60" s="4" t="s">
        <v>242</v>
      </c>
      <c r="D60" s="4" t="str">
        <f t="shared" si="1"/>
        <v>{"valorA":"ótimo","valorB":9.0}</v>
      </c>
      <c r="E60" s="8" t="str">
        <f t="shared" si="2"/>
        <v>ótimo</v>
      </c>
      <c r="F60" s="8" t="str">
        <f>IFERROR(__xludf.DUMMYFUNCTION("""COMPUTED_VALUE"""),"tão")</f>
        <v>tão</v>
      </c>
      <c r="G60" s="8" t="str">
        <f t="shared" si="3"/>
        <v>9.0</v>
      </c>
      <c r="H60" s="9">
        <f t="shared" si="4"/>
        <v>9</v>
      </c>
      <c r="I60" s="10">
        <f>IFERROR(__xludf.DUMMYFUNCTION("MAX(FILTER($H:$H,$E:$E=F60))"),2.0)</f>
        <v>2</v>
      </c>
    </row>
    <row r="61">
      <c r="A61" s="4"/>
      <c r="C61" s="4" t="s">
        <v>9402</v>
      </c>
      <c r="D61" s="4" t="str">
        <f t="shared" si="1"/>
        <v>{"valorA":"brilho","valorB":2.0}</v>
      </c>
      <c r="E61" s="8" t="str">
        <f t="shared" si="2"/>
        <v>brilho</v>
      </c>
      <c r="F61" s="8" t="str">
        <f>IFERROR(__xludf.DUMMYFUNCTION("""COMPUTED_VALUE"""),"bom")</f>
        <v>bom</v>
      </c>
      <c r="G61" s="8" t="str">
        <f t="shared" si="3"/>
        <v>2.0</v>
      </c>
      <c r="H61" s="9">
        <f t="shared" si="4"/>
        <v>2</v>
      </c>
      <c r="I61" s="10">
        <f>IFERROR(__xludf.DUMMYFUNCTION("MAX(FILTER($H:$H,$E:$E=F61))"),4.0)</f>
        <v>4</v>
      </c>
    </row>
    <row r="62">
      <c r="A62" s="4"/>
      <c r="C62" s="4" t="s">
        <v>270</v>
      </c>
      <c r="D62" s="4" t="str">
        <f t="shared" si="1"/>
        <v>{"valorA":"e","valorB":3.0}</v>
      </c>
      <c r="E62" s="8" t="str">
        <f t="shared" si="2"/>
        <v>e</v>
      </c>
      <c r="F62" s="8" t="str">
        <f>IFERROR(__xludf.DUMMYFUNCTION("""COMPUTED_VALUE"""),"incrível")</f>
        <v>incrível</v>
      </c>
      <c r="G62" s="8" t="str">
        <f t="shared" si="3"/>
        <v>3.0</v>
      </c>
      <c r="H62" s="9">
        <f t="shared" si="4"/>
        <v>3</v>
      </c>
      <c r="I62" s="10">
        <f>IFERROR(__xludf.DUMMYFUNCTION("MAX(FILTER($H:$H,$E:$E=F62))"),3.0)</f>
        <v>3</v>
      </c>
    </row>
    <row r="63">
      <c r="A63" s="4"/>
      <c r="C63" s="4" t="s">
        <v>642</v>
      </c>
      <c r="D63" s="4" t="str">
        <f t="shared" si="1"/>
        <v>{"valorA":"de","valorB":1.0}</v>
      </c>
      <c r="E63" s="8" t="str">
        <f t="shared" si="2"/>
        <v>de</v>
      </c>
      <c r="F63" s="8" t="str">
        <f>IFERROR(__xludf.DUMMYFUNCTION("""COMPUTED_VALUE"""),"bateria")</f>
        <v>bateria</v>
      </c>
      <c r="G63" s="8" t="str">
        <f t="shared" si="3"/>
        <v>1.0</v>
      </c>
      <c r="H63" s="9">
        <f t="shared" si="4"/>
        <v>1</v>
      </c>
      <c r="I63" s="10">
        <f>IFERROR(__xludf.DUMMYFUNCTION("MAX(FILTER($H:$H,$E:$E=F63))"),2.0)</f>
        <v>2</v>
      </c>
    </row>
    <row r="64">
      <c r="A64" s="4"/>
      <c r="C64" s="4" t="s">
        <v>709</v>
      </c>
      <c r="D64" s="4" t="str">
        <f t="shared" si="1"/>
        <v>{"valorA":"monitor","valorB":2.0}</v>
      </c>
      <c r="E64" s="8" t="str">
        <f t="shared" si="2"/>
        <v>monitor</v>
      </c>
      <c r="F64" s="8" t="str">
        <f>IFERROR(__xludf.DUMMYFUNCTION("""COMPUTED_VALUE"""),"limpar")</f>
        <v>limpar</v>
      </c>
      <c r="G64" s="8" t="str">
        <f t="shared" si="3"/>
        <v>2.0</v>
      </c>
      <c r="H64" s="9">
        <f t="shared" si="4"/>
        <v>2</v>
      </c>
      <c r="I64" s="10">
        <f>IFERROR(__xludf.DUMMYFUNCTION("MAX(FILTER($H:$H,$E:$E=F64))"),1.0)</f>
        <v>1</v>
      </c>
    </row>
    <row r="65">
      <c r="A65" s="4"/>
      <c r="C65" s="4" t="s">
        <v>1645</v>
      </c>
      <c r="D65" s="4" t="str">
        <f t="shared" si="1"/>
        <v>{"valorA":"tela","valorB":1.0}</v>
      </c>
      <c r="E65" s="8" t="str">
        <f t="shared" si="2"/>
        <v>tela</v>
      </c>
      <c r="F65" s="8" t="str">
        <f>IFERROR(__xludf.DUMMYFUNCTION("""COMPUTED_VALUE"""),"durabilidade")</f>
        <v>durabilidade</v>
      </c>
      <c r="G65" s="8" t="str">
        <f t="shared" si="3"/>
        <v>1.0</v>
      </c>
      <c r="H65" s="9">
        <f t="shared" si="4"/>
        <v>1</v>
      </c>
      <c r="I65" s="10">
        <f>IFERROR(__xludf.DUMMYFUNCTION("MAX(FILTER($H:$H,$E:$E=F65))"),1.0)</f>
        <v>1</v>
      </c>
    </row>
    <row r="66">
      <c r="A66" s="4"/>
      <c r="C66" s="4" t="s">
        <v>335</v>
      </c>
      <c r="D66" s="4" t="str">
        <f t="shared" si="1"/>
        <v>{"valorA":"do","valorB":1.0}</v>
      </c>
      <c r="E66" s="8" t="str">
        <f t="shared" si="2"/>
        <v>do</v>
      </c>
      <c r="F66" s="8" t="str">
        <f>IFERROR(__xludf.DUMMYFUNCTION("""COMPUTED_VALUE"""),"todos")</f>
        <v>todos</v>
      </c>
      <c r="G66" s="8" t="str">
        <f t="shared" si="3"/>
        <v>1.0</v>
      </c>
      <c r="H66" s="9">
        <f t="shared" si="4"/>
        <v>1</v>
      </c>
      <c r="I66" s="10">
        <f>IFERROR(__xludf.DUMMYFUNCTION("MAX(FILTER($H:$H,$E:$E=F66))"),1.0)</f>
        <v>1</v>
      </c>
    </row>
    <row r="67">
      <c r="A67" s="4"/>
      <c r="C67" s="4" t="s">
        <v>9403</v>
      </c>
      <c r="D67" s="4" t="str">
        <f t="shared" si="1"/>
        <v>{"valorA":"cor","valorB":1.0}</v>
      </c>
      <c r="E67" s="8" t="str">
        <f t="shared" si="2"/>
        <v>cor</v>
      </c>
      <c r="F67" s="8" t="str">
        <f>IFERROR(__xludf.DUMMYFUNCTION("""COMPUTED_VALUE"""),"qualidadepreço")</f>
        <v>qualidadepreço</v>
      </c>
      <c r="G67" s="8" t="str">
        <f t="shared" si="3"/>
        <v>1.0</v>
      </c>
      <c r="H67" s="9">
        <f t="shared" si="4"/>
        <v>1</v>
      </c>
      <c r="I67" s="10">
        <f>IFERROR(__xludf.DUMMYFUNCTION("MAX(FILTER($H:$H,$E:$E=F67))"),1.0)</f>
        <v>1</v>
      </c>
    </row>
    <row r="68">
      <c r="A68" s="4"/>
      <c r="C68" s="4" t="s">
        <v>190</v>
      </c>
      <c r="D68" s="4" t="str">
        <f t="shared" si="1"/>
        <v>{"valorA":"gostei","valorB":1.0}</v>
      </c>
      <c r="E68" s="8" t="str">
        <f t="shared" si="2"/>
        <v>gostei</v>
      </c>
      <c r="F68" s="8" t="str">
        <f>IFERROR(__xludf.DUMMYFUNCTION("""COMPUTED_VALUE"""),"relação")</f>
        <v>relação</v>
      </c>
      <c r="G68" s="8" t="str">
        <f t="shared" si="3"/>
        <v>1.0</v>
      </c>
      <c r="H68" s="9">
        <f t="shared" si="4"/>
        <v>1</v>
      </c>
      <c r="I68" s="10">
        <f>IFERROR(__xludf.DUMMYFUNCTION("MAX(FILTER($H:$H,$E:$E=F68))"),1.0)</f>
        <v>1</v>
      </c>
    </row>
    <row r="69">
      <c r="A69" s="4"/>
      <c r="C69" s="4" t="s">
        <v>212</v>
      </c>
      <c r="D69" s="4" t="str">
        <f t="shared" si="1"/>
        <v>{"valorA":"muito","valorB":3.0}</v>
      </c>
      <c r="E69" s="8" t="str">
        <f t="shared" si="2"/>
        <v>muito</v>
      </c>
      <c r="F69" s="8" t="str">
        <f>IFERROR(__xludf.DUMMYFUNCTION("""COMPUTED_VALUE"""),"comentário")</f>
        <v>comentário</v>
      </c>
      <c r="G69" s="8" t="str">
        <f t="shared" si="3"/>
        <v>3.0</v>
      </c>
      <c r="H69" s="9">
        <f t="shared" si="4"/>
        <v>3</v>
      </c>
      <c r="I69" s="10">
        <f>IFERROR(__xludf.DUMMYFUNCTION("MAX(FILTER($H:$H,$E:$E=F69))"),1.0)</f>
        <v>1</v>
      </c>
    </row>
    <row r="70">
      <c r="A70" s="4"/>
      <c r="C70" s="4" t="s">
        <v>323</v>
      </c>
      <c r="D70" s="4" t="str">
        <f t="shared" si="1"/>
        <v>{"valorA":"da","valorB":1.0}</v>
      </c>
      <c r="E70" s="8" t="str">
        <f t="shared" si="2"/>
        <v>da</v>
      </c>
      <c r="F70" s="8" t="str">
        <f>IFERROR(__xludf.DUMMYFUNCTION("""COMPUTED_VALUE"""),"comprar")</f>
        <v>comprar</v>
      </c>
      <c r="G70" s="8" t="str">
        <f t="shared" si="3"/>
        <v>1.0</v>
      </c>
      <c r="H70" s="9">
        <f t="shared" si="4"/>
        <v>1</v>
      </c>
      <c r="I70" s="10">
        <f>IFERROR(__xludf.DUMMYFUNCTION("MAX(FILTER($H:$H,$E:$E=F70))"),1.0)</f>
        <v>1</v>
      </c>
    </row>
    <row r="71">
      <c r="A71" s="4"/>
      <c r="C71" s="4" t="s">
        <v>612</v>
      </c>
      <c r="D71" s="4" t="str">
        <f t="shared" si="1"/>
        <v>{"valorA":"ótimo","valorB":10.0}</v>
      </c>
      <c r="E71" s="8" t="str">
        <f t="shared" si="2"/>
        <v>ótimo</v>
      </c>
      <c r="F71" s="8" t="str">
        <f>IFERROR(__xludf.DUMMYFUNCTION("""COMPUTED_VALUE"""),"modelo")</f>
        <v>modelo</v>
      </c>
      <c r="G71" s="8" t="str">
        <f t="shared" si="3"/>
        <v>10.0</v>
      </c>
      <c r="H71" s="9">
        <f t="shared" si="4"/>
        <v>10</v>
      </c>
      <c r="I71" s="10">
        <f>IFERROR(__xludf.DUMMYFUNCTION("MAX(FILTER($H:$H,$E:$E=F71))"),1.0)</f>
        <v>1</v>
      </c>
    </row>
    <row r="72">
      <c r="A72" s="4"/>
      <c r="C72" s="4" t="s">
        <v>9404</v>
      </c>
      <c r="D72" s="4" t="str">
        <f t="shared" si="1"/>
        <v>{"valorA":"construção","valorB":1.0}</v>
      </c>
      <c r="E72" s="8" t="str">
        <f t="shared" si="2"/>
        <v>construção</v>
      </c>
      <c r="F72" s="8" t="str">
        <f>IFERROR(__xludf.DUMMYFUNCTION("""COMPUTED_VALUE"""),"preciso")</f>
        <v>preciso</v>
      </c>
      <c r="G72" s="8" t="str">
        <f t="shared" si="3"/>
        <v>1.0</v>
      </c>
      <c r="H72" s="9">
        <f t="shared" si="4"/>
        <v>1</v>
      </c>
      <c r="I72" s="10">
        <f>IFERROR(__xludf.DUMMYFUNCTION("MAX(FILTER($H:$H,$E:$E=F72))"),2.0)</f>
        <v>2</v>
      </c>
    </row>
    <row r="73">
      <c r="A73" s="4"/>
      <c r="C73" s="4" t="s">
        <v>234</v>
      </c>
      <c r="D73" s="4" t="str">
        <f t="shared" si="1"/>
        <v>{"valorA":"para","valorB":4.0}</v>
      </c>
      <c r="E73" s="8" t="str">
        <f t="shared" si="2"/>
        <v>para</v>
      </c>
      <c r="F73" s="8" t="str">
        <f>IFERROR(__xludf.DUMMYFUNCTION("""COMPUTED_VALUE"""),"outro")</f>
        <v>outro</v>
      </c>
      <c r="G73" s="8" t="str">
        <f t="shared" si="3"/>
        <v>4.0</v>
      </c>
      <c r="H73" s="9">
        <f t="shared" si="4"/>
        <v>4</v>
      </c>
      <c r="I73" s="10">
        <f>IFERROR(__xludf.DUMMYFUNCTION("MAX(FILTER($H:$H,$E:$E=F73))"),1.0)</f>
        <v>1</v>
      </c>
    </row>
    <row r="74">
      <c r="A74" s="4"/>
      <c r="C74" s="4" t="s">
        <v>591</v>
      </c>
      <c r="D74" s="4" t="str">
        <f t="shared" si="1"/>
        <v>{"valorA":"qualidade","valorB":2.0}</v>
      </c>
      <c r="E74" s="8" t="str">
        <f t="shared" si="2"/>
        <v>qualidade</v>
      </c>
      <c r="F74" s="8" t="str">
        <f>IFERROR(__xludf.DUMMYFUNCTION("""COMPUTED_VALUE"""),"ficar")</f>
        <v>ficar</v>
      </c>
      <c r="G74" s="8" t="str">
        <f t="shared" si="3"/>
        <v>2.0</v>
      </c>
      <c r="H74" s="9">
        <f t="shared" si="4"/>
        <v>2</v>
      </c>
      <c r="I74" s="10">
        <f>IFERROR(__xludf.DUMMYFUNCTION("MAX(FILTER($H:$H,$E:$E=F74))"),1.0)</f>
        <v>1</v>
      </c>
    </row>
    <row r="75">
      <c r="A75" s="4"/>
      <c r="C75" s="4" t="s">
        <v>290</v>
      </c>
      <c r="D75" s="4" t="str">
        <f t="shared" si="1"/>
        <v>{"valorA":"com","valorB":1.0}</v>
      </c>
      <c r="E75" s="8" t="str">
        <f t="shared" si="2"/>
        <v>com</v>
      </c>
      <c r="F75" s="8" t="str">
        <f>IFERROR(__xludf.DUMMYFUNCTION("""COMPUTED_VALUE"""),"novamente")</f>
        <v>novamente</v>
      </c>
      <c r="G75" s="8" t="str">
        <f t="shared" si="3"/>
        <v>1.0</v>
      </c>
      <c r="H75" s="9">
        <f t="shared" si="4"/>
        <v>1</v>
      </c>
      <c r="I75" s="10">
        <f>IFERROR(__xludf.DUMMYFUNCTION("MAX(FILTER($H:$H,$E:$E=F75))"),1.0)</f>
        <v>1</v>
      </c>
    </row>
    <row r="76">
      <c r="A76" s="4"/>
      <c r="C76" s="4" t="s">
        <v>200</v>
      </c>
      <c r="D76" s="4" t="str">
        <f t="shared" si="1"/>
        <v>{"valorA":"meu","valorB":1.0}</v>
      </c>
      <c r="E76" s="8" t="str">
        <f t="shared" si="2"/>
        <v>meu</v>
      </c>
      <c r="F76" s="8" t="str">
        <f>IFERROR(__xludf.DUMMYFUNCTION("""COMPUTED_VALUE"""),"atento")</f>
        <v>atento</v>
      </c>
      <c r="G76" s="8" t="str">
        <f t="shared" si="3"/>
        <v>1.0</v>
      </c>
      <c r="H76" s="9">
        <f t="shared" si="4"/>
        <v>1</v>
      </c>
      <c r="I76" s="10">
        <f>IFERROR(__xludf.DUMMYFUNCTION("MAX(FILTER($H:$H,$E:$E=F76))"),1.0)</f>
        <v>1</v>
      </c>
    </row>
    <row r="77">
      <c r="A77" s="4"/>
      <c r="C77" s="4" t="s">
        <v>785</v>
      </c>
      <c r="D77" s="4" t="str">
        <f t="shared" si="1"/>
        <v>{"valorA":"tablet","valorB":1.0}</v>
      </c>
      <c r="E77" s="8" t="str">
        <f t="shared" si="2"/>
        <v>tablet</v>
      </c>
      <c r="F77" s="8" t="str">
        <f>IFERROR(__xludf.DUMMYFUNCTION("""COMPUTED_VALUE"""),"não")</f>
        <v>não</v>
      </c>
      <c r="G77" s="8" t="str">
        <f t="shared" si="3"/>
        <v>1.0</v>
      </c>
      <c r="H77" s="9">
        <f t="shared" si="4"/>
        <v>1</v>
      </c>
      <c r="I77" s="10">
        <f>IFERROR(__xludf.DUMMYFUNCTION("MAX(FILTER($H:$H,$E:$E=F77))"),3.0)</f>
        <v>3</v>
      </c>
    </row>
    <row r="78">
      <c r="A78" s="4"/>
      <c r="C78" s="4" t="s">
        <v>640</v>
      </c>
      <c r="D78" s="4" t="str">
        <f t="shared" si="1"/>
        <v>{"valorA":"usar","valorB":1.0}</v>
      </c>
      <c r="E78" s="8" t="str">
        <f t="shared" si="2"/>
        <v>usar</v>
      </c>
      <c r="F78" s="8" t="str">
        <f>IFERROR(__xludf.DUMMYFUNCTION("""COMPUTED_VALUE"""),"ruim")</f>
        <v>ruim</v>
      </c>
      <c r="G78" s="8" t="str">
        <f t="shared" si="3"/>
        <v>1.0</v>
      </c>
      <c r="H78" s="9">
        <f t="shared" si="4"/>
        <v>1</v>
      </c>
      <c r="I78" s="10">
        <f>IFERROR(__xludf.DUMMYFUNCTION("MAX(FILTER($H:$H,$E:$E=F78))"),1.0)</f>
        <v>1</v>
      </c>
    </row>
    <row r="79">
      <c r="A79" s="4"/>
      <c r="C79" s="4" t="s">
        <v>1418</v>
      </c>
      <c r="D79" s="4" t="str">
        <f t="shared" si="1"/>
        <v>{"valorA":"boa","valorB":1.0}</v>
      </c>
      <c r="E79" s="8" t="str">
        <f t="shared" si="2"/>
        <v>boa</v>
      </c>
      <c r="F79" s="8" t="str">
        <f>IFERROR(__xludf.DUMMYFUNCTION("""COMPUTED_VALUE"""),"valorizei")</f>
        <v>valorizei</v>
      </c>
      <c r="G79" s="8" t="str">
        <f t="shared" si="3"/>
        <v>1.0</v>
      </c>
      <c r="H79" s="9">
        <f t="shared" si="4"/>
        <v>1</v>
      </c>
      <c r="I79" s="10">
        <f>IFERROR(__xludf.DUMMYFUNCTION("MAX(FILTER($H:$H,$E:$E=F79))"),1.0)</f>
        <v>1</v>
      </c>
    </row>
    <row r="80">
      <c r="A80" s="4"/>
      <c r="C80" s="4" t="s">
        <v>255</v>
      </c>
      <c r="D80" s="4" t="str">
        <f t="shared" si="1"/>
        <v>{"valorA":"de","valorB":3.0}</v>
      </c>
      <c r="E80" s="8" t="str">
        <f t="shared" si="2"/>
        <v>de</v>
      </c>
      <c r="F80" s="8" t="str">
        <f>IFERROR(__xludf.DUMMYFUNCTION("""COMPUTED_VALUE"""),"carro")</f>
        <v>carro</v>
      </c>
      <c r="G80" s="8" t="str">
        <f t="shared" si="3"/>
        <v>3.0</v>
      </c>
      <c r="H80" s="9">
        <f t="shared" si="4"/>
        <v>3</v>
      </c>
      <c r="I80" s="10">
        <f>IFERROR(__xludf.DUMMYFUNCTION("MAX(FILTER($H:$H,$E:$E=F80))"),1.0)</f>
        <v>1</v>
      </c>
    </row>
    <row r="81">
      <c r="A81" s="4"/>
      <c r="C81" s="4" t="s">
        <v>331</v>
      </c>
      <c r="D81" s="4" t="str">
        <f t="shared" si="1"/>
        <v>{"valorA":"e","valorB":5.0}</v>
      </c>
      <c r="E81" s="8" t="str">
        <f t="shared" si="2"/>
        <v>e</v>
      </c>
      <c r="F81" s="8" t="str">
        <f>IFERROR(__xludf.DUMMYFUNCTION("""COMPUTED_VALUE"""),"paguei")</f>
        <v>paguei</v>
      </c>
      <c r="G81" s="8" t="str">
        <f t="shared" si="3"/>
        <v>5.0</v>
      </c>
      <c r="H81" s="9">
        <f t="shared" si="4"/>
        <v>5</v>
      </c>
      <c r="I81" s="10">
        <f>IFERROR(__xludf.DUMMYFUNCTION("MAX(FILTER($H:$H,$E:$E=F81))"),2.0)</f>
        <v>2</v>
      </c>
    </row>
    <row r="82">
      <c r="A82" s="4"/>
      <c r="C82" s="4" t="s">
        <v>351</v>
      </c>
      <c r="D82" s="4" t="str">
        <f t="shared" si="1"/>
        <v>{"valorA":"o","valorB":3.0}</v>
      </c>
      <c r="E82" s="8" t="str">
        <f t="shared" si="2"/>
        <v>o</v>
      </c>
      <c r="F82" s="8" t="str">
        <f>IFERROR(__xludf.DUMMYFUNCTION("""COMPUTED_VALUE"""),"mais")</f>
        <v>mais</v>
      </c>
      <c r="G82" s="8" t="str">
        <f t="shared" si="3"/>
        <v>3.0</v>
      </c>
      <c r="H82" s="9">
        <f t="shared" si="4"/>
        <v>3</v>
      </c>
      <c r="I82" s="10">
        <f>IFERROR(__xludf.DUMMYFUNCTION("MAX(FILTER($H:$H,$E:$E=F82))"),2.0)</f>
        <v>2</v>
      </c>
    </row>
    <row r="83">
      <c r="A83" s="4"/>
      <c r="C83" s="4" t="s">
        <v>623</v>
      </c>
      <c r="D83" s="4" t="str">
        <f t="shared" si="1"/>
        <v>{"valorA":"scanner","valorB":1.0}</v>
      </c>
      <c r="E83" s="8" t="str">
        <f t="shared" si="2"/>
        <v>scanner</v>
      </c>
      <c r="F83" s="8" t="str">
        <f>IFERROR(__xludf.DUMMYFUNCTION("""COMPUTED_VALUE"""),"máquina")</f>
        <v>máquina</v>
      </c>
      <c r="G83" s="8" t="str">
        <f t="shared" si="3"/>
        <v>1.0</v>
      </c>
      <c r="H83" s="9">
        <f t="shared" si="4"/>
        <v>1</v>
      </c>
      <c r="I83" s="10">
        <f>IFERROR(__xludf.DUMMYFUNCTION("MAX(FILTER($H:$H,$E:$E=F83))"),1.0)</f>
        <v>1</v>
      </c>
    </row>
    <row r="84">
      <c r="A84" s="4"/>
      <c r="C84" s="4" t="s">
        <v>1451</v>
      </c>
      <c r="D84" s="4" t="str">
        <f t="shared" si="1"/>
        <v>{"valorA":"uma","valorB":2.0}</v>
      </c>
      <c r="E84" s="8" t="str">
        <f t="shared" si="2"/>
        <v>uma</v>
      </c>
      <c r="F84" s="8" t="str">
        <f>IFERROR(__xludf.DUMMYFUNCTION("""COMPUTED_VALUE"""),"observação")</f>
        <v>observação</v>
      </c>
      <c r="G84" s="8" t="str">
        <f t="shared" si="3"/>
        <v>2.0</v>
      </c>
      <c r="H84" s="9">
        <f t="shared" si="4"/>
        <v>2</v>
      </c>
      <c r="I84" s="10">
        <f>IFERROR(__xludf.DUMMYFUNCTION("MAX(FILTER($H:$H,$E:$E=F84))"),1.0)</f>
        <v>1</v>
      </c>
    </row>
    <row r="85">
      <c r="A85" s="4"/>
      <c r="C85" s="4" t="s">
        <v>621</v>
      </c>
      <c r="D85" s="4" t="str">
        <f t="shared" si="1"/>
        <v>{"valorA":"ótimo","valorB":11.0}</v>
      </c>
      <c r="E85" s="8" t="str">
        <f t="shared" si="2"/>
        <v>ótimo</v>
      </c>
      <c r="F85" s="8" t="str">
        <f>IFERROR(__xludf.DUMMYFUNCTION("""COMPUTED_VALUE"""),"lavar")</f>
        <v>lavar</v>
      </c>
      <c r="G85" s="8" t="str">
        <f t="shared" si="3"/>
        <v>11.0</v>
      </c>
      <c r="H85" s="9">
        <f t="shared" si="4"/>
        <v>11</v>
      </c>
      <c r="I85" s="10">
        <f>IFERROR(__xludf.DUMMYFUNCTION("MAX(FILTER($H:$H,$E:$E=F85))"),1.0)</f>
        <v>1</v>
      </c>
    </row>
    <row r="86">
      <c r="A86" s="4"/>
      <c r="C86" s="4" t="s">
        <v>396</v>
      </c>
      <c r="D86" s="4" t="str">
        <f t="shared" si="1"/>
        <v>{"valorA":"fácil","valorB":2.0}</v>
      </c>
      <c r="E86" s="8" t="str">
        <f t="shared" si="2"/>
        <v>fácil</v>
      </c>
      <c r="F86" s="8" t="str">
        <f>IFERROR(__xludf.DUMMYFUNCTION("""COMPUTED_VALUE"""),"some")</f>
        <v>some</v>
      </c>
      <c r="G86" s="8" t="str">
        <f t="shared" si="3"/>
        <v>2.0</v>
      </c>
      <c r="H86" s="9">
        <f t="shared" si="4"/>
        <v>2</v>
      </c>
      <c r="I86" s="10">
        <f>IFERROR(__xludf.DUMMYFUNCTION("MAX(FILTER($H:$H,$E:$E=F86))"),1.0)</f>
        <v>1</v>
      </c>
    </row>
    <row r="87">
      <c r="A87" s="4"/>
      <c r="C87" s="4" t="s">
        <v>1268</v>
      </c>
      <c r="D87" s="4" t="str">
        <f t="shared" si="1"/>
        <v>{"valorA":"preço","valorB":2.0}</v>
      </c>
      <c r="E87" s="8" t="str">
        <f t="shared" si="2"/>
        <v>preço</v>
      </c>
      <c r="F87" s="8" t="str">
        <f>IFERROR(__xludf.DUMMYFUNCTION("""COMPUTED_VALUE"""),"era")</f>
        <v>era</v>
      </c>
      <c r="G87" s="8" t="str">
        <f t="shared" si="3"/>
        <v>2.0</v>
      </c>
      <c r="H87" s="9">
        <f t="shared" si="4"/>
        <v>2</v>
      </c>
      <c r="I87" s="10">
        <f>IFERROR(__xludf.DUMMYFUNCTION("MAX(FILTER($H:$H,$E:$E=F87))"),1.0)</f>
        <v>1</v>
      </c>
    </row>
    <row r="88">
      <c r="A88" s="4"/>
      <c r="C88" s="4" t="s">
        <v>259</v>
      </c>
      <c r="D88" s="4" t="str">
        <f t="shared" si="1"/>
        <v>{"valorA":"ótimo","valorB":12.0}</v>
      </c>
      <c r="E88" s="8" t="str">
        <f t="shared" si="2"/>
        <v>ótimo</v>
      </c>
      <c r="F88" s="8" t="str">
        <f>IFERROR(__xludf.DUMMYFUNCTION("""COMPUTED_VALUE"""),"caro")</f>
        <v>caro</v>
      </c>
      <c r="G88" s="8" t="str">
        <f t="shared" si="3"/>
        <v>12.0</v>
      </c>
      <c r="H88" s="9">
        <f t="shared" si="4"/>
        <v>12</v>
      </c>
      <c r="I88" s="10">
        <f>IFERROR(__xludf.DUMMYFUNCTION("MAX(FILTER($H:$H,$E:$E=F88))"),2.0)</f>
        <v>2</v>
      </c>
    </row>
    <row r="89">
      <c r="A89" s="4"/>
      <c r="C89" s="4" t="s">
        <v>403</v>
      </c>
      <c r="D89" s="4" t="str">
        <f t="shared" si="1"/>
        <v>{"valorA":"para","valorB":5.0}</v>
      </c>
      <c r="E89" s="8" t="str">
        <f t="shared" si="2"/>
        <v>para</v>
      </c>
      <c r="F89" s="8" t="str">
        <f>IFERROR(__xludf.DUMMYFUNCTION("""COMPUTED_VALUE"""),"note")</f>
        <v>note</v>
      </c>
      <c r="G89" s="8" t="str">
        <f t="shared" si="3"/>
        <v>5.0</v>
      </c>
      <c r="H89" s="9">
        <f t="shared" si="4"/>
        <v>5</v>
      </c>
      <c r="I89" s="10">
        <f>IFERROR(__xludf.DUMMYFUNCTION("MAX(FILTER($H:$H,$E:$E=F89))"),1.0)</f>
        <v>1</v>
      </c>
    </row>
    <row r="90">
      <c r="A90" s="4"/>
      <c r="C90" s="4" t="s">
        <v>1269</v>
      </c>
      <c r="D90" s="4" t="str">
        <f t="shared" si="1"/>
        <v>{"valorA":"confiável","valorB":1.0}</v>
      </c>
      <c r="E90" s="8" t="str">
        <f t="shared" si="2"/>
        <v>confiável</v>
      </c>
      <c r="F90" s="8" t="str">
        <f>IFERROR(__xludf.DUMMYFUNCTION("""COMPUTED_VALUE"""),"the")</f>
        <v>the</v>
      </c>
      <c r="G90" s="8" t="str">
        <f t="shared" si="3"/>
        <v>1.0</v>
      </c>
      <c r="H90" s="9">
        <f t="shared" si="4"/>
        <v>1</v>
      </c>
      <c r="I90" s="10">
        <f>IFERROR(__xludf.DUMMYFUNCTION("MAX(FILTER($H:$H,$E:$E=F90))"),1.0)</f>
        <v>1</v>
      </c>
    </row>
    <row r="91">
      <c r="A91" s="4"/>
      <c r="C91" s="4" t="s">
        <v>9405</v>
      </c>
      <c r="D91" s="4" t="str">
        <f t="shared" si="1"/>
        <v>{"valorA":"resistente","valorB":1.0}</v>
      </c>
      <c r="E91" s="8" t="str">
        <f t="shared" si="2"/>
        <v>resistente</v>
      </c>
      <c r="F91" s="8" t="str">
        <f>IFERROR(__xludf.DUMMYFUNCTION("""COMPUTED_VALUE"""),"are")</f>
        <v>are</v>
      </c>
      <c r="G91" s="8" t="str">
        <f t="shared" si="3"/>
        <v>1.0</v>
      </c>
      <c r="H91" s="9">
        <f t="shared" si="4"/>
        <v>1</v>
      </c>
      <c r="I91" s="10">
        <f>IFERROR(__xludf.DUMMYFUNCTION("MAX(FILTER($H:$H,$E:$E=F91))"),1.0)</f>
        <v>1</v>
      </c>
    </row>
    <row r="92">
      <c r="A92" s="4"/>
      <c r="C92" s="4" t="s">
        <v>680</v>
      </c>
      <c r="D92" s="4" t="str">
        <f t="shared" si="1"/>
        <v>{"valorA":"quem","valorB":3.0}</v>
      </c>
      <c r="E92" s="8" t="str">
        <f t="shared" si="2"/>
        <v>quem</v>
      </c>
      <c r="F92" s="8" t="str">
        <f>IFERROR(__xludf.DUMMYFUNCTION("""COMPUTED_VALUE"""),"of")</f>
        <v>of</v>
      </c>
      <c r="G92" s="8" t="str">
        <f t="shared" si="3"/>
        <v>3.0</v>
      </c>
      <c r="H92" s="9">
        <f t="shared" si="4"/>
        <v>3</v>
      </c>
      <c r="I92" s="10">
        <f>IFERROR(__xludf.DUMMYFUNCTION("MAX(FILTER($H:$H,$E:$E=F92))"),1.0)</f>
        <v>1</v>
      </c>
    </row>
    <row r="93">
      <c r="A93" s="4"/>
      <c r="C93" s="4" t="s">
        <v>371</v>
      </c>
      <c r="D93" s="4" t="str">
        <f t="shared" si="1"/>
        <v>{"valorA":"e","valorB":6.0}</v>
      </c>
      <c r="E93" s="8" t="str">
        <f t="shared" si="2"/>
        <v>e</v>
      </c>
      <c r="F93" s="8" t="str">
        <f>IFERROR(__xludf.DUMMYFUNCTION("""COMPUTED_VALUE"""),"mas")</f>
        <v>mas</v>
      </c>
      <c r="G93" s="8" t="str">
        <f t="shared" si="3"/>
        <v>6.0</v>
      </c>
      <c r="H93" s="9">
        <f t="shared" si="4"/>
        <v>6</v>
      </c>
      <c r="I93" s="10">
        <f>IFERROR(__xludf.DUMMYFUNCTION("MAX(FILTER($H:$H,$E:$E=F93))"),2.0)</f>
        <v>2</v>
      </c>
    </row>
    <row r="94">
      <c r="A94" s="4"/>
      <c r="C94" s="4" t="s">
        <v>258</v>
      </c>
      <c r="D94" s="4" t="str">
        <f t="shared" si="1"/>
        <v>{"valorA":"produto","valorB":8.0}</v>
      </c>
      <c r="E94" s="8" t="str">
        <f t="shared" si="2"/>
        <v>produto</v>
      </c>
      <c r="F94" s="8" t="str">
        <f>IFERROR(__xludf.DUMMYFUNCTION("""COMPUTED_VALUE"""),"that")</f>
        <v>that</v>
      </c>
      <c r="G94" s="8" t="str">
        <f t="shared" si="3"/>
        <v>8.0</v>
      </c>
      <c r="H94" s="9">
        <f t="shared" si="4"/>
        <v>8</v>
      </c>
      <c r="I94" s="10">
        <f>IFERROR(__xludf.DUMMYFUNCTION("MAX(FILTER($H:$H,$E:$E=F94))"),1.0)</f>
        <v>1</v>
      </c>
    </row>
    <row r="95">
      <c r="A95" s="4"/>
      <c r="C95" s="4" t="s">
        <v>685</v>
      </c>
      <c r="D95" s="4" t="str">
        <f t="shared" si="1"/>
        <v>{"valorA":"busca","valorB":2.0}</v>
      </c>
      <c r="E95" s="8" t="str">
        <f t="shared" si="2"/>
        <v>busca</v>
      </c>
      <c r="F95" s="8" t="str">
        <f>IFERROR(__xludf.DUMMYFUNCTION("""COMPUTED_VALUE"""),"comments")</f>
        <v>comments</v>
      </c>
      <c r="G95" s="8" t="str">
        <f t="shared" si="3"/>
        <v>2.0</v>
      </c>
      <c r="H95" s="9">
        <f t="shared" si="4"/>
        <v>2</v>
      </c>
      <c r="I95" s="10">
        <f>IFERROR(__xludf.DUMMYFUNCTION("MAX(FILTER($H:$H,$E:$E=F95))"),1.0)</f>
        <v>1</v>
      </c>
    </row>
    <row r="96">
      <c r="A96" s="4"/>
      <c r="C96" s="4" t="s">
        <v>653</v>
      </c>
      <c r="D96" s="4" t="str">
        <f t="shared" si="1"/>
        <v>{"valorA":"um","valorB":2.0}</v>
      </c>
      <c r="E96" s="8" t="str">
        <f t="shared" si="2"/>
        <v>um</v>
      </c>
      <c r="F96" s="8" t="str">
        <f>IFERROR(__xludf.DUMMYFUNCTION("""COMPUTED_VALUE"""),"mim")</f>
        <v>mim</v>
      </c>
      <c r="G96" s="8" t="str">
        <f t="shared" si="3"/>
        <v>2.0</v>
      </c>
      <c r="H96" s="9">
        <f t="shared" si="4"/>
        <v>2</v>
      </c>
      <c r="I96" s="10">
        <f>IFERROR(__xludf.DUMMYFUNCTION("MAX(FILTER($H:$H,$E:$E=F96))"),1.0)</f>
        <v>1</v>
      </c>
    </row>
    <row r="97">
      <c r="A97" s="4"/>
      <c r="C97" s="4" t="s">
        <v>628</v>
      </c>
      <c r="D97" s="4" t="str">
        <f t="shared" si="1"/>
        <v>{"valorA":"ótimo","valorB":13.0}</v>
      </c>
      <c r="E97" s="8" t="str">
        <f t="shared" si="2"/>
        <v>ótimo</v>
      </c>
      <c r="F97" s="8" t="str">
        <f>IFERROR(__xludf.DUMMYFUNCTION("""COMPUTED_VALUE"""),"mulher")</f>
        <v>mulher</v>
      </c>
      <c r="G97" s="8" t="str">
        <f t="shared" si="3"/>
        <v>13.0</v>
      </c>
      <c r="H97" s="9">
        <f t="shared" si="4"/>
        <v>13</v>
      </c>
      <c r="I97" s="10">
        <f>IFERROR(__xludf.DUMMYFUNCTION("MAX(FILTER($H:$H,$E:$E=F97))"),1.0)</f>
        <v>1</v>
      </c>
    </row>
    <row r="98">
      <c r="A98" s="4"/>
      <c r="C98" s="4" t="s">
        <v>419</v>
      </c>
      <c r="D98" s="4" t="str">
        <f t="shared" si="1"/>
        <v>{"valorA":"para","valorB":6.0}</v>
      </c>
      <c r="E98" s="8" t="str">
        <f t="shared" si="2"/>
        <v>para</v>
      </c>
      <c r="F98" s="8" t="str">
        <f>IFERROR(__xludf.DUMMYFUNCTION("""COMPUTED_VALUE"""),"amamos")</f>
        <v>amamos</v>
      </c>
      <c r="G98" s="8" t="str">
        <f t="shared" si="3"/>
        <v>6.0</v>
      </c>
      <c r="H98" s="9">
        <f t="shared" si="4"/>
        <v>6</v>
      </c>
      <c r="I98" s="10">
        <f>IFERROR(__xludf.DUMMYFUNCTION("MAX(FILTER($H:$H,$E:$E=F98))"),1.0)</f>
        <v>1</v>
      </c>
    </row>
    <row r="99">
      <c r="A99" s="4"/>
      <c r="C99" s="4" t="s">
        <v>694</v>
      </c>
      <c r="D99" s="4" t="str">
        <f t="shared" si="1"/>
        <v>{"valorA":"quem","valorB":4.0}</v>
      </c>
      <c r="E99" s="8" t="str">
        <f t="shared" si="2"/>
        <v>quem</v>
      </c>
      <c r="F99" s="8" t="str">
        <f>IFERROR(__xludf.DUMMYFUNCTION("""COMPUTED_VALUE"""),"ambos")</f>
        <v>ambos</v>
      </c>
      <c r="G99" s="8" t="str">
        <f t="shared" si="3"/>
        <v>4.0</v>
      </c>
      <c r="H99" s="9">
        <f t="shared" si="4"/>
        <v>4</v>
      </c>
      <c r="I99" s="10">
        <f>IFERROR(__xludf.DUMMYFUNCTION("MAX(FILTER($H:$H,$E:$E=F99))"),1.0)</f>
        <v>1</v>
      </c>
    </row>
    <row r="100">
      <c r="A100" s="4"/>
      <c r="C100" s="4" t="s">
        <v>1485</v>
      </c>
      <c r="D100" s="4" t="str">
        <f t="shared" si="1"/>
        <v>{"valorA":"boa","valorB":2.0}</v>
      </c>
      <c r="E100" s="8" t="str">
        <f t="shared" si="2"/>
        <v>boa</v>
      </c>
      <c r="F100" s="8" t="str">
        <f>IFERROR(__xludf.DUMMYFUNCTION("""COMPUTED_VALUE"""),"minha")</f>
        <v>minha</v>
      </c>
      <c r="G100" s="8" t="str">
        <f t="shared" si="3"/>
        <v>2.0</v>
      </c>
      <c r="H100" s="9">
        <f t="shared" si="4"/>
        <v>2</v>
      </c>
      <c r="I100" s="10">
        <f>IFERROR(__xludf.DUMMYFUNCTION("MAX(FILTER($H:$H,$E:$E=F100))"),1.0)</f>
        <v>1</v>
      </c>
    </row>
    <row r="101">
      <c r="A101" s="4"/>
      <c r="C101" s="4" t="s">
        <v>9406</v>
      </c>
      <c r="D101" s="4" t="str">
        <f t="shared" si="1"/>
        <v>{"valorA":"economia","valorB":1.0}</v>
      </c>
      <c r="E101" s="8" t="str">
        <f t="shared" si="2"/>
        <v>economia</v>
      </c>
      <c r="F101" s="8" t="str">
        <f>IFERROR(__xludf.DUMMYFUNCTION("""COMPUTED_VALUE"""),"fico")</f>
        <v>fico</v>
      </c>
      <c r="G101" s="8" t="str">
        <f t="shared" si="3"/>
        <v>1.0</v>
      </c>
      <c r="H101" s="9">
        <f t="shared" si="4"/>
        <v>1</v>
      </c>
      <c r="I101" s="10">
        <f>IFERROR(__xludf.DUMMYFUNCTION("MAX(FILTER($H:$H,$E:$E=F101))"),1.0)</f>
        <v>1</v>
      </c>
    </row>
    <row r="102">
      <c r="A102" s="4"/>
      <c r="C102" s="4" t="s">
        <v>272</v>
      </c>
      <c r="D102" s="4" t="str">
        <f t="shared" si="1"/>
        <v>{"valorA":"produto","valorB":9.0}</v>
      </c>
      <c r="E102" s="8" t="str">
        <f t="shared" si="2"/>
        <v>produto</v>
      </c>
      <c r="F102" s="8" t="str">
        <f>IFERROR(__xludf.DUMMYFUNCTION("""COMPUTED_VALUE"""),"televisorótimo")</f>
        <v>televisorótimo</v>
      </c>
      <c r="G102" s="8" t="str">
        <f t="shared" si="3"/>
        <v>9.0</v>
      </c>
      <c r="H102" s="9">
        <f t="shared" si="4"/>
        <v>9</v>
      </c>
      <c r="I102" s="10">
        <f>IFERROR(__xludf.DUMMYFUNCTION("MAX(FILTER($H:$H,$E:$E=F102))"),1.0)</f>
        <v>1</v>
      </c>
    </row>
    <row r="103">
      <c r="A103" s="4"/>
      <c r="C103" s="4" t="s">
        <v>4894</v>
      </c>
      <c r="D103" s="4" t="str">
        <f t="shared" si="1"/>
        <v>{"valorA":"uma","valorB":3.0}</v>
      </c>
      <c r="E103" s="8" t="str">
        <f t="shared" si="2"/>
        <v>uma</v>
      </c>
      <c r="F103" s="8" t="str">
        <f>IFERROR(__xludf.DUMMYFUNCTION("""COMPUTED_VALUE"""),"feliz")</f>
        <v>feliz</v>
      </c>
      <c r="G103" s="8" t="str">
        <f t="shared" si="3"/>
        <v>3.0</v>
      </c>
      <c r="H103" s="9">
        <f t="shared" si="4"/>
        <v>3</v>
      </c>
      <c r="I103" s="10">
        <f>IFERROR(__xludf.DUMMYFUNCTION("MAX(FILTER($H:$H,$E:$E=F103))"),1.0)</f>
        <v>1</v>
      </c>
    </row>
    <row r="104">
      <c r="A104" s="4"/>
      <c r="C104" s="4" t="s">
        <v>1463</v>
      </c>
      <c r="D104" s="4" t="str">
        <f t="shared" si="1"/>
        <v>{"valorA":"busca","valorB":3.0}</v>
      </c>
      <c r="E104" s="8" t="str">
        <f t="shared" si="2"/>
        <v>busca</v>
      </c>
      <c r="F104" s="8" t="str">
        <f>IFERROR(__xludf.DUMMYFUNCTION("""COMPUTED_VALUE"""),"compra")</f>
        <v>compra</v>
      </c>
      <c r="G104" s="8" t="str">
        <f t="shared" si="3"/>
        <v>3.0</v>
      </c>
      <c r="H104" s="9">
        <f t="shared" si="4"/>
        <v>3</v>
      </c>
      <c r="I104" s="10">
        <f>IFERROR(__xludf.DUMMYFUNCTION("MAX(FILTER($H:$H,$E:$E=F104))"),2.0)</f>
        <v>2</v>
      </c>
    </row>
    <row r="105">
      <c r="A105" s="4"/>
      <c r="C105" s="4" t="s">
        <v>469</v>
      </c>
      <c r="D105" s="4" t="str">
        <f t="shared" si="1"/>
        <v>{"valorA":"para","valorB":7.0}</v>
      </c>
      <c r="E105" s="8" t="str">
        <f t="shared" si="2"/>
        <v>para</v>
      </c>
      <c r="F105" s="8" t="str">
        <f>IFERROR(__xludf.DUMMYFUNCTION("""COMPUTED_VALUE"""),"computador")</f>
        <v>computador</v>
      </c>
      <c r="G105" s="8" t="str">
        <f t="shared" si="3"/>
        <v>7.0</v>
      </c>
      <c r="H105" s="9">
        <f t="shared" si="4"/>
        <v>7</v>
      </c>
      <c r="I105" s="10">
        <f>IFERROR(__xludf.DUMMYFUNCTION("MAX(FILTER($H:$H,$E:$E=F105))"),2.0)</f>
        <v>2</v>
      </c>
    </row>
    <row r="106">
      <c r="A106" s="4"/>
      <c r="C106" s="4" t="s">
        <v>634</v>
      </c>
      <c r="D106" s="4" t="str">
        <f t="shared" si="1"/>
        <v>{"valorA":"bem","valorB":2.0}</v>
      </c>
      <c r="E106" s="8" t="str">
        <f t="shared" si="2"/>
        <v>bem</v>
      </c>
      <c r="F106" s="8" t="str">
        <f>IFERROR(__xludf.DUMMYFUNCTION("""COMPUTED_VALUE"""),"imagem")</f>
        <v>imagem</v>
      </c>
      <c r="G106" s="8" t="str">
        <f t="shared" si="3"/>
        <v>2.0</v>
      </c>
      <c r="H106" s="9">
        <f t="shared" si="4"/>
        <v>2</v>
      </c>
      <c r="I106" s="10">
        <f>IFERROR(__xludf.DUMMYFUNCTION("MAX(FILTER($H:$H,$E:$E=F106))"),1.0)</f>
        <v>1</v>
      </c>
    </row>
    <row r="107">
      <c r="A107" s="4"/>
      <c r="C107" s="4" t="s">
        <v>1450</v>
      </c>
      <c r="D107" s="4" t="str">
        <f t="shared" si="1"/>
        <v>{"valorA":"quem","valorB":5.0}</v>
      </c>
      <c r="E107" s="8" t="str">
        <f t="shared" si="2"/>
        <v>quem</v>
      </c>
      <c r="F107" s="8" t="str">
        <f>IFERROR(__xludf.DUMMYFUNCTION("""COMPUTED_VALUE"""),"tamanho")</f>
        <v>tamanho</v>
      </c>
      <c r="G107" s="8" t="str">
        <f t="shared" si="3"/>
        <v>5.0</v>
      </c>
      <c r="H107" s="9">
        <f t="shared" si="4"/>
        <v>5</v>
      </c>
      <c r="I107" s="10">
        <f>IFERROR(__xludf.DUMMYFUNCTION("MAX(FILTER($H:$H,$E:$E=F107))"),1.0)</f>
        <v>1</v>
      </c>
    </row>
    <row r="108">
      <c r="A108" s="4"/>
      <c r="C108" s="4" t="s">
        <v>643</v>
      </c>
      <c r="D108" s="4" t="str">
        <f t="shared" si="1"/>
        <v>{"valorA":"produto","valorB":10.0}</v>
      </c>
      <c r="E108" s="8" t="str">
        <f t="shared" si="2"/>
        <v>produto</v>
      </c>
      <c r="F108" s="8" t="str">
        <f>IFERROR(__xludf.DUMMYFUNCTION("""COMPUTED_VALUE"""),"é")</f>
        <v>é</v>
      </c>
      <c r="G108" s="8" t="str">
        <f t="shared" si="3"/>
        <v>10.0</v>
      </c>
      <c r="H108" s="9">
        <f t="shared" si="4"/>
        <v>10</v>
      </c>
      <c r="I108" s="10">
        <f>IFERROR(__xludf.DUMMYFUNCTION("MAX(FILTER($H:$H,$E:$E=F108))"),4.0)</f>
        <v>4</v>
      </c>
    </row>
    <row r="109">
      <c r="A109" s="4"/>
      <c r="C109" s="4" t="s">
        <v>674</v>
      </c>
      <c r="D109" s="4" t="str">
        <f t="shared" si="1"/>
        <v>{"valorA":"televisor","valorB":2.0}</v>
      </c>
      <c r="E109" s="8" t="str">
        <f t="shared" si="2"/>
        <v>televisor</v>
      </c>
      <c r="F109" s="8" t="str">
        <f>IFERROR(__xludf.DUMMYFUNCTION("""COMPUTED_VALUE"""),"leve")</f>
        <v>leve</v>
      </c>
      <c r="G109" s="8" t="str">
        <f t="shared" si="3"/>
        <v>2.0</v>
      </c>
      <c r="H109" s="9">
        <f t="shared" si="4"/>
        <v>2</v>
      </c>
      <c r="I109" s="10">
        <f>IFERROR(__xludf.DUMMYFUNCTION("MAX(FILTER($H:$H,$E:$E=F109))"),1.0)</f>
        <v>1</v>
      </c>
    </row>
    <row r="110">
      <c r="A110" s="4"/>
      <c r="C110" s="4" t="s">
        <v>638</v>
      </c>
      <c r="D110" s="4" t="str">
        <f t="shared" si="1"/>
        <v>{"valorA":"ótimo","valorB":15.0}</v>
      </c>
      <c r="E110" s="8" t="str">
        <f t="shared" si="2"/>
        <v>ótimo</v>
      </c>
      <c r="F110" s="8" t="str">
        <f>IFERROR(__xludf.DUMMYFUNCTION("""COMPUTED_VALUE"""),"também")</f>
        <v>também</v>
      </c>
      <c r="G110" s="8" t="str">
        <f t="shared" si="3"/>
        <v>15.0</v>
      </c>
      <c r="H110" s="9">
        <f t="shared" si="4"/>
        <v>15</v>
      </c>
      <c r="I110" s="10">
        <f>IFERROR(__xludf.DUMMYFUNCTION("MAX(FILTER($H:$H,$E:$E=F110))"),2.0)</f>
        <v>2</v>
      </c>
    </row>
    <row r="111">
      <c r="A111" s="4"/>
      <c r="C111" s="4" t="s">
        <v>9407</v>
      </c>
      <c r="D111" s="4" t="str">
        <f t="shared" si="1"/>
        <v>{"valorA":"economicado","valorB":1.0}</v>
      </c>
      <c r="E111" s="8" t="str">
        <f t="shared" si="2"/>
        <v>economicado</v>
      </c>
      <c r="F111" s="8" t="str">
        <f>IFERROR(__xludf.DUMMYFUNCTION("""COMPUTED_VALUE"""),"câmera")</f>
        <v>câmera</v>
      </c>
      <c r="G111" s="8" t="str">
        <f t="shared" si="3"/>
        <v>1.0</v>
      </c>
      <c r="H111" s="9">
        <f t="shared" si="4"/>
        <v>1</v>
      </c>
      <c r="I111" s="10">
        <f>IFERROR(__xludf.DUMMYFUNCTION("MAX(FILTER($H:$H,$E:$E=F111))"),2.0)</f>
        <v>2</v>
      </c>
    </row>
    <row r="112">
      <c r="A112" s="4"/>
      <c r="C112" s="4" t="s">
        <v>631</v>
      </c>
      <c r="D112" s="4" t="str">
        <f t="shared" si="1"/>
        <v>{"valorA":"funciona","valorB":2.0}</v>
      </c>
      <c r="E112" s="8" t="str">
        <f t="shared" si="2"/>
        <v>funciona</v>
      </c>
      <c r="F112" s="8" t="str">
        <f>IFERROR(__xludf.DUMMYFUNCTION("""COMPUTED_VALUE"""),"col")</f>
        <v>col</v>
      </c>
      <c r="G112" s="8" t="str">
        <f t="shared" si="3"/>
        <v>2.0</v>
      </c>
      <c r="H112" s="9">
        <f t="shared" si="4"/>
        <v>2</v>
      </c>
      <c r="I112" s="10">
        <f>IFERROR(__xludf.DUMMYFUNCTION("MAX(FILTER($H:$H,$E:$E=F112))"),1.0)</f>
        <v>1</v>
      </c>
    </row>
    <row r="113">
      <c r="A113" s="4"/>
      <c r="C113" s="4" t="s">
        <v>4923</v>
      </c>
      <c r="D113" s="4" t="str">
        <f t="shared" si="1"/>
        <v>{"valorA":"busca","valorB":4.0}</v>
      </c>
      <c r="E113" s="8" t="str">
        <f t="shared" si="2"/>
        <v>busca</v>
      </c>
      <c r="F113" s="8" t="str">
        <f>IFERROR(__xludf.DUMMYFUNCTION("""COMPUTED_VALUE"""),"linguagem")</f>
        <v>linguagem</v>
      </c>
      <c r="G113" s="8" t="str">
        <f t="shared" si="3"/>
        <v>4.0</v>
      </c>
      <c r="H113" s="9">
        <f t="shared" si="4"/>
        <v>4</v>
      </c>
      <c r="I113" s="10">
        <f>IFERROR(__xludf.DUMMYFUNCTION("MAX(FILTER($H:$H,$E:$E=F113))"),1.0)</f>
        <v>1</v>
      </c>
    </row>
    <row r="114">
      <c r="A114" s="4"/>
      <c r="C114" s="4" t="s">
        <v>670</v>
      </c>
      <c r="D114" s="4" t="str">
        <f t="shared" si="1"/>
        <v>{"valorA":"um","valorB":3.0}</v>
      </c>
      <c r="E114" s="8" t="str">
        <f t="shared" si="2"/>
        <v>um</v>
      </c>
      <c r="F114" s="8" t="str">
        <f>IFERROR(__xludf.DUMMYFUNCTION("""COMPUTED_VALUE"""),"resumo")</f>
        <v>resumo</v>
      </c>
      <c r="G114" s="8" t="str">
        <f t="shared" si="3"/>
        <v>3.0</v>
      </c>
      <c r="H114" s="9">
        <f t="shared" si="4"/>
        <v>3</v>
      </c>
      <c r="I114" s="10">
        <f>IFERROR(__xludf.DUMMYFUNCTION("MAX(FILTER($H:$H,$E:$E=F114))"),1.0)</f>
        <v>1</v>
      </c>
    </row>
    <row r="115">
      <c r="A115" s="4"/>
      <c r="C115" s="4" t="s">
        <v>1414</v>
      </c>
      <c r="D115" s="4" t="str">
        <f t="shared" si="1"/>
        <v>{"valorA":"qualidade","valorB":3.0}</v>
      </c>
      <c r="E115" s="8" t="str">
        <f t="shared" si="2"/>
        <v>qualidade</v>
      </c>
      <c r="F115" s="8" t="str">
        <f>IFERROR(__xludf.DUMMYFUNCTION("""COMPUTED_VALUE"""),"utilize")</f>
        <v>utilize</v>
      </c>
      <c r="G115" s="8" t="str">
        <f t="shared" si="3"/>
        <v>3.0</v>
      </c>
      <c r="H115" s="9">
        <f t="shared" si="4"/>
        <v>3</v>
      </c>
      <c r="I115" s="10">
        <f>IFERROR(__xludf.DUMMYFUNCTION("MAX(FILTER($H:$H,$E:$E=F115))"),1.0)</f>
        <v>1</v>
      </c>
    </row>
    <row r="116">
      <c r="A116" s="4"/>
      <c r="C116" s="4" t="s">
        <v>367</v>
      </c>
      <c r="D116" s="4" t="str">
        <f t="shared" si="1"/>
        <v>{"valorA":"meu","valorB":2.0}</v>
      </c>
      <c r="E116" s="8" t="str">
        <f t="shared" si="2"/>
        <v>meu</v>
      </c>
      <c r="F116" s="8" t="str">
        <f>IFERROR(__xludf.DUMMYFUNCTION("""COMPUTED_VALUE"""),"exemplos")</f>
        <v>exemplos</v>
      </c>
      <c r="G116" s="8" t="str">
        <f t="shared" si="3"/>
        <v>2.0</v>
      </c>
      <c r="H116" s="9">
        <f t="shared" si="4"/>
        <v>2</v>
      </c>
      <c r="I116" s="10">
        <f>IFERROR(__xludf.DUMMYFUNCTION("MAX(FILTER($H:$H,$E:$E=F116))"),1.0)</f>
        <v>1</v>
      </c>
    </row>
    <row r="117">
      <c r="A117" s="4"/>
      <c r="C117" s="4" t="s">
        <v>666</v>
      </c>
      <c r="D117" s="4" t="str">
        <f t="shared" si="1"/>
        <v>{"valorA":"e","valorB":7.0}</v>
      </c>
      <c r="E117" s="8" t="str">
        <f t="shared" si="2"/>
        <v>e</v>
      </c>
      <c r="F117" s="8" t="str">
        <f>IFERROR(__xludf.DUMMYFUNCTION("""COMPUTED_VALUE"""),"carregar")</f>
        <v>carregar</v>
      </c>
      <c r="G117" s="8" t="str">
        <f t="shared" si="3"/>
        <v>7.0</v>
      </c>
      <c r="H117" s="9">
        <f t="shared" si="4"/>
        <v>7</v>
      </c>
      <c r="I117" s="10">
        <f>IFERROR(__xludf.DUMMYFUNCTION("MAX(FILTER($H:$H,$E:$E=F117))"),1.0)</f>
        <v>1</v>
      </c>
    </row>
    <row r="118">
      <c r="A118" s="4"/>
      <c r="C118" s="4" t="s">
        <v>392</v>
      </c>
      <c r="D118" s="4" t="str">
        <f t="shared" si="1"/>
        <v>{"valorA":"do","valorB":2.0}</v>
      </c>
      <c r="E118" s="8" t="str">
        <f t="shared" si="2"/>
        <v>do</v>
      </c>
      <c r="F118" s="8" t="str">
        <f>IFERROR(__xludf.DUMMYFUNCTION("""COMPUTED_VALUE"""),"nota")</f>
        <v>nota</v>
      </c>
      <c r="G118" s="8" t="str">
        <f t="shared" si="3"/>
        <v>2.0</v>
      </c>
      <c r="H118" s="9">
        <f t="shared" si="4"/>
        <v>2</v>
      </c>
      <c r="I118" s="10">
        <f>IFERROR(__xludf.DUMMYFUNCTION("MAX(FILTER($H:$H,$E:$E=F118))"),2.0)</f>
        <v>2</v>
      </c>
    </row>
    <row r="119">
      <c r="A119" s="4"/>
      <c r="C119" s="4" t="s">
        <v>260</v>
      </c>
      <c r="D119" s="4" t="str">
        <f t="shared" si="1"/>
        <v>{"valorA":"gostei","valorB":2.0}</v>
      </c>
      <c r="E119" s="8" t="str">
        <f t="shared" si="2"/>
        <v>gostei</v>
      </c>
      <c r="F119" s="8" t="str">
        <f>IFERROR(__xludf.DUMMYFUNCTION("""COMPUTED_VALUE"""),"são")</f>
        <v>são</v>
      </c>
      <c r="G119" s="8" t="str">
        <f t="shared" si="3"/>
        <v>2.0</v>
      </c>
      <c r="H119" s="9">
        <f t="shared" si="4"/>
        <v>2</v>
      </c>
      <c r="I119" s="10">
        <f>IFERROR(__xludf.DUMMYFUNCTION("MAX(FILTER($H:$H,$E:$E=F119))"),1.0)</f>
        <v>1</v>
      </c>
    </row>
    <row r="120">
      <c r="A120" s="4"/>
      <c r="C120" s="4" t="s">
        <v>216</v>
      </c>
      <c r="D120" s="4" t="str">
        <f t="shared" si="1"/>
        <v>{"valorA":"novo","valorB":1.0}</v>
      </c>
      <c r="E120" s="8" t="str">
        <f t="shared" si="2"/>
        <v>novo</v>
      </c>
      <c r="F120" s="8" t="str">
        <f>IFERROR(__xludf.DUMMYFUNCTION("""COMPUTED_VALUE"""),"apenas")</f>
        <v>apenas</v>
      </c>
      <c r="G120" s="8" t="str">
        <f t="shared" si="3"/>
        <v>1.0</v>
      </c>
      <c r="H120" s="9">
        <f t="shared" si="4"/>
        <v>1</v>
      </c>
      <c r="I120" s="10">
        <f>IFERROR(__xludf.DUMMYFUNCTION("MAX(FILTER($H:$H,$E:$E=F120))"),1.0)</f>
        <v>1</v>
      </c>
    </row>
    <row r="121">
      <c r="A121" s="4"/>
      <c r="C121" s="4" t="s">
        <v>9408</v>
      </c>
      <c r="D121" s="4" t="str">
        <f t="shared" si="1"/>
        <v>{"valorA":"terno","valorB":1.0}</v>
      </c>
      <c r="E121" s="8" t="str">
        <f t="shared" si="2"/>
        <v>terno</v>
      </c>
      <c r="F121" s="8" t="str">
        <f>IFERROR(__xludf.DUMMYFUNCTION("""COMPUTED_VALUE"""),"esses")</f>
        <v>esses</v>
      </c>
      <c r="G121" s="8" t="str">
        <f t="shared" si="3"/>
        <v>1.0</v>
      </c>
      <c r="H121" s="9">
        <f t="shared" si="4"/>
        <v>1</v>
      </c>
      <c r="I121" s="10">
        <f>IFERROR(__xludf.DUMMYFUNCTION("MAX(FILTER($H:$H,$E:$E=F121))"),1.0)</f>
        <v>1</v>
      </c>
    </row>
    <row r="122">
      <c r="A122" s="4"/>
      <c r="C122" s="4" t="s">
        <v>590</v>
      </c>
      <c r="D122" s="4" t="str">
        <f t="shared" si="1"/>
        <v>{"valorA":"preço","valorB":3.0}</v>
      </c>
      <c r="E122" s="8" t="str">
        <f t="shared" si="2"/>
        <v>preço</v>
      </c>
      <c r="F122" s="8" t="str">
        <f>IFERROR(__xludf.DUMMYFUNCTION("""COMPUTED_VALUE"""),"design")</f>
        <v>design</v>
      </c>
      <c r="G122" s="8" t="str">
        <f t="shared" si="3"/>
        <v>3.0</v>
      </c>
      <c r="H122" s="9">
        <f t="shared" si="4"/>
        <v>3</v>
      </c>
      <c r="I122" s="10">
        <f>IFERROR(__xludf.DUMMYFUNCTION("MAX(FILTER($H:$H,$E:$E=F122))"),1.0)</f>
        <v>1</v>
      </c>
    </row>
    <row r="123">
      <c r="A123" s="4"/>
      <c r="C123" s="4" t="s">
        <v>659</v>
      </c>
      <c r="D123" s="4" t="str">
        <f t="shared" si="1"/>
        <v>{"valorA":"valeu","valorB":3.0}</v>
      </c>
      <c r="E123" s="8" t="str">
        <f t="shared" si="2"/>
        <v>valeu</v>
      </c>
      <c r="F123" s="8" t="str">
        <f>IFERROR(__xludf.DUMMYFUNCTION("""COMPUTED_VALUE"""),"nada")</f>
        <v>nada</v>
      </c>
      <c r="G123" s="8" t="str">
        <f t="shared" si="3"/>
        <v>3.0</v>
      </c>
      <c r="H123" s="9">
        <f t="shared" si="4"/>
        <v>3</v>
      </c>
      <c r="I123" s="10">
        <f>IFERROR(__xludf.DUMMYFUNCTION("MAX(FILTER($H:$H,$E:$E=F123))"),1.0)</f>
        <v>1</v>
      </c>
    </row>
    <row r="124">
      <c r="A124" s="4"/>
      <c r="C124" s="4" t="s">
        <v>626</v>
      </c>
      <c r="D124" s="4" t="str">
        <f t="shared" si="1"/>
        <v>{"valorA":"espera","valorB":2.0}</v>
      </c>
      <c r="E124" s="8" t="str">
        <f t="shared" si="2"/>
        <v>espera</v>
      </c>
      <c r="F124" s="8" t="str">
        <f>IFERROR(__xludf.DUMMYFUNCTION("""COMPUTED_VALUE"""),"como")</f>
        <v>como</v>
      </c>
      <c r="G124" s="8" t="str">
        <f t="shared" si="3"/>
        <v>2.0</v>
      </c>
      <c r="H124" s="9">
        <f t="shared" si="4"/>
        <v>2</v>
      </c>
      <c r="I124" s="10">
        <f>IFERROR(__xludf.DUMMYFUNCTION("MAX(FILTER($H:$H,$E:$E=F124))"),1.0)</f>
        <v>1</v>
      </c>
    </row>
    <row r="125">
      <c r="A125" s="4"/>
      <c r="C125" s="4" t="s">
        <v>651</v>
      </c>
      <c r="D125" s="4" t="str">
        <f t="shared" si="1"/>
        <v>{"valorA":"produto","valorB":11.0}</v>
      </c>
      <c r="E125" s="8" t="str">
        <f t="shared" si="2"/>
        <v>produto</v>
      </c>
      <c r="F125" s="8" t="str">
        <f>IFERROR(__xludf.DUMMYFUNCTION("""COMPUTED_VALUE"""),"este")</f>
        <v>este</v>
      </c>
      <c r="G125" s="8" t="str">
        <f t="shared" si="3"/>
        <v>11.0</v>
      </c>
      <c r="H125" s="9">
        <f t="shared" si="4"/>
        <v>11</v>
      </c>
      <c r="I125" s="10">
        <f>IFERROR(__xludf.DUMMYFUNCTION("MAX(FILTER($H:$H,$E:$E=F125))"),1.0)</f>
        <v>1</v>
      </c>
    </row>
    <row r="126">
      <c r="A126" s="4"/>
      <c r="C126" s="4" t="s">
        <v>316</v>
      </c>
      <c r="D126" s="4" t="str">
        <f t="shared" si="1"/>
        <v>{"valorA":"gostei","valorB":3.0}</v>
      </c>
      <c r="E126" s="8" t="str">
        <f t="shared" si="2"/>
        <v>gostei</v>
      </c>
      <c r="F126" s="8" t="str">
        <f>IFERROR(__xludf.DUMMYFUNCTION("""COMPUTED_VALUE"""),"econômico")</f>
        <v>econômico</v>
      </c>
      <c r="G126" s="8" t="str">
        <f t="shared" si="3"/>
        <v>3.0</v>
      </c>
      <c r="H126" s="9">
        <f t="shared" si="4"/>
        <v>3</v>
      </c>
      <c r="I126" s="10">
        <f>IFERROR(__xludf.DUMMYFUNCTION("MAX(FILTER($H:$H,$E:$E=F126))"),1.0)</f>
        <v>1</v>
      </c>
    </row>
    <row r="127">
      <c r="A127" s="4"/>
      <c r="C127" s="4" t="s">
        <v>645</v>
      </c>
      <c r="D127" s="4" t="str">
        <f t="shared" si="1"/>
        <v>{"valorA":"ótimo","valorB":16.0}</v>
      </c>
      <c r="E127" s="8" t="str">
        <f t="shared" si="2"/>
        <v>ótimo</v>
      </c>
      <c r="F127" s="8" t="str">
        <f>IFERROR(__xludf.DUMMYFUNCTION("""COMPUTED_VALUE"""),"versátil")</f>
        <v>versátil</v>
      </c>
      <c r="G127" s="8" t="str">
        <f t="shared" si="3"/>
        <v>16.0</v>
      </c>
      <c r="H127" s="9">
        <f t="shared" si="4"/>
        <v>16</v>
      </c>
      <c r="I127" s="10">
        <f>IFERROR(__xludf.DUMMYFUNCTION("MAX(FILTER($H:$H,$E:$E=F127))"),1.0)</f>
        <v>1</v>
      </c>
    </row>
    <row r="128">
      <c r="A128" s="4"/>
      <c r="C128" s="4" t="s">
        <v>246</v>
      </c>
      <c r="D128" s="4" t="str">
        <f t="shared" si="1"/>
        <v>{"valorA":"muito","valorB":4.0}</v>
      </c>
      <c r="E128" s="8" t="str">
        <f t="shared" si="2"/>
        <v>muito</v>
      </c>
      <c r="F128" s="8" t="str">
        <f>IFERROR(__xludf.DUMMYFUNCTION("""COMPUTED_VALUE"""),"certifique")</f>
        <v>certifique</v>
      </c>
      <c r="G128" s="8" t="str">
        <f t="shared" si="3"/>
        <v>4.0</v>
      </c>
      <c r="H128" s="9">
        <f t="shared" si="4"/>
        <v>4</v>
      </c>
      <c r="I128" s="10">
        <f>IFERROR(__xludf.DUMMYFUNCTION("MAX(FILTER($H:$H,$E:$E=F128))"),1.0)</f>
        <v>1</v>
      </c>
    </row>
    <row r="129">
      <c r="A129" s="4"/>
      <c r="C129" s="4" t="s">
        <v>264</v>
      </c>
      <c r="D129" s="4" t="str">
        <f t="shared" si="1"/>
        <v>{"valorA":"a","valorB":2.0}</v>
      </c>
      <c r="E129" s="8" t="str">
        <f t="shared" si="2"/>
        <v>a</v>
      </c>
      <c r="F129" s="8" t="str">
        <f>IFERROR(__xludf.DUMMYFUNCTION("""COMPUTED_VALUE"""),"precisa")</f>
        <v>precisa</v>
      </c>
      <c r="G129" s="8" t="str">
        <f t="shared" si="3"/>
        <v>2.0</v>
      </c>
      <c r="H129" s="9">
        <f t="shared" si="4"/>
        <v>2</v>
      </c>
      <c r="I129" s="10">
        <f>IFERROR(__xludf.DUMMYFUNCTION("MAX(FILTER($H:$H,$E:$E=F129))"),1.0)</f>
        <v>1</v>
      </c>
    </row>
    <row r="130">
      <c r="A130" s="4"/>
      <c r="C130" s="4" t="s">
        <v>284</v>
      </c>
      <c r="D130" s="4" t="str">
        <f t="shared" si="1"/>
        <v>{"valorA":"ótimo","valorB":17.0}</v>
      </c>
      <c r="E130" s="8" t="str">
        <f t="shared" si="2"/>
        <v>ótimo</v>
      </c>
      <c r="F130" s="8" t="str">
        <f>IFERROR(__xludf.DUMMYFUNCTION("""COMPUTED_VALUE"""),"escritório")</f>
        <v>escritório</v>
      </c>
      <c r="G130" s="8" t="str">
        <f t="shared" si="3"/>
        <v>17.0</v>
      </c>
      <c r="H130" s="9">
        <f t="shared" si="4"/>
        <v>17</v>
      </c>
      <c r="I130" s="10">
        <f>IFERROR(__xludf.DUMMYFUNCTION("MAX(FILTER($H:$H,$E:$E=F130))"),1.0)</f>
        <v>1</v>
      </c>
    </row>
    <row r="131">
      <c r="A131" s="4"/>
      <c r="C131" s="4" t="s">
        <v>678</v>
      </c>
      <c r="D131" s="4" t="str">
        <f t="shared" si="1"/>
        <v>{"valorA":"para","valorB":8.0}</v>
      </c>
      <c r="E131" s="8" t="str">
        <f t="shared" si="2"/>
        <v>para</v>
      </c>
      <c r="F131" s="8" t="str">
        <f>IFERROR(__xludf.DUMMYFUNCTION("""COMPUTED_VALUE"""),"mesa")</f>
        <v>mesa</v>
      </c>
      <c r="G131" s="8" t="str">
        <f t="shared" si="3"/>
        <v>8.0</v>
      </c>
      <c r="H131" s="9">
        <f t="shared" si="4"/>
        <v>8</v>
      </c>
      <c r="I131" s="10">
        <f>IFERROR(__xludf.DUMMYFUNCTION("MAX(FILTER($H:$H,$E:$E=F131))"),1.0)</f>
        <v>1</v>
      </c>
    </row>
    <row r="132">
      <c r="A132" s="4"/>
      <c r="C132" s="4" t="s">
        <v>614</v>
      </c>
      <c r="D132" s="4" t="str">
        <f t="shared" si="1"/>
        <v>{"valorA":"tão","valorB":1.0}</v>
      </c>
      <c r="E132" s="8" t="str">
        <f t="shared" si="2"/>
        <v>tão</v>
      </c>
      <c r="F132" s="8" t="str">
        <f>IFERROR(__xludf.DUMMYFUNCTION("""COMPUTED_VALUE"""),"ótima")</f>
        <v>ótima</v>
      </c>
      <c r="G132" s="8" t="str">
        <f t="shared" si="3"/>
        <v>1.0</v>
      </c>
      <c r="H132" s="9">
        <f t="shared" si="4"/>
        <v>1</v>
      </c>
      <c r="I132" s="10">
        <f>IFERROR(__xludf.DUMMYFUNCTION("MAX(FILTER($H:$H,$E:$E=F132))"),1.0)</f>
        <v>1</v>
      </c>
    </row>
    <row r="133">
      <c r="A133" s="4"/>
      <c r="C133" s="4" t="s">
        <v>615</v>
      </c>
      <c r="D133" s="4" t="str">
        <f t="shared" si="1"/>
        <v>{"valorA":"bom","valorB":1.0}</v>
      </c>
      <c r="E133" s="8" t="str">
        <f t="shared" si="2"/>
        <v>bom</v>
      </c>
      <c r="F133" s="8" t="str">
        <f>IFERROR(__xludf.DUMMYFUNCTION("""COMPUTED_VALUE"""),"frigorífico")</f>
        <v>frigorífico</v>
      </c>
      <c r="G133" s="8" t="str">
        <f t="shared" si="3"/>
        <v>1.0</v>
      </c>
      <c r="H133" s="9">
        <f t="shared" si="4"/>
        <v>1</v>
      </c>
      <c r="I133" s="10">
        <f>IFERROR(__xludf.DUMMYFUNCTION("MAX(FILTER($H:$H,$E:$E=F133))"),1.0)</f>
        <v>1</v>
      </c>
    </row>
    <row r="134">
      <c r="A134" s="4"/>
      <c r="C134" s="4" t="s">
        <v>282</v>
      </c>
      <c r="D134" s="4" t="str">
        <f t="shared" si="1"/>
        <v>{"valorA":"produto","valorB":12.0}</v>
      </c>
      <c r="E134" s="8" t="str">
        <f t="shared" si="2"/>
        <v>produto</v>
      </c>
      <c r="F134" s="8" t="str">
        <f>IFERROR(__xludf.DUMMYFUNCTION("""COMPUTED_VALUE"""),"bonito")</f>
        <v>bonito</v>
      </c>
      <c r="G134" s="8" t="str">
        <f t="shared" si="3"/>
        <v>12.0</v>
      </c>
      <c r="H134" s="9">
        <f t="shared" si="4"/>
        <v>12</v>
      </c>
      <c r="I134" s="10">
        <f>IFERROR(__xludf.DUMMYFUNCTION("MAX(FILTER($H:$H,$E:$E=F134))"),1.0)</f>
        <v>1</v>
      </c>
    </row>
    <row r="135">
      <c r="A135" s="4"/>
      <c r="C135" s="4" t="s">
        <v>689</v>
      </c>
      <c r="D135" s="4" t="str">
        <f t="shared" si="1"/>
        <v>{"valorA":"perfeitamente","valorB":2.0}</v>
      </c>
      <c r="E135" s="8" t="str">
        <f t="shared" si="2"/>
        <v>perfeitamente</v>
      </c>
      <c r="F135" s="8" t="str">
        <f>IFERROR(__xludf.DUMMYFUNCTION("""COMPUTED_VALUE"""),"buzio")</f>
        <v>buzio</v>
      </c>
      <c r="G135" s="8" t="str">
        <f t="shared" si="3"/>
        <v>2.0</v>
      </c>
      <c r="H135" s="9">
        <f t="shared" si="4"/>
        <v>2</v>
      </c>
      <c r="I135" s="10">
        <f>IFERROR(__xludf.DUMMYFUNCTION("MAX(FILTER($H:$H,$E:$E=F135))"),1.0)</f>
        <v>1</v>
      </c>
    </row>
    <row r="136">
      <c r="A136" s="4"/>
      <c r="C136" s="4" t="s">
        <v>636</v>
      </c>
      <c r="D136" s="4" t="str">
        <f t="shared" si="1"/>
        <v>{"valorA":"funciona","valorB":3.0}</v>
      </c>
      <c r="E136" s="8" t="str">
        <f t="shared" si="2"/>
        <v>funciona</v>
      </c>
      <c r="F136" s="8" t="str">
        <f>IFERROR(__xludf.DUMMYFUNCTION("""COMPUTED_VALUE"""),"funcional")</f>
        <v>funcional</v>
      </c>
      <c r="G136" s="8" t="str">
        <f t="shared" si="3"/>
        <v>3.0</v>
      </c>
      <c r="H136" s="9">
        <f t="shared" si="4"/>
        <v>3</v>
      </c>
      <c r="I136" s="10">
        <f>IFERROR(__xludf.DUMMYFUNCTION("MAX(FILTER($H:$H,$E:$E=F136))"),1.0)</f>
        <v>1</v>
      </c>
    </row>
    <row r="137">
      <c r="A137" s="4"/>
      <c r="C137" s="4" t="s">
        <v>686</v>
      </c>
      <c r="D137" s="4" t="str">
        <f t="shared" si="1"/>
        <v>{"valorA":"um","valorB":4.0}</v>
      </c>
      <c r="E137" s="8" t="str">
        <f t="shared" si="2"/>
        <v>um</v>
      </c>
      <c r="F137" s="8" t="str">
        <f>IFERROR(__xludf.DUMMYFUNCTION("""COMPUTED_VALUE"""),"coisas")</f>
        <v>coisas</v>
      </c>
      <c r="G137" s="8" t="str">
        <f t="shared" si="3"/>
        <v>4.0</v>
      </c>
      <c r="H137" s="9">
        <f t="shared" si="4"/>
        <v>4</v>
      </c>
      <c r="I137" s="10">
        <f>IFERROR(__xludf.DUMMYFUNCTION("MAX(FILTER($H:$H,$E:$E=F137))"),1.0)</f>
        <v>1</v>
      </c>
    </row>
    <row r="138">
      <c r="A138" s="4"/>
      <c r="C138" s="4" t="s">
        <v>599</v>
      </c>
      <c r="D138" s="4" t="str">
        <f t="shared" si="1"/>
        <v>{"valorA":"preço","valorB":4.0}</v>
      </c>
      <c r="E138" s="8" t="str">
        <f t="shared" si="2"/>
        <v>preço</v>
      </c>
      <c r="F138" s="8" t="str">
        <f>IFERROR(__xludf.DUMMYFUNCTION("""COMPUTED_VALUE"""),"guardar")</f>
        <v>guardar</v>
      </c>
      <c r="G138" s="8" t="str">
        <f t="shared" si="3"/>
        <v>4.0</v>
      </c>
      <c r="H138" s="9">
        <f t="shared" si="4"/>
        <v>4</v>
      </c>
      <c r="I138" s="10">
        <f>IFERROR(__xludf.DUMMYFUNCTION("MAX(FILTER($H:$H,$E:$E=F138))"),1.0)</f>
        <v>1</v>
      </c>
    </row>
    <row r="139">
      <c r="A139" s="4"/>
      <c r="C139" s="4" t="s">
        <v>328</v>
      </c>
      <c r="D139" s="4" t="str">
        <f t="shared" si="1"/>
        <v>{"valorA":"com","valorB":2.0}</v>
      </c>
      <c r="E139" s="8" t="str">
        <f t="shared" si="2"/>
        <v>com</v>
      </c>
      <c r="F139" s="8" t="str">
        <f>IFERROR(__xludf.DUMMYFUNCTION("""COMPUTED_VALUE"""),"tem")</f>
        <v>tem</v>
      </c>
      <c r="G139" s="8" t="str">
        <f t="shared" si="3"/>
        <v>2.0</v>
      </c>
      <c r="H139" s="9">
        <f t="shared" si="4"/>
        <v>2</v>
      </c>
      <c r="I139" s="10">
        <f>IFERROR(__xludf.DUMMYFUNCTION("MAX(FILTER($H:$H,$E:$E=F139))"),1.0)</f>
        <v>1</v>
      </c>
    </row>
    <row r="140">
      <c r="A140" s="4"/>
      <c r="C140" s="4" t="s">
        <v>1457</v>
      </c>
      <c r="D140" s="4" t="str">
        <f t="shared" si="1"/>
        <v>{"valorA":"tablet","valorB":2.0}</v>
      </c>
      <c r="E140" s="8" t="str">
        <f t="shared" si="2"/>
        <v>tablet</v>
      </c>
      <c r="F140" s="8" t="str">
        <f>IFERROR(__xludf.DUMMYFUNCTION("""COMPUTED_VALUE"""),"muitas")</f>
        <v>muitas</v>
      </c>
      <c r="G140" s="8" t="str">
        <f t="shared" si="3"/>
        <v>2.0</v>
      </c>
      <c r="H140" s="9">
        <f t="shared" si="4"/>
        <v>2</v>
      </c>
      <c r="I140" s="10">
        <f>IFERROR(__xludf.DUMMYFUNCTION("MAX(FILTER($H:$H,$E:$E=F140))"),1.0)</f>
        <v>1</v>
      </c>
    </row>
    <row r="141">
      <c r="A141" s="4"/>
      <c r="C141" s="4" t="s">
        <v>182</v>
      </c>
      <c r="D141" s="4" t="str">
        <f t="shared" si="1"/>
        <v>{"valorA":"usar","valorB":2.0}</v>
      </c>
      <c r="E141" s="8" t="str">
        <f t="shared" si="2"/>
        <v>usar</v>
      </c>
      <c r="F141" s="8"/>
      <c r="G141" s="8" t="str">
        <f t="shared" si="3"/>
        <v>2.0</v>
      </c>
      <c r="H141" s="9">
        <f t="shared" si="4"/>
        <v>2</v>
      </c>
      <c r="I141" s="6" t="str">
        <f>IFERROR(__xludf.DUMMYFUNCTION("MAX(FILTER($H:$H,$E:$E=F141))"),"#N/A")</f>
        <v>#N/A</v>
      </c>
    </row>
    <row r="142">
      <c r="A142" s="4"/>
      <c r="C142" s="4" t="s">
        <v>202</v>
      </c>
      <c r="D142" s="4" t="str">
        <f t="shared" si="1"/>
        <v>{"valorA":"incrível","valorB":1.0}</v>
      </c>
      <c r="E142" s="8" t="str">
        <f t="shared" si="2"/>
        <v>incrível</v>
      </c>
      <c r="F142" s="8"/>
      <c r="G142" s="8" t="str">
        <f t="shared" si="3"/>
        <v>1.0</v>
      </c>
      <c r="H142" s="9">
        <f t="shared" si="4"/>
        <v>1</v>
      </c>
      <c r="I142" s="6" t="str">
        <f>IFERROR(__xludf.DUMMYFUNCTION("MAX(FILTER($H:$H,$E:$E=F142))"),"#N/A")</f>
        <v>#N/A</v>
      </c>
    </row>
    <row r="143">
      <c r="A143" s="4"/>
      <c r="C143" s="4" t="s">
        <v>387</v>
      </c>
      <c r="D143" s="4" t="str">
        <f t="shared" si="1"/>
        <v>{"valorA":"e","valorB":8.0}</v>
      </c>
      <c r="E143" s="8" t="str">
        <f t="shared" si="2"/>
        <v>e</v>
      </c>
      <c r="F143" s="8"/>
      <c r="G143" s="8" t="str">
        <f t="shared" si="3"/>
        <v>8.0</v>
      </c>
      <c r="H143" s="9">
        <f t="shared" si="4"/>
        <v>8</v>
      </c>
      <c r="I143" s="6" t="str">
        <f>IFERROR(__xludf.DUMMYFUNCTION("MAX(FILTER($H:$H,$E:$E=F143))"),"#N/A")</f>
        <v>#N/A</v>
      </c>
    </row>
    <row r="144">
      <c r="A144" s="4"/>
      <c r="C144" s="4" t="s">
        <v>281</v>
      </c>
      <c r="D144" s="4" t="str">
        <f t="shared" si="1"/>
        <v>{"valorA":"de","valorB":4.0}</v>
      </c>
      <c r="E144" s="8" t="str">
        <f t="shared" si="2"/>
        <v>de</v>
      </c>
      <c r="F144" s="8"/>
      <c r="G144" s="8" t="str">
        <f t="shared" si="3"/>
        <v>4.0</v>
      </c>
      <c r="H144" s="9">
        <f t="shared" si="4"/>
        <v>4</v>
      </c>
      <c r="I144" s="6" t="str">
        <f>IFERROR(__xludf.DUMMYFUNCTION("MAX(FILTER($H:$H,$E:$E=F144))"),"#N/A")</f>
        <v>#N/A</v>
      </c>
    </row>
    <row r="145">
      <c r="A145" s="4"/>
      <c r="C145" s="4" t="s">
        <v>9409</v>
      </c>
      <c r="D145" s="4" t="str">
        <f t="shared" si="1"/>
        <v>{"valorA":"bateria","valorB":1.0}</v>
      </c>
      <c r="E145" s="8" t="str">
        <f t="shared" si="2"/>
        <v>bateria</v>
      </c>
      <c r="F145" s="8"/>
      <c r="G145" s="8" t="str">
        <f t="shared" si="3"/>
        <v>1.0</v>
      </c>
      <c r="H145" s="9">
        <f t="shared" si="4"/>
        <v>1</v>
      </c>
      <c r="I145" s="6" t="str">
        <f>IFERROR(__xludf.DUMMYFUNCTION("MAX(FILTER($H:$H,$E:$E=F145))"),"#N/A")</f>
        <v>#N/A</v>
      </c>
    </row>
    <row r="146">
      <c r="A146" s="4"/>
      <c r="C146" s="4" t="s">
        <v>4916</v>
      </c>
      <c r="D146" s="4" t="str">
        <f t="shared" si="1"/>
        <v>{"valorA":"uma","valorB":4.0}</v>
      </c>
      <c r="E146" s="8" t="str">
        <f t="shared" si="2"/>
        <v>uma</v>
      </c>
      <c r="F146" s="8"/>
      <c r="G146" s="8" t="str">
        <f t="shared" si="3"/>
        <v>4.0</v>
      </c>
      <c r="H146" s="9">
        <f t="shared" si="4"/>
        <v>4</v>
      </c>
      <c r="I146" s="6" t="str">
        <f>IFERROR(__xludf.DUMMYFUNCTION("MAX(FILTER($H:$H,$E:$E=F146))"),"#N/A")</f>
        <v>#N/A</v>
      </c>
    </row>
    <row r="147">
      <c r="A147" s="4"/>
      <c r="C147" s="4" t="s">
        <v>658</v>
      </c>
      <c r="D147" s="4" t="str">
        <f t="shared" si="1"/>
        <v>{"valorA":"ótimo","valorB":18.0}</v>
      </c>
      <c r="E147" s="8" t="str">
        <f t="shared" si="2"/>
        <v>ótimo</v>
      </c>
      <c r="F147" s="8"/>
      <c r="G147" s="8" t="str">
        <f t="shared" si="3"/>
        <v>18.0</v>
      </c>
      <c r="H147" s="9">
        <f t="shared" si="4"/>
        <v>18</v>
      </c>
      <c r="I147" s="6" t="str">
        <f>IFERROR(__xludf.DUMMYFUNCTION("MAX(FILTER($H:$H,$E:$E=F147))"),"#N/A")</f>
        <v>#N/A</v>
      </c>
    </row>
    <row r="148">
      <c r="A148" s="4"/>
      <c r="C148" s="4" t="s">
        <v>431</v>
      </c>
      <c r="D148" s="4" t="str">
        <f t="shared" si="1"/>
        <v>{"valorA":"fácil","valorB":3.0}</v>
      </c>
      <c r="E148" s="8" t="str">
        <f t="shared" si="2"/>
        <v>fácil</v>
      </c>
      <c r="F148" s="8"/>
      <c r="G148" s="8" t="str">
        <f t="shared" si="3"/>
        <v>3.0</v>
      </c>
      <c r="H148" s="9">
        <f t="shared" si="4"/>
        <v>3</v>
      </c>
      <c r="I148" s="6" t="str">
        <f>IFERROR(__xludf.DUMMYFUNCTION("MAX(FILTER($H:$H,$E:$E=F148))"),"#N/A")</f>
        <v>#N/A</v>
      </c>
    </row>
    <row r="149">
      <c r="A149" s="4"/>
      <c r="C149" s="4" t="s">
        <v>691</v>
      </c>
      <c r="D149" s="4" t="str">
        <f t="shared" si="1"/>
        <v>{"valorA":"para","valorB":9.0}</v>
      </c>
      <c r="E149" s="8" t="str">
        <f t="shared" si="2"/>
        <v>para</v>
      </c>
      <c r="F149" s="8"/>
      <c r="G149" s="8" t="str">
        <f t="shared" si="3"/>
        <v>9.0</v>
      </c>
      <c r="H149" s="9">
        <f t="shared" si="4"/>
        <v>9</v>
      </c>
      <c r="I149" s="6" t="str">
        <f>IFERROR(__xludf.DUMMYFUNCTION("MAX(FILTER($H:$H,$E:$E=F149))"),"#N/A")</f>
        <v>#N/A</v>
      </c>
    </row>
    <row r="150">
      <c r="A150" s="4"/>
      <c r="C150" s="4" t="s">
        <v>606</v>
      </c>
      <c r="D150" s="4" t="str">
        <f t="shared" si="1"/>
        <v>{"valorA":"qualidade","valorB":4.0}</v>
      </c>
      <c r="E150" s="8" t="str">
        <f t="shared" si="2"/>
        <v>qualidade</v>
      </c>
      <c r="F150" s="8"/>
      <c r="G150" s="8" t="str">
        <f t="shared" si="3"/>
        <v>4.0</v>
      </c>
      <c r="H150" s="9">
        <f t="shared" si="4"/>
        <v>4</v>
      </c>
      <c r="I150" s="6" t="str">
        <f>IFERROR(__xludf.DUMMYFUNCTION("MAX(FILTER($H:$H,$E:$E=F150))"),"#N/A")</f>
        <v>#N/A</v>
      </c>
    </row>
    <row r="151">
      <c r="A151" s="4"/>
      <c r="C151" s="4" t="s">
        <v>440</v>
      </c>
      <c r="D151" s="4" t="str">
        <f t="shared" si="1"/>
        <v>{"valorA":"e","valorB":10.0}</v>
      </c>
      <c r="E151" s="8" t="str">
        <f t="shared" si="2"/>
        <v>e</v>
      </c>
      <c r="F151" s="8"/>
      <c r="G151" s="8" t="str">
        <f t="shared" si="3"/>
        <v>10.0</v>
      </c>
      <c r="H151" s="9">
        <f t="shared" si="4"/>
        <v>10</v>
      </c>
      <c r="I151" s="6" t="str">
        <f>IFERROR(__xludf.DUMMYFUNCTION("MAX(FILTER($H:$H,$E:$E=F151))"),"#N/A")</f>
        <v>#N/A</v>
      </c>
    </row>
    <row r="152">
      <c r="A152" s="4"/>
      <c r="C152" s="4" t="s">
        <v>1462</v>
      </c>
      <c r="D152" s="4" t="str">
        <f t="shared" si="1"/>
        <v>{"valorA":"quem","valorB":6.0}</v>
      </c>
      <c r="E152" s="8" t="str">
        <f t="shared" si="2"/>
        <v>quem</v>
      </c>
      <c r="F152" s="8"/>
      <c r="G152" s="8" t="str">
        <f t="shared" si="3"/>
        <v>6.0</v>
      </c>
      <c r="H152" s="9">
        <f t="shared" si="4"/>
        <v>6</v>
      </c>
      <c r="I152" s="6" t="str">
        <f>IFERROR(__xludf.DUMMYFUNCTION("MAX(FILTER($H:$H,$E:$E=F152))"),"#N/A")</f>
        <v>#N/A</v>
      </c>
    </row>
    <row r="153">
      <c r="A153" s="4"/>
      <c r="C153" s="4" t="s">
        <v>681</v>
      </c>
      <c r="D153" s="4" t="str">
        <f t="shared" si="1"/>
        <v>{"valorA":"de","valorB":5.0}</v>
      </c>
      <c r="E153" s="8" t="str">
        <f t="shared" si="2"/>
        <v>de</v>
      </c>
      <c r="F153" s="8"/>
      <c r="G153" s="8" t="str">
        <f t="shared" si="3"/>
        <v>5.0</v>
      </c>
      <c r="H153" s="9">
        <f t="shared" si="4"/>
        <v>5</v>
      </c>
      <c r="I153" s="6" t="str">
        <f>IFERROR(__xludf.DUMMYFUNCTION("MAX(FILTER($H:$H,$E:$E=F153))"),"#N/A")</f>
        <v>#N/A</v>
      </c>
    </row>
    <row r="154">
      <c r="A154" s="4"/>
      <c r="C154" s="4" t="s">
        <v>1007</v>
      </c>
      <c r="D154" s="4" t="str">
        <f t="shared" si="1"/>
        <v>{"valorA":"limpar","valorB":1.0}</v>
      </c>
      <c r="E154" s="8" t="str">
        <f t="shared" si="2"/>
        <v>limpar</v>
      </c>
      <c r="F154" s="8"/>
      <c r="G154" s="8" t="str">
        <f t="shared" si="3"/>
        <v>1.0</v>
      </c>
      <c r="H154" s="9">
        <f t="shared" si="4"/>
        <v>1</v>
      </c>
      <c r="I154" s="6" t="str">
        <f>IFERROR(__xludf.DUMMYFUNCTION("MAX(FILTER($H:$H,$E:$E=F154))"),"#N/A")</f>
        <v>#N/A</v>
      </c>
    </row>
    <row r="155">
      <c r="A155" s="4"/>
      <c r="C155" s="4" t="s">
        <v>9410</v>
      </c>
      <c r="D155" s="4" t="str">
        <f t="shared" si="1"/>
        <v>{"valorA":"durabilidade","valorB":1.0}</v>
      </c>
      <c r="E155" s="8" t="str">
        <f t="shared" si="2"/>
        <v>durabilidade</v>
      </c>
      <c r="F155" s="8"/>
      <c r="G155" s="8" t="str">
        <f t="shared" si="3"/>
        <v>1.0</v>
      </c>
      <c r="H155" s="9">
        <f t="shared" si="4"/>
        <v>1</v>
      </c>
      <c r="I155" s="6" t="str">
        <f>IFERROR(__xludf.DUMMYFUNCTION("MAX(FILTER($H:$H,$E:$E=F155))"),"#N/A")</f>
        <v>#N/A</v>
      </c>
    </row>
    <row r="156">
      <c r="A156" s="4"/>
      <c r="C156" s="4" t="s">
        <v>661</v>
      </c>
      <c r="D156" s="4" t="str">
        <f t="shared" si="1"/>
        <v>{"valorA":"produto","valorB":13.0}</v>
      </c>
      <c r="E156" s="8" t="str">
        <f t="shared" si="2"/>
        <v>produto</v>
      </c>
      <c r="F156" s="8"/>
      <c r="G156" s="8" t="str">
        <f t="shared" si="3"/>
        <v>13.0</v>
      </c>
      <c r="H156" s="9">
        <f t="shared" si="4"/>
        <v>13</v>
      </c>
      <c r="I156" s="6" t="str">
        <f>IFERROR(__xludf.DUMMYFUNCTION("MAX(FILTER($H:$H,$E:$E=F156))"),"#N/A")</f>
        <v>#N/A</v>
      </c>
    </row>
    <row r="157">
      <c r="A157" s="4"/>
      <c r="C157" s="4" t="s">
        <v>298</v>
      </c>
      <c r="D157" s="4" t="str">
        <f t="shared" si="1"/>
        <v>{"valorA":"ótimo","valorB":19.0}</v>
      </c>
      <c r="E157" s="8" t="str">
        <f t="shared" si="2"/>
        <v>ótimo</v>
      </c>
      <c r="F157" s="8"/>
      <c r="G157" s="8" t="str">
        <f t="shared" si="3"/>
        <v>19.0</v>
      </c>
      <c r="H157" s="9">
        <f t="shared" si="4"/>
        <v>19</v>
      </c>
      <c r="I157" s="6" t="str">
        <f>IFERROR(__xludf.DUMMYFUNCTION("MAX(FILTER($H:$H,$E:$E=F157))"),"#N/A")</f>
        <v>#N/A</v>
      </c>
    </row>
    <row r="158">
      <c r="A158" s="4"/>
      <c r="C158" s="4" t="s">
        <v>445</v>
      </c>
      <c r="D158" s="4" t="str">
        <f t="shared" si="1"/>
        <v>{"valorA":"fácil","valorB":4.0}</v>
      </c>
      <c r="E158" s="8" t="str">
        <f t="shared" si="2"/>
        <v>fácil</v>
      </c>
      <c r="F158" s="8"/>
      <c r="G158" s="8" t="str">
        <f t="shared" si="3"/>
        <v>4.0</v>
      </c>
      <c r="H158" s="9">
        <f t="shared" si="4"/>
        <v>4</v>
      </c>
      <c r="I158" s="6" t="str">
        <f>IFERROR(__xludf.DUMMYFUNCTION("MAX(FILTER($H:$H,$E:$E=F158))"),"#N/A")</f>
        <v>#N/A</v>
      </c>
    </row>
    <row r="159">
      <c r="A159" s="4"/>
      <c r="C159" s="4" t="s">
        <v>4947</v>
      </c>
      <c r="D159" s="4" t="str">
        <f t="shared" si="1"/>
        <v>{"valorA":"busca","valorB":5.0}</v>
      </c>
      <c r="E159" s="8" t="str">
        <f t="shared" si="2"/>
        <v>busca</v>
      </c>
      <c r="F159" s="8"/>
      <c r="G159" s="8" t="str">
        <f t="shared" si="3"/>
        <v>5.0</v>
      </c>
      <c r="H159" s="9">
        <f t="shared" si="4"/>
        <v>5</v>
      </c>
      <c r="I159" s="6" t="str">
        <f>IFERROR(__xludf.DUMMYFUNCTION("MAX(FILTER($H:$H,$E:$E=F159))"),"#N/A")</f>
        <v>#N/A</v>
      </c>
    </row>
    <row r="160">
      <c r="A160" s="4"/>
      <c r="C160" s="4" t="s">
        <v>720</v>
      </c>
      <c r="D160" s="4" t="str">
        <f t="shared" si="1"/>
        <v>{"valorA":"para","valorB":10.0}</v>
      </c>
      <c r="E160" s="8" t="str">
        <f t="shared" si="2"/>
        <v>para</v>
      </c>
      <c r="F160" s="8"/>
      <c r="G160" s="8" t="str">
        <f t="shared" si="3"/>
        <v>10.0</v>
      </c>
      <c r="H160" s="9">
        <f t="shared" si="4"/>
        <v>10</v>
      </c>
      <c r="I160" s="6" t="str">
        <f>IFERROR(__xludf.DUMMYFUNCTION("MAX(FILTER($H:$H,$E:$E=F160))"),"#N/A")</f>
        <v>#N/A</v>
      </c>
    </row>
    <row r="161">
      <c r="A161" s="4"/>
      <c r="C161" s="4" t="s">
        <v>325</v>
      </c>
      <c r="D161" s="4" t="str">
        <f t="shared" si="1"/>
        <v>{"valorA":"recomendo","valorB":3.0}</v>
      </c>
      <c r="E161" s="8" t="str">
        <f t="shared" si="2"/>
        <v>recomendo</v>
      </c>
      <c r="F161" s="8"/>
      <c r="G161" s="8" t="str">
        <f t="shared" si="3"/>
        <v>3.0</v>
      </c>
      <c r="H161" s="9">
        <f t="shared" si="4"/>
        <v>3</v>
      </c>
      <c r="I161" s="6" t="str">
        <f>IFERROR(__xludf.DUMMYFUNCTION("MAX(FILTER($H:$H,$E:$E=F161))"),"#N/A")</f>
        <v>#N/A</v>
      </c>
    </row>
    <row r="162">
      <c r="A162" s="4"/>
      <c r="C162" s="4" t="s">
        <v>697</v>
      </c>
      <c r="D162" s="4" t="str">
        <f t="shared" si="1"/>
        <v>{"valorA":"valeu","valorB":4.0}</v>
      </c>
      <c r="E162" s="8" t="str">
        <f t="shared" si="2"/>
        <v>valeu</v>
      </c>
      <c r="F162" s="8"/>
      <c r="G162" s="8" t="str">
        <f t="shared" si="3"/>
        <v>4.0</v>
      </c>
      <c r="H162" s="9">
        <f t="shared" si="4"/>
        <v>4</v>
      </c>
      <c r="I162" s="6" t="str">
        <f>IFERROR(__xludf.DUMMYFUNCTION("MAX(FILTER($H:$H,$E:$E=F162))"),"#N/A")</f>
        <v>#N/A</v>
      </c>
    </row>
    <row r="163">
      <c r="A163" s="4"/>
      <c r="C163" s="4" t="s">
        <v>660</v>
      </c>
      <c r="D163" s="4" t="str">
        <f t="shared" si="1"/>
        <v>{"valorA":"espera","valorB":3.0}</v>
      </c>
      <c r="E163" s="8" t="str">
        <f t="shared" si="2"/>
        <v>espera</v>
      </c>
      <c r="F163" s="8"/>
      <c r="G163" s="8" t="str">
        <f t="shared" si="3"/>
        <v>3.0</v>
      </c>
      <c r="H163" s="9">
        <f t="shared" si="4"/>
        <v>3</v>
      </c>
      <c r="I163" s="6" t="str">
        <f>IFERROR(__xludf.DUMMYFUNCTION("MAX(FILTER($H:$H,$E:$E=F163))"),"#N/A")</f>
        <v>#N/A</v>
      </c>
    </row>
    <row r="164">
      <c r="A164" s="4"/>
      <c r="C164" s="4" t="s">
        <v>313</v>
      </c>
      <c r="D164" s="4" t="str">
        <f t="shared" si="1"/>
        <v>{"valorA":"produto","valorB":14.0}</v>
      </c>
      <c r="E164" s="8" t="str">
        <f t="shared" si="2"/>
        <v>produto</v>
      </c>
      <c r="F164" s="8"/>
      <c r="G164" s="8" t="str">
        <f t="shared" si="3"/>
        <v>14.0</v>
      </c>
      <c r="H164" s="9">
        <f t="shared" si="4"/>
        <v>14</v>
      </c>
      <c r="I164" s="6" t="str">
        <f>IFERROR(__xludf.DUMMYFUNCTION("MAX(FILTER($H:$H,$E:$E=F164))"),"#N/A")</f>
        <v>#N/A</v>
      </c>
    </row>
    <row r="165">
      <c r="A165" s="4"/>
      <c r="C165" s="4" t="s">
        <v>671</v>
      </c>
      <c r="D165" s="4" t="str">
        <f t="shared" si="1"/>
        <v>{"valorA":"ótimo","valorB":20.0}</v>
      </c>
      <c r="E165" s="8" t="str">
        <f t="shared" si="2"/>
        <v>ótimo</v>
      </c>
      <c r="F165" s="8"/>
      <c r="G165" s="8" t="str">
        <f t="shared" si="3"/>
        <v>20.0</v>
      </c>
      <c r="H165" s="9">
        <f t="shared" si="4"/>
        <v>20</v>
      </c>
      <c r="I165" s="6" t="str">
        <f>IFERROR(__xludf.DUMMYFUNCTION("MAX(FILTER($H:$H,$E:$E=F165))"),"#N/A")</f>
        <v>#N/A</v>
      </c>
    </row>
    <row r="166">
      <c r="A166" s="4"/>
      <c r="C166" s="4" t="s">
        <v>617</v>
      </c>
      <c r="D166" s="4" t="str">
        <f t="shared" si="1"/>
        <v>{"valorA":"todos","valorB":1.0}</v>
      </c>
      <c r="E166" s="8" t="str">
        <f t="shared" si="2"/>
        <v>todos</v>
      </c>
      <c r="F166" s="8"/>
      <c r="G166" s="8" t="str">
        <f t="shared" si="3"/>
        <v>1.0</v>
      </c>
      <c r="H166" s="9">
        <f t="shared" si="4"/>
        <v>1</v>
      </c>
      <c r="I166" s="6" t="str">
        <f>IFERROR(__xludf.DUMMYFUNCTION("MAX(FILTER($H:$H,$E:$E=F166))"),"#N/A")</f>
        <v>#N/A</v>
      </c>
    </row>
    <row r="167">
      <c r="A167" s="4"/>
      <c r="C167" s="4" t="s">
        <v>320</v>
      </c>
      <c r="D167" s="4" t="str">
        <f t="shared" si="1"/>
        <v>{"valorA":"a","valorB":3.0}</v>
      </c>
      <c r="E167" s="8" t="str">
        <f t="shared" si="2"/>
        <v>a</v>
      </c>
      <c r="F167" s="8"/>
      <c r="G167" s="8" t="str">
        <f t="shared" si="3"/>
        <v>3.0</v>
      </c>
      <c r="H167" s="9">
        <f t="shared" si="4"/>
        <v>3</v>
      </c>
      <c r="I167" s="6" t="str">
        <f>IFERROR(__xludf.DUMMYFUNCTION("MAX(FILTER($H:$H,$E:$E=F167))"),"#N/A")</f>
        <v>#N/A</v>
      </c>
    </row>
    <row r="168">
      <c r="A168" s="4"/>
      <c r="C168" s="4" t="s">
        <v>677</v>
      </c>
      <c r="D168" s="4" t="str">
        <f t="shared" si="1"/>
        <v>{"valorA":"ótimo","valorB":21.0}</v>
      </c>
      <c r="E168" s="8" t="str">
        <f t="shared" si="2"/>
        <v>ótimo</v>
      </c>
      <c r="F168" s="8"/>
      <c r="G168" s="8" t="str">
        <f t="shared" si="3"/>
        <v>21.0</v>
      </c>
      <c r="H168" s="9">
        <f t="shared" si="4"/>
        <v>21</v>
      </c>
      <c r="I168" s="6" t="str">
        <f>IFERROR(__xludf.DUMMYFUNCTION("MAX(FILTER($H:$H,$E:$E=F168))"),"#N/A")</f>
        <v>#N/A</v>
      </c>
    </row>
    <row r="169">
      <c r="A169" s="4"/>
      <c r="C169" s="4" t="s">
        <v>404</v>
      </c>
      <c r="D169" s="4" t="str">
        <f t="shared" si="1"/>
        <v>{"valorA":"com","valorB":3.0}</v>
      </c>
      <c r="E169" s="8" t="str">
        <f t="shared" si="2"/>
        <v>com</v>
      </c>
      <c r="F169" s="8"/>
      <c r="G169" s="8" t="str">
        <f t="shared" si="3"/>
        <v>3.0</v>
      </c>
      <c r="H169" s="9">
        <f t="shared" si="4"/>
        <v>3</v>
      </c>
      <c r="I169" s="6" t="str">
        <f>IFERROR(__xludf.DUMMYFUNCTION("MAX(FILTER($H:$H,$E:$E=F169))"),"#N/A")</f>
        <v>#N/A</v>
      </c>
    </row>
    <row r="170">
      <c r="A170" s="4"/>
      <c r="C170" s="4" t="s">
        <v>9411</v>
      </c>
      <c r="D170" s="4" t="str">
        <f t="shared" si="1"/>
        <v>{"valorA":"qualidadepreço","valorB":1.0}</v>
      </c>
      <c r="E170" s="8" t="str">
        <f t="shared" si="2"/>
        <v>qualidadepreço</v>
      </c>
      <c r="F170" s="8"/>
      <c r="G170" s="8" t="str">
        <f t="shared" si="3"/>
        <v>1.0</v>
      </c>
      <c r="H170" s="9">
        <f t="shared" si="4"/>
        <v>1</v>
      </c>
      <c r="I170" s="6" t="str">
        <f>IFERROR(__xludf.DUMMYFUNCTION("MAX(FILTER($H:$H,$E:$E=F170))"),"#N/A")</f>
        <v>#N/A</v>
      </c>
    </row>
    <row r="171">
      <c r="A171" s="4"/>
      <c r="C171" s="4" t="s">
        <v>279</v>
      </c>
      <c r="D171" s="4" t="str">
        <f t="shared" si="1"/>
        <v>{"valorA":"usar","valorB":3.0}</v>
      </c>
      <c r="E171" s="8" t="str">
        <f t="shared" si="2"/>
        <v>usar</v>
      </c>
      <c r="F171" s="8"/>
      <c r="G171" s="8" t="str">
        <f t="shared" si="3"/>
        <v>3.0</v>
      </c>
      <c r="H171" s="9">
        <f t="shared" si="4"/>
        <v>3</v>
      </c>
      <c r="I171" s="6" t="str">
        <f>IFERROR(__xludf.DUMMYFUNCTION("MAX(FILTER($H:$H,$E:$E=F171))"),"#N/A")</f>
        <v>#N/A</v>
      </c>
    </row>
    <row r="172">
      <c r="A172" s="4"/>
      <c r="C172" s="4" t="s">
        <v>4921</v>
      </c>
      <c r="D172" s="4" t="str">
        <f t="shared" si="1"/>
        <v>{"valorA":"laptop","valorB":2.0}</v>
      </c>
      <c r="E172" s="8" t="str">
        <f t="shared" si="2"/>
        <v>laptop</v>
      </c>
      <c r="F172" s="8"/>
      <c r="G172" s="8" t="str">
        <f t="shared" si="3"/>
        <v>2.0</v>
      </c>
      <c r="H172" s="9">
        <f t="shared" si="4"/>
        <v>2</v>
      </c>
      <c r="I172" s="6" t="str">
        <f>IFERROR(__xludf.DUMMYFUNCTION("MAX(FILTER($H:$H,$E:$E=F172))"),"#N/A")</f>
        <v>#N/A</v>
      </c>
    </row>
    <row r="173">
      <c r="A173" s="4"/>
      <c r="C173" s="4" t="s">
        <v>477</v>
      </c>
      <c r="D173" s="4" t="str">
        <f t="shared" si="1"/>
        <v>{"valorA":"e","valorB":11.0}</v>
      </c>
      <c r="E173" s="8" t="str">
        <f t="shared" si="2"/>
        <v>e</v>
      </c>
      <c r="F173" s="8"/>
      <c r="G173" s="8" t="str">
        <f t="shared" si="3"/>
        <v>11.0</v>
      </c>
      <c r="H173" s="9">
        <f t="shared" si="4"/>
        <v>11</v>
      </c>
      <c r="I173" s="6" t="str">
        <f>IFERROR(__xludf.DUMMYFUNCTION("MAX(FILTER($H:$H,$E:$E=F173))"),"#N/A")</f>
        <v>#N/A</v>
      </c>
    </row>
    <row r="174">
      <c r="A174" s="4"/>
      <c r="C174" s="4" t="s">
        <v>4945</v>
      </c>
      <c r="D174" s="4" t="str">
        <f t="shared" si="1"/>
        <v>{"valorA":"boa","valorB":3.0}</v>
      </c>
      <c r="E174" s="8" t="str">
        <f t="shared" si="2"/>
        <v>boa</v>
      </c>
      <c r="F174" s="8"/>
      <c r="G174" s="8" t="str">
        <f t="shared" si="3"/>
        <v>3.0</v>
      </c>
      <c r="H174" s="9">
        <f t="shared" si="4"/>
        <v>3</v>
      </c>
      <c r="I174" s="6" t="str">
        <f>IFERROR(__xludf.DUMMYFUNCTION("MAX(FILTER($H:$H,$E:$E=F174))"),"#N/A")</f>
        <v>#N/A</v>
      </c>
    </row>
    <row r="175">
      <c r="A175" s="4"/>
      <c r="C175" s="4" t="s">
        <v>294</v>
      </c>
      <c r="D175" s="4" t="str">
        <f t="shared" si="1"/>
        <v>{"valorA":"de","valorB":6.0}</v>
      </c>
      <c r="E175" s="8" t="str">
        <f t="shared" si="2"/>
        <v>de</v>
      </c>
      <c r="F175" s="8"/>
      <c r="G175" s="8" t="str">
        <f t="shared" si="3"/>
        <v>6.0</v>
      </c>
      <c r="H175" s="9">
        <f t="shared" si="4"/>
        <v>6</v>
      </c>
      <c r="I175" s="6" t="str">
        <f>IFERROR(__xludf.DUMMYFUNCTION("MAX(FILTER($H:$H,$E:$E=F175))"),"#N/A")</f>
        <v>#N/A</v>
      </c>
    </row>
    <row r="176">
      <c r="A176" s="4"/>
      <c r="C176" s="4" t="s">
        <v>9412</v>
      </c>
      <c r="D176" s="4" t="str">
        <f t="shared" si="1"/>
        <v>{"valorA":"uma","valorB":5.0}</v>
      </c>
      <c r="E176" s="8" t="str">
        <f t="shared" si="2"/>
        <v>uma</v>
      </c>
      <c r="F176" s="8"/>
      <c r="G176" s="8" t="str">
        <f t="shared" si="3"/>
        <v>5.0</v>
      </c>
      <c r="H176" s="9">
        <f t="shared" si="4"/>
        <v>5</v>
      </c>
      <c r="I176" s="6" t="str">
        <f>IFERROR(__xludf.DUMMYFUNCTION("MAX(FILTER($H:$H,$E:$E=F176))"),"#N/A")</f>
        <v>#N/A</v>
      </c>
    </row>
    <row r="177">
      <c r="A177" s="4"/>
      <c r="C177" s="4" t="s">
        <v>724</v>
      </c>
      <c r="D177" s="4" t="str">
        <f t="shared" si="1"/>
        <v>{"valorA":"fácil","valorB":5.0}</v>
      </c>
      <c r="E177" s="8" t="str">
        <f t="shared" si="2"/>
        <v>fácil</v>
      </c>
      <c r="F177" s="8"/>
      <c r="G177" s="8" t="str">
        <f t="shared" si="3"/>
        <v>5.0</v>
      </c>
      <c r="H177" s="9">
        <f t="shared" si="4"/>
        <v>5</v>
      </c>
      <c r="I177" s="6" t="str">
        <f>IFERROR(__xludf.DUMMYFUNCTION("MAX(FILTER($H:$H,$E:$E=F177))"),"#N/A")</f>
        <v>#N/A</v>
      </c>
    </row>
    <row r="178">
      <c r="A178" s="4"/>
      <c r="C178" s="4" t="s">
        <v>9413</v>
      </c>
      <c r="D178" s="4" t="str">
        <f t="shared" si="1"/>
        <v>{"valorA":"relação","valorB":1.0}</v>
      </c>
      <c r="E178" s="8" t="str">
        <f t="shared" si="2"/>
        <v>relação</v>
      </c>
      <c r="F178" s="8"/>
      <c r="G178" s="8" t="str">
        <f t="shared" si="3"/>
        <v>1.0</v>
      </c>
      <c r="H178" s="9">
        <f t="shared" si="4"/>
        <v>1</v>
      </c>
      <c r="I178" s="6" t="str">
        <f>IFERROR(__xludf.DUMMYFUNCTION("MAX(FILTER($H:$H,$E:$E=F178))"),"#N/A")</f>
        <v>#N/A</v>
      </c>
    </row>
    <row r="179">
      <c r="A179" s="4"/>
      <c r="C179" s="4" t="s">
        <v>198</v>
      </c>
      <c r="D179" s="4" t="str">
        <f t="shared" si="1"/>
        <v>{"valorA":"comentário","valorB":1.0}</v>
      </c>
      <c r="E179" s="8" t="str">
        <f t="shared" si="2"/>
        <v>comentário</v>
      </c>
      <c r="F179" s="8"/>
      <c r="G179" s="8" t="str">
        <f t="shared" si="3"/>
        <v>1.0</v>
      </c>
      <c r="H179" s="9">
        <f t="shared" si="4"/>
        <v>1</v>
      </c>
      <c r="I179" s="6" t="str">
        <f>IFERROR(__xludf.DUMMYFUNCTION("MAX(FILTER($H:$H,$E:$E=F179))"),"#N/A")</f>
        <v>#N/A</v>
      </c>
    </row>
    <row r="180">
      <c r="A180" s="4"/>
      <c r="C180" s="4" t="s">
        <v>672</v>
      </c>
      <c r="D180" s="4" t="str">
        <f t="shared" si="1"/>
        <v>{"valorA":"comprar","valorB":1.0}</v>
      </c>
      <c r="E180" s="8" t="str">
        <f t="shared" si="2"/>
        <v>comprar</v>
      </c>
      <c r="F180" s="8"/>
      <c r="G180" s="8" t="str">
        <f t="shared" si="3"/>
        <v>1.0</v>
      </c>
      <c r="H180" s="9">
        <f t="shared" si="4"/>
        <v>1</v>
      </c>
      <c r="I180" s="6" t="str">
        <f>IFERROR(__xludf.DUMMYFUNCTION("MAX(FILTER($H:$H,$E:$E=F180))"),"#N/A")</f>
        <v>#N/A</v>
      </c>
    </row>
    <row r="181">
      <c r="A181" s="4"/>
      <c r="C181" s="4" t="s">
        <v>728</v>
      </c>
      <c r="D181" s="4" t="str">
        <f t="shared" si="1"/>
        <v>{"valorA":"para","valorB":11.0}</v>
      </c>
      <c r="E181" s="8" t="str">
        <f t="shared" si="2"/>
        <v>para</v>
      </c>
      <c r="F181" s="8"/>
      <c r="G181" s="8" t="str">
        <f t="shared" si="3"/>
        <v>11.0</v>
      </c>
      <c r="H181" s="9">
        <f t="shared" si="4"/>
        <v>11</v>
      </c>
      <c r="I181" s="6" t="str">
        <f>IFERROR(__xludf.DUMMYFUNCTION("MAX(FILTER($H:$H,$E:$E=F181))"),"#N/A")</f>
        <v>#N/A</v>
      </c>
    </row>
    <row r="182">
      <c r="A182" s="4"/>
      <c r="C182" s="4" t="s">
        <v>1091</v>
      </c>
      <c r="D182" s="4" t="str">
        <f t="shared" si="1"/>
        <v>{"valorA":"modelo","valorB":1.0}</v>
      </c>
      <c r="E182" s="8" t="str">
        <f t="shared" si="2"/>
        <v>modelo</v>
      </c>
      <c r="F182" s="8"/>
      <c r="G182" s="8" t="str">
        <f t="shared" si="3"/>
        <v>1.0</v>
      </c>
      <c r="H182" s="9">
        <f t="shared" si="4"/>
        <v>1</v>
      </c>
      <c r="I182" s="6" t="str">
        <f>IFERROR(__xludf.DUMMYFUNCTION("MAX(FILTER($H:$H,$E:$E=F182))"),"#N/A")</f>
        <v>#N/A</v>
      </c>
    </row>
    <row r="183">
      <c r="A183" s="4"/>
      <c r="C183" s="4" t="s">
        <v>984</v>
      </c>
      <c r="D183" s="4" t="str">
        <f t="shared" si="1"/>
        <v>{"valorA":"preciso","valorB":1.0}</v>
      </c>
      <c r="E183" s="8" t="str">
        <f t="shared" si="2"/>
        <v>preciso</v>
      </c>
      <c r="F183" s="8"/>
      <c r="G183" s="8" t="str">
        <f t="shared" si="3"/>
        <v>1.0</v>
      </c>
      <c r="H183" s="9">
        <f t="shared" si="4"/>
        <v>1</v>
      </c>
      <c r="I183" s="6" t="str">
        <f>IFERROR(__xludf.DUMMYFUNCTION("MAX(FILTER($H:$H,$E:$E=F183))"),"#N/A")</f>
        <v>#N/A</v>
      </c>
    </row>
    <row r="184">
      <c r="A184" s="4"/>
      <c r="C184" s="4" t="s">
        <v>329</v>
      </c>
      <c r="D184" s="4" t="str">
        <f t="shared" si="1"/>
        <v>{"valorA":"outro","valorB":1.0}</v>
      </c>
      <c r="E184" s="8" t="str">
        <f t="shared" si="2"/>
        <v>outro</v>
      </c>
      <c r="F184" s="8"/>
      <c r="G184" s="8" t="str">
        <f t="shared" si="3"/>
        <v>1.0</v>
      </c>
      <c r="H184" s="9">
        <f t="shared" si="4"/>
        <v>1</v>
      </c>
      <c r="I184" s="6" t="str">
        <f>IFERROR(__xludf.DUMMYFUNCTION("MAX(FILTER($H:$H,$E:$E=F184))"),"#N/A")</f>
        <v>#N/A</v>
      </c>
    </row>
    <row r="185">
      <c r="A185" s="4"/>
      <c r="C185" s="4" t="s">
        <v>9414</v>
      </c>
      <c r="D185" s="4" t="str">
        <f t="shared" si="1"/>
        <v>{"valorA":"ficar","valorB":1.0}</v>
      </c>
      <c r="E185" s="8" t="str">
        <f t="shared" si="2"/>
        <v>ficar</v>
      </c>
      <c r="F185" s="8"/>
      <c r="G185" s="8" t="str">
        <f t="shared" si="3"/>
        <v>1.0</v>
      </c>
      <c r="H185" s="9">
        <f t="shared" si="4"/>
        <v>1</v>
      </c>
      <c r="I185" s="6" t="str">
        <f>IFERROR(__xludf.DUMMYFUNCTION("MAX(FILTER($H:$H,$E:$E=F185))"),"#N/A")</f>
        <v>#N/A</v>
      </c>
    </row>
    <row r="186">
      <c r="A186" s="4"/>
      <c r="C186" s="4" t="s">
        <v>9415</v>
      </c>
      <c r="D186" s="4" t="str">
        <f t="shared" si="1"/>
        <v>{"valorA":"novamente","valorB":1.0}</v>
      </c>
      <c r="E186" s="8" t="str">
        <f t="shared" si="2"/>
        <v>novamente</v>
      </c>
      <c r="F186" s="8"/>
      <c r="G186" s="8" t="str">
        <f t="shared" si="3"/>
        <v>1.0</v>
      </c>
      <c r="H186" s="9">
        <f t="shared" si="4"/>
        <v>1</v>
      </c>
      <c r="I186" s="6" t="str">
        <f>IFERROR(__xludf.DUMMYFUNCTION("MAX(FILTER($H:$H,$E:$E=F186))"),"#N/A")</f>
        <v>#N/A</v>
      </c>
    </row>
    <row r="187">
      <c r="A187" s="4"/>
      <c r="C187" s="4" t="s">
        <v>699</v>
      </c>
      <c r="D187" s="4" t="str">
        <f t="shared" si="1"/>
        <v>{"valorA":"televisor","valorB":3.0}</v>
      </c>
      <c r="E187" s="8" t="str">
        <f t="shared" si="2"/>
        <v>televisor</v>
      </c>
      <c r="F187" s="8"/>
      <c r="G187" s="8" t="str">
        <f t="shared" si="3"/>
        <v>3.0</v>
      </c>
      <c r="H187" s="9">
        <f t="shared" si="4"/>
        <v>3</v>
      </c>
      <c r="I187" s="6" t="str">
        <f>IFERROR(__xludf.DUMMYFUNCTION("MAX(FILTER($H:$H,$E:$E=F187))"),"#N/A")</f>
        <v>#N/A</v>
      </c>
    </row>
    <row r="188">
      <c r="A188" s="4"/>
      <c r="C188" s="4" t="s">
        <v>315</v>
      </c>
      <c r="D188" s="4" t="str">
        <f t="shared" si="1"/>
        <v>{"valorA":"ótimo","valorB":22.0}</v>
      </c>
      <c r="E188" s="8" t="str">
        <f t="shared" si="2"/>
        <v>ótimo</v>
      </c>
      <c r="F188" s="8"/>
      <c r="G188" s="8" t="str">
        <f t="shared" si="3"/>
        <v>22.0</v>
      </c>
      <c r="H188" s="9">
        <f t="shared" si="4"/>
        <v>22</v>
      </c>
      <c r="I188" s="6" t="str">
        <f>IFERROR(__xludf.DUMMYFUNCTION("MAX(FILTER($H:$H,$E:$E=F188))"),"#N/A")</f>
        <v>#N/A</v>
      </c>
    </row>
    <row r="189">
      <c r="A189" s="4"/>
      <c r="C189" s="4" t="s">
        <v>9416</v>
      </c>
      <c r="D189" s="4" t="str">
        <f t="shared" si="1"/>
        <v>{"valorA":"atento","valorB":1.0}</v>
      </c>
      <c r="E189" s="8" t="str">
        <f t="shared" si="2"/>
        <v>atento</v>
      </c>
      <c r="F189" s="8"/>
      <c r="G189" s="8" t="str">
        <f t="shared" si="3"/>
        <v>1.0</v>
      </c>
      <c r="H189" s="9">
        <f t="shared" si="4"/>
        <v>1</v>
      </c>
      <c r="I189" s="6" t="str">
        <f>IFERROR(__xludf.DUMMYFUNCTION("MAX(FILTER($H:$H,$E:$E=F189))"),"#N/A")</f>
        <v>#N/A</v>
      </c>
    </row>
    <row r="190">
      <c r="A190" s="4"/>
      <c r="C190" s="4" t="s">
        <v>582</v>
      </c>
      <c r="D190" s="4" t="str">
        <f t="shared" si="1"/>
        <v>{"valorA":"não","valorB":1.0}</v>
      </c>
      <c r="E190" s="8" t="str">
        <f t="shared" si="2"/>
        <v>não</v>
      </c>
      <c r="F190" s="8"/>
      <c r="G190" s="8" t="str">
        <f t="shared" si="3"/>
        <v>1.0</v>
      </c>
      <c r="H190" s="9">
        <f t="shared" si="4"/>
        <v>1</v>
      </c>
      <c r="I190" s="6" t="str">
        <f>IFERROR(__xludf.DUMMYFUNCTION("MAX(FILTER($H:$H,$E:$E=F190))"),"#N/A")</f>
        <v>#N/A</v>
      </c>
    </row>
    <row r="191">
      <c r="A191" s="4"/>
      <c r="C191" s="4" t="s">
        <v>9417</v>
      </c>
      <c r="D191" s="4" t="str">
        <f t="shared" si="1"/>
        <v>{"valorA":"ruim","valorB":1.0}</v>
      </c>
      <c r="E191" s="8" t="str">
        <f t="shared" si="2"/>
        <v>ruim</v>
      </c>
      <c r="F191" s="8"/>
      <c r="G191" s="8" t="str">
        <f t="shared" si="3"/>
        <v>1.0</v>
      </c>
      <c r="H191" s="9">
        <f t="shared" si="4"/>
        <v>1</v>
      </c>
      <c r="I191" s="6" t="str">
        <f>IFERROR(__xludf.DUMMYFUNCTION("MAX(FILTER($H:$H,$E:$E=F191))"),"#N/A")</f>
        <v>#N/A</v>
      </c>
    </row>
    <row r="192">
      <c r="A192" s="4"/>
      <c r="C192" s="4" t="s">
        <v>573</v>
      </c>
      <c r="D192" s="4" t="str">
        <f t="shared" si="1"/>
        <v>{"valorA":"valorizei","valorB":1.0}</v>
      </c>
      <c r="E192" s="8" t="str">
        <f t="shared" si="2"/>
        <v>valorizei</v>
      </c>
      <c r="F192" s="8"/>
      <c r="G192" s="8" t="str">
        <f t="shared" si="3"/>
        <v>1.0</v>
      </c>
      <c r="H192" s="9">
        <f t="shared" si="4"/>
        <v>1</v>
      </c>
      <c r="I192" s="6" t="str">
        <f>IFERROR(__xludf.DUMMYFUNCTION("MAX(FILTER($H:$H,$E:$E=F192))"),"#N/A")</f>
        <v>#N/A</v>
      </c>
    </row>
    <row r="193">
      <c r="A193" s="4"/>
      <c r="C193" s="4" t="s">
        <v>333</v>
      </c>
      <c r="D193" s="4" t="str">
        <f t="shared" si="1"/>
        <v>{"valorA":"que","valorB":2.0}</v>
      </c>
      <c r="E193" s="8" t="str">
        <f t="shared" si="2"/>
        <v>que</v>
      </c>
      <c r="F193" s="8"/>
      <c r="G193" s="8" t="str">
        <f t="shared" si="3"/>
        <v>2.0</v>
      </c>
      <c r="H193" s="9">
        <f t="shared" si="4"/>
        <v>2</v>
      </c>
      <c r="I193" s="6" t="str">
        <f>IFERROR(__xludf.DUMMYFUNCTION("MAX(FILTER($H:$H,$E:$E=F193))"),"#N/A")</f>
        <v>#N/A</v>
      </c>
    </row>
    <row r="194">
      <c r="A194" s="4"/>
      <c r="C194" s="4" t="s">
        <v>208</v>
      </c>
      <c r="D194" s="4" t="str">
        <f t="shared" si="1"/>
        <v>{"valorA":"carro","valorB":1.0}</v>
      </c>
      <c r="E194" s="8" t="str">
        <f t="shared" si="2"/>
        <v>carro</v>
      </c>
      <c r="F194" s="8"/>
      <c r="G194" s="8" t="str">
        <f t="shared" si="3"/>
        <v>1.0</v>
      </c>
      <c r="H194" s="9">
        <f t="shared" si="4"/>
        <v>1</v>
      </c>
      <c r="I194" s="6" t="str">
        <f>IFERROR(__xludf.DUMMYFUNCTION("MAX(FILTER($H:$H,$E:$E=F194))"),"#N/A")</f>
        <v>#N/A</v>
      </c>
    </row>
    <row r="195">
      <c r="A195" s="4"/>
      <c r="C195" s="4" t="s">
        <v>462</v>
      </c>
      <c r="D195" s="4" t="str">
        <f t="shared" si="1"/>
        <v>{"valorA":"do","valorB":3.0}</v>
      </c>
      <c r="E195" s="8" t="str">
        <f t="shared" si="2"/>
        <v>do</v>
      </c>
      <c r="F195" s="8"/>
      <c r="G195" s="8" t="str">
        <f t="shared" si="3"/>
        <v>3.0</v>
      </c>
      <c r="H195" s="9">
        <f t="shared" si="4"/>
        <v>3</v>
      </c>
      <c r="I195" s="6" t="str">
        <f>IFERROR(__xludf.DUMMYFUNCTION("MAX(FILTER($H:$H,$E:$E=F195))"),"#N/A")</f>
        <v>#N/A</v>
      </c>
    </row>
    <row r="196">
      <c r="A196" s="4"/>
      <c r="C196" s="4" t="s">
        <v>690</v>
      </c>
      <c r="D196" s="4" t="str">
        <f t="shared" si="1"/>
        <v>{"valorA":"ótimo","valorB":23.0}</v>
      </c>
      <c r="E196" s="8" t="str">
        <f t="shared" si="2"/>
        <v>ótimo</v>
      </c>
      <c r="F196" s="8"/>
      <c r="G196" s="8" t="str">
        <f t="shared" si="3"/>
        <v>23.0</v>
      </c>
      <c r="H196" s="9">
        <f t="shared" si="4"/>
        <v>23</v>
      </c>
      <c r="I196" s="6" t="str">
        <f>IFERROR(__xludf.DUMMYFUNCTION("MAX(FILTER($H:$H,$E:$E=F196))"),"#N/A")</f>
        <v>#N/A</v>
      </c>
    </row>
    <row r="197">
      <c r="A197" s="4"/>
      <c r="C197" s="4" t="s">
        <v>577</v>
      </c>
      <c r="D197" s="4" t="str">
        <f t="shared" si="1"/>
        <v>{"valorA":"paguei","valorB":1.0}</v>
      </c>
      <c r="E197" s="8" t="str">
        <f t="shared" si="2"/>
        <v>paguei</v>
      </c>
      <c r="F197" s="8"/>
      <c r="G197" s="8" t="str">
        <f t="shared" si="3"/>
        <v>1.0</v>
      </c>
      <c r="H197" s="9">
        <f t="shared" si="4"/>
        <v>1</v>
      </c>
      <c r="I197" s="6" t="str">
        <f>IFERROR(__xludf.DUMMYFUNCTION("MAX(FILTER($H:$H,$E:$E=F197))"),"#N/A")</f>
        <v>#N/A</v>
      </c>
    </row>
    <row r="198">
      <c r="A198" s="4"/>
      <c r="C198" s="4" t="s">
        <v>337</v>
      </c>
      <c r="D198" s="4" t="str">
        <f t="shared" si="1"/>
        <v>{"valorA":"mais","valorB":1.0}</v>
      </c>
      <c r="E198" s="8" t="str">
        <f t="shared" si="2"/>
        <v>mais</v>
      </c>
      <c r="F198" s="8"/>
      <c r="G198" s="8" t="str">
        <f t="shared" si="3"/>
        <v>1.0</v>
      </c>
      <c r="H198" s="9">
        <f t="shared" si="4"/>
        <v>1</v>
      </c>
      <c r="I198" s="6" t="str">
        <f>IFERROR(__xludf.DUMMYFUNCTION("MAX(FILTER($H:$H,$E:$E=F198))"),"#N/A")</f>
        <v>#N/A</v>
      </c>
    </row>
    <row r="199">
      <c r="A199" s="4"/>
      <c r="C199" s="4" t="s">
        <v>262</v>
      </c>
      <c r="D199" s="4" t="str">
        <f t="shared" si="1"/>
        <v>{"valorA":"muito","valorB":5.0}</v>
      </c>
      <c r="E199" s="8" t="str">
        <f t="shared" si="2"/>
        <v>muito</v>
      </c>
      <c r="F199" s="8"/>
      <c r="G199" s="8" t="str">
        <f t="shared" si="3"/>
        <v>5.0</v>
      </c>
      <c r="H199" s="9">
        <f t="shared" si="4"/>
        <v>5</v>
      </c>
      <c r="I199" s="6" t="str">
        <f>IFERROR(__xludf.DUMMYFUNCTION("MAX(FILTER($H:$H,$E:$E=F199))"),"#N/A")</f>
        <v>#N/A</v>
      </c>
    </row>
    <row r="200">
      <c r="A200" s="4"/>
      <c r="C200" s="4" t="s">
        <v>743</v>
      </c>
      <c r="D200" s="4" t="str">
        <f t="shared" si="1"/>
        <v>{"valorA":"para","valorB":12.0}</v>
      </c>
      <c r="E200" s="8" t="str">
        <f t="shared" si="2"/>
        <v>para</v>
      </c>
      <c r="F200" s="8"/>
      <c r="G200" s="8" t="str">
        <f t="shared" si="3"/>
        <v>12.0</v>
      </c>
      <c r="H200" s="9">
        <f t="shared" si="4"/>
        <v>12</v>
      </c>
      <c r="I200" s="6" t="str">
        <f>IFERROR(__xludf.DUMMYFUNCTION("MAX(FILTER($H:$H,$E:$E=F200))"),"#N/A")</f>
        <v>#N/A</v>
      </c>
    </row>
    <row r="201">
      <c r="A201" s="4"/>
      <c r="C201" s="4" t="s">
        <v>1448</v>
      </c>
      <c r="D201" s="4" t="str">
        <f t="shared" si="1"/>
        <v>{"valorA":"máquina","valorB":1.0}</v>
      </c>
      <c r="E201" s="8" t="str">
        <f t="shared" si="2"/>
        <v>máquina</v>
      </c>
      <c r="F201" s="8"/>
      <c r="G201" s="8" t="str">
        <f t="shared" si="3"/>
        <v>1.0</v>
      </c>
      <c r="H201" s="9">
        <f t="shared" si="4"/>
        <v>1</v>
      </c>
      <c r="I201" s="6" t="str">
        <f>IFERROR(__xludf.DUMMYFUNCTION("MAX(FILTER($H:$H,$E:$E=F201))"),"#N/A")</f>
        <v>#N/A</v>
      </c>
    </row>
    <row r="202">
      <c r="A202" s="4"/>
      <c r="C202" s="4" t="s">
        <v>648</v>
      </c>
      <c r="D202" s="4" t="str">
        <f t="shared" si="1"/>
        <v>{"valorA":"bom","valorB":2.0}</v>
      </c>
      <c r="E202" s="8" t="str">
        <f t="shared" si="2"/>
        <v>bom</v>
      </c>
      <c r="F202" s="8"/>
      <c r="G202" s="8" t="str">
        <f t="shared" si="3"/>
        <v>2.0</v>
      </c>
      <c r="H202" s="9">
        <f t="shared" si="4"/>
        <v>2</v>
      </c>
      <c r="I202" s="6" t="str">
        <f>IFERROR(__xludf.DUMMYFUNCTION("MAX(FILTER($H:$H,$E:$E=F202))"),"#N/A")</f>
        <v>#N/A</v>
      </c>
    </row>
    <row r="203">
      <c r="A203" s="4"/>
      <c r="C203" s="4" t="s">
        <v>1470</v>
      </c>
      <c r="D203" s="4" t="str">
        <f t="shared" si="1"/>
        <v>{"valorA":"quem","valorB":7.0}</v>
      </c>
      <c r="E203" s="8" t="str">
        <f t="shared" si="2"/>
        <v>quem</v>
      </c>
      <c r="F203" s="8"/>
      <c r="G203" s="8" t="str">
        <f t="shared" si="3"/>
        <v>7.0</v>
      </c>
      <c r="H203" s="9">
        <f t="shared" si="4"/>
        <v>7</v>
      </c>
      <c r="I203" s="6" t="str">
        <f>IFERROR(__xludf.DUMMYFUNCTION("MAX(FILTER($H:$H,$E:$E=F203))"),"#N/A")</f>
        <v>#N/A</v>
      </c>
    </row>
    <row r="204">
      <c r="A204" s="4"/>
      <c r="C204" s="4" t="s">
        <v>350</v>
      </c>
      <c r="D204" s="4" t="str">
        <f t="shared" si="1"/>
        <v>{"valorA":"de","valorB":7.0}</v>
      </c>
      <c r="E204" s="8" t="str">
        <f t="shared" si="2"/>
        <v>de</v>
      </c>
      <c r="F204" s="8"/>
      <c r="G204" s="8" t="str">
        <f t="shared" si="3"/>
        <v>7.0</v>
      </c>
      <c r="H204" s="9">
        <f t="shared" si="4"/>
        <v>7</v>
      </c>
      <c r="I204" s="6" t="str">
        <f>IFERROR(__xludf.DUMMYFUNCTION("MAX(FILTER($H:$H,$E:$E=F204))"),"#N/A")</f>
        <v>#N/A</v>
      </c>
    </row>
    <row r="205">
      <c r="A205" s="4"/>
      <c r="C205" s="4" t="s">
        <v>684</v>
      </c>
      <c r="D205" s="4" t="str">
        <f t="shared" si="1"/>
        <v>{"valorA":"produto","valorB":15.0}</v>
      </c>
      <c r="E205" s="8" t="str">
        <f t="shared" si="2"/>
        <v>produto</v>
      </c>
      <c r="F205" s="8"/>
      <c r="G205" s="8" t="str">
        <f t="shared" si="3"/>
        <v>15.0</v>
      </c>
      <c r="H205" s="9">
        <f t="shared" si="4"/>
        <v>15</v>
      </c>
      <c r="I205" s="6" t="str">
        <f>IFERROR(__xludf.DUMMYFUNCTION("MAX(FILTER($H:$H,$E:$E=F205))"),"#N/A")</f>
        <v>#N/A</v>
      </c>
    </row>
    <row r="206">
      <c r="A206" s="4"/>
      <c r="C206" s="4" t="s">
        <v>9418</v>
      </c>
      <c r="D206" s="4" t="str">
        <f t="shared" si="1"/>
        <v>{"valorA":"uma","valorB":6.0}</v>
      </c>
      <c r="E206" s="8" t="str">
        <f t="shared" si="2"/>
        <v>uma</v>
      </c>
      <c r="F206" s="8"/>
      <c r="G206" s="8" t="str">
        <f t="shared" si="3"/>
        <v>6.0</v>
      </c>
      <c r="H206" s="9">
        <f t="shared" si="4"/>
        <v>6</v>
      </c>
      <c r="I206" s="6" t="str">
        <f>IFERROR(__xludf.DUMMYFUNCTION("MAX(FILTER($H:$H,$E:$E=F206))"),"#N/A")</f>
        <v>#N/A</v>
      </c>
    </row>
    <row r="207">
      <c r="A207" s="4"/>
      <c r="C207" s="4" t="s">
        <v>696</v>
      </c>
      <c r="D207" s="4" t="str">
        <f t="shared" si="1"/>
        <v>{"valorA":"ótimo","valorB":24.0}</v>
      </c>
      <c r="E207" s="8" t="str">
        <f t="shared" si="2"/>
        <v>ótimo</v>
      </c>
      <c r="F207" s="8"/>
      <c r="G207" s="8" t="str">
        <f t="shared" si="3"/>
        <v>24.0</v>
      </c>
      <c r="H207" s="9">
        <f t="shared" si="4"/>
        <v>24</v>
      </c>
      <c r="I207" s="6" t="str">
        <f>IFERROR(__xludf.DUMMYFUNCTION("MAX(FILTER($H:$H,$E:$E=F207))"),"#N/A")</f>
        <v>#N/A</v>
      </c>
    </row>
    <row r="208">
      <c r="A208" s="4"/>
      <c r="C208" s="4" t="s">
        <v>9419</v>
      </c>
      <c r="D208" s="4" t="str">
        <f t="shared" si="1"/>
        <v>{"valorA":"observação","valorB":1.0}</v>
      </c>
      <c r="E208" s="8" t="str">
        <f t="shared" si="2"/>
        <v>observação</v>
      </c>
      <c r="F208" s="8"/>
      <c r="G208" s="8" t="str">
        <f t="shared" si="3"/>
        <v>1.0</v>
      </c>
      <c r="H208" s="9">
        <f t="shared" si="4"/>
        <v>1</v>
      </c>
      <c r="I208" s="6" t="str">
        <f>IFERROR(__xludf.DUMMYFUNCTION("MAX(FILTER($H:$H,$E:$E=F208))"),"#N/A")</f>
        <v>#N/A</v>
      </c>
    </row>
    <row r="209">
      <c r="A209" s="4"/>
      <c r="C209" s="4" t="s">
        <v>662</v>
      </c>
      <c r="D209" s="4" t="str">
        <f t="shared" si="1"/>
        <v>{"valorA":"muito","valorB":6.0}</v>
      </c>
      <c r="E209" s="8" t="str">
        <f t="shared" si="2"/>
        <v>muito</v>
      </c>
      <c r="F209" s="8"/>
      <c r="G209" s="8" t="str">
        <f t="shared" si="3"/>
        <v>6.0</v>
      </c>
      <c r="H209" s="9">
        <f t="shared" si="4"/>
        <v>6</v>
      </c>
      <c r="I209" s="6" t="str">
        <f>IFERROR(__xludf.DUMMYFUNCTION("MAX(FILTER($H:$H,$E:$E=F209))"),"#N/A")</f>
        <v>#N/A</v>
      </c>
    </row>
    <row r="210">
      <c r="A210" s="4"/>
      <c r="C210" s="4" t="s">
        <v>1043</v>
      </c>
      <c r="D210" s="4" t="str">
        <f t="shared" si="1"/>
        <v>{"valorA":"lavar","valorB":1.0}</v>
      </c>
      <c r="E210" s="8" t="str">
        <f t="shared" si="2"/>
        <v>lavar</v>
      </c>
      <c r="F210" s="8"/>
      <c r="G210" s="8" t="str">
        <f t="shared" si="3"/>
        <v>1.0</v>
      </c>
      <c r="H210" s="9">
        <f t="shared" si="4"/>
        <v>1</v>
      </c>
      <c r="I210" s="6" t="str">
        <f>IFERROR(__xludf.DUMMYFUNCTION("MAX(FILTER($H:$H,$E:$E=F210))"),"#N/A")</f>
        <v>#N/A</v>
      </c>
    </row>
    <row r="211">
      <c r="A211" s="4"/>
      <c r="C211" s="4" t="s">
        <v>9420</v>
      </c>
      <c r="D211" s="4" t="str">
        <f t="shared" si="1"/>
        <v>{"valorA":"busca","valorB":6.0}</v>
      </c>
      <c r="E211" s="8" t="str">
        <f t="shared" si="2"/>
        <v>busca</v>
      </c>
      <c r="F211" s="8"/>
      <c r="G211" s="8" t="str">
        <f t="shared" si="3"/>
        <v>6.0</v>
      </c>
      <c r="H211" s="9">
        <f t="shared" si="4"/>
        <v>6</v>
      </c>
      <c r="I211" s="6" t="str">
        <f>IFERROR(__xludf.DUMMYFUNCTION("MAX(FILTER($H:$H,$E:$E=F211))"),"#N/A")</f>
        <v>#N/A</v>
      </c>
    </row>
    <row r="212">
      <c r="A212" s="4"/>
      <c r="C212" s="4" t="s">
        <v>9421</v>
      </c>
      <c r="D212" s="4" t="str">
        <f t="shared" si="1"/>
        <v>{"valorA":"some","valorB":1.0}</v>
      </c>
      <c r="E212" s="8" t="str">
        <f t="shared" si="2"/>
        <v>some</v>
      </c>
      <c r="F212" s="8"/>
      <c r="G212" s="8" t="str">
        <f t="shared" si="3"/>
        <v>1.0</v>
      </c>
      <c r="H212" s="9">
        <f t="shared" si="4"/>
        <v>1</v>
      </c>
      <c r="I212" s="6" t="str">
        <f>IFERROR(__xludf.DUMMYFUNCTION("MAX(FILTER($H:$H,$E:$E=F212))"),"#N/A")</f>
        <v>#N/A</v>
      </c>
    </row>
    <row r="213">
      <c r="A213" s="4"/>
      <c r="C213" s="4" t="s">
        <v>9422</v>
      </c>
      <c r="D213" s="4" t="str">
        <f t="shared" si="1"/>
        <v>{"valorA":"era","valorB":1.0}</v>
      </c>
      <c r="E213" s="8" t="str">
        <f t="shared" si="2"/>
        <v>era</v>
      </c>
      <c r="F213" s="8"/>
      <c r="G213" s="8" t="str">
        <f t="shared" si="3"/>
        <v>1.0</v>
      </c>
      <c r="H213" s="9">
        <f t="shared" si="4"/>
        <v>1</v>
      </c>
      <c r="I213" s="6" t="str">
        <f>IFERROR(__xludf.DUMMYFUNCTION("MAX(FILTER($H:$H,$E:$E=F213))"),"#N/A")</f>
        <v>#N/A</v>
      </c>
    </row>
    <row r="214">
      <c r="A214" s="4"/>
      <c r="C214" s="4" t="s">
        <v>740</v>
      </c>
      <c r="D214" s="4" t="str">
        <f t="shared" si="1"/>
        <v>{"valorA":"caro","valorB":1.0}</v>
      </c>
      <c r="E214" s="8" t="str">
        <f t="shared" si="2"/>
        <v>caro</v>
      </c>
      <c r="F214" s="8"/>
      <c r="G214" s="8" t="str">
        <f t="shared" si="3"/>
        <v>1.0</v>
      </c>
      <c r="H214" s="9">
        <f t="shared" si="4"/>
        <v>1</v>
      </c>
      <c r="I214" s="6" t="str">
        <f>IFERROR(__xludf.DUMMYFUNCTION("MAX(FILTER($H:$H,$E:$E=F214))"),"#N/A")</f>
        <v>#N/A</v>
      </c>
    </row>
    <row r="215">
      <c r="A215" s="4"/>
      <c r="C215" s="4" t="s">
        <v>9423</v>
      </c>
      <c r="D215" s="4" t="str">
        <f t="shared" si="1"/>
        <v>{"valorA":"note","valorB":1.0}</v>
      </c>
      <c r="E215" s="8" t="str">
        <f t="shared" si="2"/>
        <v>note</v>
      </c>
      <c r="F215" s="8"/>
      <c r="G215" s="8" t="str">
        <f t="shared" si="3"/>
        <v>1.0</v>
      </c>
      <c r="H215" s="9">
        <f t="shared" si="4"/>
        <v>1</v>
      </c>
      <c r="I215" s="6" t="str">
        <f>IFERROR(__xludf.DUMMYFUNCTION("MAX(FILTER($H:$H,$E:$E=F215))"),"#N/A")</f>
        <v>#N/A</v>
      </c>
    </row>
    <row r="216">
      <c r="A216" s="4"/>
      <c r="C216" s="4" t="s">
        <v>9424</v>
      </c>
      <c r="D216" s="4" t="str">
        <f t="shared" si="1"/>
        <v>{"valorA":"the","valorB":1.0}</v>
      </c>
      <c r="E216" s="8" t="str">
        <f t="shared" si="2"/>
        <v>the</v>
      </c>
      <c r="F216" s="8"/>
      <c r="G216" s="8" t="str">
        <f t="shared" si="3"/>
        <v>1.0</v>
      </c>
      <c r="H216" s="9">
        <f t="shared" si="4"/>
        <v>1</v>
      </c>
      <c r="I216" s="6" t="str">
        <f>IFERROR(__xludf.DUMMYFUNCTION("MAX(FILTER($H:$H,$E:$E=F216))"),"#N/A")</f>
        <v>#N/A</v>
      </c>
    </row>
    <row r="217">
      <c r="A217" s="4"/>
      <c r="C217" s="4" t="s">
        <v>688</v>
      </c>
      <c r="D217" s="4" t="str">
        <f t="shared" si="1"/>
        <v>{"valorA":"produto","valorB":16.0}</v>
      </c>
      <c r="E217" s="8" t="str">
        <f t="shared" si="2"/>
        <v>produto</v>
      </c>
      <c r="F217" s="8"/>
      <c r="G217" s="8" t="str">
        <f t="shared" si="3"/>
        <v>16.0</v>
      </c>
      <c r="H217" s="9">
        <f t="shared" si="4"/>
        <v>16</v>
      </c>
      <c r="I217" s="6" t="str">
        <f>IFERROR(__xludf.DUMMYFUNCTION("MAX(FILTER($H:$H,$E:$E=F217))"),"#N/A")</f>
        <v>#N/A</v>
      </c>
    </row>
    <row r="218">
      <c r="A218" s="4"/>
      <c r="C218" s="4" t="s">
        <v>483</v>
      </c>
      <c r="D218" s="4" t="str">
        <f t="shared" si="1"/>
        <v>{"valorA":"do","valorB":4.0}</v>
      </c>
      <c r="E218" s="8" t="str">
        <f t="shared" si="2"/>
        <v>do</v>
      </c>
      <c r="F218" s="8"/>
      <c r="G218" s="8" t="str">
        <f t="shared" si="3"/>
        <v>4.0</v>
      </c>
      <c r="H218" s="9">
        <f t="shared" si="4"/>
        <v>4</v>
      </c>
      <c r="I218" s="6" t="str">
        <f>IFERROR(__xludf.DUMMYFUNCTION("MAX(FILTER($H:$H,$E:$E=F218))"),"#N/A")</f>
        <v>#N/A</v>
      </c>
    </row>
    <row r="219">
      <c r="A219" s="4"/>
      <c r="C219" s="4" t="s">
        <v>393</v>
      </c>
      <c r="D219" s="4" t="str">
        <f t="shared" si="1"/>
        <v>{"valorA":"gostei","valorB":4.0}</v>
      </c>
      <c r="E219" s="8" t="str">
        <f t="shared" si="2"/>
        <v>gostei</v>
      </c>
      <c r="F219" s="8"/>
      <c r="G219" s="8" t="str">
        <f t="shared" si="3"/>
        <v>4.0</v>
      </c>
      <c r="H219" s="9">
        <f t="shared" si="4"/>
        <v>4</v>
      </c>
      <c r="I219" s="6" t="str">
        <f>IFERROR(__xludf.DUMMYFUNCTION("MAX(FILTER($H:$H,$E:$E=F219))"),"#N/A")</f>
        <v>#N/A</v>
      </c>
    </row>
    <row r="220">
      <c r="A220" s="4"/>
      <c r="C220" s="4" t="s">
        <v>336</v>
      </c>
      <c r="D220" s="4" t="str">
        <f t="shared" si="1"/>
        <v>{"valorA":"ótimo","valorB":25.0}</v>
      </c>
      <c r="E220" s="8" t="str">
        <f t="shared" si="2"/>
        <v>ótimo</v>
      </c>
      <c r="F220" s="8"/>
      <c r="G220" s="8" t="str">
        <f t="shared" si="3"/>
        <v>25.0</v>
      </c>
      <c r="H220" s="9">
        <f t="shared" si="4"/>
        <v>25</v>
      </c>
      <c r="I220" s="6" t="str">
        <f>IFERROR(__xludf.DUMMYFUNCTION("MAX(FILTER($H:$H,$E:$E=F220))"),"#N/A")</f>
        <v>#N/A</v>
      </c>
    </row>
    <row r="221">
      <c r="A221" s="4"/>
      <c r="C221" s="4" t="s">
        <v>9425</v>
      </c>
      <c r="D221" s="4" t="str">
        <f t="shared" si="1"/>
        <v>{"valorA":"are","valorB":1.0}</v>
      </c>
      <c r="E221" s="8" t="str">
        <f t="shared" si="2"/>
        <v>are</v>
      </c>
      <c r="F221" s="8"/>
      <c r="G221" s="8" t="str">
        <f t="shared" si="3"/>
        <v>1.0</v>
      </c>
      <c r="H221" s="9">
        <f t="shared" si="4"/>
        <v>1</v>
      </c>
      <c r="I221" s="6" t="str">
        <f>IFERROR(__xludf.DUMMYFUNCTION("MAX(FILTER($H:$H,$E:$E=F221))"),"#N/A")</f>
        <v>#N/A</v>
      </c>
    </row>
    <row r="222">
      <c r="A222" s="4"/>
      <c r="C222" s="4" t="s">
        <v>9426</v>
      </c>
      <c r="D222" s="4" t="str">
        <f t="shared" si="1"/>
        <v>{"valorA":"of","valorB":1.0}</v>
      </c>
      <c r="E222" s="8" t="str">
        <f t="shared" si="2"/>
        <v>of</v>
      </c>
      <c r="F222" s="8"/>
      <c r="G222" s="8" t="str">
        <f t="shared" si="3"/>
        <v>1.0</v>
      </c>
      <c r="H222" s="9">
        <f t="shared" si="4"/>
        <v>1</v>
      </c>
      <c r="I222" s="6" t="str">
        <f>IFERROR(__xludf.DUMMYFUNCTION("MAX(FILTER($H:$H,$E:$E=F222))"),"#N/A")</f>
        <v>#N/A</v>
      </c>
    </row>
    <row r="223">
      <c r="A223" s="4"/>
      <c r="C223" s="4" t="s">
        <v>1406</v>
      </c>
      <c r="D223" s="4" t="str">
        <f t="shared" si="1"/>
        <v>{"valorA":"mas","valorB":1.0}</v>
      </c>
      <c r="E223" s="8" t="str">
        <f t="shared" si="2"/>
        <v>mas</v>
      </c>
      <c r="F223" s="8"/>
      <c r="G223" s="8" t="str">
        <f t="shared" si="3"/>
        <v>1.0</v>
      </c>
      <c r="H223" s="9">
        <f t="shared" si="4"/>
        <v>1</v>
      </c>
      <c r="I223" s="6" t="str">
        <f>IFERROR(__xludf.DUMMYFUNCTION("MAX(FILTER($H:$H,$E:$E=F223))"),"#N/A")</f>
        <v>#N/A</v>
      </c>
    </row>
    <row r="224">
      <c r="A224" s="4"/>
      <c r="C224" s="4" t="s">
        <v>274</v>
      </c>
      <c r="D224" s="4" t="str">
        <f t="shared" si="1"/>
        <v>{"valorA":"muito","valorB":7.0}</v>
      </c>
      <c r="E224" s="8" t="str">
        <f t="shared" si="2"/>
        <v>muito</v>
      </c>
      <c r="F224" s="8"/>
      <c r="G224" s="8" t="str">
        <f t="shared" si="3"/>
        <v>7.0</v>
      </c>
      <c r="H224" s="9">
        <f t="shared" si="4"/>
        <v>7</v>
      </c>
      <c r="I224" s="6" t="str">
        <f>IFERROR(__xludf.DUMMYFUNCTION("MAX(FILTER($H:$H,$E:$E=F224))"),"#N/A")</f>
        <v>#N/A</v>
      </c>
    </row>
    <row r="225">
      <c r="A225" s="4"/>
      <c r="C225" s="4" t="s">
        <v>9427</v>
      </c>
      <c r="D225" s="4" t="str">
        <f t="shared" si="1"/>
        <v>{"valorA":"that","valorB":1.0}</v>
      </c>
      <c r="E225" s="8" t="str">
        <f t="shared" si="2"/>
        <v>that</v>
      </c>
      <c r="F225" s="8"/>
      <c r="G225" s="8" t="str">
        <f t="shared" si="3"/>
        <v>1.0</v>
      </c>
      <c r="H225" s="9">
        <f t="shared" si="4"/>
        <v>1</v>
      </c>
      <c r="I225" s="6" t="str">
        <f>IFERROR(__xludf.DUMMYFUNCTION("MAX(FILTER($H:$H,$E:$E=F225))"),"#N/A")</f>
        <v>#N/A</v>
      </c>
    </row>
    <row r="226">
      <c r="A226" s="4"/>
      <c r="C226" s="4" t="s">
        <v>589</v>
      </c>
      <c r="D226" s="4" t="str">
        <f t="shared" si="1"/>
        <v>{"valorA":"não","valorB":2.0}</v>
      </c>
      <c r="E226" s="8" t="str">
        <f t="shared" si="2"/>
        <v>não</v>
      </c>
      <c r="F226" s="8"/>
      <c r="G226" s="8" t="str">
        <f t="shared" si="3"/>
        <v>2.0</v>
      </c>
      <c r="H226" s="9">
        <f t="shared" si="4"/>
        <v>2</v>
      </c>
      <c r="I226" s="6" t="str">
        <f>IFERROR(__xludf.DUMMYFUNCTION("MAX(FILTER($H:$H,$E:$E=F226))"),"#N/A")</f>
        <v>#N/A</v>
      </c>
    </row>
    <row r="227">
      <c r="A227" s="4"/>
      <c r="C227" s="4" t="s">
        <v>9428</v>
      </c>
      <c r="D227" s="4" t="str">
        <f t="shared" si="1"/>
        <v>{"valorA":"comments","valorB":1.0}</v>
      </c>
      <c r="E227" s="8" t="str">
        <f t="shared" si="2"/>
        <v>comments</v>
      </c>
      <c r="F227" s="8"/>
      <c r="G227" s="8" t="str">
        <f t="shared" si="3"/>
        <v>1.0</v>
      </c>
      <c r="H227" s="9">
        <f t="shared" si="4"/>
        <v>1</v>
      </c>
      <c r="I227" s="6" t="str">
        <f>IFERROR(__xludf.DUMMYFUNCTION("MAX(FILTER($H:$H,$E:$E=F227))"),"#N/A")</f>
        <v>#N/A</v>
      </c>
    </row>
    <row r="228">
      <c r="A228" s="4"/>
      <c r="C228" s="4" t="s">
        <v>620</v>
      </c>
      <c r="D228" s="4" t="str">
        <f t="shared" si="1"/>
        <v>{"valorA":"preço","valorB":5.0}</v>
      </c>
      <c r="E228" s="8" t="str">
        <f t="shared" si="2"/>
        <v>preço</v>
      </c>
      <c r="F228" s="8"/>
      <c r="G228" s="8" t="str">
        <f t="shared" si="3"/>
        <v>5.0</v>
      </c>
      <c r="H228" s="9">
        <f t="shared" si="4"/>
        <v>5</v>
      </c>
      <c r="I228" s="6" t="str">
        <f>IFERROR(__xludf.DUMMYFUNCTION("MAX(FILTER($H:$H,$E:$E=F228))"),"#N/A")</f>
        <v>#N/A</v>
      </c>
    </row>
    <row r="229">
      <c r="A229" s="4"/>
      <c r="C229" s="4" t="s">
        <v>436</v>
      </c>
      <c r="D229" s="4" t="str">
        <f t="shared" si="1"/>
        <v>{"valorA":"com","valorB":4.0}</v>
      </c>
      <c r="E229" s="8" t="str">
        <f t="shared" si="2"/>
        <v>com</v>
      </c>
      <c r="F229" s="8"/>
      <c r="G229" s="8" t="str">
        <f t="shared" si="3"/>
        <v>4.0</v>
      </c>
      <c r="H229" s="9">
        <f t="shared" si="4"/>
        <v>4</v>
      </c>
      <c r="I229" s="6" t="str">
        <f>IFERROR(__xludf.DUMMYFUNCTION("MAX(FILTER($H:$H,$E:$E=F229))"),"#N/A")</f>
        <v>#N/A</v>
      </c>
    </row>
    <row r="230">
      <c r="A230" s="4"/>
      <c r="C230" s="4" t="s">
        <v>1466</v>
      </c>
      <c r="D230" s="4" t="str">
        <f t="shared" si="1"/>
        <v>{"valorA":"tablet","valorB":3.0}</v>
      </c>
      <c r="E230" s="8" t="str">
        <f t="shared" si="2"/>
        <v>tablet</v>
      </c>
      <c r="F230" s="8"/>
      <c r="G230" s="8" t="str">
        <f t="shared" si="3"/>
        <v>3.0</v>
      </c>
      <c r="H230" s="9">
        <f t="shared" si="4"/>
        <v>3</v>
      </c>
      <c r="I230" s="6" t="str">
        <f>IFERROR(__xludf.DUMMYFUNCTION("MAX(FILTER($H:$H,$E:$E=F230))"),"#N/A")</f>
        <v>#N/A</v>
      </c>
    </row>
    <row r="231">
      <c r="A231" s="4"/>
      <c r="C231" s="4" t="s">
        <v>386</v>
      </c>
      <c r="D231" s="4" t="str">
        <f t="shared" si="1"/>
        <v>{"valorA":"usar","valorB":4.0}</v>
      </c>
      <c r="E231" s="8" t="str">
        <f t="shared" si="2"/>
        <v>usar</v>
      </c>
      <c r="F231" s="8"/>
      <c r="G231" s="8" t="str">
        <f t="shared" si="3"/>
        <v>4.0</v>
      </c>
      <c r="H231" s="9">
        <f t="shared" si="4"/>
        <v>4</v>
      </c>
      <c r="I231" s="6" t="str">
        <f>IFERROR(__xludf.DUMMYFUNCTION("MAX(FILTER($H:$H,$E:$E=F231))"),"#N/A")</f>
        <v>#N/A</v>
      </c>
    </row>
    <row r="232">
      <c r="A232" s="4"/>
      <c r="C232" s="4" t="s">
        <v>309</v>
      </c>
      <c r="D232" s="4" t="str">
        <f t="shared" si="1"/>
        <v>{"valorA":"incrível","valorB":2.0}</v>
      </c>
      <c r="E232" s="8" t="str">
        <f t="shared" si="2"/>
        <v>incrível</v>
      </c>
      <c r="F232" s="8"/>
      <c r="G232" s="8" t="str">
        <f t="shared" si="3"/>
        <v>2.0</v>
      </c>
      <c r="H232" s="9">
        <f t="shared" si="4"/>
        <v>2</v>
      </c>
      <c r="I232" s="6" t="str">
        <f>IFERROR(__xludf.DUMMYFUNCTION("MAX(FILTER($H:$H,$E:$E=F232))"),"#N/A")</f>
        <v>#N/A</v>
      </c>
    </row>
    <row r="233">
      <c r="A233" s="4"/>
      <c r="C233" s="4" t="s">
        <v>753</v>
      </c>
      <c r="D233" s="4" t="str">
        <f t="shared" si="1"/>
        <v>{"valorA":"e","valorB":12.0}</v>
      </c>
      <c r="E233" s="8" t="str">
        <f t="shared" si="2"/>
        <v>e</v>
      </c>
      <c r="F233" s="8"/>
      <c r="G233" s="8" t="str">
        <f t="shared" si="3"/>
        <v>12.0</v>
      </c>
      <c r="H233" s="9">
        <f t="shared" si="4"/>
        <v>12</v>
      </c>
      <c r="I233" s="6" t="str">
        <f>IFERROR(__xludf.DUMMYFUNCTION("MAX(FILTER($H:$H,$E:$E=F233))"),"#N/A")</f>
        <v>#N/A</v>
      </c>
    </row>
    <row r="234">
      <c r="A234" s="4"/>
      <c r="C234" s="4" t="s">
        <v>389</v>
      </c>
      <c r="D234" s="4" t="str">
        <f t="shared" si="1"/>
        <v>{"valorA":"de","valorB":8.0}</v>
      </c>
      <c r="E234" s="8" t="str">
        <f t="shared" si="2"/>
        <v>de</v>
      </c>
      <c r="F234" s="8"/>
      <c r="G234" s="8" t="str">
        <f t="shared" si="3"/>
        <v>8.0</v>
      </c>
      <c r="H234" s="9">
        <f t="shared" si="4"/>
        <v>8</v>
      </c>
      <c r="I234" s="6" t="str">
        <f>IFERROR(__xludf.DUMMYFUNCTION("MAX(FILTER($H:$H,$E:$E=F234))"),"#N/A")</f>
        <v>#N/A</v>
      </c>
    </row>
    <row r="235">
      <c r="A235" s="4"/>
      <c r="C235" s="4" t="s">
        <v>9429</v>
      </c>
      <c r="D235" s="4" t="str">
        <f t="shared" si="1"/>
        <v>{"valorA":"bateria","valorB":2.0}</v>
      </c>
      <c r="E235" s="8" t="str">
        <f t="shared" si="2"/>
        <v>bateria</v>
      </c>
      <c r="F235" s="8"/>
      <c r="G235" s="8" t="str">
        <f t="shared" si="3"/>
        <v>2.0</v>
      </c>
      <c r="H235" s="9">
        <f t="shared" si="4"/>
        <v>2</v>
      </c>
      <c r="I235" s="6" t="str">
        <f>IFERROR(__xludf.DUMMYFUNCTION("MAX(FILTER($H:$H,$E:$E=F235))"),"#N/A")</f>
        <v>#N/A</v>
      </c>
    </row>
    <row r="236">
      <c r="A236" s="4"/>
      <c r="C236" s="4" t="s">
        <v>9430</v>
      </c>
      <c r="D236" s="4" t="str">
        <f t="shared" si="1"/>
        <v>{"valorA":"uma","valorB":7.0}</v>
      </c>
      <c r="E236" s="8" t="str">
        <f t="shared" si="2"/>
        <v>uma</v>
      </c>
      <c r="F236" s="8"/>
      <c r="G236" s="8" t="str">
        <f t="shared" si="3"/>
        <v>7.0</v>
      </c>
      <c r="H236" s="9">
        <f t="shared" si="4"/>
        <v>7</v>
      </c>
      <c r="I236" s="6" t="str">
        <f>IFERROR(__xludf.DUMMYFUNCTION("MAX(FILTER($H:$H,$E:$E=F236))"),"#N/A")</f>
        <v>#N/A</v>
      </c>
    </row>
    <row r="237">
      <c r="A237" s="4"/>
      <c r="C237" s="4" t="s">
        <v>712</v>
      </c>
      <c r="D237" s="4" t="str">
        <f t="shared" si="1"/>
        <v>{"valorA":"ótimo","valorB":26.0}</v>
      </c>
      <c r="E237" s="8" t="str">
        <f t="shared" si="2"/>
        <v>ótimo</v>
      </c>
      <c r="F237" s="8"/>
      <c r="G237" s="8" t="str">
        <f t="shared" si="3"/>
        <v>26.0</v>
      </c>
      <c r="H237" s="9">
        <f t="shared" si="4"/>
        <v>26</v>
      </c>
      <c r="I237" s="6" t="str">
        <f>IFERROR(__xludf.DUMMYFUNCTION("MAX(FILTER($H:$H,$E:$E=F237))"),"#N/A")</f>
        <v>#N/A</v>
      </c>
    </row>
    <row r="238">
      <c r="A238" s="4"/>
      <c r="C238" s="4" t="s">
        <v>755</v>
      </c>
      <c r="D238" s="4" t="str">
        <f t="shared" si="1"/>
        <v>{"valorA":"fácil","valorB":6.0}</v>
      </c>
      <c r="E238" s="8" t="str">
        <f t="shared" si="2"/>
        <v>fácil</v>
      </c>
      <c r="F238" s="8"/>
      <c r="G238" s="8" t="str">
        <f t="shared" si="3"/>
        <v>6.0</v>
      </c>
      <c r="H238" s="9">
        <f t="shared" si="4"/>
        <v>6</v>
      </c>
      <c r="I238" s="6" t="str">
        <f>IFERROR(__xludf.DUMMYFUNCTION("MAX(FILTER($H:$H,$E:$E=F238))"),"#N/A")</f>
        <v>#N/A</v>
      </c>
    </row>
    <row r="239">
      <c r="A239" s="4"/>
      <c r="C239" s="4" t="s">
        <v>757</v>
      </c>
      <c r="D239" s="4" t="str">
        <f t="shared" si="1"/>
        <v>{"valorA":"para","valorB":13.0}</v>
      </c>
      <c r="E239" s="8" t="str">
        <f t="shared" si="2"/>
        <v>para</v>
      </c>
      <c r="F239" s="8"/>
      <c r="G239" s="8" t="str">
        <f t="shared" si="3"/>
        <v>13.0</v>
      </c>
      <c r="H239" s="9">
        <f t="shared" si="4"/>
        <v>13</v>
      </c>
      <c r="I239" s="6" t="str">
        <f>IFERROR(__xludf.DUMMYFUNCTION("MAX(FILTER($H:$H,$E:$E=F239))"),"#N/A")</f>
        <v>#N/A</v>
      </c>
    </row>
    <row r="240">
      <c r="A240" s="4"/>
      <c r="C240" s="4" t="s">
        <v>470</v>
      </c>
      <c r="D240" s="4" t="str">
        <f t="shared" si="1"/>
        <v>{"valorA":"comprei","valorB":2.0}</v>
      </c>
      <c r="E240" s="8" t="str">
        <f t="shared" si="2"/>
        <v>comprei</v>
      </c>
      <c r="F240" s="8"/>
      <c r="G240" s="8" t="str">
        <f t="shared" si="3"/>
        <v>2.0</v>
      </c>
      <c r="H240" s="9">
        <f t="shared" si="4"/>
        <v>2</v>
      </c>
      <c r="I240" s="6" t="str">
        <f>IFERROR(__xludf.DUMMYFUNCTION("MAX(FILTER($H:$H,$E:$E=F240))"),"#N/A")</f>
        <v>#N/A</v>
      </c>
    </row>
    <row r="241">
      <c r="A241" s="4"/>
      <c r="C241" s="4" t="s">
        <v>4510</v>
      </c>
      <c r="D241" s="4" t="str">
        <f t="shared" si="1"/>
        <v>{"valorA":"mim","valorB":1.0}</v>
      </c>
      <c r="E241" s="8" t="str">
        <f t="shared" si="2"/>
        <v>mim</v>
      </c>
      <c r="F241" s="8"/>
      <c r="G241" s="8" t="str">
        <f t="shared" si="3"/>
        <v>1.0</v>
      </c>
      <c r="H241" s="9">
        <f t="shared" si="4"/>
        <v>1</v>
      </c>
      <c r="I241" s="6" t="str">
        <f>IFERROR(__xludf.DUMMYFUNCTION("MAX(FILTER($H:$H,$E:$E=F241))"),"#N/A")</f>
        <v>#N/A</v>
      </c>
    </row>
    <row r="242">
      <c r="A242" s="4"/>
      <c r="C242" s="4" t="s">
        <v>9431</v>
      </c>
      <c r="D242" s="4" t="str">
        <f t="shared" si="1"/>
        <v>{"valorA":"mulher","valorB":1.0}</v>
      </c>
      <c r="E242" s="8" t="str">
        <f t="shared" si="2"/>
        <v>mulher</v>
      </c>
      <c r="F242" s="8"/>
      <c r="G242" s="8" t="str">
        <f t="shared" si="3"/>
        <v>1.0</v>
      </c>
      <c r="H242" s="9">
        <f t="shared" si="4"/>
        <v>1</v>
      </c>
      <c r="I242" s="6" t="str">
        <f>IFERROR(__xludf.DUMMYFUNCTION("MAX(FILTER($H:$H,$E:$E=F242))"),"#N/A")</f>
        <v>#N/A</v>
      </c>
    </row>
    <row r="243">
      <c r="A243" s="4"/>
      <c r="C243" s="4" t="s">
        <v>787</v>
      </c>
      <c r="D243" s="4" t="str">
        <f t="shared" si="1"/>
        <v>{"valorA":"e","valorB":14.0}</v>
      </c>
      <c r="E243" s="8" t="str">
        <f t="shared" si="2"/>
        <v>e</v>
      </c>
      <c r="F243" s="8"/>
      <c r="G243" s="8" t="str">
        <f t="shared" si="3"/>
        <v>14.0</v>
      </c>
      <c r="H243" s="9">
        <f t="shared" si="4"/>
        <v>14</v>
      </c>
      <c r="I243" s="6" t="str">
        <f>IFERROR(__xludf.DUMMYFUNCTION("MAX(FILTER($H:$H,$E:$E=F243))"),"#N/A")</f>
        <v>#N/A</v>
      </c>
    </row>
    <row r="244">
      <c r="A244" s="4"/>
      <c r="C244" s="4" t="s">
        <v>9432</v>
      </c>
      <c r="D244" s="4" t="str">
        <f t="shared" si="1"/>
        <v>{"valorA":"amamos","valorB":1.0}</v>
      </c>
      <c r="E244" s="8" t="str">
        <f t="shared" si="2"/>
        <v>amamos</v>
      </c>
      <c r="F244" s="8"/>
      <c r="G244" s="8" t="str">
        <f t="shared" si="3"/>
        <v>1.0</v>
      </c>
      <c r="H244" s="9">
        <f t="shared" si="4"/>
        <v>1</v>
      </c>
      <c r="I244" s="6" t="str">
        <f>IFERROR(__xludf.DUMMYFUNCTION("MAX(FILTER($H:$H,$E:$E=F244))"),"#N/A")</f>
        <v>#N/A</v>
      </c>
    </row>
    <row r="245">
      <c r="A245" s="4"/>
      <c r="C245" s="4" t="s">
        <v>334</v>
      </c>
      <c r="D245" s="4" t="str">
        <f t="shared" si="1"/>
        <v>{"valorA":"produto","valorB":17.0}</v>
      </c>
      <c r="E245" s="8" t="str">
        <f t="shared" si="2"/>
        <v>produto</v>
      </c>
      <c r="F245" s="8"/>
      <c r="G245" s="8" t="str">
        <f t="shared" si="3"/>
        <v>17.0</v>
      </c>
      <c r="H245" s="9">
        <f t="shared" si="4"/>
        <v>17</v>
      </c>
      <c r="I245" s="6" t="str">
        <f>IFERROR(__xludf.DUMMYFUNCTION("MAX(FILTER($H:$H,$E:$E=F245))"),"#N/A")</f>
        <v>#N/A</v>
      </c>
    </row>
    <row r="246">
      <c r="A246" s="4"/>
      <c r="C246" s="4" t="s">
        <v>355</v>
      </c>
      <c r="D246" s="4" t="str">
        <f t="shared" si="1"/>
        <v>{"valorA":"ótimo","valorB":27.0}</v>
      </c>
      <c r="E246" s="8" t="str">
        <f t="shared" si="2"/>
        <v>ótimo</v>
      </c>
      <c r="F246" s="8"/>
      <c r="G246" s="8" t="str">
        <f t="shared" si="3"/>
        <v>27.0</v>
      </c>
      <c r="H246" s="9">
        <f t="shared" si="4"/>
        <v>27</v>
      </c>
      <c r="I246" s="6" t="str">
        <f>IFERROR(__xludf.DUMMYFUNCTION("MAX(FILTER($H:$H,$E:$E=F246))"),"#N/A")</f>
        <v>#N/A</v>
      </c>
    </row>
    <row r="247">
      <c r="A247" s="4"/>
      <c r="C247" s="4" t="s">
        <v>9433</v>
      </c>
      <c r="D247" s="4" t="str">
        <f t="shared" si="1"/>
        <v>{"valorA":"ambos","valorB":1.0}</v>
      </c>
      <c r="E247" s="8" t="str">
        <f t="shared" si="2"/>
        <v>ambos</v>
      </c>
      <c r="F247" s="8"/>
      <c r="G247" s="8" t="str">
        <f t="shared" si="3"/>
        <v>1.0</v>
      </c>
      <c r="H247" s="9">
        <f t="shared" si="4"/>
        <v>1</v>
      </c>
      <c r="I247" s="6" t="str">
        <f>IFERROR(__xludf.DUMMYFUNCTION("MAX(FILTER($H:$H,$E:$E=F247))"),"#N/A")</f>
        <v>#N/A</v>
      </c>
    </row>
    <row r="248">
      <c r="A248" s="4"/>
      <c r="C248" s="4" t="s">
        <v>265</v>
      </c>
      <c r="D248" s="4" t="str">
        <f t="shared" si="1"/>
        <v>{"valorA":"minha","valorB":1.0}</v>
      </c>
      <c r="E248" s="8" t="str">
        <f t="shared" si="2"/>
        <v>minha</v>
      </c>
      <c r="F248" s="8"/>
      <c r="G248" s="8" t="str">
        <f t="shared" si="3"/>
        <v>1.0</v>
      </c>
      <c r="H248" s="9">
        <f t="shared" si="4"/>
        <v>1</v>
      </c>
      <c r="I248" s="6" t="str">
        <f>IFERROR(__xludf.DUMMYFUNCTION("MAX(FILTER($H:$H,$E:$E=F248))"),"#N/A")</f>
        <v>#N/A</v>
      </c>
    </row>
    <row r="249">
      <c r="A249" s="4"/>
      <c r="C249" s="4" t="s">
        <v>1022</v>
      </c>
      <c r="D249" s="4" t="str">
        <f t="shared" si="1"/>
        <v>{"valorA":"com","valorB":5.0}</v>
      </c>
      <c r="E249" s="8" t="str">
        <f t="shared" si="2"/>
        <v>com</v>
      </c>
      <c r="F249" s="8"/>
      <c r="G249" s="8" t="str">
        <f t="shared" si="3"/>
        <v>5.0</v>
      </c>
      <c r="H249" s="9">
        <f t="shared" si="4"/>
        <v>5</v>
      </c>
      <c r="I249" s="6" t="str">
        <f>IFERROR(__xludf.DUMMYFUNCTION("MAX(FILTER($H:$H,$E:$E=F249))"),"#N/A")</f>
        <v>#N/A</v>
      </c>
    </row>
    <row r="250">
      <c r="A250" s="4"/>
      <c r="C250" s="4" t="s">
        <v>735</v>
      </c>
      <c r="D250" s="4" t="str">
        <f t="shared" si="1"/>
        <v>{"valorA":"fico","valorB":1.0}</v>
      </c>
      <c r="E250" s="8" t="str">
        <f t="shared" si="2"/>
        <v>fico</v>
      </c>
      <c r="F250" s="8"/>
      <c r="G250" s="8" t="str">
        <f t="shared" si="3"/>
        <v>1.0</v>
      </c>
      <c r="H250" s="9">
        <f t="shared" si="4"/>
        <v>1</v>
      </c>
      <c r="I250" s="6" t="str">
        <f>IFERROR(__xludf.DUMMYFUNCTION("MAX(FILTER($H:$H,$E:$E=F250))"),"#N/A")</f>
        <v>#N/A</v>
      </c>
    </row>
    <row r="251">
      <c r="A251" s="4"/>
      <c r="C251" s="4" t="s">
        <v>9434</v>
      </c>
      <c r="D251" s="4" t="str">
        <f t="shared" si="1"/>
        <v>{"valorA":"televisorótimo","valorB":1.0}</v>
      </c>
      <c r="E251" s="8" t="str">
        <f t="shared" si="2"/>
        <v>televisorótimo</v>
      </c>
      <c r="F251" s="8"/>
      <c r="G251" s="8" t="str">
        <f t="shared" si="3"/>
        <v>1.0</v>
      </c>
      <c r="H251" s="9">
        <f t="shared" si="4"/>
        <v>1</v>
      </c>
      <c r="I251" s="6" t="str">
        <f>IFERROR(__xludf.DUMMYFUNCTION("MAX(FILTER($H:$H,$E:$E=F251))"),"#N/A")</f>
        <v>#N/A</v>
      </c>
    </row>
    <row r="252">
      <c r="A252" s="4"/>
      <c r="C252" s="4" t="s">
        <v>602</v>
      </c>
      <c r="D252" s="4" t="str">
        <f t="shared" si="1"/>
        <v>{"valorA":"feliz","valorB":1.0}</v>
      </c>
      <c r="E252" s="8" t="str">
        <f t="shared" si="2"/>
        <v>feliz</v>
      </c>
      <c r="F252" s="8"/>
      <c r="G252" s="8" t="str">
        <f t="shared" si="3"/>
        <v>1.0</v>
      </c>
      <c r="H252" s="9">
        <f t="shared" si="4"/>
        <v>1</v>
      </c>
      <c r="I252" s="6" t="str">
        <f>IFERROR(__xludf.DUMMYFUNCTION("MAX(FILTER($H:$H,$E:$E=F252))"),"#N/A")</f>
        <v>#N/A</v>
      </c>
    </row>
    <row r="253">
      <c r="A253" s="4"/>
      <c r="C253" s="4" t="s">
        <v>719</v>
      </c>
      <c r="D253" s="4" t="str">
        <f t="shared" si="1"/>
        <v>{"valorA":"ótimo","valorB":28.0}</v>
      </c>
      <c r="E253" s="8" t="str">
        <f t="shared" si="2"/>
        <v>ótimo</v>
      </c>
      <c r="F253" s="8"/>
      <c r="G253" s="8" t="str">
        <f t="shared" si="3"/>
        <v>28.0</v>
      </c>
      <c r="H253" s="9">
        <f t="shared" si="4"/>
        <v>28</v>
      </c>
      <c r="I253" s="6" t="str">
        <f>IFERROR(__xludf.DUMMYFUNCTION("MAX(FILTER($H:$H,$E:$E=F253))"),"#N/A")</f>
        <v>#N/A</v>
      </c>
    </row>
    <row r="254">
      <c r="A254" s="4"/>
      <c r="C254" s="4" t="s">
        <v>263</v>
      </c>
      <c r="D254" s="4" t="str">
        <f t="shared" si="1"/>
        <v>{"valorA":"compra","valorB":1.0}</v>
      </c>
      <c r="E254" s="8" t="str">
        <f t="shared" si="2"/>
        <v>compra</v>
      </c>
      <c r="F254" s="8"/>
      <c r="G254" s="8" t="str">
        <f t="shared" si="3"/>
        <v>1.0</v>
      </c>
      <c r="H254" s="9">
        <f t="shared" si="4"/>
        <v>1</v>
      </c>
      <c r="I254" s="6" t="str">
        <f>IFERROR(__xludf.DUMMYFUNCTION("MAX(FILTER($H:$H,$E:$E=F254))"),"#N/A")</f>
        <v>#N/A</v>
      </c>
    </row>
    <row r="255">
      <c r="A255" s="4"/>
      <c r="C255" s="4" t="s">
        <v>342</v>
      </c>
      <c r="D255" s="4" t="str">
        <f t="shared" si="1"/>
        <v>{"valorA":"a","valorB":4.0}</v>
      </c>
      <c r="E255" s="8" t="str">
        <f t="shared" si="2"/>
        <v>a</v>
      </c>
      <c r="F255" s="8"/>
      <c r="G255" s="8" t="str">
        <f t="shared" si="3"/>
        <v>4.0</v>
      </c>
      <c r="H255" s="9">
        <f t="shared" si="4"/>
        <v>4</v>
      </c>
      <c r="I255" s="6" t="str">
        <f>IFERROR(__xludf.DUMMYFUNCTION("MAX(FILTER($H:$H,$E:$E=F255))"),"#N/A")</f>
        <v>#N/A</v>
      </c>
    </row>
    <row r="256">
      <c r="A256" s="4"/>
      <c r="C256" s="4" t="s">
        <v>624</v>
      </c>
      <c r="D256" s="4" t="str">
        <f t="shared" si="1"/>
        <v>{"valorA":"preço","valorB":6.0}</v>
      </c>
      <c r="E256" s="8" t="str">
        <f t="shared" si="2"/>
        <v>preço</v>
      </c>
      <c r="F256" s="8"/>
      <c r="G256" s="8" t="str">
        <f t="shared" si="3"/>
        <v>6.0</v>
      </c>
      <c r="H256" s="9">
        <f t="shared" si="4"/>
        <v>6</v>
      </c>
      <c r="I256" s="6" t="str">
        <f>IFERROR(__xludf.DUMMYFUNCTION("MAX(FILTER($H:$H,$E:$E=F256))"),"#N/A")</f>
        <v>#N/A</v>
      </c>
    </row>
    <row r="257">
      <c r="A257" s="4"/>
      <c r="C257" s="4" t="s">
        <v>727</v>
      </c>
      <c r="D257" s="4" t="str">
        <f t="shared" si="1"/>
        <v>{"valorA":"ótimo","valorB":29.0}</v>
      </c>
      <c r="E257" s="8" t="str">
        <f t="shared" si="2"/>
        <v>ótimo</v>
      </c>
      <c r="F257" s="8"/>
      <c r="G257" s="8" t="str">
        <f t="shared" si="3"/>
        <v>29.0</v>
      </c>
      <c r="H257" s="9">
        <f t="shared" si="4"/>
        <v>29</v>
      </c>
      <c r="I257" s="6" t="str">
        <f>IFERROR(__xludf.DUMMYFUNCTION("MAX(FILTER($H:$H,$E:$E=F257))"),"#N/A")</f>
        <v>#N/A</v>
      </c>
    </row>
    <row r="258">
      <c r="A258" s="4"/>
      <c r="C258" s="4" t="s">
        <v>9435</v>
      </c>
      <c r="D258" s="4" t="str">
        <f t="shared" si="1"/>
        <v>{"valorA":"brilho","valorB":3.0}</v>
      </c>
      <c r="E258" s="8" t="str">
        <f t="shared" si="2"/>
        <v>brilho</v>
      </c>
      <c r="F258" s="8"/>
      <c r="G258" s="8" t="str">
        <f t="shared" si="3"/>
        <v>3.0</v>
      </c>
      <c r="H258" s="9">
        <f t="shared" si="4"/>
        <v>3</v>
      </c>
      <c r="I258" s="6" t="str">
        <f>IFERROR(__xludf.DUMMYFUNCTION("MAX(FILTER($H:$H,$E:$E=F258))"),"#N/A")</f>
        <v>#N/A</v>
      </c>
    </row>
    <row r="259">
      <c r="A259" s="4"/>
      <c r="C259" s="4" t="s">
        <v>1081</v>
      </c>
      <c r="D259" s="4" t="str">
        <f t="shared" si="1"/>
        <v>{"valorA":"computador","valorB":1.0}</v>
      </c>
      <c r="E259" s="8" t="str">
        <f t="shared" si="2"/>
        <v>computador</v>
      </c>
      <c r="F259" s="8"/>
      <c r="G259" s="8" t="str">
        <f t="shared" si="3"/>
        <v>1.0</v>
      </c>
      <c r="H259" s="9">
        <f t="shared" si="4"/>
        <v>1</v>
      </c>
      <c r="I259" s="6" t="str">
        <f>IFERROR(__xludf.DUMMYFUNCTION("MAX(FILTER($H:$H,$E:$E=F259))"),"#N/A")</f>
        <v>#N/A</v>
      </c>
    </row>
    <row r="260">
      <c r="A260" s="4"/>
      <c r="C260" s="4" t="s">
        <v>679</v>
      </c>
      <c r="D260" s="4" t="str">
        <f t="shared" si="1"/>
        <v>{"valorA":"qualidade","valorB":6.0}</v>
      </c>
      <c r="E260" s="8" t="str">
        <f t="shared" si="2"/>
        <v>qualidade</v>
      </c>
      <c r="F260" s="8"/>
      <c r="G260" s="8" t="str">
        <f t="shared" si="3"/>
        <v>6.0</v>
      </c>
      <c r="H260" s="9">
        <f t="shared" si="4"/>
        <v>6</v>
      </c>
      <c r="I260" s="6" t="str">
        <f>IFERROR(__xludf.DUMMYFUNCTION("MAX(FILTER($H:$H,$E:$E=F260))"),"#N/A")</f>
        <v>#N/A</v>
      </c>
    </row>
    <row r="261">
      <c r="A261" s="4"/>
      <c r="C261" s="4" t="s">
        <v>1477</v>
      </c>
      <c r="D261" s="4" t="str">
        <f t="shared" si="1"/>
        <v>{"valorA":"tablet","valorB":4.0}</v>
      </c>
      <c r="E261" s="8" t="str">
        <f t="shared" si="2"/>
        <v>tablet</v>
      </c>
      <c r="F261" s="8"/>
      <c r="G261" s="8" t="str">
        <f t="shared" si="3"/>
        <v>4.0</v>
      </c>
      <c r="H261" s="9">
        <f t="shared" si="4"/>
        <v>4</v>
      </c>
      <c r="I261" s="6" t="str">
        <f>IFERROR(__xludf.DUMMYFUNCTION("MAX(FILTER($H:$H,$E:$E=F261))"),"#N/A")</f>
        <v>#N/A</v>
      </c>
    </row>
    <row r="262">
      <c r="A262" s="4"/>
      <c r="C262" s="4" t="s">
        <v>1397</v>
      </c>
      <c r="D262" s="4" t="str">
        <f t="shared" si="1"/>
        <v>{"valorA":"imagem","valorB":1.0}</v>
      </c>
      <c r="E262" s="8" t="str">
        <f t="shared" si="2"/>
        <v>imagem</v>
      </c>
      <c r="F262" s="8"/>
      <c r="G262" s="8" t="str">
        <f t="shared" si="3"/>
        <v>1.0</v>
      </c>
      <c r="H262" s="9">
        <f t="shared" si="4"/>
        <v>1</v>
      </c>
      <c r="I262" s="6" t="str">
        <f>IFERROR(__xludf.DUMMYFUNCTION("MAX(FILTER($H:$H,$E:$E=F262))"),"#N/A")</f>
        <v>#N/A</v>
      </c>
    </row>
    <row r="263">
      <c r="A263" s="4"/>
      <c r="C263" s="4" t="s">
        <v>861</v>
      </c>
      <c r="D263" s="4" t="str">
        <f t="shared" si="1"/>
        <v>{"valorA":"e","valorB":16.0}</v>
      </c>
      <c r="E263" s="8" t="str">
        <f t="shared" si="2"/>
        <v>e</v>
      </c>
      <c r="F263" s="8"/>
      <c r="G263" s="8" t="str">
        <f t="shared" si="3"/>
        <v>16.0</v>
      </c>
      <c r="H263" s="9">
        <f t="shared" si="4"/>
        <v>16</v>
      </c>
      <c r="I263" s="6" t="str">
        <f>IFERROR(__xludf.DUMMYFUNCTION("MAX(FILTER($H:$H,$E:$E=F263))"),"#N/A")</f>
        <v>#N/A</v>
      </c>
    </row>
    <row r="264">
      <c r="A264" s="4"/>
      <c r="C264" s="4" t="s">
        <v>427</v>
      </c>
      <c r="D264" s="4" t="str">
        <f t="shared" si="1"/>
        <v>{"valorA":"de","valorB":10.0}</v>
      </c>
      <c r="E264" s="8" t="str">
        <f t="shared" si="2"/>
        <v>de</v>
      </c>
      <c r="F264" s="8"/>
      <c r="G264" s="8" t="str">
        <f t="shared" si="3"/>
        <v>10.0</v>
      </c>
      <c r="H264" s="9">
        <f t="shared" si="4"/>
        <v>10</v>
      </c>
      <c r="I264" s="6" t="str">
        <f>IFERROR(__xludf.DUMMYFUNCTION("MAX(FILTER($H:$H,$E:$E=F264))"),"#N/A")</f>
        <v>#N/A</v>
      </c>
    </row>
    <row r="265">
      <c r="A265" s="4"/>
      <c r="C265" s="4" t="s">
        <v>9436</v>
      </c>
      <c r="D265" s="4" t="str">
        <f t="shared" si="1"/>
        <v>{"valorA":"monitor","valorB":3.0}</v>
      </c>
      <c r="E265" s="8" t="str">
        <f t="shared" si="2"/>
        <v>monitor</v>
      </c>
      <c r="F265" s="8"/>
      <c r="G265" s="8" t="str">
        <f t="shared" si="3"/>
        <v>3.0</v>
      </c>
      <c r="H265" s="9">
        <f t="shared" si="4"/>
        <v>3</v>
      </c>
      <c r="I265" s="6" t="str">
        <f>IFERROR(__xludf.DUMMYFUNCTION("MAX(FILTER($H:$H,$E:$E=F265))"),"#N/A")</f>
        <v>#N/A</v>
      </c>
    </row>
    <row r="266">
      <c r="A266" s="4"/>
      <c r="C266" s="4" t="s">
        <v>778</v>
      </c>
      <c r="D266" s="4" t="str">
        <f t="shared" si="1"/>
        <v>{"valorA":"tamanho","valorB":1.0}</v>
      </c>
      <c r="E266" s="8" t="str">
        <f t="shared" si="2"/>
        <v>tamanho</v>
      </c>
      <c r="F266" s="8"/>
      <c r="G266" s="8" t="str">
        <f t="shared" si="3"/>
        <v>1.0</v>
      </c>
      <c r="H266" s="9">
        <f t="shared" si="4"/>
        <v>1</v>
      </c>
      <c r="I266" s="6" t="str">
        <f>IFERROR(__xludf.DUMMYFUNCTION("MAX(FILTER($H:$H,$E:$E=F266))"),"#N/A")</f>
        <v>#N/A</v>
      </c>
    </row>
    <row r="267">
      <c r="A267" s="4"/>
      <c r="C267" s="4" t="s">
        <v>373</v>
      </c>
      <c r="D267" s="4" t="str">
        <f t="shared" si="1"/>
        <v>{"valorA":"gosto","valorB":2.0}</v>
      </c>
      <c r="E267" s="8" t="str">
        <f t="shared" si="2"/>
        <v>gosto</v>
      </c>
      <c r="F267" s="8"/>
      <c r="G267" s="8" t="str">
        <f t="shared" si="3"/>
        <v>2.0</v>
      </c>
      <c r="H267" s="9">
        <f t="shared" si="4"/>
        <v>2</v>
      </c>
      <c r="I267" s="6" t="str">
        <f>IFERROR(__xludf.DUMMYFUNCTION("MAX(FILTER($H:$H,$E:$E=F267))"),"#N/A")</f>
        <v>#N/A</v>
      </c>
    </row>
    <row r="268">
      <c r="A268" s="4"/>
      <c r="C268" s="4" t="s">
        <v>9437</v>
      </c>
      <c r="D268" s="4" t="str">
        <f t="shared" si="1"/>
        <v>{"valorA":"tela","valorB":2.0}</v>
      </c>
      <c r="E268" s="8" t="str">
        <f t="shared" si="2"/>
        <v>tela</v>
      </c>
      <c r="F268" s="8"/>
      <c r="G268" s="8" t="str">
        <f t="shared" si="3"/>
        <v>2.0</v>
      </c>
      <c r="H268" s="9">
        <f t="shared" si="4"/>
        <v>2</v>
      </c>
      <c r="I268" s="6" t="str">
        <f>IFERROR(__xludf.DUMMYFUNCTION("MAX(FILTER($H:$H,$E:$E=F268))"),"#N/A")</f>
        <v>#N/A</v>
      </c>
    </row>
    <row r="269">
      <c r="A269" s="4"/>
      <c r="C269" s="4" t="s">
        <v>843</v>
      </c>
      <c r="D269" s="4" t="str">
        <f t="shared" si="1"/>
        <v>{"valorA":"do","valorB":6.0}</v>
      </c>
      <c r="E269" s="8" t="str">
        <f t="shared" si="2"/>
        <v>do</v>
      </c>
      <c r="F269" s="8"/>
      <c r="G269" s="8" t="str">
        <f t="shared" si="3"/>
        <v>6.0</v>
      </c>
      <c r="H269" s="9">
        <f t="shared" si="4"/>
        <v>6</v>
      </c>
      <c r="I269" s="6" t="str">
        <f>IFERROR(__xludf.DUMMYFUNCTION("MAX(FILTER($H:$H,$E:$E=F269))"),"#N/A")</f>
        <v>#N/A</v>
      </c>
    </row>
    <row r="270">
      <c r="A270" s="4"/>
      <c r="C270" s="4" t="s">
        <v>429</v>
      </c>
      <c r="D270" s="4" t="str">
        <f t="shared" si="1"/>
        <v>{"valorA":"gostei","valorB":5.0}</v>
      </c>
      <c r="E270" s="8" t="str">
        <f t="shared" si="2"/>
        <v>gostei</v>
      </c>
      <c r="F270" s="8"/>
      <c r="G270" s="8" t="str">
        <f t="shared" si="3"/>
        <v>5.0</v>
      </c>
      <c r="H270" s="9">
        <f t="shared" si="4"/>
        <v>5</v>
      </c>
      <c r="I270" s="6" t="str">
        <f>IFERROR(__xludf.DUMMYFUNCTION("MAX(FILTER($H:$H,$E:$E=F270))"),"#N/A")</f>
        <v>#N/A</v>
      </c>
    </row>
    <row r="271">
      <c r="A271" s="4"/>
      <c r="C271" s="4" t="s">
        <v>376</v>
      </c>
      <c r="D271" s="4" t="str">
        <f t="shared" si="1"/>
        <v>{"valorA":"ótimo","valorB":30.0}</v>
      </c>
      <c r="E271" s="8" t="str">
        <f t="shared" si="2"/>
        <v>ótimo</v>
      </c>
      <c r="F271" s="8"/>
      <c r="G271" s="8" t="str">
        <f t="shared" si="3"/>
        <v>30.0</v>
      </c>
      <c r="H271" s="9">
        <f t="shared" si="4"/>
        <v>30</v>
      </c>
      <c r="I271" s="6" t="str">
        <f>IFERROR(__xludf.DUMMYFUNCTION("MAX(FILTER($H:$H,$E:$E=F271))"),"#N/A")</f>
        <v>#N/A</v>
      </c>
    </row>
    <row r="272">
      <c r="A272" s="4"/>
      <c r="C272" s="4" t="s">
        <v>319</v>
      </c>
      <c r="D272" s="4" t="str">
        <f t="shared" si="1"/>
        <v>{"valorA":"muito","valorB":9.0}</v>
      </c>
      <c r="E272" s="8" t="str">
        <f t="shared" si="2"/>
        <v>muito</v>
      </c>
      <c r="F272" s="8"/>
      <c r="G272" s="8" t="str">
        <f t="shared" si="3"/>
        <v>9.0</v>
      </c>
      <c r="H272" s="9">
        <f t="shared" si="4"/>
        <v>9</v>
      </c>
      <c r="I272" s="6" t="str">
        <f>IFERROR(__xludf.DUMMYFUNCTION("MAX(FILTER($H:$H,$E:$E=F272))"),"#N/A")</f>
        <v>#N/A</v>
      </c>
    </row>
    <row r="273">
      <c r="A273" s="4"/>
      <c r="C273" s="4" t="s">
        <v>5573</v>
      </c>
      <c r="D273" s="4" t="str">
        <f t="shared" si="1"/>
        <v>{"valorA":"da","valorB":4.0}</v>
      </c>
      <c r="E273" s="8" t="str">
        <f t="shared" si="2"/>
        <v>da</v>
      </c>
      <c r="F273" s="8"/>
      <c r="G273" s="8" t="str">
        <f t="shared" si="3"/>
        <v>4.0</v>
      </c>
      <c r="H273" s="9">
        <f t="shared" si="4"/>
        <v>4</v>
      </c>
      <c r="I273" s="6" t="str">
        <f>IFERROR(__xludf.DUMMYFUNCTION("MAX(FILTER($H:$H,$E:$E=F273))"),"#N/A")</f>
        <v>#N/A</v>
      </c>
    </row>
    <row r="274">
      <c r="A274" s="4"/>
      <c r="C274" s="4" t="s">
        <v>739</v>
      </c>
      <c r="D274" s="4" t="str">
        <f t="shared" si="1"/>
        <v>{"valorA":"ótimo","valorB":31.0}</v>
      </c>
      <c r="E274" s="8" t="str">
        <f t="shared" si="2"/>
        <v>ótimo</v>
      </c>
      <c r="F274" s="8"/>
      <c r="G274" s="8" t="str">
        <f t="shared" si="3"/>
        <v>31.0</v>
      </c>
      <c r="H274" s="9">
        <f t="shared" si="4"/>
        <v>31</v>
      </c>
      <c r="I274" s="6" t="str">
        <f>IFERROR(__xludf.DUMMYFUNCTION("MAX(FILTER($H:$H,$E:$E=F274))"),"#N/A")</f>
        <v>#N/A</v>
      </c>
    </row>
    <row r="275">
      <c r="A275" s="4"/>
      <c r="C275" s="4" t="s">
        <v>177</v>
      </c>
      <c r="D275" s="4" t="str">
        <f t="shared" si="1"/>
        <v>{"valorA":"é","valorB":1.0}</v>
      </c>
      <c r="E275" s="8" t="str">
        <f t="shared" si="2"/>
        <v>é</v>
      </c>
      <c r="F275" s="8"/>
      <c r="G275" s="8" t="str">
        <f t="shared" si="3"/>
        <v>1.0</v>
      </c>
      <c r="H275" s="9">
        <f t="shared" si="4"/>
        <v>1</v>
      </c>
      <c r="I275" s="6" t="str">
        <f>IFERROR(__xludf.DUMMYFUNCTION("MAX(FILTER($H:$H,$E:$E=F275))"),"#N/A")</f>
        <v>#N/A</v>
      </c>
    </row>
    <row r="276">
      <c r="A276" s="4"/>
      <c r="C276" s="4" t="s">
        <v>764</v>
      </c>
      <c r="D276" s="4" t="str">
        <f t="shared" si="1"/>
        <v>{"valorA":"valeu","valorB":5.0}</v>
      </c>
      <c r="E276" s="8" t="str">
        <f t="shared" si="2"/>
        <v>valeu</v>
      </c>
      <c r="F276" s="8"/>
      <c r="G276" s="8" t="str">
        <f t="shared" si="3"/>
        <v>5.0</v>
      </c>
      <c r="H276" s="9">
        <f t="shared" si="4"/>
        <v>5</v>
      </c>
      <c r="I276" s="6" t="str">
        <f>IFERROR(__xludf.DUMMYFUNCTION("MAX(FILTER($H:$H,$E:$E=F276))"),"#N/A")</f>
        <v>#N/A</v>
      </c>
    </row>
    <row r="277">
      <c r="A277" s="4"/>
      <c r="C277" s="4" t="s">
        <v>268</v>
      </c>
      <c r="D277" s="4" t="str">
        <f t="shared" si="1"/>
        <v>{"valorA":"bem","valorB":3.0}</v>
      </c>
      <c r="E277" s="8" t="str">
        <f t="shared" si="2"/>
        <v>bem</v>
      </c>
      <c r="F277" s="8"/>
      <c r="G277" s="8" t="str">
        <f t="shared" si="3"/>
        <v>3.0</v>
      </c>
      <c r="H277" s="9">
        <f t="shared" si="4"/>
        <v>3</v>
      </c>
      <c r="I277" s="6" t="str">
        <f>IFERROR(__xludf.DUMMYFUNCTION("MAX(FILTER($H:$H,$E:$E=F277))"),"#N/A")</f>
        <v>#N/A</v>
      </c>
    </row>
    <row r="278">
      <c r="A278" s="4"/>
      <c r="C278" s="4" t="s">
        <v>9438</v>
      </c>
      <c r="D278" s="4" t="str">
        <f t="shared" si="1"/>
        <v>{"valorA":"laptop","valorB":3.0}</v>
      </c>
      <c r="E278" s="8" t="str">
        <f t="shared" si="2"/>
        <v>laptop</v>
      </c>
      <c r="F278" s="8"/>
      <c r="G278" s="8" t="str">
        <f t="shared" si="3"/>
        <v>3.0</v>
      </c>
      <c r="H278" s="9">
        <f t="shared" si="4"/>
        <v>3</v>
      </c>
      <c r="I278" s="6" t="str">
        <f>IFERROR(__xludf.DUMMYFUNCTION("MAX(FILTER($H:$H,$E:$E=F278))"),"#N/A")</f>
        <v>#N/A</v>
      </c>
    </row>
    <row r="279">
      <c r="A279" s="4"/>
      <c r="C279" s="4" t="s">
        <v>4924</v>
      </c>
      <c r="D279" s="4" t="str">
        <f t="shared" si="1"/>
        <v>{"valorA":"e","valorB":17.0}</v>
      </c>
      <c r="E279" s="8" t="str">
        <f t="shared" si="2"/>
        <v>e</v>
      </c>
      <c r="F279" s="8"/>
      <c r="G279" s="8" t="str">
        <f t="shared" si="3"/>
        <v>17.0</v>
      </c>
      <c r="H279" s="9">
        <f t="shared" si="4"/>
        <v>17</v>
      </c>
      <c r="I279" s="6" t="str">
        <f>IFERROR(__xludf.DUMMYFUNCTION("MAX(FILTER($H:$H,$E:$E=F279))"),"#N/A")</f>
        <v>#N/A</v>
      </c>
    </row>
    <row r="280">
      <c r="A280" s="4"/>
      <c r="C280" s="4" t="s">
        <v>459</v>
      </c>
      <c r="D280" s="4" t="str">
        <f t="shared" si="1"/>
        <v>{"valorA":"gosto","valorB":3.0}</v>
      </c>
      <c r="E280" s="8" t="str">
        <f t="shared" si="2"/>
        <v>gosto</v>
      </c>
      <c r="F280" s="8"/>
      <c r="G280" s="8" t="str">
        <f t="shared" si="3"/>
        <v>3.0</v>
      </c>
      <c r="H280" s="9">
        <f t="shared" si="4"/>
        <v>3</v>
      </c>
      <c r="I280" s="6" t="str">
        <f>IFERROR(__xludf.DUMMYFUNCTION("MAX(FILTER($H:$H,$E:$E=F280))"),"#N/A")</f>
        <v>#N/A</v>
      </c>
    </row>
    <row r="281">
      <c r="A281" s="4"/>
      <c r="C281" s="4" t="s">
        <v>765</v>
      </c>
      <c r="D281" s="4" t="str">
        <f t="shared" si="1"/>
        <v>{"valorA":"espera","valorB":4.0}</v>
      </c>
      <c r="E281" s="8" t="str">
        <f t="shared" si="2"/>
        <v>espera</v>
      </c>
      <c r="F281" s="8"/>
      <c r="G281" s="8" t="str">
        <f t="shared" si="3"/>
        <v>4.0</v>
      </c>
      <c r="H281" s="9">
        <f t="shared" si="4"/>
        <v>4</v>
      </c>
      <c r="I281" s="6" t="str">
        <f>IFERROR(__xludf.DUMMYFUNCTION("MAX(FILTER($H:$H,$E:$E=F281))"),"#N/A")</f>
        <v>#N/A</v>
      </c>
    </row>
    <row r="282">
      <c r="A282" s="4"/>
      <c r="C282" s="4" t="s">
        <v>714</v>
      </c>
      <c r="D282" s="4" t="str">
        <f t="shared" si="1"/>
        <v>{"valorA":"produto","valorB":18.0}</v>
      </c>
      <c r="E282" s="8" t="str">
        <f t="shared" si="2"/>
        <v>produto</v>
      </c>
      <c r="F282" s="8"/>
      <c r="G282" s="8" t="str">
        <f t="shared" si="3"/>
        <v>18.0</v>
      </c>
      <c r="H282" s="9">
        <f t="shared" si="4"/>
        <v>18</v>
      </c>
      <c r="I282" s="6" t="str">
        <f>IFERROR(__xludf.DUMMYFUNCTION("MAX(FILTER($H:$H,$E:$E=F282))"),"#N/A")</f>
        <v>#N/A</v>
      </c>
    </row>
    <row r="283">
      <c r="A283" s="4"/>
      <c r="C283" s="4" t="s">
        <v>4506</v>
      </c>
      <c r="D283" s="4" t="str">
        <f t="shared" si="1"/>
        <v>{"valorA":"do","valorB":7.0}</v>
      </c>
      <c r="E283" s="8" t="str">
        <f t="shared" si="2"/>
        <v>do</v>
      </c>
      <c r="F283" s="8"/>
      <c r="G283" s="8" t="str">
        <f t="shared" si="3"/>
        <v>7.0</v>
      </c>
      <c r="H283" s="9">
        <f t="shared" si="4"/>
        <v>7</v>
      </c>
      <c r="I283" s="6" t="str">
        <f>IFERROR(__xludf.DUMMYFUNCTION("MAX(FILTER($H:$H,$E:$E=F283))"),"#N/A")</f>
        <v>#N/A</v>
      </c>
    </row>
    <row r="284">
      <c r="A284" s="4"/>
      <c r="C284" s="4" t="s">
        <v>1086</v>
      </c>
      <c r="D284" s="4" t="str">
        <f t="shared" si="1"/>
        <v>{"valorA":"leve","valorB":1.0}</v>
      </c>
      <c r="E284" s="8" t="str">
        <f t="shared" si="2"/>
        <v>leve</v>
      </c>
      <c r="F284" s="8"/>
      <c r="G284" s="8" t="str">
        <f t="shared" si="3"/>
        <v>1.0</v>
      </c>
      <c r="H284" s="9">
        <f t="shared" si="4"/>
        <v>1</v>
      </c>
      <c r="I284" s="6" t="str">
        <f>IFERROR(__xludf.DUMMYFUNCTION("MAX(FILTER($H:$H,$E:$E=F284))"),"#N/A")</f>
        <v>#N/A</v>
      </c>
    </row>
    <row r="285">
      <c r="A285" s="4"/>
      <c r="C285" s="4" t="s">
        <v>747</v>
      </c>
      <c r="D285" s="4" t="str">
        <f t="shared" si="1"/>
        <v>{"valorA":"ótimo","valorB":32.0}</v>
      </c>
      <c r="E285" s="8" t="str">
        <f t="shared" si="2"/>
        <v>ótimo</v>
      </c>
      <c r="F285" s="8"/>
      <c r="G285" s="8" t="str">
        <f t="shared" si="3"/>
        <v>32.0</v>
      </c>
      <c r="H285" s="9">
        <f t="shared" si="4"/>
        <v>32</v>
      </c>
      <c r="I285" s="6" t="str">
        <f>IFERROR(__xludf.DUMMYFUNCTION("MAX(FILTER($H:$H,$E:$E=F285))"),"#N/A")</f>
        <v>#N/A</v>
      </c>
    </row>
    <row r="286">
      <c r="A286" s="4"/>
      <c r="C286" s="4" t="s">
        <v>1430</v>
      </c>
      <c r="D286" s="4" t="str">
        <f t="shared" si="1"/>
        <v>{"valorA":"também","valorB":1.0}</v>
      </c>
      <c r="E286" s="8" t="str">
        <f t="shared" si="2"/>
        <v>também</v>
      </c>
      <c r="F286" s="8"/>
      <c r="G286" s="8" t="str">
        <f t="shared" si="3"/>
        <v>1.0</v>
      </c>
      <c r="H286" s="9">
        <f t="shared" si="4"/>
        <v>1</v>
      </c>
      <c r="I286" s="6" t="str">
        <f>IFERROR(__xludf.DUMMYFUNCTION("MAX(FILTER($H:$H,$E:$E=F286))"),"#N/A")</f>
        <v>#N/A</v>
      </c>
    </row>
    <row r="287">
      <c r="A287" s="4"/>
      <c r="C287" s="4" t="s">
        <v>358</v>
      </c>
      <c r="D287" s="4" t="str">
        <f t="shared" si="1"/>
        <v>{"valorA":"muito","valorB":11.0}</v>
      </c>
      <c r="E287" s="8" t="str">
        <f t="shared" si="2"/>
        <v>muito</v>
      </c>
      <c r="F287" s="8"/>
      <c r="G287" s="8" t="str">
        <f t="shared" si="3"/>
        <v>11.0</v>
      </c>
      <c r="H287" s="9">
        <f t="shared" si="4"/>
        <v>11</v>
      </c>
      <c r="I287" s="6" t="str">
        <f>IFERROR(__xludf.DUMMYFUNCTION("MAX(FILTER($H:$H,$E:$E=F287))"),"#N/A")</f>
        <v>#N/A</v>
      </c>
    </row>
    <row r="288">
      <c r="A288" s="4"/>
      <c r="C288" s="4" t="s">
        <v>452</v>
      </c>
      <c r="D288" s="4" t="str">
        <f t="shared" si="1"/>
        <v>{"valorA":"a","valorB":5.0}</v>
      </c>
      <c r="E288" s="8" t="str">
        <f t="shared" si="2"/>
        <v>a</v>
      </c>
      <c r="F288" s="8"/>
      <c r="G288" s="8" t="str">
        <f t="shared" si="3"/>
        <v>5.0</v>
      </c>
      <c r="H288" s="9">
        <f t="shared" si="4"/>
        <v>5</v>
      </c>
      <c r="I288" s="6" t="str">
        <f>IFERROR(__xludf.DUMMYFUNCTION("MAX(FILTER($H:$H,$E:$E=F288))"),"#N/A")</f>
        <v>#N/A</v>
      </c>
    </row>
    <row r="289">
      <c r="A289" s="4"/>
      <c r="C289" s="4" t="s">
        <v>288</v>
      </c>
      <c r="D289" s="4" t="str">
        <f t="shared" si="1"/>
        <v>{"valorA":"funciona","valorB":4.0}</v>
      </c>
      <c r="E289" s="8" t="str">
        <f t="shared" si="2"/>
        <v>funciona</v>
      </c>
      <c r="F289" s="8"/>
      <c r="G289" s="8" t="str">
        <f t="shared" si="3"/>
        <v>4.0</v>
      </c>
      <c r="H289" s="9">
        <f t="shared" si="4"/>
        <v>4</v>
      </c>
      <c r="I289" s="6" t="str">
        <f>IFERROR(__xludf.DUMMYFUNCTION("MAX(FILTER($H:$H,$E:$E=F289))"),"#N/A")</f>
        <v>#N/A</v>
      </c>
    </row>
    <row r="290">
      <c r="A290" s="4"/>
      <c r="C290" s="4" t="s">
        <v>637</v>
      </c>
      <c r="D290" s="4" t="str">
        <f t="shared" si="1"/>
        <v>{"valorA":"preço","valorB":7.0}</v>
      </c>
      <c r="E290" s="8" t="str">
        <f t="shared" si="2"/>
        <v>preço</v>
      </c>
      <c r="F290" s="8"/>
      <c r="G290" s="8" t="str">
        <f t="shared" si="3"/>
        <v>7.0</v>
      </c>
      <c r="H290" s="9">
        <f t="shared" si="4"/>
        <v>7</v>
      </c>
      <c r="I290" s="6" t="str">
        <f>IFERROR(__xludf.DUMMYFUNCTION("MAX(FILTER($H:$H,$E:$E=F290))"),"#N/A")</f>
        <v>#N/A</v>
      </c>
    </row>
    <row r="291">
      <c r="A291" s="4"/>
      <c r="C291" s="4" t="s">
        <v>762</v>
      </c>
      <c r="D291" s="4" t="str">
        <f t="shared" si="1"/>
        <v>{"valorA":"ótimo","valorB":33.0}</v>
      </c>
      <c r="E291" s="8" t="str">
        <f t="shared" si="2"/>
        <v>ótimo</v>
      </c>
      <c r="F291" s="8"/>
      <c r="G291" s="8" t="str">
        <f t="shared" si="3"/>
        <v>33.0</v>
      </c>
      <c r="H291" s="9">
        <f t="shared" si="4"/>
        <v>33</v>
      </c>
      <c r="I291" s="6" t="str">
        <f>IFERROR(__xludf.DUMMYFUNCTION("MAX(FILTER($H:$H,$E:$E=F291))"),"#N/A")</f>
        <v>#N/A</v>
      </c>
    </row>
    <row r="292">
      <c r="A292" s="4"/>
      <c r="C292" s="4" t="s">
        <v>769</v>
      </c>
      <c r="D292" s="4" t="str">
        <f t="shared" si="1"/>
        <v>{"valorA":"para","valorB":14.0}</v>
      </c>
      <c r="E292" s="8" t="str">
        <f t="shared" si="2"/>
        <v>para</v>
      </c>
      <c r="F292" s="8"/>
      <c r="G292" s="8" t="str">
        <f t="shared" si="3"/>
        <v>14.0</v>
      </c>
      <c r="H292" s="9">
        <f t="shared" si="4"/>
        <v>14</v>
      </c>
      <c r="I292" s="6" t="str">
        <f>IFERROR(__xludf.DUMMYFUNCTION("MAX(FILTER($H:$H,$E:$E=F292))"),"#N/A")</f>
        <v>#N/A</v>
      </c>
    </row>
    <row r="293">
      <c r="A293" s="4"/>
      <c r="C293" s="4" t="s">
        <v>706</v>
      </c>
      <c r="D293" s="4" t="str">
        <f t="shared" si="1"/>
        <v>{"valorA":"qualidade","valorB":7.0}</v>
      </c>
      <c r="E293" s="8" t="str">
        <f t="shared" si="2"/>
        <v>qualidade</v>
      </c>
      <c r="F293" s="8"/>
      <c r="G293" s="8" t="str">
        <f t="shared" si="3"/>
        <v>7.0</v>
      </c>
      <c r="H293" s="9">
        <f t="shared" si="4"/>
        <v>7</v>
      </c>
      <c r="I293" s="6" t="str">
        <f>IFERROR(__xludf.DUMMYFUNCTION("MAX(FILTER($H:$H,$E:$E=F293))"),"#N/A")</f>
        <v>#N/A</v>
      </c>
    </row>
    <row r="294">
      <c r="A294" s="4"/>
      <c r="C294" s="4" t="s">
        <v>293</v>
      </c>
      <c r="D294" s="4" t="str">
        <f t="shared" si="1"/>
        <v>{"valorA":"bem","valorB":4.0}</v>
      </c>
      <c r="E294" s="8" t="str">
        <f t="shared" si="2"/>
        <v>bem</v>
      </c>
      <c r="F294" s="8"/>
      <c r="G294" s="8" t="str">
        <f t="shared" si="3"/>
        <v>4.0</v>
      </c>
      <c r="H294" s="9">
        <f t="shared" si="4"/>
        <v>4</v>
      </c>
      <c r="I294" s="6" t="str">
        <f>IFERROR(__xludf.DUMMYFUNCTION("MAX(FILTER($H:$H,$E:$E=F294))"),"#N/A")</f>
        <v>#N/A</v>
      </c>
    </row>
    <row r="295">
      <c r="A295" s="4"/>
      <c r="C295" s="4" t="s">
        <v>439</v>
      </c>
      <c r="D295" s="4" t="str">
        <f t="shared" si="1"/>
        <v>{"valorA":"usar","valorB":5.0}</v>
      </c>
      <c r="E295" s="8" t="str">
        <f t="shared" si="2"/>
        <v>usar</v>
      </c>
      <c r="F295" s="8"/>
      <c r="G295" s="8" t="str">
        <f t="shared" si="3"/>
        <v>5.0</v>
      </c>
      <c r="H295" s="9">
        <f t="shared" si="4"/>
        <v>5</v>
      </c>
      <c r="I295" s="6" t="str">
        <f>IFERROR(__xludf.DUMMYFUNCTION("MAX(FILTER($H:$H,$E:$E=F295))"),"#N/A")</f>
        <v>#N/A</v>
      </c>
    </row>
    <row r="296">
      <c r="A296" s="4"/>
      <c r="C296" s="4" t="s">
        <v>4944</v>
      </c>
      <c r="D296" s="4" t="str">
        <f t="shared" si="1"/>
        <v>{"valorA":"quem","valorB":8.0}</v>
      </c>
      <c r="E296" s="8" t="str">
        <f t="shared" si="2"/>
        <v>quem</v>
      </c>
      <c r="F296" s="8"/>
      <c r="G296" s="8" t="str">
        <f t="shared" si="3"/>
        <v>8.0</v>
      </c>
      <c r="H296" s="9">
        <f t="shared" si="4"/>
        <v>8</v>
      </c>
      <c r="I296" s="6" t="str">
        <f>IFERROR(__xludf.DUMMYFUNCTION("MAX(FILTER($H:$H,$E:$E=F296))"),"#N/A")</f>
        <v>#N/A</v>
      </c>
    </row>
    <row r="297">
      <c r="A297" s="4"/>
      <c r="C297" s="4" t="s">
        <v>4927</v>
      </c>
      <c r="D297" s="4" t="str">
        <f t="shared" si="1"/>
        <v>{"valorA":"e","valorB":18.0}</v>
      </c>
      <c r="E297" s="8" t="str">
        <f t="shared" si="2"/>
        <v>e</v>
      </c>
      <c r="F297" s="8"/>
      <c r="G297" s="8" t="str">
        <f t="shared" si="3"/>
        <v>18.0</v>
      </c>
      <c r="H297" s="9">
        <f t="shared" si="4"/>
        <v>18</v>
      </c>
      <c r="I297" s="6" t="str">
        <f>IFERROR(__xludf.DUMMYFUNCTION("MAX(FILTER($H:$H,$E:$E=F297))"),"#N/A")</f>
        <v>#N/A</v>
      </c>
    </row>
    <row r="298">
      <c r="A298" s="4"/>
      <c r="C298" s="4" t="s">
        <v>788</v>
      </c>
      <c r="D298" s="4" t="str">
        <f t="shared" si="1"/>
        <v>{"valorA":"de","valorB":12.0}</v>
      </c>
      <c r="E298" s="8" t="str">
        <f t="shared" si="2"/>
        <v>de</v>
      </c>
      <c r="F298" s="8"/>
      <c r="G298" s="8" t="str">
        <f t="shared" si="3"/>
        <v>12.0</v>
      </c>
      <c r="H298" s="9">
        <f t="shared" si="4"/>
        <v>12</v>
      </c>
      <c r="I298" s="6" t="str">
        <f>IFERROR(__xludf.DUMMYFUNCTION("MAX(FILTER($H:$H,$E:$E=F298))"),"#N/A")</f>
        <v>#N/A</v>
      </c>
    </row>
    <row r="299">
      <c r="A299" s="4"/>
      <c r="C299" s="4" t="s">
        <v>353</v>
      </c>
      <c r="D299" s="4" t="str">
        <f t="shared" si="1"/>
        <v>{"valorA":"produto","valorB":19.0}</v>
      </c>
      <c r="E299" s="8" t="str">
        <f t="shared" si="2"/>
        <v>produto</v>
      </c>
      <c r="F299" s="8"/>
      <c r="G299" s="8" t="str">
        <f t="shared" si="3"/>
        <v>19.0</v>
      </c>
      <c r="H299" s="9">
        <f t="shared" si="4"/>
        <v>19</v>
      </c>
      <c r="I299" s="6" t="str">
        <f>IFERROR(__xludf.DUMMYFUNCTION("MAX(FILTER($H:$H,$E:$E=F299))"),"#N/A")</f>
        <v>#N/A</v>
      </c>
    </row>
    <row r="300">
      <c r="A300" s="4"/>
      <c r="C300" s="4" t="s">
        <v>9439</v>
      </c>
      <c r="D300" s="4" t="str">
        <f t="shared" si="1"/>
        <v>{"valorA":"uma","valorB":8.0}</v>
      </c>
      <c r="E300" s="8" t="str">
        <f t="shared" si="2"/>
        <v>uma</v>
      </c>
      <c r="F300" s="8"/>
      <c r="G300" s="8" t="str">
        <f t="shared" si="3"/>
        <v>8.0</v>
      </c>
      <c r="H300" s="9">
        <f t="shared" si="4"/>
        <v>8</v>
      </c>
      <c r="I300" s="6" t="str">
        <f>IFERROR(__xludf.DUMMYFUNCTION("MAX(FILTER($H:$H,$E:$E=F300))"),"#N/A")</f>
        <v>#N/A</v>
      </c>
    </row>
    <row r="301">
      <c r="A301" s="4"/>
      <c r="C301" s="4" t="s">
        <v>789</v>
      </c>
      <c r="D301" s="4" t="str">
        <f t="shared" si="1"/>
        <v>{"valorA":"fácil","valorB":7.0}</v>
      </c>
      <c r="E301" s="8" t="str">
        <f t="shared" si="2"/>
        <v>fácil</v>
      </c>
      <c r="F301" s="8"/>
      <c r="G301" s="8" t="str">
        <f t="shared" si="3"/>
        <v>7.0</v>
      </c>
      <c r="H301" s="9">
        <f t="shared" si="4"/>
        <v>7</v>
      </c>
      <c r="I301" s="6" t="str">
        <f>IFERROR(__xludf.DUMMYFUNCTION("MAX(FILTER($H:$H,$E:$E=F301))"),"#N/A")</f>
        <v>#N/A</v>
      </c>
    </row>
    <row r="302">
      <c r="A302" s="4"/>
      <c r="C302" s="4" t="s">
        <v>446</v>
      </c>
      <c r="D302" s="4" t="str">
        <f t="shared" si="1"/>
        <v>{"valorA":"câmera","valorB":1.0}</v>
      </c>
      <c r="E302" s="8" t="str">
        <f t="shared" si="2"/>
        <v>câmera</v>
      </c>
      <c r="F302" s="8"/>
      <c r="G302" s="8" t="str">
        <f t="shared" si="3"/>
        <v>1.0</v>
      </c>
      <c r="H302" s="9">
        <f t="shared" si="4"/>
        <v>1</v>
      </c>
      <c r="I302" s="6" t="str">
        <f>IFERROR(__xludf.DUMMYFUNCTION("MAX(FILTER($H:$H,$E:$E=F302))"),"#N/A")</f>
        <v>#N/A</v>
      </c>
    </row>
    <row r="303">
      <c r="A303" s="4"/>
      <c r="C303" s="4" t="s">
        <v>377</v>
      </c>
      <c r="D303" s="4" t="str">
        <f t="shared" si="1"/>
        <v>{"valorA":"muito","valorB":12.0}</v>
      </c>
      <c r="E303" s="8" t="str">
        <f t="shared" si="2"/>
        <v>muito</v>
      </c>
      <c r="F303" s="8"/>
      <c r="G303" s="8" t="str">
        <f t="shared" si="3"/>
        <v>12.0</v>
      </c>
      <c r="H303" s="9">
        <f t="shared" si="4"/>
        <v>12</v>
      </c>
      <c r="I303" s="6" t="str">
        <f>IFERROR(__xludf.DUMMYFUNCTION("MAX(FILTER($H:$H,$E:$E=F303))"),"#N/A")</f>
        <v>#N/A</v>
      </c>
    </row>
    <row r="304">
      <c r="A304" s="4"/>
      <c r="C304" s="4" t="s">
        <v>303</v>
      </c>
      <c r="D304" s="4" t="str">
        <f t="shared" si="1"/>
        <v>{"valorA":"funciona","valorB":5.0}</v>
      </c>
      <c r="E304" s="8" t="str">
        <f t="shared" si="2"/>
        <v>funciona</v>
      </c>
      <c r="F304" s="8"/>
      <c r="G304" s="8" t="str">
        <f t="shared" si="3"/>
        <v>5.0</v>
      </c>
      <c r="H304" s="9">
        <f t="shared" si="4"/>
        <v>5</v>
      </c>
      <c r="I304" s="6" t="str">
        <f>IFERROR(__xludf.DUMMYFUNCTION("MAX(FILTER($H:$H,$E:$E=F304))"),"#N/A")</f>
        <v>#N/A</v>
      </c>
    </row>
    <row r="305">
      <c r="A305" s="4"/>
      <c r="C305" s="4" t="s">
        <v>9440</v>
      </c>
      <c r="D305" s="4" t="str">
        <f t="shared" si="1"/>
        <v>{"valorA":"busca","valorB":7.0}</v>
      </c>
      <c r="E305" s="8" t="str">
        <f t="shared" si="2"/>
        <v>busca</v>
      </c>
      <c r="F305" s="8"/>
      <c r="G305" s="8" t="str">
        <f t="shared" si="3"/>
        <v>7.0</v>
      </c>
      <c r="H305" s="9">
        <f t="shared" si="4"/>
        <v>7</v>
      </c>
      <c r="I305" s="6" t="str">
        <f>IFERROR(__xludf.DUMMYFUNCTION("MAX(FILTER($H:$H,$E:$E=F305))"),"#N/A")</f>
        <v>#N/A</v>
      </c>
    </row>
    <row r="306">
      <c r="A306" s="4"/>
      <c r="C306" s="4" t="s">
        <v>394</v>
      </c>
      <c r="D306" s="4" t="str">
        <f t="shared" si="1"/>
        <v>{"valorA":"ótimo","valorB":34.0}</v>
      </c>
      <c r="E306" s="8" t="str">
        <f t="shared" si="2"/>
        <v>ótimo</v>
      </c>
      <c r="F306" s="8"/>
      <c r="G306" s="8" t="str">
        <f t="shared" si="3"/>
        <v>34.0</v>
      </c>
      <c r="H306" s="9">
        <f t="shared" si="4"/>
        <v>34</v>
      </c>
      <c r="I306" s="6" t="str">
        <f>IFERROR(__xludf.DUMMYFUNCTION("MAX(FILTER($H:$H,$E:$E=F306))"),"#N/A")</f>
        <v>#N/A</v>
      </c>
    </row>
    <row r="307">
      <c r="A307" s="4"/>
      <c r="C307" s="4" t="s">
        <v>9441</v>
      </c>
      <c r="D307" s="4" t="str">
        <f t="shared" si="1"/>
        <v>{"valorA":"col","valorB":1.0}</v>
      </c>
      <c r="E307" s="8" t="str">
        <f t="shared" si="2"/>
        <v>col</v>
      </c>
      <c r="F307" s="8"/>
      <c r="G307" s="8" t="str">
        <f t="shared" si="3"/>
        <v>1.0</v>
      </c>
      <c r="H307" s="9">
        <f t="shared" si="4"/>
        <v>1</v>
      </c>
      <c r="I307" s="6" t="str">
        <f>IFERROR(__xludf.DUMMYFUNCTION("MAX(FILTER($H:$H,$E:$E=F307))"),"#N/A")</f>
        <v>#N/A</v>
      </c>
    </row>
    <row r="308">
      <c r="A308" s="4"/>
      <c r="C308" s="4" t="s">
        <v>751</v>
      </c>
      <c r="D308" s="4" t="str">
        <f t="shared" si="1"/>
        <v>{"valorA":"qualidade","valorB":8.0}</v>
      </c>
      <c r="E308" s="8" t="str">
        <f t="shared" si="2"/>
        <v>qualidade</v>
      </c>
      <c r="F308" s="8"/>
      <c r="G308" s="8" t="str">
        <f t="shared" si="3"/>
        <v>8.0</v>
      </c>
      <c r="H308" s="9">
        <f t="shared" si="4"/>
        <v>8</v>
      </c>
      <c r="I308" s="6" t="str">
        <f>IFERROR(__xludf.DUMMYFUNCTION("MAX(FILTER($H:$H,$E:$E=F308))"),"#N/A")</f>
        <v>#N/A</v>
      </c>
    </row>
    <row r="309">
      <c r="A309" s="4"/>
      <c r="C309" s="4" t="s">
        <v>1460</v>
      </c>
      <c r="D309" s="4" t="str">
        <f t="shared" si="1"/>
        <v>{"valorA":"computador","valorB":2.0}</v>
      </c>
      <c r="E309" s="8" t="str">
        <f t="shared" si="2"/>
        <v>computador</v>
      </c>
      <c r="F309" s="8"/>
      <c r="G309" s="8" t="str">
        <f t="shared" si="3"/>
        <v>2.0</v>
      </c>
      <c r="H309" s="9">
        <f t="shared" si="4"/>
        <v>2</v>
      </c>
      <c r="I309" s="6" t="str">
        <f>IFERROR(__xludf.DUMMYFUNCTION("MAX(FILTER($H:$H,$E:$E=F309))"),"#N/A")</f>
        <v>#N/A</v>
      </c>
    </row>
    <row r="310">
      <c r="A310" s="4"/>
      <c r="C310" s="4" t="s">
        <v>9442</v>
      </c>
      <c r="D310" s="4" t="str">
        <f t="shared" si="1"/>
        <v>{"valorA":"linguagem","valorB":1.0}</v>
      </c>
      <c r="E310" s="8" t="str">
        <f t="shared" si="2"/>
        <v>linguagem</v>
      </c>
      <c r="F310" s="8"/>
      <c r="G310" s="8" t="str">
        <f t="shared" si="3"/>
        <v>1.0</v>
      </c>
      <c r="H310" s="9">
        <f t="shared" si="4"/>
        <v>1</v>
      </c>
      <c r="I310" s="6" t="str">
        <f>IFERROR(__xludf.DUMMYFUNCTION("MAX(FILTER($H:$H,$E:$E=F310))"),"#N/A")</f>
        <v>#N/A</v>
      </c>
    </row>
    <row r="311">
      <c r="A311" s="4"/>
      <c r="C311" s="4" t="s">
        <v>9443</v>
      </c>
      <c r="D311" s="4" t="str">
        <f t="shared" si="1"/>
        <v>{"valorA":"resumo","valorB":1.0}</v>
      </c>
      <c r="E311" s="8" t="str">
        <f t="shared" si="2"/>
        <v>resumo</v>
      </c>
      <c r="F311" s="8"/>
      <c r="G311" s="8" t="str">
        <f t="shared" si="3"/>
        <v>1.0</v>
      </c>
      <c r="H311" s="9">
        <f t="shared" si="4"/>
        <v>1</v>
      </c>
      <c r="I311" s="6" t="str">
        <f>IFERROR(__xludf.DUMMYFUNCTION("MAX(FILTER($H:$H,$E:$E=F311))"),"#N/A")</f>
        <v>#N/A</v>
      </c>
    </row>
    <row r="312">
      <c r="A312" s="4"/>
      <c r="C312" s="4" t="s">
        <v>707</v>
      </c>
      <c r="D312" s="4" t="str">
        <f t="shared" si="1"/>
        <v>{"valorA":"meu","valorB":3.0}</v>
      </c>
      <c r="E312" s="8" t="str">
        <f t="shared" si="2"/>
        <v>meu</v>
      </c>
      <c r="F312" s="8"/>
      <c r="G312" s="8" t="str">
        <f t="shared" si="3"/>
        <v>3.0</v>
      </c>
      <c r="H312" s="9">
        <f t="shared" si="4"/>
        <v>3</v>
      </c>
      <c r="I312" s="6" t="str">
        <f>IFERROR(__xludf.DUMMYFUNCTION("MAX(FILTER($H:$H,$E:$E=F312))"),"#N/A")</f>
        <v>#N/A</v>
      </c>
    </row>
    <row r="313">
      <c r="A313" s="4"/>
      <c r="C313" s="4" t="s">
        <v>4930</v>
      </c>
      <c r="D313" s="4" t="str">
        <f t="shared" si="1"/>
        <v>{"valorA":"e","valorB":19.0}</v>
      </c>
      <c r="E313" s="8" t="str">
        <f t="shared" si="2"/>
        <v>e</v>
      </c>
      <c r="F313" s="8"/>
      <c r="G313" s="8" t="str">
        <f t="shared" si="3"/>
        <v>19.0</v>
      </c>
      <c r="H313" s="9">
        <f t="shared" si="4"/>
        <v>19</v>
      </c>
      <c r="I313" s="6" t="str">
        <f>IFERROR(__xludf.DUMMYFUNCTION("MAX(FILTER($H:$H,$E:$E=F313))"),"#N/A")</f>
        <v>#N/A</v>
      </c>
    </row>
    <row r="314">
      <c r="A314" s="4"/>
      <c r="C314" s="4" t="s">
        <v>832</v>
      </c>
      <c r="D314" s="4" t="str">
        <f t="shared" si="1"/>
        <v>{"valorA":"de","valorB":13.0}</v>
      </c>
      <c r="E314" s="8" t="str">
        <f t="shared" si="2"/>
        <v>de</v>
      </c>
      <c r="F314" s="8"/>
      <c r="G314" s="8" t="str">
        <f t="shared" si="3"/>
        <v>13.0</v>
      </c>
      <c r="H314" s="9">
        <f t="shared" si="4"/>
        <v>13</v>
      </c>
      <c r="I314" s="6" t="str">
        <f>IFERROR(__xludf.DUMMYFUNCTION("MAX(FILTER($H:$H,$E:$E=F314))"),"#N/A")</f>
        <v>#N/A</v>
      </c>
    </row>
    <row r="315">
      <c r="A315" s="4"/>
      <c r="C315" s="4" t="s">
        <v>9444</v>
      </c>
      <c r="D315" s="4" t="str">
        <f t="shared" si="1"/>
        <v>{"valorA":"monitor","valorB":4.0}</v>
      </c>
      <c r="E315" s="8" t="str">
        <f t="shared" si="2"/>
        <v>monitor</v>
      </c>
      <c r="F315" s="8"/>
      <c r="G315" s="8" t="str">
        <f t="shared" si="3"/>
        <v>4.0</v>
      </c>
      <c r="H315" s="9">
        <f t="shared" si="4"/>
        <v>4</v>
      </c>
      <c r="I315" s="6" t="str">
        <f>IFERROR(__xludf.DUMMYFUNCTION("MAX(FILTER($H:$H,$E:$E=F315))"),"#N/A")</f>
        <v>#N/A</v>
      </c>
    </row>
    <row r="316">
      <c r="A316" s="4"/>
      <c r="C316" s="4" t="s">
        <v>9445</v>
      </c>
      <c r="D316" s="4" t="str">
        <f t="shared" si="1"/>
        <v>{"valorA":"utilize","valorB":1.0}</v>
      </c>
      <c r="E316" s="8" t="str">
        <f t="shared" si="2"/>
        <v>utilize</v>
      </c>
      <c r="F316" s="8"/>
      <c r="G316" s="8" t="str">
        <f t="shared" si="3"/>
        <v>1.0</v>
      </c>
      <c r="H316" s="9">
        <f t="shared" si="4"/>
        <v>1</v>
      </c>
      <c r="I316" s="6" t="str">
        <f>IFERROR(__xludf.DUMMYFUNCTION("MAX(FILTER($H:$H,$E:$E=F316))"),"#N/A")</f>
        <v>#N/A</v>
      </c>
    </row>
    <row r="317">
      <c r="A317" s="4"/>
      <c r="C317" s="4" t="s">
        <v>9446</v>
      </c>
      <c r="D317" s="4" t="str">
        <f t="shared" si="1"/>
        <v>{"valorA":"do","valorB":8.0}</v>
      </c>
      <c r="E317" s="8" t="str">
        <f t="shared" si="2"/>
        <v>do</v>
      </c>
      <c r="F317" s="8"/>
      <c r="G317" s="8" t="str">
        <f t="shared" si="3"/>
        <v>8.0</v>
      </c>
      <c r="H317" s="9">
        <f t="shared" si="4"/>
        <v>8</v>
      </c>
      <c r="I317" s="6" t="str">
        <f>IFERROR(__xludf.DUMMYFUNCTION("MAX(FILTER($H:$H,$E:$E=F317))"),"#N/A")</f>
        <v>#N/A</v>
      </c>
    </row>
    <row r="318">
      <c r="A318" s="4"/>
      <c r="C318" s="4" t="s">
        <v>9447</v>
      </c>
      <c r="D318" s="4" t="str">
        <f t="shared" si="1"/>
        <v>{"valorA":"uma","valorB":9.0}</v>
      </c>
      <c r="E318" s="8" t="str">
        <f t="shared" si="2"/>
        <v>uma</v>
      </c>
      <c r="F318" s="8"/>
      <c r="G318" s="8" t="str">
        <f t="shared" si="3"/>
        <v>9.0</v>
      </c>
      <c r="H318" s="9">
        <f t="shared" si="4"/>
        <v>9</v>
      </c>
      <c r="I318" s="6" t="str">
        <f>IFERROR(__xludf.DUMMYFUNCTION("MAX(FILTER($H:$H,$E:$E=F318))"),"#N/A")</f>
        <v>#N/A</v>
      </c>
    </row>
    <row r="319">
      <c r="A319" s="4"/>
      <c r="C319" s="4" t="s">
        <v>654</v>
      </c>
      <c r="D319" s="4" t="str">
        <f t="shared" si="1"/>
        <v>{"valorA":"preço","valorB":8.0}</v>
      </c>
      <c r="E319" s="8" t="str">
        <f t="shared" si="2"/>
        <v>preço</v>
      </c>
      <c r="F319" s="8"/>
      <c r="G319" s="8" t="str">
        <f t="shared" si="3"/>
        <v>8.0</v>
      </c>
      <c r="H319" s="9">
        <f t="shared" si="4"/>
        <v>8</v>
      </c>
      <c r="I319" s="6" t="str">
        <f>IFERROR(__xludf.DUMMYFUNCTION("MAX(FILTER($H:$H,$E:$E=F319))"),"#N/A")</f>
        <v>#N/A</v>
      </c>
    </row>
    <row r="320">
      <c r="A320" s="4"/>
      <c r="C320" s="4" t="s">
        <v>768</v>
      </c>
      <c r="D320" s="4" t="str">
        <f t="shared" si="1"/>
        <v>{"valorA":"ótimo","valorB":35.0}</v>
      </c>
      <c r="E320" s="8" t="str">
        <f t="shared" si="2"/>
        <v>ótimo</v>
      </c>
      <c r="F320" s="8"/>
      <c r="G320" s="8" t="str">
        <f t="shared" si="3"/>
        <v>35.0</v>
      </c>
      <c r="H320" s="9">
        <f t="shared" si="4"/>
        <v>35</v>
      </c>
      <c r="I320" s="6" t="str">
        <f>IFERROR(__xludf.DUMMYFUNCTION("MAX(FILTER($H:$H,$E:$E=F320))"),"#N/A")</f>
        <v>#N/A</v>
      </c>
    </row>
    <row r="321">
      <c r="A321" s="4"/>
      <c r="C321" s="4" t="s">
        <v>197</v>
      </c>
      <c r="D321" s="4" t="str">
        <f t="shared" si="1"/>
        <v>{"valorA":"é","valorB":2.0}</v>
      </c>
      <c r="E321" s="8" t="str">
        <f t="shared" si="2"/>
        <v>é</v>
      </c>
      <c r="F321" s="8"/>
      <c r="G321" s="8" t="str">
        <f t="shared" si="3"/>
        <v>2.0</v>
      </c>
      <c r="H321" s="9">
        <f t="shared" si="4"/>
        <v>2</v>
      </c>
      <c r="I321" s="6" t="str">
        <f>IFERROR(__xludf.DUMMYFUNCTION("MAX(FILTER($H:$H,$E:$E=F321))"),"#N/A")</f>
        <v>#N/A</v>
      </c>
    </row>
    <row r="322">
      <c r="A322" s="4"/>
      <c r="C322" s="4" t="s">
        <v>836</v>
      </c>
      <c r="D322" s="4" t="str">
        <f t="shared" si="1"/>
        <v>{"valorA":"exemplos","valorB":1.0}</v>
      </c>
      <c r="E322" s="8" t="str">
        <f t="shared" si="2"/>
        <v>exemplos</v>
      </c>
      <c r="F322" s="8"/>
      <c r="G322" s="8" t="str">
        <f t="shared" si="3"/>
        <v>1.0</v>
      </c>
      <c r="H322" s="9">
        <f t="shared" si="4"/>
        <v>1</v>
      </c>
      <c r="I322" s="6" t="str">
        <f>IFERROR(__xludf.DUMMYFUNCTION("MAX(FILTER($H:$H,$E:$E=F322))"),"#N/A")</f>
        <v>#N/A</v>
      </c>
    </row>
    <row r="323">
      <c r="A323" s="4"/>
      <c r="C323" s="4" t="s">
        <v>1045</v>
      </c>
      <c r="D323" s="4" t="str">
        <f t="shared" si="1"/>
        <v>{"valorA":"com","valorB":6.0}</v>
      </c>
      <c r="E323" s="8" t="str">
        <f t="shared" si="2"/>
        <v>com</v>
      </c>
      <c r="F323" s="8"/>
      <c r="G323" s="8" t="str">
        <f t="shared" si="3"/>
        <v>6.0</v>
      </c>
      <c r="H323" s="9">
        <f t="shared" si="4"/>
        <v>6</v>
      </c>
      <c r="I323" s="6" t="str">
        <f>IFERROR(__xludf.DUMMYFUNCTION("MAX(FILTER($H:$H,$E:$E=F323))"),"#N/A")</f>
        <v>#N/A</v>
      </c>
    </row>
    <row r="324">
      <c r="A324" s="4"/>
      <c r="C324" s="4" t="s">
        <v>9448</v>
      </c>
      <c r="D324" s="4" t="str">
        <f t="shared" si="1"/>
        <v>{"valorA":"carregar","valorB":1.0}</v>
      </c>
      <c r="E324" s="8" t="str">
        <f t="shared" si="2"/>
        <v>carregar</v>
      </c>
      <c r="F324" s="8"/>
      <c r="G324" s="8" t="str">
        <f t="shared" si="3"/>
        <v>1.0</v>
      </c>
      <c r="H324" s="9">
        <f t="shared" si="4"/>
        <v>1</v>
      </c>
      <c r="I324" s="6" t="str">
        <f>IFERROR(__xludf.DUMMYFUNCTION("MAX(FILTER($H:$H,$E:$E=F324))"),"#N/A")</f>
        <v>#N/A</v>
      </c>
    </row>
    <row r="325">
      <c r="A325" s="4"/>
      <c r="C325" s="4" t="s">
        <v>369</v>
      </c>
      <c r="D325" s="4" t="str">
        <f t="shared" si="1"/>
        <v>{"valorA":"incrível","valorB":3.0}</v>
      </c>
      <c r="E325" s="8" t="str">
        <f t="shared" si="2"/>
        <v>incrível</v>
      </c>
      <c r="F325" s="8"/>
      <c r="G325" s="8" t="str">
        <f t="shared" si="3"/>
        <v>3.0</v>
      </c>
      <c r="H325" s="9">
        <f t="shared" si="4"/>
        <v>3</v>
      </c>
      <c r="I325" s="6" t="str">
        <f>IFERROR(__xludf.DUMMYFUNCTION("MAX(FILTER($H:$H,$E:$E=F325))"),"#N/A")</f>
        <v>#N/A</v>
      </c>
    </row>
    <row r="326">
      <c r="A326" s="4"/>
      <c r="C326" s="4" t="s">
        <v>9449</v>
      </c>
      <c r="D326" s="4" t="str">
        <f t="shared" si="1"/>
        <v>{"valorA":"laptop","valorB":4.0}</v>
      </c>
      <c r="E326" s="8" t="str">
        <f t="shared" si="2"/>
        <v>laptop</v>
      </c>
      <c r="F326" s="8"/>
      <c r="G326" s="8" t="str">
        <f t="shared" si="3"/>
        <v>4.0</v>
      </c>
      <c r="H326" s="9">
        <f t="shared" si="4"/>
        <v>4</v>
      </c>
      <c r="I326" s="6" t="str">
        <f>IFERROR(__xludf.DUMMYFUNCTION("MAX(FILTER($H:$H,$E:$E=F326))"),"#N/A")</f>
        <v>#N/A</v>
      </c>
    </row>
    <row r="327">
      <c r="A327" s="4"/>
      <c r="C327" s="4" t="s">
        <v>841</v>
      </c>
      <c r="D327" s="4" t="str">
        <f t="shared" si="1"/>
        <v>{"valorA":"de","valorB":14.0}</v>
      </c>
      <c r="E327" s="8" t="str">
        <f t="shared" si="2"/>
        <v>de</v>
      </c>
      <c r="F327" s="8"/>
      <c r="G327" s="8" t="str">
        <f t="shared" si="3"/>
        <v>14.0</v>
      </c>
      <c r="H327" s="9">
        <f t="shared" si="4"/>
        <v>14</v>
      </c>
      <c r="I327" s="6" t="str">
        <f>IFERROR(__xludf.DUMMYFUNCTION("MAX(FILTER($H:$H,$E:$E=F327))"),"#N/A")</f>
        <v>#N/A</v>
      </c>
    </row>
    <row r="328">
      <c r="A328" s="4"/>
      <c r="C328" s="4" t="s">
        <v>4937</v>
      </c>
      <c r="D328" s="4" t="str">
        <f t="shared" si="1"/>
        <v>{"valorA":"e","valorB":20.0}</v>
      </c>
      <c r="E328" s="8" t="str">
        <f t="shared" si="2"/>
        <v>e</v>
      </c>
      <c r="F328" s="8"/>
      <c r="G328" s="8" t="str">
        <f t="shared" si="3"/>
        <v>20.0</v>
      </c>
      <c r="H328" s="9">
        <f t="shared" si="4"/>
        <v>20</v>
      </c>
      <c r="I328" s="6" t="str">
        <f>IFERROR(__xludf.DUMMYFUNCTION("MAX(FILTER($H:$H,$E:$E=F328))"),"#N/A")</f>
        <v>#N/A</v>
      </c>
    </row>
    <row r="329">
      <c r="A329" s="4"/>
      <c r="C329" s="4" t="s">
        <v>811</v>
      </c>
      <c r="D329" s="4" t="str">
        <f t="shared" si="1"/>
        <v>{"valorA":"caro","valorB":2.0}</v>
      </c>
      <c r="E329" s="8" t="str">
        <f t="shared" si="2"/>
        <v>caro</v>
      </c>
      <c r="F329" s="8"/>
      <c r="G329" s="8" t="str">
        <f t="shared" si="3"/>
        <v>2.0</v>
      </c>
      <c r="H329" s="9">
        <f t="shared" si="4"/>
        <v>2</v>
      </c>
      <c r="I329" s="6" t="str">
        <f>IFERROR(__xludf.DUMMYFUNCTION("MAX(FILTER($H:$H,$E:$E=F329))"),"#N/A")</f>
        <v>#N/A</v>
      </c>
    </row>
    <row r="330">
      <c r="A330" s="4"/>
      <c r="C330" s="4" t="s">
        <v>9450</v>
      </c>
      <c r="D330" s="4" t="str">
        <f t="shared" si="1"/>
        <v>{"valorA":"nota","valorB":1.0}</v>
      </c>
      <c r="E330" s="8" t="str">
        <f t="shared" si="2"/>
        <v>nota</v>
      </c>
      <c r="F330" s="8"/>
      <c r="G330" s="8" t="str">
        <f t="shared" si="3"/>
        <v>1.0</v>
      </c>
      <c r="H330" s="9">
        <f t="shared" si="4"/>
        <v>1</v>
      </c>
      <c r="I330" s="6" t="str">
        <f>IFERROR(__xludf.DUMMYFUNCTION("MAX(FILTER($H:$H,$E:$E=F330))"),"#N/A")</f>
        <v>#N/A</v>
      </c>
    </row>
    <row r="331">
      <c r="A331" s="4"/>
      <c r="C331" s="4" t="s">
        <v>9451</v>
      </c>
      <c r="D331" s="4" t="str">
        <f t="shared" si="1"/>
        <v>{"valorA":"são","valorB":1.0}</v>
      </c>
      <c r="E331" s="8" t="str">
        <f t="shared" si="2"/>
        <v>são</v>
      </c>
      <c r="F331" s="8"/>
      <c r="G331" s="8" t="str">
        <f t="shared" si="3"/>
        <v>1.0</v>
      </c>
      <c r="H331" s="9">
        <f t="shared" si="4"/>
        <v>1</v>
      </c>
      <c r="I331" s="6" t="str">
        <f>IFERROR(__xludf.DUMMYFUNCTION("MAX(FILTER($H:$H,$E:$E=F331))"),"#N/A")</f>
        <v>#N/A</v>
      </c>
    </row>
    <row r="332">
      <c r="A332" s="4"/>
      <c r="C332" s="4" t="s">
        <v>723</v>
      </c>
      <c r="D332" s="4" t="str">
        <f t="shared" si="1"/>
        <v>{"valorA":"produto","valorB":20.0}</v>
      </c>
      <c r="E332" s="8" t="str">
        <f t="shared" si="2"/>
        <v>produto</v>
      </c>
      <c r="F332" s="8"/>
      <c r="G332" s="8" t="str">
        <f t="shared" si="3"/>
        <v>20.0</v>
      </c>
      <c r="H332" s="9">
        <f t="shared" si="4"/>
        <v>20</v>
      </c>
      <c r="I332" s="6" t="str">
        <f>IFERROR(__xludf.DUMMYFUNCTION("MAX(FILTER($H:$H,$E:$E=F332))"),"#N/A")</f>
        <v>#N/A</v>
      </c>
    </row>
    <row r="333">
      <c r="A333" s="4"/>
      <c r="C333" s="4" t="s">
        <v>414</v>
      </c>
      <c r="D333" s="4" t="str">
        <f t="shared" si="1"/>
        <v>{"valorA":"ótimo","valorB":36.0}</v>
      </c>
      <c r="E333" s="8" t="str">
        <f t="shared" si="2"/>
        <v>ótimo</v>
      </c>
      <c r="F333" s="8"/>
      <c r="G333" s="8" t="str">
        <f t="shared" si="3"/>
        <v>36.0</v>
      </c>
      <c r="H333" s="9">
        <f t="shared" si="4"/>
        <v>36</v>
      </c>
      <c r="I333" s="6" t="str">
        <f>IFERROR(__xludf.DUMMYFUNCTION("MAX(FILTER($H:$H,$E:$E=F333))"),"#N/A")</f>
        <v>#N/A</v>
      </c>
    </row>
    <row r="334">
      <c r="A334" s="4"/>
      <c r="C334" s="4" t="s">
        <v>848</v>
      </c>
      <c r="D334" s="4" t="str">
        <f t="shared" si="1"/>
        <v>{"valorA":"fácil","valorB":8.0}</v>
      </c>
      <c r="E334" s="8" t="str">
        <f t="shared" si="2"/>
        <v>fácil</v>
      </c>
      <c r="F334" s="8"/>
      <c r="G334" s="8" t="str">
        <f t="shared" si="3"/>
        <v>8.0</v>
      </c>
      <c r="H334" s="9">
        <f t="shared" si="4"/>
        <v>8</v>
      </c>
      <c r="I334" s="6" t="str">
        <f>IFERROR(__xludf.DUMMYFUNCTION("MAX(FILTER($H:$H,$E:$E=F334))"),"#N/A")</f>
        <v>#N/A</v>
      </c>
    </row>
    <row r="335">
      <c r="A335" s="4"/>
      <c r="C335" s="4" t="s">
        <v>578</v>
      </c>
      <c r="D335" s="4" t="str">
        <f t="shared" si="1"/>
        <v>{"valorA":"mas","valorB":2.0}</v>
      </c>
      <c r="E335" s="8" t="str">
        <f t="shared" si="2"/>
        <v>mas</v>
      </c>
      <c r="F335" s="8"/>
      <c r="G335" s="8" t="str">
        <f t="shared" si="3"/>
        <v>2.0</v>
      </c>
      <c r="H335" s="9">
        <f t="shared" si="4"/>
        <v>2</v>
      </c>
      <c r="I335" s="6" t="str">
        <f>IFERROR(__xludf.DUMMYFUNCTION("MAX(FILTER($H:$H,$E:$E=F335))"),"#N/A")</f>
        <v>#N/A</v>
      </c>
    </row>
    <row r="336">
      <c r="A336" s="4"/>
      <c r="C336" s="4" t="s">
        <v>829</v>
      </c>
      <c r="D336" s="4" t="str">
        <f t="shared" si="1"/>
        <v>{"valorA":"muito","valorB":13.0}</v>
      </c>
      <c r="E336" s="8" t="str">
        <f t="shared" si="2"/>
        <v>muito</v>
      </c>
      <c r="F336" s="8"/>
      <c r="G336" s="8" t="str">
        <f t="shared" si="3"/>
        <v>13.0</v>
      </c>
      <c r="H336" s="9">
        <f t="shared" si="4"/>
        <v>13</v>
      </c>
      <c r="I336" s="6" t="str">
        <f>IFERROR(__xludf.DUMMYFUNCTION("MAX(FILTER($H:$H,$E:$E=F336))"),"#N/A")</f>
        <v>#N/A</v>
      </c>
    </row>
    <row r="337">
      <c r="A337" s="4"/>
      <c r="C337" s="4" t="s">
        <v>9452</v>
      </c>
      <c r="D337" s="4" t="str">
        <f t="shared" si="1"/>
        <v>{"valorA":"apenas","valorB":1.0}</v>
      </c>
      <c r="E337" s="8" t="str">
        <f t="shared" si="2"/>
        <v>apenas</v>
      </c>
      <c r="F337" s="8"/>
      <c r="G337" s="8" t="str">
        <f t="shared" si="3"/>
        <v>1.0</v>
      </c>
      <c r="H337" s="9">
        <f t="shared" si="4"/>
        <v>1</v>
      </c>
      <c r="I337" s="6" t="str">
        <f>IFERROR(__xludf.DUMMYFUNCTION("MAX(FILTER($H:$H,$E:$E=F337))"),"#N/A")</f>
        <v>#N/A</v>
      </c>
    </row>
    <row r="338">
      <c r="A338" s="4"/>
      <c r="C338" s="4" t="s">
        <v>9453</v>
      </c>
      <c r="D338" s="4" t="str">
        <f t="shared" si="1"/>
        <v>{"valorA":"esses","valorB":1.0}</v>
      </c>
      <c r="E338" s="8" t="str">
        <f t="shared" si="2"/>
        <v>esses</v>
      </c>
      <c r="F338" s="8"/>
      <c r="G338" s="8" t="str">
        <f t="shared" si="3"/>
        <v>1.0</v>
      </c>
      <c r="H338" s="9">
        <f t="shared" si="4"/>
        <v>1</v>
      </c>
      <c r="I338" s="6" t="str">
        <f>IFERROR(__xludf.DUMMYFUNCTION("MAX(FILTER($H:$H,$E:$E=F338))"),"#N/A")</f>
        <v>#N/A</v>
      </c>
    </row>
    <row r="339">
      <c r="A339" s="4"/>
      <c r="C339" s="4" t="s">
        <v>401</v>
      </c>
      <c r="D339" s="4" t="str">
        <f t="shared" si="1"/>
        <v>{"valorA":"design","valorB":1.0}</v>
      </c>
      <c r="E339" s="8" t="str">
        <f t="shared" si="2"/>
        <v>design</v>
      </c>
      <c r="F339" s="8"/>
      <c r="G339" s="8" t="str">
        <f t="shared" si="3"/>
        <v>1.0</v>
      </c>
      <c r="H339" s="9">
        <f t="shared" si="4"/>
        <v>1</v>
      </c>
      <c r="I339" s="6" t="str">
        <f>IFERROR(__xludf.DUMMYFUNCTION("MAX(FILTER($H:$H,$E:$E=F339))"),"#N/A")</f>
        <v>#N/A</v>
      </c>
    </row>
    <row r="340">
      <c r="A340" s="4"/>
      <c r="C340" s="4" t="s">
        <v>718</v>
      </c>
      <c r="D340" s="4" t="str">
        <f t="shared" si="1"/>
        <v>{"valorA":"um","valorB":5.0}</v>
      </c>
      <c r="E340" s="8" t="str">
        <f t="shared" si="2"/>
        <v>um</v>
      </c>
      <c r="F340" s="8"/>
      <c r="G340" s="8" t="str">
        <f t="shared" si="3"/>
        <v>5.0</v>
      </c>
      <c r="H340" s="9">
        <f t="shared" si="4"/>
        <v>5</v>
      </c>
      <c r="I340" s="6" t="str">
        <f>IFERROR(__xludf.DUMMYFUNCTION("MAX(FILTER($H:$H,$E:$E=F340))"),"#N/A")</f>
        <v>#N/A</v>
      </c>
    </row>
    <row r="341">
      <c r="A341" s="4"/>
      <c r="C341" s="4" t="s">
        <v>784</v>
      </c>
      <c r="D341" s="4" t="str">
        <f t="shared" si="1"/>
        <v>{"valorA":"ótimo","valorB":37.0}</v>
      </c>
      <c r="E341" s="8" t="str">
        <f t="shared" si="2"/>
        <v>ótimo</v>
      </c>
      <c r="F341" s="8"/>
      <c r="G341" s="8" t="str">
        <f t="shared" si="3"/>
        <v>37.0</v>
      </c>
      <c r="H341" s="9">
        <f t="shared" si="4"/>
        <v>37</v>
      </c>
      <c r="I341" s="6" t="str">
        <f>IFERROR(__xludf.DUMMYFUNCTION("MAX(FILTER($H:$H,$E:$E=F341))"),"#N/A")</f>
        <v>#N/A</v>
      </c>
    </row>
    <row r="342">
      <c r="A342" s="4"/>
      <c r="C342" s="4" t="s">
        <v>4505</v>
      </c>
      <c r="D342" s="4" t="str">
        <f t="shared" si="1"/>
        <v>{"valorA":"preciso","valorB":2.0}</v>
      </c>
      <c r="E342" s="8" t="str">
        <f t="shared" si="2"/>
        <v>preciso</v>
      </c>
      <c r="F342" s="8"/>
      <c r="G342" s="8" t="str">
        <f t="shared" si="3"/>
        <v>2.0</v>
      </c>
      <c r="H342" s="9">
        <f t="shared" si="4"/>
        <v>2</v>
      </c>
      <c r="I342" s="6" t="str">
        <f>IFERROR(__xludf.DUMMYFUNCTION("MAX(FILTER($H:$H,$E:$E=F342))"),"#N/A")</f>
        <v>#N/A</v>
      </c>
    </row>
    <row r="343">
      <c r="A343" s="4"/>
      <c r="C343" s="4" t="s">
        <v>847</v>
      </c>
      <c r="D343" s="4" t="str">
        <f t="shared" si="1"/>
        <v>{"valorA":"de","valorB":15.0}</v>
      </c>
      <c r="E343" s="8" t="str">
        <f t="shared" si="2"/>
        <v>de</v>
      </c>
      <c r="F343" s="8"/>
      <c r="G343" s="8" t="str">
        <f t="shared" si="3"/>
        <v>15.0</v>
      </c>
      <c r="H343" s="9">
        <f t="shared" si="4"/>
        <v>15</v>
      </c>
      <c r="I343" s="6" t="str">
        <f>IFERROR(__xludf.DUMMYFUNCTION("MAX(FILTER($H:$H,$E:$E=F343))"),"#N/A")</f>
        <v>#N/A</v>
      </c>
    </row>
    <row r="344">
      <c r="A344" s="4"/>
      <c r="C344" s="4" t="s">
        <v>9454</v>
      </c>
      <c r="D344" s="4" t="str">
        <f t="shared" si="1"/>
        <v>{"valorA":"nada","valorB":1.0}</v>
      </c>
      <c r="E344" s="8" t="str">
        <f t="shared" si="2"/>
        <v>nada</v>
      </c>
      <c r="F344" s="8"/>
      <c r="G344" s="8" t="str">
        <f t="shared" si="3"/>
        <v>1.0</v>
      </c>
      <c r="H344" s="9">
        <f t="shared" si="4"/>
        <v>1</v>
      </c>
      <c r="I344" s="6" t="str">
        <f>IFERROR(__xludf.DUMMYFUNCTION("MAX(FILTER($H:$H,$E:$E=F344))"),"#N/A")</f>
        <v>#N/A</v>
      </c>
    </row>
    <row r="345">
      <c r="A345" s="4"/>
      <c r="C345" s="4" t="s">
        <v>375</v>
      </c>
      <c r="D345" s="4" t="str">
        <f t="shared" si="1"/>
        <v>{"valorA":"produto","valorB":21.0}</v>
      </c>
      <c r="E345" s="8" t="str">
        <f t="shared" si="2"/>
        <v>produto</v>
      </c>
      <c r="F345" s="8"/>
      <c r="G345" s="8" t="str">
        <f t="shared" si="3"/>
        <v>21.0</v>
      </c>
      <c r="H345" s="9">
        <f t="shared" si="4"/>
        <v>21</v>
      </c>
      <c r="I345" s="6" t="str">
        <f>IFERROR(__xludf.DUMMYFUNCTION("MAX(FILTER($H:$H,$E:$E=F345))"),"#N/A")</f>
        <v>#N/A</v>
      </c>
    </row>
    <row r="346">
      <c r="A346" s="4"/>
      <c r="C346" s="4" t="s">
        <v>9455</v>
      </c>
      <c r="D346" s="4" t="str">
        <f t="shared" si="1"/>
        <v>{"valorA":"do","valorB":9.0}</v>
      </c>
      <c r="E346" s="8" t="str">
        <f t="shared" si="2"/>
        <v>do</v>
      </c>
      <c r="F346" s="8"/>
      <c r="G346" s="8" t="str">
        <f t="shared" si="3"/>
        <v>9.0</v>
      </c>
      <c r="H346" s="9">
        <f t="shared" si="4"/>
        <v>9</v>
      </c>
      <c r="I346" s="6" t="str">
        <f>IFERROR(__xludf.DUMMYFUNCTION("MAX(FILTER($H:$H,$E:$E=F346))"),"#N/A")</f>
        <v>#N/A</v>
      </c>
    </row>
    <row r="347">
      <c r="A347" s="4"/>
      <c r="C347" s="4" t="s">
        <v>715</v>
      </c>
      <c r="D347" s="4" t="str">
        <f t="shared" si="1"/>
        <v>{"valorA":"gostei","valorB":6.0}</v>
      </c>
      <c r="E347" s="8" t="str">
        <f t="shared" si="2"/>
        <v>gostei</v>
      </c>
      <c r="F347" s="8"/>
      <c r="G347" s="8" t="str">
        <f t="shared" si="3"/>
        <v>6.0</v>
      </c>
      <c r="H347" s="9">
        <f t="shared" si="4"/>
        <v>6</v>
      </c>
      <c r="I347" s="6" t="str">
        <f>IFERROR(__xludf.DUMMYFUNCTION("MAX(FILTER($H:$H,$E:$E=F347))"),"#N/A")</f>
        <v>#N/A</v>
      </c>
    </row>
    <row r="348">
      <c r="A348" s="4"/>
      <c r="C348" s="4" t="s">
        <v>485</v>
      </c>
      <c r="D348" s="4" t="str">
        <f t="shared" si="1"/>
        <v>{"valorA":"mais","valorB":2.0}</v>
      </c>
      <c r="E348" s="8" t="str">
        <f t="shared" si="2"/>
        <v>mais</v>
      </c>
      <c r="F348" s="8"/>
      <c r="G348" s="8" t="str">
        <f t="shared" si="3"/>
        <v>2.0</v>
      </c>
      <c r="H348" s="9">
        <f t="shared" si="4"/>
        <v>2</v>
      </c>
      <c r="I348" s="6" t="str">
        <f>IFERROR(__xludf.DUMMYFUNCTION("MAX(FILTER($H:$H,$E:$E=F348))"),"#N/A")</f>
        <v>#N/A</v>
      </c>
    </row>
    <row r="349">
      <c r="A349" s="4"/>
      <c r="C349" s="4" t="s">
        <v>9456</v>
      </c>
      <c r="D349" s="4" t="str">
        <f t="shared" si="1"/>
        <v>{"valorA":"também","valorB":2.0}</v>
      </c>
      <c r="E349" s="8" t="str">
        <f t="shared" si="2"/>
        <v>também</v>
      </c>
      <c r="F349" s="8"/>
      <c r="G349" s="8" t="str">
        <f t="shared" si="3"/>
        <v>2.0</v>
      </c>
      <c r="H349" s="9">
        <f t="shared" si="4"/>
        <v>2</v>
      </c>
      <c r="I349" s="6" t="str">
        <f>IFERROR(__xludf.DUMMYFUNCTION("MAX(FILTER($H:$H,$E:$E=F349))"),"#N/A")</f>
        <v>#N/A</v>
      </c>
    </row>
    <row r="350">
      <c r="A350" s="4"/>
      <c r="C350" s="4" t="s">
        <v>397</v>
      </c>
      <c r="D350" s="4" t="str">
        <f t="shared" si="1"/>
        <v>{"valorA":"muito","valorB":14.0}</v>
      </c>
      <c r="E350" s="8" t="str">
        <f t="shared" si="2"/>
        <v>muito</v>
      </c>
      <c r="F350" s="8"/>
      <c r="G350" s="8" t="str">
        <f t="shared" si="3"/>
        <v>14.0</v>
      </c>
      <c r="H350" s="9">
        <f t="shared" si="4"/>
        <v>14</v>
      </c>
      <c r="I350" s="6" t="str">
        <f>IFERROR(__xludf.DUMMYFUNCTION("MAX(FILTER($H:$H,$E:$E=F350))"),"#N/A")</f>
        <v>#N/A</v>
      </c>
    </row>
    <row r="351">
      <c r="A351" s="4"/>
      <c r="C351" s="4" t="s">
        <v>597</v>
      </c>
      <c r="D351" s="4" t="str">
        <f t="shared" si="1"/>
        <v>{"valorA":"não","valorB":3.0}</v>
      </c>
      <c r="E351" s="8" t="str">
        <f t="shared" si="2"/>
        <v>não</v>
      </c>
      <c r="F351" s="8"/>
      <c r="G351" s="8" t="str">
        <f t="shared" si="3"/>
        <v>3.0</v>
      </c>
      <c r="H351" s="9">
        <f t="shared" si="4"/>
        <v>3</v>
      </c>
      <c r="I351" s="6" t="str">
        <f>IFERROR(__xludf.DUMMYFUNCTION("MAX(FILTER($H:$H,$E:$E=F351))"),"#N/A")</f>
        <v>#N/A</v>
      </c>
    </row>
    <row r="352">
      <c r="A352" s="4"/>
      <c r="C352" s="4" t="s">
        <v>657</v>
      </c>
      <c r="D352" s="4" t="str">
        <f t="shared" si="1"/>
        <v>{"valorA":"preço","valorB":9.0}</v>
      </c>
      <c r="E352" s="8" t="str">
        <f t="shared" si="2"/>
        <v>preço</v>
      </c>
      <c r="F352" s="8"/>
      <c r="G352" s="8" t="str">
        <f t="shared" si="3"/>
        <v>9.0</v>
      </c>
      <c r="H352" s="9">
        <f t="shared" si="4"/>
        <v>9</v>
      </c>
      <c r="I352" s="6" t="str">
        <f>IFERROR(__xludf.DUMMYFUNCTION("MAX(FILTER($H:$H,$E:$E=F352))"),"#N/A")</f>
        <v>#N/A</v>
      </c>
    </row>
    <row r="353">
      <c r="A353" s="4"/>
      <c r="C353" s="4" t="s">
        <v>807</v>
      </c>
      <c r="D353" s="4" t="str">
        <f t="shared" si="1"/>
        <v>{"valorA":"valeu","valorB":6.0}</v>
      </c>
      <c r="E353" s="8" t="str">
        <f t="shared" si="2"/>
        <v>valeu</v>
      </c>
      <c r="F353" s="8"/>
      <c r="G353" s="8" t="str">
        <f t="shared" si="3"/>
        <v>6.0</v>
      </c>
      <c r="H353" s="9">
        <f t="shared" si="4"/>
        <v>6</v>
      </c>
      <c r="I353" s="6" t="str">
        <f>IFERROR(__xludf.DUMMYFUNCTION("MAX(FILTER($H:$H,$E:$E=F353))"),"#N/A")</f>
        <v>#N/A</v>
      </c>
    </row>
    <row r="354">
      <c r="A354" s="4"/>
      <c r="C354" s="4" t="s">
        <v>4946</v>
      </c>
      <c r="D354" s="4" t="str">
        <f t="shared" si="1"/>
        <v>{"valorA":"e","valorB":21.0}</v>
      </c>
      <c r="E354" s="8" t="str">
        <f t="shared" si="2"/>
        <v>e</v>
      </c>
      <c r="F354" s="8"/>
      <c r="G354" s="8" t="str">
        <f t="shared" si="3"/>
        <v>21.0</v>
      </c>
      <c r="H354" s="9">
        <f t="shared" si="4"/>
        <v>21</v>
      </c>
      <c r="I354" s="6" t="str">
        <f>IFERROR(__xludf.DUMMYFUNCTION("MAX(FILTER($H:$H,$E:$E=F354))"),"#N/A")</f>
        <v>#N/A</v>
      </c>
    </row>
    <row r="355">
      <c r="A355" s="4"/>
      <c r="C355" s="4" t="s">
        <v>372</v>
      </c>
      <c r="D355" s="4" t="str">
        <f t="shared" si="1"/>
        <v>{"valorA":"o","valorB":4.0}</v>
      </c>
      <c r="E355" s="8" t="str">
        <f t="shared" si="2"/>
        <v>o</v>
      </c>
      <c r="F355" s="8"/>
      <c r="G355" s="8" t="str">
        <f t="shared" si="3"/>
        <v>4.0</v>
      </c>
      <c r="H355" s="9">
        <f t="shared" si="4"/>
        <v>4</v>
      </c>
      <c r="I355" s="6" t="str">
        <f>IFERROR(__xludf.DUMMYFUNCTION("MAX(FILTER($H:$H,$E:$E=F355))"),"#N/A")</f>
        <v>#N/A</v>
      </c>
    </row>
    <row r="356">
      <c r="A356" s="4"/>
      <c r="C356" s="4" t="s">
        <v>808</v>
      </c>
      <c r="D356" s="4" t="str">
        <f t="shared" si="1"/>
        <v>{"valorA":"espera","valorB":5.0}</v>
      </c>
      <c r="E356" s="8" t="str">
        <f t="shared" si="2"/>
        <v>espera</v>
      </c>
      <c r="F356" s="8"/>
      <c r="G356" s="8" t="str">
        <f t="shared" si="3"/>
        <v>5.0</v>
      </c>
      <c r="H356" s="9">
        <f t="shared" si="4"/>
        <v>5</v>
      </c>
      <c r="I356" s="6" t="str">
        <f>IFERROR(__xludf.DUMMYFUNCTION("MAX(FILTER($H:$H,$E:$E=F356))"),"#N/A")</f>
        <v>#N/A</v>
      </c>
    </row>
    <row r="357">
      <c r="A357" s="4"/>
      <c r="C357" s="4" t="s">
        <v>593</v>
      </c>
      <c r="D357" s="4" t="str">
        <f t="shared" si="1"/>
        <v>{"valorA":"que","valorB":3.0}</v>
      </c>
      <c r="E357" s="8" t="str">
        <f t="shared" si="2"/>
        <v>que</v>
      </c>
      <c r="F357" s="8"/>
      <c r="G357" s="8" t="str">
        <f t="shared" si="3"/>
        <v>3.0</v>
      </c>
      <c r="H357" s="9">
        <f t="shared" si="4"/>
        <v>3</v>
      </c>
      <c r="I357" s="6" t="str">
        <f>IFERROR(__xludf.DUMMYFUNCTION("MAX(FILTER($H:$H,$E:$E=F357))"),"#N/A")</f>
        <v>#N/A</v>
      </c>
    </row>
    <row r="358">
      <c r="A358" s="4"/>
      <c r="C358" s="4" t="s">
        <v>741</v>
      </c>
      <c r="D358" s="4" t="str">
        <f t="shared" si="1"/>
        <v>{"valorA":"produto","valorB":22.0}</v>
      </c>
      <c r="E358" s="8" t="str">
        <f t="shared" si="2"/>
        <v>produto</v>
      </c>
      <c r="F358" s="8"/>
      <c r="G358" s="8" t="str">
        <f t="shared" si="3"/>
        <v>22.0</v>
      </c>
      <c r="H358" s="9">
        <f t="shared" si="4"/>
        <v>22</v>
      </c>
      <c r="I358" s="6" t="str">
        <f>IFERROR(__xludf.DUMMYFUNCTION("MAX(FILTER($H:$H,$E:$E=F358))"),"#N/A")</f>
        <v>#N/A</v>
      </c>
    </row>
    <row r="359">
      <c r="A359" s="4"/>
      <c r="C359" s="4" t="s">
        <v>430</v>
      </c>
      <c r="D359" s="4" t="str">
        <f t="shared" si="1"/>
        <v>{"valorA":"ótimo","valorB":38.0}</v>
      </c>
      <c r="E359" s="8" t="str">
        <f t="shared" si="2"/>
        <v>ótimo</v>
      </c>
      <c r="F359" s="8"/>
      <c r="G359" s="8" t="str">
        <f t="shared" si="3"/>
        <v>38.0</v>
      </c>
      <c r="H359" s="9">
        <f t="shared" si="4"/>
        <v>38</v>
      </c>
      <c r="I359" s="6" t="str">
        <f>IFERROR(__xludf.DUMMYFUNCTION("MAX(FILTER($H:$H,$E:$E=F359))"),"#N/A")</f>
        <v>#N/A</v>
      </c>
    </row>
    <row r="360">
      <c r="A360" s="4"/>
      <c r="C360" s="4" t="s">
        <v>595</v>
      </c>
      <c r="D360" s="4" t="str">
        <f t="shared" si="1"/>
        <v>{"valorA":"paguei","valorB":2.0}</v>
      </c>
      <c r="E360" s="8" t="str">
        <f t="shared" si="2"/>
        <v>paguei</v>
      </c>
      <c r="F360" s="8"/>
      <c r="G360" s="8" t="str">
        <f t="shared" si="3"/>
        <v>2.0</v>
      </c>
      <c r="H360" s="9">
        <f t="shared" si="4"/>
        <v>2</v>
      </c>
      <c r="I360" s="6" t="str">
        <f>IFERROR(__xludf.DUMMYFUNCTION("MAX(FILTER($H:$H,$E:$E=F360))"),"#N/A")</f>
        <v>#N/A</v>
      </c>
    </row>
    <row r="361">
      <c r="A361" s="4"/>
      <c r="C361" s="4" t="s">
        <v>489</v>
      </c>
      <c r="D361" s="4" t="str">
        <f t="shared" si="1"/>
        <v>{"valorA":"a","valorB":6.0}</v>
      </c>
      <c r="E361" s="8" t="str">
        <f t="shared" si="2"/>
        <v>a</v>
      </c>
      <c r="F361" s="8"/>
      <c r="G361" s="8" t="str">
        <f t="shared" si="3"/>
        <v>6.0</v>
      </c>
      <c r="H361" s="9">
        <f t="shared" si="4"/>
        <v>6</v>
      </c>
      <c r="I361" s="6" t="str">
        <f>IFERROR(__xludf.DUMMYFUNCTION("MAX(FILTER($H:$H,$E:$E=F361))"),"#N/A")</f>
        <v>#N/A</v>
      </c>
    </row>
    <row r="362">
      <c r="A362" s="4"/>
      <c r="C362" s="4" t="s">
        <v>705</v>
      </c>
      <c r="D362" s="4" t="str">
        <f t="shared" si="1"/>
        <v>{"valorA":"preço","valorB":10.0}</v>
      </c>
      <c r="E362" s="8" t="str">
        <f t="shared" si="2"/>
        <v>preço</v>
      </c>
      <c r="F362" s="8"/>
      <c r="G362" s="8" t="str">
        <f t="shared" si="3"/>
        <v>10.0</v>
      </c>
      <c r="H362" s="9">
        <f t="shared" si="4"/>
        <v>10</v>
      </c>
      <c r="I362" s="6" t="str">
        <f>IFERROR(__xludf.DUMMYFUNCTION("MAX(FILTER($H:$H,$E:$E=F362))"),"#N/A")</f>
        <v>#N/A</v>
      </c>
    </row>
    <row r="363">
      <c r="A363" s="4"/>
      <c r="C363" s="4" t="s">
        <v>799</v>
      </c>
      <c r="D363" s="4" t="str">
        <f t="shared" si="1"/>
        <v>{"valorA":"ótimo","valorB":39.0}</v>
      </c>
      <c r="E363" s="8" t="str">
        <f t="shared" si="2"/>
        <v>ótimo</v>
      </c>
      <c r="F363" s="8"/>
      <c r="G363" s="8" t="str">
        <f t="shared" si="3"/>
        <v>39.0</v>
      </c>
      <c r="H363" s="9">
        <f t="shared" si="4"/>
        <v>39</v>
      </c>
      <c r="I363" s="6" t="str">
        <f>IFERROR(__xludf.DUMMYFUNCTION("MAX(FILTER($H:$H,$E:$E=F363))"),"#N/A")</f>
        <v>#N/A</v>
      </c>
    </row>
    <row r="364">
      <c r="A364" s="4"/>
      <c r="C364" s="4" t="s">
        <v>814</v>
      </c>
      <c r="D364" s="4" t="str">
        <f t="shared" si="1"/>
        <v>{"valorA":"valeu","valorB":7.0}</v>
      </c>
      <c r="E364" s="8" t="str">
        <f t="shared" si="2"/>
        <v>valeu</v>
      </c>
      <c r="F364" s="8"/>
      <c r="G364" s="8" t="str">
        <f t="shared" si="3"/>
        <v>7.0</v>
      </c>
      <c r="H364" s="9">
        <f t="shared" si="4"/>
        <v>7</v>
      </c>
      <c r="I364" s="6" t="str">
        <f>IFERROR(__xludf.DUMMYFUNCTION("MAX(FILTER($H:$H,$E:$E=F364))"),"#N/A")</f>
        <v>#N/A</v>
      </c>
    </row>
    <row r="365">
      <c r="A365" s="4"/>
      <c r="C365" s="4" t="s">
        <v>816</v>
      </c>
      <c r="D365" s="4" t="str">
        <f t="shared" si="1"/>
        <v>{"valorA":"espera","valorB":6.0}</v>
      </c>
      <c r="E365" s="8" t="str">
        <f t="shared" si="2"/>
        <v>espera</v>
      </c>
      <c r="F365" s="8"/>
      <c r="G365" s="8" t="str">
        <f t="shared" si="3"/>
        <v>6.0</v>
      </c>
      <c r="H365" s="9">
        <f t="shared" si="4"/>
        <v>6</v>
      </c>
      <c r="I365" s="6" t="str">
        <f>IFERROR(__xludf.DUMMYFUNCTION("MAX(FILTER($H:$H,$E:$E=F365))"),"#N/A")</f>
        <v>#N/A</v>
      </c>
    </row>
    <row r="366">
      <c r="A366" s="4"/>
      <c r="C366" s="4" t="s">
        <v>391</v>
      </c>
      <c r="D366" s="4" t="str">
        <f t="shared" si="1"/>
        <v>{"valorA":"produto","valorB":23.0}</v>
      </c>
      <c r="E366" s="8" t="str">
        <f t="shared" si="2"/>
        <v>produto</v>
      </c>
      <c r="F366" s="8"/>
      <c r="G366" s="8" t="str">
        <f t="shared" si="3"/>
        <v>23.0</v>
      </c>
      <c r="H366" s="9">
        <f t="shared" si="4"/>
        <v>23</v>
      </c>
      <c r="I366" s="6" t="str">
        <f>IFERROR(__xludf.DUMMYFUNCTION("MAX(FILTER($H:$H,$E:$E=F366))"),"#N/A")</f>
        <v>#N/A</v>
      </c>
    </row>
    <row r="367">
      <c r="A367" s="4"/>
      <c r="C367" s="4" t="s">
        <v>773</v>
      </c>
      <c r="D367" s="4" t="str">
        <f t="shared" si="1"/>
        <v>{"valorA":"gostei","valorB":7.0}</v>
      </c>
      <c r="E367" s="8" t="str">
        <f t="shared" si="2"/>
        <v>gostei</v>
      </c>
      <c r="F367" s="8"/>
      <c r="G367" s="8" t="str">
        <f t="shared" si="3"/>
        <v>7.0</v>
      </c>
      <c r="H367" s="9">
        <f t="shared" si="4"/>
        <v>7</v>
      </c>
      <c r="I367" s="6" t="str">
        <f>IFERROR(__xludf.DUMMYFUNCTION("MAX(FILTER($H:$H,$E:$E=F367))"),"#N/A")</f>
        <v>#N/A</v>
      </c>
    </row>
    <row r="368">
      <c r="A368" s="4"/>
      <c r="C368" s="4" t="s">
        <v>432</v>
      </c>
      <c r="D368" s="4" t="str">
        <f t="shared" si="1"/>
        <v>{"valorA":"muito","valorB":15.0}</v>
      </c>
      <c r="E368" s="8" t="str">
        <f t="shared" si="2"/>
        <v>muito</v>
      </c>
      <c r="F368" s="8"/>
      <c r="G368" s="8" t="str">
        <f t="shared" si="3"/>
        <v>15.0</v>
      </c>
      <c r="H368" s="9">
        <f t="shared" si="4"/>
        <v>15</v>
      </c>
      <c r="I368" s="6" t="str">
        <f>IFERROR(__xludf.DUMMYFUNCTION("MAX(FILTER($H:$H,$E:$E=F368))"),"#N/A")</f>
        <v>#N/A</v>
      </c>
    </row>
    <row r="369">
      <c r="A369" s="4"/>
      <c r="C369" s="4" t="s">
        <v>630</v>
      </c>
      <c r="D369" s="4" t="str">
        <f t="shared" si="1"/>
        <v>{"valorA":"a","valorB":7.0}</v>
      </c>
      <c r="E369" s="8" t="str">
        <f t="shared" si="2"/>
        <v>a</v>
      </c>
      <c r="F369" s="8"/>
      <c r="G369" s="8" t="str">
        <f t="shared" si="3"/>
        <v>7.0</v>
      </c>
      <c r="H369" s="9">
        <f t="shared" si="4"/>
        <v>7</v>
      </c>
      <c r="I369" s="6" t="str">
        <f>IFERROR(__xludf.DUMMYFUNCTION("MAX(FILTER($H:$H,$E:$E=F369))"),"#N/A")</f>
        <v>#N/A</v>
      </c>
    </row>
    <row r="370">
      <c r="A370" s="4"/>
      <c r="C370" s="4" t="s">
        <v>345</v>
      </c>
      <c r="D370" s="4" t="str">
        <f t="shared" si="1"/>
        <v>{"valorA":"recomendo","valorB":4.0}</v>
      </c>
      <c r="E370" s="8" t="str">
        <f t="shared" si="2"/>
        <v>recomendo</v>
      </c>
      <c r="F370" s="8"/>
      <c r="G370" s="8" t="str">
        <f t="shared" si="3"/>
        <v>4.0</v>
      </c>
      <c r="H370" s="9">
        <f t="shared" si="4"/>
        <v>4</v>
      </c>
      <c r="I370" s="6" t="str">
        <f>IFERROR(__xludf.DUMMYFUNCTION("MAX(FILTER($H:$H,$E:$E=F370))"),"#N/A")</f>
        <v>#N/A</v>
      </c>
    </row>
    <row r="371">
      <c r="A371" s="4"/>
      <c r="C371" s="4" t="s">
        <v>790</v>
      </c>
      <c r="D371" s="4" t="str">
        <f t="shared" si="1"/>
        <v>{"valorA":"para","valorB":15.0}</v>
      </c>
      <c r="E371" s="8" t="str">
        <f t="shared" si="2"/>
        <v>para</v>
      </c>
      <c r="F371" s="8"/>
      <c r="G371" s="8" t="str">
        <f t="shared" si="3"/>
        <v>15.0</v>
      </c>
      <c r="H371" s="9">
        <f t="shared" si="4"/>
        <v>15</v>
      </c>
      <c r="I371" s="6" t="str">
        <f>IFERROR(__xludf.DUMMYFUNCTION("MAX(FILTER($H:$H,$E:$E=F371))"),"#N/A")</f>
        <v>#N/A</v>
      </c>
    </row>
    <row r="372">
      <c r="A372" s="4"/>
      <c r="C372" s="4" t="s">
        <v>647</v>
      </c>
      <c r="D372" s="4" t="str">
        <f t="shared" si="1"/>
        <v>{"valorA":"tão","valorB":2.0}</v>
      </c>
      <c r="E372" s="8" t="str">
        <f t="shared" si="2"/>
        <v>tão</v>
      </c>
      <c r="F372" s="8"/>
      <c r="G372" s="8" t="str">
        <f t="shared" si="3"/>
        <v>2.0</v>
      </c>
      <c r="H372" s="9">
        <f t="shared" si="4"/>
        <v>2</v>
      </c>
      <c r="I372" s="6" t="str">
        <f>IFERROR(__xludf.DUMMYFUNCTION("MAX(FILTER($H:$H,$E:$E=F372))"),"#N/A")</f>
        <v>#N/A</v>
      </c>
    </row>
    <row r="373">
      <c r="A373" s="4"/>
      <c r="C373" s="4" t="s">
        <v>9457</v>
      </c>
      <c r="D373" s="4" t="str">
        <f t="shared" si="1"/>
        <v>{"valorA":"valeu","valorB":8.0}</v>
      </c>
      <c r="E373" s="8" t="str">
        <f t="shared" si="2"/>
        <v>valeu</v>
      </c>
      <c r="F373" s="8"/>
      <c r="G373" s="8" t="str">
        <f t="shared" si="3"/>
        <v>8.0</v>
      </c>
      <c r="H373" s="9">
        <f t="shared" si="4"/>
        <v>8</v>
      </c>
      <c r="I373" s="6" t="str">
        <f>IFERROR(__xludf.DUMMYFUNCTION("MAX(FILTER($H:$H,$E:$E=F373))"),"#N/A")</f>
        <v>#N/A</v>
      </c>
    </row>
    <row r="374">
      <c r="A374" s="4"/>
      <c r="C374" s="4" t="s">
        <v>664</v>
      </c>
      <c r="D374" s="4" t="str">
        <f t="shared" si="1"/>
        <v>{"valorA":"bom","valorB":3.0}</v>
      </c>
      <c r="E374" s="8" t="str">
        <f t="shared" si="2"/>
        <v>bom</v>
      </c>
      <c r="F374" s="8"/>
      <c r="G374" s="8" t="str">
        <f t="shared" si="3"/>
        <v>3.0</v>
      </c>
      <c r="H374" s="9">
        <f t="shared" si="4"/>
        <v>3</v>
      </c>
      <c r="I374" s="6" t="str">
        <f>IFERROR(__xludf.DUMMYFUNCTION("MAX(FILTER($H:$H,$E:$E=F374))"),"#N/A")</f>
        <v>#N/A</v>
      </c>
    </row>
    <row r="375">
      <c r="A375" s="4"/>
      <c r="C375" s="4" t="s">
        <v>9458</v>
      </c>
      <c r="D375" s="4" t="str">
        <f t="shared" si="1"/>
        <v>{"valorA":"espera","valorB":7.0}</v>
      </c>
      <c r="E375" s="8" t="str">
        <f t="shared" si="2"/>
        <v>espera</v>
      </c>
      <c r="F375" s="8"/>
      <c r="G375" s="8" t="str">
        <f t="shared" si="3"/>
        <v>7.0</v>
      </c>
      <c r="H375" s="9">
        <f t="shared" si="4"/>
        <v>7</v>
      </c>
      <c r="I375" s="6" t="str">
        <f>IFERROR(__xludf.DUMMYFUNCTION("MAX(FILTER($H:$H,$E:$E=F375))"),"#N/A")</f>
        <v>#N/A</v>
      </c>
    </row>
    <row r="376">
      <c r="A376" s="4"/>
      <c r="C376" s="4" t="s">
        <v>413</v>
      </c>
      <c r="D376" s="4" t="str">
        <f t="shared" si="1"/>
        <v>{"valorA":"produto","valorB":24.0}</v>
      </c>
      <c r="E376" s="8" t="str">
        <f t="shared" si="2"/>
        <v>produto</v>
      </c>
      <c r="F376" s="8"/>
      <c r="G376" s="8" t="str">
        <f t="shared" si="3"/>
        <v>24.0</v>
      </c>
      <c r="H376" s="9">
        <f t="shared" si="4"/>
        <v>24</v>
      </c>
      <c r="I376" s="6" t="str">
        <f>IFERROR(__xludf.DUMMYFUNCTION("MAX(FILTER($H:$H,$E:$E=F376))"),"#N/A")</f>
        <v>#N/A</v>
      </c>
    </row>
    <row r="377">
      <c r="A377" s="4"/>
      <c r="C377" s="4" t="s">
        <v>444</v>
      </c>
      <c r="D377" s="4" t="str">
        <f t="shared" si="1"/>
        <v>{"valorA":"ótimo","valorB":41.0}</v>
      </c>
      <c r="E377" s="8" t="str">
        <f t="shared" si="2"/>
        <v>ótimo</v>
      </c>
      <c r="F377" s="8"/>
      <c r="G377" s="8" t="str">
        <f t="shared" si="3"/>
        <v>41.0</v>
      </c>
      <c r="H377" s="9">
        <f t="shared" si="4"/>
        <v>41</v>
      </c>
      <c r="I377" s="6" t="str">
        <f>IFERROR(__xludf.DUMMYFUNCTION("MAX(FILTER($H:$H,$E:$E=F377))"),"#N/A")</f>
        <v>#N/A</v>
      </c>
    </row>
    <row r="378">
      <c r="A378" s="4"/>
      <c r="C378" s="4" t="s">
        <v>695</v>
      </c>
      <c r="D378" s="4" t="str">
        <f t="shared" si="1"/>
        <v>{"valorA":"câmera","valorB":2.0}</v>
      </c>
      <c r="E378" s="8" t="str">
        <f t="shared" si="2"/>
        <v>câmera</v>
      </c>
      <c r="F378" s="8"/>
      <c r="G378" s="8" t="str">
        <f t="shared" si="3"/>
        <v>2.0</v>
      </c>
      <c r="H378" s="9">
        <f t="shared" si="4"/>
        <v>2</v>
      </c>
      <c r="I378" s="6" t="str">
        <f>IFERROR(__xludf.DUMMYFUNCTION("MAX(FILTER($H:$H,$E:$E=F378))"),"#N/A")</f>
        <v>#N/A</v>
      </c>
    </row>
    <row r="379">
      <c r="A379" s="4"/>
      <c r="C379" s="4" t="s">
        <v>359</v>
      </c>
      <c r="D379" s="4" t="str">
        <f t="shared" si="1"/>
        <v>{"valorA":"como","valorB":1.0}</v>
      </c>
      <c r="E379" s="8" t="str">
        <f t="shared" si="2"/>
        <v>como</v>
      </c>
      <c r="F379" s="8"/>
      <c r="G379" s="8" t="str">
        <f t="shared" si="3"/>
        <v>1.0</v>
      </c>
      <c r="H379" s="9">
        <f t="shared" si="4"/>
        <v>1</v>
      </c>
      <c r="I379" s="6" t="str">
        <f>IFERROR(__xludf.DUMMYFUNCTION("MAX(FILTER($H:$H,$E:$E=F379))"),"#N/A")</f>
        <v>#N/A</v>
      </c>
    </row>
    <row r="380">
      <c r="A380" s="4"/>
      <c r="C380" s="4" t="s">
        <v>663</v>
      </c>
      <c r="D380" s="4" t="str">
        <f t="shared" si="1"/>
        <v>{"valorA":"a","valorB":8.0}</v>
      </c>
      <c r="E380" s="8" t="str">
        <f t="shared" si="2"/>
        <v>a</v>
      </c>
      <c r="F380" s="8"/>
      <c r="G380" s="8" t="str">
        <f t="shared" si="3"/>
        <v>8.0</v>
      </c>
      <c r="H380" s="9">
        <f t="shared" si="4"/>
        <v>8</v>
      </c>
      <c r="I380" s="6" t="str">
        <f>IFERROR(__xludf.DUMMYFUNCTION("MAX(FILTER($H:$H,$E:$E=F380))"),"#N/A")</f>
        <v>#N/A</v>
      </c>
    </row>
    <row r="381">
      <c r="A381" s="4"/>
      <c r="C381" s="4" t="s">
        <v>618</v>
      </c>
      <c r="D381" s="4" t="str">
        <f t="shared" si="1"/>
        <v>{"valorA":"este","valorB":1.0}</v>
      </c>
      <c r="E381" s="8" t="str">
        <f t="shared" si="2"/>
        <v>este</v>
      </c>
      <c r="F381" s="8"/>
      <c r="G381" s="8" t="str">
        <f t="shared" si="3"/>
        <v>1.0</v>
      </c>
      <c r="H381" s="9">
        <f t="shared" si="4"/>
        <v>1</v>
      </c>
      <c r="I381" s="6" t="str">
        <f>IFERROR(__xludf.DUMMYFUNCTION("MAX(FILTER($H:$H,$E:$E=F381))"),"#N/A")</f>
        <v>#N/A</v>
      </c>
    </row>
    <row r="382">
      <c r="A382" s="4"/>
      <c r="C382" s="4" t="s">
        <v>733</v>
      </c>
      <c r="D382" s="4" t="str">
        <f t="shared" si="1"/>
        <v>{"valorA":"um","valorB":6.0}</v>
      </c>
      <c r="E382" s="8" t="str">
        <f t="shared" si="2"/>
        <v>um</v>
      </c>
      <c r="F382" s="8"/>
      <c r="G382" s="8" t="str">
        <f t="shared" si="3"/>
        <v>6.0</v>
      </c>
      <c r="H382" s="9">
        <f t="shared" si="4"/>
        <v>6</v>
      </c>
      <c r="I382" s="6" t="str">
        <f>IFERROR(__xludf.DUMMYFUNCTION("MAX(FILTER($H:$H,$E:$E=F382))"),"#N/A")</f>
        <v>#N/A</v>
      </c>
    </row>
    <row r="383">
      <c r="A383" s="4"/>
      <c r="C383" s="4" t="s">
        <v>711</v>
      </c>
      <c r="D383" s="4" t="str">
        <f t="shared" si="1"/>
        <v>{"valorA":"preço","valorB":11.0}</v>
      </c>
      <c r="E383" s="8" t="str">
        <f t="shared" si="2"/>
        <v>preço</v>
      </c>
      <c r="F383" s="8"/>
      <c r="G383" s="8" t="str">
        <f t="shared" si="3"/>
        <v>11.0</v>
      </c>
      <c r="H383" s="9">
        <f t="shared" si="4"/>
        <v>11</v>
      </c>
      <c r="I383" s="6" t="str">
        <f>IFERROR(__xludf.DUMMYFUNCTION("MAX(FILTER($H:$H,$E:$E=F383))"),"#N/A")</f>
        <v>#N/A</v>
      </c>
    </row>
    <row r="384">
      <c r="A384" s="4"/>
      <c r="C384" s="4" t="s">
        <v>639</v>
      </c>
      <c r="D384" s="4" t="str">
        <f t="shared" si="1"/>
        <v>{"valorA":"econômico","valorB":1.0}</v>
      </c>
      <c r="E384" s="8" t="str">
        <f t="shared" si="2"/>
        <v>econômico</v>
      </c>
      <c r="F384" s="8"/>
      <c r="G384" s="8" t="str">
        <f t="shared" si="3"/>
        <v>1.0</v>
      </c>
      <c r="H384" s="9">
        <f t="shared" si="4"/>
        <v>1</v>
      </c>
      <c r="I384" s="6" t="str">
        <f>IFERROR(__xludf.DUMMYFUNCTION("MAX(FILTER($H:$H,$E:$E=F384))"),"#N/A")</f>
        <v>#N/A</v>
      </c>
    </row>
    <row r="385">
      <c r="A385" s="4"/>
      <c r="C385" s="4" t="s">
        <v>786</v>
      </c>
      <c r="D385" s="4" t="str">
        <f t="shared" si="1"/>
        <v>{"valorA":"usar","valorB":6.0}</v>
      </c>
      <c r="E385" s="8" t="str">
        <f t="shared" si="2"/>
        <v>usar</v>
      </c>
      <c r="F385" s="8"/>
      <c r="G385" s="8" t="str">
        <f t="shared" si="3"/>
        <v>6.0</v>
      </c>
      <c r="H385" s="9">
        <f t="shared" si="4"/>
        <v>6</v>
      </c>
      <c r="I385" s="6" t="str">
        <f>IFERROR(__xludf.DUMMYFUNCTION("MAX(FILTER($H:$H,$E:$E=F385))"),"#N/A")</f>
        <v>#N/A</v>
      </c>
    </row>
    <row r="386">
      <c r="A386" s="4"/>
      <c r="C386" s="4" t="s">
        <v>4949</v>
      </c>
      <c r="D386" s="4" t="str">
        <f t="shared" si="1"/>
        <v>{"valorA":"e","valorB":22.0}</v>
      </c>
      <c r="E386" s="8" t="str">
        <f t="shared" si="2"/>
        <v>e</v>
      </c>
      <c r="F386" s="8"/>
      <c r="G386" s="8" t="str">
        <f t="shared" si="3"/>
        <v>22.0</v>
      </c>
      <c r="H386" s="9">
        <f t="shared" si="4"/>
        <v>22</v>
      </c>
      <c r="I386" s="6" t="str">
        <f>IFERROR(__xludf.DUMMYFUNCTION("MAX(FILTER($H:$H,$E:$E=F386))"),"#N/A")</f>
        <v>#N/A</v>
      </c>
    </row>
    <row r="387">
      <c r="A387" s="4"/>
      <c r="C387" s="4" t="s">
        <v>862</v>
      </c>
      <c r="D387" s="4" t="str">
        <f t="shared" si="1"/>
        <v>{"valorA":"de","valorB":16.0}</v>
      </c>
      <c r="E387" s="8" t="str">
        <f t="shared" si="2"/>
        <v>de</v>
      </c>
      <c r="F387" s="8"/>
      <c r="G387" s="8" t="str">
        <f t="shared" si="3"/>
        <v>16.0</v>
      </c>
      <c r="H387" s="9">
        <f t="shared" si="4"/>
        <v>16</v>
      </c>
      <c r="I387" s="6" t="str">
        <f>IFERROR(__xludf.DUMMYFUNCTION("MAX(FILTER($H:$H,$E:$E=F387))"),"#N/A")</f>
        <v>#N/A</v>
      </c>
    </row>
    <row r="388">
      <c r="A388" s="4"/>
      <c r="C388" s="4" t="s">
        <v>766</v>
      </c>
      <c r="D388" s="4" t="str">
        <f t="shared" si="1"/>
        <v>{"valorA":"produto","valorB":25.0}</v>
      </c>
      <c r="E388" s="8" t="str">
        <f t="shared" si="2"/>
        <v>produto</v>
      </c>
      <c r="F388" s="8"/>
      <c r="G388" s="8" t="str">
        <f t="shared" si="3"/>
        <v>25.0</v>
      </c>
      <c r="H388" s="9">
        <f t="shared" si="4"/>
        <v>25</v>
      </c>
      <c r="I388" s="6" t="str">
        <f>IFERROR(__xludf.DUMMYFUNCTION("MAX(FILTER($H:$H,$E:$E=F388))"),"#N/A")</f>
        <v>#N/A</v>
      </c>
    </row>
    <row r="389">
      <c r="A389" s="4"/>
      <c r="C389" s="4" t="s">
        <v>813</v>
      </c>
      <c r="D389" s="4" t="str">
        <f t="shared" si="1"/>
        <v>{"valorA":"ótimo","valorB":42.0}</v>
      </c>
      <c r="E389" s="8" t="str">
        <f t="shared" si="2"/>
        <v>ótimo</v>
      </c>
      <c r="F389" s="8"/>
      <c r="G389" s="8" t="str">
        <f t="shared" si="3"/>
        <v>42.0</v>
      </c>
      <c r="H389" s="9">
        <f t="shared" si="4"/>
        <v>42</v>
      </c>
      <c r="I389" s="6" t="str">
        <f>IFERROR(__xludf.DUMMYFUNCTION("MAX(FILTER($H:$H,$E:$E=F389))"),"#N/A")</f>
        <v>#N/A</v>
      </c>
    </row>
    <row r="390">
      <c r="A390" s="4"/>
      <c r="C390" s="4" t="s">
        <v>864</v>
      </c>
      <c r="D390" s="4" t="str">
        <f t="shared" si="1"/>
        <v>{"valorA":"fácil","valorB":9.0}</v>
      </c>
      <c r="E390" s="8" t="str">
        <f t="shared" si="2"/>
        <v>fácil</v>
      </c>
      <c r="F390" s="8"/>
      <c r="G390" s="8" t="str">
        <f t="shared" si="3"/>
        <v>9.0</v>
      </c>
      <c r="H390" s="9">
        <f t="shared" si="4"/>
        <v>9</v>
      </c>
      <c r="I390" s="6" t="str">
        <f>IFERROR(__xludf.DUMMYFUNCTION("MAX(FILTER($H:$H,$E:$E=F390))"),"#N/A")</f>
        <v>#N/A</v>
      </c>
    </row>
    <row r="391">
      <c r="A391" s="4"/>
      <c r="C391" s="4" t="s">
        <v>819</v>
      </c>
      <c r="D391" s="4" t="str">
        <f t="shared" si="1"/>
        <v>{"valorA":"ótimo","valorB":43.0}</v>
      </c>
      <c r="E391" s="8" t="str">
        <f t="shared" si="2"/>
        <v>ótimo</v>
      </c>
      <c r="F391" s="8"/>
      <c r="G391" s="8" t="str">
        <f t="shared" si="3"/>
        <v>43.0</v>
      </c>
      <c r="H391" s="9">
        <f t="shared" si="4"/>
        <v>43</v>
      </c>
      <c r="I391" s="6" t="str">
        <f>IFERROR(__xludf.DUMMYFUNCTION("MAX(FILTER($H:$H,$E:$E=F391))"),"#N/A")</f>
        <v>#N/A</v>
      </c>
    </row>
    <row r="392">
      <c r="A392" s="4"/>
      <c r="C392" s="4" t="s">
        <v>845</v>
      </c>
      <c r="D392" s="4" t="str">
        <f t="shared" si="1"/>
        <v>{"valorA":"usar","valorB":7.0}</v>
      </c>
      <c r="E392" s="8" t="str">
        <f t="shared" si="2"/>
        <v>usar</v>
      </c>
      <c r="F392" s="8"/>
      <c r="G392" s="8" t="str">
        <f t="shared" si="3"/>
        <v>7.0</v>
      </c>
      <c r="H392" s="9">
        <f t="shared" si="4"/>
        <v>7</v>
      </c>
      <c r="I392" s="6" t="str">
        <f>IFERROR(__xludf.DUMMYFUNCTION("MAX(FILTER($H:$H,$E:$E=F392))"),"#N/A")</f>
        <v>#N/A</v>
      </c>
    </row>
    <row r="393">
      <c r="A393" s="4"/>
      <c r="C393" s="4" t="s">
        <v>4953</v>
      </c>
      <c r="D393" s="4" t="str">
        <f t="shared" si="1"/>
        <v>{"valorA":"e","valorB":23.0}</v>
      </c>
      <c r="E393" s="8" t="str">
        <f t="shared" si="2"/>
        <v>e</v>
      </c>
      <c r="F393" s="8"/>
      <c r="G393" s="8" t="str">
        <f t="shared" si="3"/>
        <v>23.0</v>
      </c>
      <c r="H393" s="9">
        <f t="shared" si="4"/>
        <v>23</v>
      </c>
      <c r="I393" s="6" t="str">
        <f>IFERROR(__xludf.DUMMYFUNCTION("MAX(FILTER($H:$H,$E:$E=F393))"),"#N/A")</f>
        <v>#N/A</v>
      </c>
    </row>
    <row r="394">
      <c r="A394" s="4"/>
      <c r="C394" s="4" t="s">
        <v>1154</v>
      </c>
      <c r="D394" s="4" t="str">
        <f t="shared" si="1"/>
        <v>{"valorA":"de","valorB":17.0}</v>
      </c>
      <c r="E394" s="8" t="str">
        <f t="shared" si="2"/>
        <v>de</v>
      </c>
      <c r="F394" s="8"/>
      <c r="G394" s="8" t="str">
        <f t="shared" si="3"/>
        <v>17.0</v>
      </c>
      <c r="H394" s="9">
        <f t="shared" si="4"/>
        <v>17</v>
      </c>
      <c r="I394" s="6" t="str">
        <f>IFERROR(__xludf.DUMMYFUNCTION("MAX(FILTER($H:$H,$E:$E=F394))"),"#N/A")</f>
        <v>#N/A</v>
      </c>
    </row>
    <row r="395">
      <c r="A395" s="4"/>
      <c r="C395" s="4" t="s">
        <v>428</v>
      </c>
      <c r="D395" s="4" t="str">
        <f t="shared" si="1"/>
        <v>{"valorA":"produto","valorB":26.0}</v>
      </c>
      <c r="E395" s="8" t="str">
        <f t="shared" si="2"/>
        <v>produto</v>
      </c>
      <c r="F395" s="8"/>
      <c r="G395" s="8" t="str">
        <f t="shared" si="3"/>
        <v>26.0</v>
      </c>
      <c r="H395" s="9">
        <f t="shared" si="4"/>
        <v>26</v>
      </c>
      <c r="I395" s="6" t="str">
        <f>IFERROR(__xludf.DUMMYFUNCTION("MAX(FILTER($H:$H,$E:$E=F395))"),"#N/A")</f>
        <v>#N/A</v>
      </c>
    </row>
    <row r="396">
      <c r="A396" s="4"/>
      <c r="C396" s="4" t="s">
        <v>782</v>
      </c>
      <c r="D396" s="4" t="str">
        <f t="shared" si="1"/>
        <v>{"valorA":"gostei","valorB":8.0}</v>
      </c>
      <c r="E396" s="8" t="str">
        <f t="shared" si="2"/>
        <v>gostei</v>
      </c>
      <c r="F396" s="8"/>
      <c r="G396" s="8" t="str">
        <f t="shared" si="3"/>
        <v>8.0</v>
      </c>
      <c r="H396" s="9">
        <f t="shared" si="4"/>
        <v>8</v>
      </c>
      <c r="I396" s="6" t="str">
        <f>IFERROR(__xludf.DUMMYFUNCTION("MAX(FILTER($H:$H,$E:$E=F396))"),"#N/A")</f>
        <v>#N/A</v>
      </c>
    </row>
    <row r="397">
      <c r="A397" s="4"/>
      <c r="C397" s="4" t="s">
        <v>4933</v>
      </c>
      <c r="D397" s="4" t="str">
        <f t="shared" si="1"/>
        <v>{"valorA":"fácil","valorB":10.0}</v>
      </c>
      <c r="E397" s="8" t="str">
        <f t="shared" si="2"/>
        <v>fácil</v>
      </c>
      <c r="F397" s="8"/>
      <c r="G397" s="8" t="str">
        <f t="shared" si="3"/>
        <v>10.0</v>
      </c>
      <c r="H397" s="9">
        <f t="shared" si="4"/>
        <v>10</v>
      </c>
      <c r="I397" s="6" t="str">
        <f>IFERROR(__xludf.DUMMYFUNCTION("MAX(FILTER($H:$H,$E:$E=F397))"),"#N/A")</f>
        <v>#N/A</v>
      </c>
    </row>
    <row r="398">
      <c r="A398" s="4"/>
      <c r="C398" s="4" t="s">
        <v>449</v>
      </c>
      <c r="D398" s="4" t="str">
        <f t="shared" si="1"/>
        <v>{"valorA":"muito","valorB":16.0}</v>
      </c>
      <c r="E398" s="8" t="str">
        <f t="shared" si="2"/>
        <v>muito</v>
      </c>
      <c r="F398" s="8"/>
      <c r="G398" s="8" t="str">
        <f t="shared" si="3"/>
        <v>16.0</v>
      </c>
      <c r="H398" s="9">
        <f t="shared" si="4"/>
        <v>16</v>
      </c>
      <c r="I398" s="6" t="str">
        <f>IFERROR(__xludf.DUMMYFUNCTION("MAX(FILTER($H:$H,$E:$E=F398))"),"#N/A")</f>
        <v>#N/A</v>
      </c>
    </row>
    <row r="399">
      <c r="A399" s="4"/>
      <c r="C399" s="4" t="s">
        <v>9459</v>
      </c>
      <c r="D399" s="4" t="str">
        <f t="shared" si="1"/>
        <v>{"valorA":"versátil","valorB":1.0}</v>
      </c>
      <c r="E399" s="8" t="str">
        <f t="shared" si="2"/>
        <v>versátil</v>
      </c>
      <c r="F399" s="8"/>
      <c r="G399" s="8" t="str">
        <f t="shared" si="3"/>
        <v>1.0</v>
      </c>
      <c r="H399" s="9">
        <f t="shared" si="4"/>
        <v>1</v>
      </c>
      <c r="I399" s="6" t="str">
        <f>IFERROR(__xludf.DUMMYFUNCTION("MAX(FILTER($H:$H,$E:$E=F399))"),"#N/A")</f>
        <v>#N/A</v>
      </c>
    </row>
    <row r="400">
      <c r="A400" s="4"/>
      <c r="C400" s="4" t="s">
        <v>276</v>
      </c>
      <c r="D400" s="4" t="str">
        <f t="shared" si="1"/>
        <v>{"valorA":"é","valorB":3.0}</v>
      </c>
      <c r="E400" s="8" t="str">
        <f t="shared" si="2"/>
        <v>é</v>
      </c>
      <c r="F400" s="8"/>
      <c r="G400" s="8" t="str">
        <f t="shared" si="3"/>
        <v>3.0</v>
      </c>
      <c r="H400" s="9">
        <f t="shared" si="4"/>
        <v>3</v>
      </c>
      <c r="I400" s="6" t="str">
        <f>IFERROR(__xludf.DUMMYFUNCTION("MAX(FILTER($H:$H,$E:$E=F400))"),"#N/A")</f>
        <v>#N/A</v>
      </c>
    </row>
    <row r="401">
      <c r="A401" s="4"/>
      <c r="C401" s="4" t="s">
        <v>9460</v>
      </c>
      <c r="D401" s="4" t="str">
        <f t="shared" si="1"/>
        <v>{"valorA":"certifique","valorB":1.0}</v>
      </c>
      <c r="E401" s="8" t="str">
        <f t="shared" si="2"/>
        <v>certifique</v>
      </c>
      <c r="F401" s="8"/>
      <c r="G401" s="8" t="str">
        <f t="shared" si="3"/>
        <v>1.0</v>
      </c>
      <c r="H401" s="9">
        <f t="shared" si="4"/>
        <v>1</v>
      </c>
      <c r="I401" s="6" t="str">
        <f>IFERROR(__xludf.DUMMYFUNCTION("MAX(FILTER($H:$H,$E:$E=F401))"),"#N/A")</f>
        <v>#N/A</v>
      </c>
    </row>
    <row r="402">
      <c r="A402" s="4"/>
      <c r="C402" s="4" t="s">
        <v>407</v>
      </c>
      <c r="D402" s="4" t="str">
        <f t="shared" si="1"/>
        <v>{"valorA":"meu","valorB":4.0}</v>
      </c>
      <c r="E402" s="8" t="str">
        <f t="shared" si="2"/>
        <v>meu</v>
      </c>
      <c r="F402" s="8"/>
      <c r="G402" s="8" t="str">
        <f t="shared" si="3"/>
        <v>4.0</v>
      </c>
      <c r="H402" s="9">
        <f t="shared" si="4"/>
        <v>4</v>
      </c>
      <c r="I402" s="6" t="str">
        <f>IFERROR(__xludf.DUMMYFUNCTION("MAX(FILTER($H:$H,$E:$E=F402))"),"#N/A")</f>
        <v>#N/A</v>
      </c>
    </row>
    <row r="403">
      <c r="A403" s="4"/>
      <c r="C403" s="4" t="s">
        <v>308</v>
      </c>
      <c r="D403" s="4" t="str">
        <f t="shared" si="1"/>
        <v>{"valorA":"bem","valorB":5.0}</v>
      </c>
      <c r="E403" s="8" t="str">
        <f t="shared" si="2"/>
        <v>bem</v>
      </c>
      <c r="F403" s="8"/>
      <c r="G403" s="8" t="str">
        <f t="shared" si="3"/>
        <v>5.0</v>
      </c>
      <c r="H403" s="9">
        <f t="shared" si="4"/>
        <v>5</v>
      </c>
      <c r="I403" s="6" t="str">
        <f>IFERROR(__xludf.DUMMYFUNCTION("MAX(FILTER($H:$H,$E:$E=F403))"),"#N/A")</f>
        <v>#N/A</v>
      </c>
    </row>
    <row r="404">
      <c r="A404" s="4"/>
      <c r="C404" s="4" t="s">
        <v>860</v>
      </c>
      <c r="D404" s="4" t="str">
        <f t="shared" si="1"/>
        <v>{"valorA":"usar","valorB":8.0}</v>
      </c>
      <c r="E404" s="8" t="str">
        <f t="shared" si="2"/>
        <v>usar</v>
      </c>
      <c r="F404" s="8"/>
      <c r="G404" s="8" t="str">
        <f t="shared" si="3"/>
        <v>8.0</v>
      </c>
      <c r="H404" s="9">
        <f t="shared" si="4"/>
        <v>8</v>
      </c>
      <c r="I404" s="6" t="str">
        <f>IFERROR(__xludf.DUMMYFUNCTION("MAX(FILTER($H:$H,$E:$E=F404))"),"#N/A")</f>
        <v>#N/A</v>
      </c>
    </row>
    <row r="405">
      <c r="A405" s="4"/>
      <c r="C405" s="4" t="s">
        <v>9461</v>
      </c>
      <c r="D405" s="4" t="str">
        <f t="shared" si="1"/>
        <v>{"valorA":"e","valorB":24.0}</v>
      </c>
      <c r="E405" s="8" t="str">
        <f t="shared" si="2"/>
        <v>e</v>
      </c>
      <c r="F405" s="8"/>
      <c r="G405" s="8" t="str">
        <f t="shared" si="3"/>
        <v>24.0</v>
      </c>
      <c r="H405" s="9">
        <f t="shared" si="4"/>
        <v>24</v>
      </c>
      <c r="I405" s="6" t="str">
        <f>IFERROR(__xludf.DUMMYFUNCTION("MAX(FILTER($H:$H,$E:$E=F405))"),"#N/A")</f>
        <v>#N/A</v>
      </c>
    </row>
    <row r="406">
      <c r="A406" s="4"/>
      <c r="C406" s="4" t="s">
        <v>9462</v>
      </c>
      <c r="D406" s="4" t="str">
        <f t="shared" si="1"/>
        <v>{"valorA":"de","valorB":18.0}</v>
      </c>
      <c r="E406" s="8" t="str">
        <f t="shared" si="2"/>
        <v>de</v>
      </c>
      <c r="F406" s="8"/>
      <c r="G406" s="8" t="str">
        <f t="shared" si="3"/>
        <v>18.0</v>
      </c>
      <c r="H406" s="9">
        <f t="shared" si="4"/>
        <v>18</v>
      </c>
      <c r="I406" s="6" t="str">
        <f>IFERROR(__xludf.DUMMYFUNCTION("MAX(FILTER($H:$H,$E:$E=F406))"),"#N/A")</f>
        <v>#N/A</v>
      </c>
    </row>
    <row r="407">
      <c r="A407" s="4"/>
      <c r="C407" s="4" t="s">
        <v>842</v>
      </c>
      <c r="D407" s="4" t="str">
        <f t="shared" si="1"/>
        <v>{"valorA":"scanner","valorB":2.0}</v>
      </c>
      <c r="E407" s="8" t="str">
        <f t="shared" si="2"/>
        <v>scanner</v>
      </c>
      <c r="F407" s="8"/>
      <c r="G407" s="8" t="str">
        <f t="shared" si="3"/>
        <v>2.0</v>
      </c>
      <c r="H407" s="9">
        <f t="shared" si="4"/>
        <v>2</v>
      </c>
      <c r="I407" s="6" t="str">
        <f>IFERROR(__xludf.DUMMYFUNCTION("MAX(FILTER($H:$H,$E:$E=F407))"),"#N/A")</f>
        <v>#N/A</v>
      </c>
    </row>
    <row r="408">
      <c r="A408" s="4"/>
      <c r="C408" s="4" t="s">
        <v>9463</v>
      </c>
      <c r="D408" s="4" t="str">
        <f t="shared" si="1"/>
        <v>{"valorA":"nota","valorB":2.0}</v>
      </c>
      <c r="E408" s="8" t="str">
        <f t="shared" si="2"/>
        <v>nota</v>
      </c>
      <c r="F408" s="8"/>
      <c r="G408" s="8" t="str">
        <f t="shared" si="3"/>
        <v>2.0</v>
      </c>
      <c r="H408" s="9">
        <f t="shared" si="4"/>
        <v>2</v>
      </c>
      <c r="I408" s="6" t="str">
        <f>IFERROR(__xludf.DUMMYFUNCTION("MAX(FILTER($H:$H,$E:$E=F408))"),"#N/A")</f>
        <v>#N/A</v>
      </c>
    </row>
    <row r="409">
      <c r="A409" s="4"/>
      <c r="C409" s="4" t="s">
        <v>464</v>
      </c>
      <c r="D409" s="4" t="str">
        <f t="shared" si="1"/>
        <v>{"valorA":"ótimo","valorB":44.0}</v>
      </c>
      <c r="E409" s="8" t="str">
        <f t="shared" si="2"/>
        <v>ótimo</v>
      </c>
      <c r="F409" s="8"/>
      <c r="G409" s="8" t="str">
        <f t="shared" si="3"/>
        <v>44.0</v>
      </c>
      <c r="H409" s="9">
        <f t="shared" si="4"/>
        <v>44</v>
      </c>
      <c r="I409" s="6" t="str">
        <f>IFERROR(__xludf.DUMMYFUNCTION("MAX(FILTER($H:$H,$E:$E=F409))"),"#N/A")</f>
        <v>#N/A</v>
      </c>
    </row>
    <row r="410">
      <c r="A410" s="4"/>
      <c r="C410" s="4" t="s">
        <v>4938</v>
      </c>
      <c r="D410" s="4" t="str">
        <f t="shared" si="1"/>
        <v>{"valorA":"fácil","valorB":11.0}</v>
      </c>
      <c r="E410" s="8" t="str">
        <f t="shared" si="2"/>
        <v>fácil</v>
      </c>
      <c r="F410" s="8"/>
      <c r="G410" s="8" t="str">
        <f t="shared" si="3"/>
        <v>11.0</v>
      </c>
      <c r="H410" s="9">
        <f t="shared" si="4"/>
        <v>11</v>
      </c>
      <c r="I410" s="6" t="str">
        <f>IFERROR(__xludf.DUMMYFUNCTION("MAX(FILTER($H:$H,$E:$E=F410))"),"#N/A")</f>
        <v>#N/A</v>
      </c>
    </row>
    <row r="411">
      <c r="A411" s="4"/>
      <c r="C411" s="4" t="s">
        <v>324</v>
      </c>
      <c r="D411" s="4" t="str">
        <f t="shared" si="1"/>
        <v>{"valorA":"funciona","valorB":6.0}</v>
      </c>
      <c r="E411" s="8" t="str">
        <f t="shared" si="2"/>
        <v>funciona</v>
      </c>
      <c r="F411" s="8"/>
      <c r="G411" s="8" t="str">
        <f t="shared" si="3"/>
        <v>6.0</v>
      </c>
      <c r="H411" s="9">
        <f t="shared" si="4"/>
        <v>6</v>
      </c>
      <c r="I411" s="6" t="str">
        <f>IFERROR(__xludf.DUMMYFUNCTION("MAX(FILTER($H:$H,$E:$E=F411))"),"#N/A")</f>
        <v>#N/A</v>
      </c>
    </row>
    <row r="412">
      <c r="A412" s="4"/>
      <c r="C412" s="4" t="s">
        <v>383</v>
      </c>
      <c r="D412" s="4" t="str">
        <f t="shared" si="1"/>
        <v>{"valorA":"recomendo","valorB":5.0}</v>
      </c>
      <c r="E412" s="8" t="str">
        <f t="shared" si="2"/>
        <v>recomendo</v>
      </c>
      <c r="F412" s="8"/>
      <c r="G412" s="8" t="str">
        <f t="shared" si="3"/>
        <v>5.0</v>
      </c>
      <c r="H412" s="9">
        <f t="shared" si="4"/>
        <v>5</v>
      </c>
      <c r="I412" s="6" t="str">
        <f>IFERROR(__xludf.DUMMYFUNCTION("MAX(FILTER($H:$H,$E:$E=F412))"),"#N/A")</f>
        <v>#N/A</v>
      </c>
    </row>
    <row r="413">
      <c r="A413" s="4"/>
      <c r="C413" s="4" t="s">
        <v>1647</v>
      </c>
      <c r="D413" s="4" t="str">
        <f t="shared" si="1"/>
        <v>{"valorA":"para","valorB":16.0}</v>
      </c>
      <c r="E413" s="8" t="str">
        <f t="shared" si="2"/>
        <v>para</v>
      </c>
      <c r="F413" s="8"/>
      <c r="G413" s="8" t="str">
        <f t="shared" si="3"/>
        <v>16.0</v>
      </c>
      <c r="H413" s="9">
        <f t="shared" si="4"/>
        <v>16</v>
      </c>
      <c r="I413" s="6" t="str">
        <f>IFERROR(__xludf.DUMMYFUNCTION("MAX(FILTER($H:$H,$E:$E=F413))"),"#N/A")</f>
        <v>#N/A</v>
      </c>
    </row>
    <row r="414">
      <c r="A414" s="4"/>
      <c r="C414" s="4" t="s">
        <v>692</v>
      </c>
      <c r="D414" s="4" t="str">
        <f t="shared" si="1"/>
        <v>{"valorA":"precisa","valorB":1.0}</v>
      </c>
      <c r="E414" s="8" t="str">
        <f t="shared" si="2"/>
        <v>precisa</v>
      </c>
      <c r="F414" s="8"/>
      <c r="G414" s="8" t="str">
        <f t="shared" si="3"/>
        <v>1.0</v>
      </c>
      <c r="H414" s="9">
        <f t="shared" si="4"/>
        <v>1</v>
      </c>
      <c r="I414" s="6" t="str">
        <f>IFERROR(__xludf.DUMMYFUNCTION("MAX(FILTER($H:$H,$E:$E=F414))"),"#N/A")</f>
        <v>#N/A</v>
      </c>
    </row>
    <row r="415">
      <c r="A415" s="4"/>
      <c r="C415" s="4" t="s">
        <v>9464</v>
      </c>
      <c r="D415" s="4" t="str">
        <f t="shared" si="1"/>
        <v>{"valorA":"quem","valorB":9.0}</v>
      </c>
      <c r="E415" s="8" t="str">
        <f t="shared" si="2"/>
        <v>quem</v>
      </c>
      <c r="F415" s="8"/>
      <c r="G415" s="8" t="str">
        <f t="shared" si="3"/>
        <v>9.0</v>
      </c>
      <c r="H415" s="9">
        <f t="shared" si="4"/>
        <v>9</v>
      </c>
      <c r="I415" s="6" t="str">
        <f>IFERROR(__xludf.DUMMYFUNCTION("MAX(FILTER($H:$H,$E:$E=F415))"),"#N/A")</f>
        <v>#N/A</v>
      </c>
    </row>
    <row r="416">
      <c r="A416" s="4"/>
      <c r="C416" s="4" t="s">
        <v>986</v>
      </c>
      <c r="D416" s="4" t="str">
        <f t="shared" si="1"/>
        <v>{"valorA":"escritório","valorB":1.0}</v>
      </c>
      <c r="E416" s="8" t="str">
        <f t="shared" si="2"/>
        <v>escritório</v>
      </c>
      <c r="F416" s="8"/>
      <c r="G416" s="8" t="str">
        <f t="shared" si="3"/>
        <v>1.0</v>
      </c>
      <c r="H416" s="9">
        <f t="shared" si="4"/>
        <v>1</v>
      </c>
      <c r="I416" s="6" t="str">
        <f>IFERROR(__xludf.DUMMYFUNCTION("MAX(FILTER($H:$H,$E:$E=F416))"),"#N/A")</f>
        <v>#N/A</v>
      </c>
    </row>
    <row r="417">
      <c r="A417" s="4"/>
      <c r="C417" s="4" t="s">
        <v>1628</v>
      </c>
      <c r="D417" s="4" t="str">
        <f t="shared" si="1"/>
        <v>{"valorA":"de","valorB":20.0}</v>
      </c>
      <c r="E417" s="8" t="str">
        <f t="shared" si="2"/>
        <v>de</v>
      </c>
      <c r="F417" s="8"/>
      <c r="G417" s="8" t="str">
        <f t="shared" si="3"/>
        <v>20.0</v>
      </c>
      <c r="H417" s="9">
        <f t="shared" si="4"/>
        <v>20</v>
      </c>
      <c r="I417" s="6" t="str">
        <f>IFERROR(__xludf.DUMMYFUNCTION("MAX(FILTER($H:$H,$E:$E=F417))"),"#N/A")</f>
        <v>#N/A</v>
      </c>
    </row>
    <row r="418">
      <c r="A418" s="4"/>
      <c r="C418" s="4" t="s">
        <v>780</v>
      </c>
      <c r="D418" s="4" t="str">
        <f t="shared" si="1"/>
        <v>{"valorA":"produto","valorB":27.0}</v>
      </c>
      <c r="E418" s="8" t="str">
        <f t="shared" si="2"/>
        <v>produto</v>
      </c>
      <c r="F418" s="8"/>
      <c r="G418" s="8" t="str">
        <f t="shared" si="3"/>
        <v>27.0</v>
      </c>
      <c r="H418" s="9">
        <f t="shared" si="4"/>
        <v>27</v>
      </c>
      <c r="I418" s="6" t="str">
        <f>IFERROR(__xludf.DUMMYFUNCTION("MAX(FILTER($H:$H,$E:$E=F418))"),"#N/A")</f>
        <v>#N/A</v>
      </c>
    </row>
    <row r="419">
      <c r="A419" s="4"/>
      <c r="C419" s="4" t="s">
        <v>9465</v>
      </c>
      <c r="D419" s="4" t="str">
        <f t="shared" si="1"/>
        <v>{"valorA":"uma","valorB":10.0}</v>
      </c>
      <c r="E419" s="8" t="str">
        <f t="shared" si="2"/>
        <v>uma</v>
      </c>
      <c r="F419" s="8"/>
      <c r="G419" s="8" t="str">
        <f t="shared" si="3"/>
        <v>10.0</v>
      </c>
      <c r="H419" s="9">
        <f t="shared" si="4"/>
        <v>10</v>
      </c>
      <c r="I419" s="6" t="str">
        <f>IFERROR(__xludf.DUMMYFUNCTION("MAX(FILTER($H:$H,$E:$E=F419))"),"#N/A")</f>
        <v>#N/A</v>
      </c>
    </row>
    <row r="420">
      <c r="A420" s="4"/>
      <c r="C420" s="4" t="s">
        <v>830</v>
      </c>
      <c r="D420" s="4" t="str">
        <f t="shared" si="1"/>
        <v>{"valorA":"ótimo","valorB":45.0}</v>
      </c>
      <c r="E420" s="8" t="str">
        <f t="shared" si="2"/>
        <v>ótimo</v>
      </c>
      <c r="F420" s="8"/>
      <c r="G420" s="8" t="str">
        <f t="shared" si="3"/>
        <v>45.0</v>
      </c>
      <c r="H420" s="9">
        <f t="shared" si="4"/>
        <v>45</v>
      </c>
      <c r="I420" s="6" t="str">
        <f>IFERROR(__xludf.DUMMYFUNCTION("MAX(FILTER($H:$H,$E:$E=F420))"),"#N/A")</f>
        <v>#N/A</v>
      </c>
    </row>
    <row r="421">
      <c r="A421" s="4"/>
      <c r="C421" s="4" t="s">
        <v>5519</v>
      </c>
      <c r="D421" s="4" t="str">
        <f t="shared" si="1"/>
        <v>{"valorA":"mesa","valorB":1.0}</v>
      </c>
      <c r="E421" s="8" t="str">
        <f t="shared" si="2"/>
        <v>mesa</v>
      </c>
      <c r="F421" s="8"/>
      <c r="G421" s="8" t="str">
        <f t="shared" si="3"/>
        <v>1.0</v>
      </c>
      <c r="H421" s="9">
        <f t="shared" si="4"/>
        <v>1</v>
      </c>
      <c r="I421" s="6" t="str">
        <f>IFERROR(__xludf.DUMMYFUNCTION("MAX(FILTER($H:$H,$E:$E=F421))"),"#N/A")</f>
        <v>#N/A</v>
      </c>
    </row>
    <row r="422">
      <c r="A422" s="4"/>
      <c r="C422" s="4" t="s">
        <v>831</v>
      </c>
      <c r="D422" s="4" t="str">
        <f t="shared" si="1"/>
        <v>{"valorA":"meu","valorB":5.0}</v>
      </c>
      <c r="E422" s="8" t="str">
        <f t="shared" si="2"/>
        <v>meu</v>
      </c>
      <c r="F422" s="8"/>
      <c r="G422" s="8" t="str">
        <f t="shared" si="3"/>
        <v>5.0</v>
      </c>
      <c r="H422" s="9">
        <f t="shared" si="4"/>
        <v>5</v>
      </c>
      <c r="I422" s="6" t="str">
        <f>IFERROR(__xludf.DUMMYFUNCTION("MAX(FILTER($H:$H,$E:$E=F422))"),"#N/A")</f>
        <v>#N/A</v>
      </c>
    </row>
    <row r="423">
      <c r="A423" s="4"/>
      <c r="C423" s="4" t="s">
        <v>750</v>
      </c>
      <c r="D423" s="4" t="str">
        <f t="shared" si="1"/>
        <v>{"valorA":"ótima","valorB":1.0}</v>
      </c>
      <c r="E423" s="8" t="str">
        <f t="shared" si="2"/>
        <v>ótima</v>
      </c>
      <c r="F423" s="8"/>
      <c r="G423" s="8" t="str">
        <f t="shared" si="3"/>
        <v>1.0</v>
      </c>
      <c r="H423" s="9">
        <f t="shared" si="4"/>
        <v>1</v>
      </c>
      <c r="I423" s="6" t="str">
        <f>IFERROR(__xludf.DUMMYFUNCTION("MAX(FILTER($H:$H,$E:$E=F423))"),"#N/A")</f>
        <v>#N/A</v>
      </c>
    </row>
    <row r="424">
      <c r="A424" s="4"/>
      <c r="C424" s="4" t="s">
        <v>655</v>
      </c>
      <c r="D424" s="4" t="str">
        <f t="shared" si="1"/>
        <v>{"valorA":"o","valorB":5.0}</v>
      </c>
      <c r="E424" s="8" t="str">
        <f t="shared" si="2"/>
        <v>o</v>
      </c>
      <c r="F424" s="8"/>
      <c r="G424" s="8" t="str">
        <f t="shared" si="3"/>
        <v>5.0</v>
      </c>
      <c r="H424" s="9">
        <f t="shared" si="4"/>
        <v>5</v>
      </c>
      <c r="I424" s="6" t="str">
        <f>IFERROR(__xludf.DUMMYFUNCTION("MAX(FILTER($H:$H,$E:$E=F424))"),"#N/A")</f>
        <v>#N/A</v>
      </c>
    </row>
    <row r="425">
      <c r="A425" s="4"/>
      <c r="C425" s="4" t="s">
        <v>9466</v>
      </c>
      <c r="D425" s="4" t="str">
        <f t="shared" si="1"/>
        <v>{"valorA":"scanner","valorB":3.0}</v>
      </c>
      <c r="E425" s="8" t="str">
        <f t="shared" si="2"/>
        <v>scanner</v>
      </c>
      <c r="F425" s="8"/>
      <c r="G425" s="8" t="str">
        <f t="shared" si="3"/>
        <v>3.0</v>
      </c>
      <c r="H425" s="9">
        <f t="shared" si="4"/>
        <v>3</v>
      </c>
      <c r="I425" s="6" t="str">
        <f>IFERROR(__xludf.DUMMYFUNCTION("MAX(FILTER($H:$H,$E:$E=F425))"),"#N/A")</f>
        <v>#N/A</v>
      </c>
    </row>
    <row r="426">
      <c r="A426" s="4"/>
      <c r="C426" s="4" t="s">
        <v>835</v>
      </c>
      <c r="D426" s="4" t="str">
        <f t="shared" si="1"/>
        <v>{"valorA":"ótimo","valorB":46.0}</v>
      </c>
      <c r="E426" s="8" t="str">
        <f t="shared" si="2"/>
        <v>ótimo</v>
      </c>
      <c r="F426" s="8"/>
      <c r="G426" s="8" t="str">
        <f t="shared" si="3"/>
        <v>46.0</v>
      </c>
      <c r="H426" s="9">
        <f t="shared" si="4"/>
        <v>46</v>
      </c>
      <c r="I426" s="6" t="str">
        <f>IFERROR(__xludf.DUMMYFUNCTION("MAX(FILTER($H:$H,$E:$E=F426))"),"#N/A")</f>
        <v>#N/A</v>
      </c>
    </row>
    <row r="427">
      <c r="A427" s="4"/>
      <c r="C427" s="4" t="s">
        <v>803</v>
      </c>
      <c r="D427" s="4" t="str">
        <f t="shared" si="1"/>
        <v>{"valorA":"perfeitamente","valorB":3.0}</v>
      </c>
      <c r="E427" s="8" t="str">
        <f t="shared" si="2"/>
        <v>perfeitamente</v>
      </c>
      <c r="F427" s="8"/>
      <c r="G427" s="8" t="str">
        <f t="shared" si="3"/>
        <v>3.0</v>
      </c>
      <c r="H427" s="9">
        <f t="shared" si="4"/>
        <v>3</v>
      </c>
      <c r="I427" s="6" t="str">
        <f>IFERROR(__xludf.DUMMYFUNCTION("MAX(FILTER($H:$H,$E:$E=F427))"),"#N/A")</f>
        <v>#N/A</v>
      </c>
    </row>
    <row r="428">
      <c r="A428" s="4"/>
      <c r="C428" s="4" t="s">
        <v>343</v>
      </c>
      <c r="D428" s="4" t="str">
        <f t="shared" si="1"/>
        <v>{"valorA":"funciona","valorB":7.0}</v>
      </c>
      <c r="E428" s="8" t="str">
        <f t="shared" si="2"/>
        <v>funciona</v>
      </c>
      <c r="F428" s="8"/>
      <c r="G428" s="8" t="str">
        <f t="shared" si="3"/>
        <v>7.0</v>
      </c>
      <c r="H428" s="9">
        <f t="shared" si="4"/>
        <v>7</v>
      </c>
      <c r="I428" s="6" t="str">
        <f>IFERROR(__xludf.DUMMYFUNCTION("MAX(FILTER($H:$H,$E:$E=F428))"),"#N/A")</f>
        <v>#N/A</v>
      </c>
    </row>
    <row r="429">
      <c r="A429" s="4"/>
      <c r="C429" s="4" t="s">
        <v>305</v>
      </c>
      <c r="D429" s="4" t="str">
        <f t="shared" si="1"/>
        <v>{"valorA":"é","valorB":4.0}</v>
      </c>
      <c r="E429" s="8" t="str">
        <f t="shared" si="2"/>
        <v>é</v>
      </c>
      <c r="F429" s="8"/>
      <c r="G429" s="8" t="str">
        <f t="shared" si="3"/>
        <v>4.0</v>
      </c>
      <c r="H429" s="9">
        <f t="shared" si="4"/>
        <v>4</v>
      </c>
      <c r="I429" s="6" t="str">
        <f>IFERROR(__xludf.DUMMYFUNCTION("MAX(FILTER($H:$H,$E:$E=F429))"),"#N/A")</f>
        <v>#N/A</v>
      </c>
    </row>
    <row r="430">
      <c r="A430" s="4"/>
      <c r="C430" s="4" t="s">
        <v>839</v>
      </c>
      <c r="D430" s="4" t="str">
        <f t="shared" si="1"/>
        <v>{"valorA":"meu","valorB":6.0}</v>
      </c>
      <c r="E430" s="8" t="str">
        <f t="shared" si="2"/>
        <v>meu</v>
      </c>
      <c r="F430" s="8"/>
      <c r="G430" s="8" t="str">
        <f t="shared" si="3"/>
        <v>6.0</v>
      </c>
      <c r="H430" s="9">
        <f t="shared" si="4"/>
        <v>6</v>
      </c>
      <c r="I430" s="6" t="str">
        <f>IFERROR(__xludf.DUMMYFUNCTION("MAX(FILTER($H:$H,$E:$E=F430))"),"#N/A")</f>
        <v>#N/A</v>
      </c>
    </row>
    <row r="431">
      <c r="A431" s="4"/>
      <c r="C431" s="4" t="s">
        <v>330</v>
      </c>
      <c r="D431" s="4" t="str">
        <f t="shared" si="1"/>
        <v>{"valorA":"bem","valorB":6.0}</v>
      </c>
      <c r="E431" s="8" t="str">
        <f t="shared" si="2"/>
        <v>bem</v>
      </c>
      <c r="F431" s="8"/>
      <c r="G431" s="8" t="str">
        <f t="shared" si="3"/>
        <v>6.0</v>
      </c>
      <c r="H431" s="9">
        <f t="shared" si="4"/>
        <v>6</v>
      </c>
      <c r="I431" s="6" t="str">
        <f>IFERROR(__xludf.DUMMYFUNCTION("MAX(FILTER($H:$H,$E:$E=F431))"),"#N/A")</f>
        <v>#N/A</v>
      </c>
    </row>
    <row r="432">
      <c r="A432" s="4"/>
      <c r="C432" s="4" t="s">
        <v>731</v>
      </c>
      <c r="D432" s="4" t="str">
        <f t="shared" si="1"/>
        <v>{"valorA":"bom","valorB":4.0}</v>
      </c>
      <c r="E432" s="8" t="str">
        <f t="shared" si="2"/>
        <v>bom</v>
      </c>
      <c r="F432" s="8"/>
      <c r="G432" s="8" t="str">
        <f t="shared" si="3"/>
        <v>4.0</v>
      </c>
      <c r="H432" s="9">
        <f t="shared" si="4"/>
        <v>4</v>
      </c>
      <c r="I432" s="6" t="str">
        <f>IFERROR(__xludf.DUMMYFUNCTION("MAX(FILTER($H:$H,$E:$E=F432))"),"#N/A")</f>
        <v>#N/A</v>
      </c>
    </row>
    <row r="433">
      <c r="A433" s="4"/>
      <c r="C433" s="4" t="s">
        <v>409</v>
      </c>
      <c r="D433" s="4" t="str">
        <f t="shared" si="1"/>
        <v>{"valorA":"o","valorB":6.0}</v>
      </c>
      <c r="E433" s="8" t="str">
        <f t="shared" si="2"/>
        <v>o</v>
      </c>
      <c r="F433" s="8"/>
      <c r="G433" s="8" t="str">
        <f t="shared" si="3"/>
        <v>6.0</v>
      </c>
      <c r="H433" s="9">
        <f t="shared" si="4"/>
        <v>6</v>
      </c>
      <c r="I433" s="6" t="str">
        <f>IFERROR(__xludf.DUMMYFUNCTION("MAX(FILTER($H:$H,$E:$E=F433))"),"#N/A")</f>
        <v>#N/A</v>
      </c>
    </row>
    <row r="434">
      <c r="A434" s="4"/>
      <c r="C434" s="4" t="s">
        <v>9467</v>
      </c>
      <c r="D434" s="4" t="str">
        <f t="shared" si="1"/>
        <v>{"valorA":"monitor","valorB":5.0}</v>
      </c>
      <c r="E434" s="8" t="str">
        <f t="shared" si="2"/>
        <v>monitor</v>
      </c>
      <c r="F434" s="8"/>
      <c r="G434" s="8" t="str">
        <f t="shared" si="3"/>
        <v>5.0</v>
      </c>
      <c r="H434" s="9">
        <f t="shared" si="4"/>
        <v>5</v>
      </c>
      <c r="I434" s="6" t="str">
        <f>IFERROR(__xludf.DUMMYFUNCTION("MAX(FILTER($H:$H,$E:$E=F434))"),"#N/A")</f>
        <v>#N/A</v>
      </c>
    </row>
    <row r="435">
      <c r="A435" s="4"/>
      <c r="C435" s="4" t="s">
        <v>484</v>
      </c>
      <c r="D435" s="4" t="str">
        <f t="shared" si="1"/>
        <v>{"valorA":"ótimo","valorB":47.0}</v>
      </c>
      <c r="E435" s="8" t="str">
        <f t="shared" si="2"/>
        <v>ótimo</v>
      </c>
      <c r="F435" s="8"/>
      <c r="G435" s="8" t="str">
        <f t="shared" si="3"/>
        <v>47.0</v>
      </c>
      <c r="H435" s="9">
        <f t="shared" si="4"/>
        <v>47</v>
      </c>
      <c r="I435" s="6" t="str">
        <f>IFERROR(__xludf.DUMMYFUNCTION("MAX(FILTER($H:$H,$E:$E=F435))"),"#N/A")</f>
        <v>#N/A</v>
      </c>
    </row>
    <row r="436">
      <c r="A436" s="4"/>
      <c r="C436" s="4" t="s">
        <v>1333</v>
      </c>
      <c r="D436" s="4" t="str">
        <f t="shared" si="1"/>
        <v>{"valorA":"muito","valorB":18.0}</v>
      </c>
      <c r="E436" s="8" t="str">
        <f t="shared" si="2"/>
        <v>muito</v>
      </c>
      <c r="F436" s="8"/>
      <c r="G436" s="8" t="str">
        <f t="shared" si="3"/>
        <v>18.0</v>
      </c>
      <c r="H436" s="9">
        <f t="shared" si="4"/>
        <v>18</v>
      </c>
      <c r="I436" s="6" t="str">
        <f>IFERROR(__xludf.DUMMYFUNCTION("MAX(FILTER($H:$H,$E:$E=F436))"),"#N/A")</f>
        <v>#N/A</v>
      </c>
    </row>
    <row r="437">
      <c r="A437" s="4"/>
      <c r="C437" s="4" t="s">
        <v>341</v>
      </c>
      <c r="D437" s="4" t="str">
        <f t="shared" si="1"/>
        <v>{"valorA":"compra","valorB":2.0}</v>
      </c>
      <c r="E437" s="8" t="str">
        <f t="shared" si="2"/>
        <v>compra</v>
      </c>
      <c r="F437" s="8"/>
      <c r="G437" s="8" t="str">
        <f t="shared" si="3"/>
        <v>2.0</v>
      </c>
      <c r="H437" s="9">
        <f t="shared" si="4"/>
        <v>2</v>
      </c>
      <c r="I437" s="6" t="str">
        <f>IFERROR(__xludf.DUMMYFUNCTION("MAX(FILTER($H:$H,$E:$E=F437))"),"#N/A")</f>
        <v>#N/A</v>
      </c>
    </row>
    <row r="438">
      <c r="A438" s="4"/>
      <c r="C438" s="4" t="s">
        <v>363</v>
      </c>
      <c r="D438" s="4" t="str">
        <f t="shared" si="1"/>
        <v>{"valorA":"funciona","valorB":8.0}</v>
      </c>
      <c r="E438" s="8" t="str">
        <f t="shared" si="2"/>
        <v>funciona</v>
      </c>
      <c r="F438" s="8"/>
      <c r="G438" s="8" t="str">
        <f t="shared" si="3"/>
        <v>8.0</v>
      </c>
      <c r="H438" s="9">
        <f t="shared" si="4"/>
        <v>8</v>
      </c>
      <c r="I438" s="6" t="str">
        <f>IFERROR(__xludf.DUMMYFUNCTION("MAX(FILTER($H:$H,$E:$E=F438))"),"#N/A")</f>
        <v>#N/A</v>
      </c>
    </row>
    <row r="439">
      <c r="A439" s="4"/>
      <c r="C439" s="4" t="s">
        <v>1249</v>
      </c>
      <c r="D439" s="4" t="str">
        <f t="shared" si="1"/>
        <v>{"valorA":"frigorífico","valorB":1.0}</v>
      </c>
      <c r="E439" s="8" t="str">
        <f t="shared" si="2"/>
        <v>frigorífico</v>
      </c>
      <c r="F439" s="8"/>
      <c r="G439" s="8" t="str">
        <f t="shared" si="3"/>
        <v>1.0</v>
      </c>
      <c r="H439" s="9">
        <f t="shared" si="4"/>
        <v>1</v>
      </c>
      <c r="I439" s="6" t="str">
        <f>IFERROR(__xludf.DUMMYFUNCTION("MAX(FILTER($H:$H,$E:$E=F439))"),"#N/A")</f>
        <v>#N/A</v>
      </c>
    </row>
    <row r="440">
      <c r="A440" s="4"/>
      <c r="C440" s="4" t="s">
        <v>858</v>
      </c>
      <c r="D440" s="4" t="str">
        <f t="shared" si="1"/>
        <v>{"valorA":"ótimo","valorB":48.0}</v>
      </c>
      <c r="E440" s="8" t="str">
        <f t="shared" si="2"/>
        <v>ótimo</v>
      </c>
      <c r="F440" s="8"/>
      <c r="G440" s="8" t="str">
        <f t="shared" si="3"/>
        <v>48.0</v>
      </c>
      <c r="H440" s="9">
        <f t="shared" si="4"/>
        <v>48</v>
      </c>
      <c r="I440" s="6" t="str">
        <f>IFERROR(__xludf.DUMMYFUNCTION("MAX(FILTER($H:$H,$E:$E=F440))"),"#N/A")</f>
        <v>#N/A</v>
      </c>
    </row>
    <row r="441">
      <c r="A441" s="4"/>
      <c r="C441" s="4" t="s">
        <v>4925</v>
      </c>
      <c r="D441" s="4" t="str">
        <f t="shared" si="1"/>
        <v>{"valorA":"para","valorB":17.0}</v>
      </c>
      <c r="E441" s="8" t="str">
        <f t="shared" si="2"/>
        <v>para</v>
      </c>
      <c r="F441" s="8"/>
      <c r="G441" s="8" t="str">
        <f t="shared" si="3"/>
        <v>17.0</v>
      </c>
      <c r="H441" s="9">
        <f t="shared" si="4"/>
        <v>17</v>
      </c>
      <c r="I441" s="6" t="str">
        <f>IFERROR(__xludf.DUMMYFUNCTION("MAX(FILTER($H:$H,$E:$E=F441))"),"#N/A")</f>
        <v>#N/A</v>
      </c>
    </row>
    <row r="442">
      <c r="A442" s="4"/>
      <c r="C442" s="4" t="s">
        <v>632</v>
      </c>
      <c r="D442" s="4" t="str">
        <f t="shared" si="1"/>
        <v>{"valorA":"bonito","valorB":1.0}</v>
      </c>
      <c r="E442" s="8" t="str">
        <f t="shared" si="2"/>
        <v>bonito</v>
      </c>
      <c r="F442" s="8"/>
      <c r="G442" s="8" t="str">
        <f t="shared" si="3"/>
        <v>1.0</v>
      </c>
      <c r="H442" s="9">
        <f t="shared" si="4"/>
        <v>1</v>
      </c>
      <c r="I442" s="6" t="str">
        <f>IFERROR(__xludf.DUMMYFUNCTION("MAX(FILTER($H:$H,$E:$E=F442))"),"#N/A")</f>
        <v>#N/A</v>
      </c>
    </row>
    <row r="443">
      <c r="A443" s="4"/>
      <c r="C443" s="4" t="s">
        <v>9468</v>
      </c>
      <c r="D443" s="4" t="str">
        <f t="shared" si="1"/>
        <v>{"valorA":"quem","valorB":10.0}</v>
      </c>
      <c r="E443" s="8" t="str">
        <f t="shared" si="2"/>
        <v>quem</v>
      </c>
      <c r="F443" s="8"/>
      <c r="G443" s="8" t="str">
        <f t="shared" si="3"/>
        <v>10.0</v>
      </c>
      <c r="H443" s="9">
        <f t="shared" si="4"/>
        <v>10</v>
      </c>
      <c r="I443" s="6" t="str">
        <f>IFERROR(__xludf.DUMMYFUNCTION("MAX(FILTER($H:$H,$E:$E=F443))"),"#N/A")</f>
        <v>#N/A</v>
      </c>
    </row>
    <row r="444">
      <c r="A444" s="4"/>
      <c r="C444" s="4" t="s">
        <v>9469</v>
      </c>
      <c r="D444" s="4" t="str">
        <f t="shared" si="1"/>
        <v>{"valorA":"e","valorB":25.0}</v>
      </c>
      <c r="E444" s="8" t="str">
        <f t="shared" si="2"/>
        <v>e</v>
      </c>
      <c r="F444" s="8"/>
      <c r="G444" s="8" t="str">
        <f t="shared" si="3"/>
        <v>25.0</v>
      </c>
      <c r="H444" s="9">
        <f t="shared" si="4"/>
        <v>25</v>
      </c>
      <c r="I444" s="6" t="str">
        <f>IFERROR(__xludf.DUMMYFUNCTION("MAX(FILTER($H:$H,$E:$E=F444))"),"#N/A")</f>
        <v>#N/A</v>
      </c>
    </row>
    <row r="445">
      <c r="A445" s="4"/>
      <c r="C445" s="4" t="s">
        <v>9470</v>
      </c>
      <c r="D445" s="4" t="str">
        <f t="shared" si="1"/>
        <v>{"valorA":"buzio","valorB":1.0}</v>
      </c>
      <c r="E445" s="8" t="str">
        <f t="shared" si="2"/>
        <v>buzio</v>
      </c>
      <c r="F445" s="8"/>
      <c r="G445" s="8" t="str">
        <f t="shared" si="3"/>
        <v>1.0</v>
      </c>
      <c r="H445" s="9">
        <f t="shared" si="4"/>
        <v>1</v>
      </c>
      <c r="I445" s="6" t="str">
        <f>IFERROR(__xludf.DUMMYFUNCTION("MAX(FILTER($H:$H,$E:$E=F445))"),"#N/A")</f>
        <v>#N/A</v>
      </c>
    </row>
    <row r="446">
      <c r="A446" s="4"/>
      <c r="C446" s="4" t="s">
        <v>1069</v>
      </c>
      <c r="D446" s="4" t="str">
        <f t="shared" si="1"/>
        <v>{"valorA":"funcional","valorB":1.0}</v>
      </c>
      <c r="E446" s="8" t="str">
        <f t="shared" si="2"/>
        <v>funcional</v>
      </c>
      <c r="F446" s="8"/>
      <c r="G446" s="8" t="str">
        <f t="shared" si="3"/>
        <v>1.0</v>
      </c>
      <c r="H446" s="9">
        <f t="shared" si="4"/>
        <v>1</v>
      </c>
      <c r="I446" s="6" t="str">
        <f>IFERROR(__xludf.DUMMYFUNCTION("MAX(FILTER($H:$H,$E:$E=F446))"),"#N/A")</f>
        <v>#N/A</v>
      </c>
    </row>
    <row r="447">
      <c r="A447" s="4"/>
      <c r="C447" s="4" t="s">
        <v>443</v>
      </c>
      <c r="D447" s="4" t="str">
        <f t="shared" si="1"/>
        <v>{"valorA":"produto","valorB":28.0}</v>
      </c>
      <c r="E447" s="8" t="str">
        <f t="shared" si="2"/>
        <v>produto</v>
      </c>
      <c r="F447" s="8"/>
      <c r="G447" s="8" t="str">
        <f t="shared" si="3"/>
        <v>28.0</v>
      </c>
      <c r="H447" s="9">
        <f t="shared" si="4"/>
        <v>28</v>
      </c>
      <c r="I447" s="6" t="str">
        <f>IFERROR(__xludf.DUMMYFUNCTION("MAX(FILTER($H:$H,$E:$E=F447))"),"#N/A")</f>
        <v>#N/A</v>
      </c>
    </row>
    <row r="448">
      <c r="A448" s="4"/>
      <c r="C448" s="4" t="s">
        <v>9471</v>
      </c>
      <c r="D448" s="4" t="str">
        <f t="shared" si="1"/>
        <v>{"valorA":"busca","valorB":8.0}</v>
      </c>
      <c r="E448" s="8" t="str">
        <f t="shared" si="2"/>
        <v>busca</v>
      </c>
      <c r="F448" s="8"/>
      <c r="G448" s="8" t="str">
        <f t="shared" si="3"/>
        <v>8.0</v>
      </c>
      <c r="H448" s="9">
        <f t="shared" si="4"/>
        <v>8</v>
      </c>
      <c r="I448" s="6" t="str">
        <f>IFERROR(__xludf.DUMMYFUNCTION("MAX(FILTER($H:$H,$E:$E=F448))"),"#N/A")</f>
        <v>#N/A</v>
      </c>
    </row>
    <row r="449">
      <c r="A449" s="4"/>
      <c r="C449" s="4" t="s">
        <v>775</v>
      </c>
      <c r="D449" s="4" t="str">
        <f t="shared" si="1"/>
        <v>{"valorA":"um","valorB":7.0}</v>
      </c>
      <c r="E449" s="8" t="str">
        <f t="shared" si="2"/>
        <v>um</v>
      </c>
      <c r="F449" s="8"/>
      <c r="G449" s="8" t="str">
        <f t="shared" si="3"/>
        <v>7.0</v>
      </c>
      <c r="H449" s="9">
        <f t="shared" si="4"/>
        <v>7</v>
      </c>
      <c r="I449" s="6" t="str">
        <f>IFERROR(__xludf.DUMMYFUNCTION("MAX(FILTER($H:$H,$E:$E=F449))"),"#N/A")</f>
        <v>#N/A</v>
      </c>
    </row>
    <row r="450">
      <c r="A450" s="4"/>
      <c r="C450" s="4" t="s">
        <v>494</v>
      </c>
      <c r="D450" s="4" t="str">
        <f t="shared" si="1"/>
        <v>{"valorA":"ótimo","valorB":49.0}</v>
      </c>
      <c r="E450" s="8" t="str">
        <f t="shared" si="2"/>
        <v>ótimo</v>
      </c>
      <c r="F450" s="8"/>
      <c r="G450" s="8" t="str">
        <f t="shared" si="3"/>
        <v>49.0</v>
      </c>
      <c r="H450" s="9">
        <f t="shared" si="4"/>
        <v>49</v>
      </c>
      <c r="I450" s="6" t="str">
        <f>IFERROR(__xludf.DUMMYFUNCTION("MAX(FILTER($H:$H,$E:$E=F450))"),"#N/A")</f>
        <v>#N/A</v>
      </c>
    </row>
    <row r="451">
      <c r="A451" s="4"/>
      <c r="C451" s="4" t="s">
        <v>4941</v>
      </c>
      <c r="D451" s="4" t="str">
        <f t="shared" si="1"/>
        <v>{"valorA":"para","valorB":19.0}</v>
      </c>
      <c r="E451" s="8" t="str">
        <f t="shared" si="2"/>
        <v>para</v>
      </c>
      <c r="F451" s="8"/>
      <c r="G451" s="8" t="str">
        <f t="shared" si="3"/>
        <v>19.0</v>
      </c>
      <c r="H451" s="9">
        <f t="shared" si="4"/>
        <v>19</v>
      </c>
      <c r="I451" s="6" t="str">
        <f>IFERROR(__xludf.DUMMYFUNCTION("MAX(FILTER($H:$H,$E:$E=F451))"),"#N/A")</f>
        <v>#N/A</v>
      </c>
    </row>
    <row r="452">
      <c r="A452" s="4"/>
      <c r="C452" s="4" t="s">
        <v>1082</v>
      </c>
      <c r="D452" s="4" t="str">
        <f t="shared" si="1"/>
        <v>{"valorA":"coisas","valorB":1.0}</v>
      </c>
      <c r="E452" s="8" t="str">
        <f t="shared" si="2"/>
        <v>coisas</v>
      </c>
      <c r="F452" s="8"/>
      <c r="G452" s="8" t="str">
        <f t="shared" si="3"/>
        <v>1.0</v>
      </c>
      <c r="H452" s="9">
        <f t="shared" si="4"/>
        <v>1</v>
      </c>
      <c r="I452" s="6" t="str">
        <f>IFERROR(__xludf.DUMMYFUNCTION("MAX(FILTER($H:$H,$E:$E=F452))"),"#N/A")</f>
        <v>#N/A</v>
      </c>
    </row>
    <row r="453">
      <c r="A453" s="4"/>
      <c r="C453" s="4" t="s">
        <v>9472</v>
      </c>
      <c r="D453" s="4" t="str">
        <f t="shared" si="1"/>
        <v>{"valorA":"quem","valorB":11.0}</v>
      </c>
      <c r="E453" s="8" t="str">
        <f t="shared" si="2"/>
        <v>quem</v>
      </c>
      <c r="F453" s="8"/>
      <c r="G453" s="8" t="str">
        <f t="shared" si="3"/>
        <v>11.0</v>
      </c>
      <c r="H453" s="9">
        <f t="shared" si="4"/>
        <v>11</v>
      </c>
      <c r="I453" s="6" t="str">
        <f>IFERROR(__xludf.DUMMYFUNCTION("MAX(FILTER($H:$H,$E:$E=F453))"),"#N/A")</f>
        <v>#N/A</v>
      </c>
    </row>
    <row r="454">
      <c r="A454" s="4"/>
      <c r="C454" s="4" t="s">
        <v>809</v>
      </c>
      <c r="D454" s="4" t="str">
        <f t="shared" si="1"/>
        <v>{"valorA":"produto","valorB":29.0}</v>
      </c>
      <c r="E454" s="8" t="str">
        <f t="shared" si="2"/>
        <v>produto</v>
      </c>
      <c r="F454" s="8"/>
      <c r="G454" s="8" t="str">
        <f t="shared" si="3"/>
        <v>29.0</v>
      </c>
      <c r="H454" s="9">
        <f t="shared" si="4"/>
        <v>29</v>
      </c>
      <c r="I454" s="6" t="str">
        <f>IFERROR(__xludf.DUMMYFUNCTION("MAX(FILTER($H:$H,$E:$E=F454))"),"#N/A")</f>
        <v>#N/A</v>
      </c>
    </row>
    <row r="455">
      <c r="A455" s="4"/>
      <c r="C455" s="4" t="s">
        <v>1332</v>
      </c>
      <c r="D455" s="4" t="str">
        <f t="shared" si="1"/>
        <v>{"valorA":"gostei","valorB":9.0}</v>
      </c>
      <c r="E455" s="8" t="str">
        <f t="shared" si="2"/>
        <v>gostei</v>
      </c>
      <c r="F455" s="8"/>
      <c r="G455" s="8" t="str">
        <f t="shared" si="3"/>
        <v>9.0</v>
      </c>
      <c r="H455" s="9">
        <f t="shared" si="4"/>
        <v>9</v>
      </c>
      <c r="I455" s="6" t="str">
        <f>IFERROR(__xludf.DUMMYFUNCTION("MAX(FILTER($H:$H,$E:$E=F455))"),"#N/A")</f>
        <v>#N/A</v>
      </c>
    </row>
    <row r="456">
      <c r="A456" s="4"/>
      <c r="C456" s="4" t="s">
        <v>9473</v>
      </c>
      <c r="D456" s="4" t="str">
        <f t="shared" si="1"/>
        <v>{"valorA":"guardar","valorB":1.0}</v>
      </c>
      <c r="E456" s="8" t="str">
        <f t="shared" si="2"/>
        <v>guardar</v>
      </c>
      <c r="F456" s="8"/>
      <c r="G456" s="8" t="str">
        <f t="shared" si="3"/>
        <v>1.0</v>
      </c>
      <c r="H456" s="9">
        <f t="shared" si="4"/>
        <v>1</v>
      </c>
      <c r="I456" s="6" t="str">
        <f>IFERROR(__xludf.DUMMYFUNCTION("MAX(FILTER($H:$H,$E:$E=F456))"),"#N/A")</f>
        <v>#N/A</v>
      </c>
    </row>
    <row r="457">
      <c r="A457" s="4"/>
      <c r="C457" s="4" t="s">
        <v>1027</v>
      </c>
      <c r="D457" s="4" t="str">
        <f t="shared" si="1"/>
        <v>{"valorA":"tem","valorB":1.0}</v>
      </c>
      <c r="E457" s="8" t="str">
        <f t="shared" si="2"/>
        <v>tem</v>
      </c>
      <c r="F457" s="8"/>
      <c r="G457" s="8" t="str">
        <f t="shared" si="3"/>
        <v>1.0</v>
      </c>
      <c r="H457" s="9">
        <f t="shared" si="4"/>
        <v>1</v>
      </c>
      <c r="I457" s="6" t="str">
        <f>IFERROR(__xludf.DUMMYFUNCTION("MAX(FILTER($H:$H,$E:$E=F457))"),"#N/A")</f>
        <v>#N/A</v>
      </c>
    </row>
    <row r="458">
      <c r="A458" s="4"/>
      <c r="C458" s="4" t="s">
        <v>1488</v>
      </c>
      <c r="D458" s="4" t="str">
        <f t="shared" si="1"/>
        <v>{"valorA":"muito","valorB":19.0}</v>
      </c>
      <c r="E458" s="8" t="str">
        <f t="shared" si="2"/>
        <v>muito</v>
      </c>
      <c r="F458" s="8"/>
      <c r="G458" s="8" t="str">
        <f t="shared" si="3"/>
        <v>19.0</v>
      </c>
      <c r="H458" s="9">
        <f t="shared" si="4"/>
        <v>19</v>
      </c>
      <c r="I458" s="6" t="str">
        <f>IFERROR(__xludf.DUMMYFUNCTION("MAX(FILTER($H:$H,$E:$E=F458))"),"#N/A")</f>
        <v>#N/A</v>
      </c>
    </row>
    <row r="459">
      <c r="A459" s="4"/>
      <c r="C459" s="4" t="s">
        <v>1090</v>
      </c>
      <c r="D459" s="4" t="str">
        <f t="shared" si="1"/>
        <v>{"valorA":"muitas","valorB":1.0}</v>
      </c>
      <c r="E459" s="8" t="str">
        <f t="shared" si="2"/>
        <v>muitas</v>
      </c>
      <c r="F459" s="8"/>
      <c r="G459" s="8" t="str">
        <f t="shared" si="3"/>
        <v>1.0</v>
      </c>
      <c r="H459" s="9">
        <f t="shared" si="4"/>
        <v>1</v>
      </c>
      <c r="I459" s="6" t="str">
        <f>IFERROR(__xludf.DUMMYFUNCTION("MAX(FILTER($H:$H,$E:$E=F459))"),"#N/A")</f>
        <v>#N/A</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 t="s">
        <v>32</v>
      </c>
      <c r="B1" s="7" t="s">
        <v>8667</v>
      </c>
      <c r="C1" s="5" t="s">
        <v>8668</v>
      </c>
      <c r="D1" s="5" t="s">
        <v>8669</v>
      </c>
      <c r="F1" s="5"/>
      <c r="G1" s="22" t="s">
        <v>8670</v>
      </c>
      <c r="H1" s="23"/>
      <c r="J1" s="22" t="s">
        <v>8671</v>
      </c>
      <c r="K1" s="23"/>
      <c r="M1" s="22" t="s">
        <v>8672</v>
      </c>
      <c r="N1" s="23"/>
    </row>
    <row r="2">
      <c r="A2" s="4" t="s">
        <v>9474</v>
      </c>
      <c r="B2" s="10">
        <f t="shared" ref="B2:B459" si="1">VALUE(SUBSTITUTE(MID(A2,FIND("CPU usage is:",A2)+13,FIND("RAM memory",A2)-FIND("CPU usage is:",A2)-13),".",","))</f>
        <v>100</v>
      </c>
      <c r="C2" s="6">
        <f t="shared" ref="C2:C459" si="2">VALUE(SUBSTITUTE(SUBSTITUTE(MID(A2,FIND("RAM memory % used:",A2)+18,9),"RAM",""),".",","))</f>
        <v>98.3</v>
      </c>
      <c r="D2" s="6">
        <f t="shared" ref="D2:D459" si="3">VALUE(SUBSTITUTE(SUBSTITUTE(MID(A2,FIND("RAM Used (GB):",A2)+14,9),"RAM",""),".",","))</f>
        <v>16.743645</v>
      </c>
      <c r="G2" s="25" t="s">
        <v>4013</v>
      </c>
      <c r="H2" s="25" t="s">
        <v>4247</v>
      </c>
      <c r="J2" s="25" t="s">
        <v>4013</v>
      </c>
      <c r="K2" s="25" t="s">
        <v>4247</v>
      </c>
      <c r="M2" s="25" t="s">
        <v>4013</v>
      </c>
      <c r="N2" s="25" t="s">
        <v>4247</v>
      </c>
    </row>
    <row r="3">
      <c r="A3" s="4" t="s">
        <v>9475</v>
      </c>
      <c r="B3" s="10">
        <f t="shared" si="1"/>
        <v>9.7</v>
      </c>
      <c r="C3" s="6">
        <f t="shared" si="2"/>
        <v>95.5</v>
      </c>
      <c r="D3" s="6">
        <f t="shared" si="3"/>
        <v>16.273453</v>
      </c>
      <c r="G3" s="28">
        <f>AVERAGE(B2:B459)</f>
        <v>71.19650655</v>
      </c>
      <c r="H3" s="20">
        <f>STDEV(B2:B459)</f>
        <v>45.03190103</v>
      </c>
      <c r="J3" s="20">
        <f>AVERAGE(C2:C459)</f>
        <v>96.73362445</v>
      </c>
      <c r="K3" s="20">
        <f>STDEV(C2:C459)</f>
        <v>5.885583429</v>
      </c>
      <c r="M3" s="20">
        <f>AVERAGE(D2:D459)</f>
        <v>16.4846371</v>
      </c>
      <c r="N3" s="20">
        <f>STDEV(D2:D459)</f>
        <v>1.002864309</v>
      </c>
    </row>
    <row r="4">
      <c r="A4" s="4" t="s">
        <v>9476</v>
      </c>
      <c r="B4" s="10">
        <f t="shared" si="1"/>
        <v>100</v>
      </c>
      <c r="C4" s="6">
        <f t="shared" si="2"/>
        <v>97.9</v>
      </c>
      <c r="D4" s="6">
        <f t="shared" si="3"/>
        <v>16.686972</v>
      </c>
    </row>
    <row r="5">
      <c r="A5" s="4" t="s">
        <v>9477</v>
      </c>
      <c r="B5" s="10">
        <f t="shared" si="1"/>
        <v>100</v>
      </c>
      <c r="C5" s="6">
        <f t="shared" si="2"/>
        <v>98</v>
      </c>
      <c r="D5" s="6">
        <f t="shared" si="3"/>
        <v>16.706326</v>
      </c>
    </row>
    <row r="6">
      <c r="A6" s="4" t="s">
        <v>9478</v>
      </c>
      <c r="B6" s="10">
        <f t="shared" si="1"/>
        <v>100</v>
      </c>
      <c r="C6" s="6">
        <f t="shared" si="2"/>
        <v>99.1</v>
      </c>
      <c r="D6" s="6">
        <f t="shared" si="3"/>
        <v>16.893173</v>
      </c>
    </row>
    <row r="7">
      <c r="A7" s="4" t="s">
        <v>9479</v>
      </c>
      <c r="B7" s="10">
        <f t="shared" si="1"/>
        <v>0</v>
      </c>
      <c r="C7" s="6">
        <f t="shared" si="2"/>
        <v>97.8</v>
      </c>
      <c r="D7" s="6">
        <f t="shared" si="3"/>
        <v>16.660541</v>
      </c>
    </row>
    <row r="8">
      <c r="A8" s="4" t="s">
        <v>9480</v>
      </c>
      <c r="B8" s="10">
        <f t="shared" si="1"/>
        <v>100</v>
      </c>
      <c r="C8" s="6">
        <f t="shared" si="2"/>
        <v>99.3</v>
      </c>
      <c r="D8" s="6">
        <f t="shared" si="3"/>
        <v>16.923987</v>
      </c>
    </row>
    <row r="9">
      <c r="A9" s="4" t="s">
        <v>9481</v>
      </c>
      <c r="B9" s="10">
        <f t="shared" si="1"/>
        <v>100</v>
      </c>
      <c r="C9" s="6">
        <f t="shared" si="2"/>
        <v>96.8</v>
      </c>
      <c r="D9" s="6">
        <f t="shared" si="3"/>
        <v>16.4905</v>
      </c>
    </row>
    <row r="10">
      <c r="A10" s="4" t="s">
        <v>9482</v>
      </c>
      <c r="B10" s="10">
        <f t="shared" si="1"/>
        <v>100</v>
      </c>
      <c r="C10" s="6">
        <f t="shared" si="2"/>
        <v>99.5</v>
      </c>
      <c r="D10" s="6">
        <f t="shared" si="3"/>
        <v>16.960335</v>
      </c>
    </row>
    <row r="11">
      <c r="A11" s="4" t="s">
        <v>9483</v>
      </c>
      <c r="B11" s="10">
        <f t="shared" si="1"/>
        <v>100</v>
      </c>
      <c r="C11" s="6">
        <f t="shared" si="2"/>
        <v>98.1</v>
      </c>
      <c r="D11" s="6">
        <f t="shared" si="3"/>
        <v>16.71673</v>
      </c>
    </row>
    <row r="12">
      <c r="A12" s="4" t="s">
        <v>9484</v>
      </c>
      <c r="B12" s="10">
        <f t="shared" si="1"/>
        <v>0</v>
      </c>
      <c r="C12" s="6">
        <f t="shared" si="2"/>
        <v>98.9</v>
      </c>
      <c r="D12" s="6">
        <f t="shared" si="3"/>
        <v>16.859684</v>
      </c>
    </row>
    <row r="13">
      <c r="A13" s="4" t="s">
        <v>9485</v>
      </c>
      <c r="B13" s="10">
        <f t="shared" si="1"/>
        <v>100</v>
      </c>
      <c r="C13" s="6">
        <f t="shared" si="2"/>
        <v>99</v>
      </c>
      <c r="D13" s="6">
        <f t="shared" si="3"/>
        <v>16.865263</v>
      </c>
    </row>
    <row r="14">
      <c r="A14" s="4" t="s">
        <v>9486</v>
      </c>
      <c r="B14" s="10">
        <f t="shared" si="1"/>
        <v>100</v>
      </c>
      <c r="C14" s="6">
        <f t="shared" si="2"/>
        <v>99</v>
      </c>
      <c r="D14" s="6">
        <f t="shared" si="3"/>
        <v>16.875114</v>
      </c>
    </row>
    <row r="15">
      <c r="A15" s="4" t="s">
        <v>9487</v>
      </c>
      <c r="B15" s="10">
        <f t="shared" si="1"/>
        <v>100</v>
      </c>
      <c r="C15" s="6">
        <f t="shared" si="2"/>
        <v>99.5</v>
      </c>
      <c r="D15" s="6">
        <f t="shared" si="3"/>
        <v>16.954695</v>
      </c>
    </row>
    <row r="16">
      <c r="A16" s="4" t="s">
        <v>9488</v>
      </c>
      <c r="B16" s="10">
        <f t="shared" si="1"/>
        <v>0</v>
      </c>
      <c r="C16" s="6">
        <f t="shared" si="2"/>
        <v>99.6</v>
      </c>
      <c r="D16" s="6">
        <f t="shared" si="3"/>
        <v>16.969519</v>
      </c>
    </row>
    <row r="17">
      <c r="A17" s="4" t="s">
        <v>9489</v>
      </c>
      <c r="B17" s="10">
        <f t="shared" si="1"/>
        <v>0</v>
      </c>
      <c r="C17" s="6">
        <f t="shared" si="2"/>
        <v>98.1</v>
      </c>
      <c r="D17" s="6">
        <f t="shared" si="3"/>
        <v>16.713465</v>
      </c>
    </row>
    <row r="18">
      <c r="A18" s="4" t="s">
        <v>9490</v>
      </c>
      <c r="B18" s="10">
        <f t="shared" si="1"/>
        <v>100</v>
      </c>
      <c r="C18" s="6">
        <f t="shared" si="2"/>
        <v>97.7</v>
      </c>
      <c r="D18" s="6">
        <f t="shared" si="3"/>
        <v>16.642347</v>
      </c>
    </row>
    <row r="19">
      <c r="A19" s="4" t="s">
        <v>9491</v>
      </c>
      <c r="B19" s="10">
        <f t="shared" si="1"/>
        <v>100</v>
      </c>
      <c r="C19" s="6">
        <f t="shared" si="2"/>
        <v>99.5</v>
      </c>
      <c r="D19" s="6">
        <f t="shared" si="3"/>
        <v>16.953806</v>
      </c>
    </row>
    <row r="20">
      <c r="A20" s="4" t="s">
        <v>9492</v>
      </c>
      <c r="B20" s="10">
        <f t="shared" si="1"/>
        <v>100</v>
      </c>
      <c r="C20" s="6">
        <f t="shared" si="2"/>
        <v>98</v>
      </c>
      <c r="D20" s="6">
        <f t="shared" si="3"/>
        <v>16.700645</v>
      </c>
    </row>
    <row r="21">
      <c r="A21" s="4" t="s">
        <v>9493</v>
      </c>
      <c r="B21" s="10">
        <f t="shared" si="1"/>
        <v>0</v>
      </c>
      <c r="C21" s="6">
        <f t="shared" si="2"/>
        <v>98.9</v>
      </c>
      <c r="D21" s="6">
        <f t="shared" si="3"/>
        <v>16.85064</v>
      </c>
    </row>
    <row r="22">
      <c r="A22" s="4" t="s">
        <v>9494</v>
      </c>
      <c r="B22" s="10">
        <f t="shared" si="1"/>
        <v>100</v>
      </c>
      <c r="C22" s="6">
        <f t="shared" si="2"/>
        <v>99.4</v>
      </c>
      <c r="D22" s="6">
        <f t="shared" si="3"/>
        <v>16.937447</v>
      </c>
    </row>
    <row r="23">
      <c r="A23" s="4" t="s">
        <v>9495</v>
      </c>
      <c r="B23" s="10">
        <f t="shared" si="1"/>
        <v>100</v>
      </c>
      <c r="C23" s="6">
        <f t="shared" si="2"/>
        <v>98</v>
      </c>
      <c r="D23" s="6">
        <f t="shared" si="3"/>
        <v>16.704167</v>
      </c>
    </row>
    <row r="24">
      <c r="A24" s="4" t="s">
        <v>9496</v>
      </c>
      <c r="B24" s="10">
        <f t="shared" si="1"/>
        <v>0</v>
      </c>
      <c r="C24" s="6">
        <f t="shared" si="2"/>
        <v>97.9</v>
      </c>
      <c r="D24" s="6">
        <f t="shared" si="3"/>
        <v>16.682262</v>
      </c>
    </row>
    <row r="25">
      <c r="A25" s="4" t="s">
        <v>9497</v>
      </c>
      <c r="B25" s="10">
        <f t="shared" si="1"/>
        <v>100</v>
      </c>
      <c r="C25" s="6">
        <f t="shared" si="2"/>
        <v>99</v>
      </c>
      <c r="D25" s="6">
        <f t="shared" si="3"/>
        <v>16.87445</v>
      </c>
    </row>
    <row r="26">
      <c r="A26" s="4" t="s">
        <v>9498</v>
      </c>
      <c r="B26" s="10">
        <f t="shared" si="1"/>
        <v>100</v>
      </c>
      <c r="C26" s="6">
        <f t="shared" si="2"/>
        <v>97.8</v>
      </c>
      <c r="D26" s="6">
        <f t="shared" si="3"/>
        <v>16.671551</v>
      </c>
    </row>
    <row r="27">
      <c r="A27" s="4" t="s">
        <v>9499</v>
      </c>
      <c r="B27" s="10">
        <f t="shared" si="1"/>
        <v>100</v>
      </c>
      <c r="C27" s="6">
        <f t="shared" si="2"/>
        <v>98</v>
      </c>
      <c r="D27" s="6">
        <f t="shared" si="3"/>
        <v>16.699367</v>
      </c>
    </row>
    <row r="28">
      <c r="A28" s="4" t="s">
        <v>9500</v>
      </c>
      <c r="B28" s="10">
        <f t="shared" si="1"/>
        <v>100</v>
      </c>
      <c r="C28" s="6">
        <f t="shared" si="2"/>
        <v>99.1</v>
      </c>
      <c r="D28" s="6">
        <f t="shared" si="3"/>
        <v>16.885633</v>
      </c>
    </row>
    <row r="29">
      <c r="A29" s="4" t="s">
        <v>9501</v>
      </c>
      <c r="B29" s="10">
        <f t="shared" si="1"/>
        <v>0</v>
      </c>
      <c r="C29" s="6">
        <f t="shared" si="2"/>
        <v>98</v>
      </c>
      <c r="D29" s="6">
        <f t="shared" si="3"/>
        <v>16.69847</v>
      </c>
    </row>
    <row r="30">
      <c r="A30" s="4" t="s">
        <v>9502</v>
      </c>
      <c r="B30" s="10">
        <f t="shared" si="1"/>
        <v>100</v>
      </c>
      <c r="C30" s="6">
        <f t="shared" si="2"/>
        <v>98.6</v>
      </c>
      <c r="D30" s="6">
        <f t="shared" si="3"/>
        <v>16.808009</v>
      </c>
    </row>
    <row r="31">
      <c r="A31" s="4" t="s">
        <v>9503</v>
      </c>
      <c r="B31" s="10">
        <f t="shared" si="1"/>
        <v>100</v>
      </c>
      <c r="C31" s="6">
        <f t="shared" si="2"/>
        <v>99.3</v>
      </c>
      <c r="D31" s="6">
        <f t="shared" si="3"/>
        <v>16.915628</v>
      </c>
    </row>
    <row r="32">
      <c r="A32" s="4" t="s">
        <v>9504</v>
      </c>
      <c r="B32" s="10">
        <f t="shared" si="1"/>
        <v>0</v>
      </c>
      <c r="C32" s="6">
        <f t="shared" si="2"/>
        <v>99.5</v>
      </c>
      <c r="D32" s="6">
        <f t="shared" si="3"/>
        <v>16.95284</v>
      </c>
    </row>
    <row r="33">
      <c r="A33" s="4" t="s">
        <v>9505</v>
      </c>
      <c r="B33" s="10">
        <f t="shared" si="1"/>
        <v>100</v>
      </c>
      <c r="C33" s="6">
        <f t="shared" si="2"/>
        <v>96.4</v>
      </c>
      <c r="D33" s="6">
        <f t="shared" si="3"/>
        <v>16.427585</v>
      </c>
    </row>
    <row r="34">
      <c r="A34" s="4" t="s">
        <v>9506</v>
      </c>
      <c r="B34" s="10">
        <f t="shared" si="1"/>
        <v>100</v>
      </c>
      <c r="C34" s="6">
        <f t="shared" si="2"/>
        <v>98.1</v>
      </c>
      <c r="D34" s="6">
        <f t="shared" si="3"/>
        <v>16.709918</v>
      </c>
    </row>
    <row r="35">
      <c r="A35" s="4" t="s">
        <v>9507</v>
      </c>
      <c r="B35" s="10">
        <f t="shared" si="1"/>
        <v>100</v>
      </c>
      <c r="C35" s="6">
        <f t="shared" si="2"/>
        <v>98.2</v>
      </c>
      <c r="D35" s="6">
        <f t="shared" si="3"/>
        <v>16.738807</v>
      </c>
    </row>
    <row r="36">
      <c r="A36" s="4" t="s">
        <v>9508</v>
      </c>
      <c r="B36" s="10">
        <f t="shared" si="1"/>
        <v>0</v>
      </c>
      <c r="C36" s="6">
        <f t="shared" si="2"/>
        <v>95.5</v>
      </c>
      <c r="D36" s="6">
        <f t="shared" si="3"/>
        <v>16.271798</v>
      </c>
    </row>
    <row r="37">
      <c r="A37" s="4" t="s">
        <v>9509</v>
      </c>
      <c r="B37" s="10">
        <f t="shared" si="1"/>
        <v>100</v>
      </c>
      <c r="C37" s="6">
        <f t="shared" si="2"/>
        <v>99.9</v>
      </c>
      <c r="D37" s="6">
        <f t="shared" si="3"/>
        <v>17.029644</v>
      </c>
    </row>
    <row r="38">
      <c r="A38" s="4" t="s">
        <v>9510</v>
      </c>
      <c r="B38" s="10">
        <f t="shared" si="1"/>
        <v>0</v>
      </c>
      <c r="C38" s="6">
        <f t="shared" si="2"/>
        <v>96.5</v>
      </c>
      <c r="D38" s="6">
        <f t="shared" si="3"/>
        <v>16.448077</v>
      </c>
    </row>
    <row r="39">
      <c r="A39" s="4" t="s">
        <v>9511</v>
      </c>
      <c r="B39" s="10">
        <f t="shared" si="1"/>
        <v>100</v>
      </c>
      <c r="C39" s="6">
        <f t="shared" si="2"/>
        <v>96.2</v>
      </c>
      <c r="D39" s="6">
        <f t="shared" si="3"/>
        <v>16.400793</v>
      </c>
    </row>
    <row r="40">
      <c r="A40" s="4" t="s">
        <v>9512</v>
      </c>
      <c r="B40" s="10">
        <f t="shared" si="1"/>
        <v>0</v>
      </c>
      <c r="C40" s="6">
        <f t="shared" si="2"/>
        <v>96.3</v>
      </c>
      <c r="D40" s="6">
        <f t="shared" si="3"/>
        <v>16.404389</v>
      </c>
    </row>
    <row r="41">
      <c r="A41" s="4" t="s">
        <v>9513</v>
      </c>
      <c r="B41" s="10">
        <f t="shared" si="1"/>
        <v>100</v>
      </c>
      <c r="C41" s="6">
        <f t="shared" si="2"/>
        <v>96.4</v>
      </c>
      <c r="D41" s="6">
        <f t="shared" si="3"/>
        <v>16.419586</v>
      </c>
    </row>
    <row r="42">
      <c r="A42" s="4" t="s">
        <v>9514</v>
      </c>
      <c r="B42" s="10">
        <f t="shared" si="1"/>
        <v>0</v>
      </c>
      <c r="C42" s="6">
        <f t="shared" si="2"/>
        <v>96.4</v>
      </c>
      <c r="D42" s="6">
        <f t="shared" si="3"/>
        <v>16.428732</v>
      </c>
    </row>
    <row r="43">
      <c r="A43" s="4" t="s">
        <v>9515</v>
      </c>
      <c r="B43" s="10">
        <f t="shared" si="1"/>
        <v>100</v>
      </c>
      <c r="C43" s="6">
        <f t="shared" si="2"/>
        <v>95.9</v>
      </c>
      <c r="D43" s="6">
        <f t="shared" si="3"/>
        <v>16.342085</v>
      </c>
    </row>
    <row r="44">
      <c r="A44" s="4" t="s">
        <v>9516</v>
      </c>
      <c r="B44" s="10">
        <f t="shared" si="1"/>
        <v>100</v>
      </c>
      <c r="C44" s="6">
        <f t="shared" si="2"/>
        <v>96.1</v>
      </c>
      <c r="D44" s="6">
        <f t="shared" si="3"/>
        <v>16.375644</v>
      </c>
    </row>
    <row r="45">
      <c r="A45" s="4" t="s">
        <v>9517</v>
      </c>
      <c r="B45" s="10">
        <f t="shared" si="1"/>
        <v>0</v>
      </c>
      <c r="C45" s="6">
        <f t="shared" si="2"/>
        <v>96.2</v>
      </c>
      <c r="D45" s="6">
        <f t="shared" si="3"/>
        <v>16.387248</v>
      </c>
    </row>
    <row r="46">
      <c r="A46" s="4" t="s">
        <v>9518</v>
      </c>
      <c r="B46" s="10">
        <f t="shared" si="1"/>
        <v>0</v>
      </c>
      <c r="C46" s="6">
        <f t="shared" si="2"/>
        <v>99.2</v>
      </c>
      <c r="D46" s="6">
        <f t="shared" si="3"/>
        <v>16.902754</v>
      </c>
    </row>
    <row r="47">
      <c r="A47" s="4" t="s">
        <v>9519</v>
      </c>
      <c r="B47" s="10">
        <f t="shared" si="1"/>
        <v>28.3</v>
      </c>
      <c r="C47" s="6">
        <f t="shared" si="2"/>
        <v>99.9</v>
      </c>
      <c r="D47" s="6">
        <f t="shared" si="3"/>
        <v>17.027002</v>
      </c>
    </row>
    <row r="48">
      <c r="A48" s="4" t="s">
        <v>9520</v>
      </c>
      <c r="B48" s="10">
        <f t="shared" si="1"/>
        <v>100</v>
      </c>
      <c r="C48" s="6">
        <f t="shared" si="2"/>
        <v>96.7</v>
      </c>
      <c r="D48" s="6">
        <f t="shared" si="3"/>
        <v>16.474648</v>
      </c>
    </row>
    <row r="49">
      <c r="A49" s="4" t="s">
        <v>9521</v>
      </c>
      <c r="B49" s="10">
        <f t="shared" si="1"/>
        <v>100</v>
      </c>
      <c r="C49" s="6">
        <f t="shared" si="2"/>
        <v>96.1</v>
      </c>
      <c r="D49" s="6">
        <f t="shared" si="3"/>
        <v>16.372969</v>
      </c>
    </row>
    <row r="50">
      <c r="A50" s="4" t="s">
        <v>9522</v>
      </c>
      <c r="B50" s="10">
        <f t="shared" si="1"/>
        <v>100</v>
      </c>
      <c r="C50" s="6">
        <f t="shared" si="2"/>
        <v>98.1</v>
      </c>
      <c r="D50" s="6">
        <f t="shared" si="3"/>
        <v>16.712667</v>
      </c>
    </row>
    <row r="51">
      <c r="A51" s="4" t="s">
        <v>9523</v>
      </c>
      <c r="B51" s="10">
        <f t="shared" si="1"/>
        <v>100</v>
      </c>
      <c r="C51" s="6">
        <f t="shared" si="2"/>
        <v>98.1</v>
      </c>
      <c r="D51" s="6">
        <f t="shared" si="3"/>
        <v>16.713871</v>
      </c>
    </row>
    <row r="52">
      <c r="A52" s="4" t="s">
        <v>9524</v>
      </c>
      <c r="B52" s="10">
        <f t="shared" si="1"/>
        <v>0</v>
      </c>
      <c r="C52" s="6">
        <f t="shared" si="2"/>
        <v>96.4</v>
      </c>
      <c r="D52" s="6">
        <f t="shared" si="3"/>
        <v>16.429514</v>
      </c>
    </row>
    <row r="53">
      <c r="A53" s="4" t="s">
        <v>9525</v>
      </c>
      <c r="B53" s="10">
        <f t="shared" si="1"/>
        <v>100</v>
      </c>
      <c r="C53" s="6">
        <f t="shared" si="2"/>
        <v>96.7</v>
      </c>
      <c r="D53" s="6">
        <f t="shared" si="3"/>
        <v>16.478035</v>
      </c>
    </row>
    <row r="54">
      <c r="A54" s="4" t="s">
        <v>9526</v>
      </c>
      <c r="B54" s="10">
        <f t="shared" si="1"/>
        <v>100</v>
      </c>
      <c r="C54" s="6">
        <f t="shared" si="2"/>
        <v>96.8</v>
      </c>
      <c r="D54" s="6">
        <f t="shared" si="3"/>
        <v>16.487493</v>
      </c>
    </row>
    <row r="55">
      <c r="A55" s="4" t="s">
        <v>9527</v>
      </c>
      <c r="B55" s="10">
        <f t="shared" si="1"/>
        <v>100</v>
      </c>
      <c r="C55" s="6">
        <f t="shared" si="2"/>
        <v>97</v>
      </c>
      <c r="D55" s="6">
        <f t="shared" si="3"/>
        <v>16.532525</v>
      </c>
    </row>
    <row r="56">
      <c r="A56" s="4" t="s">
        <v>9528</v>
      </c>
      <c r="B56" s="10">
        <f t="shared" si="1"/>
        <v>100</v>
      </c>
      <c r="C56" s="6">
        <f t="shared" si="2"/>
        <v>97.2</v>
      </c>
      <c r="D56" s="6">
        <f t="shared" si="3"/>
        <v>16.57151</v>
      </c>
    </row>
    <row r="57">
      <c r="A57" s="4" t="s">
        <v>9529</v>
      </c>
      <c r="B57" s="10">
        <f t="shared" si="1"/>
        <v>100</v>
      </c>
      <c r="C57" s="6">
        <f t="shared" si="2"/>
        <v>97.9</v>
      </c>
      <c r="D57" s="6">
        <f t="shared" si="3"/>
        <v>16.689119</v>
      </c>
    </row>
    <row r="58">
      <c r="A58" s="4" t="s">
        <v>9530</v>
      </c>
      <c r="B58" s="10">
        <f t="shared" si="1"/>
        <v>0</v>
      </c>
      <c r="C58" s="6">
        <f t="shared" si="2"/>
        <v>96.8</v>
      </c>
      <c r="D58" s="6">
        <f t="shared" si="3"/>
        <v>16.48923</v>
      </c>
    </row>
    <row r="59">
      <c r="A59" s="4" t="s">
        <v>9531</v>
      </c>
      <c r="B59" s="10">
        <f t="shared" si="1"/>
        <v>100</v>
      </c>
      <c r="C59" s="6">
        <f t="shared" si="2"/>
        <v>98.6</v>
      </c>
      <c r="D59" s="6">
        <f t="shared" si="3"/>
        <v>16.806248</v>
      </c>
    </row>
    <row r="60">
      <c r="A60" s="4" t="s">
        <v>9532</v>
      </c>
      <c r="B60" s="10">
        <f t="shared" si="1"/>
        <v>100</v>
      </c>
      <c r="C60" s="6">
        <f t="shared" si="2"/>
        <v>98.3</v>
      </c>
      <c r="D60" s="6">
        <f t="shared" si="3"/>
        <v>16.759083</v>
      </c>
    </row>
    <row r="61">
      <c r="A61" s="4" t="s">
        <v>9533</v>
      </c>
      <c r="B61" s="10">
        <f t="shared" si="1"/>
        <v>100</v>
      </c>
      <c r="C61" s="6">
        <f t="shared" si="2"/>
        <v>98.7</v>
      </c>
      <c r="D61" s="6">
        <f t="shared" si="3"/>
        <v>16.822886</v>
      </c>
    </row>
    <row r="62">
      <c r="A62" s="4" t="s">
        <v>9534</v>
      </c>
      <c r="B62" s="10">
        <f t="shared" si="1"/>
        <v>100</v>
      </c>
      <c r="C62" s="6">
        <f t="shared" si="2"/>
        <v>96.7</v>
      </c>
      <c r="D62" s="6">
        <f t="shared" si="3"/>
        <v>16.481718</v>
      </c>
    </row>
    <row r="63">
      <c r="A63" s="4" t="s">
        <v>9535</v>
      </c>
      <c r="B63" s="10">
        <f t="shared" si="1"/>
        <v>100</v>
      </c>
      <c r="C63" s="6">
        <f t="shared" si="2"/>
        <v>98.1</v>
      </c>
      <c r="D63" s="6">
        <f t="shared" si="3"/>
        <v>16.71143</v>
      </c>
    </row>
    <row r="64">
      <c r="A64" s="4" t="s">
        <v>9536</v>
      </c>
      <c r="B64" s="10">
        <f t="shared" si="1"/>
        <v>100</v>
      </c>
      <c r="C64" s="6">
        <f t="shared" si="2"/>
        <v>98</v>
      </c>
      <c r="D64" s="6">
        <f t="shared" si="3"/>
        <v>16.705933</v>
      </c>
    </row>
    <row r="65">
      <c r="A65" s="4" t="s">
        <v>9537</v>
      </c>
      <c r="B65" s="10">
        <f t="shared" si="1"/>
        <v>100</v>
      </c>
      <c r="C65" s="6">
        <f t="shared" si="2"/>
        <v>98.4</v>
      </c>
      <c r="D65" s="6">
        <f t="shared" si="3"/>
        <v>16.764833</v>
      </c>
    </row>
    <row r="66">
      <c r="A66" s="4" t="s">
        <v>9538</v>
      </c>
      <c r="B66" s="10">
        <f t="shared" si="1"/>
        <v>0</v>
      </c>
      <c r="C66" s="6">
        <f t="shared" si="2"/>
        <v>97.9</v>
      </c>
      <c r="D66" s="6">
        <f t="shared" si="3"/>
        <v>16.691159</v>
      </c>
    </row>
    <row r="67">
      <c r="A67" s="4" t="s">
        <v>9539</v>
      </c>
      <c r="B67" s="10">
        <f t="shared" si="1"/>
        <v>100</v>
      </c>
      <c r="C67" s="6">
        <f t="shared" si="2"/>
        <v>98.3</v>
      </c>
      <c r="D67" s="6">
        <f t="shared" si="3"/>
        <v>16.75547</v>
      </c>
    </row>
    <row r="68">
      <c r="A68" s="4" t="s">
        <v>9540</v>
      </c>
      <c r="B68" s="10">
        <f t="shared" si="1"/>
        <v>100</v>
      </c>
      <c r="C68" s="6">
        <f t="shared" si="2"/>
        <v>98.5</v>
      </c>
      <c r="D68" s="6">
        <f t="shared" si="3"/>
        <v>16.779337</v>
      </c>
    </row>
    <row r="69">
      <c r="A69" s="4" t="s">
        <v>9541</v>
      </c>
      <c r="B69" s="10">
        <f t="shared" si="1"/>
        <v>0</v>
      </c>
      <c r="C69" s="6">
        <f t="shared" si="2"/>
        <v>98.6</v>
      </c>
      <c r="D69" s="6">
        <f t="shared" si="3"/>
        <v>16.802271</v>
      </c>
    </row>
    <row r="70">
      <c r="A70" s="4" t="s">
        <v>9542</v>
      </c>
      <c r="B70" s="10">
        <f t="shared" si="1"/>
        <v>100</v>
      </c>
      <c r="C70" s="6">
        <f t="shared" si="2"/>
        <v>97.9</v>
      </c>
      <c r="D70" s="6">
        <f t="shared" si="3"/>
        <v>16.687693</v>
      </c>
    </row>
    <row r="71">
      <c r="A71" s="4" t="s">
        <v>9543</v>
      </c>
      <c r="B71" s="10">
        <f t="shared" si="1"/>
        <v>94.4</v>
      </c>
      <c r="C71" s="6">
        <f t="shared" si="2"/>
        <v>95.2</v>
      </c>
      <c r="D71" s="6">
        <f t="shared" si="3"/>
        <v>16.230793</v>
      </c>
    </row>
    <row r="72">
      <c r="A72" s="4" t="s">
        <v>9544</v>
      </c>
      <c r="B72" s="10">
        <f t="shared" si="1"/>
        <v>0</v>
      </c>
      <c r="C72" s="6">
        <f t="shared" si="2"/>
        <v>97.9</v>
      </c>
      <c r="D72" s="6">
        <f t="shared" si="3"/>
        <v>16.675037</v>
      </c>
    </row>
    <row r="73">
      <c r="A73" s="4" t="s">
        <v>9545</v>
      </c>
      <c r="B73" s="10">
        <f t="shared" si="1"/>
        <v>0</v>
      </c>
      <c r="C73" s="6">
        <f t="shared" si="2"/>
        <v>98</v>
      </c>
      <c r="D73" s="6">
        <f t="shared" si="3"/>
        <v>16.705208</v>
      </c>
    </row>
    <row r="74">
      <c r="A74" s="4" t="s">
        <v>9546</v>
      </c>
      <c r="B74" s="10">
        <f t="shared" si="1"/>
        <v>100</v>
      </c>
      <c r="C74" s="6">
        <f t="shared" si="2"/>
        <v>98.1</v>
      </c>
      <c r="D74" s="6">
        <f t="shared" si="3"/>
        <v>16.7209</v>
      </c>
    </row>
    <row r="75">
      <c r="A75" s="4" t="s">
        <v>9547</v>
      </c>
      <c r="B75" s="10">
        <f t="shared" si="1"/>
        <v>0</v>
      </c>
      <c r="C75" s="6">
        <f t="shared" si="2"/>
        <v>98</v>
      </c>
      <c r="D75" s="6">
        <f t="shared" si="3"/>
        <v>16.700952</v>
      </c>
    </row>
    <row r="76">
      <c r="A76" s="4" t="s">
        <v>9548</v>
      </c>
      <c r="B76" s="10">
        <f t="shared" si="1"/>
        <v>0</v>
      </c>
      <c r="C76" s="6">
        <f t="shared" si="2"/>
        <v>96.9</v>
      </c>
      <c r="D76" s="6">
        <f t="shared" si="3"/>
        <v>16.514883</v>
      </c>
    </row>
    <row r="77">
      <c r="A77" s="4" t="s">
        <v>9549</v>
      </c>
      <c r="B77" s="10">
        <f t="shared" si="1"/>
        <v>100</v>
      </c>
      <c r="C77" s="6">
        <f t="shared" si="2"/>
        <v>97.9</v>
      </c>
      <c r="D77" s="6">
        <f t="shared" si="3"/>
        <v>16.679059</v>
      </c>
    </row>
    <row r="78">
      <c r="A78" s="4" t="s">
        <v>9550</v>
      </c>
      <c r="B78" s="10">
        <f t="shared" si="1"/>
        <v>0</v>
      </c>
      <c r="C78" s="6">
        <f t="shared" si="2"/>
        <v>98.8</v>
      </c>
      <c r="D78" s="6">
        <f t="shared" si="3"/>
        <v>16.842637</v>
      </c>
    </row>
    <row r="79">
      <c r="A79" s="4" t="s">
        <v>9551</v>
      </c>
      <c r="B79" s="10">
        <f t="shared" si="1"/>
        <v>0</v>
      </c>
      <c r="C79" s="6">
        <f t="shared" si="2"/>
        <v>97.4</v>
      </c>
      <c r="D79" s="6">
        <f t="shared" si="3"/>
        <v>16.589918</v>
      </c>
    </row>
    <row r="80">
      <c r="A80" s="4" t="s">
        <v>9552</v>
      </c>
      <c r="B80" s="10">
        <f t="shared" si="1"/>
        <v>100</v>
      </c>
      <c r="C80" s="6">
        <f t="shared" si="2"/>
        <v>98.2</v>
      </c>
      <c r="D80" s="6">
        <f t="shared" si="3"/>
        <v>16.736219</v>
      </c>
    </row>
    <row r="81">
      <c r="A81" s="4" t="s">
        <v>9553</v>
      </c>
      <c r="B81" s="10">
        <f t="shared" si="1"/>
        <v>50</v>
      </c>
      <c r="C81" s="6">
        <f t="shared" si="2"/>
        <v>96.3</v>
      </c>
      <c r="D81" s="6">
        <f t="shared" si="3"/>
        <v>16.410316</v>
      </c>
    </row>
    <row r="82">
      <c r="A82" s="4" t="s">
        <v>9554</v>
      </c>
      <c r="B82" s="10">
        <f t="shared" si="1"/>
        <v>0</v>
      </c>
      <c r="C82" s="6">
        <f t="shared" si="2"/>
        <v>97.8</v>
      </c>
      <c r="D82" s="6">
        <f t="shared" si="3"/>
        <v>16.674054</v>
      </c>
    </row>
    <row r="83">
      <c r="A83" s="4" t="s">
        <v>9555</v>
      </c>
      <c r="B83" s="10">
        <f t="shared" si="1"/>
        <v>100</v>
      </c>
      <c r="C83" s="6">
        <f t="shared" si="2"/>
        <v>95.8</v>
      </c>
      <c r="D83" s="6">
        <f t="shared" si="3"/>
        <v>16.328052</v>
      </c>
    </row>
    <row r="84">
      <c r="A84" s="4" t="s">
        <v>9556</v>
      </c>
      <c r="B84" s="10">
        <f t="shared" si="1"/>
        <v>100</v>
      </c>
      <c r="C84" s="6">
        <f t="shared" si="2"/>
        <v>97.9</v>
      </c>
      <c r="D84" s="6">
        <f t="shared" si="3"/>
        <v>16.686968</v>
      </c>
    </row>
    <row r="85">
      <c r="A85" s="4" t="s">
        <v>9557</v>
      </c>
      <c r="B85" s="10">
        <f t="shared" si="1"/>
        <v>0</v>
      </c>
      <c r="C85" s="6">
        <f t="shared" si="2"/>
        <v>98.6</v>
      </c>
      <c r="D85" s="6">
        <f t="shared" si="3"/>
        <v>16.806543</v>
      </c>
    </row>
    <row r="86">
      <c r="A86" s="4" t="s">
        <v>9558</v>
      </c>
      <c r="B86" s="10">
        <f t="shared" si="1"/>
        <v>100</v>
      </c>
      <c r="C86" s="6">
        <f t="shared" si="2"/>
        <v>97.6</v>
      </c>
      <c r="D86" s="6">
        <f t="shared" si="3"/>
        <v>16.628658</v>
      </c>
    </row>
    <row r="87">
      <c r="A87" s="4" t="s">
        <v>9559</v>
      </c>
      <c r="B87" s="10">
        <f t="shared" si="1"/>
        <v>100</v>
      </c>
      <c r="C87" s="6">
        <f t="shared" si="2"/>
        <v>97.2</v>
      </c>
      <c r="D87" s="6">
        <f t="shared" si="3"/>
        <v>16.565604</v>
      </c>
    </row>
    <row r="88">
      <c r="A88" s="4" t="s">
        <v>9560</v>
      </c>
      <c r="B88" s="10">
        <f t="shared" si="1"/>
        <v>100</v>
      </c>
      <c r="C88" s="6">
        <f t="shared" si="2"/>
        <v>99.5</v>
      </c>
      <c r="D88" s="6">
        <f t="shared" si="3"/>
        <v>16.956358</v>
      </c>
    </row>
    <row r="89">
      <c r="A89" s="4" t="s">
        <v>9561</v>
      </c>
      <c r="B89" s="10">
        <f t="shared" si="1"/>
        <v>100</v>
      </c>
      <c r="C89" s="6">
        <f t="shared" si="2"/>
        <v>99.1</v>
      </c>
      <c r="D89" s="6">
        <f t="shared" si="3"/>
        <v>16.880918</v>
      </c>
    </row>
    <row r="90">
      <c r="A90" s="4" t="s">
        <v>9562</v>
      </c>
      <c r="B90" s="10">
        <f t="shared" si="1"/>
        <v>100</v>
      </c>
      <c r="C90" s="6">
        <f t="shared" si="2"/>
        <v>99</v>
      </c>
      <c r="D90" s="6">
        <f t="shared" si="3"/>
        <v>16.872062</v>
      </c>
    </row>
    <row r="91">
      <c r="A91" s="4" t="s">
        <v>9563</v>
      </c>
      <c r="B91" s="10">
        <f t="shared" si="1"/>
        <v>100</v>
      </c>
      <c r="C91" s="6">
        <f t="shared" si="2"/>
        <v>98.9</v>
      </c>
      <c r="D91" s="6">
        <f t="shared" si="3"/>
        <v>16.851398</v>
      </c>
    </row>
    <row r="92">
      <c r="A92" s="4" t="s">
        <v>9564</v>
      </c>
      <c r="B92" s="10">
        <f t="shared" si="1"/>
        <v>0</v>
      </c>
      <c r="C92" s="6">
        <f t="shared" si="2"/>
        <v>97.5</v>
      </c>
      <c r="D92" s="6">
        <f t="shared" si="3"/>
        <v>16.607502</v>
      </c>
    </row>
    <row r="93">
      <c r="A93" s="4" t="s">
        <v>9565</v>
      </c>
      <c r="B93" s="10">
        <f t="shared" si="1"/>
        <v>100</v>
      </c>
      <c r="C93" s="6">
        <f t="shared" si="2"/>
        <v>98</v>
      </c>
      <c r="D93" s="6">
        <f t="shared" si="3"/>
        <v>16.692637</v>
      </c>
    </row>
    <row r="94">
      <c r="A94" s="4" t="s">
        <v>9566</v>
      </c>
      <c r="B94" s="10">
        <f t="shared" si="1"/>
        <v>100</v>
      </c>
      <c r="C94" s="6">
        <f t="shared" si="2"/>
        <v>95.7</v>
      </c>
      <c r="D94" s="6">
        <f t="shared" si="3"/>
        <v>16.30174</v>
      </c>
    </row>
    <row r="95">
      <c r="A95" s="4" t="s">
        <v>9567</v>
      </c>
      <c r="B95" s="10">
        <f t="shared" si="1"/>
        <v>100</v>
      </c>
      <c r="C95" s="6">
        <f t="shared" si="2"/>
        <v>99.6</v>
      </c>
      <c r="D95" s="6">
        <f t="shared" si="3"/>
        <v>16.977965</v>
      </c>
    </row>
    <row r="96">
      <c r="A96" s="4" t="s">
        <v>9568</v>
      </c>
      <c r="B96" s="10">
        <f t="shared" si="1"/>
        <v>100</v>
      </c>
      <c r="C96" s="6">
        <f t="shared" si="2"/>
        <v>97.7</v>
      </c>
      <c r="D96" s="6">
        <f t="shared" si="3"/>
        <v>16.652828</v>
      </c>
    </row>
    <row r="97">
      <c r="A97" s="4" t="s">
        <v>9569</v>
      </c>
      <c r="B97" s="10">
        <f t="shared" si="1"/>
        <v>100</v>
      </c>
      <c r="C97" s="6">
        <f t="shared" si="2"/>
        <v>97.1</v>
      </c>
      <c r="D97" s="6">
        <f t="shared" si="3"/>
        <v>16.550424</v>
      </c>
    </row>
    <row r="98">
      <c r="A98" s="4" t="s">
        <v>9570</v>
      </c>
      <c r="B98" s="10">
        <f t="shared" si="1"/>
        <v>0</v>
      </c>
      <c r="C98" s="6">
        <f t="shared" si="2"/>
        <v>97</v>
      </c>
      <c r="D98" s="6">
        <f t="shared" si="3"/>
        <v>16.526749</v>
      </c>
    </row>
    <row r="99">
      <c r="A99" s="4" t="s">
        <v>9571</v>
      </c>
      <c r="B99" s="10">
        <f t="shared" si="1"/>
        <v>100</v>
      </c>
      <c r="C99" s="6">
        <f t="shared" si="2"/>
        <v>97.8</v>
      </c>
      <c r="D99" s="6">
        <f t="shared" si="3"/>
        <v>16.6634</v>
      </c>
    </row>
    <row r="100">
      <c r="A100" s="4" t="s">
        <v>9572</v>
      </c>
      <c r="B100" s="10">
        <f t="shared" si="1"/>
        <v>100</v>
      </c>
      <c r="C100" s="6">
        <f t="shared" si="2"/>
        <v>97.4</v>
      </c>
      <c r="D100" s="6">
        <f t="shared" si="3"/>
        <v>16.594427</v>
      </c>
    </row>
    <row r="101">
      <c r="A101" s="4" t="s">
        <v>9573</v>
      </c>
      <c r="B101" s="10">
        <f t="shared" si="1"/>
        <v>100</v>
      </c>
      <c r="C101" s="6">
        <f t="shared" si="2"/>
        <v>99.9</v>
      </c>
      <c r="D101" s="6">
        <f t="shared" si="3"/>
        <v>17.022324</v>
      </c>
    </row>
    <row r="102">
      <c r="A102" s="4" t="s">
        <v>9574</v>
      </c>
      <c r="B102" s="10">
        <f t="shared" si="1"/>
        <v>0</v>
      </c>
      <c r="C102" s="6">
        <f t="shared" si="2"/>
        <v>97.1</v>
      </c>
      <c r="D102" s="6">
        <f t="shared" si="3"/>
        <v>16.540106</v>
      </c>
    </row>
    <row r="103">
      <c r="A103" s="4" t="s">
        <v>9575</v>
      </c>
      <c r="B103" s="10">
        <f t="shared" si="1"/>
        <v>100</v>
      </c>
      <c r="C103" s="6">
        <f t="shared" si="2"/>
        <v>97.3</v>
      </c>
      <c r="D103" s="6">
        <f t="shared" si="3"/>
        <v>16.583991</v>
      </c>
    </row>
    <row r="104">
      <c r="A104" s="4" t="s">
        <v>9576</v>
      </c>
      <c r="B104" s="10">
        <f t="shared" si="1"/>
        <v>0</v>
      </c>
      <c r="C104" s="6">
        <f t="shared" si="2"/>
        <v>96.7</v>
      </c>
      <c r="D104" s="6">
        <f t="shared" si="3"/>
        <v>16.473968</v>
      </c>
    </row>
    <row r="105">
      <c r="A105" s="4" t="s">
        <v>9577</v>
      </c>
      <c r="B105" s="10">
        <f t="shared" si="1"/>
        <v>100</v>
      </c>
      <c r="C105" s="6">
        <f t="shared" si="2"/>
        <v>97.1</v>
      </c>
      <c r="D105" s="6">
        <f t="shared" si="3"/>
        <v>16.552812</v>
      </c>
    </row>
    <row r="106">
      <c r="A106" s="4" t="s">
        <v>9578</v>
      </c>
      <c r="B106" s="10">
        <f t="shared" si="1"/>
        <v>100</v>
      </c>
      <c r="C106" s="6">
        <f t="shared" si="2"/>
        <v>97.3</v>
      </c>
      <c r="D106" s="6">
        <f t="shared" si="3"/>
        <v>16.589254</v>
      </c>
    </row>
    <row r="107">
      <c r="A107" s="4" t="s">
        <v>9579</v>
      </c>
      <c r="B107" s="10">
        <f t="shared" si="1"/>
        <v>100</v>
      </c>
      <c r="C107" s="6">
        <f t="shared" si="2"/>
        <v>97.4</v>
      </c>
      <c r="D107" s="6">
        <f t="shared" si="3"/>
        <v>16.601436</v>
      </c>
    </row>
    <row r="108">
      <c r="A108" s="4" t="s">
        <v>9580</v>
      </c>
      <c r="B108" s="10">
        <f t="shared" si="1"/>
        <v>100</v>
      </c>
      <c r="C108" s="6">
        <f t="shared" si="2"/>
        <v>96.6</v>
      </c>
      <c r="D108" s="6">
        <f t="shared" si="3"/>
        <v>16.464953</v>
      </c>
    </row>
    <row r="109">
      <c r="A109" s="4" t="s">
        <v>9581</v>
      </c>
      <c r="B109" s="10">
        <f t="shared" si="1"/>
        <v>0</v>
      </c>
      <c r="C109" s="6">
        <f t="shared" si="2"/>
        <v>99.9</v>
      </c>
      <c r="D109" s="6">
        <f t="shared" si="3"/>
        <v>17.020071</v>
      </c>
    </row>
    <row r="110">
      <c r="A110" s="4" t="s">
        <v>9582</v>
      </c>
      <c r="B110" s="10">
        <f t="shared" si="1"/>
        <v>100</v>
      </c>
      <c r="C110" s="6">
        <f t="shared" si="2"/>
        <v>97.7</v>
      </c>
      <c r="D110" s="6">
        <f t="shared" si="3"/>
        <v>16.656809</v>
      </c>
    </row>
    <row r="111">
      <c r="A111" s="4" t="s">
        <v>9583</v>
      </c>
      <c r="B111" s="10">
        <f t="shared" si="1"/>
        <v>0</v>
      </c>
      <c r="C111" s="6">
        <f t="shared" si="2"/>
        <v>98</v>
      </c>
      <c r="D111" s="6">
        <f t="shared" si="3"/>
        <v>16.697237</v>
      </c>
    </row>
    <row r="112">
      <c r="A112" s="4" t="s">
        <v>9584</v>
      </c>
      <c r="B112" s="10">
        <f t="shared" si="1"/>
        <v>100</v>
      </c>
      <c r="C112" s="6">
        <f t="shared" si="2"/>
        <v>97.6</v>
      </c>
      <c r="D112" s="6">
        <f t="shared" si="3"/>
        <v>16.632217</v>
      </c>
    </row>
    <row r="113">
      <c r="A113" s="4" t="s">
        <v>9585</v>
      </c>
      <c r="B113" s="10">
        <f t="shared" si="1"/>
        <v>0</v>
      </c>
      <c r="C113" s="6">
        <f t="shared" si="2"/>
        <v>96.4</v>
      </c>
      <c r="D113" s="6">
        <f t="shared" si="3"/>
        <v>16.419852</v>
      </c>
    </row>
    <row r="114">
      <c r="A114" s="4" t="s">
        <v>9586</v>
      </c>
      <c r="B114" s="10">
        <f t="shared" si="1"/>
        <v>66.7</v>
      </c>
      <c r="C114" s="6">
        <f t="shared" si="2"/>
        <v>96.9</v>
      </c>
      <c r="D114" s="6">
        <f t="shared" si="3"/>
        <v>16.520384</v>
      </c>
    </row>
    <row r="115">
      <c r="A115" s="4" t="s">
        <v>9587</v>
      </c>
      <c r="B115" s="10">
        <f t="shared" si="1"/>
        <v>100</v>
      </c>
      <c r="C115" s="6">
        <f t="shared" si="2"/>
        <v>97.5</v>
      </c>
      <c r="D115" s="6">
        <f t="shared" si="3"/>
        <v>16.610844</v>
      </c>
    </row>
    <row r="116">
      <c r="A116" s="4" t="s">
        <v>9588</v>
      </c>
      <c r="B116" s="10">
        <f t="shared" si="1"/>
        <v>0</v>
      </c>
      <c r="C116" s="6">
        <f t="shared" si="2"/>
        <v>97.8</v>
      </c>
      <c r="D116" s="6">
        <f t="shared" si="3"/>
        <v>16.66263</v>
      </c>
    </row>
    <row r="117">
      <c r="A117" s="4" t="s">
        <v>9589</v>
      </c>
      <c r="B117" s="10">
        <f t="shared" si="1"/>
        <v>100</v>
      </c>
      <c r="C117" s="6">
        <f t="shared" si="2"/>
        <v>98.1</v>
      </c>
      <c r="D117" s="6">
        <f t="shared" si="3"/>
        <v>16.718364</v>
      </c>
    </row>
    <row r="118">
      <c r="A118" s="4" t="s">
        <v>9590</v>
      </c>
      <c r="B118" s="10">
        <f t="shared" si="1"/>
        <v>0</v>
      </c>
      <c r="C118" s="6">
        <f t="shared" si="2"/>
        <v>98.1</v>
      </c>
      <c r="D118" s="6">
        <f t="shared" si="3"/>
        <v>16.71641</v>
      </c>
    </row>
    <row r="119">
      <c r="A119" s="4" t="s">
        <v>9591</v>
      </c>
      <c r="B119" s="10">
        <f t="shared" si="1"/>
        <v>100</v>
      </c>
      <c r="C119" s="6">
        <f t="shared" si="2"/>
        <v>96.3</v>
      </c>
      <c r="D119" s="6">
        <f t="shared" si="3"/>
        <v>16.40509</v>
      </c>
    </row>
    <row r="120">
      <c r="A120" s="4" t="s">
        <v>9592</v>
      </c>
      <c r="B120" s="10">
        <f t="shared" si="1"/>
        <v>100</v>
      </c>
      <c r="C120" s="6">
        <f t="shared" si="2"/>
        <v>96.7</v>
      </c>
      <c r="D120" s="6">
        <f t="shared" si="3"/>
        <v>16.475062</v>
      </c>
    </row>
    <row r="121">
      <c r="A121" s="4" t="s">
        <v>9593</v>
      </c>
      <c r="B121" s="10">
        <f t="shared" si="1"/>
        <v>0</v>
      </c>
      <c r="C121" s="6">
        <f t="shared" si="2"/>
        <v>97.6</v>
      </c>
      <c r="D121" s="6">
        <f t="shared" si="3"/>
        <v>16.631099</v>
      </c>
    </row>
    <row r="122">
      <c r="A122" s="4" t="s">
        <v>9594</v>
      </c>
      <c r="B122" s="10">
        <f t="shared" si="1"/>
        <v>0</v>
      </c>
      <c r="C122" s="6">
        <f t="shared" si="2"/>
        <v>97</v>
      </c>
      <c r="D122" s="6">
        <f t="shared" si="3"/>
        <v>16.527982</v>
      </c>
    </row>
    <row r="123">
      <c r="A123" s="4" t="s">
        <v>9595</v>
      </c>
      <c r="B123" s="10">
        <f t="shared" si="1"/>
        <v>0</v>
      </c>
      <c r="C123" s="6">
        <f t="shared" si="2"/>
        <v>97.8</v>
      </c>
      <c r="D123" s="6">
        <f t="shared" si="3"/>
        <v>16.658751</v>
      </c>
    </row>
    <row r="124">
      <c r="A124" s="4" t="s">
        <v>9596</v>
      </c>
      <c r="B124" s="10">
        <f t="shared" si="1"/>
        <v>100</v>
      </c>
      <c r="C124" s="6">
        <f t="shared" si="2"/>
        <v>99.4</v>
      </c>
      <c r="D124" s="6">
        <f t="shared" si="3"/>
        <v>16.933093</v>
      </c>
    </row>
    <row r="125">
      <c r="A125" s="4" t="s">
        <v>9597</v>
      </c>
      <c r="B125" s="10">
        <f t="shared" si="1"/>
        <v>100</v>
      </c>
      <c r="C125" s="6">
        <f t="shared" si="2"/>
        <v>99.5</v>
      </c>
      <c r="D125" s="6">
        <f t="shared" si="3"/>
        <v>16.957108</v>
      </c>
    </row>
    <row r="126">
      <c r="A126" s="4" t="s">
        <v>9598</v>
      </c>
      <c r="B126" s="10">
        <f t="shared" si="1"/>
        <v>0</v>
      </c>
      <c r="C126" s="6">
        <f t="shared" si="2"/>
        <v>99.4</v>
      </c>
      <c r="D126" s="6">
        <f t="shared" si="3"/>
        <v>16.94652</v>
      </c>
    </row>
    <row r="127">
      <c r="A127" s="4" t="s">
        <v>9599</v>
      </c>
      <c r="B127" s="10">
        <f t="shared" si="1"/>
        <v>100</v>
      </c>
      <c r="C127" s="6">
        <f t="shared" si="2"/>
        <v>99.5</v>
      </c>
      <c r="D127" s="6">
        <f t="shared" si="3"/>
        <v>16.949653</v>
      </c>
    </row>
    <row r="128">
      <c r="A128" s="4" t="s">
        <v>9600</v>
      </c>
      <c r="B128" s="10">
        <f t="shared" si="1"/>
        <v>0</v>
      </c>
      <c r="C128" s="6">
        <f t="shared" si="2"/>
        <v>99.5</v>
      </c>
      <c r="D128" s="6">
        <f t="shared" si="3"/>
        <v>16.954044</v>
      </c>
    </row>
    <row r="129">
      <c r="A129" s="4" t="s">
        <v>9601</v>
      </c>
      <c r="B129" s="10">
        <f t="shared" si="1"/>
        <v>0</v>
      </c>
      <c r="C129" s="6">
        <f t="shared" si="2"/>
        <v>98.9</v>
      </c>
      <c r="D129" s="6">
        <f t="shared" si="3"/>
        <v>16.846848</v>
      </c>
    </row>
    <row r="130">
      <c r="A130" s="4" t="s">
        <v>9602</v>
      </c>
      <c r="B130" s="10">
        <f t="shared" si="1"/>
        <v>100</v>
      </c>
      <c r="C130" s="6">
        <f t="shared" si="2"/>
        <v>97.2</v>
      </c>
      <c r="D130" s="6">
        <f t="shared" si="3"/>
        <v>16.56614</v>
      </c>
    </row>
    <row r="131">
      <c r="A131" s="4" t="s">
        <v>9603</v>
      </c>
      <c r="B131" s="10">
        <f t="shared" si="1"/>
        <v>100</v>
      </c>
      <c r="C131" s="6">
        <f t="shared" si="2"/>
        <v>98.4</v>
      </c>
      <c r="D131" s="6">
        <f t="shared" si="3"/>
        <v>16.774025</v>
      </c>
    </row>
    <row r="132">
      <c r="A132" s="4" t="s">
        <v>9604</v>
      </c>
      <c r="B132" s="10">
        <f t="shared" si="1"/>
        <v>100</v>
      </c>
      <c r="C132" s="6">
        <f t="shared" si="2"/>
        <v>97.1</v>
      </c>
      <c r="D132" s="6">
        <f t="shared" si="3"/>
        <v>16.552394</v>
      </c>
    </row>
    <row r="133">
      <c r="A133" s="4" t="s">
        <v>9605</v>
      </c>
      <c r="B133" s="10">
        <f t="shared" si="1"/>
        <v>100</v>
      </c>
      <c r="C133" s="6">
        <f t="shared" si="2"/>
        <v>97.5</v>
      </c>
      <c r="D133" s="6">
        <f t="shared" si="3"/>
        <v>16.621236</v>
      </c>
    </row>
    <row r="134">
      <c r="A134" s="4" t="s">
        <v>9606</v>
      </c>
      <c r="B134" s="10">
        <f t="shared" si="1"/>
        <v>100</v>
      </c>
      <c r="C134" s="6">
        <f t="shared" si="2"/>
        <v>96.5</v>
      </c>
      <c r="D134" s="6">
        <f t="shared" si="3"/>
        <v>16.442834</v>
      </c>
    </row>
    <row r="135">
      <c r="A135" s="4" t="s">
        <v>9607</v>
      </c>
      <c r="B135" s="10">
        <f t="shared" si="1"/>
        <v>100</v>
      </c>
      <c r="C135" s="6">
        <f t="shared" si="2"/>
        <v>96.6</v>
      </c>
      <c r="D135" s="6">
        <f t="shared" si="3"/>
        <v>16.463351</v>
      </c>
    </row>
    <row r="136">
      <c r="A136" s="4" t="s">
        <v>9608</v>
      </c>
      <c r="B136" s="10">
        <f t="shared" si="1"/>
        <v>100</v>
      </c>
      <c r="C136" s="6">
        <f t="shared" si="2"/>
        <v>96.9</v>
      </c>
      <c r="D136" s="6">
        <f t="shared" si="3"/>
        <v>16.514334</v>
      </c>
    </row>
    <row r="137">
      <c r="A137" s="4" t="s">
        <v>9609</v>
      </c>
      <c r="B137" s="10">
        <f t="shared" si="1"/>
        <v>100</v>
      </c>
      <c r="C137" s="6">
        <f t="shared" si="2"/>
        <v>98.3</v>
      </c>
      <c r="D137" s="6">
        <f t="shared" si="3"/>
        <v>16.754708</v>
      </c>
    </row>
    <row r="138">
      <c r="A138" s="4" t="s">
        <v>9610</v>
      </c>
      <c r="B138" s="10">
        <f t="shared" si="1"/>
        <v>100</v>
      </c>
      <c r="C138" s="6">
        <f t="shared" si="2"/>
        <v>97</v>
      </c>
      <c r="D138" s="6">
        <f t="shared" si="3"/>
        <v>16.533168</v>
      </c>
    </row>
    <row r="139">
      <c r="A139" s="4" t="s">
        <v>9611</v>
      </c>
      <c r="B139" s="10">
        <f t="shared" si="1"/>
        <v>100</v>
      </c>
      <c r="C139" s="6">
        <f t="shared" si="2"/>
        <v>97.8</v>
      </c>
      <c r="D139" s="6">
        <f t="shared" si="3"/>
        <v>16.661774</v>
      </c>
    </row>
    <row r="140">
      <c r="A140" s="4" t="s">
        <v>9612</v>
      </c>
      <c r="B140" s="10">
        <f t="shared" si="1"/>
        <v>100</v>
      </c>
      <c r="C140" s="6">
        <f t="shared" si="2"/>
        <v>97.1</v>
      </c>
      <c r="D140" s="6">
        <f t="shared" si="3"/>
        <v>16.555089</v>
      </c>
    </row>
    <row r="141">
      <c r="A141" s="4" t="s">
        <v>9613</v>
      </c>
      <c r="B141" s="10">
        <f t="shared" si="1"/>
        <v>0</v>
      </c>
      <c r="C141" s="6">
        <f t="shared" si="2"/>
        <v>97.6</v>
      </c>
      <c r="D141" s="6">
        <f t="shared" si="3"/>
        <v>16.631668</v>
      </c>
    </row>
    <row r="142">
      <c r="A142" s="4" t="s">
        <v>9614</v>
      </c>
      <c r="B142" s="10">
        <f t="shared" si="1"/>
        <v>100</v>
      </c>
      <c r="C142" s="6">
        <f t="shared" si="2"/>
        <v>98.1</v>
      </c>
      <c r="D142" s="6">
        <f t="shared" si="3"/>
        <v>16.723775</v>
      </c>
    </row>
    <row r="143">
      <c r="A143" s="4" t="s">
        <v>9615</v>
      </c>
      <c r="B143" s="10">
        <f t="shared" si="1"/>
        <v>100</v>
      </c>
      <c r="C143" s="6">
        <f t="shared" si="2"/>
        <v>96.6</v>
      </c>
      <c r="D143" s="6">
        <f t="shared" si="3"/>
        <v>16.465772</v>
      </c>
    </row>
    <row r="144">
      <c r="A144" s="4" t="s">
        <v>9616</v>
      </c>
      <c r="B144" s="10">
        <f t="shared" si="1"/>
        <v>100</v>
      </c>
      <c r="C144" s="6">
        <f t="shared" si="2"/>
        <v>96.3</v>
      </c>
      <c r="D144" s="6">
        <f t="shared" si="3"/>
        <v>16.40901</v>
      </c>
    </row>
    <row r="145">
      <c r="A145" s="4" t="s">
        <v>9617</v>
      </c>
      <c r="B145" s="10">
        <f t="shared" si="1"/>
        <v>100</v>
      </c>
      <c r="C145" s="6">
        <f t="shared" si="2"/>
        <v>97.1</v>
      </c>
      <c r="D145" s="6">
        <f t="shared" si="3"/>
        <v>16.542027</v>
      </c>
    </row>
    <row r="146">
      <c r="A146" s="4" t="s">
        <v>9618</v>
      </c>
      <c r="B146" s="10">
        <f t="shared" si="1"/>
        <v>100</v>
      </c>
      <c r="C146" s="6">
        <f t="shared" si="2"/>
        <v>97.3</v>
      </c>
      <c r="D146" s="6">
        <f t="shared" si="3"/>
        <v>16.587718</v>
      </c>
    </row>
    <row r="147">
      <c r="A147" s="4" t="s">
        <v>9619</v>
      </c>
      <c r="B147" s="10">
        <f t="shared" si="1"/>
        <v>100</v>
      </c>
      <c r="C147" s="6">
        <f t="shared" si="2"/>
        <v>97.2</v>
      </c>
      <c r="D147" s="6">
        <f t="shared" si="3"/>
        <v>16.571858</v>
      </c>
    </row>
    <row r="148">
      <c r="A148" s="4" t="s">
        <v>9620</v>
      </c>
      <c r="B148" s="10">
        <f t="shared" si="1"/>
        <v>100</v>
      </c>
      <c r="C148" s="6">
        <f t="shared" si="2"/>
        <v>98</v>
      </c>
      <c r="D148" s="6">
        <f t="shared" si="3"/>
        <v>16.693743</v>
      </c>
    </row>
    <row r="149">
      <c r="A149" s="4" t="s">
        <v>9621</v>
      </c>
      <c r="B149" s="10">
        <f t="shared" si="1"/>
        <v>100</v>
      </c>
      <c r="C149" s="6">
        <f t="shared" si="2"/>
        <v>99.5</v>
      </c>
      <c r="D149" s="6">
        <f t="shared" si="3"/>
        <v>16.962203</v>
      </c>
    </row>
    <row r="150">
      <c r="A150" s="4" t="s">
        <v>9622</v>
      </c>
      <c r="B150" s="10">
        <f t="shared" si="1"/>
        <v>100</v>
      </c>
      <c r="C150" s="6">
        <f t="shared" si="2"/>
        <v>95.2</v>
      </c>
      <c r="D150" s="6">
        <f t="shared" si="3"/>
        <v>16.222449</v>
      </c>
    </row>
    <row r="151">
      <c r="A151" s="4" t="s">
        <v>9623</v>
      </c>
      <c r="B151" s="10">
        <f t="shared" si="1"/>
        <v>100</v>
      </c>
      <c r="C151" s="6">
        <f t="shared" si="2"/>
        <v>97.9</v>
      </c>
      <c r="D151" s="6">
        <f t="shared" si="3"/>
        <v>16.691732</v>
      </c>
    </row>
    <row r="152">
      <c r="A152" s="4" t="s">
        <v>9624</v>
      </c>
      <c r="B152" s="10">
        <f t="shared" si="1"/>
        <v>100</v>
      </c>
      <c r="C152" s="6">
        <f t="shared" si="2"/>
        <v>98</v>
      </c>
      <c r="D152" s="6">
        <f t="shared" si="3"/>
        <v>16.707928</v>
      </c>
    </row>
    <row r="153">
      <c r="A153" s="4" t="s">
        <v>9625</v>
      </c>
      <c r="B153" s="10">
        <f t="shared" si="1"/>
        <v>100</v>
      </c>
      <c r="C153" s="6">
        <f t="shared" si="2"/>
        <v>98</v>
      </c>
      <c r="D153" s="6">
        <f t="shared" si="3"/>
        <v>16.694358</v>
      </c>
    </row>
    <row r="154">
      <c r="A154" s="4" t="s">
        <v>9626</v>
      </c>
      <c r="B154" s="10">
        <f t="shared" si="1"/>
        <v>100</v>
      </c>
      <c r="C154" s="6">
        <f t="shared" si="2"/>
        <v>98.6</v>
      </c>
      <c r="D154" s="6">
        <f t="shared" si="3"/>
        <v>16.808275</v>
      </c>
    </row>
    <row r="155">
      <c r="A155" s="4" t="s">
        <v>9627</v>
      </c>
      <c r="B155" s="10">
        <f t="shared" si="1"/>
        <v>0</v>
      </c>
      <c r="C155" s="6">
        <f t="shared" si="2"/>
        <v>98</v>
      </c>
      <c r="D155" s="6">
        <f t="shared" si="3"/>
        <v>16.703832</v>
      </c>
    </row>
    <row r="156">
      <c r="A156" s="4" t="s">
        <v>9628</v>
      </c>
      <c r="B156" s="10">
        <f t="shared" si="1"/>
        <v>100</v>
      </c>
      <c r="C156" s="6">
        <f t="shared" si="2"/>
        <v>98.3</v>
      </c>
      <c r="D156" s="6">
        <f t="shared" si="3"/>
        <v>16.759349</v>
      </c>
    </row>
    <row r="157">
      <c r="A157" s="4" t="s">
        <v>9629</v>
      </c>
      <c r="B157" s="10">
        <f t="shared" si="1"/>
        <v>0</v>
      </c>
      <c r="C157" s="6">
        <f t="shared" si="2"/>
        <v>98.2</v>
      </c>
      <c r="D157" s="6">
        <f t="shared" si="3"/>
        <v>16.74158</v>
      </c>
    </row>
    <row r="158">
      <c r="A158" s="4" t="s">
        <v>9630</v>
      </c>
      <c r="B158" s="10">
        <f t="shared" si="1"/>
        <v>0</v>
      </c>
      <c r="C158" s="6">
        <f t="shared" si="2"/>
        <v>98.3</v>
      </c>
      <c r="D158" s="6">
        <f t="shared" si="3"/>
        <v>16.755998</v>
      </c>
    </row>
    <row r="159">
      <c r="A159" s="4" t="s">
        <v>9631</v>
      </c>
      <c r="B159" s="10">
        <f t="shared" si="1"/>
        <v>100</v>
      </c>
      <c r="C159" s="6">
        <f t="shared" si="2"/>
        <v>96.3</v>
      </c>
      <c r="D159" s="6">
        <f t="shared" si="3"/>
        <v>16.405991</v>
      </c>
    </row>
    <row r="160">
      <c r="A160" s="4" t="s">
        <v>9632</v>
      </c>
      <c r="B160" s="10">
        <f t="shared" si="1"/>
        <v>100</v>
      </c>
      <c r="C160" s="6">
        <f t="shared" si="2"/>
        <v>98.4</v>
      </c>
      <c r="D160" s="6">
        <f t="shared" si="3"/>
        <v>16.761577</v>
      </c>
    </row>
    <row r="161">
      <c r="A161" s="4" t="s">
        <v>9633</v>
      </c>
      <c r="B161" s="10">
        <f t="shared" si="1"/>
        <v>100</v>
      </c>
      <c r="C161" s="6">
        <f t="shared" si="2"/>
        <v>98.4</v>
      </c>
      <c r="D161" s="6">
        <f t="shared" si="3"/>
        <v>16.76732</v>
      </c>
    </row>
    <row r="162">
      <c r="A162" s="4" t="s">
        <v>9634</v>
      </c>
      <c r="B162" s="10">
        <f t="shared" si="1"/>
        <v>0</v>
      </c>
      <c r="C162" s="6">
        <f t="shared" si="2"/>
        <v>96.8</v>
      </c>
      <c r="D162" s="6">
        <f t="shared" si="3"/>
        <v>16.501481</v>
      </c>
    </row>
    <row r="163">
      <c r="A163" s="4" t="s">
        <v>9635</v>
      </c>
      <c r="B163" s="10">
        <f t="shared" si="1"/>
        <v>100</v>
      </c>
      <c r="C163" s="6">
        <f t="shared" si="2"/>
        <v>99</v>
      </c>
      <c r="D163" s="6">
        <f t="shared" si="3"/>
        <v>16.86498</v>
      </c>
    </row>
    <row r="164">
      <c r="A164" s="4" t="s">
        <v>9636</v>
      </c>
      <c r="B164" s="10">
        <f t="shared" si="1"/>
        <v>0</v>
      </c>
      <c r="C164" s="6">
        <f t="shared" si="2"/>
        <v>99</v>
      </c>
      <c r="D164" s="6">
        <f t="shared" si="3"/>
        <v>16.875298</v>
      </c>
    </row>
    <row r="165">
      <c r="A165" s="4" t="s">
        <v>9637</v>
      </c>
      <c r="B165" s="10">
        <f t="shared" si="1"/>
        <v>100</v>
      </c>
      <c r="C165" s="6">
        <f t="shared" si="2"/>
        <v>98.9</v>
      </c>
      <c r="D165" s="6">
        <f t="shared" si="3"/>
        <v>16.853815</v>
      </c>
    </row>
    <row r="166">
      <c r="A166" s="4" t="s">
        <v>9638</v>
      </c>
      <c r="B166" s="10">
        <f t="shared" si="1"/>
        <v>0</v>
      </c>
      <c r="C166" s="6">
        <f t="shared" si="2"/>
        <v>98.8</v>
      </c>
      <c r="D166" s="6">
        <f t="shared" si="3"/>
        <v>16.841879</v>
      </c>
    </row>
    <row r="167">
      <c r="A167" s="4" t="s">
        <v>9639</v>
      </c>
      <c r="B167" s="10">
        <f t="shared" si="1"/>
        <v>100</v>
      </c>
      <c r="C167" s="6">
        <f t="shared" si="2"/>
        <v>98.2</v>
      </c>
      <c r="D167" s="6">
        <f t="shared" si="3"/>
        <v>16.727285</v>
      </c>
    </row>
    <row r="168">
      <c r="A168" s="4" t="s">
        <v>9640</v>
      </c>
      <c r="B168" s="10">
        <f t="shared" si="1"/>
        <v>100</v>
      </c>
      <c r="C168" s="6">
        <f t="shared" si="2"/>
        <v>100</v>
      </c>
      <c r="D168" s="6">
        <f t="shared" si="3"/>
        <v>17.037504</v>
      </c>
    </row>
    <row r="169">
      <c r="A169" s="4" t="s">
        <v>9641</v>
      </c>
      <c r="B169" s="10">
        <f t="shared" si="1"/>
        <v>100</v>
      </c>
      <c r="C169" s="6">
        <f t="shared" si="2"/>
        <v>96.9</v>
      </c>
      <c r="D169" s="6">
        <f t="shared" si="3"/>
        <v>16.512925</v>
      </c>
    </row>
    <row r="170">
      <c r="A170" s="4" t="s">
        <v>9642</v>
      </c>
      <c r="B170" s="10">
        <f t="shared" si="1"/>
        <v>100</v>
      </c>
      <c r="C170" s="6">
        <f t="shared" si="2"/>
        <v>96.9</v>
      </c>
      <c r="D170" s="6">
        <f t="shared" si="3"/>
        <v>16.513462</v>
      </c>
    </row>
    <row r="171">
      <c r="A171" s="4" t="s">
        <v>9643</v>
      </c>
      <c r="B171" s="10">
        <f t="shared" si="1"/>
        <v>100</v>
      </c>
      <c r="C171" s="6">
        <f t="shared" si="2"/>
        <v>97.1</v>
      </c>
      <c r="D171" s="6">
        <f t="shared" si="3"/>
        <v>16.544182</v>
      </c>
    </row>
    <row r="172">
      <c r="A172" s="4" t="s">
        <v>9644</v>
      </c>
      <c r="B172" s="10">
        <f t="shared" si="1"/>
        <v>100</v>
      </c>
      <c r="C172" s="6">
        <f t="shared" si="2"/>
        <v>97.1</v>
      </c>
      <c r="D172" s="6">
        <f t="shared" si="3"/>
        <v>16.549199</v>
      </c>
    </row>
    <row r="173">
      <c r="A173" s="4" t="s">
        <v>9645</v>
      </c>
      <c r="B173" s="10">
        <f t="shared" si="1"/>
        <v>100</v>
      </c>
      <c r="C173" s="6">
        <f t="shared" si="2"/>
        <v>97.1</v>
      </c>
      <c r="D173" s="6">
        <f t="shared" si="3"/>
        <v>16.538783</v>
      </c>
    </row>
    <row r="174">
      <c r="A174" s="4" t="s">
        <v>9646</v>
      </c>
      <c r="B174" s="10">
        <f t="shared" si="1"/>
        <v>100</v>
      </c>
      <c r="C174" s="6">
        <f t="shared" si="2"/>
        <v>99.9</v>
      </c>
      <c r="D174" s="6">
        <f t="shared" si="3"/>
        <v>17.026707</v>
      </c>
    </row>
    <row r="175">
      <c r="A175" s="4" t="s">
        <v>9647</v>
      </c>
      <c r="B175" s="10">
        <f t="shared" si="1"/>
        <v>100</v>
      </c>
      <c r="C175" s="6">
        <f t="shared" si="2"/>
        <v>96.8</v>
      </c>
      <c r="D175" s="6">
        <f t="shared" si="3"/>
        <v>16.489078</v>
      </c>
    </row>
    <row r="176">
      <c r="A176" s="4" t="s">
        <v>9648</v>
      </c>
      <c r="B176" s="10">
        <f t="shared" si="1"/>
        <v>0</v>
      </c>
      <c r="C176" s="6">
        <f t="shared" si="2"/>
        <v>97.3</v>
      </c>
      <c r="D176" s="6">
        <f t="shared" si="3"/>
        <v>16.581971</v>
      </c>
    </row>
    <row r="177">
      <c r="A177" s="4" t="s">
        <v>9649</v>
      </c>
      <c r="B177" s="10">
        <f t="shared" si="1"/>
        <v>0</v>
      </c>
      <c r="C177" s="6">
        <f t="shared" si="2"/>
        <v>97.2</v>
      </c>
      <c r="D177" s="6">
        <f t="shared" si="3"/>
        <v>16.563556</v>
      </c>
    </row>
    <row r="178">
      <c r="A178" s="4" t="s">
        <v>9650</v>
      </c>
      <c r="B178" s="10">
        <f t="shared" si="1"/>
        <v>0</v>
      </c>
      <c r="C178" s="6">
        <f t="shared" si="2"/>
        <v>96.9</v>
      </c>
      <c r="D178" s="6">
        <f t="shared" si="3"/>
        <v>16.510402</v>
      </c>
    </row>
    <row r="179">
      <c r="A179" s="4" t="s">
        <v>9651</v>
      </c>
      <c r="B179" s="10">
        <f t="shared" si="1"/>
        <v>100</v>
      </c>
      <c r="C179" s="6">
        <f t="shared" si="2"/>
        <v>97.3</v>
      </c>
      <c r="D179" s="6">
        <f t="shared" si="3"/>
        <v>16.589574</v>
      </c>
    </row>
    <row r="180">
      <c r="A180" s="4" t="s">
        <v>9652</v>
      </c>
      <c r="B180" s="10">
        <f t="shared" si="1"/>
        <v>100</v>
      </c>
      <c r="C180" s="6">
        <f t="shared" si="2"/>
        <v>97.5</v>
      </c>
      <c r="D180" s="6">
        <f t="shared" si="3"/>
        <v>16.619585</v>
      </c>
    </row>
    <row r="181">
      <c r="A181" s="4" t="s">
        <v>9653</v>
      </c>
      <c r="B181" s="10">
        <f t="shared" si="1"/>
        <v>100</v>
      </c>
      <c r="C181" s="6">
        <f t="shared" si="2"/>
        <v>98.1</v>
      </c>
      <c r="D181" s="6">
        <f t="shared" si="3"/>
        <v>16.709623</v>
      </c>
    </row>
    <row r="182">
      <c r="A182" s="4" t="s">
        <v>9654</v>
      </c>
      <c r="B182" s="10">
        <f t="shared" si="1"/>
        <v>100</v>
      </c>
      <c r="C182" s="6">
        <f t="shared" si="2"/>
        <v>96.3</v>
      </c>
      <c r="D182" s="6">
        <f t="shared" si="3"/>
        <v>16.408223</v>
      </c>
    </row>
    <row r="183">
      <c r="A183" s="4" t="s">
        <v>9655</v>
      </c>
      <c r="B183" s="10">
        <f t="shared" si="1"/>
        <v>100</v>
      </c>
      <c r="C183" s="6">
        <f t="shared" si="2"/>
        <v>96.6</v>
      </c>
      <c r="D183" s="6">
        <f t="shared" si="3"/>
        <v>16.454135</v>
      </c>
    </row>
    <row r="184">
      <c r="A184" s="4" t="s">
        <v>9656</v>
      </c>
      <c r="B184" s="10">
        <f t="shared" si="1"/>
        <v>0</v>
      </c>
      <c r="C184" s="6">
        <f t="shared" si="2"/>
        <v>96.8</v>
      </c>
      <c r="D184" s="6">
        <f t="shared" si="3"/>
        <v>16.504016</v>
      </c>
    </row>
    <row r="185">
      <c r="A185" s="4" t="s">
        <v>9657</v>
      </c>
      <c r="B185" s="10">
        <f t="shared" si="1"/>
        <v>100</v>
      </c>
      <c r="C185" s="6">
        <f t="shared" si="2"/>
        <v>97</v>
      </c>
      <c r="D185" s="6">
        <f t="shared" si="3"/>
        <v>16.524648</v>
      </c>
    </row>
    <row r="186">
      <c r="A186" s="4" t="s">
        <v>9658</v>
      </c>
      <c r="B186" s="10">
        <f t="shared" si="1"/>
        <v>100</v>
      </c>
      <c r="C186" s="6">
        <f t="shared" si="2"/>
        <v>97.2</v>
      </c>
      <c r="D186" s="6">
        <f t="shared" si="3"/>
        <v>16.561106</v>
      </c>
    </row>
    <row r="187">
      <c r="A187" s="4" t="s">
        <v>9659</v>
      </c>
      <c r="B187" s="10">
        <f t="shared" si="1"/>
        <v>100</v>
      </c>
      <c r="C187" s="6">
        <f t="shared" si="2"/>
        <v>97.9</v>
      </c>
      <c r="D187" s="6">
        <f t="shared" si="3"/>
        <v>16.675127</v>
      </c>
    </row>
    <row r="188">
      <c r="A188" s="4" t="s">
        <v>9660</v>
      </c>
      <c r="B188" s="10">
        <f t="shared" si="1"/>
        <v>100</v>
      </c>
      <c r="C188" s="6">
        <f t="shared" si="2"/>
        <v>96.7</v>
      </c>
      <c r="D188" s="6">
        <f t="shared" si="3"/>
        <v>16.485388</v>
      </c>
    </row>
    <row r="189">
      <c r="A189" s="4" t="s">
        <v>9661</v>
      </c>
      <c r="B189" s="10">
        <f t="shared" si="1"/>
        <v>0</v>
      </c>
      <c r="C189" s="6">
        <f t="shared" si="2"/>
        <v>96.8</v>
      </c>
      <c r="D189" s="6">
        <f t="shared" si="3"/>
        <v>16.497053</v>
      </c>
    </row>
    <row r="190">
      <c r="A190" s="4" t="s">
        <v>9662</v>
      </c>
      <c r="B190" s="10">
        <f t="shared" si="1"/>
        <v>100</v>
      </c>
      <c r="C190" s="6">
        <f t="shared" si="2"/>
        <v>96.6</v>
      </c>
      <c r="D190" s="6">
        <f t="shared" si="3"/>
        <v>16.458489</v>
      </c>
    </row>
    <row r="191">
      <c r="A191" s="4" t="s">
        <v>9663</v>
      </c>
      <c r="B191" s="10">
        <f t="shared" si="1"/>
        <v>100</v>
      </c>
      <c r="C191" s="6">
        <f t="shared" si="2"/>
        <v>97.1</v>
      </c>
      <c r="D191" s="6">
        <f t="shared" si="3"/>
        <v>16.548605</v>
      </c>
    </row>
    <row r="192">
      <c r="A192" s="4" t="s">
        <v>9664</v>
      </c>
      <c r="B192" s="10">
        <f t="shared" si="1"/>
        <v>100</v>
      </c>
      <c r="C192" s="6">
        <f t="shared" si="2"/>
        <v>97.6</v>
      </c>
      <c r="D192" s="6">
        <f t="shared" si="3"/>
        <v>16.627929</v>
      </c>
    </row>
    <row r="193">
      <c r="A193" s="4" t="s">
        <v>9665</v>
      </c>
      <c r="B193" s="10">
        <f t="shared" si="1"/>
        <v>100</v>
      </c>
      <c r="C193" s="6">
        <f t="shared" si="2"/>
        <v>97.5</v>
      </c>
      <c r="D193" s="6">
        <f t="shared" si="3"/>
        <v>16.621359</v>
      </c>
    </row>
    <row r="194">
      <c r="A194" s="4" t="s">
        <v>9666</v>
      </c>
      <c r="B194" s="10">
        <f t="shared" si="1"/>
        <v>100</v>
      </c>
      <c r="C194" s="6">
        <f t="shared" si="2"/>
        <v>98.5</v>
      </c>
      <c r="D194" s="6">
        <f t="shared" si="3"/>
        <v>16.788033</v>
      </c>
    </row>
    <row r="195">
      <c r="A195" s="4" t="s">
        <v>9667</v>
      </c>
      <c r="B195" s="10">
        <f t="shared" si="1"/>
        <v>0</v>
      </c>
      <c r="C195" s="6">
        <f t="shared" si="2"/>
        <v>96.6</v>
      </c>
      <c r="D195" s="6">
        <f t="shared" si="3"/>
        <v>16.463941</v>
      </c>
    </row>
    <row r="196">
      <c r="A196" s="4" t="s">
        <v>9668</v>
      </c>
      <c r="B196" s="10">
        <f t="shared" si="1"/>
        <v>0</v>
      </c>
      <c r="C196" s="6">
        <f t="shared" si="2"/>
        <v>96.9</v>
      </c>
      <c r="D196" s="6">
        <f t="shared" si="3"/>
        <v>16.519479</v>
      </c>
    </row>
    <row r="197">
      <c r="A197" s="4" t="s">
        <v>9669</v>
      </c>
      <c r="B197" s="10">
        <f t="shared" si="1"/>
        <v>0</v>
      </c>
      <c r="C197" s="6">
        <f t="shared" si="2"/>
        <v>97.1</v>
      </c>
      <c r="D197" s="6">
        <f t="shared" si="3"/>
        <v>16.553992</v>
      </c>
    </row>
    <row r="198">
      <c r="A198" s="4" t="s">
        <v>9670</v>
      </c>
      <c r="B198" s="10">
        <f t="shared" si="1"/>
        <v>100</v>
      </c>
      <c r="C198" s="6">
        <f t="shared" si="2"/>
        <v>97.3</v>
      </c>
      <c r="D198" s="6">
        <f t="shared" si="3"/>
        <v>16.579162</v>
      </c>
    </row>
    <row r="199">
      <c r="A199" s="4" t="s">
        <v>9671</v>
      </c>
      <c r="B199" s="10">
        <f t="shared" si="1"/>
        <v>100</v>
      </c>
      <c r="C199" s="6">
        <f t="shared" si="2"/>
        <v>96.4</v>
      </c>
      <c r="D199" s="6">
        <f t="shared" si="3"/>
        <v>16.426295</v>
      </c>
    </row>
    <row r="200">
      <c r="A200" s="4" t="s">
        <v>9672</v>
      </c>
      <c r="B200" s="10">
        <f t="shared" si="1"/>
        <v>100</v>
      </c>
      <c r="C200" s="6">
        <f t="shared" si="2"/>
        <v>99.7</v>
      </c>
      <c r="D200" s="6">
        <f t="shared" si="3"/>
        <v>16.987398</v>
      </c>
    </row>
    <row r="201">
      <c r="A201" s="4" t="s">
        <v>9673</v>
      </c>
      <c r="B201" s="10">
        <f t="shared" si="1"/>
        <v>100</v>
      </c>
      <c r="C201" s="6">
        <f t="shared" si="2"/>
        <v>96.7</v>
      </c>
      <c r="D201" s="6">
        <f t="shared" si="3"/>
        <v>16.479076</v>
      </c>
    </row>
    <row r="202">
      <c r="A202" s="4" t="s">
        <v>9674</v>
      </c>
      <c r="B202" s="10">
        <f t="shared" si="1"/>
        <v>100</v>
      </c>
      <c r="C202" s="6">
        <f t="shared" si="2"/>
        <v>98.4</v>
      </c>
      <c r="D202" s="6">
        <f t="shared" si="3"/>
        <v>16.76519</v>
      </c>
    </row>
    <row r="203">
      <c r="A203" s="4" t="s">
        <v>9675</v>
      </c>
      <c r="B203" s="10">
        <f t="shared" si="1"/>
        <v>100</v>
      </c>
      <c r="C203" s="6">
        <f t="shared" si="2"/>
        <v>96.7</v>
      </c>
      <c r="D203" s="6">
        <f t="shared" si="3"/>
        <v>16.475013</v>
      </c>
    </row>
    <row r="204">
      <c r="A204" s="4" t="s">
        <v>9676</v>
      </c>
      <c r="B204" s="10">
        <f t="shared" si="1"/>
        <v>100</v>
      </c>
      <c r="C204" s="6">
        <f t="shared" si="2"/>
        <v>96.9</v>
      </c>
      <c r="D204" s="6">
        <f t="shared" si="3"/>
        <v>16.510406</v>
      </c>
    </row>
    <row r="205">
      <c r="A205" s="4" t="s">
        <v>9677</v>
      </c>
      <c r="B205" s="10">
        <f t="shared" si="1"/>
        <v>100</v>
      </c>
      <c r="C205" s="6">
        <f t="shared" si="2"/>
        <v>96.7</v>
      </c>
      <c r="D205" s="6">
        <f t="shared" si="3"/>
        <v>16.473763</v>
      </c>
    </row>
    <row r="206">
      <c r="A206" s="4" t="s">
        <v>9678</v>
      </c>
      <c r="B206" s="10">
        <f t="shared" si="1"/>
        <v>0</v>
      </c>
      <c r="C206" s="6">
        <f t="shared" si="2"/>
        <v>98</v>
      </c>
      <c r="D206" s="6">
        <f t="shared" si="3"/>
        <v>16.696025</v>
      </c>
    </row>
    <row r="207">
      <c r="A207" s="4" t="s">
        <v>9679</v>
      </c>
      <c r="B207" s="10">
        <f t="shared" si="1"/>
        <v>100</v>
      </c>
      <c r="C207" s="6">
        <f t="shared" si="2"/>
        <v>96.9</v>
      </c>
      <c r="D207" s="6">
        <f t="shared" si="3"/>
        <v>16.513609</v>
      </c>
    </row>
    <row r="208">
      <c r="A208" s="4" t="s">
        <v>9680</v>
      </c>
      <c r="B208" s="10">
        <f t="shared" si="1"/>
        <v>100</v>
      </c>
      <c r="C208" s="6">
        <f t="shared" si="2"/>
        <v>97.4</v>
      </c>
      <c r="D208" s="6">
        <f t="shared" si="3"/>
        <v>16.596856</v>
      </c>
    </row>
    <row r="209">
      <c r="A209" s="4" t="s">
        <v>9681</v>
      </c>
      <c r="B209" s="10">
        <f t="shared" si="1"/>
        <v>100</v>
      </c>
      <c r="C209" s="6">
        <f t="shared" si="2"/>
        <v>97.1</v>
      </c>
      <c r="D209" s="6">
        <f t="shared" si="3"/>
        <v>16.551747</v>
      </c>
    </row>
    <row r="210">
      <c r="A210" s="4" t="s">
        <v>9682</v>
      </c>
      <c r="B210" s="10">
        <f t="shared" si="1"/>
        <v>0</v>
      </c>
      <c r="C210" s="6">
        <f t="shared" si="2"/>
        <v>99.3</v>
      </c>
      <c r="D210" s="6">
        <f t="shared" si="3"/>
        <v>16.921305</v>
      </c>
    </row>
    <row r="211">
      <c r="A211" s="4" t="s">
        <v>9683</v>
      </c>
      <c r="B211" s="10">
        <f t="shared" si="1"/>
        <v>100</v>
      </c>
      <c r="C211" s="6">
        <f t="shared" si="2"/>
        <v>96.6</v>
      </c>
      <c r="D211" s="6">
        <f t="shared" si="3"/>
        <v>16.464691</v>
      </c>
    </row>
    <row r="212">
      <c r="A212" s="4" t="s">
        <v>9684</v>
      </c>
      <c r="B212" s="10">
        <f t="shared" si="1"/>
        <v>100</v>
      </c>
      <c r="C212" s="6">
        <f t="shared" si="2"/>
        <v>98.2</v>
      </c>
      <c r="D212" s="6">
        <f t="shared" si="3"/>
        <v>16.728481</v>
      </c>
    </row>
    <row r="213">
      <c r="A213" s="4" t="s">
        <v>9685</v>
      </c>
      <c r="B213" s="10">
        <f t="shared" si="1"/>
        <v>100</v>
      </c>
      <c r="C213" s="6">
        <f t="shared" si="2"/>
        <v>96</v>
      </c>
      <c r="D213" s="6">
        <f t="shared" si="3"/>
        <v>16.361512</v>
      </c>
    </row>
    <row r="214">
      <c r="A214" s="4" t="s">
        <v>9686</v>
      </c>
      <c r="B214" s="10">
        <f t="shared" si="1"/>
        <v>0</v>
      </c>
      <c r="C214" s="6">
        <f t="shared" si="2"/>
        <v>97.1</v>
      </c>
      <c r="D214" s="6">
        <f t="shared" si="3"/>
        <v>16.539365</v>
      </c>
    </row>
    <row r="215">
      <c r="A215" s="4" t="s">
        <v>9687</v>
      </c>
      <c r="B215" s="10">
        <f t="shared" si="1"/>
        <v>100</v>
      </c>
      <c r="C215" s="6">
        <f t="shared" si="2"/>
        <v>96.5</v>
      </c>
      <c r="D215" s="6">
        <f t="shared" si="3"/>
        <v>16.44673</v>
      </c>
    </row>
    <row r="216">
      <c r="A216" s="4" t="s">
        <v>9688</v>
      </c>
      <c r="B216" s="10">
        <f t="shared" si="1"/>
        <v>100</v>
      </c>
      <c r="C216" s="6">
        <f t="shared" si="2"/>
        <v>97</v>
      </c>
      <c r="D216" s="6">
        <f t="shared" si="3"/>
        <v>16.533966</v>
      </c>
    </row>
    <row r="217">
      <c r="A217" s="4" t="s">
        <v>9689</v>
      </c>
      <c r="B217" s="10">
        <f t="shared" si="1"/>
        <v>100</v>
      </c>
      <c r="C217" s="6">
        <f t="shared" si="2"/>
        <v>96.5</v>
      </c>
      <c r="D217" s="6">
        <f t="shared" si="3"/>
        <v>16.447045</v>
      </c>
    </row>
    <row r="218">
      <c r="A218" s="4" t="s">
        <v>9690</v>
      </c>
      <c r="B218" s="10">
        <f t="shared" si="1"/>
        <v>100</v>
      </c>
      <c r="C218" s="6">
        <f t="shared" si="2"/>
        <v>98.2</v>
      </c>
      <c r="D218" s="6">
        <f t="shared" si="3"/>
        <v>16.735428</v>
      </c>
    </row>
    <row r="219">
      <c r="A219" s="4" t="s">
        <v>9691</v>
      </c>
      <c r="B219" s="10">
        <f t="shared" si="1"/>
        <v>100</v>
      </c>
      <c r="C219" s="6">
        <f t="shared" si="2"/>
        <v>96.6</v>
      </c>
      <c r="D219" s="6">
        <f t="shared" si="3"/>
        <v>16.467726</v>
      </c>
    </row>
    <row r="220">
      <c r="A220" s="4" t="s">
        <v>9692</v>
      </c>
      <c r="B220" s="10">
        <f t="shared" si="1"/>
        <v>100</v>
      </c>
      <c r="C220" s="6">
        <f t="shared" si="2"/>
        <v>96.8</v>
      </c>
      <c r="D220" s="6">
        <f t="shared" si="3"/>
        <v>16.494649</v>
      </c>
    </row>
    <row r="221">
      <c r="A221" s="4" t="s">
        <v>9693</v>
      </c>
      <c r="B221" s="10">
        <f t="shared" si="1"/>
        <v>100</v>
      </c>
      <c r="C221" s="6">
        <f t="shared" si="2"/>
        <v>97.1</v>
      </c>
      <c r="D221" s="6">
        <f t="shared" si="3"/>
        <v>16.549908</v>
      </c>
    </row>
    <row r="222">
      <c r="A222" s="4" t="s">
        <v>9694</v>
      </c>
      <c r="B222" s="10">
        <f t="shared" si="1"/>
        <v>100</v>
      </c>
      <c r="C222" s="6">
        <f t="shared" si="2"/>
        <v>97.2</v>
      </c>
      <c r="D222" s="6">
        <f t="shared" si="3"/>
        <v>16.563724</v>
      </c>
    </row>
    <row r="223">
      <c r="A223" s="4" t="s">
        <v>9695</v>
      </c>
      <c r="B223" s="10">
        <f t="shared" si="1"/>
        <v>100</v>
      </c>
      <c r="C223" s="6">
        <f t="shared" si="2"/>
        <v>97.1</v>
      </c>
      <c r="D223" s="6">
        <f t="shared" si="3"/>
        <v>16.545607</v>
      </c>
    </row>
    <row r="224">
      <c r="A224" s="4" t="s">
        <v>9696</v>
      </c>
      <c r="B224" s="10">
        <f t="shared" si="1"/>
        <v>100</v>
      </c>
      <c r="C224" s="6">
        <f t="shared" si="2"/>
        <v>98.9</v>
      </c>
      <c r="D224" s="6">
        <f t="shared" si="3"/>
        <v>16.848465</v>
      </c>
    </row>
    <row r="225">
      <c r="A225" s="4" t="s">
        <v>9697</v>
      </c>
      <c r="B225" s="10">
        <f t="shared" si="1"/>
        <v>100</v>
      </c>
      <c r="C225" s="6">
        <f t="shared" si="2"/>
        <v>96.6</v>
      </c>
      <c r="D225" s="6">
        <f t="shared" si="3"/>
        <v>16.469536</v>
      </c>
    </row>
    <row r="226">
      <c r="A226" s="4" t="s">
        <v>9698</v>
      </c>
      <c r="B226" s="10">
        <f t="shared" si="1"/>
        <v>100</v>
      </c>
      <c r="C226" s="6">
        <f t="shared" si="2"/>
        <v>97.4</v>
      </c>
      <c r="D226" s="6">
        <f t="shared" si="3"/>
        <v>16.590848</v>
      </c>
    </row>
    <row r="227">
      <c r="A227" s="4" t="s">
        <v>9699</v>
      </c>
      <c r="B227" s="10">
        <f t="shared" si="1"/>
        <v>100</v>
      </c>
      <c r="C227" s="6">
        <f t="shared" si="2"/>
        <v>96.6</v>
      </c>
      <c r="D227" s="6">
        <f t="shared" si="3"/>
        <v>16.454529</v>
      </c>
    </row>
    <row r="228">
      <c r="A228" s="4" t="s">
        <v>9700</v>
      </c>
      <c r="B228" s="10">
        <f t="shared" si="1"/>
        <v>100</v>
      </c>
      <c r="C228" s="6">
        <f t="shared" si="2"/>
        <v>96.2</v>
      </c>
      <c r="D228" s="6">
        <f t="shared" si="3"/>
        <v>16.400515</v>
      </c>
    </row>
    <row r="229">
      <c r="A229" s="4" t="s">
        <v>9701</v>
      </c>
      <c r="B229" s="10">
        <f t="shared" si="1"/>
        <v>0</v>
      </c>
      <c r="C229" s="6">
        <f t="shared" si="2"/>
        <v>98.6</v>
      </c>
      <c r="D229" s="6">
        <f t="shared" si="3"/>
        <v>16.802238</v>
      </c>
    </row>
    <row r="230">
      <c r="A230" s="4" t="s">
        <v>9702</v>
      </c>
      <c r="B230" s="10">
        <f t="shared" si="1"/>
        <v>100</v>
      </c>
      <c r="C230" s="6">
        <f t="shared" si="2"/>
        <v>98.2</v>
      </c>
      <c r="D230" s="6">
        <f t="shared" si="3"/>
        <v>16.728756</v>
      </c>
    </row>
    <row r="231">
      <c r="A231" s="4" t="s">
        <v>9703</v>
      </c>
      <c r="B231" s="10">
        <f t="shared" si="1"/>
        <v>0</v>
      </c>
      <c r="C231" s="6">
        <f t="shared" si="2"/>
        <v>97</v>
      </c>
      <c r="D231" s="6">
        <f t="shared" si="3"/>
        <v>16.528433</v>
      </c>
    </row>
    <row r="232">
      <c r="A232" s="4" t="s">
        <v>9704</v>
      </c>
      <c r="B232" s="10">
        <f t="shared" si="1"/>
        <v>0</v>
      </c>
      <c r="C232" s="6">
        <f t="shared" si="2"/>
        <v>97.2</v>
      </c>
      <c r="D232" s="6">
        <f t="shared" si="3"/>
        <v>16.556408</v>
      </c>
    </row>
    <row r="233">
      <c r="A233" s="4" t="s">
        <v>9705</v>
      </c>
      <c r="B233" s="10">
        <f t="shared" si="1"/>
        <v>100</v>
      </c>
      <c r="C233" s="6">
        <f t="shared" si="2"/>
        <v>96.7</v>
      </c>
      <c r="D233" s="6">
        <f t="shared" si="3"/>
        <v>16.485797</v>
      </c>
    </row>
    <row r="234">
      <c r="A234" s="4" t="s">
        <v>9706</v>
      </c>
      <c r="B234" s="10">
        <f t="shared" si="1"/>
        <v>0</v>
      </c>
      <c r="C234" s="6">
        <f t="shared" si="2"/>
        <v>96.9</v>
      </c>
      <c r="D234" s="6">
        <f t="shared" si="3"/>
        <v>16.506142</v>
      </c>
    </row>
    <row r="235">
      <c r="A235" s="4" t="s">
        <v>9707</v>
      </c>
      <c r="B235" s="10">
        <f t="shared" si="1"/>
        <v>100</v>
      </c>
      <c r="C235" s="6">
        <f t="shared" si="2"/>
        <v>97.3</v>
      </c>
      <c r="D235" s="6">
        <f t="shared" si="3"/>
        <v>16.588476</v>
      </c>
    </row>
    <row r="236">
      <c r="A236" s="4" t="s">
        <v>9708</v>
      </c>
      <c r="B236" s="10">
        <f t="shared" si="1"/>
        <v>100</v>
      </c>
      <c r="C236" s="6">
        <f t="shared" si="2"/>
        <v>96.4</v>
      </c>
      <c r="D236" s="6">
        <f t="shared" si="3"/>
        <v>16.428679</v>
      </c>
    </row>
    <row r="237">
      <c r="A237" s="4" t="s">
        <v>9709</v>
      </c>
      <c r="B237" s="10">
        <f t="shared" si="1"/>
        <v>0</v>
      </c>
      <c r="C237" s="6">
        <f t="shared" si="2"/>
        <v>96.7</v>
      </c>
      <c r="D237" s="6">
        <f t="shared" si="3"/>
        <v>16.47475</v>
      </c>
    </row>
    <row r="238">
      <c r="A238" s="4" t="s">
        <v>9710</v>
      </c>
      <c r="B238" s="10">
        <f t="shared" si="1"/>
        <v>100</v>
      </c>
      <c r="C238" s="6">
        <f t="shared" si="2"/>
        <v>96.9</v>
      </c>
      <c r="D238" s="6">
        <f t="shared" si="3"/>
        <v>16.511578</v>
      </c>
    </row>
    <row r="239">
      <c r="A239" s="4" t="s">
        <v>9711</v>
      </c>
      <c r="B239" s="10">
        <f t="shared" si="1"/>
        <v>100</v>
      </c>
      <c r="C239" s="6">
        <f t="shared" si="2"/>
        <v>98.6</v>
      </c>
      <c r="D239" s="6">
        <f t="shared" si="3"/>
        <v>16.801878</v>
      </c>
    </row>
    <row r="240">
      <c r="A240" s="4" t="s">
        <v>9712</v>
      </c>
      <c r="B240" s="10">
        <f t="shared" si="1"/>
        <v>0</v>
      </c>
      <c r="C240" s="6">
        <f t="shared" si="2"/>
        <v>97.9</v>
      </c>
      <c r="D240" s="6">
        <f t="shared" si="3"/>
        <v>16.679907</v>
      </c>
    </row>
    <row r="241">
      <c r="A241" s="4" t="s">
        <v>9713</v>
      </c>
      <c r="B241" s="10">
        <f t="shared" si="1"/>
        <v>100</v>
      </c>
      <c r="C241" s="6">
        <f t="shared" si="2"/>
        <v>96.3</v>
      </c>
      <c r="D241" s="6">
        <f t="shared" si="3"/>
        <v>16.40801</v>
      </c>
    </row>
    <row r="242">
      <c r="A242" s="4" t="s">
        <v>9714</v>
      </c>
      <c r="B242" s="10">
        <f t="shared" si="1"/>
        <v>100</v>
      </c>
      <c r="C242" s="6">
        <f t="shared" si="2"/>
        <v>96.3</v>
      </c>
      <c r="D242" s="6">
        <f t="shared" si="3"/>
        <v>16.416759</v>
      </c>
    </row>
    <row r="243">
      <c r="A243" s="4" t="s">
        <v>9715</v>
      </c>
      <c r="B243" s="10">
        <f t="shared" si="1"/>
        <v>0</v>
      </c>
      <c r="C243" s="6">
        <f t="shared" si="2"/>
        <v>96.8</v>
      </c>
      <c r="D243" s="6">
        <f t="shared" si="3"/>
        <v>16.498544</v>
      </c>
    </row>
    <row r="244">
      <c r="A244" s="4" t="s">
        <v>9716</v>
      </c>
      <c r="B244" s="10">
        <f t="shared" si="1"/>
        <v>100</v>
      </c>
      <c r="C244" s="6">
        <f t="shared" si="2"/>
        <v>97.5</v>
      </c>
      <c r="D244" s="6">
        <f t="shared" si="3"/>
        <v>16.607719</v>
      </c>
    </row>
    <row r="245">
      <c r="A245" s="4" t="s">
        <v>9717</v>
      </c>
      <c r="B245" s="10">
        <f t="shared" si="1"/>
        <v>0</v>
      </c>
      <c r="C245" s="6">
        <f t="shared" si="2"/>
        <v>96.8</v>
      </c>
      <c r="D245" s="6">
        <f t="shared" si="3"/>
        <v>16.503914</v>
      </c>
    </row>
    <row r="246">
      <c r="A246" s="4" t="s">
        <v>9718</v>
      </c>
      <c r="B246" s="10">
        <f t="shared" si="1"/>
        <v>100</v>
      </c>
      <c r="C246" s="6">
        <f t="shared" si="2"/>
        <v>97.6</v>
      </c>
      <c r="D246" s="6">
        <f t="shared" si="3"/>
        <v>16.627138</v>
      </c>
    </row>
    <row r="247">
      <c r="A247" s="4" t="s">
        <v>9719</v>
      </c>
      <c r="B247" s="10">
        <f t="shared" si="1"/>
        <v>0</v>
      </c>
      <c r="C247" s="6">
        <f t="shared" si="2"/>
        <v>96.5</v>
      </c>
      <c r="D247" s="6">
        <f t="shared" si="3"/>
        <v>16.445816</v>
      </c>
    </row>
    <row r="248">
      <c r="A248" s="4" t="s">
        <v>9720</v>
      </c>
      <c r="B248" s="10">
        <f t="shared" si="1"/>
        <v>0</v>
      </c>
      <c r="C248" s="6">
        <f t="shared" si="2"/>
        <v>95.7</v>
      </c>
      <c r="D248" s="6">
        <f t="shared" si="3"/>
        <v>16.312201</v>
      </c>
    </row>
    <row r="249">
      <c r="A249" s="4" t="s">
        <v>9721</v>
      </c>
      <c r="B249" s="10">
        <f t="shared" si="1"/>
        <v>100</v>
      </c>
      <c r="C249" s="6">
        <f t="shared" si="2"/>
        <v>96.3</v>
      </c>
      <c r="D249" s="6">
        <f t="shared" si="3"/>
        <v>16.407629</v>
      </c>
    </row>
    <row r="250">
      <c r="A250" s="4" t="s">
        <v>9722</v>
      </c>
      <c r="B250" s="10">
        <f t="shared" si="1"/>
        <v>0</v>
      </c>
      <c r="C250" s="6">
        <f t="shared" si="2"/>
        <v>98.4</v>
      </c>
      <c r="D250" s="6">
        <f t="shared" si="3"/>
        <v>16.773939</v>
      </c>
    </row>
    <row r="251">
      <c r="A251" s="4" t="s">
        <v>9723</v>
      </c>
      <c r="B251" s="10">
        <f t="shared" si="1"/>
        <v>100</v>
      </c>
      <c r="C251" s="6">
        <f t="shared" si="2"/>
        <v>98.4</v>
      </c>
      <c r="D251" s="6">
        <f t="shared" si="3"/>
        <v>16.766734</v>
      </c>
    </row>
    <row r="252">
      <c r="A252" s="4" t="s">
        <v>9724</v>
      </c>
      <c r="B252" s="10">
        <f t="shared" si="1"/>
        <v>0</v>
      </c>
      <c r="C252" s="6">
        <f t="shared" si="2"/>
        <v>99.9</v>
      </c>
      <c r="D252" s="6">
        <f t="shared" si="3"/>
        <v>17.01813</v>
      </c>
    </row>
    <row r="253">
      <c r="A253" s="4" t="s">
        <v>9725</v>
      </c>
      <c r="B253" s="10">
        <f t="shared" si="1"/>
        <v>100</v>
      </c>
      <c r="C253" s="6">
        <f t="shared" si="2"/>
        <v>97.1</v>
      </c>
      <c r="D253" s="6">
        <f t="shared" si="3"/>
        <v>16.546787</v>
      </c>
    </row>
    <row r="254">
      <c r="A254" s="4" t="s">
        <v>9726</v>
      </c>
      <c r="B254" s="10">
        <f t="shared" si="1"/>
        <v>100</v>
      </c>
      <c r="C254" s="6">
        <f t="shared" si="2"/>
        <v>98</v>
      </c>
      <c r="D254" s="6">
        <f t="shared" si="3"/>
        <v>16.705445</v>
      </c>
    </row>
    <row r="255">
      <c r="A255" s="4" t="s">
        <v>9727</v>
      </c>
      <c r="B255" s="10">
        <f t="shared" si="1"/>
        <v>0</v>
      </c>
      <c r="C255" s="6">
        <f t="shared" si="2"/>
        <v>97.8</v>
      </c>
      <c r="D255" s="6">
        <f t="shared" si="3"/>
        <v>16.664211</v>
      </c>
    </row>
    <row r="256">
      <c r="A256" s="4" t="s">
        <v>9728</v>
      </c>
      <c r="B256" s="10">
        <f t="shared" si="1"/>
        <v>50</v>
      </c>
      <c r="C256" s="6">
        <f t="shared" si="2"/>
        <v>96.7</v>
      </c>
      <c r="D256" s="6">
        <f t="shared" si="3"/>
        <v>16.472682</v>
      </c>
    </row>
    <row r="257">
      <c r="A257" s="4" t="s">
        <v>9729</v>
      </c>
      <c r="B257" s="10">
        <f t="shared" si="1"/>
        <v>100</v>
      </c>
      <c r="C257" s="6">
        <f t="shared" si="2"/>
        <v>97.4</v>
      </c>
      <c r="D257" s="6">
        <f t="shared" si="3"/>
        <v>16.604925</v>
      </c>
    </row>
    <row r="258">
      <c r="A258" s="4" t="s">
        <v>9730</v>
      </c>
      <c r="B258" s="10">
        <f t="shared" si="1"/>
        <v>100</v>
      </c>
      <c r="C258" s="6">
        <f t="shared" si="2"/>
        <v>97.2</v>
      </c>
      <c r="D258" s="6">
        <f t="shared" si="3"/>
        <v>16.568049</v>
      </c>
    </row>
    <row r="259">
      <c r="A259" s="4" t="s">
        <v>9731</v>
      </c>
      <c r="B259" s="10">
        <f t="shared" si="1"/>
        <v>100</v>
      </c>
      <c r="C259" s="6">
        <f t="shared" si="2"/>
        <v>97.4</v>
      </c>
      <c r="D259" s="6">
        <f t="shared" si="3"/>
        <v>16.601427</v>
      </c>
    </row>
    <row r="260">
      <c r="A260" s="4" t="s">
        <v>9732</v>
      </c>
      <c r="B260" s="10">
        <f t="shared" si="1"/>
        <v>0</v>
      </c>
      <c r="C260" s="6">
        <f t="shared" si="2"/>
        <v>98.5</v>
      </c>
      <c r="D260" s="6">
        <f t="shared" si="3"/>
        <v>16.781594</v>
      </c>
    </row>
    <row r="261">
      <c r="A261" s="4" t="s">
        <v>9733</v>
      </c>
      <c r="B261" s="10">
        <f t="shared" si="1"/>
        <v>100</v>
      </c>
      <c r="C261" s="6">
        <f t="shared" si="2"/>
        <v>97.8</v>
      </c>
      <c r="D261" s="6">
        <f t="shared" si="3"/>
        <v>16.671653</v>
      </c>
    </row>
    <row r="262">
      <c r="A262" s="4" t="s">
        <v>9734</v>
      </c>
      <c r="B262" s="10">
        <f t="shared" si="1"/>
        <v>100</v>
      </c>
      <c r="C262" s="6">
        <f t="shared" si="2"/>
        <v>98.1</v>
      </c>
      <c r="D262" s="6">
        <f t="shared" si="3"/>
        <v>16.719335</v>
      </c>
    </row>
    <row r="263">
      <c r="A263" s="4" t="s">
        <v>9735</v>
      </c>
      <c r="B263" s="10">
        <f t="shared" si="1"/>
        <v>100</v>
      </c>
      <c r="C263" s="6">
        <f t="shared" si="2"/>
        <v>98.6</v>
      </c>
      <c r="D263" s="6">
        <f t="shared" si="3"/>
        <v>16.800858</v>
      </c>
    </row>
    <row r="264">
      <c r="A264" s="4" t="s">
        <v>9736</v>
      </c>
      <c r="B264" s="10">
        <f t="shared" si="1"/>
        <v>100</v>
      </c>
      <c r="C264" s="6">
        <f t="shared" si="2"/>
        <v>98.7</v>
      </c>
      <c r="D264" s="6">
        <f t="shared" si="3"/>
        <v>16.811945</v>
      </c>
    </row>
    <row r="265">
      <c r="A265" s="4" t="s">
        <v>9737</v>
      </c>
      <c r="B265" s="10">
        <f t="shared" si="1"/>
        <v>100</v>
      </c>
      <c r="C265" s="6">
        <f t="shared" si="2"/>
        <v>96.3</v>
      </c>
      <c r="D265" s="6">
        <f t="shared" si="3"/>
        <v>16.407973</v>
      </c>
    </row>
    <row r="266">
      <c r="A266" s="4" t="s">
        <v>9738</v>
      </c>
      <c r="B266" s="10">
        <f t="shared" si="1"/>
        <v>0</v>
      </c>
      <c r="C266" s="6">
        <f t="shared" si="2"/>
        <v>96.3</v>
      </c>
      <c r="D266" s="6">
        <f t="shared" si="3"/>
        <v>16.415145</v>
      </c>
    </row>
    <row r="267">
      <c r="A267" s="4" t="s">
        <v>9739</v>
      </c>
      <c r="B267" s="10">
        <f t="shared" si="1"/>
        <v>100</v>
      </c>
      <c r="C267" s="6">
        <f t="shared" si="2"/>
        <v>96.7</v>
      </c>
      <c r="D267" s="6">
        <f t="shared" si="3"/>
        <v>16.478273</v>
      </c>
    </row>
    <row r="268">
      <c r="A268" s="4" t="s">
        <v>9740</v>
      </c>
      <c r="B268" s="10">
        <f t="shared" si="1"/>
        <v>100</v>
      </c>
      <c r="C268" s="6">
        <f t="shared" si="2"/>
        <v>96.6</v>
      </c>
      <c r="D268" s="6">
        <f t="shared" si="3"/>
        <v>16.464076</v>
      </c>
    </row>
    <row r="269">
      <c r="A269" s="4" t="s">
        <v>9741</v>
      </c>
      <c r="B269" s="10">
        <f t="shared" si="1"/>
        <v>0</v>
      </c>
      <c r="C269" s="6">
        <f t="shared" si="2"/>
        <v>97</v>
      </c>
      <c r="D269" s="6">
        <f t="shared" si="3"/>
        <v>16.536453</v>
      </c>
    </row>
    <row r="270">
      <c r="A270" s="4" t="s">
        <v>9742</v>
      </c>
      <c r="B270" s="10">
        <f t="shared" si="1"/>
        <v>100</v>
      </c>
      <c r="C270" s="6">
        <f t="shared" si="2"/>
        <v>97</v>
      </c>
      <c r="D270" s="6">
        <f t="shared" si="3"/>
        <v>16.534573</v>
      </c>
    </row>
    <row r="271">
      <c r="A271" s="4" t="s">
        <v>9743</v>
      </c>
      <c r="B271" s="10">
        <f t="shared" si="1"/>
        <v>100</v>
      </c>
      <c r="C271" s="6">
        <f t="shared" si="2"/>
        <v>96.9</v>
      </c>
      <c r="D271" s="6">
        <f t="shared" si="3"/>
        <v>16.516403</v>
      </c>
    </row>
    <row r="272">
      <c r="A272" s="4" t="s">
        <v>9744</v>
      </c>
      <c r="B272" s="10">
        <f t="shared" si="1"/>
        <v>0</v>
      </c>
      <c r="C272" s="6">
        <f t="shared" si="2"/>
        <v>96.8</v>
      </c>
      <c r="D272" s="6">
        <f t="shared" si="3"/>
        <v>16.503627</v>
      </c>
    </row>
    <row r="273">
      <c r="A273" s="4" t="s">
        <v>9745</v>
      </c>
      <c r="B273" s="10">
        <f t="shared" si="1"/>
        <v>0</v>
      </c>
      <c r="C273" s="6">
        <f t="shared" si="2"/>
        <v>96.9</v>
      </c>
      <c r="D273" s="6">
        <f t="shared" si="3"/>
        <v>16.509497</v>
      </c>
    </row>
    <row r="274">
      <c r="A274" s="4" t="s">
        <v>9746</v>
      </c>
      <c r="B274" s="10">
        <f t="shared" si="1"/>
        <v>100</v>
      </c>
      <c r="C274" s="6">
        <f t="shared" si="2"/>
        <v>97</v>
      </c>
      <c r="D274" s="6">
        <f t="shared" si="3"/>
        <v>16.532918</v>
      </c>
    </row>
    <row r="275">
      <c r="A275" s="4" t="s">
        <v>9747</v>
      </c>
      <c r="B275" s="10">
        <f t="shared" si="1"/>
        <v>100</v>
      </c>
      <c r="C275" s="6">
        <f t="shared" si="2"/>
        <v>100</v>
      </c>
      <c r="D275" s="6">
        <f t="shared" si="3"/>
        <v>17.037889</v>
      </c>
    </row>
    <row r="276">
      <c r="A276" s="4" t="s">
        <v>9748</v>
      </c>
      <c r="B276" s="10">
        <f t="shared" si="1"/>
        <v>100</v>
      </c>
      <c r="C276" s="6">
        <f t="shared" si="2"/>
        <v>96.8</v>
      </c>
      <c r="D276" s="6">
        <f t="shared" si="3"/>
        <v>16.493084</v>
      </c>
    </row>
    <row r="277">
      <c r="A277" s="4" t="s">
        <v>9749</v>
      </c>
      <c r="B277" s="10">
        <f t="shared" si="1"/>
        <v>100</v>
      </c>
      <c r="C277" s="6">
        <f t="shared" si="2"/>
        <v>97</v>
      </c>
      <c r="D277" s="6">
        <f t="shared" si="3"/>
        <v>16.523735</v>
      </c>
    </row>
    <row r="278">
      <c r="A278" s="4" t="s">
        <v>9750</v>
      </c>
      <c r="B278" s="10">
        <f t="shared" si="1"/>
        <v>100</v>
      </c>
      <c r="C278" s="6">
        <f t="shared" si="2"/>
        <v>96.5</v>
      </c>
      <c r="D278" s="6">
        <f t="shared" si="3"/>
        <v>16.441204</v>
      </c>
    </row>
    <row r="279">
      <c r="A279" s="4" t="s">
        <v>9751</v>
      </c>
      <c r="B279" s="10">
        <f t="shared" si="1"/>
        <v>0</v>
      </c>
      <c r="C279" s="6">
        <f t="shared" si="2"/>
        <v>96.6</v>
      </c>
      <c r="D279" s="6">
        <f t="shared" si="3"/>
        <v>16.460484</v>
      </c>
    </row>
    <row r="280">
      <c r="A280" s="4" t="s">
        <v>9752</v>
      </c>
      <c r="B280" s="10">
        <f t="shared" si="1"/>
        <v>100</v>
      </c>
      <c r="C280" s="6">
        <f t="shared" si="2"/>
        <v>97.2</v>
      </c>
      <c r="D280" s="6">
        <f t="shared" si="3"/>
        <v>16.572346</v>
      </c>
    </row>
    <row r="281">
      <c r="A281" s="4" t="s">
        <v>9753</v>
      </c>
      <c r="B281" s="10">
        <f t="shared" si="1"/>
        <v>0</v>
      </c>
      <c r="C281" s="6">
        <f t="shared" si="2"/>
        <v>96.6</v>
      </c>
      <c r="D281" s="6">
        <f t="shared" si="3"/>
        <v>16.458874</v>
      </c>
    </row>
    <row r="282">
      <c r="A282" s="4" t="s">
        <v>9754</v>
      </c>
      <c r="B282" s="10">
        <f t="shared" si="1"/>
        <v>0</v>
      </c>
      <c r="C282" s="6">
        <f t="shared" si="2"/>
        <v>97.2</v>
      </c>
      <c r="D282" s="6">
        <f t="shared" si="3"/>
        <v>16.568586</v>
      </c>
    </row>
    <row r="283">
      <c r="A283" s="4" t="s">
        <v>9755</v>
      </c>
      <c r="B283" s="10">
        <f t="shared" si="1"/>
        <v>100</v>
      </c>
      <c r="C283" s="6">
        <f t="shared" si="2"/>
        <v>97.5</v>
      </c>
      <c r="D283" s="6">
        <f t="shared" si="3"/>
        <v>16.621289</v>
      </c>
    </row>
    <row r="284">
      <c r="A284" s="4" t="s">
        <v>9756</v>
      </c>
      <c r="B284" s="10">
        <f t="shared" si="1"/>
        <v>100</v>
      </c>
      <c r="C284" s="6">
        <f t="shared" si="2"/>
        <v>98.1</v>
      </c>
      <c r="D284" s="6">
        <f t="shared" si="3"/>
        <v>16.721854</v>
      </c>
    </row>
    <row r="285">
      <c r="A285" s="4" t="s">
        <v>9757</v>
      </c>
      <c r="B285" s="10">
        <f t="shared" si="1"/>
        <v>100</v>
      </c>
      <c r="C285" s="6">
        <f t="shared" si="2"/>
        <v>96.2</v>
      </c>
      <c r="D285" s="6">
        <f t="shared" si="3"/>
        <v>16.389713</v>
      </c>
    </row>
    <row r="286">
      <c r="A286" s="4" t="s">
        <v>9758</v>
      </c>
      <c r="B286" s="10">
        <f t="shared" si="1"/>
        <v>0</v>
      </c>
      <c r="C286" s="6">
        <f t="shared" si="2"/>
        <v>96.4</v>
      </c>
      <c r="D286" s="6">
        <f t="shared" si="3"/>
        <v>16.426582</v>
      </c>
    </row>
    <row r="287">
      <c r="A287" s="4" t="s">
        <v>9759</v>
      </c>
      <c r="B287" s="10">
        <f t="shared" si="1"/>
        <v>0</v>
      </c>
      <c r="C287" s="6">
        <f t="shared" si="2"/>
        <v>96.9</v>
      </c>
      <c r="D287" s="6">
        <f t="shared" si="3"/>
        <v>16.505458</v>
      </c>
    </row>
    <row r="288">
      <c r="A288" s="4" t="s">
        <v>9760</v>
      </c>
      <c r="B288" s="10">
        <f t="shared" si="1"/>
        <v>100</v>
      </c>
      <c r="C288" s="6">
        <f t="shared" si="2"/>
        <v>97.9</v>
      </c>
      <c r="D288" s="6">
        <f t="shared" si="3"/>
        <v>16.691826</v>
      </c>
    </row>
    <row r="289">
      <c r="A289" s="4" t="s">
        <v>9761</v>
      </c>
      <c r="B289" s="10">
        <f t="shared" si="1"/>
        <v>100</v>
      </c>
      <c r="C289" s="6">
        <f t="shared" si="2"/>
        <v>97.4</v>
      </c>
      <c r="D289" s="6">
        <f t="shared" si="3"/>
        <v>16.590032</v>
      </c>
    </row>
    <row r="290">
      <c r="A290" s="4" t="s">
        <v>9762</v>
      </c>
      <c r="B290" s="10">
        <f t="shared" si="1"/>
        <v>100</v>
      </c>
      <c r="C290" s="6">
        <f t="shared" si="2"/>
        <v>98.1</v>
      </c>
      <c r="D290" s="6">
        <f t="shared" si="3"/>
        <v>16.713445</v>
      </c>
    </row>
    <row r="291">
      <c r="A291" s="4" t="s">
        <v>9763</v>
      </c>
      <c r="B291" s="10">
        <f t="shared" si="1"/>
        <v>100</v>
      </c>
      <c r="C291" s="6">
        <f t="shared" si="2"/>
        <v>98.2</v>
      </c>
      <c r="D291" s="6">
        <f t="shared" si="3"/>
        <v>16.730558</v>
      </c>
    </row>
    <row r="292">
      <c r="A292" s="4" t="s">
        <v>9764</v>
      </c>
      <c r="B292" s="10">
        <f t="shared" si="1"/>
        <v>100</v>
      </c>
      <c r="C292" s="6">
        <f t="shared" si="2"/>
        <v>98.3</v>
      </c>
      <c r="D292" s="6">
        <f t="shared" si="3"/>
        <v>16.747307</v>
      </c>
    </row>
    <row r="293">
      <c r="A293" s="4" t="s">
        <v>9765</v>
      </c>
      <c r="B293" s="10">
        <f t="shared" si="1"/>
        <v>100</v>
      </c>
      <c r="C293" s="6">
        <f t="shared" si="2"/>
        <v>98</v>
      </c>
      <c r="D293" s="6">
        <f t="shared" si="3"/>
        <v>16.699478</v>
      </c>
    </row>
    <row r="294">
      <c r="A294" s="4" t="s">
        <v>9766</v>
      </c>
      <c r="B294" s="10">
        <f t="shared" si="1"/>
        <v>0</v>
      </c>
      <c r="C294" s="6">
        <f t="shared" si="2"/>
        <v>98.8</v>
      </c>
      <c r="D294" s="6">
        <f t="shared" si="3"/>
        <v>16.838483</v>
      </c>
    </row>
    <row r="295">
      <c r="A295" s="4" t="s">
        <v>9767</v>
      </c>
      <c r="B295" s="10">
        <f t="shared" si="1"/>
        <v>100</v>
      </c>
      <c r="C295" s="6">
        <f t="shared" si="2"/>
        <v>99.4</v>
      </c>
      <c r="D295" s="6">
        <f t="shared" si="3"/>
        <v>16.933969</v>
      </c>
    </row>
    <row r="296">
      <c r="A296" s="4" t="s">
        <v>9768</v>
      </c>
      <c r="B296" s="10">
        <f t="shared" si="1"/>
        <v>0</v>
      </c>
      <c r="C296" s="6">
        <f t="shared" si="2"/>
        <v>99.2</v>
      </c>
      <c r="D296" s="6">
        <f t="shared" si="3"/>
        <v>16.898899</v>
      </c>
    </row>
    <row r="297">
      <c r="A297" s="4" t="s">
        <v>9769</v>
      </c>
      <c r="B297" s="10">
        <f t="shared" si="1"/>
        <v>100</v>
      </c>
      <c r="C297" s="6">
        <f t="shared" si="2"/>
        <v>99.3</v>
      </c>
      <c r="D297" s="6">
        <f t="shared" si="3"/>
        <v>16.92622</v>
      </c>
    </row>
    <row r="298">
      <c r="A298" s="4" t="s">
        <v>9770</v>
      </c>
      <c r="B298" s="10">
        <f t="shared" si="1"/>
        <v>100</v>
      </c>
      <c r="C298" s="6">
        <f t="shared" si="2"/>
        <v>99.3</v>
      </c>
      <c r="D298" s="6">
        <f t="shared" si="3"/>
        <v>16.918425</v>
      </c>
    </row>
    <row r="299">
      <c r="A299" s="4" t="s">
        <v>9771</v>
      </c>
      <c r="B299" s="10">
        <f t="shared" si="1"/>
        <v>100</v>
      </c>
      <c r="C299" s="6">
        <f t="shared" si="2"/>
        <v>98.3</v>
      </c>
      <c r="D299" s="6">
        <f t="shared" si="3"/>
        <v>16.75916</v>
      </c>
    </row>
    <row r="300">
      <c r="A300" s="4" t="s">
        <v>9772</v>
      </c>
      <c r="B300" s="10">
        <f t="shared" si="1"/>
        <v>0</v>
      </c>
      <c r="C300" s="6">
        <f t="shared" si="2"/>
        <v>95.7</v>
      </c>
      <c r="D300" s="6">
        <f t="shared" si="3"/>
        <v>16.300707</v>
      </c>
    </row>
    <row r="301">
      <c r="A301" s="4" t="s">
        <v>9773</v>
      </c>
      <c r="B301" s="10">
        <f t="shared" si="1"/>
        <v>100</v>
      </c>
      <c r="C301" s="6">
        <f t="shared" si="2"/>
        <v>96.2</v>
      </c>
      <c r="D301" s="6">
        <f t="shared" si="3"/>
        <v>16.400162</v>
      </c>
    </row>
    <row r="302">
      <c r="A302" s="4" t="s">
        <v>9774</v>
      </c>
      <c r="B302" s="10">
        <f t="shared" si="1"/>
        <v>0</v>
      </c>
      <c r="C302" s="6">
        <f t="shared" si="2"/>
        <v>96.6</v>
      </c>
      <c r="D302" s="6">
        <f t="shared" si="3"/>
        <v>16.464658</v>
      </c>
    </row>
    <row r="303">
      <c r="A303" s="4" t="s">
        <v>9775</v>
      </c>
      <c r="B303" s="10">
        <f t="shared" si="1"/>
        <v>0</v>
      </c>
      <c r="C303" s="6">
        <f t="shared" si="2"/>
        <v>98</v>
      </c>
      <c r="D303" s="6">
        <f t="shared" si="3"/>
        <v>16.693288</v>
      </c>
    </row>
    <row r="304">
      <c r="A304" s="4" t="s">
        <v>9776</v>
      </c>
      <c r="B304" s="10">
        <f t="shared" si="1"/>
        <v>100</v>
      </c>
      <c r="C304" s="6">
        <f t="shared" si="2"/>
        <v>97.6</v>
      </c>
      <c r="D304" s="6">
        <f t="shared" si="3"/>
        <v>16.630046</v>
      </c>
    </row>
    <row r="305">
      <c r="A305" s="4" t="s">
        <v>9777</v>
      </c>
      <c r="B305" s="10">
        <f t="shared" si="1"/>
        <v>100</v>
      </c>
      <c r="C305" s="6">
        <f t="shared" si="2"/>
        <v>98.5</v>
      </c>
      <c r="D305" s="6">
        <f t="shared" si="3"/>
        <v>16.792797</v>
      </c>
    </row>
    <row r="306">
      <c r="A306" s="4" t="s">
        <v>9778</v>
      </c>
      <c r="B306" s="10">
        <f t="shared" si="1"/>
        <v>100</v>
      </c>
      <c r="C306" s="6">
        <f t="shared" si="2"/>
        <v>96.9</v>
      </c>
      <c r="D306" s="6">
        <f t="shared" si="3"/>
        <v>16.508076</v>
      </c>
    </row>
    <row r="307">
      <c r="A307" s="4" t="s">
        <v>9779</v>
      </c>
      <c r="B307" s="10">
        <f t="shared" si="1"/>
        <v>100</v>
      </c>
      <c r="C307" s="6">
        <f t="shared" si="2"/>
        <v>98.2</v>
      </c>
      <c r="D307" s="6">
        <f t="shared" si="3"/>
        <v>16.728219</v>
      </c>
    </row>
    <row r="308">
      <c r="A308" s="4" t="s">
        <v>9780</v>
      </c>
      <c r="B308" s="10">
        <f t="shared" si="1"/>
        <v>100</v>
      </c>
      <c r="C308" s="6">
        <f t="shared" si="2"/>
        <v>97.9</v>
      </c>
      <c r="D308" s="6">
        <f t="shared" si="3"/>
        <v>16.690511</v>
      </c>
    </row>
    <row r="309">
      <c r="A309" s="4" t="s">
        <v>9781</v>
      </c>
      <c r="B309" s="10">
        <f t="shared" si="1"/>
        <v>100</v>
      </c>
      <c r="C309" s="6">
        <f t="shared" si="2"/>
        <v>98</v>
      </c>
      <c r="D309" s="6">
        <f t="shared" si="3"/>
        <v>16.70488</v>
      </c>
    </row>
    <row r="310">
      <c r="A310" s="4" t="s">
        <v>9782</v>
      </c>
      <c r="B310" s="10">
        <f t="shared" si="1"/>
        <v>0</v>
      </c>
      <c r="C310" s="6">
        <f t="shared" si="2"/>
        <v>96.3</v>
      </c>
      <c r="D310" s="6">
        <f t="shared" si="3"/>
        <v>16.403423</v>
      </c>
    </row>
    <row r="311">
      <c r="A311" s="4" t="s">
        <v>9783</v>
      </c>
      <c r="B311" s="10">
        <f t="shared" si="1"/>
        <v>100</v>
      </c>
      <c r="C311" s="6">
        <f t="shared" si="2"/>
        <v>97.9</v>
      </c>
      <c r="D311" s="6">
        <f t="shared" si="3"/>
        <v>16.688738</v>
      </c>
    </row>
    <row r="312">
      <c r="A312" s="4" t="s">
        <v>9784</v>
      </c>
      <c r="B312" s="10">
        <f t="shared" si="1"/>
        <v>100</v>
      </c>
      <c r="C312" s="6">
        <f t="shared" si="2"/>
        <v>98.2</v>
      </c>
      <c r="D312" s="6">
        <f t="shared" si="3"/>
        <v>16.73186</v>
      </c>
    </row>
    <row r="313">
      <c r="A313" s="4" t="s">
        <v>9785</v>
      </c>
      <c r="B313" s="10">
        <f t="shared" si="1"/>
        <v>100</v>
      </c>
      <c r="C313" s="6">
        <f t="shared" si="2"/>
        <v>96.1</v>
      </c>
      <c r="D313" s="6">
        <f t="shared" si="3"/>
        <v>16.384647</v>
      </c>
    </row>
    <row r="314">
      <c r="A314" s="4" t="s">
        <v>9786</v>
      </c>
      <c r="B314" s="10">
        <f t="shared" si="1"/>
        <v>100</v>
      </c>
      <c r="C314" s="6">
        <f t="shared" si="2"/>
        <v>97</v>
      </c>
      <c r="D314" s="6">
        <f t="shared" si="3"/>
        <v>16.525041</v>
      </c>
    </row>
    <row r="315">
      <c r="A315" s="4" t="s">
        <v>9787</v>
      </c>
      <c r="B315" s="10">
        <f t="shared" si="1"/>
        <v>0</v>
      </c>
      <c r="C315" s="6">
        <f t="shared" si="2"/>
        <v>98</v>
      </c>
      <c r="D315" s="6">
        <f t="shared" si="3"/>
        <v>16.696918</v>
      </c>
    </row>
    <row r="316">
      <c r="A316" s="4" t="s">
        <v>9788</v>
      </c>
      <c r="B316" s="10">
        <f t="shared" si="1"/>
        <v>100</v>
      </c>
      <c r="C316" s="6">
        <f t="shared" si="2"/>
        <v>97.9</v>
      </c>
      <c r="D316" s="6">
        <f t="shared" si="3"/>
        <v>16.691507</v>
      </c>
    </row>
    <row r="317">
      <c r="A317" s="4" t="s">
        <v>9789</v>
      </c>
      <c r="B317" s="10">
        <f t="shared" si="1"/>
        <v>100</v>
      </c>
      <c r="C317" s="6">
        <f t="shared" si="2"/>
        <v>98</v>
      </c>
      <c r="D317" s="6">
        <f t="shared" si="3"/>
        <v>16.704708</v>
      </c>
    </row>
    <row r="318">
      <c r="A318" s="4" t="s">
        <v>9790</v>
      </c>
      <c r="B318" s="10">
        <f t="shared" si="1"/>
        <v>100</v>
      </c>
      <c r="C318" s="6">
        <f t="shared" si="2"/>
        <v>98.1</v>
      </c>
      <c r="D318" s="6">
        <f t="shared" si="3"/>
        <v>16.717656</v>
      </c>
    </row>
    <row r="319">
      <c r="A319" s="4" t="s">
        <v>9791</v>
      </c>
      <c r="B319" s="10">
        <f t="shared" si="1"/>
        <v>0</v>
      </c>
      <c r="C319" s="6">
        <f t="shared" si="2"/>
        <v>99.4</v>
      </c>
      <c r="D319" s="6">
        <f t="shared" si="3"/>
        <v>16.945639</v>
      </c>
    </row>
    <row r="320">
      <c r="A320" s="4" t="s">
        <v>9792</v>
      </c>
      <c r="B320" s="10">
        <f t="shared" si="1"/>
        <v>100</v>
      </c>
      <c r="C320" s="6">
        <f t="shared" si="2"/>
        <v>97.7</v>
      </c>
      <c r="D320" s="6">
        <f t="shared" si="3"/>
        <v>16.656244</v>
      </c>
    </row>
    <row r="321">
      <c r="A321" s="4" t="s">
        <v>9793</v>
      </c>
      <c r="B321" s="10">
        <f t="shared" si="1"/>
        <v>100</v>
      </c>
      <c r="C321" s="6">
        <f t="shared" si="2"/>
        <v>98.1</v>
      </c>
      <c r="D321" s="6">
        <f t="shared" si="3"/>
        <v>16.723038</v>
      </c>
    </row>
    <row r="322">
      <c r="A322" s="4" t="s">
        <v>9794</v>
      </c>
      <c r="B322" s="10">
        <f t="shared" si="1"/>
        <v>100</v>
      </c>
      <c r="C322" s="6">
        <f t="shared" si="2"/>
        <v>96.9</v>
      </c>
      <c r="D322" s="6">
        <f t="shared" si="3"/>
        <v>16.516751</v>
      </c>
    </row>
    <row r="323">
      <c r="A323" s="4" t="s">
        <v>9795</v>
      </c>
      <c r="B323" s="10">
        <f t="shared" si="1"/>
        <v>100</v>
      </c>
      <c r="C323" s="6">
        <f t="shared" si="2"/>
        <v>96.6</v>
      </c>
      <c r="D323" s="6">
        <f t="shared" si="3"/>
        <v>16.46057</v>
      </c>
    </row>
    <row r="324">
      <c r="A324" s="4" t="s">
        <v>9796</v>
      </c>
      <c r="B324" s="10">
        <f t="shared" si="1"/>
        <v>100</v>
      </c>
      <c r="C324" s="6">
        <f t="shared" si="2"/>
        <v>96.9</v>
      </c>
      <c r="D324" s="6">
        <f t="shared" si="3"/>
        <v>16.516108</v>
      </c>
    </row>
    <row r="325">
      <c r="A325" s="4" t="s">
        <v>9797</v>
      </c>
      <c r="B325" s="10">
        <f t="shared" si="1"/>
        <v>0</v>
      </c>
      <c r="C325" s="6">
        <f t="shared" si="2"/>
        <v>96.7</v>
      </c>
      <c r="D325" s="6">
        <f t="shared" si="3"/>
        <v>16.479981</v>
      </c>
    </row>
    <row r="326">
      <c r="A326" s="4" t="s">
        <v>9798</v>
      </c>
      <c r="B326" s="10">
        <f t="shared" si="1"/>
        <v>100</v>
      </c>
      <c r="C326" s="6">
        <f t="shared" si="2"/>
        <v>97.1</v>
      </c>
      <c r="D326" s="6">
        <f t="shared" si="3"/>
        <v>16.542777</v>
      </c>
    </row>
    <row r="327">
      <c r="A327" s="4" t="s">
        <v>9799</v>
      </c>
      <c r="B327" s="10">
        <f t="shared" si="1"/>
        <v>0</v>
      </c>
      <c r="C327" s="6">
        <f t="shared" si="2"/>
        <v>97.6</v>
      </c>
      <c r="D327" s="6">
        <f t="shared" si="3"/>
        <v>16.637222</v>
      </c>
    </row>
    <row r="328">
      <c r="A328" s="4" t="s">
        <v>9800</v>
      </c>
      <c r="B328" s="10">
        <f t="shared" si="1"/>
        <v>0</v>
      </c>
      <c r="C328" s="6">
        <f t="shared" si="2"/>
        <v>100</v>
      </c>
      <c r="D328" s="6">
        <f t="shared" si="3"/>
        <v>17.03503</v>
      </c>
    </row>
    <row r="329">
      <c r="A329" s="4" t="s">
        <v>9801</v>
      </c>
      <c r="B329" s="10">
        <f t="shared" si="1"/>
        <v>0</v>
      </c>
      <c r="C329" s="6">
        <f t="shared" si="2"/>
        <v>96.9</v>
      </c>
      <c r="D329" s="6">
        <f t="shared" si="3"/>
        <v>16.518021</v>
      </c>
    </row>
    <row r="330">
      <c r="A330" s="4" t="s">
        <v>9802</v>
      </c>
      <c r="B330" s="10">
        <f t="shared" si="1"/>
        <v>100</v>
      </c>
      <c r="C330" s="6">
        <f t="shared" si="2"/>
        <v>97.4</v>
      </c>
      <c r="D330" s="6">
        <f t="shared" si="3"/>
        <v>16.590905</v>
      </c>
    </row>
    <row r="331">
      <c r="A331" s="4" t="s">
        <v>9803</v>
      </c>
      <c r="B331" s="10">
        <f t="shared" si="1"/>
        <v>100</v>
      </c>
      <c r="C331" s="6">
        <f t="shared" si="2"/>
        <v>97.2</v>
      </c>
      <c r="D331" s="6">
        <f t="shared" si="3"/>
        <v>16.561438</v>
      </c>
    </row>
    <row r="332">
      <c r="A332" s="4" t="s">
        <v>9804</v>
      </c>
      <c r="B332" s="10">
        <f t="shared" si="1"/>
        <v>100</v>
      </c>
      <c r="C332" s="6">
        <f t="shared" si="2"/>
        <v>99.9</v>
      </c>
      <c r="D332" s="6">
        <f t="shared" si="3"/>
        <v>17.023504</v>
      </c>
    </row>
    <row r="333">
      <c r="A333" s="4" t="s">
        <v>9805</v>
      </c>
      <c r="B333" s="10">
        <f t="shared" si="1"/>
        <v>100</v>
      </c>
      <c r="C333" s="6">
        <f t="shared" si="2"/>
        <v>96.2</v>
      </c>
      <c r="D333" s="6">
        <f t="shared" si="3"/>
        <v>16.393469</v>
      </c>
    </row>
    <row r="334">
      <c r="A334" s="4" t="s">
        <v>9806</v>
      </c>
      <c r="B334" s="10">
        <f t="shared" si="1"/>
        <v>100</v>
      </c>
      <c r="C334" s="6">
        <f t="shared" si="2"/>
        <v>96.6</v>
      </c>
      <c r="D334" s="6">
        <f t="shared" si="3"/>
        <v>16.465846</v>
      </c>
    </row>
    <row r="335">
      <c r="A335" s="4" t="s">
        <v>9807</v>
      </c>
      <c r="B335" s="10">
        <f t="shared" si="1"/>
        <v>100</v>
      </c>
      <c r="C335" s="6">
        <f t="shared" si="2"/>
        <v>97.7</v>
      </c>
      <c r="D335" s="6">
        <f t="shared" si="3"/>
        <v>16.650706</v>
      </c>
    </row>
    <row r="336">
      <c r="A336" s="4" t="s">
        <v>9808</v>
      </c>
      <c r="B336" s="10">
        <f t="shared" si="1"/>
        <v>100</v>
      </c>
      <c r="C336" s="6">
        <f t="shared" si="2"/>
        <v>99.1</v>
      </c>
      <c r="D336" s="6">
        <f t="shared" si="3"/>
        <v>16.882704</v>
      </c>
    </row>
    <row r="337">
      <c r="A337" s="4" t="s">
        <v>9809</v>
      </c>
      <c r="B337" s="10">
        <f t="shared" si="1"/>
        <v>0</v>
      </c>
      <c r="C337" s="6">
        <f t="shared" si="2"/>
        <v>96.9</v>
      </c>
      <c r="D337" s="6">
        <f t="shared" si="3"/>
        <v>16.510963</v>
      </c>
    </row>
    <row r="338">
      <c r="A338" s="4" t="s">
        <v>9810</v>
      </c>
      <c r="B338" s="10">
        <f t="shared" si="1"/>
        <v>0</v>
      </c>
      <c r="C338" s="6">
        <f t="shared" si="2"/>
        <v>98.5</v>
      </c>
      <c r="D338" s="6">
        <f t="shared" si="3"/>
        <v>16.788451</v>
      </c>
    </row>
    <row r="339">
      <c r="A339" s="4" t="s">
        <v>9811</v>
      </c>
      <c r="B339" s="10">
        <f t="shared" si="1"/>
        <v>100</v>
      </c>
      <c r="C339" s="6">
        <f t="shared" si="2"/>
        <v>96.5</v>
      </c>
      <c r="D339" s="6">
        <f t="shared" si="3"/>
        <v>16.452751</v>
      </c>
    </row>
    <row r="340">
      <c r="A340" s="4" t="s">
        <v>9812</v>
      </c>
      <c r="B340" s="10">
        <f t="shared" si="1"/>
        <v>0</v>
      </c>
      <c r="C340" s="6">
        <f t="shared" si="2"/>
        <v>96.6</v>
      </c>
      <c r="D340" s="6">
        <f t="shared" si="3"/>
        <v>16.456818</v>
      </c>
    </row>
    <row r="341">
      <c r="A341" s="4" t="s">
        <v>9813</v>
      </c>
      <c r="B341" s="10">
        <f t="shared" si="1"/>
        <v>100</v>
      </c>
      <c r="C341" s="6">
        <f t="shared" si="2"/>
        <v>98.1</v>
      </c>
      <c r="D341" s="6">
        <f t="shared" si="3"/>
        <v>16.710422</v>
      </c>
    </row>
    <row r="342">
      <c r="A342" s="4" t="s">
        <v>9814</v>
      </c>
      <c r="B342" s="10">
        <f t="shared" si="1"/>
        <v>94</v>
      </c>
      <c r="C342" s="6">
        <f t="shared" si="2"/>
        <v>97.3</v>
      </c>
      <c r="D342" s="6">
        <f t="shared" si="3"/>
        <v>16.580153</v>
      </c>
    </row>
    <row r="343">
      <c r="A343" s="4" t="s">
        <v>9815</v>
      </c>
      <c r="B343" s="10">
        <f t="shared" si="1"/>
        <v>100</v>
      </c>
      <c r="C343" s="6">
        <f t="shared" si="2"/>
        <v>98</v>
      </c>
      <c r="D343" s="6">
        <f t="shared" si="3"/>
        <v>16.698662</v>
      </c>
    </row>
    <row r="344">
      <c r="A344" s="4" t="s">
        <v>9816</v>
      </c>
      <c r="B344" s="10">
        <f t="shared" si="1"/>
        <v>0</v>
      </c>
      <c r="C344" s="6">
        <f t="shared" si="2"/>
        <v>98</v>
      </c>
      <c r="D344" s="6">
        <f t="shared" si="3"/>
        <v>16.699482</v>
      </c>
    </row>
    <row r="345">
      <c r="A345" s="4" t="s">
        <v>9817</v>
      </c>
      <c r="B345" s="10">
        <f t="shared" si="1"/>
        <v>0</v>
      </c>
      <c r="C345" s="6">
        <f t="shared" si="2"/>
        <v>98</v>
      </c>
      <c r="D345" s="6">
        <f t="shared" si="3"/>
        <v>16.706699</v>
      </c>
    </row>
    <row r="346">
      <c r="A346" s="4" t="s">
        <v>9818</v>
      </c>
      <c r="B346" s="10">
        <f t="shared" si="1"/>
        <v>100</v>
      </c>
      <c r="C346" s="6">
        <f t="shared" si="2"/>
        <v>97.7</v>
      </c>
      <c r="D346" s="6">
        <f t="shared" si="3"/>
        <v>16.656855</v>
      </c>
    </row>
    <row r="347">
      <c r="A347" s="4" t="s">
        <v>9819</v>
      </c>
      <c r="B347" s="10">
        <f t="shared" si="1"/>
        <v>0</v>
      </c>
      <c r="C347" s="6">
        <f t="shared" si="2"/>
        <v>98.5</v>
      </c>
      <c r="D347" s="6">
        <f t="shared" si="3"/>
        <v>16.780075</v>
      </c>
    </row>
    <row r="348">
      <c r="A348" s="4" t="s">
        <v>9820</v>
      </c>
      <c r="B348" s="10">
        <f t="shared" si="1"/>
        <v>0</v>
      </c>
      <c r="C348" s="6">
        <f t="shared" si="2"/>
        <v>96.1</v>
      </c>
      <c r="D348" s="6">
        <f t="shared" si="3"/>
        <v>16.373886</v>
      </c>
    </row>
    <row r="349">
      <c r="A349" s="4" t="s">
        <v>9821</v>
      </c>
      <c r="B349" s="10">
        <f t="shared" si="1"/>
        <v>0</v>
      </c>
      <c r="C349" s="6">
        <f t="shared" si="2"/>
        <v>97.4</v>
      </c>
      <c r="D349" s="6">
        <f t="shared" si="3"/>
        <v>16.597807</v>
      </c>
    </row>
    <row r="350">
      <c r="A350" s="4" t="s">
        <v>9822</v>
      </c>
      <c r="B350" s="10">
        <f t="shared" si="1"/>
        <v>100</v>
      </c>
      <c r="C350" s="6">
        <f t="shared" si="2"/>
        <v>97.9</v>
      </c>
      <c r="D350" s="6">
        <f t="shared" si="3"/>
        <v>16.684695</v>
      </c>
    </row>
    <row r="351">
      <c r="A351" s="4" t="s">
        <v>9823</v>
      </c>
      <c r="B351" s="10">
        <f t="shared" si="1"/>
        <v>100</v>
      </c>
      <c r="C351" s="6">
        <f t="shared" si="2"/>
        <v>98</v>
      </c>
      <c r="D351" s="6">
        <f t="shared" si="3"/>
        <v>16.694538</v>
      </c>
    </row>
    <row r="352">
      <c r="A352" s="4" t="s">
        <v>9824</v>
      </c>
      <c r="B352" s="10">
        <f t="shared" si="1"/>
        <v>100</v>
      </c>
      <c r="C352" s="6">
        <f t="shared" si="2"/>
        <v>97.9</v>
      </c>
      <c r="D352" s="6">
        <f t="shared" si="3"/>
        <v>16.682463</v>
      </c>
    </row>
    <row r="353">
      <c r="A353" s="4" t="s">
        <v>9825</v>
      </c>
      <c r="B353" s="10">
        <f t="shared" si="1"/>
        <v>100</v>
      </c>
      <c r="C353" s="6">
        <f t="shared" si="2"/>
        <v>95.8</v>
      </c>
      <c r="D353" s="6">
        <f t="shared" si="3"/>
        <v>16.328069</v>
      </c>
    </row>
    <row r="354">
      <c r="A354" s="4" t="s">
        <v>9826</v>
      </c>
      <c r="B354" s="10">
        <f t="shared" si="1"/>
        <v>100</v>
      </c>
      <c r="C354" s="6">
        <f t="shared" si="2"/>
        <v>97.9</v>
      </c>
      <c r="D354" s="6">
        <f t="shared" si="3"/>
        <v>16.680116</v>
      </c>
    </row>
    <row r="355">
      <c r="A355" s="4" t="s">
        <v>9827</v>
      </c>
      <c r="B355" s="10">
        <f t="shared" si="1"/>
        <v>100</v>
      </c>
      <c r="C355" s="6">
        <f t="shared" si="2"/>
        <v>97.9</v>
      </c>
      <c r="D355" s="6">
        <f t="shared" si="3"/>
        <v>16.688713</v>
      </c>
    </row>
    <row r="356">
      <c r="A356" s="4" t="s">
        <v>9828</v>
      </c>
      <c r="B356" s="10">
        <f t="shared" si="1"/>
        <v>100</v>
      </c>
      <c r="C356" s="6">
        <f t="shared" si="2"/>
        <v>96.9</v>
      </c>
      <c r="D356" s="6">
        <f t="shared" si="3"/>
        <v>16.512622</v>
      </c>
    </row>
    <row r="357">
      <c r="A357" s="4" t="s">
        <v>9829</v>
      </c>
      <c r="B357" s="10">
        <f t="shared" si="1"/>
        <v>100</v>
      </c>
      <c r="C357" s="6">
        <f t="shared" si="2"/>
        <v>98</v>
      </c>
      <c r="D357" s="6">
        <f t="shared" si="3"/>
        <v>16.703037</v>
      </c>
    </row>
    <row r="358">
      <c r="A358" s="4" t="s">
        <v>9830</v>
      </c>
      <c r="B358" s="10">
        <f t="shared" si="1"/>
        <v>100</v>
      </c>
      <c r="C358" s="6">
        <f t="shared" si="2"/>
        <v>97.8</v>
      </c>
      <c r="D358" s="6">
        <f t="shared" si="3"/>
        <v>16.664526</v>
      </c>
    </row>
    <row r="359">
      <c r="A359" s="4" t="s">
        <v>9831</v>
      </c>
      <c r="B359" s="10">
        <f t="shared" si="1"/>
        <v>100</v>
      </c>
      <c r="C359" s="6">
        <f t="shared" si="2"/>
        <v>98</v>
      </c>
      <c r="D359" s="6">
        <f t="shared" si="3"/>
        <v>16.703778</v>
      </c>
    </row>
    <row r="360">
      <c r="A360" s="4" t="s">
        <v>9832</v>
      </c>
      <c r="B360" s="10">
        <f t="shared" si="1"/>
        <v>100</v>
      </c>
      <c r="C360" s="6">
        <f t="shared" si="2"/>
        <v>98.1</v>
      </c>
      <c r="D360" s="6">
        <f t="shared" si="3"/>
        <v>16.710012</v>
      </c>
    </row>
    <row r="361">
      <c r="A361" s="4" t="s">
        <v>9833</v>
      </c>
      <c r="B361" s="10">
        <f t="shared" si="1"/>
        <v>100</v>
      </c>
      <c r="C361" s="6">
        <f t="shared" si="2"/>
        <v>97.9</v>
      </c>
      <c r="D361" s="6">
        <f t="shared" si="3"/>
        <v>16.677687</v>
      </c>
    </row>
    <row r="362">
      <c r="A362" s="4" t="s">
        <v>9834</v>
      </c>
      <c r="B362" s="10">
        <f t="shared" si="1"/>
        <v>0</v>
      </c>
      <c r="C362" s="6">
        <f t="shared" si="2"/>
        <v>98.1</v>
      </c>
      <c r="D362" s="6">
        <f t="shared" si="3"/>
        <v>16.710963</v>
      </c>
    </row>
    <row r="363">
      <c r="A363" s="4" t="s">
        <v>9835</v>
      </c>
      <c r="B363" s="10">
        <f t="shared" si="1"/>
        <v>100</v>
      </c>
      <c r="C363" s="6">
        <f t="shared" si="2"/>
        <v>97.1</v>
      </c>
      <c r="D363" s="6">
        <f t="shared" si="3"/>
        <v>16.544002</v>
      </c>
    </row>
    <row r="364">
      <c r="A364" s="4" t="s">
        <v>9836</v>
      </c>
      <c r="B364" s="10">
        <f t="shared" si="1"/>
        <v>100</v>
      </c>
      <c r="C364" s="6">
        <f t="shared" si="2"/>
        <v>97.1</v>
      </c>
      <c r="D364" s="6">
        <f t="shared" si="3"/>
        <v>16.550514</v>
      </c>
    </row>
    <row r="365">
      <c r="A365" s="4" t="s">
        <v>9837</v>
      </c>
      <c r="B365" s="10">
        <f t="shared" si="1"/>
        <v>100</v>
      </c>
      <c r="C365" s="6">
        <f t="shared" si="2"/>
        <v>97.2</v>
      </c>
      <c r="D365" s="6">
        <f t="shared" si="3"/>
        <v>16.568119</v>
      </c>
    </row>
    <row r="366">
      <c r="A366" s="4" t="s">
        <v>9838</v>
      </c>
      <c r="B366" s="10">
        <f t="shared" si="1"/>
        <v>100</v>
      </c>
      <c r="C366" s="6">
        <f t="shared" si="2"/>
        <v>96.5</v>
      </c>
      <c r="D366" s="6">
        <f t="shared" si="3"/>
        <v>16.448466</v>
      </c>
    </row>
    <row r="367">
      <c r="A367" s="4" t="s">
        <v>9839</v>
      </c>
      <c r="B367" s="10">
        <f t="shared" si="1"/>
        <v>100</v>
      </c>
      <c r="C367" s="6">
        <f t="shared" si="2"/>
        <v>98.7</v>
      </c>
      <c r="D367" s="6">
        <f t="shared" si="3"/>
        <v>16.8148</v>
      </c>
    </row>
    <row r="368">
      <c r="A368" s="4" t="s">
        <v>9840</v>
      </c>
      <c r="B368" s="10">
        <f t="shared" si="1"/>
        <v>100</v>
      </c>
      <c r="C368" s="6">
        <f t="shared" si="2"/>
        <v>99.9</v>
      </c>
      <c r="D368" s="6">
        <f t="shared" si="3"/>
        <v>17.031315</v>
      </c>
    </row>
    <row r="369">
      <c r="A369" s="4" t="s">
        <v>9841</v>
      </c>
      <c r="B369" s="10">
        <f t="shared" si="1"/>
        <v>100</v>
      </c>
      <c r="C369" s="6">
        <f t="shared" si="2"/>
        <v>97.2</v>
      </c>
      <c r="D369" s="6">
        <f t="shared" si="3"/>
        <v>16.555929</v>
      </c>
    </row>
    <row r="370">
      <c r="A370" s="4" t="s">
        <v>9842</v>
      </c>
      <c r="B370" s="10">
        <f t="shared" si="1"/>
        <v>0</v>
      </c>
      <c r="C370" s="6">
        <f t="shared" si="2"/>
        <v>97.1</v>
      </c>
      <c r="D370" s="6">
        <f t="shared" si="3"/>
        <v>16.547422</v>
      </c>
    </row>
    <row r="371">
      <c r="A371" s="4" t="s">
        <v>9843</v>
      </c>
      <c r="B371" s="10">
        <f t="shared" si="1"/>
        <v>100</v>
      </c>
      <c r="C371" s="6">
        <f t="shared" si="2"/>
        <v>98.3</v>
      </c>
      <c r="D371" s="6">
        <f t="shared" si="3"/>
        <v>16.757108</v>
      </c>
    </row>
    <row r="372">
      <c r="A372" s="4" t="s">
        <v>9844</v>
      </c>
      <c r="B372" s="10">
        <f t="shared" si="1"/>
        <v>100</v>
      </c>
      <c r="C372" s="6">
        <f t="shared" si="2"/>
        <v>97</v>
      </c>
      <c r="D372" s="6">
        <f t="shared" si="3"/>
        <v>16.535646</v>
      </c>
    </row>
    <row r="373">
      <c r="A373" s="4" t="s">
        <v>9845</v>
      </c>
      <c r="B373" s="10">
        <f t="shared" si="1"/>
        <v>100</v>
      </c>
      <c r="C373" s="6">
        <f t="shared" si="2"/>
        <v>97</v>
      </c>
      <c r="D373" s="6">
        <f t="shared" si="3"/>
        <v>16.532508</v>
      </c>
    </row>
    <row r="374">
      <c r="A374" s="4" t="s">
        <v>9846</v>
      </c>
      <c r="B374" s="10">
        <f t="shared" si="1"/>
        <v>100</v>
      </c>
      <c r="C374" s="6">
        <f t="shared" si="2"/>
        <v>96.9</v>
      </c>
      <c r="D374" s="6">
        <f t="shared" si="3"/>
        <v>16.519184</v>
      </c>
    </row>
    <row r="375">
      <c r="A375" s="4" t="s">
        <v>9847</v>
      </c>
      <c r="B375" s="10">
        <f t="shared" si="1"/>
        <v>100</v>
      </c>
      <c r="C375" s="6">
        <f t="shared" si="2"/>
        <v>97.4</v>
      </c>
      <c r="D375" s="6">
        <f t="shared" si="3"/>
        <v>16.593788</v>
      </c>
    </row>
    <row r="376">
      <c r="A376" s="4" t="s">
        <v>9848</v>
      </c>
      <c r="B376" s="10">
        <f t="shared" si="1"/>
        <v>0</v>
      </c>
      <c r="C376" s="6">
        <f t="shared" si="2"/>
        <v>97.4</v>
      </c>
      <c r="D376" s="6">
        <f t="shared" si="3"/>
        <v>16.596127</v>
      </c>
    </row>
    <row r="377">
      <c r="A377" s="4" t="s">
        <v>9849</v>
      </c>
      <c r="B377" s="10">
        <f t="shared" si="1"/>
        <v>0</v>
      </c>
      <c r="C377" s="6">
        <f t="shared" si="2"/>
        <v>96.8</v>
      </c>
      <c r="D377" s="6">
        <f t="shared" si="3"/>
        <v>16.488247</v>
      </c>
    </row>
    <row r="378">
      <c r="A378" s="4" t="s">
        <v>9850</v>
      </c>
      <c r="B378" s="10">
        <f t="shared" si="1"/>
        <v>100</v>
      </c>
      <c r="C378" s="6">
        <f t="shared" si="2"/>
        <v>97.2</v>
      </c>
      <c r="D378" s="6">
        <f t="shared" si="3"/>
        <v>16.565354</v>
      </c>
    </row>
    <row r="379">
      <c r="A379" s="4" t="s">
        <v>9851</v>
      </c>
      <c r="B379" s="10">
        <f t="shared" si="1"/>
        <v>0</v>
      </c>
      <c r="C379" s="6">
        <f t="shared" si="2"/>
        <v>97.5</v>
      </c>
      <c r="D379" s="6">
        <f t="shared" si="3"/>
        <v>16.610422</v>
      </c>
    </row>
    <row r="380">
      <c r="A380" s="4" t="s">
        <v>9852</v>
      </c>
      <c r="B380" s="10">
        <f t="shared" si="1"/>
        <v>0</v>
      </c>
      <c r="C380" s="6">
        <f t="shared" si="2"/>
        <v>97.5</v>
      </c>
      <c r="D380" s="6">
        <f t="shared" si="3"/>
        <v>16.620941</v>
      </c>
    </row>
    <row r="381">
      <c r="A381" s="4" t="s">
        <v>9853</v>
      </c>
      <c r="B381" s="10">
        <f t="shared" si="1"/>
        <v>100</v>
      </c>
      <c r="C381" s="6">
        <f t="shared" si="2"/>
        <v>97.8</v>
      </c>
      <c r="D381" s="6">
        <f t="shared" si="3"/>
        <v>16.669548</v>
      </c>
    </row>
    <row r="382">
      <c r="A382" s="4" t="s">
        <v>9854</v>
      </c>
      <c r="B382" s="10">
        <f t="shared" si="1"/>
        <v>100</v>
      </c>
      <c r="C382" s="6">
        <f t="shared" si="2"/>
        <v>97.6</v>
      </c>
      <c r="D382" s="6">
        <f t="shared" si="3"/>
        <v>16.636153</v>
      </c>
    </row>
    <row r="383">
      <c r="A383" s="4" t="s">
        <v>9855</v>
      </c>
      <c r="B383" s="10">
        <f t="shared" si="1"/>
        <v>0</v>
      </c>
      <c r="C383" s="6">
        <f t="shared" si="2"/>
        <v>98</v>
      </c>
      <c r="D383" s="6">
        <f t="shared" si="3"/>
        <v>16.696893</v>
      </c>
    </row>
    <row r="384">
      <c r="A384" s="4" t="s">
        <v>9856</v>
      </c>
      <c r="B384" s="10">
        <f t="shared" si="1"/>
        <v>100</v>
      </c>
      <c r="C384" s="6">
        <f t="shared" si="2"/>
        <v>98.7</v>
      </c>
      <c r="D384" s="6">
        <f t="shared" si="3"/>
        <v>16.813416</v>
      </c>
    </row>
    <row r="385">
      <c r="A385" s="4" t="s">
        <v>9857</v>
      </c>
      <c r="B385" s="10">
        <f t="shared" si="1"/>
        <v>100</v>
      </c>
      <c r="C385" s="6">
        <f t="shared" si="2"/>
        <v>97.9</v>
      </c>
      <c r="D385" s="6">
        <f t="shared" si="3"/>
        <v>16.679198</v>
      </c>
    </row>
    <row r="386">
      <c r="A386" s="4" t="s">
        <v>9858</v>
      </c>
      <c r="B386" s="10">
        <f t="shared" si="1"/>
        <v>100</v>
      </c>
      <c r="C386" s="6">
        <f t="shared" si="2"/>
        <v>96.9</v>
      </c>
      <c r="D386" s="6">
        <f t="shared" si="3"/>
        <v>16.507744</v>
      </c>
    </row>
    <row r="387">
      <c r="A387" s="4" t="s">
        <v>9859</v>
      </c>
      <c r="B387" s="10">
        <f t="shared" si="1"/>
        <v>100</v>
      </c>
      <c r="C387" s="6">
        <f t="shared" si="2"/>
        <v>97.5</v>
      </c>
      <c r="D387" s="6">
        <f t="shared" si="3"/>
        <v>16.613531</v>
      </c>
    </row>
    <row r="388">
      <c r="A388" s="4" t="s">
        <v>9860</v>
      </c>
      <c r="B388" s="10">
        <f t="shared" si="1"/>
        <v>100</v>
      </c>
      <c r="C388" s="6">
        <f t="shared" si="2"/>
        <v>97.7</v>
      </c>
      <c r="D388" s="6">
        <f t="shared" si="3"/>
        <v>16.644947</v>
      </c>
    </row>
    <row r="389">
      <c r="A389" s="4" t="s">
        <v>9861</v>
      </c>
      <c r="B389" s="10">
        <f t="shared" si="1"/>
        <v>0</v>
      </c>
      <c r="C389" s="6">
        <f t="shared" si="2"/>
        <v>97.9</v>
      </c>
      <c r="D389" s="6">
        <f t="shared" si="3"/>
        <v>16.678445</v>
      </c>
    </row>
    <row r="390">
      <c r="A390" s="4" t="s">
        <v>9862</v>
      </c>
      <c r="B390" s="10">
        <f t="shared" si="1"/>
        <v>100</v>
      </c>
      <c r="C390" s="6">
        <f t="shared" si="2"/>
        <v>98.6</v>
      </c>
      <c r="D390" s="6">
        <f t="shared" si="3"/>
        <v>16.798429</v>
      </c>
    </row>
    <row r="391">
      <c r="A391" s="4" t="s">
        <v>9863</v>
      </c>
      <c r="B391" s="10">
        <f t="shared" si="1"/>
        <v>100</v>
      </c>
      <c r="C391" s="6">
        <f t="shared" si="2"/>
        <v>96.6</v>
      </c>
      <c r="D391" s="6">
        <f t="shared" si="3"/>
        <v>16.465936</v>
      </c>
    </row>
    <row r="392">
      <c r="A392" s="4" t="s">
        <v>9864</v>
      </c>
      <c r="B392" s="10">
        <f t="shared" si="1"/>
        <v>100</v>
      </c>
      <c r="C392" s="6">
        <f t="shared" si="2"/>
        <v>98.3</v>
      </c>
      <c r="D392" s="6">
        <f t="shared" si="3"/>
        <v>16.75742</v>
      </c>
    </row>
    <row r="393">
      <c r="A393" s="4" t="s">
        <v>9865</v>
      </c>
      <c r="B393" s="10">
        <f t="shared" si="1"/>
        <v>100</v>
      </c>
      <c r="C393" s="6">
        <f t="shared" si="2"/>
        <v>97.5</v>
      </c>
      <c r="D393" s="6">
        <f t="shared" si="3"/>
        <v>16.613113</v>
      </c>
    </row>
    <row r="394">
      <c r="A394" s="4" t="s">
        <v>9866</v>
      </c>
      <c r="B394" s="10">
        <f t="shared" si="1"/>
        <v>100</v>
      </c>
      <c r="C394" s="6">
        <f t="shared" si="2"/>
        <v>97.8</v>
      </c>
      <c r="D394" s="6">
        <f t="shared" si="3"/>
        <v>16.664285</v>
      </c>
    </row>
    <row r="395">
      <c r="A395" s="4" t="s">
        <v>9867</v>
      </c>
      <c r="B395" s="10">
        <f t="shared" si="1"/>
        <v>100</v>
      </c>
      <c r="C395" s="6">
        <f t="shared" si="2"/>
        <v>97.3</v>
      </c>
      <c r="D395" s="6">
        <f t="shared" si="3"/>
        <v>16.576212</v>
      </c>
    </row>
    <row r="396">
      <c r="A396" s="4" t="s">
        <v>9868</v>
      </c>
      <c r="B396" s="10">
        <f t="shared" si="1"/>
        <v>100</v>
      </c>
      <c r="C396" s="6">
        <f t="shared" si="2"/>
        <v>98.7</v>
      </c>
      <c r="D396" s="6">
        <f t="shared" si="3"/>
        <v>16.82538</v>
      </c>
    </row>
    <row r="397">
      <c r="A397" s="4" t="s">
        <v>9869</v>
      </c>
      <c r="B397" s="10">
        <f t="shared" si="1"/>
        <v>100</v>
      </c>
      <c r="C397" s="6">
        <f t="shared" si="2"/>
        <v>96</v>
      </c>
      <c r="D397" s="6">
        <f t="shared" si="3"/>
        <v>16.355164</v>
      </c>
    </row>
    <row r="398">
      <c r="A398" s="4" t="s">
        <v>9870</v>
      </c>
      <c r="B398" s="10">
        <f t="shared" si="1"/>
        <v>100</v>
      </c>
      <c r="C398" s="6">
        <f t="shared" si="2"/>
        <v>96.5</v>
      </c>
      <c r="D398" s="6">
        <f t="shared" si="3"/>
        <v>16.452083</v>
      </c>
    </row>
    <row r="399">
      <c r="A399" s="4" t="s">
        <v>9871</v>
      </c>
      <c r="B399" s="10">
        <f t="shared" si="1"/>
        <v>0</v>
      </c>
      <c r="C399" s="6">
        <f t="shared" si="2"/>
        <v>97</v>
      </c>
      <c r="D399" s="6">
        <f t="shared" si="3"/>
        <v>16.527151</v>
      </c>
    </row>
    <row r="400">
      <c r="A400" s="4" t="s">
        <v>9872</v>
      </c>
      <c r="B400" s="10">
        <f t="shared" si="1"/>
        <v>100</v>
      </c>
      <c r="C400" s="6">
        <f t="shared" si="2"/>
        <v>97.3</v>
      </c>
      <c r="D400" s="6">
        <f t="shared" si="3"/>
        <v>16.573485</v>
      </c>
    </row>
    <row r="401">
      <c r="A401" s="4" t="s">
        <v>9873</v>
      </c>
      <c r="B401" s="10">
        <f t="shared" si="1"/>
        <v>0</v>
      </c>
      <c r="C401" s="6">
        <f t="shared" si="2"/>
        <v>96.5</v>
      </c>
      <c r="D401" s="6">
        <f t="shared" si="3"/>
        <v>16.451883</v>
      </c>
    </row>
    <row r="402">
      <c r="A402" s="4" t="s">
        <v>9874</v>
      </c>
      <c r="B402" s="10">
        <f t="shared" si="1"/>
        <v>100</v>
      </c>
      <c r="C402" s="6">
        <f t="shared" si="2"/>
        <v>95.4</v>
      </c>
      <c r="D402" s="6">
        <f t="shared" si="3"/>
        <v>16.255311</v>
      </c>
    </row>
    <row r="403">
      <c r="A403" s="4" t="s">
        <v>9875</v>
      </c>
      <c r="B403" s="10">
        <f t="shared" si="1"/>
        <v>100</v>
      </c>
      <c r="C403" s="6">
        <f t="shared" si="2"/>
        <v>99.5</v>
      </c>
      <c r="D403" s="6">
        <f t="shared" si="3"/>
        <v>16.954843</v>
      </c>
    </row>
    <row r="404">
      <c r="A404" s="4" t="s">
        <v>9876</v>
      </c>
      <c r="B404" s="10">
        <f t="shared" si="1"/>
        <v>100</v>
      </c>
      <c r="C404" s="6">
        <f t="shared" si="2"/>
        <v>96.7</v>
      </c>
      <c r="D404" s="6">
        <f t="shared" si="3"/>
        <v>16.470712</v>
      </c>
    </row>
    <row r="405">
      <c r="A405" s="4" t="s">
        <v>9877</v>
      </c>
      <c r="B405" s="10">
        <f t="shared" si="1"/>
        <v>0</v>
      </c>
      <c r="C405" s="6">
        <f t="shared" si="2"/>
        <v>96.9</v>
      </c>
      <c r="D405" s="6">
        <f t="shared" si="3"/>
        <v>16.521433</v>
      </c>
    </row>
    <row r="406">
      <c r="A406" s="4" t="s">
        <v>9878</v>
      </c>
      <c r="B406" s="10">
        <f t="shared" si="1"/>
        <v>100</v>
      </c>
      <c r="C406" s="6">
        <f t="shared" si="2"/>
        <v>97.5</v>
      </c>
      <c r="D406" s="6">
        <f t="shared" si="3"/>
        <v>16.621989</v>
      </c>
    </row>
    <row r="407">
      <c r="A407" s="4" t="s">
        <v>9879</v>
      </c>
      <c r="B407" s="10">
        <f t="shared" si="1"/>
        <v>0</v>
      </c>
      <c r="C407" s="6">
        <f t="shared" si="2"/>
        <v>96.5</v>
      </c>
      <c r="D407" s="6">
        <f t="shared" si="3"/>
        <v>16.447774</v>
      </c>
    </row>
    <row r="408">
      <c r="A408" s="4" t="s">
        <v>9880</v>
      </c>
      <c r="B408" s="10">
        <f t="shared" si="1"/>
        <v>100</v>
      </c>
      <c r="C408" s="6">
        <f t="shared" si="2"/>
        <v>98.4</v>
      </c>
      <c r="D408" s="6">
        <f t="shared" si="3"/>
        <v>16.770244</v>
      </c>
    </row>
    <row r="409">
      <c r="A409" s="4" t="s">
        <v>9881</v>
      </c>
      <c r="B409" s="10">
        <f t="shared" si="1"/>
        <v>100</v>
      </c>
      <c r="C409" s="6">
        <f t="shared" si="2"/>
        <v>98.1</v>
      </c>
      <c r="D409" s="6">
        <f t="shared" si="3"/>
        <v>16.714969</v>
      </c>
    </row>
    <row r="410">
      <c r="A410" s="4" t="s">
        <v>9882</v>
      </c>
      <c r="B410" s="10">
        <f t="shared" si="1"/>
        <v>100</v>
      </c>
      <c r="C410" s="6">
        <f t="shared" si="2"/>
        <v>96.7</v>
      </c>
      <c r="D410" s="6">
        <f t="shared" si="3"/>
        <v>16.480088</v>
      </c>
    </row>
    <row r="411">
      <c r="A411" s="4" t="s">
        <v>9883</v>
      </c>
      <c r="B411" s="10">
        <f t="shared" si="1"/>
        <v>100</v>
      </c>
      <c r="C411" s="6">
        <f t="shared" si="2"/>
        <v>96.8</v>
      </c>
      <c r="D411" s="6">
        <f t="shared" si="3"/>
        <v>16.503488</v>
      </c>
    </row>
    <row r="412">
      <c r="A412" s="4" t="s">
        <v>9571</v>
      </c>
      <c r="B412" s="10">
        <f t="shared" si="1"/>
        <v>100</v>
      </c>
      <c r="C412" s="6">
        <f t="shared" si="2"/>
        <v>97.8</v>
      </c>
      <c r="D412" s="6">
        <f t="shared" si="3"/>
        <v>16.6634</v>
      </c>
    </row>
    <row r="413">
      <c r="A413" s="4" t="s">
        <v>9884</v>
      </c>
      <c r="B413" s="10">
        <f t="shared" si="1"/>
        <v>100</v>
      </c>
      <c r="C413" s="6">
        <f t="shared" si="2"/>
        <v>97.5</v>
      </c>
      <c r="D413" s="6">
        <f t="shared" si="3"/>
        <v>16.620707</v>
      </c>
    </row>
    <row r="414">
      <c r="A414" s="4" t="s">
        <v>9885</v>
      </c>
      <c r="B414" s="10">
        <f t="shared" si="1"/>
        <v>0</v>
      </c>
      <c r="C414" s="6">
        <f t="shared" si="2"/>
        <v>97.4</v>
      </c>
      <c r="D414" s="6">
        <f t="shared" si="3"/>
        <v>16.59029</v>
      </c>
    </row>
    <row r="415">
      <c r="A415" s="4" t="s">
        <v>9886</v>
      </c>
      <c r="B415" s="10">
        <f t="shared" si="1"/>
        <v>100</v>
      </c>
      <c r="C415" s="6">
        <f t="shared" si="2"/>
        <v>97.8</v>
      </c>
      <c r="D415" s="6">
        <f t="shared" si="3"/>
        <v>16.665112</v>
      </c>
    </row>
    <row r="416">
      <c r="A416" s="4" t="s">
        <v>9887</v>
      </c>
      <c r="B416" s="10">
        <f t="shared" si="1"/>
        <v>0</v>
      </c>
      <c r="C416" s="6">
        <f t="shared" si="2"/>
        <v>97.8</v>
      </c>
      <c r="D416" s="6">
        <f t="shared" si="3"/>
        <v>16.658329</v>
      </c>
    </row>
    <row r="417">
      <c r="A417" s="4" t="s">
        <v>9888</v>
      </c>
      <c r="B417" s="10">
        <f t="shared" si="1"/>
        <v>100</v>
      </c>
      <c r="C417" s="6">
        <f t="shared" si="2"/>
        <v>98.8</v>
      </c>
      <c r="D417" s="6">
        <f t="shared" si="3"/>
        <v>16.840798</v>
      </c>
    </row>
    <row r="418">
      <c r="A418" s="4" t="s">
        <v>9889</v>
      </c>
      <c r="B418" s="10">
        <f t="shared" si="1"/>
        <v>100</v>
      </c>
      <c r="C418" s="6">
        <f t="shared" si="2"/>
        <v>99.9</v>
      </c>
      <c r="D418" s="6">
        <f t="shared" si="3"/>
        <v>17.031217</v>
      </c>
    </row>
    <row r="419">
      <c r="A419" s="4" t="s">
        <v>9890</v>
      </c>
      <c r="B419" s="10">
        <f t="shared" si="1"/>
        <v>100</v>
      </c>
      <c r="C419" s="6">
        <f t="shared" si="2"/>
        <v>96.9</v>
      </c>
      <c r="D419" s="6">
        <f t="shared" si="3"/>
        <v>16.513265</v>
      </c>
    </row>
    <row r="420">
      <c r="A420" s="4" t="s">
        <v>9891</v>
      </c>
      <c r="B420" s="10">
        <f t="shared" si="1"/>
        <v>100</v>
      </c>
      <c r="C420" s="6">
        <f t="shared" si="2"/>
        <v>97.2</v>
      </c>
      <c r="D420" s="6">
        <f t="shared" si="3"/>
        <v>16.565571</v>
      </c>
    </row>
    <row r="421">
      <c r="A421" s="4" t="s">
        <v>9892</v>
      </c>
      <c r="B421" s="10">
        <f t="shared" si="1"/>
        <v>100</v>
      </c>
      <c r="C421" s="6">
        <f t="shared" si="2"/>
        <v>97.2</v>
      </c>
      <c r="D421" s="6">
        <f t="shared" si="3"/>
        <v>16.564047</v>
      </c>
    </row>
    <row r="422">
      <c r="A422" s="4" t="s">
        <v>9893</v>
      </c>
      <c r="B422" s="10">
        <f t="shared" si="1"/>
        <v>100</v>
      </c>
      <c r="C422" s="6">
        <f t="shared" si="2"/>
        <v>97.5</v>
      </c>
      <c r="D422" s="6">
        <f t="shared" si="3"/>
        <v>16.61707</v>
      </c>
    </row>
    <row r="423">
      <c r="A423" s="4" t="s">
        <v>9894</v>
      </c>
      <c r="B423" s="10">
        <f t="shared" si="1"/>
        <v>100</v>
      </c>
      <c r="C423" s="6">
        <f t="shared" si="2"/>
        <v>98</v>
      </c>
      <c r="D423" s="6">
        <f t="shared" si="3"/>
        <v>16.704659</v>
      </c>
    </row>
    <row r="424">
      <c r="A424" s="4" t="s">
        <v>9895</v>
      </c>
      <c r="B424" s="10">
        <f t="shared" si="1"/>
        <v>0</v>
      </c>
      <c r="C424" s="6">
        <f t="shared" si="2"/>
        <v>98.3</v>
      </c>
      <c r="D424" s="6">
        <f t="shared" si="3"/>
        <v>16.749752</v>
      </c>
    </row>
    <row r="425">
      <c r="A425" s="4" t="s">
        <v>9896</v>
      </c>
      <c r="B425" s="10">
        <f t="shared" si="1"/>
        <v>0</v>
      </c>
      <c r="C425" s="6">
        <f t="shared" si="2"/>
        <v>97.2</v>
      </c>
      <c r="D425" s="6">
        <f t="shared" si="3"/>
        <v>16.555925</v>
      </c>
    </row>
    <row r="426">
      <c r="A426" s="4" t="s">
        <v>9897</v>
      </c>
      <c r="B426" s="10">
        <f t="shared" si="1"/>
        <v>100</v>
      </c>
      <c r="C426" s="6">
        <f t="shared" si="2"/>
        <v>96.3</v>
      </c>
      <c r="D426" s="6">
        <f t="shared" si="3"/>
        <v>16.413544</v>
      </c>
    </row>
    <row r="427">
      <c r="A427" s="4" t="s">
        <v>9898</v>
      </c>
      <c r="B427" s="10">
        <f t="shared" si="1"/>
        <v>100</v>
      </c>
      <c r="C427" s="6">
        <f t="shared" si="2"/>
        <v>96.7</v>
      </c>
      <c r="D427" s="6">
        <f t="shared" si="3"/>
        <v>16.472477</v>
      </c>
    </row>
    <row r="428">
      <c r="A428" s="4" t="s">
        <v>9899</v>
      </c>
      <c r="B428" s="10">
        <f t="shared" si="1"/>
        <v>0</v>
      </c>
      <c r="C428" s="6">
        <f t="shared" si="2"/>
        <v>99.1</v>
      </c>
      <c r="D428" s="6">
        <f t="shared" si="3"/>
        <v>16.893313</v>
      </c>
    </row>
    <row r="429">
      <c r="A429" s="4" t="s">
        <v>9900</v>
      </c>
      <c r="B429" s="10">
        <f t="shared" si="1"/>
        <v>100</v>
      </c>
      <c r="C429" s="6">
        <f t="shared" si="2"/>
        <v>98.3</v>
      </c>
      <c r="D429" s="6">
        <f t="shared" si="3"/>
        <v>16.757932</v>
      </c>
    </row>
    <row r="430">
      <c r="A430" s="4" t="s">
        <v>9901</v>
      </c>
      <c r="B430" s="10">
        <f t="shared" si="1"/>
        <v>0</v>
      </c>
      <c r="C430" s="6">
        <f t="shared" si="2"/>
        <v>96.6</v>
      </c>
      <c r="D430" s="6">
        <f t="shared" si="3"/>
        <v>16.465936</v>
      </c>
    </row>
    <row r="431">
      <c r="A431" s="4" t="s">
        <v>9902</v>
      </c>
      <c r="B431" s="10">
        <f t="shared" si="1"/>
        <v>100</v>
      </c>
      <c r="C431" s="6">
        <f t="shared" si="2"/>
        <v>97.2</v>
      </c>
      <c r="D431" s="6">
        <f t="shared" si="3"/>
        <v>16.558153</v>
      </c>
    </row>
    <row r="432">
      <c r="A432" s="4" t="s">
        <v>9903</v>
      </c>
      <c r="B432" s="10">
        <f t="shared" si="1"/>
        <v>100</v>
      </c>
      <c r="C432" s="6">
        <f t="shared" si="2"/>
        <v>96.5</v>
      </c>
      <c r="D432" s="6">
        <f t="shared" si="3"/>
        <v>16.437776</v>
      </c>
    </row>
    <row r="433">
      <c r="A433" s="4" t="s">
        <v>9904</v>
      </c>
      <c r="B433" s="10">
        <f t="shared" si="1"/>
        <v>0</v>
      </c>
      <c r="C433" s="6">
        <f t="shared" si="2"/>
        <v>97.1</v>
      </c>
      <c r="D433" s="6">
        <f t="shared" si="3"/>
        <v>16.549306</v>
      </c>
    </row>
    <row r="434">
      <c r="A434" s="4" t="s">
        <v>9905</v>
      </c>
      <c r="B434" s="10">
        <f t="shared" si="1"/>
        <v>100</v>
      </c>
      <c r="C434" s="6">
        <f t="shared" si="2"/>
        <v>97</v>
      </c>
      <c r="D434" s="6">
        <f t="shared" si="3"/>
        <v>16.535343</v>
      </c>
    </row>
    <row r="435">
      <c r="A435" s="4" t="s">
        <v>9906</v>
      </c>
      <c r="B435" s="10">
        <f t="shared" si="1"/>
        <v>100</v>
      </c>
      <c r="C435" s="6">
        <f t="shared" si="2"/>
        <v>97.1</v>
      </c>
      <c r="D435" s="6">
        <f t="shared" si="3"/>
        <v>16.552304</v>
      </c>
    </row>
    <row r="436">
      <c r="A436" s="4" t="s">
        <v>9907</v>
      </c>
      <c r="B436" s="10">
        <f t="shared" si="1"/>
        <v>100</v>
      </c>
      <c r="C436" s="6">
        <f t="shared" si="2"/>
        <v>98.5</v>
      </c>
      <c r="D436" s="6">
        <f t="shared" si="3"/>
        <v>16.784453</v>
      </c>
    </row>
    <row r="437">
      <c r="A437" s="4" t="s">
        <v>9908</v>
      </c>
      <c r="B437" s="10">
        <f t="shared" si="1"/>
        <v>100</v>
      </c>
      <c r="C437" s="6">
        <f t="shared" si="2"/>
        <v>96.3</v>
      </c>
      <c r="D437" s="6">
        <f t="shared" si="3"/>
        <v>16.4045</v>
      </c>
    </row>
    <row r="438">
      <c r="A438" s="4" t="s">
        <v>9909</v>
      </c>
      <c r="B438" s="10">
        <f t="shared" si="1"/>
        <v>100</v>
      </c>
      <c r="C438" s="6">
        <f t="shared" si="2"/>
        <v>96.7</v>
      </c>
      <c r="D438" s="6">
        <f t="shared" si="3"/>
        <v>16.477138</v>
      </c>
    </row>
    <row r="439">
      <c r="A439" s="4" t="s">
        <v>9910</v>
      </c>
      <c r="B439" s="10">
        <f t="shared" si="1"/>
        <v>0</v>
      </c>
      <c r="C439" s="6">
        <f t="shared" si="2"/>
        <v>98</v>
      </c>
      <c r="D439" s="6">
        <f t="shared" si="3"/>
        <v>16.706265</v>
      </c>
    </row>
    <row r="440">
      <c r="A440" s="4" t="s">
        <v>9911</v>
      </c>
      <c r="B440" s="10">
        <f t="shared" si="1"/>
        <v>14.9</v>
      </c>
      <c r="C440" s="6">
        <f t="shared" si="2"/>
        <v>97.3</v>
      </c>
      <c r="D440" s="6">
        <f t="shared" si="3"/>
        <v>16.587952</v>
      </c>
    </row>
    <row r="441">
      <c r="A441" s="4" t="s">
        <v>9912</v>
      </c>
      <c r="B441" s="10">
        <f t="shared" si="1"/>
        <v>100</v>
      </c>
      <c r="C441" s="6">
        <f t="shared" si="2"/>
        <v>97.8</v>
      </c>
      <c r="D441" s="6">
        <f t="shared" si="3"/>
        <v>16.667533</v>
      </c>
    </row>
    <row r="442">
      <c r="A442" s="4" t="s">
        <v>9913</v>
      </c>
      <c r="B442" s="10">
        <f t="shared" si="1"/>
        <v>0</v>
      </c>
      <c r="C442" s="6">
        <f t="shared" si="2"/>
        <v>98.1</v>
      </c>
      <c r="D442" s="6">
        <f t="shared" si="3"/>
        <v>16.714375</v>
      </c>
    </row>
    <row r="443">
      <c r="A443" s="4" t="s">
        <v>9914</v>
      </c>
      <c r="B443" s="10">
        <f t="shared" si="1"/>
        <v>0</v>
      </c>
      <c r="C443" s="6">
        <f t="shared" si="2"/>
        <v>98.4</v>
      </c>
      <c r="D443" s="6">
        <f t="shared" si="3"/>
        <v>16.765468</v>
      </c>
    </row>
    <row r="444">
      <c r="A444" s="4" t="s">
        <v>9915</v>
      </c>
      <c r="B444" s="10">
        <f t="shared" si="1"/>
        <v>100</v>
      </c>
      <c r="C444" s="6">
        <f t="shared" si="2"/>
        <v>98.1</v>
      </c>
      <c r="D444" s="6">
        <f t="shared" si="3"/>
        <v>16.710029</v>
      </c>
    </row>
    <row r="445">
      <c r="A445" s="4" t="s">
        <v>9916</v>
      </c>
      <c r="B445" s="10">
        <f t="shared" si="1"/>
        <v>100</v>
      </c>
      <c r="C445" s="6">
        <f t="shared" si="2"/>
        <v>98.2</v>
      </c>
      <c r="D445" s="6">
        <f t="shared" si="3"/>
        <v>16.739696</v>
      </c>
    </row>
    <row r="446">
      <c r="A446" s="4" t="s">
        <v>9917</v>
      </c>
      <c r="B446" s="10">
        <f t="shared" si="1"/>
        <v>0</v>
      </c>
      <c r="C446" s="6">
        <f t="shared" si="2"/>
        <v>96.3</v>
      </c>
      <c r="D446" s="6">
        <f t="shared" si="3"/>
        <v>16.410025</v>
      </c>
    </row>
    <row r="447">
      <c r="A447" s="4" t="s">
        <v>9918</v>
      </c>
      <c r="B447" s="10">
        <f t="shared" si="1"/>
        <v>0</v>
      </c>
      <c r="C447" s="6">
        <f t="shared" si="2"/>
        <v>98</v>
      </c>
      <c r="D447" s="6">
        <f t="shared" si="3"/>
        <v>16.706695</v>
      </c>
    </row>
    <row r="448">
      <c r="A448" s="4" t="s">
        <v>9919</v>
      </c>
      <c r="B448" s="10">
        <f t="shared" si="1"/>
        <v>0</v>
      </c>
      <c r="C448" s="6">
        <f t="shared" si="2"/>
        <v>98.4</v>
      </c>
      <c r="D448" s="6">
        <f t="shared" si="3"/>
        <v>16.775176</v>
      </c>
    </row>
    <row r="449">
      <c r="A449" s="4" t="s">
        <v>9920</v>
      </c>
      <c r="B449" s="10">
        <f t="shared" si="1"/>
        <v>100</v>
      </c>
      <c r="C449" s="6">
        <f t="shared" si="2"/>
        <v>98.4</v>
      </c>
      <c r="D449" s="6">
        <f t="shared" si="3"/>
        <v>16.773922</v>
      </c>
    </row>
    <row r="450">
      <c r="A450" s="4" t="s">
        <v>9921</v>
      </c>
      <c r="B450" s="10">
        <f t="shared" si="1"/>
        <v>100</v>
      </c>
      <c r="C450" s="6">
        <f t="shared" si="2"/>
        <v>56.2</v>
      </c>
      <c r="D450" s="6">
        <f t="shared" si="3"/>
        <v>9.5716884</v>
      </c>
    </row>
    <row r="451">
      <c r="A451" s="4" t="s">
        <v>9922</v>
      </c>
      <c r="B451" s="10">
        <f t="shared" si="1"/>
        <v>100</v>
      </c>
      <c r="C451" s="6">
        <f t="shared" si="2"/>
        <v>57.3</v>
      </c>
      <c r="D451" s="6">
        <f t="shared" si="3"/>
        <v>9.7605959</v>
      </c>
    </row>
    <row r="452">
      <c r="A452" s="4" t="s">
        <v>9923</v>
      </c>
      <c r="B452" s="10">
        <f t="shared" si="1"/>
        <v>100</v>
      </c>
      <c r="C452" s="6">
        <f t="shared" si="2"/>
        <v>57.4</v>
      </c>
      <c r="D452" s="6">
        <f t="shared" si="3"/>
        <v>9.7880514</v>
      </c>
    </row>
    <row r="453">
      <c r="A453" s="4" t="s">
        <v>9924</v>
      </c>
      <c r="B453" s="10">
        <f t="shared" si="1"/>
        <v>100</v>
      </c>
      <c r="C453" s="6">
        <f t="shared" si="2"/>
        <v>57.7</v>
      </c>
      <c r="D453" s="6">
        <f t="shared" si="3"/>
        <v>9.8305146</v>
      </c>
    </row>
    <row r="454">
      <c r="A454" s="4" t="s">
        <v>9925</v>
      </c>
      <c r="B454" s="10">
        <f t="shared" si="1"/>
        <v>100</v>
      </c>
      <c r="C454" s="6">
        <f t="shared" si="2"/>
        <v>58.4</v>
      </c>
      <c r="D454" s="6">
        <f t="shared" si="3"/>
        <v>9.9603333</v>
      </c>
    </row>
    <row r="455">
      <c r="A455" s="4" t="s">
        <v>9926</v>
      </c>
      <c r="B455" s="10">
        <f t="shared" si="1"/>
        <v>100</v>
      </c>
      <c r="C455" s="6">
        <f t="shared" si="2"/>
        <v>58.2</v>
      </c>
      <c r="D455" s="6">
        <f t="shared" si="3"/>
        <v>9.9158261</v>
      </c>
    </row>
    <row r="456">
      <c r="A456" s="4" t="s">
        <v>9927</v>
      </c>
      <c r="B456" s="10">
        <f t="shared" si="1"/>
        <v>100</v>
      </c>
      <c r="C456" s="6">
        <f t="shared" si="2"/>
        <v>58.4</v>
      </c>
      <c r="D456" s="6">
        <f t="shared" si="3"/>
        <v>9.9603292</v>
      </c>
    </row>
    <row r="457">
      <c r="A457" s="4" t="s">
        <v>9928</v>
      </c>
      <c r="B457" s="10">
        <f t="shared" si="1"/>
        <v>100</v>
      </c>
      <c r="C457" s="6">
        <f t="shared" si="2"/>
        <v>58.5</v>
      </c>
      <c r="D457" s="6">
        <f t="shared" si="3"/>
        <v>9.9686072</v>
      </c>
    </row>
    <row r="458">
      <c r="A458" s="4" t="s">
        <v>9929</v>
      </c>
      <c r="B458" s="10">
        <f t="shared" si="1"/>
        <v>100</v>
      </c>
      <c r="C458" s="6">
        <f t="shared" si="2"/>
        <v>58.7</v>
      </c>
      <c r="D458" s="6">
        <f t="shared" si="3"/>
        <v>10.00341</v>
      </c>
    </row>
    <row r="459">
      <c r="A459" s="4" t="s">
        <v>9930</v>
      </c>
      <c r="B459" s="10">
        <f t="shared" si="1"/>
        <v>0</v>
      </c>
      <c r="C459" s="6">
        <f t="shared" si="2"/>
        <v>58.5</v>
      </c>
      <c r="D459" s="6">
        <f t="shared" si="3"/>
        <v>9.9693731</v>
      </c>
    </row>
  </sheetData>
  <mergeCells count="3">
    <mergeCell ref="G1:H1"/>
    <mergeCell ref="J1:K1"/>
    <mergeCell ref="M1:N1"/>
  </mergeCells>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30</v>
      </c>
    </row>
    <row r="2">
      <c r="A2" s="4" t="s">
        <v>9931</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33</v>
      </c>
    </row>
    <row r="3">
      <c r="A3" s="4" t="s">
        <v>131</v>
      </c>
    </row>
    <row r="4">
      <c r="A4" s="4" t="s">
        <v>94</v>
      </c>
    </row>
    <row r="5">
      <c r="A5" s="4" t="s">
        <v>1494</v>
      </c>
    </row>
    <row r="6">
      <c r="A6" s="4" t="s">
        <v>94</v>
      </c>
    </row>
    <row r="7">
      <c r="A7" s="4" t="s">
        <v>9932</v>
      </c>
    </row>
    <row r="8">
      <c r="A8" s="4" t="s">
        <v>518</v>
      </c>
    </row>
    <row r="9">
      <c r="A9" s="4" t="s">
        <v>1551</v>
      </c>
    </row>
    <row r="10">
      <c r="A10" s="4" t="s">
        <v>1552</v>
      </c>
    </row>
    <row r="11">
      <c r="A11" s="4" t="s">
        <v>109</v>
      </c>
    </row>
    <row r="12">
      <c r="A12" s="4" t="s">
        <v>968</v>
      </c>
    </row>
    <row r="13">
      <c r="A13" s="4" t="s">
        <v>110</v>
      </c>
    </row>
    <row r="14">
      <c r="A14" s="4" t="s">
        <v>961</v>
      </c>
    </row>
    <row r="15">
      <c r="A15" s="4" t="s">
        <v>873</v>
      </c>
    </row>
    <row r="16">
      <c r="A16" s="4" t="s">
        <v>939</v>
      </c>
    </row>
    <row r="17">
      <c r="A17" s="4" t="s">
        <v>44</v>
      </c>
    </row>
    <row r="18">
      <c r="A18" s="4" t="s">
        <v>5416</v>
      </c>
    </row>
    <row r="19">
      <c r="A19" s="4" t="s">
        <v>919</v>
      </c>
    </row>
    <row r="20">
      <c r="A20" s="4" t="s">
        <v>920</v>
      </c>
    </row>
    <row r="21">
      <c r="A21" s="4" t="s">
        <v>553</v>
      </c>
    </row>
    <row r="22">
      <c r="A22" s="4" t="s">
        <v>866</v>
      </c>
    </row>
    <row r="23">
      <c r="A23" s="4" t="s">
        <v>44</v>
      </c>
    </row>
    <row r="24">
      <c r="A24" s="4" t="s">
        <v>9933</v>
      </c>
    </row>
    <row r="25">
      <c r="A25" s="4" t="s">
        <v>75</v>
      </c>
    </row>
    <row r="26">
      <c r="A26" s="4" t="s">
        <v>147</v>
      </c>
    </row>
    <row r="27">
      <c r="A27" s="4" t="s">
        <v>48</v>
      </c>
    </row>
    <row r="28">
      <c r="A28" s="4" t="s">
        <v>115</v>
      </c>
    </row>
    <row r="29">
      <c r="A29" s="4" t="s">
        <v>940</v>
      </c>
    </row>
    <row r="30">
      <c r="A30" s="4" t="s">
        <v>5428</v>
      </c>
    </row>
    <row r="31">
      <c r="A31" s="4" t="s">
        <v>961</v>
      </c>
    </row>
    <row r="32">
      <c r="A32" s="4" t="s">
        <v>33</v>
      </c>
    </row>
    <row r="33">
      <c r="A33" s="4" t="s">
        <v>978</v>
      </c>
    </row>
    <row r="34">
      <c r="A34" s="4" t="s">
        <v>88</v>
      </c>
    </row>
    <row r="35">
      <c r="A35" s="4" t="s">
        <v>89</v>
      </c>
    </row>
    <row r="36">
      <c r="A36" s="4" t="s">
        <v>877</v>
      </c>
    </row>
    <row r="37">
      <c r="A37" s="4" t="s">
        <v>119</v>
      </c>
    </row>
    <row r="38">
      <c r="A38" s="4" t="s">
        <v>878</v>
      </c>
    </row>
    <row r="39">
      <c r="A39" s="4" t="s">
        <v>879</v>
      </c>
    </row>
    <row r="40">
      <c r="A40" s="4" t="s">
        <v>33</v>
      </c>
    </row>
    <row r="41">
      <c r="A41" s="4" t="s">
        <v>5441</v>
      </c>
    </row>
    <row r="42">
      <c r="A42" s="4" t="s">
        <v>107</v>
      </c>
    </row>
    <row r="43">
      <c r="A43" s="4" t="s">
        <v>41</v>
      </c>
    </row>
    <row r="44">
      <c r="A44" s="4" t="s">
        <v>892</v>
      </c>
    </row>
    <row r="45">
      <c r="A45" s="4" t="s">
        <v>33</v>
      </c>
    </row>
    <row r="46">
      <c r="A46" s="4" t="s">
        <v>876</v>
      </c>
    </row>
    <row r="47">
      <c r="A47" s="4" t="s">
        <v>41</v>
      </c>
    </row>
    <row r="48">
      <c r="A48" s="4" t="s">
        <v>516</v>
      </c>
    </row>
    <row r="49">
      <c r="A49" s="4" t="s">
        <v>9934</v>
      </c>
    </row>
    <row r="50">
      <c r="A50" s="4" t="s">
        <v>40</v>
      </c>
    </row>
    <row r="51">
      <c r="A51" s="4" t="s">
        <v>9935</v>
      </c>
    </row>
    <row r="52">
      <c r="A52" s="4" t="s">
        <v>33</v>
      </c>
    </row>
    <row r="53">
      <c r="A53" s="4" t="s">
        <v>8017</v>
      </c>
    </row>
    <row r="54">
      <c r="A54" s="4" t="s">
        <v>8050</v>
      </c>
    </row>
    <row r="55">
      <c r="A55" s="4" t="s">
        <v>40</v>
      </c>
    </row>
    <row r="56">
      <c r="A56" s="4" t="s">
        <v>119</v>
      </c>
    </row>
    <row r="57">
      <c r="A57" s="4" t="s">
        <v>1513</v>
      </c>
    </row>
    <row r="58">
      <c r="A58" s="4" t="s">
        <v>9936</v>
      </c>
    </row>
    <row r="59">
      <c r="A59" s="4" t="s">
        <v>160</v>
      </c>
    </row>
    <row r="60">
      <c r="A60" s="4" t="s">
        <v>527</v>
      </c>
    </row>
    <row r="61">
      <c r="A61" s="4" t="s">
        <v>553</v>
      </c>
    </row>
    <row r="62">
      <c r="A62" s="4" t="s">
        <v>3019</v>
      </c>
    </row>
    <row r="63">
      <c r="A63" s="4" t="s">
        <v>44</v>
      </c>
    </row>
    <row r="64">
      <c r="A64" s="4" t="s">
        <v>3291</v>
      </c>
    </row>
    <row r="65">
      <c r="A65" s="4" t="s">
        <v>1367</v>
      </c>
    </row>
    <row r="66">
      <c r="A66" s="4" t="s">
        <v>98</v>
      </c>
    </row>
    <row r="67">
      <c r="A67" s="4" t="s">
        <v>527</v>
      </c>
    </row>
    <row r="68">
      <c r="A68" s="4" t="s">
        <v>33</v>
      </c>
    </row>
    <row r="69">
      <c r="A69" s="4" t="s">
        <v>869</v>
      </c>
    </row>
    <row r="70">
      <c r="A70" s="4" t="s">
        <v>109</v>
      </c>
    </row>
    <row r="71">
      <c r="A71" s="4" t="s">
        <v>110</v>
      </c>
    </row>
    <row r="72">
      <c r="A72" s="4" t="s">
        <v>111</v>
      </c>
    </row>
    <row r="73">
      <c r="A73" s="4" t="s">
        <v>969</v>
      </c>
    </row>
    <row r="74">
      <c r="A74" s="4" t="s">
        <v>40</v>
      </c>
    </row>
    <row r="75">
      <c r="A75" s="4" t="s">
        <v>921</v>
      </c>
    </row>
    <row r="76">
      <c r="A76" s="4" t="s">
        <v>115</v>
      </c>
    </row>
    <row r="77">
      <c r="A77" s="4" t="s">
        <v>970</v>
      </c>
    </row>
    <row r="78">
      <c r="A78" s="4" t="s">
        <v>33</v>
      </c>
    </row>
    <row r="79">
      <c r="A79" s="4" t="s">
        <v>978</v>
      </c>
    </row>
    <row r="80">
      <c r="A80" s="4" t="s">
        <v>88</v>
      </c>
    </row>
    <row r="81">
      <c r="A81" s="4" t="s">
        <v>40</v>
      </c>
    </row>
    <row r="82">
      <c r="A82" s="4" t="s">
        <v>75</v>
      </c>
    </row>
    <row r="83">
      <c r="A83" s="4" t="s">
        <v>33</v>
      </c>
    </row>
    <row r="84">
      <c r="A84" s="4" t="s">
        <v>9937</v>
      </c>
    </row>
    <row r="85">
      <c r="A85" s="4" t="s">
        <v>36</v>
      </c>
    </row>
    <row r="86">
      <c r="A86" s="4" t="s">
        <v>1546</v>
      </c>
    </row>
    <row r="87">
      <c r="A87" s="4" t="s">
        <v>44</v>
      </c>
    </row>
    <row r="88">
      <c r="A88" s="4" t="s">
        <v>119</v>
      </c>
    </row>
    <row r="89">
      <c r="A89" s="4" t="s">
        <v>64</v>
      </c>
    </row>
    <row r="90">
      <c r="A90" s="4" t="s">
        <v>3269</v>
      </c>
    </row>
    <row r="91">
      <c r="A91" s="4" t="s">
        <v>40</v>
      </c>
    </row>
    <row r="92">
      <c r="A92" s="4" t="s">
        <v>53</v>
      </c>
    </row>
    <row r="93">
      <c r="A93" s="4" t="s">
        <v>115</v>
      </c>
    </row>
    <row r="94">
      <c r="A94" s="4" t="s">
        <v>92</v>
      </c>
    </row>
    <row r="95">
      <c r="A95" s="4" t="s">
        <v>9938</v>
      </c>
    </row>
    <row r="96">
      <c r="A96" s="4" t="s">
        <v>33</v>
      </c>
    </row>
    <row r="97">
      <c r="A97" s="4" t="s">
        <v>876</v>
      </c>
    </row>
    <row r="98">
      <c r="A98" s="4" t="s">
        <v>40</v>
      </c>
    </row>
    <row r="99">
      <c r="A99" s="4" t="s">
        <v>2607</v>
      </c>
    </row>
    <row r="100">
      <c r="A100" s="4" t="s">
        <v>41</v>
      </c>
    </row>
    <row r="101">
      <c r="A101" s="4" t="s">
        <v>42</v>
      </c>
    </row>
    <row r="102">
      <c r="A102" s="4" t="s">
        <v>39</v>
      </c>
    </row>
    <row r="103">
      <c r="A103" s="4" t="s">
        <v>159</v>
      </c>
    </row>
    <row r="104">
      <c r="A104" s="4" t="s">
        <v>873</v>
      </c>
    </row>
    <row r="105">
      <c r="A105" s="4" t="s">
        <v>36</v>
      </c>
    </row>
    <row r="106">
      <c r="A106" s="4" t="s">
        <v>164</v>
      </c>
    </row>
    <row r="107">
      <c r="A107" s="4" t="s">
        <v>9939</v>
      </c>
    </row>
    <row r="108">
      <c r="A108" s="4" t="s">
        <v>3804</v>
      </c>
    </row>
    <row r="109">
      <c r="A109" s="4" t="s">
        <v>138</v>
      </c>
    </row>
    <row r="110">
      <c r="A110" s="4" t="s">
        <v>549</v>
      </c>
    </row>
    <row r="111">
      <c r="A111" s="4" t="s">
        <v>9940</v>
      </c>
    </row>
    <row r="112">
      <c r="A112" s="4" t="s">
        <v>33</v>
      </c>
    </row>
    <row r="113">
      <c r="A113" s="4" t="s">
        <v>3795</v>
      </c>
    </row>
    <row r="114">
      <c r="A114" s="4" t="s">
        <v>964</v>
      </c>
    </row>
    <row r="115">
      <c r="A115" s="4" t="s">
        <v>44</v>
      </c>
    </row>
    <row r="116">
      <c r="A116" s="4" t="s">
        <v>9941</v>
      </c>
    </row>
    <row r="117">
      <c r="A117" s="4" t="s">
        <v>88</v>
      </c>
    </row>
    <row r="118">
      <c r="A118" s="4" t="s">
        <v>89</v>
      </c>
    </row>
    <row r="119">
      <c r="A119" s="4" t="s">
        <v>33</v>
      </c>
    </row>
    <row r="120">
      <c r="A120" s="4" t="s">
        <v>131</v>
      </c>
    </row>
    <row r="121">
      <c r="A121" s="4" t="s">
        <v>869</v>
      </c>
    </row>
    <row r="122">
      <c r="A122" s="4" t="s">
        <v>96</v>
      </c>
    </row>
    <row r="123">
      <c r="A123" s="4" t="s">
        <v>509</v>
      </c>
    </row>
    <row r="124">
      <c r="A124" s="4" t="s">
        <v>92</v>
      </c>
    </row>
    <row r="125">
      <c r="A125" s="4" t="s">
        <v>122</v>
      </c>
    </row>
    <row r="126">
      <c r="A126" s="4" t="s">
        <v>537</v>
      </c>
    </row>
    <row r="127">
      <c r="A127" s="4" t="s">
        <v>33</v>
      </c>
    </row>
    <row r="128">
      <c r="A128" s="4" t="s">
        <v>978</v>
      </c>
    </row>
    <row r="129">
      <c r="A129" s="4" t="s">
        <v>90</v>
      </c>
    </row>
    <row r="130">
      <c r="A130" s="4" t="s">
        <v>1510</v>
      </c>
    </row>
    <row r="131">
      <c r="A131" s="4" t="s">
        <v>33</v>
      </c>
    </row>
    <row r="132">
      <c r="A132" s="4" t="s">
        <v>9942</v>
      </c>
    </row>
    <row r="133">
      <c r="A133" s="4" t="s">
        <v>44</v>
      </c>
    </row>
    <row r="134">
      <c r="A134" s="4" t="s">
        <v>9943</v>
      </c>
    </row>
    <row r="135">
      <c r="A135" s="4" t="s">
        <v>62</v>
      </c>
    </row>
    <row r="136">
      <c r="A136" s="4" t="s">
        <v>1363</v>
      </c>
    </row>
    <row r="137">
      <c r="A137" s="4" t="s">
        <v>9944</v>
      </c>
    </row>
    <row r="138">
      <c r="A138" s="4" t="s">
        <v>33</v>
      </c>
    </row>
    <row r="139">
      <c r="A139" s="4" t="s">
        <v>48</v>
      </c>
    </row>
    <row r="140">
      <c r="A140" s="4" t="s">
        <v>1230</v>
      </c>
    </row>
    <row r="141">
      <c r="A141" s="4" t="s">
        <v>119</v>
      </c>
    </row>
    <row r="142">
      <c r="A142" s="4" t="s">
        <v>9945</v>
      </c>
    </row>
    <row r="143">
      <c r="A143" s="4" t="s">
        <v>41</v>
      </c>
    </row>
    <row r="144">
      <c r="A144" s="4" t="s">
        <v>9946</v>
      </c>
    </row>
    <row r="145">
      <c r="A145" s="4" t="s">
        <v>33</v>
      </c>
    </row>
    <row r="146">
      <c r="A146" s="4" t="s">
        <v>876</v>
      </c>
    </row>
    <row r="147">
      <c r="A147" s="4" t="s">
        <v>44</v>
      </c>
    </row>
    <row r="148">
      <c r="A148" s="4" t="s">
        <v>1524</v>
      </c>
    </row>
    <row r="149">
      <c r="A149" s="4" t="s">
        <v>109</v>
      </c>
    </row>
    <row r="150">
      <c r="A150" s="4" t="s">
        <v>9947</v>
      </c>
    </row>
    <row r="151">
      <c r="A151" s="4" t="s">
        <v>9948</v>
      </c>
    </row>
    <row r="152">
      <c r="A152" s="4" t="s">
        <v>48</v>
      </c>
    </row>
    <row r="153">
      <c r="A153" s="4" t="s">
        <v>9949</v>
      </c>
    </row>
    <row r="154">
      <c r="A154" s="4" t="s">
        <v>33</v>
      </c>
    </row>
    <row r="155">
      <c r="A155" s="4" t="s">
        <v>131</v>
      </c>
    </row>
    <row r="156">
      <c r="A156" s="4" t="s">
        <v>869</v>
      </c>
    </row>
    <row r="157">
      <c r="A157" s="4" t="s">
        <v>39</v>
      </c>
    </row>
    <row r="158">
      <c r="A158" s="4" t="s">
        <v>40</v>
      </c>
    </row>
    <row r="159">
      <c r="A159" s="4" t="s">
        <v>51</v>
      </c>
    </row>
    <row r="160">
      <c r="A160" s="4" t="s">
        <v>946</v>
      </c>
    </row>
    <row r="161">
      <c r="A161" s="4" t="s">
        <v>553</v>
      </c>
    </row>
    <row r="162">
      <c r="A162" s="4" t="s">
        <v>9950</v>
      </c>
    </row>
    <row r="163">
      <c r="A163" s="4" t="s">
        <v>119</v>
      </c>
    </row>
    <row r="164">
      <c r="A164" s="4" t="s">
        <v>978</v>
      </c>
    </row>
    <row r="165">
      <c r="A165" s="4" t="s">
        <v>115</v>
      </c>
    </row>
    <row r="166">
      <c r="A166" s="4" t="s">
        <v>979</v>
      </c>
    </row>
    <row r="167">
      <c r="A167" s="4" t="s">
        <v>9951</v>
      </c>
    </row>
    <row r="168">
      <c r="A168" s="4" t="s">
        <v>90</v>
      </c>
    </row>
    <row r="169">
      <c r="A169" s="4" t="s">
        <v>33</v>
      </c>
    </row>
    <row r="170">
      <c r="A170" s="4" t="s">
        <v>946</v>
      </c>
    </row>
    <row r="171">
      <c r="A171" s="4" t="s">
        <v>41</v>
      </c>
    </row>
    <row r="172">
      <c r="A172" s="4" t="s">
        <v>1656</v>
      </c>
    </row>
    <row r="173">
      <c r="A173" s="4" t="s">
        <v>509</v>
      </c>
    </row>
    <row r="174">
      <c r="A174" s="4" t="s">
        <v>92</v>
      </c>
    </row>
    <row r="175">
      <c r="A175" s="4" t="s">
        <v>122</v>
      </c>
    </row>
    <row r="176">
      <c r="A176" s="4" t="s">
        <v>537</v>
      </c>
    </row>
    <row r="177">
      <c r="A177" s="4" t="s">
        <v>873</v>
      </c>
    </row>
    <row r="178">
      <c r="A178" s="4" t="s">
        <v>887</v>
      </c>
    </row>
    <row r="179">
      <c r="A179" s="4" t="s">
        <v>9952</v>
      </c>
    </row>
    <row r="180">
      <c r="A180" s="4" t="s">
        <v>509</v>
      </c>
    </row>
    <row r="181">
      <c r="A181" s="4" t="s">
        <v>92</v>
      </c>
    </row>
    <row r="182">
      <c r="A182" s="4" t="s">
        <v>122</v>
      </c>
    </row>
    <row r="183">
      <c r="A183" s="4" t="s">
        <v>33</v>
      </c>
    </row>
    <row r="184">
      <c r="A184" s="4" t="s">
        <v>880</v>
      </c>
    </row>
    <row r="185">
      <c r="A185" s="4" t="s">
        <v>44</v>
      </c>
    </row>
    <row r="186">
      <c r="A186" s="4" t="s">
        <v>92</v>
      </c>
    </row>
    <row r="187">
      <c r="A187" s="4" t="s">
        <v>98</v>
      </c>
    </row>
    <row r="188">
      <c r="A188" s="4" t="s">
        <v>9953</v>
      </c>
    </row>
    <row r="189">
      <c r="A189" s="4" t="s">
        <v>9954</v>
      </c>
    </row>
    <row r="190">
      <c r="A190" s="4" t="s">
        <v>46</v>
      </c>
    </row>
    <row r="191">
      <c r="A191" s="4" t="s">
        <v>553</v>
      </c>
    </row>
    <row r="192">
      <c r="A192" s="4" t="s">
        <v>866</v>
      </c>
    </row>
    <row r="193">
      <c r="A193" s="4" t="s">
        <v>41</v>
      </c>
    </row>
    <row r="194">
      <c r="A194" s="4" t="s">
        <v>867</v>
      </c>
    </row>
    <row r="195">
      <c r="A195" s="4" t="s">
        <v>929</v>
      </c>
    </row>
    <row r="196">
      <c r="A196" s="4" t="s">
        <v>40</v>
      </c>
    </row>
    <row r="197">
      <c r="A197" s="4" t="s">
        <v>147</v>
      </c>
    </row>
    <row r="198">
      <c r="A198" s="4" t="s">
        <v>8047</v>
      </c>
    </row>
    <row r="199">
      <c r="A199" s="4" t="s">
        <v>1391</v>
      </c>
    </row>
    <row r="200">
      <c r="A200" s="4" t="s">
        <v>553</v>
      </c>
    </row>
    <row r="201">
      <c r="A201" s="4" t="s">
        <v>891</v>
      </c>
    </row>
    <row r="202">
      <c r="A202" s="4" t="s">
        <v>88</v>
      </c>
    </row>
    <row r="203">
      <c r="A203" s="4" t="s">
        <v>40</v>
      </c>
    </row>
    <row r="204">
      <c r="A204" s="4" t="s">
        <v>75</v>
      </c>
    </row>
    <row r="205">
      <c r="A205" s="4" t="s">
        <v>877</v>
      </c>
    </row>
    <row r="206">
      <c r="A206" s="4" t="s">
        <v>119</v>
      </c>
    </row>
    <row r="207">
      <c r="A207" s="4" t="s">
        <v>878</v>
      </c>
    </row>
    <row r="208">
      <c r="A208" s="4" t="s">
        <v>923</v>
      </c>
    </row>
    <row r="209">
      <c r="A209" s="4" t="s">
        <v>33</v>
      </c>
    </row>
    <row r="210">
      <c r="A210" s="4" t="s">
        <v>529</v>
      </c>
    </row>
    <row r="211">
      <c r="A211" s="4" t="s">
        <v>36</v>
      </c>
    </row>
    <row r="212">
      <c r="A212" s="4" t="s">
        <v>876</v>
      </c>
    </row>
    <row r="213">
      <c r="A213" s="4" t="s">
        <v>33</v>
      </c>
    </row>
    <row r="214">
      <c r="A214" s="4" t="s">
        <v>908</v>
      </c>
    </row>
    <row r="215">
      <c r="A215" s="4" t="s">
        <v>909</v>
      </c>
    </row>
    <row r="216">
      <c r="A216" s="4" t="s">
        <v>48</v>
      </c>
    </row>
    <row r="217">
      <c r="A217" s="4" t="s">
        <v>88</v>
      </c>
    </row>
    <row r="218">
      <c r="A218" s="4" t="s">
        <v>40</v>
      </c>
    </row>
    <row r="219">
      <c r="A219" s="4" t="s">
        <v>75</v>
      </c>
    </row>
    <row r="220">
      <c r="A220" s="4" t="s">
        <v>553</v>
      </c>
    </row>
    <row r="221">
      <c r="A221" s="4" t="s">
        <v>3005</v>
      </c>
    </row>
    <row r="222">
      <c r="A222" s="4" t="s">
        <v>44</v>
      </c>
    </row>
    <row r="223">
      <c r="A223" s="4" t="s">
        <v>9955</v>
      </c>
    </row>
    <row r="224">
      <c r="A224" s="4" t="s">
        <v>513</v>
      </c>
    </row>
    <row r="225">
      <c r="A225" s="4" t="s">
        <v>543</v>
      </c>
    </row>
    <row r="226">
      <c r="A226" s="4" t="s">
        <v>41</v>
      </c>
    </row>
    <row r="227">
      <c r="A227" s="4" t="s">
        <v>518</v>
      </c>
    </row>
    <row r="228">
      <c r="A228" s="4" t="s">
        <v>978</v>
      </c>
    </row>
    <row r="229">
      <c r="A229" s="4" t="s">
        <v>544</v>
      </c>
    </row>
    <row r="230">
      <c r="A230" s="4" t="s">
        <v>33</v>
      </c>
    </row>
    <row r="231">
      <c r="A231" s="4" t="s">
        <v>131</v>
      </c>
    </row>
    <row r="232">
      <c r="A232" s="4" t="s">
        <v>869</v>
      </c>
    </row>
    <row r="233">
      <c r="A233" s="4" t="s">
        <v>39</v>
      </c>
    </row>
    <row r="234">
      <c r="A234" s="4" t="s">
        <v>159</v>
      </c>
    </row>
    <row r="235">
      <c r="A235" s="4" t="s">
        <v>553</v>
      </c>
    </row>
    <row r="236">
      <c r="A236" s="4" t="s">
        <v>925</v>
      </c>
    </row>
    <row r="237">
      <c r="A237" s="4" t="s">
        <v>525</v>
      </c>
    </row>
    <row r="238">
      <c r="A238" s="4" t="s">
        <v>895</v>
      </c>
    </row>
    <row r="239">
      <c r="A239" s="4" t="s">
        <v>109</v>
      </c>
    </row>
    <row r="240">
      <c r="A240" s="4" t="s">
        <v>35</v>
      </c>
    </row>
    <row r="241">
      <c r="A241" s="4" t="s">
        <v>119</v>
      </c>
    </row>
    <row r="242">
      <c r="A242" s="4" t="s">
        <v>1505</v>
      </c>
    </row>
    <row r="243">
      <c r="A243" s="4" t="s">
        <v>109</v>
      </c>
    </row>
    <row r="244">
      <c r="A244" s="4" t="s">
        <v>968</v>
      </c>
    </row>
    <row r="245">
      <c r="A245" s="4" t="s">
        <v>110</v>
      </c>
    </row>
    <row r="246">
      <c r="A246" s="4" t="s">
        <v>33</v>
      </c>
    </row>
    <row r="247">
      <c r="A247" s="4" t="s">
        <v>44</v>
      </c>
    </row>
    <row r="248">
      <c r="A248" s="4" t="s">
        <v>119</v>
      </c>
    </row>
    <row r="249">
      <c r="A249" s="4" t="s">
        <v>62</v>
      </c>
    </row>
    <row r="250">
      <c r="A250" s="4" t="s">
        <v>166</v>
      </c>
    </row>
    <row r="251">
      <c r="A251" s="4" t="s">
        <v>36</v>
      </c>
    </row>
    <row r="252">
      <c r="A252" s="4" t="s">
        <v>105</v>
      </c>
    </row>
    <row r="253">
      <c r="A253" s="4" t="s">
        <v>88</v>
      </c>
    </row>
    <row r="254">
      <c r="A254" s="4" t="s">
        <v>40</v>
      </c>
    </row>
    <row r="255">
      <c r="A255" s="4" t="s">
        <v>75</v>
      </c>
    </row>
    <row r="256">
      <c r="A256" s="4" t="s">
        <v>877</v>
      </c>
    </row>
    <row r="257">
      <c r="A257" s="4" t="s">
        <v>109</v>
      </c>
    </row>
    <row r="258">
      <c r="A258" s="4" t="s">
        <v>110</v>
      </c>
    </row>
    <row r="259">
      <c r="A259" s="4" t="s">
        <v>115</v>
      </c>
    </row>
    <row r="260">
      <c r="A260" s="4" t="s">
        <v>873</v>
      </c>
    </row>
    <row r="261">
      <c r="A261" s="4" t="s">
        <v>51</v>
      </c>
    </row>
    <row r="262">
      <c r="A262" s="4" t="s">
        <v>3003</v>
      </c>
    </row>
    <row r="263">
      <c r="A263" s="4" t="s">
        <v>107</v>
      </c>
    </row>
    <row r="264">
      <c r="A264" s="4" t="s">
        <v>41</v>
      </c>
    </row>
    <row r="265">
      <c r="A265" s="4" t="s">
        <v>42</v>
      </c>
    </row>
    <row r="266">
      <c r="A266" s="4" t="s">
        <v>48</v>
      </c>
    </row>
    <row r="267">
      <c r="A267" s="4" t="s">
        <v>40</v>
      </c>
    </row>
    <row r="268">
      <c r="A268" s="4" t="s">
        <v>9956</v>
      </c>
    </row>
    <row r="269">
      <c r="A269" s="4" t="s">
        <v>33</v>
      </c>
    </row>
    <row r="270">
      <c r="A270" s="4" t="s">
        <v>3003</v>
      </c>
    </row>
    <row r="271">
      <c r="A271" s="4" t="s">
        <v>115</v>
      </c>
    </row>
    <row r="272">
      <c r="A272" s="4" t="s">
        <v>940</v>
      </c>
    </row>
    <row r="273">
      <c r="A273" s="4" t="s">
        <v>74</v>
      </c>
    </row>
    <row r="274">
      <c r="A274" s="4" t="s">
        <v>8021</v>
      </c>
    </row>
    <row r="275">
      <c r="A275" s="4" t="s">
        <v>90</v>
      </c>
    </row>
    <row r="276">
      <c r="A276" s="4" t="s">
        <v>33</v>
      </c>
    </row>
    <row r="277">
      <c r="A277" s="4" t="s">
        <v>887</v>
      </c>
    </row>
    <row r="278">
      <c r="A278" s="4" t="s">
        <v>9952</v>
      </c>
    </row>
    <row r="279">
      <c r="A279" s="4" t="s">
        <v>115</v>
      </c>
    </row>
    <row r="280">
      <c r="A280" s="4" t="s">
        <v>116</v>
      </c>
    </row>
    <row r="281">
      <c r="A281" s="4" t="s">
        <v>3678</v>
      </c>
    </row>
    <row r="282">
      <c r="A282" s="4" t="s">
        <v>9957</v>
      </c>
    </row>
    <row r="283">
      <c r="A283" s="4" t="s">
        <v>9958</v>
      </c>
    </row>
    <row r="284">
      <c r="A284" s="4" t="s">
        <v>537</v>
      </c>
    </row>
    <row r="285">
      <c r="A285" s="4" t="s">
        <v>130</v>
      </c>
    </row>
    <row r="286">
      <c r="A286" s="4" t="s">
        <v>44</v>
      </c>
    </row>
    <row r="287">
      <c r="A287" s="4" t="s">
        <v>62</v>
      </c>
    </row>
    <row r="288">
      <c r="A288" s="4" t="s">
        <v>64</v>
      </c>
    </row>
    <row r="289">
      <c r="A289" s="4" t="s">
        <v>1362</v>
      </c>
    </row>
    <row r="290">
      <c r="A290" s="4" t="s">
        <v>33</v>
      </c>
    </row>
    <row r="291">
      <c r="A291" s="4" t="s">
        <v>131</v>
      </c>
    </row>
    <row r="292">
      <c r="A292" s="4" t="s">
        <v>869</v>
      </c>
    </row>
    <row r="293">
      <c r="A293" s="4" t="s">
        <v>115</v>
      </c>
    </row>
    <row r="294">
      <c r="A294" s="4" t="s">
        <v>140</v>
      </c>
    </row>
    <row r="295">
      <c r="A295" s="4" t="s">
        <v>9959</v>
      </c>
    </row>
    <row r="296">
      <c r="A296" s="4" t="s">
        <v>3269</v>
      </c>
    </row>
    <row r="297">
      <c r="A297" s="4" t="s">
        <v>53</v>
      </c>
    </row>
    <row r="298">
      <c r="A298" s="4" t="s">
        <v>115</v>
      </c>
    </row>
    <row r="299">
      <c r="A299" s="4" t="s">
        <v>92</v>
      </c>
    </row>
    <row r="300">
      <c r="A300" s="4" t="s">
        <v>93</v>
      </c>
    </row>
    <row r="301">
      <c r="A301" s="4" t="s">
        <v>33</v>
      </c>
    </row>
    <row r="302">
      <c r="A302" s="4" t="s">
        <v>887</v>
      </c>
    </row>
    <row r="303">
      <c r="A303" s="4" t="s">
        <v>9952</v>
      </c>
    </row>
    <row r="304">
      <c r="A304" s="4" t="s">
        <v>9939</v>
      </c>
    </row>
    <row r="305">
      <c r="A305" s="4" t="s">
        <v>92</v>
      </c>
    </row>
    <row r="306">
      <c r="A306" s="4" t="s">
        <v>9960</v>
      </c>
    </row>
    <row r="307">
      <c r="A307" s="4" t="s">
        <v>9961</v>
      </c>
    </row>
    <row r="308">
      <c r="A308" s="4" t="s">
        <v>119</v>
      </c>
    </row>
    <row r="309">
      <c r="A309" s="4" t="s">
        <v>535</v>
      </c>
    </row>
    <row r="310">
      <c r="A310" s="4" t="s">
        <v>9391</v>
      </c>
    </row>
    <row r="311">
      <c r="A311" s="4" t="s">
        <v>9962</v>
      </c>
    </row>
    <row r="312">
      <c r="A312" s="4" t="s">
        <v>33</v>
      </c>
    </row>
    <row r="313">
      <c r="A313" s="4" t="s">
        <v>34</v>
      </c>
    </row>
    <row r="314">
      <c r="A314" s="4" t="s">
        <v>90</v>
      </c>
    </row>
    <row r="315">
      <c r="A315" s="4" t="s">
        <v>44</v>
      </c>
    </row>
    <row r="316">
      <c r="A316" s="4" t="s">
        <v>513</v>
      </c>
    </row>
    <row r="317">
      <c r="A317" s="4" t="s">
        <v>2614</v>
      </c>
    </row>
    <row r="318">
      <c r="A318" s="4" t="s">
        <v>9963</v>
      </c>
    </row>
    <row r="319">
      <c r="A319" s="4" t="s">
        <v>68</v>
      </c>
    </row>
    <row r="320">
      <c r="A320" s="4" t="s">
        <v>518</v>
      </c>
    </row>
    <row r="321">
      <c r="A321" s="4" t="s">
        <v>553</v>
      </c>
    </row>
    <row r="322">
      <c r="A322" s="4" t="s">
        <v>891</v>
      </c>
    </row>
    <row r="323">
      <c r="A323" s="4" t="s">
        <v>88</v>
      </c>
    </row>
    <row r="324">
      <c r="A324" s="4" t="s">
        <v>89</v>
      </c>
    </row>
    <row r="325">
      <c r="A325" s="4" t="s">
        <v>877</v>
      </c>
    </row>
    <row r="326">
      <c r="A326" s="4" t="s">
        <v>109</v>
      </c>
    </row>
    <row r="327">
      <c r="A327" s="4" t="s">
        <v>110</v>
      </c>
    </row>
    <row r="328">
      <c r="A328" s="4" t="s">
        <v>33</v>
      </c>
    </row>
    <row r="329">
      <c r="A329" s="4" t="s">
        <v>108</v>
      </c>
    </row>
    <row r="330">
      <c r="A330" s="4" t="s">
        <v>115</v>
      </c>
    </row>
    <row r="331">
      <c r="A331" s="4" t="s">
        <v>978</v>
      </c>
    </row>
    <row r="332">
      <c r="A332" s="4" t="s">
        <v>88</v>
      </c>
    </row>
    <row r="333">
      <c r="A333" s="4" t="s">
        <v>40</v>
      </c>
    </row>
    <row r="334">
      <c r="A334" s="4" t="s">
        <v>75</v>
      </c>
    </row>
    <row r="335">
      <c r="A335" s="4" t="s">
        <v>33</v>
      </c>
    </row>
    <row r="336">
      <c r="A336" s="4" t="s">
        <v>9964</v>
      </c>
    </row>
    <row r="337">
      <c r="A337" s="4" t="s">
        <v>75</v>
      </c>
    </row>
    <row r="338">
      <c r="A338" s="4" t="s">
        <v>128</v>
      </c>
    </row>
    <row r="339">
      <c r="A339" s="4" t="s">
        <v>5414</v>
      </c>
    </row>
    <row r="340">
      <c r="A340" s="4" t="s">
        <v>129</v>
      </c>
    </row>
    <row r="341">
      <c r="A341" s="4" t="s">
        <v>109</v>
      </c>
    </row>
    <row r="342">
      <c r="A342" s="4" t="s">
        <v>973</v>
      </c>
    </row>
    <row r="343">
      <c r="A343" s="4" t="s">
        <v>109</v>
      </c>
    </row>
    <row r="344">
      <c r="A344" s="4" t="s">
        <v>9965</v>
      </c>
    </row>
    <row r="345">
      <c r="A345" s="4" t="s">
        <v>9966</v>
      </c>
    </row>
    <row r="346">
      <c r="A346" s="4" t="s">
        <v>873</v>
      </c>
    </row>
    <row r="347">
      <c r="A347" s="4" t="s">
        <v>3795</v>
      </c>
    </row>
    <row r="348">
      <c r="A348" s="4" t="s">
        <v>44</v>
      </c>
    </row>
    <row r="349">
      <c r="A349" s="4" t="s">
        <v>9941</v>
      </c>
    </row>
    <row r="350">
      <c r="A350" s="4" t="s">
        <v>48</v>
      </c>
    </row>
    <row r="351">
      <c r="A351" s="4" t="s">
        <v>9967</v>
      </c>
    </row>
    <row r="352">
      <c r="A352" s="4" t="s">
        <v>33</v>
      </c>
    </row>
    <row r="353">
      <c r="A353" s="4" t="s">
        <v>119</v>
      </c>
    </row>
    <row r="354">
      <c r="A354" s="4" t="s">
        <v>164</v>
      </c>
    </row>
    <row r="355">
      <c r="A355" s="4" t="s">
        <v>9968</v>
      </c>
    </row>
    <row r="356">
      <c r="A356" s="4" t="s">
        <v>109</v>
      </c>
    </row>
    <row r="357">
      <c r="A357" s="4" t="s">
        <v>110</v>
      </c>
    </row>
    <row r="358">
      <c r="A358" s="4" t="s">
        <v>111</v>
      </c>
    </row>
    <row r="359">
      <c r="A359" s="4" t="s">
        <v>88</v>
      </c>
    </row>
    <row r="360">
      <c r="A360" s="4" t="s">
        <v>40</v>
      </c>
    </row>
    <row r="361">
      <c r="A361" s="4" t="s">
        <v>75</v>
      </c>
    </row>
    <row r="362">
      <c r="A362" s="4" t="s">
        <v>33</v>
      </c>
    </row>
    <row r="363">
      <c r="A363" s="4" t="s">
        <v>540</v>
      </c>
    </row>
    <row r="364">
      <c r="A364" s="4" t="s">
        <v>39</v>
      </c>
    </row>
    <row r="365">
      <c r="A365" s="4" t="s">
        <v>40</v>
      </c>
    </row>
    <row r="366">
      <c r="A366" s="4" t="s">
        <v>51</v>
      </c>
    </row>
    <row r="367">
      <c r="A367" s="4" t="s">
        <v>946</v>
      </c>
    </row>
    <row r="368">
      <c r="A368" s="4" t="s">
        <v>33</v>
      </c>
    </row>
    <row r="369">
      <c r="A369" s="4" t="s">
        <v>3795</v>
      </c>
    </row>
    <row r="370">
      <c r="A370" s="4" t="s">
        <v>39</v>
      </c>
    </row>
    <row r="371">
      <c r="A371" s="4" t="s">
        <v>159</v>
      </c>
    </row>
    <row r="372">
      <c r="A372" s="4" t="s">
        <v>933</v>
      </c>
    </row>
    <row r="373">
      <c r="A373" s="4" t="s">
        <v>946</v>
      </c>
    </row>
    <row r="374">
      <c r="A374" s="4" t="s">
        <v>33</v>
      </c>
    </row>
    <row r="375">
      <c r="A375" s="4" t="s">
        <v>119</v>
      </c>
    </row>
    <row r="376">
      <c r="A376" s="4" t="s">
        <v>109</v>
      </c>
    </row>
    <row r="377">
      <c r="A377" s="4" t="s">
        <v>110</v>
      </c>
    </row>
    <row r="378">
      <c r="A378" s="4" t="s">
        <v>1504</v>
      </c>
    </row>
    <row r="379">
      <c r="A379" s="4" t="s">
        <v>40</v>
      </c>
    </row>
    <row r="380">
      <c r="A380" s="4" t="s">
        <v>520</v>
      </c>
    </row>
    <row r="381">
      <c r="A381" s="4" t="s">
        <v>569</v>
      </c>
    </row>
    <row r="382">
      <c r="A382" s="4" t="s">
        <v>553</v>
      </c>
    </row>
    <row r="383">
      <c r="A383" s="4" t="s">
        <v>3019</v>
      </c>
    </row>
    <row r="384">
      <c r="A384" s="4" t="s">
        <v>41</v>
      </c>
    </row>
    <row r="385">
      <c r="A385" s="4" t="s">
        <v>867</v>
      </c>
    </row>
    <row r="386">
      <c r="A386" s="4" t="s">
        <v>9969</v>
      </c>
    </row>
    <row r="387">
      <c r="A387" s="4" t="s">
        <v>5414</v>
      </c>
    </row>
    <row r="388">
      <c r="A388" s="4" t="s">
        <v>44</v>
      </c>
    </row>
    <row r="389">
      <c r="A389" s="4" t="s">
        <v>3291</v>
      </c>
    </row>
    <row r="390">
      <c r="A390" s="4" t="s">
        <v>160</v>
      </c>
    </row>
    <row r="391">
      <c r="A391" s="4" t="s">
        <v>527</v>
      </c>
    </row>
    <row r="392">
      <c r="A392" s="4" t="s">
        <v>553</v>
      </c>
    </row>
    <row r="393">
      <c r="A393" s="4" t="s">
        <v>9970</v>
      </c>
    </row>
    <row r="394">
      <c r="A394" s="4" t="s">
        <v>3830</v>
      </c>
    </row>
    <row r="395">
      <c r="A395" s="4" t="s">
        <v>88</v>
      </c>
    </row>
    <row r="396">
      <c r="A396" s="4" t="s">
        <v>40</v>
      </c>
    </row>
    <row r="397">
      <c r="A397" s="4" t="s">
        <v>75</v>
      </c>
    </row>
    <row r="398">
      <c r="A398" s="4" t="s">
        <v>48</v>
      </c>
    </row>
    <row r="399">
      <c r="A399" s="4" t="s">
        <v>3265</v>
      </c>
    </row>
    <row r="400">
      <c r="A400" s="4" t="s">
        <v>5423</v>
      </c>
    </row>
    <row r="401">
      <c r="A401" s="4" t="s">
        <v>115</v>
      </c>
    </row>
    <row r="402">
      <c r="A402" s="4" t="s">
        <v>5467</v>
      </c>
    </row>
    <row r="403">
      <c r="A403" s="4" t="s">
        <v>33</v>
      </c>
    </row>
    <row r="404">
      <c r="A404" s="4" t="s">
        <v>946</v>
      </c>
    </row>
    <row r="405">
      <c r="A405" s="4" t="s">
        <v>41</v>
      </c>
    </row>
    <row r="406">
      <c r="A406" s="4" t="s">
        <v>9971</v>
      </c>
    </row>
    <row r="407">
      <c r="A407" s="4" t="s">
        <v>88</v>
      </c>
    </row>
    <row r="408">
      <c r="A408" s="4" t="s">
        <v>871</v>
      </c>
    </row>
    <row r="409">
      <c r="A409" s="4" t="s">
        <v>3278</v>
      </c>
    </row>
    <row r="410">
      <c r="A410" s="4" t="s">
        <v>877</v>
      </c>
    </row>
    <row r="411">
      <c r="A411" s="4" t="s">
        <v>119</v>
      </c>
    </row>
    <row r="412">
      <c r="A412" s="4" t="s">
        <v>923</v>
      </c>
    </row>
    <row r="413">
      <c r="A413" s="4" t="s">
        <v>126</v>
      </c>
    </row>
    <row r="414">
      <c r="A414" s="4" t="s">
        <v>93</v>
      </c>
    </row>
    <row r="415">
      <c r="A415" s="4" t="s">
        <v>961</v>
      </c>
    </row>
    <row r="416">
      <c r="A416" s="4" t="s">
        <v>33</v>
      </c>
    </row>
    <row r="417">
      <c r="A417" s="4" t="s">
        <v>946</v>
      </c>
    </row>
    <row r="418">
      <c r="A418" s="4" t="s">
        <v>51</v>
      </c>
    </row>
    <row r="419">
      <c r="A419" s="4" t="s">
        <v>108</v>
      </c>
    </row>
    <row r="420">
      <c r="A420" s="4" t="s">
        <v>107</v>
      </c>
    </row>
    <row r="421">
      <c r="A421" s="4" t="s">
        <v>41</v>
      </c>
    </row>
    <row r="422">
      <c r="A422" s="4" t="s">
        <v>892</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175</v>
      </c>
      <c r="D2" s="4" t="str">
        <f t="shared" ref="D2:D399" si="1">C2</f>
        <v>{"valorA":"ótimo","valorB":1.0}</v>
      </c>
      <c r="E2" s="8" t="str">
        <f t="shared" ref="E2:E399" si="2">SUBSTITUTE(MID(C2,FIND(":",C2)+1,FIND(",",C2)-FIND(":",C2)-1),"""","")</f>
        <v>ótimo</v>
      </c>
      <c r="F2" s="8" t="str">
        <f>IFERROR(__xludf.DUMMYFUNCTION("UNIQUE(E2:E399)"),"ótimo")</f>
        <v>ótimo</v>
      </c>
      <c r="G2" s="8" t="str">
        <f t="shared" ref="G2:G399" si="3">MID(C2,FIND("valorB",C2)+8,FIND("}",C2)-FIND("valorB",C2)-8)</f>
        <v>1.0</v>
      </c>
      <c r="H2" s="9">
        <f t="shared" ref="H2:H399" si="4">VALUE(SUBSTITUTE(G2,".",","))</f>
        <v>1</v>
      </c>
      <c r="I2" s="10">
        <f>IFERROR(__xludf.DUMMYFUNCTION("MAX(FILTER($H:$H,$E:$E=F2))"),35.0)</f>
        <v>35</v>
      </c>
    </row>
    <row r="3">
      <c r="A3" s="4"/>
      <c r="C3" s="4" t="s">
        <v>1165</v>
      </c>
      <c r="D3" s="4" t="str">
        <f t="shared" si="1"/>
        <v>{"valorA":"coment","valorB":2.0}</v>
      </c>
      <c r="E3" s="8" t="str">
        <f t="shared" si="2"/>
        <v>coment</v>
      </c>
      <c r="F3" s="8" t="str">
        <f>IFERROR(__xludf.DUMMYFUNCTION("""COMPUTED_VALUE"""),"coment")</f>
        <v>coment</v>
      </c>
      <c r="G3" s="8" t="str">
        <f t="shared" si="3"/>
        <v>2.0</v>
      </c>
      <c r="H3" s="9">
        <f t="shared" si="4"/>
        <v>2</v>
      </c>
      <c r="I3" s="10">
        <f>IFERROR(__xludf.DUMMYFUNCTION("MAX(FILTER($H:$H,$E:$E=F3))"),3.0)</f>
        <v>3</v>
      </c>
    </row>
    <row r="4">
      <c r="A4" s="4"/>
      <c r="C4" s="4" t="s">
        <v>5474</v>
      </c>
      <c r="D4" s="4" t="str">
        <f t="shared" si="1"/>
        <v>{"valorA":"jogos","valorB":1.0}</v>
      </c>
      <c r="E4" s="8" t="str">
        <f t="shared" si="2"/>
        <v>jogos</v>
      </c>
      <c r="F4" s="8" t="str">
        <f>IFERROR(__xludf.DUMMYFUNCTION("""COMPUTED_VALUE"""),"jogos")</f>
        <v>jogos</v>
      </c>
      <c r="G4" s="8" t="str">
        <f t="shared" si="3"/>
        <v>1.0</v>
      </c>
      <c r="H4" s="9">
        <f t="shared" si="4"/>
        <v>1</v>
      </c>
      <c r="I4" s="10">
        <f>IFERROR(__xludf.DUMMYFUNCTION("MAX(FILTER($H:$H,$E:$E=F4))"),1.0)</f>
        <v>1</v>
      </c>
    </row>
    <row r="5">
      <c r="A5" s="4"/>
      <c r="C5" s="4" t="s">
        <v>1044</v>
      </c>
      <c r="D5" s="4" t="str">
        <f t="shared" si="1"/>
        <v>{"valorA":"muita","valorB":1.0}</v>
      </c>
      <c r="E5" s="8" t="str">
        <f t="shared" si="2"/>
        <v>muita</v>
      </c>
      <c r="F5" s="8" t="str">
        <f>IFERROR(__xludf.DUMMYFUNCTION("""COMPUTED_VALUE"""),"muita")</f>
        <v>muita</v>
      </c>
      <c r="G5" s="8" t="str">
        <f t="shared" si="3"/>
        <v>1.0</v>
      </c>
      <c r="H5" s="9">
        <f t="shared" si="4"/>
        <v>1</v>
      </c>
      <c r="I5" s="10">
        <f>IFERROR(__xludf.DUMMYFUNCTION("MAX(FILTER($H:$H,$E:$E=F5))"),1.0)</f>
        <v>1</v>
      </c>
    </row>
    <row r="6">
      <c r="A6" s="4"/>
      <c r="C6" s="4" t="s">
        <v>613</v>
      </c>
      <c r="D6" s="4" t="str">
        <f t="shared" si="1"/>
        <v>{"valorA":"para","valorB":2.0}</v>
      </c>
      <c r="E6" s="8" t="str">
        <f t="shared" si="2"/>
        <v>para</v>
      </c>
      <c r="F6" s="8" t="str">
        <f>IFERROR(__xludf.DUMMYFUNCTION("""COMPUTED_VALUE"""),"para")</f>
        <v>para</v>
      </c>
      <c r="G6" s="8" t="str">
        <f t="shared" si="3"/>
        <v>2.0</v>
      </c>
      <c r="H6" s="9">
        <f t="shared" si="4"/>
        <v>2</v>
      </c>
      <c r="I6" s="10">
        <f>IFERROR(__xludf.DUMMYFUNCTION("MAX(FILTER($H:$H,$E:$E=F6))"),14.0)</f>
        <v>14</v>
      </c>
    </row>
    <row r="7">
      <c r="A7" s="4"/>
      <c r="C7" s="4" t="s">
        <v>1081</v>
      </c>
      <c r="D7" s="4" t="str">
        <f t="shared" si="1"/>
        <v>{"valorA":"computador","valorB":1.0}</v>
      </c>
      <c r="E7" s="8" t="str">
        <f t="shared" si="2"/>
        <v>computador</v>
      </c>
      <c r="F7" s="8" t="str">
        <f>IFERROR(__xludf.DUMMYFUNCTION("""COMPUTED_VALUE"""),"computador")</f>
        <v>computador</v>
      </c>
      <c r="G7" s="8" t="str">
        <f t="shared" si="3"/>
        <v>1.0</v>
      </c>
      <c r="H7" s="9">
        <f t="shared" si="4"/>
        <v>1</v>
      </c>
      <c r="I7" s="10">
        <f>IFERROR(__xludf.DUMMYFUNCTION("MAX(FILTER($H:$H,$E:$E=F7))"),1.0)</f>
        <v>1</v>
      </c>
    </row>
    <row r="8">
      <c r="A8" s="4"/>
      <c r="C8" s="4" t="s">
        <v>291</v>
      </c>
      <c r="D8" s="4" t="str">
        <f t="shared" si="1"/>
        <v>{"valorA":"comprei","valorB":1.0}</v>
      </c>
      <c r="E8" s="8" t="str">
        <f t="shared" si="2"/>
        <v>comprei</v>
      </c>
      <c r="F8" s="8" t="str">
        <f>IFERROR(__xludf.DUMMYFUNCTION("""COMPUTED_VALUE"""),"comprei")</f>
        <v>comprei</v>
      </c>
      <c r="G8" s="8" t="str">
        <f t="shared" si="3"/>
        <v>1.0</v>
      </c>
      <c r="H8" s="9">
        <f t="shared" si="4"/>
        <v>1</v>
      </c>
      <c r="I8" s="10">
        <f>IFERROR(__xludf.DUMMYFUNCTION("MAX(FILTER($H:$H,$E:$E=F8))"),7.0)</f>
        <v>7</v>
      </c>
    </row>
    <row r="9">
      <c r="A9" s="4"/>
      <c r="C9" s="4" t="s">
        <v>290</v>
      </c>
      <c r="D9" s="4" t="str">
        <f t="shared" si="1"/>
        <v>{"valorA":"com","valorB":1.0}</v>
      </c>
      <c r="E9" s="8" t="str">
        <f t="shared" si="2"/>
        <v>com</v>
      </c>
      <c r="F9" s="8" t="str">
        <f>IFERROR(__xludf.DUMMYFUNCTION("""COMPUTED_VALUE"""),"com")</f>
        <v>com</v>
      </c>
      <c r="G9" s="8" t="str">
        <f t="shared" si="3"/>
        <v>1.0</v>
      </c>
      <c r="H9" s="9">
        <f t="shared" si="4"/>
        <v>1</v>
      </c>
      <c r="I9" s="10">
        <f>IFERROR(__xludf.DUMMYFUNCTION("MAX(FILTER($H:$H,$E:$E=F9))"),11.0)</f>
        <v>11</v>
      </c>
    </row>
    <row r="10">
      <c r="A10" s="4"/>
      <c r="C10" s="4" t="s">
        <v>750</v>
      </c>
      <c r="D10" s="4" t="str">
        <f t="shared" si="1"/>
        <v>{"valorA":"ótima","valorB":1.0}</v>
      </c>
      <c r="E10" s="8" t="str">
        <f t="shared" si="2"/>
        <v>ótima</v>
      </c>
      <c r="F10" s="8" t="str">
        <f>IFERROR(__xludf.DUMMYFUNCTION("""COMPUTED_VALUE"""),"ótima")</f>
        <v>ótima</v>
      </c>
      <c r="G10" s="8" t="str">
        <f t="shared" si="3"/>
        <v>1.0</v>
      </c>
      <c r="H10" s="9">
        <f t="shared" si="4"/>
        <v>1</v>
      </c>
      <c r="I10" s="10">
        <f>IFERROR(__xludf.DUMMYFUNCTION("MAX(FILTER($H:$H,$E:$E=F10))"),10.0)</f>
        <v>10</v>
      </c>
    </row>
    <row r="11">
      <c r="A11" s="4"/>
      <c r="C11" s="4" t="s">
        <v>220</v>
      </c>
      <c r="D11" s="4" t="str">
        <f t="shared" si="1"/>
        <v>{"valorA":"bem","valorB":1.0}</v>
      </c>
      <c r="E11" s="8" t="str">
        <f t="shared" si="2"/>
        <v>bem</v>
      </c>
      <c r="F11" s="8" t="str">
        <f>IFERROR(__xludf.DUMMYFUNCTION("""COMPUTED_VALUE"""),"bem")</f>
        <v>bem</v>
      </c>
      <c r="G11" s="8" t="str">
        <f t="shared" si="3"/>
        <v>1.0</v>
      </c>
      <c r="H11" s="9">
        <f t="shared" si="4"/>
        <v>1</v>
      </c>
      <c r="I11" s="10">
        <f>IFERROR(__xludf.DUMMYFUNCTION("MAX(FILTER($H:$H,$E:$E=F11))"),9.0)</f>
        <v>9</v>
      </c>
    </row>
    <row r="12">
      <c r="A12" s="4"/>
      <c r="C12" s="4" t="s">
        <v>184</v>
      </c>
      <c r="D12" s="4" t="str">
        <f t="shared" si="1"/>
        <v>{"valorA":"e","valorB":1.0}</v>
      </c>
      <c r="E12" s="8" t="str">
        <f t="shared" si="2"/>
        <v>e</v>
      </c>
      <c r="F12" s="8" t="str">
        <f>IFERROR(__xludf.DUMMYFUNCTION("""COMPUTED_VALUE"""),"e")</f>
        <v>e</v>
      </c>
      <c r="G12" s="8" t="str">
        <f t="shared" si="3"/>
        <v>1.0</v>
      </c>
      <c r="H12" s="9">
        <f t="shared" si="4"/>
        <v>1</v>
      </c>
      <c r="I12" s="10">
        <f>IFERROR(__xludf.DUMMYFUNCTION("MAX(FILTER($H:$H,$E:$E=F12))"),7.0)</f>
        <v>7</v>
      </c>
    </row>
    <row r="13">
      <c r="A13" s="4"/>
      <c r="C13" s="4" t="s">
        <v>9972</v>
      </c>
      <c r="D13" s="4" t="str">
        <f t="shared" si="1"/>
        <v>{"valorA":"dúvida","valorB":1.0}</v>
      </c>
      <c r="E13" s="8" t="str">
        <f t="shared" si="2"/>
        <v>dúvida</v>
      </c>
      <c r="F13" s="8" t="str">
        <f>IFERROR(__xludf.DUMMYFUNCTION("""COMPUTED_VALUE"""),"dúvida")</f>
        <v>dúvida</v>
      </c>
      <c r="G13" s="8" t="str">
        <f t="shared" si="3"/>
        <v>1.0</v>
      </c>
      <c r="H13" s="9">
        <f t="shared" si="4"/>
        <v>1</v>
      </c>
      <c r="I13" s="10">
        <f>IFERROR(__xludf.DUMMYFUNCTION("MAX(FILTER($H:$H,$E:$E=F13))"),1.0)</f>
        <v>1</v>
      </c>
    </row>
    <row r="14">
      <c r="A14" s="4"/>
      <c r="C14" s="4" t="s">
        <v>1159</v>
      </c>
      <c r="D14" s="4" t="str">
        <f t="shared" si="1"/>
        <v>{"valorA":"já","valorB":1.0}</v>
      </c>
      <c r="E14" s="8" t="str">
        <f t="shared" si="2"/>
        <v>já</v>
      </c>
      <c r="F14" s="8" t="str">
        <f>IFERROR(__xludf.DUMMYFUNCTION("""COMPUTED_VALUE"""),"já")</f>
        <v>já</v>
      </c>
      <c r="G14" s="8" t="str">
        <f t="shared" si="3"/>
        <v>1.0</v>
      </c>
      <c r="H14" s="9">
        <f t="shared" si="4"/>
        <v>1</v>
      </c>
      <c r="I14" s="10">
        <f>IFERROR(__xludf.DUMMYFUNCTION("MAX(FILTER($H:$H,$E:$E=F14))"),2.0)</f>
        <v>2</v>
      </c>
    </row>
    <row r="15">
      <c r="A15" s="4"/>
      <c r="C15" s="4" t="s">
        <v>987</v>
      </c>
      <c r="D15" s="4" t="str">
        <f t="shared" si="1"/>
        <v>{"valorA":"óptimo","valorB":1.0}</v>
      </c>
      <c r="E15" s="8" t="str">
        <f t="shared" si="2"/>
        <v>óptimo</v>
      </c>
      <c r="F15" s="8" t="str">
        <f>IFERROR(__xludf.DUMMYFUNCTION("""COMPUTED_VALUE"""),"óptimo")</f>
        <v>óptimo</v>
      </c>
      <c r="G15" s="8" t="str">
        <f t="shared" si="3"/>
        <v>1.0</v>
      </c>
      <c r="H15" s="9">
        <f t="shared" si="4"/>
        <v>1</v>
      </c>
      <c r="I15" s="10">
        <f>IFERROR(__xludf.DUMMYFUNCTION("MAX(FILTER($H:$H,$E:$E=F15))"),5.0)</f>
        <v>5</v>
      </c>
    </row>
    <row r="16">
      <c r="A16" s="4"/>
      <c r="C16" s="4" t="s">
        <v>295</v>
      </c>
      <c r="D16" s="4" t="str">
        <f t="shared" si="1"/>
        <v>{"valorA":"que","valorB":1.0}</v>
      </c>
      <c r="E16" s="8" t="str">
        <f t="shared" si="2"/>
        <v>que</v>
      </c>
      <c r="F16" s="8" t="str">
        <f>IFERROR(__xludf.DUMMYFUNCTION("""COMPUTED_VALUE"""),"que")</f>
        <v>que</v>
      </c>
      <c r="G16" s="8" t="str">
        <f t="shared" si="3"/>
        <v>1.0</v>
      </c>
      <c r="H16" s="9">
        <f t="shared" si="4"/>
        <v>1</v>
      </c>
      <c r="I16" s="10">
        <f>IFERROR(__xludf.DUMMYFUNCTION("MAX(FILTER($H:$H,$E:$E=F16))"),11.0)</f>
        <v>11</v>
      </c>
    </row>
    <row r="17">
      <c r="A17" s="4"/>
      <c r="C17" s="4" t="s">
        <v>1587</v>
      </c>
      <c r="D17" s="4" t="str">
        <f t="shared" si="1"/>
        <v>{"valorA":"sem","valorB":2.0}</v>
      </c>
      <c r="E17" s="8" t="str">
        <f t="shared" si="2"/>
        <v>sem</v>
      </c>
      <c r="F17" s="8" t="str">
        <f>IFERROR(__xludf.DUMMYFUNCTION("""COMPUTED_VALUE"""),"sem")</f>
        <v>sem</v>
      </c>
      <c r="G17" s="8" t="str">
        <f t="shared" si="3"/>
        <v>2.0</v>
      </c>
      <c r="H17" s="9">
        <f t="shared" si="4"/>
        <v>2</v>
      </c>
      <c r="I17" s="10">
        <f>IFERROR(__xludf.DUMMYFUNCTION("MAX(FILTER($H:$H,$E:$E=F17))"),2.0)</f>
        <v>2</v>
      </c>
    </row>
    <row r="18">
      <c r="A18" s="4"/>
      <c r="C18" s="4" t="s">
        <v>354</v>
      </c>
      <c r="D18" s="4" t="str">
        <f t="shared" si="1"/>
        <v>{"valorA":"telefone","valorB":1.0}</v>
      </c>
      <c r="E18" s="8" t="str">
        <f t="shared" si="2"/>
        <v>telefone</v>
      </c>
      <c r="F18" s="8" t="str">
        <f>IFERROR(__xludf.DUMMYFUNCTION("""COMPUTED_VALUE"""),"telefone")</f>
        <v>telefone</v>
      </c>
      <c r="G18" s="8" t="str">
        <f t="shared" si="3"/>
        <v>1.0</v>
      </c>
      <c r="H18" s="9">
        <f t="shared" si="4"/>
        <v>1</v>
      </c>
      <c r="I18" s="10">
        <f>IFERROR(__xludf.DUMMYFUNCTION("MAX(FILTER($H:$H,$E:$E=F18))"),5.0)</f>
        <v>5</v>
      </c>
    </row>
    <row r="19">
      <c r="A19" s="4"/>
      <c r="C19" s="4" t="s">
        <v>1652</v>
      </c>
      <c r="D19" s="4" t="str">
        <f t="shared" si="1"/>
        <v>{"valorA":"melhores","valorB":1.0}</v>
      </c>
      <c r="E19" s="8" t="str">
        <f t="shared" si="2"/>
        <v>melhores</v>
      </c>
      <c r="F19" s="8" t="str">
        <f>IFERROR(__xludf.DUMMYFUNCTION("""COMPUTED_VALUE"""),"melhores")</f>
        <v>melhores</v>
      </c>
      <c r="G19" s="8" t="str">
        <f t="shared" si="3"/>
        <v>1.0</v>
      </c>
      <c r="H19" s="9">
        <f t="shared" si="4"/>
        <v>1</v>
      </c>
      <c r="I19" s="10">
        <f>IFERROR(__xludf.DUMMYFUNCTION("MAX(FILTER($H:$H,$E:$E=F19))"),1.0)</f>
        <v>1</v>
      </c>
    </row>
    <row r="20">
      <c r="A20" s="4"/>
      <c r="C20" s="4" t="s">
        <v>5495</v>
      </c>
      <c r="D20" s="4" t="str">
        <f t="shared" si="1"/>
        <v>{"valorA":"características","valorB":1.0}</v>
      </c>
      <c r="E20" s="8" t="str">
        <f t="shared" si="2"/>
        <v>características</v>
      </c>
      <c r="F20" s="8" t="str">
        <f>IFERROR(__xludf.DUMMYFUNCTION("""COMPUTED_VALUE"""),"características")</f>
        <v>características</v>
      </c>
      <c r="G20" s="8" t="str">
        <f t="shared" si="3"/>
        <v>1.0</v>
      </c>
      <c r="H20" s="9">
        <f t="shared" si="4"/>
        <v>1</v>
      </c>
      <c r="I20" s="10">
        <f>IFERROR(__xludf.DUMMYFUNCTION("MAX(FILTER($H:$H,$E:$E=F20))"),1.0)</f>
        <v>1</v>
      </c>
    </row>
    <row r="21">
      <c r="A21" s="4"/>
      <c r="C21" s="4" t="s">
        <v>9973</v>
      </c>
      <c r="D21" s="4" t="str">
        <f t="shared" si="1"/>
        <v>{"valorA":"estudo","valorB":1.0}</v>
      </c>
      <c r="E21" s="8" t="str">
        <f t="shared" si="2"/>
        <v>estudo</v>
      </c>
      <c r="F21" s="8" t="str">
        <f>IFERROR(__xludf.DUMMYFUNCTION("""COMPUTED_VALUE"""),"estudo")</f>
        <v>estudo</v>
      </c>
      <c r="G21" s="8" t="str">
        <f t="shared" si="3"/>
        <v>1.0</v>
      </c>
      <c r="H21" s="9">
        <f t="shared" si="4"/>
        <v>1</v>
      </c>
      <c r="I21" s="10">
        <f>IFERROR(__xludf.DUMMYFUNCTION("MAX(FILTER($H:$H,$E:$E=F21))"),1.0)</f>
        <v>1</v>
      </c>
    </row>
    <row r="22">
      <c r="A22" s="4"/>
      <c r="C22" s="4" t="s">
        <v>398</v>
      </c>
      <c r="D22" s="4" t="str">
        <f t="shared" si="1"/>
        <v>{"valorA":"confortável","valorB":1.0}</v>
      </c>
      <c r="E22" s="8" t="str">
        <f t="shared" si="2"/>
        <v>confortável</v>
      </c>
      <c r="F22" s="8" t="str">
        <f>IFERROR(__xludf.DUMMYFUNCTION("""COMPUTED_VALUE"""),"confortável")</f>
        <v>confortável</v>
      </c>
      <c r="G22" s="8" t="str">
        <f t="shared" si="3"/>
        <v>1.0</v>
      </c>
      <c r="H22" s="9">
        <f t="shared" si="4"/>
        <v>1</v>
      </c>
      <c r="I22" s="10">
        <f>IFERROR(__xludf.DUMMYFUNCTION("MAX(FILTER($H:$H,$E:$E=F22))"),2.0)</f>
        <v>2</v>
      </c>
    </row>
    <row r="23">
      <c r="A23" s="4"/>
      <c r="C23" s="4" t="s">
        <v>1557</v>
      </c>
      <c r="D23" s="4" t="str">
        <f t="shared" si="1"/>
        <v>{"valorA":"fio","valorB":1.0}</v>
      </c>
      <c r="E23" s="8" t="str">
        <f t="shared" si="2"/>
        <v>fio</v>
      </c>
      <c r="F23" s="8" t="str">
        <f>IFERROR(__xludf.DUMMYFUNCTION("""COMPUTED_VALUE"""),"fio")</f>
        <v>fio</v>
      </c>
      <c r="G23" s="8" t="str">
        <f t="shared" si="3"/>
        <v>1.0</v>
      </c>
      <c r="H23" s="9">
        <f t="shared" si="4"/>
        <v>1</v>
      </c>
      <c r="I23" s="10">
        <f>IFERROR(__xludf.DUMMYFUNCTION("MAX(FILTER($H:$H,$E:$E=F23))"),1.0)</f>
        <v>1</v>
      </c>
    </row>
    <row r="24">
      <c r="A24" s="4"/>
      <c r="C24" s="4" t="s">
        <v>1051</v>
      </c>
      <c r="D24" s="4" t="str">
        <f t="shared" si="1"/>
        <v>{"valorA":"potência","valorB":1.0}</v>
      </c>
      <c r="E24" s="8" t="str">
        <f t="shared" si="2"/>
        <v>potência</v>
      </c>
      <c r="F24" s="8" t="str">
        <f>IFERROR(__xludf.DUMMYFUNCTION("""COMPUTED_VALUE"""),"potência")</f>
        <v>potência</v>
      </c>
      <c r="G24" s="8" t="str">
        <f t="shared" si="3"/>
        <v>1.0</v>
      </c>
      <c r="H24" s="9">
        <f t="shared" si="4"/>
        <v>1</v>
      </c>
      <c r="I24" s="10">
        <f>IFERROR(__xludf.DUMMYFUNCTION("MAX(FILTER($H:$H,$E:$E=F24))"),1.0)</f>
        <v>1</v>
      </c>
    </row>
    <row r="25">
      <c r="A25" s="4"/>
      <c r="C25" s="4" t="s">
        <v>1653</v>
      </c>
      <c r="D25" s="4" t="str">
        <f t="shared" si="1"/>
        <v>{"valorA":"dos","valorB":1.0}</v>
      </c>
      <c r="E25" s="8" t="str">
        <f t="shared" si="2"/>
        <v>dos</v>
      </c>
      <c r="F25" s="8" t="str">
        <f>IFERROR(__xludf.DUMMYFUNCTION("""COMPUTED_VALUE"""),"dos")</f>
        <v>dos</v>
      </c>
      <c r="G25" s="8" t="str">
        <f t="shared" si="3"/>
        <v>1.0</v>
      </c>
      <c r="H25" s="9">
        <f t="shared" si="4"/>
        <v>1</v>
      </c>
      <c r="I25" s="10">
        <f>IFERROR(__xludf.DUMMYFUNCTION("MAX(FILTER($H:$H,$E:$E=F25))"),1.0)</f>
        <v>1</v>
      </c>
    </row>
    <row r="26">
      <c r="A26" s="4"/>
      <c r="C26" s="4" t="s">
        <v>1090</v>
      </c>
      <c r="D26" s="4" t="str">
        <f t="shared" si="1"/>
        <v>{"valorA":"muitas","valorB":1.0}</v>
      </c>
      <c r="E26" s="8" t="str">
        <f t="shared" si="2"/>
        <v>muitas</v>
      </c>
      <c r="F26" s="8" t="str">
        <f>IFERROR(__xludf.DUMMYFUNCTION("""COMPUTED_VALUE"""),"muitas")</f>
        <v>muitas</v>
      </c>
      <c r="G26" s="8" t="str">
        <f t="shared" si="3"/>
        <v>1.0</v>
      </c>
      <c r="H26" s="9">
        <f t="shared" si="4"/>
        <v>1</v>
      </c>
      <c r="I26" s="10">
        <f>IFERROR(__xludf.DUMMYFUNCTION("MAX(FILTER($H:$H,$E:$E=F26))"),2.0)</f>
        <v>2</v>
      </c>
    </row>
    <row r="27">
      <c r="A27" s="4"/>
      <c r="C27" s="4" t="s">
        <v>990</v>
      </c>
      <c r="D27" s="4" t="str">
        <f t="shared" si="1"/>
        <v>{"valorA":"cadeira","valorB":1.0}</v>
      </c>
      <c r="E27" s="8" t="str">
        <f t="shared" si="2"/>
        <v>cadeira</v>
      </c>
      <c r="F27" s="8" t="str">
        <f>IFERROR(__xludf.DUMMYFUNCTION("""COMPUTED_VALUE"""),"cadeira")</f>
        <v>cadeira</v>
      </c>
      <c r="G27" s="8" t="str">
        <f t="shared" si="3"/>
        <v>1.0</v>
      </c>
      <c r="H27" s="9">
        <f t="shared" si="4"/>
        <v>1</v>
      </c>
      <c r="I27" s="10">
        <f>IFERROR(__xludf.DUMMYFUNCTION("MAX(FILTER($H:$H,$E:$E=F27))"),2.0)</f>
        <v>2</v>
      </c>
    </row>
    <row r="28">
      <c r="A28" s="4"/>
      <c r="C28" s="4" t="s">
        <v>619</v>
      </c>
      <c r="D28" s="4" t="str">
        <f t="shared" si="1"/>
        <v>{"valorA":"um","valorB":1.0}</v>
      </c>
      <c r="E28" s="8" t="str">
        <f t="shared" si="2"/>
        <v>um</v>
      </c>
      <c r="F28" s="8" t="str">
        <f>IFERROR(__xludf.DUMMYFUNCTION("""COMPUTED_VALUE"""),"um")</f>
        <v>um</v>
      </c>
      <c r="G28" s="8" t="str">
        <f t="shared" si="3"/>
        <v>1.0</v>
      </c>
      <c r="H28" s="9">
        <f t="shared" si="4"/>
        <v>1</v>
      </c>
      <c r="I28" s="10">
        <f>IFERROR(__xludf.DUMMYFUNCTION("MAX(FILTER($H:$H,$E:$E=F28))"),3.0)</f>
        <v>3</v>
      </c>
    </row>
    <row r="29">
      <c r="A29" s="4"/>
      <c r="C29" s="4" t="s">
        <v>996</v>
      </c>
      <c r="D29" s="4" t="str">
        <f t="shared" si="1"/>
        <v>{"valorA":"primeiro","valorB":1.0}</v>
      </c>
      <c r="E29" s="8" t="str">
        <f t="shared" si="2"/>
        <v>primeiro</v>
      </c>
      <c r="F29" s="8" t="str">
        <f>IFERROR(__xludf.DUMMYFUNCTION("""COMPUTED_VALUE"""),"primeiro")</f>
        <v>primeiro</v>
      </c>
      <c r="G29" s="8" t="str">
        <f t="shared" si="3"/>
        <v>1.0</v>
      </c>
      <c r="H29" s="9">
        <f t="shared" si="4"/>
        <v>1</v>
      </c>
      <c r="I29" s="10">
        <f>IFERROR(__xludf.DUMMYFUNCTION("MAX(FILTER($H:$H,$E:$E=F29))"),2.0)</f>
        <v>2</v>
      </c>
    </row>
    <row r="30">
      <c r="A30" s="4"/>
      <c r="C30" s="4" t="s">
        <v>310</v>
      </c>
      <c r="D30" s="4" t="str">
        <f t="shared" si="1"/>
        <v>{"valorA":"o","valorB":1.0}</v>
      </c>
      <c r="E30" s="8" t="str">
        <f t="shared" si="2"/>
        <v>o</v>
      </c>
      <c r="F30" s="8" t="str">
        <f>IFERROR(__xludf.DUMMYFUNCTION("""COMPUTED_VALUE"""),"o")</f>
        <v>o</v>
      </c>
      <c r="G30" s="8" t="str">
        <f t="shared" si="3"/>
        <v>1.0</v>
      </c>
      <c r="H30" s="9">
        <f t="shared" si="4"/>
        <v>1</v>
      </c>
      <c r="I30" s="10">
        <f>IFERROR(__xludf.DUMMYFUNCTION("MAX(FILTER($H:$H,$E:$E=F30))"),12.0)</f>
        <v>12</v>
      </c>
    </row>
    <row r="31">
      <c r="A31" s="4"/>
      <c r="C31" s="4" t="s">
        <v>642</v>
      </c>
      <c r="D31" s="4" t="str">
        <f t="shared" si="1"/>
        <v>{"valorA":"de","valorB":1.0}</v>
      </c>
      <c r="E31" s="8" t="str">
        <f t="shared" si="2"/>
        <v>de</v>
      </c>
      <c r="F31" s="8" t="str">
        <f>IFERROR(__xludf.DUMMYFUNCTION("""COMPUTED_VALUE"""),"de")</f>
        <v>de</v>
      </c>
      <c r="G31" s="8" t="str">
        <f t="shared" si="3"/>
        <v>1.0</v>
      </c>
      <c r="H31" s="9">
        <f t="shared" si="4"/>
        <v>1</v>
      </c>
      <c r="I31" s="10">
        <f>IFERROR(__xludf.DUMMYFUNCTION("MAX(FILTER($H:$H,$E:$E=F31))"),11.0)</f>
        <v>11</v>
      </c>
    </row>
    <row r="32">
      <c r="A32" s="4"/>
      <c r="C32" s="4" t="s">
        <v>1007</v>
      </c>
      <c r="D32" s="4" t="str">
        <f t="shared" si="1"/>
        <v>{"valorA":"limpar","valorB":1.0}</v>
      </c>
      <c r="E32" s="8" t="str">
        <f t="shared" si="2"/>
        <v>limpar</v>
      </c>
      <c r="F32" s="8" t="str">
        <f>IFERROR(__xludf.DUMMYFUNCTION("""COMPUTED_VALUE"""),"limpar")</f>
        <v>limpar</v>
      </c>
      <c r="G32" s="8" t="str">
        <f t="shared" si="3"/>
        <v>1.0</v>
      </c>
      <c r="H32" s="9">
        <f t="shared" si="4"/>
        <v>1</v>
      </c>
      <c r="I32" s="10">
        <f>IFERROR(__xludf.DUMMYFUNCTION("MAX(FILTER($H:$H,$E:$E=F32))"),2.0)</f>
        <v>2</v>
      </c>
    </row>
    <row r="33">
      <c r="A33" s="4"/>
      <c r="C33" s="4" t="s">
        <v>997</v>
      </c>
      <c r="D33" s="4" t="str">
        <f t="shared" si="1"/>
        <v>{"valorA":"desde","valorB":1.0}</v>
      </c>
      <c r="E33" s="8" t="str">
        <f t="shared" si="2"/>
        <v>desde</v>
      </c>
      <c r="F33" s="8" t="str">
        <f>IFERROR(__xludf.DUMMYFUNCTION("""COMPUTED_VALUE"""),"desde")</f>
        <v>desde</v>
      </c>
      <c r="G33" s="8" t="str">
        <f t="shared" si="3"/>
        <v>1.0</v>
      </c>
      <c r="H33" s="9">
        <f t="shared" si="4"/>
        <v>1</v>
      </c>
      <c r="I33" s="10">
        <f>IFERROR(__xludf.DUMMYFUNCTION("MAX(FILTER($H:$H,$E:$E=F33))"),5.0)</f>
        <v>5</v>
      </c>
    </row>
    <row r="34">
      <c r="A34" s="4"/>
      <c r="C34" s="4" t="s">
        <v>999</v>
      </c>
      <c r="D34" s="4" t="str">
        <f t="shared" si="1"/>
        <v>{"valorA":"momento","valorB":1.0}</v>
      </c>
      <c r="E34" s="8" t="str">
        <f t="shared" si="2"/>
        <v>momento</v>
      </c>
      <c r="F34" s="8" t="str">
        <f>IFERROR(__xludf.DUMMYFUNCTION("""COMPUTED_VALUE"""),"momento")</f>
        <v>momento</v>
      </c>
      <c r="G34" s="8" t="str">
        <f t="shared" si="3"/>
        <v>1.0</v>
      </c>
      <c r="H34" s="9">
        <f t="shared" si="4"/>
        <v>1</v>
      </c>
      <c r="I34" s="10">
        <f>IFERROR(__xludf.DUMMYFUNCTION("MAX(FILTER($H:$H,$E:$E=F34))"),1.0)</f>
        <v>1</v>
      </c>
    </row>
    <row r="35">
      <c r="A35" s="4"/>
      <c r="C35" s="4" t="s">
        <v>191</v>
      </c>
      <c r="D35" s="4" t="str">
        <f t="shared" si="1"/>
        <v>{"valorA":"ótimo","valorB":3.0}</v>
      </c>
      <c r="E35" s="8" t="str">
        <f t="shared" si="2"/>
        <v>ótimo</v>
      </c>
      <c r="F35" s="8" t="str">
        <f>IFERROR(__xludf.DUMMYFUNCTION("""COMPUTED_VALUE"""),"fácil")</f>
        <v>fácil</v>
      </c>
      <c r="G35" s="8" t="str">
        <f t="shared" si="3"/>
        <v>3.0</v>
      </c>
      <c r="H35" s="9">
        <f t="shared" si="4"/>
        <v>3</v>
      </c>
      <c r="I35" s="10">
        <f>IFERROR(__xludf.DUMMYFUNCTION("MAX(FILTER($H:$H,$E:$E=F35))"),3.0)</f>
        <v>3</v>
      </c>
    </row>
    <row r="36">
      <c r="A36" s="4"/>
      <c r="C36" s="4" t="s">
        <v>285</v>
      </c>
      <c r="D36" s="4" t="str">
        <f t="shared" si="1"/>
        <v>{"valorA":"fácil","valorB":1.0}</v>
      </c>
      <c r="E36" s="8" t="str">
        <f t="shared" si="2"/>
        <v>fácil</v>
      </c>
      <c r="F36" s="8" t="str">
        <f>IFERROR(__xludf.DUMMYFUNCTION("""COMPUTED_VALUE"""),"perfeitamente")</f>
        <v>perfeitamente</v>
      </c>
      <c r="G36" s="8" t="str">
        <f t="shared" si="3"/>
        <v>1.0</v>
      </c>
      <c r="H36" s="9">
        <f t="shared" si="4"/>
        <v>1</v>
      </c>
      <c r="I36" s="10">
        <f>IFERROR(__xludf.DUMMYFUNCTION("MAX(FILTER($H:$H,$E:$E=F36))"),3.0)</f>
        <v>3</v>
      </c>
    </row>
    <row r="37">
      <c r="A37" s="4"/>
      <c r="C37" s="4" t="s">
        <v>245</v>
      </c>
      <c r="D37" s="4" t="str">
        <f t="shared" si="1"/>
        <v>{"valorA":"perfeitamente","valorB":1.0}</v>
      </c>
      <c r="E37" s="8" t="str">
        <f t="shared" si="2"/>
        <v>perfeitamente</v>
      </c>
      <c r="F37" s="8" t="str">
        <f>IFERROR(__xludf.DUMMYFUNCTION("""COMPUTED_VALUE"""),"tostador")</f>
        <v>tostador</v>
      </c>
      <c r="G37" s="8" t="str">
        <f t="shared" si="3"/>
        <v>1.0</v>
      </c>
      <c r="H37" s="9">
        <f t="shared" si="4"/>
        <v>1</v>
      </c>
      <c r="I37" s="10">
        <f>IFERROR(__xludf.DUMMYFUNCTION("MAX(FILTER($H:$H,$E:$E=F37))"),1.0)</f>
        <v>1</v>
      </c>
    </row>
    <row r="38">
      <c r="A38" s="4"/>
      <c r="C38" s="4" t="s">
        <v>5517</v>
      </c>
      <c r="D38" s="4" t="str">
        <f t="shared" si="1"/>
        <v>{"valorA":"tostador","valorB":1.0}</v>
      </c>
      <c r="E38" s="8" t="str">
        <f t="shared" si="2"/>
        <v>tostador</v>
      </c>
      <c r="F38" s="8" t="str">
        <f>IFERROR(__xludf.DUMMYFUNCTION("""COMPUTED_VALUE"""),"geladeira")</f>
        <v>geladeira</v>
      </c>
      <c r="G38" s="8" t="str">
        <f t="shared" si="3"/>
        <v>1.0</v>
      </c>
      <c r="H38" s="9">
        <f t="shared" si="4"/>
        <v>1</v>
      </c>
      <c r="I38" s="10">
        <f>IFERROR(__xludf.DUMMYFUNCTION("MAX(FILTER($H:$H,$E:$E=F38))"),6.0)</f>
        <v>6</v>
      </c>
    </row>
    <row r="39">
      <c r="A39" s="4"/>
      <c r="C39" s="4" t="s">
        <v>1190</v>
      </c>
      <c r="D39" s="4" t="str">
        <f t="shared" si="1"/>
        <v>{"valorA":"geladeira","valorB":1.0}</v>
      </c>
      <c r="E39" s="8" t="str">
        <f t="shared" si="2"/>
        <v>geladeira</v>
      </c>
      <c r="F39" s="8" t="str">
        <f>IFERROR(__xludf.DUMMYFUNCTION("""COMPUTED_VALUE"""),"funciona")</f>
        <v>funciona</v>
      </c>
      <c r="G39" s="8" t="str">
        <f t="shared" si="3"/>
        <v>1.0</v>
      </c>
      <c r="H39" s="9">
        <f t="shared" si="4"/>
        <v>1</v>
      </c>
      <c r="I39" s="10">
        <f>IFERROR(__xludf.DUMMYFUNCTION("MAX(FILTER($H:$H,$E:$E=F39))"),11.0)</f>
        <v>11</v>
      </c>
    </row>
    <row r="40">
      <c r="A40" s="4"/>
      <c r="C40" s="4" t="s">
        <v>248</v>
      </c>
      <c r="D40" s="4" t="str">
        <f t="shared" si="1"/>
        <v>{"valorA":"funciona","valorB":1.0}</v>
      </c>
      <c r="E40" s="8" t="str">
        <f t="shared" si="2"/>
        <v>funciona</v>
      </c>
      <c r="F40" s="8" t="str">
        <f>IFERROR(__xludf.DUMMYFUNCTION("""COMPUTED_VALUE"""),"em")</f>
        <v>em</v>
      </c>
      <c r="G40" s="8" t="str">
        <f t="shared" si="3"/>
        <v>1.0</v>
      </c>
      <c r="H40" s="9">
        <f t="shared" si="4"/>
        <v>1</v>
      </c>
      <c r="I40" s="10">
        <f>IFERROR(__xludf.DUMMYFUNCTION("MAX(FILTER($H:$H,$E:$E=F40))"),2.0)</f>
        <v>2</v>
      </c>
    </row>
    <row r="41">
      <c r="A41" s="4"/>
      <c r="C41" s="4" t="s">
        <v>455</v>
      </c>
      <c r="D41" s="4" t="str">
        <f t="shared" si="1"/>
        <v>{"valorA":"em","valorB":1.0}</v>
      </c>
      <c r="E41" s="8" t="str">
        <f t="shared" si="2"/>
        <v>em</v>
      </c>
      <c r="F41" s="8" t="str">
        <f>IFERROR(__xludf.DUMMYFUNCTION("""COMPUTED_VALUE"""),"facilita")</f>
        <v>facilita</v>
      </c>
      <c r="G41" s="8" t="str">
        <f t="shared" si="3"/>
        <v>1.0</v>
      </c>
      <c r="H41" s="9">
        <f t="shared" si="4"/>
        <v>1</v>
      </c>
      <c r="I41" s="10">
        <f>IFERROR(__xludf.DUMMYFUNCTION("MAX(FILTER($H:$H,$E:$E=F41))"),1.0)</f>
        <v>1</v>
      </c>
    </row>
    <row r="42">
      <c r="A42" s="4"/>
      <c r="C42" s="4" t="s">
        <v>9974</v>
      </c>
      <c r="D42" s="4" t="str">
        <f t="shared" si="1"/>
        <v>{"valorA":"facilita","valorB":1.0}</v>
      </c>
      <c r="E42" s="8" t="str">
        <f t="shared" si="2"/>
        <v>facilita</v>
      </c>
      <c r="F42" s="8" t="str">
        <f>IFERROR(__xludf.DUMMYFUNCTION("""COMPUTED_VALUE"""),"tv")</f>
        <v>tv</v>
      </c>
      <c r="G42" s="8" t="str">
        <f t="shared" si="3"/>
        <v>1.0</v>
      </c>
      <c r="H42" s="9">
        <f t="shared" si="4"/>
        <v>1</v>
      </c>
      <c r="I42" s="10">
        <f>IFERROR(__xludf.DUMMYFUNCTION("MAX(FILTER($H:$H,$E:$E=F42))"),1.0)</f>
        <v>1</v>
      </c>
    </row>
    <row r="43">
      <c r="A43" s="4"/>
      <c r="C43" s="4" t="s">
        <v>607</v>
      </c>
      <c r="D43" s="4" t="str">
        <f t="shared" si="1"/>
        <v>{"valorA":"tv","valorB":1.0}</v>
      </c>
      <c r="E43" s="8" t="str">
        <f t="shared" si="2"/>
        <v>tv</v>
      </c>
      <c r="F43" s="8" t="str">
        <f>IFERROR(__xludf.DUMMYFUNCTION("""COMPUTED_VALUE"""),"cabeça")</f>
        <v>cabeça</v>
      </c>
      <c r="G43" s="8" t="str">
        <f t="shared" si="3"/>
        <v>1.0</v>
      </c>
      <c r="H43" s="9">
        <f t="shared" si="4"/>
        <v>1</v>
      </c>
      <c r="I43" s="10">
        <f>IFERROR(__xludf.DUMMYFUNCTION("MAX(FILTER($H:$H,$E:$E=F43))"),1.0)</f>
        <v>1</v>
      </c>
    </row>
    <row r="44">
      <c r="A44" s="4"/>
      <c r="C44" s="4" t="s">
        <v>332</v>
      </c>
      <c r="D44" s="4" t="str">
        <f t="shared" si="1"/>
        <v>{"valorA":"o","valorB":2.0}</v>
      </c>
      <c r="E44" s="8" t="str">
        <f t="shared" si="2"/>
        <v>o</v>
      </c>
      <c r="F44" s="8" t="str">
        <f>IFERROR(__xludf.DUMMYFUNCTION("""COMPUTED_VALUE"""),"lavadeira")</f>
        <v>lavadeira</v>
      </c>
      <c r="G44" s="8" t="str">
        <f t="shared" si="3"/>
        <v>2.0</v>
      </c>
      <c r="H44" s="9">
        <f t="shared" si="4"/>
        <v>2</v>
      </c>
      <c r="I44" s="10">
        <f>IFERROR(__xludf.DUMMYFUNCTION("MAX(FILTER($H:$H,$E:$E=F44))"),1.0)</f>
        <v>1</v>
      </c>
    </row>
    <row r="45">
      <c r="A45" s="4"/>
      <c r="C45" s="4" t="s">
        <v>9975</v>
      </c>
      <c r="D45" s="4" t="str">
        <f t="shared" si="1"/>
        <v>{"valorA":"cabeça","valorB":1.0}</v>
      </c>
      <c r="E45" s="8" t="str">
        <f t="shared" si="2"/>
        <v>cabeça</v>
      </c>
      <c r="F45" s="8" t="str">
        <f>IFERROR(__xludf.DUMMYFUNCTION("""COMPUTED_VALUE"""),"diário")</f>
        <v>diário</v>
      </c>
      <c r="G45" s="8" t="str">
        <f t="shared" si="3"/>
        <v>1.0</v>
      </c>
      <c r="H45" s="9">
        <f t="shared" si="4"/>
        <v>1</v>
      </c>
      <c r="I45" s="10">
        <f>IFERROR(__xludf.DUMMYFUNCTION("MAX(FILTER($H:$H,$E:$E=F45))"),1.0)</f>
        <v>1</v>
      </c>
    </row>
    <row r="46">
      <c r="A46" s="4"/>
      <c r="C46" s="4" t="s">
        <v>186</v>
      </c>
      <c r="D46" s="4" t="str">
        <f t="shared" si="1"/>
        <v>{"valorA":"de","valorB":2.0}</v>
      </c>
      <c r="E46" s="8" t="str">
        <f t="shared" si="2"/>
        <v>de</v>
      </c>
      <c r="F46" s="8" t="str">
        <f>IFERROR(__xludf.DUMMYFUNCTION("""COMPUTED_VALUE"""),"aparelho")</f>
        <v>aparelho</v>
      </c>
      <c r="G46" s="8" t="str">
        <f t="shared" si="3"/>
        <v>2.0</v>
      </c>
      <c r="H46" s="9">
        <f t="shared" si="4"/>
        <v>2</v>
      </c>
      <c r="I46" s="10">
        <f>IFERROR(__xludf.DUMMYFUNCTION("MAX(FILTER($H:$H,$E:$E=F46))"),4.0)</f>
        <v>4</v>
      </c>
    </row>
    <row r="47">
      <c r="A47" s="4"/>
      <c r="C47" s="4" t="s">
        <v>9976</v>
      </c>
      <c r="D47" s="4" t="str">
        <f t="shared" si="1"/>
        <v>{"valorA":"lavadeira","valorB":1.0}</v>
      </c>
      <c r="E47" s="8" t="str">
        <f t="shared" si="2"/>
        <v>lavadeira</v>
      </c>
      <c r="F47" s="8" t="str">
        <f>IFERROR(__xludf.DUMMYFUNCTION("""COMPUTED_VALUE"""),"trabalho")</f>
        <v>trabalho</v>
      </c>
      <c r="G47" s="8" t="str">
        <f t="shared" si="3"/>
        <v>1.0</v>
      </c>
      <c r="H47" s="9">
        <f t="shared" si="4"/>
        <v>1</v>
      </c>
      <c r="I47" s="10">
        <f>IFERROR(__xludf.DUMMYFUNCTION("MAX(FILTER($H:$H,$E:$E=F47))"),1.0)</f>
        <v>1</v>
      </c>
    </row>
    <row r="48">
      <c r="A48" s="4"/>
      <c r="C48" s="4" t="s">
        <v>9977</v>
      </c>
      <c r="D48" s="4" t="str">
        <f t="shared" si="1"/>
        <v>{"valorA":"diário","valorB":1.0}</v>
      </c>
      <c r="E48" s="8" t="str">
        <f t="shared" si="2"/>
        <v>diário</v>
      </c>
      <c r="F48" s="8" t="str">
        <f>IFERROR(__xludf.DUMMYFUNCTION("""COMPUTED_VALUE"""),"muito")</f>
        <v>muito</v>
      </c>
      <c r="G48" s="8" t="str">
        <f t="shared" si="3"/>
        <v>1.0</v>
      </c>
      <c r="H48" s="9">
        <f t="shared" si="4"/>
        <v>1</v>
      </c>
      <c r="I48" s="10">
        <f>IFERROR(__xludf.DUMMYFUNCTION("MAX(FILTER($H:$H,$E:$E=F48))"),17.0)</f>
        <v>17</v>
      </c>
    </row>
    <row r="49">
      <c r="A49" s="4"/>
      <c r="C49" s="4" t="s">
        <v>998</v>
      </c>
      <c r="D49" s="4" t="str">
        <f t="shared" si="1"/>
        <v>{"valorA":"aparelho","valorB":1.0}</v>
      </c>
      <c r="E49" s="8" t="str">
        <f t="shared" si="2"/>
        <v>aparelho</v>
      </c>
      <c r="F49" s="8" t="str">
        <f>IFERROR(__xludf.DUMMYFUNCTION("""COMPUTED_VALUE"""),"casa")</f>
        <v>casa</v>
      </c>
      <c r="G49" s="8" t="str">
        <f t="shared" si="3"/>
        <v>1.0</v>
      </c>
      <c r="H49" s="9">
        <f t="shared" si="4"/>
        <v>1</v>
      </c>
      <c r="I49" s="10">
        <f>IFERROR(__xludf.DUMMYFUNCTION("MAX(FILTER($H:$H,$E:$E=F49))"),3.0)</f>
        <v>3</v>
      </c>
    </row>
    <row r="50">
      <c r="A50" s="4"/>
      <c r="C50" s="4" t="s">
        <v>1579</v>
      </c>
      <c r="D50" s="4" t="str">
        <f t="shared" si="1"/>
        <v>{"valorA":"trabalho","valorB":1.0}</v>
      </c>
      <c r="E50" s="8" t="str">
        <f t="shared" si="2"/>
        <v>trabalho</v>
      </c>
      <c r="F50" s="8" t="str">
        <f>IFERROR(__xludf.DUMMYFUNCTION("""COMPUTED_VALUE"""),"fina")</f>
        <v>fina</v>
      </c>
      <c r="G50" s="8" t="str">
        <f t="shared" si="3"/>
        <v>1.0</v>
      </c>
      <c r="H50" s="9">
        <f t="shared" si="4"/>
        <v>1</v>
      </c>
      <c r="I50" s="10">
        <f>IFERROR(__xludf.DUMMYFUNCTION("MAX(FILTER($H:$H,$E:$E=F50))"),1.0)</f>
        <v>1</v>
      </c>
    </row>
    <row r="51">
      <c r="A51" s="4"/>
      <c r="C51" s="4" t="s">
        <v>210</v>
      </c>
      <c r="D51" s="4" t="str">
        <f t="shared" si="1"/>
        <v>{"valorA":"ótimo","valorB":5.0}</v>
      </c>
      <c r="E51" s="8" t="str">
        <f t="shared" si="2"/>
        <v>ótimo</v>
      </c>
      <c r="F51" s="8" t="str">
        <f>IFERROR(__xludf.DUMMYFUNCTION("""COMPUTED_VALUE"""),"ontem")</f>
        <v>ontem</v>
      </c>
      <c r="G51" s="8" t="str">
        <f t="shared" si="3"/>
        <v>5.0</v>
      </c>
      <c r="H51" s="9">
        <f t="shared" si="4"/>
        <v>5</v>
      </c>
      <c r="I51" s="10">
        <f>IFERROR(__xludf.DUMMYFUNCTION("MAX(FILTER($H:$H,$E:$E=F51))"),2.0)</f>
        <v>2</v>
      </c>
    </row>
    <row r="52">
      <c r="A52" s="4"/>
      <c r="C52" s="4" t="s">
        <v>193</v>
      </c>
      <c r="D52" s="4" t="str">
        <f t="shared" si="1"/>
        <v>{"valorA":"muito","valorB":2.0}</v>
      </c>
      <c r="E52" s="8" t="str">
        <f t="shared" si="2"/>
        <v>muito</v>
      </c>
      <c r="F52" s="8" t="str">
        <f>IFERROR(__xludf.DUMMYFUNCTION("""COMPUTED_VALUE"""),"satisfeita")</f>
        <v>satisfeita</v>
      </c>
      <c r="G52" s="8" t="str">
        <f t="shared" si="3"/>
        <v>2.0</v>
      </c>
      <c r="H52" s="9">
        <f t="shared" si="4"/>
        <v>2</v>
      </c>
      <c r="I52" s="10">
        <f>IFERROR(__xludf.DUMMYFUNCTION("MAX(FILTER($H:$H,$E:$E=F52))"),1.0)</f>
        <v>1</v>
      </c>
    </row>
    <row r="53">
      <c r="A53" s="4"/>
      <c r="C53" s="4" t="s">
        <v>644</v>
      </c>
      <c r="D53" s="4" t="str">
        <f t="shared" si="1"/>
        <v>{"valorA":"casa","valorB":1.0}</v>
      </c>
      <c r="E53" s="8" t="str">
        <f t="shared" si="2"/>
        <v>casa</v>
      </c>
      <c r="F53" s="8" t="str">
        <f>IFERROR(__xludf.DUMMYFUNCTION("""COMPUTED_VALUE"""),"ele")</f>
        <v>ele</v>
      </c>
      <c r="G53" s="8" t="str">
        <f t="shared" si="3"/>
        <v>1.0</v>
      </c>
      <c r="H53" s="9">
        <f t="shared" si="4"/>
        <v>1</v>
      </c>
      <c r="I53" s="10">
        <f>IFERROR(__xludf.DUMMYFUNCTION("MAX(FILTER($H:$H,$E:$E=F53))"),1.0)</f>
        <v>1</v>
      </c>
    </row>
    <row r="54">
      <c r="A54" s="4"/>
      <c r="C54" s="4" t="s">
        <v>9978</v>
      </c>
      <c r="D54" s="4" t="str">
        <f t="shared" si="1"/>
        <v>{"valorA":"fina","valorB":1.0}</v>
      </c>
      <c r="E54" s="8" t="str">
        <f t="shared" si="2"/>
        <v>fina</v>
      </c>
      <c r="F54" s="8" t="str">
        <f>IFERROR(__xludf.DUMMYFUNCTION("""COMPUTED_VALUE"""),"celular")</f>
        <v>celular</v>
      </c>
      <c r="G54" s="8" t="str">
        <f t="shared" si="3"/>
        <v>1.0</v>
      </c>
      <c r="H54" s="9">
        <f t="shared" si="4"/>
        <v>1</v>
      </c>
      <c r="I54" s="10">
        <f>IFERROR(__xludf.DUMMYFUNCTION("MAX(FILTER($H:$H,$E:$E=F54))"),5.0)</f>
        <v>5</v>
      </c>
    </row>
    <row r="55">
      <c r="A55" s="4"/>
      <c r="C55" s="4" t="s">
        <v>218</v>
      </c>
      <c r="D55" s="4" t="str">
        <f t="shared" si="1"/>
        <v>{"valorA":"para","valorB":3.0}</v>
      </c>
      <c r="E55" s="8" t="str">
        <f t="shared" si="2"/>
        <v>para</v>
      </c>
      <c r="F55" s="8" t="str">
        <f>IFERROR(__xludf.DUMMYFUNCTION("""COMPUTED_VALUE"""),"estou")</f>
        <v>estou</v>
      </c>
      <c r="G55" s="8" t="str">
        <f t="shared" si="3"/>
        <v>3.0</v>
      </c>
      <c r="H55" s="9">
        <f t="shared" si="4"/>
        <v>3</v>
      </c>
      <c r="I55" s="10">
        <f>IFERROR(__xludf.DUMMYFUNCTION("MAX(FILTER($H:$H,$E:$E=F55))"),1.0)</f>
        <v>1</v>
      </c>
    </row>
    <row r="56">
      <c r="A56" s="4"/>
      <c r="C56" s="4" t="s">
        <v>289</v>
      </c>
      <c r="D56" s="4" t="str">
        <f t="shared" si="1"/>
        <v>{"valorA":"ontem","valorB":1.0}</v>
      </c>
      <c r="E56" s="8" t="str">
        <f t="shared" si="2"/>
        <v>ontem</v>
      </c>
      <c r="F56" s="8" t="str">
        <f>IFERROR(__xludf.DUMMYFUNCTION("""COMPUTED_VALUE"""),"mesa")</f>
        <v>mesa</v>
      </c>
      <c r="G56" s="8" t="str">
        <f t="shared" si="3"/>
        <v>1.0</v>
      </c>
      <c r="H56" s="9">
        <f t="shared" si="4"/>
        <v>1</v>
      </c>
      <c r="I56" s="10">
        <f>IFERROR(__xludf.DUMMYFUNCTION("MAX(FILTER($H:$H,$E:$E=F56))"),2.0)</f>
        <v>2</v>
      </c>
    </row>
    <row r="57">
      <c r="A57" s="4"/>
      <c r="C57" s="4" t="s">
        <v>1053</v>
      </c>
      <c r="D57" s="4" t="str">
        <f t="shared" si="1"/>
        <v>{"valorA":"satisfeita","valorB":1.0}</v>
      </c>
      <c r="E57" s="8" t="str">
        <f t="shared" si="2"/>
        <v>satisfeita</v>
      </c>
      <c r="F57" s="8" t="str">
        <f>IFERROR(__xludf.DUMMYFUNCTION("""COMPUTED_VALUE"""),"trabalhar")</f>
        <v>trabalhar</v>
      </c>
      <c r="G57" s="8" t="str">
        <f t="shared" si="3"/>
        <v>1.0</v>
      </c>
      <c r="H57" s="9">
        <f t="shared" si="4"/>
        <v>1</v>
      </c>
      <c r="I57" s="10">
        <f>IFERROR(__xludf.DUMMYFUNCTION("MAX(FILTER($H:$H,$E:$E=F57))"),2.0)</f>
        <v>2</v>
      </c>
    </row>
    <row r="58">
      <c r="A58" s="4"/>
      <c r="C58" s="4" t="s">
        <v>1149</v>
      </c>
      <c r="D58" s="4" t="str">
        <f t="shared" si="1"/>
        <v>{"valorA":"ele","valorB":1.0}</v>
      </c>
      <c r="E58" s="8" t="str">
        <f t="shared" si="2"/>
        <v>ele</v>
      </c>
      <c r="F58" s="8" t="str">
        <f>IFERROR(__xludf.DUMMYFUNCTION("""COMPUTED_VALUE"""),"minha")</f>
        <v>minha</v>
      </c>
      <c r="G58" s="8" t="str">
        <f t="shared" si="3"/>
        <v>1.0</v>
      </c>
      <c r="H58" s="9">
        <f t="shared" si="4"/>
        <v>1</v>
      </c>
      <c r="I58" s="10">
        <f>IFERROR(__xludf.DUMMYFUNCTION("MAX(FILTER($H:$H,$E:$E=F58))"),2.0)</f>
        <v>2</v>
      </c>
    </row>
    <row r="59">
      <c r="A59" s="4"/>
      <c r="C59" s="4" t="s">
        <v>328</v>
      </c>
      <c r="D59" s="4" t="str">
        <f t="shared" si="1"/>
        <v>{"valorA":"com","valorB":2.0}</v>
      </c>
      <c r="E59" s="8" t="str">
        <f t="shared" si="2"/>
        <v>com</v>
      </c>
      <c r="F59" s="8" t="str">
        <f>IFERROR(__xludf.DUMMYFUNCTION("""COMPUTED_VALUE"""),"na")</f>
        <v>na</v>
      </c>
      <c r="G59" s="8" t="str">
        <f t="shared" si="3"/>
        <v>2.0</v>
      </c>
      <c r="H59" s="9">
        <f t="shared" si="4"/>
        <v>2</v>
      </c>
      <c r="I59" s="10">
        <f>IFERROR(__xludf.DUMMYFUNCTION("MAX(FILTER($H:$H,$E:$E=F59))"),1.0)</f>
        <v>1</v>
      </c>
    </row>
    <row r="60">
      <c r="A60" s="4"/>
      <c r="C60" s="4" t="s">
        <v>470</v>
      </c>
      <c r="D60" s="4" t="str">
        <f t="shared" si="1"/>
        <v>{"valorA":"comprei","valorB":2.0}</v>
      </c>
      <c r="E60" s="8" t="str">
        <f t="shared" si="2"/>
        <v>comprei</v>
      </c>
      <c r="F60" s="8" t="str">
        <f>IFERROR(__xludf.DUMMYFUNCTION("""COMPUTED_VALUE"""),"laminado")</f>
        <v>laminado</v>
      </c>
      <c r="G60" s="8" t="str">
        <f t="shared" si="3"/>
        <v>2.0</v>
      </c>
      <c r="H60" s="9">
        <f t="shared" si="4"/>
        <v>2</v>
      </c>
      <c r="I60" s="10">
        <f>IFERROR(__xludf.DUMMYFUNCTION("MAX(FILTER($H:$H,$E:$E=F60))"),1.0)</f>
        <v>1</v>
      </c>
    </row>
    <row r="61">
      <c r="A61" s="4"/>
      <c r="C61" s="4" t="s">
        <v>844</v>
      </c>
      <c r="D61" s="4" t="str">
        <f t="shared" si="1"/>
        <v>{"valorA":"ótima","valorB":2.0}</v>
      </c>
      <c r="E61" s="8" t="str">
        <f t="shared" si="2"/>
        <v>ótima</v>
      </c>
      <c r="F61" s="8" t="str">
        <f>IFERROR(__xludf.DUMMYFUNCTION("""COMPUTED_VALUE"""),"fiquei")</f>
        <v>fiquei</v>
      </c>
      <c r="G61" s="8" t="str">
        <f t="shared" si="3"/>
        <v>2.0</v>
      </c>
      <c r="H61" s="9">
        <f t="shared" si="4"/>
        <v>2</v>
      </c>
      <c r="I61" s="10">
        <f>IFERROR(__xludf.DUMMYFUNCTION("MAX(FILTER($H:$H,$E:$E=F61))"),2.0)</f>
        <v>2</v>
      </c>
    </row>
    <row r="62">
      <c r="A62" s="4"/>
      <c r="C62" s="4" t="s">
        <v>985</v>
      </c>
      <c r="D62" s="4" t="str">
        <f t="shared" si="1"/>
        <v>{"valorA":"celular","valorB":1.0}</v>
      </c>
      <c r="E62" s="8" t="str">
        <f t="shared" si="2"/>
        <v>celular</v>
      </c>
      <c r="F62" s="8" t="str">
        <f>IFERROR(__xludf.DUMMYFUNCTION("""COMPUTED_VALUE"""),"carro")</f>
        <v>carro</v>
      </c>
      <c r="G62" s="8" t="str">
        <f t="shared" si="3"/>
        <v>1.0</v>
      </c>
      <c r="H62" s="9">
        <f t="shared" si="4"/>
        <v>1</v>
      </c>
      <c r="I62" s="10">
        <f>IFERROR(__xludf.DUMMYFUNCTION("MAX(FILTER($H:$H,$E:$E=F62))"),2.0)</f>
        <v>2</v>
      </c>
    </row>
    <row r="63">
      <c r="A63" s="4"/>
      <c r="C63" s="4" t="s">
        <v>1156</v>
      </c>
      <c r="D63" s="4" t="str">
        <f t="shared" si="1"/>
        <v>{"valorA":"estou","valorB":1.0}</v>
      </c>
      <c r="E63" s="8" t="str">
        <f t="shared" si="2"/>
        <v>estou</v>
      </c>
      <c r="F63" s="8" t="str">
        <f>IFERROR(__xludf.DUMMYFUNCTION("""COMPUTED_VALUE"""),"eficiênte")</f>
        <v>eficiênte</v>
      </c>
      <c r="G63" s="8" t="str">
        <f t="shared" si="3"/>
        <v>1.0</v>
      </c>
      <c r="H63" s="9">
        <f t="shared" si="4"/>
        <v>1</v>
      </c>
      <c r="I63" s="10">
        <f>IFERROR(__xludf.DUMMYFUNCTION("MAX(FILTER($H:$H,$E:$E=F63))"),1.0)</f>
        <v>1</v>
      </c>
    </row>
    <row r="64">
      <c r="A64" s="4"/>
      <c r="C64" s="4" t="s">
        <v>333</v>
      </c>
      <c r="D64" s="4" t="str">
        <f t="shared" si="1"/>
        <v>{"valorA":"que","valorB":2.0}</v>
      </c>
      <c r="E64" s="8" t="str">
        <f t="shared" si="2"/>
        <v>que</v>
      </c>
      <c r="F64" s="8" t="str">
        <f>IFERROR(__xludf.DUMMYFUNCTION("""COMPUTED_VALUE"""),"esse")</f>
        <v>esse</v>
      </c>
      <c r="G64" s="8" t="str">
        <f t="shared" si="3"/>
        <v>2.0</v>
      </c>
      <c r="H64" s="9">
        <f t="shared" si="4"/>
        <v>2</v>
      </c>
      <c r="I64" s="10">
        <f>IFERROR(__xludf.DUMMYFUNCTION("MAX(FILTER($H:$H,$E:$E=F64))"),4.0)</f>
        <v>4</v>
      </c>
    </row>
    <row r="65">
      <c r="A65" s="4"/>
      <c r="C65" s="4" t="s">
        <v>594</v>
      </c>
      <c r="D65" s="4" t="str">
        <f t="shared" si="1"/>
        <v>{"valorA":"ótimo","valorB":6.0}</v>
      </c>
      <c r="E65" s="8" t="str">
        <f t="shared" si="2"/>
        <v>ótimo</v>
      </c>
      <c r="F65" s="8" t="str">
        <f>IFERROR(__xludf.DUMMYFUNCTION("""COMPUTED_VALUE"""),"satisfeito")</f>
        <v>satisfeito</v>
      </c>
      <c r="G65" s="8" t="str">
        <f t="shared" si="3"/>
        <v>6.0</v>
      </c>
      <c r="H65" s="9">
        <f t="shared" si="4"/>
        <v>6</v>
      </c>
      <c r="I65" s="10">
        <f>IFERROR(__xludf.DUMMYFUNCTION("MAX(FILTER($H:$H,$E:$E=F65))"),2.0)</f>
        <v>2</v>
      </c>
    </row>
    <row r="66">
      <c r="A66" s="4"/>
      <c r="C66" s="4" t="s">
        <v>5519</v>
      </c>
      <c r="D66" s="4" t="str">
        <f t="shared" si="1"/>
        <v>{"valorA":"mesa","valorB":1.0}</v>
      </c>
      <c r="E66" s="8" t="str">
        <f t="shared" si="2"/>
        <v>mesa</v>
      </c>
      <c r="F66" s="8" t="str">
        <f>IFERROR(__xludf.DUMMYFUNCTION("""COMPUTED_VALUE"""),"simples")</f>
        <v>simples</v>
      </c>
      <c r="G66" s="8" t="str">
        <f t="shared" si="3"/>
        <v>1.0</v>
      </c>
      <c r="H66" s="9">
        <f t="shared" si="4"/>
        <v>1</v>
      </c>
      <c r="I66" s="10">
        <f>IFERROR(__xludf.DUMMYFUNCTION("MAX(FILTER($H:$H,$E:$E=F66))"),1.0)</f>
        <v>1</v>
      </c>
    </row>
    <row r="67">
      <c r="A67" s="4"/>
      <c r="C67" s="4" t="s">
        <v>212</v>
      </c>
      <c r="D67" s="4" t="str">
        <f t="shared" si="1"/>
        <v>{"valorA":"muito","valorB":3.0}</v>
      </c>
      <c r="E67" s="8" t="str">
        <f t="shared" si="2"/>
        <v>muito</v>
      </c>
      <c r="F67" s="8" t="str">
        <f>IFERROR(__xludf.DUMMYFUNCTION("""COMPUTED_VALUE"""),"bastante")</f>
        <v>bastante</v>
      </c>
      <c r="G67" s="8" t="str">
        <f t="shared" si="3"/>
        <v>3.0</v>
      </c>
      <c r="H67" s="9">
        <f t="shared" si="4"/>
        <v>3</v>
      </c>
      <c r="I67" s="10">
        <f>IFERROR(__xludf.DUMMYFUNCTION("MAX(FILTER($H:$H,$E:$E=F67))"),3.0)</f>
        <v>3</v>
      </c>
    </row>
    <row r="68">
      <c r="A68" s="4"/>
      <c r="C68" s="4" t="s">
        <v>725</v>
      </c>
      <c r="D68" s="4" t="str">
        <f t="shared" si="1"/>
        <v>{"valorA":"casa","valorB":2.0}</v>
      </c>
      <c r="E68" s="8" t="str">
        <f t="shared" si="2"/>
        <v>casa</v>
      </c>
      <c r="F68" s="8" t="str">
        <f>IFERROR(__xludf.DUMMYFUNCTION("""COMPUTED_VALUE"""),"usar")</f>
        <v>usar</v>
      </c>
      <c r="G68" s="8" t="str">
        <f t="shared" si="3"/>
        <v>2.0</v>
      </c>
      <c r="H68" s="9">
        <f t="shared" si="4"/>
        <v>2</v>
      </c>
      <c r="I68" s="10">
        <f>IFERROR(__xludf.DUMMYFUNCTION("MAX(FILTER($H:$H,$E:$E=F68))"),2.0)</f>
        <v>2</v>
      </c>
    </row>
    <row r="69">
      <c r="A69" s="4"/>
      <c r="C69" s="4" t="s">
        <v>5523</v>
      </c>
      <c r="D69" s="4" t="str">
        <f t="shared" si="1"/>
        <v>{"valorA":"trabalhar","valorB":1.0}</v>
      </c>
      <c r="E69" s="8" t="str">
        <f t="shared" si="2"/>
        <v>trabalhar</v>
      </c>
      <c r="F69" s="8" t="str">
        <f>IFERROR(__xludf.DUMMYFUNCTION("""COMPUTED_VALUE"""),"gosto")</f>
        <v>gosto</v>
      </c>
      <c r="G69" s="8" t="str">
        <f t="shared" si="3"/>
        <v>1.0</v>
      </c>
      <c r="H69" s="9">
        <f t="shared" si="4"/>
        <v>1</v>
      </c>
      <c r="I69" s="10">
        <f>IFERROR(__xludf.DUMMYFUNCTION("MAX(FILTER($H:$H,$E:$E=F69))"),5.0)</f>
        <v>5</v>
      </c>
    </row>
    <row r="70">
      <c r="A70" s="4"/>
      <c r="C70" s="4" t="s">
        <v>265</v>
      </c>
      <c r="D70" s="4" t="str">
        <f t="shared" si="1"/>
        <v>{"valorA":"minha","valorB":1.0}</v>
      </c>
      <c r="E70" s="8" t="str">
        <f t="shared" si="2"/>
        <v>minha</v>
      </c>
      <c r="F70" s="8" t="str">
        <f>IFERROR(__xludf.DUMMYFUNCTION("""COMPUTED_VALUE"""),"a")</f>
        <v>a</v>
      </c>
      <c r="G70" s="8" t="str">
        <f t="shared" si="3"/>
        <v>1.0</v>
      </c>
      <c r="H70" s="9">
        <f t="shared" si="4"/>
        <v>1</v>
      </c>
      <c r="I70" s="10">
        <f>IFERROR(__xludf.DUMMYFUNCTION("MAX(FILTER($H:$H,$E:$E=F70))"),7.0)</f>
        <v>7</v>
      </c>
    </row>
    <row r="71">
      <c r="A71" s="4"/>
      <c r="C71" s="4" t="s">
        <v>1440</v>
      </c>
      <c r="D71" s="4" t="str">
        <f t="shared" si="1"/>
        <v>{"valorA":"na","valorB":1.0}</v>
      </c>
      <c r="E71" s="8" t="str">
        <f t="shared" si="2"/>
        <v>na</v>
      </c>
      <c r="F71" s="8" t="str">
        <f>IFERROR(__xludf.DUMMYFUNCTION("""COMPUTED_VALUE"""),"comp")</f>
        <v>comp</v>
      </c>
      <c r="G71" s="8" t="str">
        <f t="shared" si="3"/>
        <v>1.0</v>
      </c>
      <c r="H71" s="9">
        <f t="shared" si="4"/>
        <v>1</v>
      </c>
      <c r="I71" s="10">
        <f>IFERROR(__xludf.DUMMYFUNCTION("MAX(FILTER($H:$H,$E:$E=F71))"),1.0)</f>
        <v>1</v>
      </c>
    </row>
    <row r="72">
      <c r="A72" s="4"/>
      <c r="C72" s="4" t="s">
        <v>1641</v>
      </c>
      <c r="D72" s="4" t="str">
        <f t="shared" si="1"/>
        <v>{"valorA":"laminado","valorB":1.0}</v>
      </c>
      <c r="E72" s="8" t="str">
        <f t="shared" si="2"/>
        <v>laminado</v>
      </c>
      <c r="F72" s="8" t="str">
        <f>IFERROR(__xludf.DUMMYFUNCTION("""COMPUTED_VALUE"""),"tanto")</f>
        <v>tanto</v>
      </c>
      <c r="G72" s="8" t="str">
        <f t="shared" si="3"/>
        <v>1.0</v>
      </c>
      <c r="H72" s="9">
        <f t="shared" si="4"/>
        <v>1</v>
      </c>
      <c r="I72" s="10">
        <f>IFERROR(__xludf.DUMMYFUNCTION("MAX(FILTER($H:$H,$E:$E=F72))"),2.0)</f>
        <v>2</v>
      </c>
    </row>
    <row r="73">
      <c r="A73" s="4"/>
      <c r="C73" s="4" t="s">
        <v>234</v>
      </c>
      <c r="D73" s="4" t="str">
        <f t="shared" si="1"/>
        <v>{"valorA":"para","valorB":4.0}</v>
      </c>
      <c r="E73" s="8" t="str">
        <f t="shared" si="2"/>
        <v>para</v>
      </c>
      <c r="F73" s="8" t="str">
        <f>IFERROR(__xludf.DUMMYFUNCTION("""COMPUTED_VALUE"""),"queria")</f>
        <v>queria</v>
      </c>
      <c r="G73" s="8" t="str">
        <f t="shared" si="3"/>
        <v>4.0</v>
      </c>
      <c r="H73" s="9">
        <f t="shared" si="4"/>
        <v>4</v>
      </c>
      <c r="I73" s="10">
        <f>IFERROR(__xludf.DUMMYFUNCTION("MAX(FILTER($H:$H,$E:$E=F73))"),1.0)</f>
        <v>1</v>
      </c>
    </row>
    <row r="74">
      <c r="A74" s="4"/>
      <c r="C74" s="4" t="s">
        <v>9979</v>
      </c>
      <c r="D74" s="4" t="str">
        <f t="shared" si="1"/>
        <v>{"valorA":"fiquei","valorB":1.0}</v>
      </c>
      <c r="E74" s="8" t="str">
        <f t="shared" si="2"/>
        <v>fiquei</v>
      </c>
      <c r="F74" s="8" t="str">
        <f>IFERROR(__xludf.DUMMYFUNCTION("""COMPUTED_VALUE"""),"frio")</f>
        <v>frio</v>
      </c>
      <c r="G74" s="8" t="str">
        <f t="shared" si="3"/>
        <v>1.0</v>
      </c>
      <c r="H74" s="9">
        <f t="shared" si="4"/>
        <v>1</v>
      </c>
      <c r="I74" s="10">
        <f>IFERROR(__xludf.DUMMYFUNCTION("MAX(FILTER($H:$H,$E:$E=F74))"),1.0)</f>
        <v>1</v>
      </c>
    </row>
    <row r="75">
      <c r="A75" s="4"/>
      <c r="C75" s="4" t="s">
        <v>634</v>
      </c>
      <c r="D75" s="4" t="str">
        <f t="shared" si="1"/>
        <v>{"valorA":"bem","valorB":2.0}</v>
      </c>
      <c r="E75" s="8" t="str">
        <f t="shared" si="2"/>
        <v>bem</v>
      </c>
      <c r="F75" s="8" t="str">
        <f>IFERROR(__xludf.DUMMYFUNCTION("""COMPUTED_VALUE"""),"eu")</f>
        <v>eu</v>
      </c>
      <c r="G75" s="8" t="str">
        <f t="shared" si="3"/>
        <v>2.0</v>
      </c>
      <c r="H75" s="9">
        <f t="shared" si="4"/>
        <v>2</v>
      </c>
      <c r="I75" s="10">
        <f>IFERROR(__xludf.DUMMYFUNCTION("MAX(FILTER($H:$H,$E:$E=F75))"),1.0)</f>
        <v>1</v>
      </c>
    </row>
    <row r="76">
      <c r="A76" s="4"/>
      <c r="C76" s="4" t="s">
        <v>351</v>
      </c>
      <c r="D76" s="4" t="str">
        <f t="shared" si="1"/>
        <v>{"valorA":"o","valorB":3.0}</v>
      </c>
      <c r="E76" s="8" t="str">
        <f t="shared" si="2"/>
        <v>o</v>
      </c>
      <c r="F76" s="8" t="str">
        <f>IFERROR(__xludf.DUMMYFUNCTION("""COMPUTED_VALUE"""),"cadeado")</f>
        <v>cadeado</v>
      </c>
      <c r="G76" s="8" t="str">
        <f t="shared" si="3"/>
        <v>3.0</v>
      </c>
      <c r="H76" s="9">
        <f t="shared" si="4"/>
        <v>3</v>
      </c>
      <c r="I76" s="10">
        <f>IFERROR(__xludf.DUMMYFUNCTION("MAX(FILTER($H:$H,$E:$E=F76))"),3.0)</f>
        <v>3</v>
      </c>
    </row>
    <row r="77">
      <c r="A77" s="4"/>
      <c r="C77" s="4" t="s">
        <v>208</v>
      </c>
      <c r="D77" s="4" t="str">
        <f t="shared" si="1"/>
        <v>{"valorA":"carro","valorB":1.0}</v>
      </c>
      <c r="E77" s="8" t="str">
        <f t="shared" si="2"/>
        <v>carro</v>
      </c>
      <c r="F77" s="8" t="str">
        <f>IFERROR(__xludf.DUMMYFUNCTION("""COMPUTED_VALUE"""),"portas")</f>
        <v>portas</v>
      </c>
      <c r="G77" s="8" t="str">
        <f t="shared" si="3"/>
        <v>1.0</v>
      </c>
      <c r="H77" s="9">
        <f t="shared" si="4"/>
        <v>1</v>
      </c>
      <c r="I77" s="10">
        <f>IFERROR(__xludf.DUMMYFUNCTION("MAX(FILTER($H:$H,$E:$E=F77))"),2.0)</f>
        <v>2</v>
      </c>
    </row>
    <row r="78">
      <c r="A78" s="4"/>
      <c r="C78" s="4" t="s">
        <v>9980</v>
      </c>
      <c r="D78" s="4" t="str">
        <f t="shared" si="1"/>
        <v>{"valorA":"eficiênte","valorB":1.0}</v>
      </c>
      <c r="E78" s="8" t="str">
        <f t="shared" si="2"/>
        <v>eficiênte</v>
      </c>
      <c r="F78" s="8" t="str">
        <f>IFERROR(__xludf.DUMMYFUNCTION("""COMPUTED_VALUE"""),"refrigerante")</f>
        <v>refrigerante</v>
      </c>
      <c r="G78" s="8" t="str">
        <f t="shared" si="3"/>
        <v>1.0</v>
      </c>
      <c r="H78" s="9">
        <f t="shared" si="4"/>
        <v>1</v>
      </c>
      <c r="I78" s="10">
        <f>IFERROR(__xludf.DUMMYFUNCTION("MAX(FILTER($H:$H,$E:$E=F78))"),2.0)</f>
        <v>2</v>
      </c>
    </row>
    <row r="79">
      <c r="A79" s="4"/>
      <c r="C79" s="4" t="s">
        <v>605</v>
      </c>
      <c r="D79" s="4" t="str">
        <f t="shared" si="1"/>
        <v>{"valorA":"ótimo","valorB":8.0}</v>
      </c>
      <c r="E79" s="8" t="str">
        <f t="shared" si="2"/>
        <v>ótimo</v>
      </c>
      <c r="F79" s="8" t="str">
        <f>IFERROR(__xludf.DUMMYFUNCTION("""COMPUTED_VALUE"""),"como")</f>
        <v>como</v>
      </c>
      <c r="G79" s="8" t="str">
        <f t="shared" si="3"/>
        <v>8.0</v>
      </c>
      <c r="H79" s="9">
        <f t="shared" si="4"/>
        <v>8</v>
      </c>
      <c r="I79" s="10">
        <f>IFERROR(__xludf.DUMMYFUNCTION("MAX(FILTER($H:$H,$E:$E=F79))"),1.0)</f>
        <v>1</v>
      </c>
    </row>
    <row r="80">
      <c r="A80" s="4"/>
      <c r="C80" s="4" t="s">
        <v>192</v>
      </c>
      <c r="D80" s="4" t="str">
        <f t="shared" si="1"/>
        <v>{"valorA":"esse","valorB":1.0}</v>
      </c>
      <c r="E80" s="8" t="str">
        <f t="shared" si="2"/>
        <v>esse</v>
      </c>
      <c r="F80" s="8" t="str">
        <f>IFERROR(__xludf.DUMMYFUNCTION("""COMPUTED_VALUE"""),"eletrônico")</f>
        <v>eletrônico</v>
      </c>
      <c r="G80" s="8" t="str">
        <f t="shared" si="3"/>
        <v>1.0</v>
      </c>
      <c r="H80" s="9">
        <f t="shared" si="4"/>
        <v>1</v>
      </c>
      <c r="I80" s="10">
        <f>IFERROR(__xludf.DUMMYFUNCTION("MAX(FILTER($H:$H,$E:$E=F80))"),1.0)</f>
        <v>1</v>
      </c>
    </row>
    <row r="81">
      <c r="A81" s="4"/>
      <c r="C81" s="4" t="s">
        <v>262</v>
      </c>
      <c r="D81" s="4" t="str">
        <f t="shared" si="1"/>
        <v>{"valorA":"muito","valorB":5.0}</v>
      </c>
      <c r="E81" s="8" t="str">
        <f t="shared" si="2"/>
        <v>muito</v>
      </c>
      <c r="F81" s="8" t="str">
        <f>IFERROR(__xludf.DUMMYFUNCTION("""COMPUTED_VALUE"""),"comprar")</f>
        <v>comprar</v>
      </c>
      <c r="G81" s="8" t="str">
        <f t="shared" si="3"/>
        <v>5.0</v>
      </c>
      <c r="H81" s="9">
        <f t="shared" si="4"/>
        <v>5</v>
      </c>
      <c r="I81" s="10">
        <f>IFERROR(__xludf.DUMMYFUNCTION("MAX(FILTER($H:$H,$E:$E=F81))"),3.0)</f>
        <v>3</v>
      </c>
    </row>
    <row r="82">
      <c r="A82" s="4"/>
      <c r="C82" s="4" t="s">
        <v>215</v>
      </c>
      <c r="D82" s="4" t="str">
        <f t="shared" si="1"/>
        <v>{"valorA":"satisfeito","valorB":1.0}</v>
      </c>
      <c r="E82" s="8" t="str">
        <f t="shared" si="2"/>
        <v>satisfeito</v>
      </c>
      <c r="F82" s="8" t="str">
        <f>IFERROR(__xludf.DUMMYFUNCTION("""COMPUTED_VALUE"""),"recomendo")</f>
        <v>recomendo</v>
      </c>
      <c r="G82" s="8" t="str">
        <f t="shared" si="3"/>
        <v>1.0</v>
      </c>
      <c r="H82" s="9">
        <f t="shared" si="4"/>
        <v>1</v>
      </c>
      <c r="I82" s="10">
        <f>IFERROR(__xludf.DUMMYFUNCTION("MAX(FILTER($H:$H,$E:$E=F82))"),4.0)</f>
        <v>4</v>
      </c>
    </row>
    <row r="83">
      <c r="A83" s="4"/>
      <c r="C83" s="4" t="s">
        <v>1630</v>
      </c>
      <c r="D83" s="4" t="str">
        <f t="shared" si="1"/>
        <v>{"valorA":"geladeira","valorB":2.0}</v>
      </c>
      <c r="E83" s="8" t="str">
        <f t="shared" si="2"/>
        <v>geladeira</v>
      </c>
      <c r="F83" s="8" t="str">
        <f>IFERROR(__xludf.DUMMYFUNCTION("""COMPUTED_VALUE"""),"valeu")</f>
        <v>valeu</v>
      </c>
      <c r="G83" s="8" t="str">
        <f t="shared" si="3"/>
        <v>2.0</v>
      </c>
      <c r="H83" s="9">
        <f t="shared" si="4"/>
        <v>2</v>
      </c>
      <c r="I83" s="10">
        <f>IFERROR(__xludf.DUMMYFUNCTION("MAX(FILTER($H:$H,$E:$E=F83))"),3.0)</f>
        <v>3</v>
      </c>
    </row>
    <row r="84">
      <c r="A84" s="4"/>
      <c r="C84" s="4" t="s">
        <v>631</v>
      </c>
      <c r="D84" s="4" t="str">
        <f t="shared" si="1"/>
        <v>{"valorA":"funciona","valorB":2.0}</v>
      </c>
      <c r="E84" s="8" t="str">
        <f t="shared" si="2"/>
        <v>funciona</v>
      </c>
      <c r="F84" s="8" t="str">
        <f>IFERROR(__xludf.DUMMYFUNCTION("""COMPUTED_VALUE"""),"pena")</f>
        <v>pena</v>
      </c>
      <c r="G84" s="8" t="str">
        <f t="shared" si="3"/>
        <v>2.0</v>
      </c>
      <c r="H84" s="9">
        <f t="shared" si="4"/>
        <v>2</v>
      </c>
      <c r="I84" s="10">
        <f>IFERROR(__xludf.DUMMYFUNCTION("MAX(FILTER($H:$H,$E:$E=F84))"),3.0)</f>
        <v>3</v>
      </c>
    </row>
    <row r="85">
      <c r="A85" s="4"/>
      <c r="C85" s="4" t="s">
        <v>9981</v>
      </c>
      <c r="D85" s="4" t="str">
        <f t="shared" si="1"/>
        <v>{"valorA":"simples","valorB":1.0}</v>
      </c>
      <c r="E85" s="8" t="str">
        <f t="shared" si="2"/>
        <v>simples</v>
      </c>
      <c r="F85" s="8" t="str">
        <f>IFERROR(__xludf.DUMMYFUNCTION("""COMPUTED_VALUE"""),"fortemente")</f>
        <v>fortemente</v>
      </c>
      <c r="G85" s="8" t="str">
        <f t="shared" si="3"/>
        <v>1.0</v>
      </c>
      <c r="H85" s="9">
        <f t="shared" si="4"/>
        <v>1</v>
      </c>
      <c r="I85" s="10">
        <f>IFERROR(__xludf.DUMMYFUNCTION("MAX(FILTER($H:$H,$E:$E=F85))"),1.0)</f>
        <v>1</v>
      </c>
    </row>
    <row r="86">
      <c r="A86" s="4"/>
      <c r="C86" s="4" t="s">
        <v>404</v>
      </c>
      <c r="D86" s="4" t="str">
        <f t="shared" si="1"/>
        <v>{"valorA":"com","valorB":3.0}</v>
      </c>
      <c r="E86" s="8" t="str">
        <f t="shared" si="2"/>
        <v>com</v>
      </c>
      <c r="F86" s="8" t="str">
        <f>IFERROR(__xludf.DUMMYFUNCTION("""COMPUTED_VALUE"""),"realmente")</f>
        <v>realmente</v>
      </c>
      <c r="G86" s="8" t="str">
        <f t="shared" si="3"/>
        <v>3.0</v>
      </c>
      <c r="H86" s="9">
        <f t="shared" si="4"/>
        <v>3</v>
      </c>
      <c r="I86" s="10">
        <f>IFERROR(__xludf.DUMMYFUNCTION("MAX(FILTER($H:$H,$E:$E=F86))"),1.0)</f>
        <v>1</v>
      </c>
    </row>
    <row r="87">
      <c r="A87" s="4"/>
      <c r="C87" s="4" t="s">
        <v>456</v>
      </c>
      <c r="D87" s="4" t="str">
        <f t="shared" si="1"/>
        <v>{"valorA":"bastante","valorB":1.0}</v>
      </c>
      <c r="E87" s="8" t="str">
        <f t="shared" si="2"/>
        <v>bastante</v>
      </c>
      <c r="F87" s="8" t="str">
        <f>IFERROR(__xludf.DUMMYFUNCTION("""COMPUTED_VALUE"""),"confiável")</f>
        <v>confiável</v>
      </c>
      <c r="G87" s="8" t="str">
        <f t="shared" si="3"/>
        <v>1.0</v>
      </c>
      <c r="H87" s="9">
        <f t="shared" si="4"/>
        <v>1</v>
      </c>
      <c r="I87" s="10">
        <f>IFERROR(__xludf.DUMMYFUNCTION("MAX(FILTER($H:$H,$E:$E=F87))"),1.0)</f>
        <v>1</v>
      </c>
    </row>
    <row r="88">
      <c r="A88" s="4"/>
      <c r="C88" s="4" t="s">
        <v>640</v>
      </c>
      <c r="D88" s="4" t="str">
        <f t="shared" si="1"/>
        <v>{"valorA":"usar","valorB":1.0}</v>
      </c>
      <c r="E88" s="8" t="str">
        <f t="shared" si="2"/>
        <v>usar</v>
      </c>
      <c r="F88" s="8" t="str">
        <f>IFERROR(__xludf.DUMMYFUNCTION("""COMPUTED_VALUE"""),"ama")</f>
        <v>ama</v>
      </c>
      <c r="G88" s="8" t="str">
        <f t="shared" si="3"/>
        <v>1.0</v>
      </c>
      <c r="H88" s="9">
        <f t="shared" si="4"/>
        <v>1</v>
      </c>
      <c r="I88" s="10">
        <f>IFERROR(__xludf.DUMMYFUNCTION("MAX(FILTER($H:$H,$E:$E=F88))"),1.0)</f>
        <v>1</v>
      </c>
    </row>
    <row r="89">
      <c r="A89" s="4"/>
      <c r="C89" s="4" t="s">
        <v>255</v>
      </c>
      <c r="D89" s="4" t="str">
        <f t="shared" si="1"/>
        <v>{"valorA":"de","valorB":3.0}</v>
      </c>
      <c r="E89" s="8" t="str">
        <f t="shared" si="2"/>
        <v>de</v>
      </c>
      <c r="F89" s="8" t="str">
        <f>IFERROR(__xludf.DUMMYFUNCTION("""COMPUTED_VALUE"""),"meu")</f>
        <v>meu</v>
      </c>
      <c r="G89" s="8" t="str">
        <f t="shared" si="3"/>
        <v>3.0</v>
      </c>
      <c r="H89" s="9">
        <f t="shared" si="4"/>
        <v>3</v>
      </c>
      <c r="I89" s="10">
        <f>IFERROR(__xludf.DUMMYFUNCTION("MAX(FILTER($H:$H,$E:$E=F89))"),3.0)</f>
        <v>3</v>
      </c>
    </row>
    <row r="90">
      <c r="A90" s="4"/>
      <c r="C90" s="4" t="s">
        <v>187</v>
      </c>
      <c r="D90" s="4" t="str">
        <f t="shared" si="1"/>
        <v>{"valorA":"gosto","valorB":1.0}</v>
      </c>
      <c r="E90" s="8" t="str">
        <f t="shared" si="2"/>
        <v>gosto</v>
      </c>
      <c r="F90" s="8" t="str">
        <f>IFERROR(__xludf.DUMMYFUNCTION("""COMPUTED_VALUE"""),"rede")</f>
        <v>rede</v>
      </c>
      <c r="G90" s="8" t="str">
        <f t="shared" si="3"/>
        <v>1.0</v>
      </c>
      <c r="H90" s="9">
        <f t="shared" si="4"/>
        <v>1</v>
      </c>
      <c r="I90" s="10">
        <f>IFERROR(__xludf.DUMMYFUNCTION("MAX(FILTER($H:$H,$E:$E=F90))"),1.0)</f>
        <v>1</v>
      </c>
    </row>
    <row r="91">
      <c r="A91" s="4"/>
      <c r="C91" s="4" t="s">
        <v>1025</v>
      </c>
      <c r="D91" s="4" t="str">
        <f t="shared" si="1"/>
        <v>{"valorA":"aparelho","valorB":2.0}</v>
      </c>
      <c r="E91" s="8" t="str">
        <f t="shared" si="2"/>
        <v>aparelho</v>
      </c>
      <c r="F91" s="8" t="str">
        <f>IFERROR(__xludf.DUMMYFUNCTION("""COMPUTED_VALUE"""),"balança")</f>
        <v>balança</v>
      </c>
      <c r="G91" s="8" t="str">
        <f t="shared" si="3"/>
        <v>2.0</v>
      </c>
      <c r="H91" s="9">
        <f t="shared" si="4"/>
        <v>2</v>
      </c>
      <c r="I91" s="10">
        <f>IFERROR(__xludf.DUMMYFUNCTION("MAX(FILTER($H:$H,$E:$E=F91))"),1.0)</f>
        <v>1</v>
      </c>
    </row>
    <row r="92">
      <c r="A92" s="4"/>
      <c r="C92" s="4" t="s">
        <v>242</v>
      </c>
      <c r="D92" s="4" t="str">
        <f t="shared" si="1"/>
        <v>{"valorA":"ótimo","valorB":9.0}</v>
      </c>
      <c r="E92" s="8" t="str">
        <f t="shared" si="2"/>
        <v>ótimo</v>
      </c>
      <c r="F92" s="8" t="str">
        <f>IFERROR(__xludf.DUMMYFUNCTION("""COMPUTED_VALUE"""),"servidor")</f>
        <v>servidor</v>
      </c>
      <c r="G92" s="8" t="str">
        <f t="shared" si="3"/>
        <v>9.0</v>
      </c>
      <c r="H92" s="9">
        <f t="shared" si="4"/>
        <v>9</v>
      </c>
      <c r="I92" s="10">
        <f>IFERROR(__xludf.DUMMYFUNCTION("MAX(FILTER($H:$H,$E:$E=F92))"),1.0)</f>
        <v>1</v>
      </c>
    </row>
    <row r="93">
      <c r="A93" s="4"/>
      <c r="C93" s="4" t="s">
        <v>662</v>
      </c>
      <c r="D93" s="4" t="str">
        <f t="shared" si="1"/>
        <v>{"valorA":"muito","valorB":6.0}</v>
      </c>
      <c r="E93" s="8" t="str">
        <f t="shared" si="2"/>
        <v>muito</v>
      </c>
      <c r="F93" s="8" t="str">
        <f>IFERROR(__xludf.DUMMYFUNCTION("""COMPUTED_VALUE"""),"dormentes")</f>
        <v>dormentes</v>
      </c>
      <c r="G93" s="8" t="str">
        <f t="shared" si="3"/>
        <v>6.0</v>
      </c>
      <c r="H93" s="9">
        <f t="shared" si="4"/>
        <v>6</v>
      </c>
      <c r="I93" s="10">
        <f>IFERROR(__xludf.DUMMYFUNCTION("MAX(FILTER($H:$H,$E:$E=F93))"),1.0)</f>
        <v>1</v>
      </c>
    </row>
    <row r="94">
      <c r="A94" s="4"/>
      <c r="C94" s="4" t="s">
        <v>580</v>
      </c>
      <c r="D94" s="4" t="str">
        <f t="shared" si="1"/>
        <v>{"valorA":"a","valorB":1.0}</v>
      </c>
      <c r="E94" s="8" t="str">
        <f t="shared" si="2"/>
        <v>a</v>
      </c>
      <c r="F94" s="8" t="str">
        <f>IFERROR(__xludf.DUMMYFUNCTION("""COMPUTED_VALUE"""),"filho")</f>
        <v>filho</v>
      </c>
      <c r="G94" s="8" t="str">
        <f t="shared" si="3"/>
        <v>1.0</v>
      </c>
      <c r="H94" s="9">
        <f t="shared" si="4"/>
        <v>1</v>
      </c>
      <c r="I94" s="10">
        <f>IFERROR(__xludf.DUMMYFUNCTION("MAX(FILTER($H:$H,$E:$E=F94))"),1.0)</f>
        <v>1</v>
      </c>
    </row>
    <row r="95">
      <c r="A95" s="4"/>
      <c r="C95" s="4" t="s">
        <v>9982</v>
      </c>
      <c r="D95" s="4" t="str">
        <f t="shared" si="1"/>
        <v>{"valorA":"comp","valorB":1.0}</v>
      </c>
      <c r="E95" s="8" t="str">
        <f t="shared" si="2"/>
        <v>comp</v>
      </c>
      <c r="F95" s="8" t="str">
        <f>IFERROR(__xludf.DUMMYFUNCTION("""COMPUTED_VALUE"""),"modelo")</f>
        <v>modelo</v>
      </c>
      <c r="G95" s="8" t="str">
        <f t="shared" si="3"/>
        <v>1.0</v>
      </c>
      <c r="H95" s="9">
        <f t="shared" si="4"/>
        <v>1</v>
      </c>
      <c r="I95" s="10">
        <f>IFERROR(__xludf.DUMMYFUNCTION("MAX(FILTER($H:$H,$E:$E=F95))"),6.0)</f>
        <v>6</v>
      </c>
    </row>
    <row r="96">
      <c r="A96" s="4"/>
      <c r="C96" s="4" t="s">
        <v>403</v>
      </c>
      <c r="D96" s="4" t="str">
        <f t="shared" si="1"/>
        <v>{"valorA":"para","valorB":5.0}</v>
      </c>
      <c r="E96" s="8" t="str">
        <f t="shared" si="2"/>
        <v>para</v>
      </c>
      <c r="F96" s="8" t="str">
        <f>IFERROR(__xludf.DUMMYFUNCTION("""COMPUTED_VALUE"""),"desejam")</f>
        <v>desejam</v>
      </c>
      <c r="G96" s="8" t="str">
        <f t="shared" si="3"/>
        <v>5.0</v>
      </c>
      <c r="H96" s="9">
        <f t="shared" si="4"/>
        <v>5</v>
      </c>
      <c r="I96" s="10">
        <f>IFERROR(__xludf.DUMMYFUNCTION("MAX(FILTER($H:$H,$E:$E=F96))"),1.0)</f>
        <v>1</v>
      </c>
    </row>
    <row r="97">
      <c r="A97" s="4"/>
      <c r="C97" s="4" t="s">
        <v>9983</v>
      </c>
      <c r="D97" s="4" t="str">
        <f t="shared" si="1"/>
        <v>{"valorA":"tanto","valorB":1.0}</v>
      </c>
      <c r="E97" s="8" t="str">
        <f t="shared" si="2"/>
        <v>tanto</v>
      </c>
      <c r="F97" s="8" t="str">
        <f>IFERROR(__xludf.DUMMYFUNCTION("""COMPUTED_VALUE"""),"saúde")</f>
        <v>saúde</v>
      </c>
      <c r="G97" s="8" t="str">
        <f t="shared" si="3"/>
        <v>1.0</v>
      </c>
      <c r="H97" s="9">
        <f t="shared" si="4"/>
        <v>1</v>
      </c>
      <c r="I97" s="10">
        <f>IFERROR(__xludf.DUMMYFUNCTION("MAX(FILTER($H:$H,$E:$E=F97))"),1.0)</f>
        <v>1</v>
      </c>
    </row>
    <row r="98">
      <c r="A98" s="4"/>
      <c r="C98" s="4" t="s">
        <v>9984</v>
      </c>
      <c r="D98" s="4" t="str">
        <f t="shared" si="1"/>
        <v>{"valorA":"queria","valorB":1.0}</v>
      </c>
      <c r="E98" s="8" t="str">
        <f t="shared" si="2"/>
        <v>queria</v>
      </c>
      <c r="F98" s="8" t="str">
        <f>IFERROR(__xludf.DUMMYFUNCTION("""COMPUTED_VALUE"""),"aqueles")</f>
        <v>aqueles</v>
      </c>
      <c r="G98" s="8" t="str">
        <f t="shared" si="3"/>
        <v>1.0</v>
      </c>
      <c r="H98" s="9">
        <f t="shared" si="4"/>
        <v>1</v>
      </c>
      <c r="I98" s="10">
        <f>IFERROR(__xludf.DUMMYFUNCTION("MAX(FILTER($H:$H,$E:$E=F98))"),1.0)</f>
        <v>1</v>
      </c>
    </row>
    <row r="99">
      <c r="A99" s="4"/>
      <c r="C99" s="4" t="s">
        <v>9985</v>
      </c>
      <c r="D99" s="4" t="str">
        <f t="shared" si="1"/>
        <v>{"valorA":"frio","valorB":1.0}</v>
      </c>
      <c r="E99" s="8" t="str">
        <f t="shared" si="2"/>
        <v>frio</v>
      </c>
      <c r="F99" s="8" t="str">
        <f>IFERROR(__xludf.DUMMYFUNCTION("""COMPUTED_VALUE"""),"desse")</f>
        <v>desse</v>
      </c>
      <c r="G99" s="8" t="str">
        <f t="shared" si="3"/>
        <v>1.0</v>
      </c>
      <c r="H99" s="9">
        <f t="shared" si="4"/>
        <v>1</v>
      </c>
      <c r="I99" s="10">
        <f>IFERROR(__xludf.DUMMYFUNCTION("MAX(FILTER($H:$H,$E:$E=F99))"),4.0)</f>
        <v>4</v>
      </c>
    </row>
    <row r="100">
      <c r="A100" s="4"/>
      <c r="C100" s="4" t="s">
        <v>732</v>
      </c>
      <c r="D100" s="4" t="str">
        <f t="shared" si="1"/>
        <v>{"valorA":"eu","valorB":1.0}</v>
      </c>
      <c r="E100" s="8" t="str">
        <f t="shared" si="2"/>
        <v>eu</v>
      </c>
      <c r="F100" s="8" t="str">
        <f>IFERROR(__xludf.DUMMYFUNCTION("""COMPUTED_VALUE"""),"felicidade")</f>
        <v>felicidade</v>
      </c>
      <c r="G100" s="8" t="str">
        <f t="shared" si="3"/>
        <v>1.0</v>
      </c>
      <c r="H100" s="9">
        <f t="shared" si="4"/>
        <v>1</v>
      </c>
      <c r="I100" s="10">
        <f>IFERROR(__xludf.DUMMYFUNCTION("MAX(FILTER($H:$H,$E:$E=F100))"),1.0)</f>
        <v>1</v>
      </c>
    </row>
    <row r="101">
      <c r="A101" s="4"/>
      <c r="C101" s="4" t="s">
        <v>9986</v>
      </c>
      <c r="D101" s="4" t="str">
        <f t="shared" si="1"/>
        <v>{"valorA":"cadeado","valorB":1.0}</v>
      </c>
      <c r="E101" s="8" t="str">
        <f t="shared" si="2"/>
        <v>cadeado</v>
      </c>
      <c r="F101" s="8" t="str">
        <f>IFERROR(__xludf.DUMMYFUNCTION("""COMPUTED_VALUE"""),"aquisição")</f>
        <v>aquisição</v>
      </c>
      <c r="G101" s="8" t="str">
        <f t="shared" si="3"/>
        <v>1.0</v>
      </c>
      <c r="H101" s="9">
        <f t="shared" si="4"/>
        <v>1</v>
      </c>
      <c r="I101" s="10">
        <f>IFERROR(__xludf.DUMMYFUNCTION("MAX(FILTER($H:$H,$E:$E=F101))"),1.0)</f>
        <v>1</v>
      </c>
    </row>
    <row r="102">
      <c r="A102" s="4"/>
      <c r="C102" s="4" t="s">
        <v>9987</v>
      </c>
      <c r="D102" s="4" t="str">
        <f t="shared" si="1"/>
        <v>{"valorA":"portas","valorB":1.0}</v>
      </c>
      <c r="E102" s="8" t="str">
        <f t="shared" si="2"/>
        <v>portas</v>
      </c>
      <c r="F102" s="8" t="str">
        <f>IFERROR(__xludf.DUMMYFUNCTION("""COMPUTED_VALUE"""),"incorporado")</f>
        <v>incorporado</v>
      </c>
      <c r="G102" s="8" t="str">
        <f t="shared" si="3"/>
        <v>1.0</v>
      </c>
      <c r="H102" s="9">
        <f t="shared" si="4"/>
        <v>1</v>
      </c>
      <c r="I102" s="10">
        <f>IFERROR(__xludf.DUMMYFUNCTION("MAX(FILTER($H:$H,$E:$E=F102))"),1.0)</f>
        <v>1</v>
      </c>
    </row>
    <row r="103">
      <c r="A103" s="4"/>
      <c r="C103" s="4" t="s">
        <v>1026</v>
      </c>
      <c r="D103" s="4" t="str">
        <f t="shared" si="1"/>
        <v>{"valorA":"óptimo","valorB":2.0}</v>
      </c>
      <c r="E103" s="8" t="str">
        <f t="shared" si="2"/>
        <v>óptimo</v>
      </c>
      <c r="F103" s="8" t="str">
        <f>IFERROR(__xludf.DUMMYFUNCTION("""COMPUTED_VALUE"""),"microondas")</f>
        <v>microondas</v>
      </c>
      <c r="G103" s="8" t="str">
        <f t="shared" si="3"/>
        <v>2.0</v>
      </c>
      <c r="H103" s="9">
        <f t="shared" si="4"/>
        <v>2</v>
      </c>
      <c r="I103" s="10">
        <f>IFERROR(__xludf.DUMMYFUNCTION("MAX(FILTER($H:$H,$E:$E=F103))"),1.0)</f>
        <v>1</v>
      </c>
    </row>
    <row r="104">
      <c r="A104" s="4"/>
      <c r="C104" s="4" t="s">
        <v>612</v>
      </c>
      <c r="D104" s="4" t="str">
        <f t="shared" si="1"/>
        <v>{"valorA":"ótimo","valorB":10.0}</v>
      </c>
      <c r="E104" s="8" t="str">
        <f t="shared" si="2"/>
        <v>ótimo</v>
      </c>
      <c r="F104" s="8" t="str">
        <f>IFERROR(__xludf.DUMMYFUNCTION("""COMPUTED_VALUE"""),"congelador")</f>
        <v>congelador</v>
      </c>
      <c r="G104" s="8" t="str">
        <f t="shared" si="3"/>
        <v>10.0</v>
      </c>
      <c r="H104" s="9">
        <f t="shared" si="4"/>
        <v>10</v>
      </c>
      <c r="I104" s="10">
        <f>IFERROR(__xludf.DUMMYFUNCTION("MAX(FILTER($H:$H,$E:$E=F104))"),1.0)</f>
        <v>1</v>
      </c>
    </row>
    <row r="105">
      <c r="A105" s="4"/>
      <c r="C105" s="4" t="s">
        <v>486</v>
      </c>
      <c r="D105" s="4" t="str">
        <f t="shared" si="1"/>
        <v>{"valorA":"refrigerante","valorB":1.0}</v>
      </c>
      <c r="E105" s="8" t="str">
        <f t="shared" si="2"/>
        <v>refrigerante</v>
      </c>
      <c r="F105" s="8" t="str">
        <f>IFERROR(__xludf.DUMMYFUNCTION("""COMPUTED_VALUE"""),"bancária")</f>
        <v>bancária</v>
      </c>
      <c r="G105" s="8" t="str">
        <f t="shared" si="3"/>
        <v>1.0</v>
      </c>
      <c r="H105" s="9">
        <f t="shared" si="4"/>
        <v>1</v>
      </c>
      <c r="I105" s="10">
        <f>IFERROR(__xludf.DUMMYFUNCTION("MAX(FILTER($H:$H,$E:$E=F105))"),1.0)</f>
        <v>1</v>
      </c>
    </row>
    <row r="106">
      <c r="A106" s="4"/>
      <c r="C106" s="4" t="s">
        <v>228</v>
      </c>
      <c r="D106" s="4" t="str">
        <f t="shared" si="1"/>
        <v>{"valorA":"esse","valorB":2.0}</v>
      </c>
      <c r="E106" s="8" t="str">
        <f t="shared" si="2"/>
        <v>esse</v>
      </c>
      <c r="F106" s="8" t="str">
        <f>IFERROR(__xludf.DUMMYFUNCTION("""COMPUTED_VALUE"""),"online")</f>
        <v>online</v>
      </c>
      <c r="G106" s="8" t="str">
        <f t="shared" si="3"/>
        <v>2.0</v>
      </c>
      <c r="H106" s="9">
        <f t="shared" si="4"/>
        <v>2</v>
      </c>
      <c r="I106" s="10">
        <f>IFERROR(__xludf.DUMMYFUNCTION("MAX(FILTER($H:$H,$E:$E=F106))"),1.0)</f>
        <v>1</v>
      </c>
    </row>
    <row r="107">
      <c r="A107" s="4"/>
      <c r="C107" s="4" t="s">
        <v>689</v>
      </c>
      <c r="D107" s="4" t="str">
        <f t="shared" si="1"/>
        <v>{"valorA":"perfeitamente","valorB":2.0}</v>
      </c>
      <c r="E107" s="8" t="str">
        <f t="shared" si="2"/>
        <v>perfeitamente</v>
      </c>
      <c r="F107" s="8" t="str">
        <f>IFERROR(__xludf.DUMMYFUNCTION("""COMPUTED_VALUE"""),"fm")</f>
        <v>fm</v>
      </c>
      <c r="G107" s="8" t="str">
        <f t="shared" si="3"/>
        <v>2.0</v>
      </c>
      <c r="H107" s="9">
        <f t="shared" si="4"/>
        <v>2</v>
      </c>
      <c r="I107" s="10">
        <f>IFERROR(__xludf.DUMMYFUNCTION("MAX(FILTER($H:$H,$E:$E=F107))"),3.0)</f>
        <v>3</v>
      </c>
    </row>
    <row r="108">
      <c r="A108" s="4"/>
      <c r="C108" s="4" t="s">
        <v>359</v>
      </c>
      <c r="D108" s="4" t="str">
        <f t="shared" si="1"/>
        <v>{"valorA":"como","valorB":1.0}</v>
      </c>
      <c r="E108" s="8" t="str">
        <f t="shared" si="2"/>
        <v>como</v>
      </c>
      <c r="F108" s="8" t="str">
        <f>IFERROR(__xludf.DUMMYFUNCTION("""COMPUTED_VALUE"""),"serviço")</f>
        <v>serviço</v>
      </c>
      <c r="G108" s="8" t="str">
        <f t="shared" si="3"/>
        <v>1.0</v>
      </c>
      <c r="H108" s="9">
        <f t="shared" si="4"/>
        <v>1</v>
      </c>
      <c r="I108" s="10">
        <f>IFERROR(__xludf.DUMMYFUNCTION("MAX(FILTER($H:$H,$E:$E=F108))"),1.0)</f>
        <v>1</v>
      </c>
    </row>
    <row r="109">
      <c r="A109" s="4"/>
      <c r="C109" s="4" t="s">
        <v>1142</v>
      </c>
      <c r="D109" s="4" t="str">
        <f t="shared" si="1"/>
        <v>{"valorA":"eletrônico","valorB":1.0}</v>
      </c>
      <c r="E109" s="8" t="str">
        <f t="shared" si="2"/>
        <v>eletrônico</v>
      </c>
      <c r="F109" s="8" t="str">
        <f>IFERROR(__xludf.DUMMYFUNCTION("""COMPUTED_VALUE"""),"rádio")</f>
        <v>rádio</v>
      </c>
      <c r="G109" s="8" t="str">
        <f t="shared" si="3"/>
        <v>1.0</v>
      </c>
      <c r="H109" s="9">
        <f t="shared" si="4"/>
        <v>1</v>
      </c>
      <c r="I109" s="10">
        <f>IFERROR(__xludf.DUMMYFUNCTION("MAX(FILTER($H:$H,$E:$E=F109))"),3.0)</f>
        <v>3</v>
      </c>
    </row>
    <row r="110">
      <c r="A110" s="4"/>
      <c r="C110" s="4" t="s">
        <v>636</v>
      </c>
      <c r="D110" s="4" t="str">
        <f t="shared" si="1"/>
        <v>{"valorA":"funciona","valorB":3.0}</v>
      </c>
      <c r="E110" s="8" t="str">
        <f t="shared" si="2"/>
        <v>funciona</v>
      </c>
      <c r="F110" s="8" t="str">
        <f>IFERROR(__xludf.DUMMYFUNCTION("""COMPUTED_VALUE"""),"conta")</f>
        <v>conta</v>
      </c>
      <c r="G110" s="8" t="str">
        <f t="shared" si="3"/>
        <v>3.0</v>
      </c>
      <c r="H110" s="9">
        <f t="shared" si="4"/>
        <v>3</v>
      </c>
      <c r="I110" s="10">
        <f>IFERROR(__xludf.DUMMYFUNCTION("MAX(FILTER($H:$H,$E:$E=F110))"),1.0)</f>
        <v>1</v>
      </c>
    </row>
    <row r="111">
      <c r="A111" s="4"/>
      <c r="C111" s="4" t="s">
        <v>672</v>
      </c>
      <c r="D111" s="4" t="str">
        <f t="shared" si="1"/>
        <v>{"valorA":"comprar","valorB":1.0}</v>
      </c>
      <c r="E111" s="8" t="str">
        <f t="shared" si="2"/>
        <v>comprar</v>
      </c>
      <c r="F111" s="8" t="str">
        <f>IFERROR(__xludf.DUMMYFUNCTION("""COMPUTED_VALUE"""),"horas")</f>
        <v>horas</v>
      </c>
      <c r="G111" s="8" t="str">
        <f t="shared" si="3"/>
        <v>1.0</v>
      </c>
      <c r="H111" s="9">
        <f t="shared" si="4"/>
        <v>1</v>
      </c>
      <c r="I111" s="10">
        <f>IFERROR(__xludf.DUMMYFUNCTION("MAX(FILTER($H:$H,$E:$E=F111))"),1.0)</f>
        <v>1</v>
      </c>
    </row>
    <row r="112">
      <c r="A112" s="4"/>
      <c r="C112" s="4" t="s">
        <v>235</v>
      </c>
      <c r="D112" s="4" t="str">
        <f t="shared" si="1"/>
        <v>{"valorA":"recomendo","valorB":1.0}</v>
      </c>
      <c r="E112" s="8" t="str">
        <f t="shared" si="2"/>
        <v>recomendo</v>
      </c>
      <c r="F112" s="8" t="str">
        <f>IFERROR(__xludf.DUMMYFUNCTION("""COMPUTED_VALUE"""),"dia")</f>
        <v>dia</v>
      </c>
      <c r="G112" s="8" t="str">
        <f t="shared" si="3"/>
        <v>1.0</v>
      </c>
      <c r="H112" s="9">
        <f t="shared" si="4"/>
        <v>1</v>
      </c>
      <c r="I112" s="10">
        <f>IFERROR(__xludf.DUMMYFUNCTION("MAX(FILTER($H:$H,$E:$E=F112))"),2.0)</f>
        <v>2</v>
      </c>
    </row>
    <row r="113">
      <c r="A113" s="4"/>
      <c r="C113" s="4" t="s">
        <v>600</v>
      </c>
      <c r="D113" s="4" t="str">
        <f t="shared" si="1"/>
        <v>{"valorA":"valeu","valorB":1.0}</v>
      </c>
      <c r="E113" s="8" t="str">
        <f t="shared" si="2"/>
        <v>valeu</v>
      </c>
      <c r="F113" s="8" t="str">
        <f>IFERROR(__xludf.DUMMYFUNCTION("""COMPUTED_VALUE"""),"escritório")</f>
        <v>escritório</v>
      </c>
      <c r="G113" s="8" t="str">
        <f t="shared" si="3"/>
        <v>1.0</v>
      </c>
      <c r="H113" s="9">
        <f t="shared" si="4"/>
        <v>1</v>
      </c>
      <c r="I113" s="10">
        <f>IFERROR(__xludf.DUMMYFUNCTION("MAX(FILTER($H:$H,$E:$E=F113))"),2.0)</f>
        <v>2</v>
      </c>
    </row>
    <row r="114">
      <c r="A114" s="4"/>
      <c r="C114" s="4" t="s">
        <v>307</v>
      </c>
      <c r="D114" s="4" t="str">
        <f t="shared" si="1"/>
        <v>{"valorA":"pena","valorB":1.0}</v>
      </c>
      <c r="E114" s="8" t="str">
        <f t="shared" si="2"/>
        <v>pena</v>
      </c>
      <c r="F114" s="8" t="str">
        <f>IFERROR(__xludf.DUMMYFUNCTION("""COMPUTED_VALUE"""),"fica")</f>
        <v>fica</v>
      </c>
      <c r="G114" s="8" t="str">
        <f t="shared" si="3"/>
        <v>1.0</v>
      </c>
      <c r="H114" s="9">
        <f t="shared" si="4"/>
        <v>1</v>
      </c>
      <c r="I114" s="10">
        <f>IFERROR(__xludf.DUMMYFUNCTION("MAX(FILTER($H:$H,$E:$E=F114))"),1.0)</f>
        <v>1</v>
      </c>
    </row>
    <row r="115">
      <c r="A115" s="4"/>
      <c r="C115" s="4" t="s">
        <v>4060</v>
      </c>
      <c r="D115" s="4" t="str">
        <f t="shared" si="1"/>
        <v>{"valorA":"celular","valorB":2.0}</v>
      </c>
      <c r="E115" s="8" t="str">
        <f t="shared" si="2"/>
        <v>celular</v>
      </c>
      <c r="F115" s="8" t="str">
        <f>IFERROR(__xludf.DUMMYFUNCTION("""COMPUTED_VALUE"""),"lavadora")</f>
        <v>lavadora</v>
      </c>
      <c r="G115" s="8" t="str">
        <f t="shared" si="3"/>
        <v>2.0</v>
      </c>
      <c r="H115" s="9">
        <f t="shared" si="4"/>
        <v>2</v>
      </c>
      <c r="I115" s="10">
        <f>IFERROR(__xludf.DUMMYFUNCTION("MAX(FILTER($H:$H,$E:$E=F115))"),2.0)</f>
        <v>2</v>
      </c>
    </row>
    <row r="116">
      <c r="A116" s="4"/>
      <c r="C116" s="4" t="s">
        <v>1575</v>
      </c>
      <c r="D116" s="4" t="str">
        <f t="shared" si="1"/>
        <v>{"valorA":"fortemente","valorB":1.0}</v>
      </c>
      <c r="E116" s="8" t="str">
        <f t="shared" si="2"/>
        <v>fortemente</v>
      </c>
      <c r="F116" s="8" t="str">
        <f>IFERROR(__xludf.DUMMYFUNCTION("""COMPUTED_VALUE"""),"durante")</f>
        <v>durante</v>
      </c>
      <c r="G116" s="8" t="str">
        <f t="shared" si="3"/>
        <v>1.0</v>
      </c>
      <c r="H116" s="9">
        <f t="shared" si="4"/>
        <v>1</v>
      </c>
      <c r="I116" s="10">
        <f>IFERROR(__xludf.DUMMYFUNCTION("MAX(FILTER($H:$H,$E:$E=F116))"),1.0)</f>
        <v>1</v>
      </c>
    </row>
    <row r="117">
      <c r="A117" s="4"/>
      <c r="C117" s="4" t="s">
        <v>9988</v>
      </c>
      <c r="D117" s="4" t="str">
        <f t="shared" si="1"/>
        <v>{"valorA":"telefone","valorB":2.0}</v>
      </c>
      <c r="E117" s="8" t="str">
        <f t="shared" si="2"/>
        <v>telefone</v>
      </c>
      <c r="F117" s="8" t="str">
        <f>IFERROR(__xludf.DUMMYFUNCTION("""COMPUTED_VALUE"""),"econômico")</f>
        <v>econômico</v>
      </c>
      <c r="G117" s="8" t="str">
        <f t="shared" si="3"/>
        <v>2.0</v>
      </c>
      <c r="H117" s="9">
        <f t="shared" si="4"/>
        <v>2</v>
      </c>
      <c r="I117" s="10">
        <f>IFERROR(__xludf.DUMMYFUNCTION("MAX(FILTER($H:$H,$E:$E=F117))"),1.0)</f>
        <v>1</v>
      </c>
    </row>
    <row r="118">
      <c r="A118" s="4"/>
      <c r="C118" s="4" t="s">
        <v>259</v>
      </c>
      <c r="D118" s="4" t="str">
        <f t="shared" si="1"/>
        <v>{"valorA":"ótimo","valorB":12.0}</v>
      </c>
      <c r="E118" s="8" t="str">
        <f t="shared" si="2"/>
        <v>ótimo</v>
      </c>
      <c r="F118" s="8" t="str">
        <f>IFERROR(__xludf.DUMMYFUNCTION("""COMPUTED_VALUE"""),"condicionado")</f>
        <v>condicionado</v>
      </c>
      <c r="G118" s="8" t="str">
        <f t="shared" si="3"/>
        <v>12.0</v>
      </c>
      <c r="H118" s="9">
        <f t="shared" si="4"/>
        <v>12</v>
      </c>
      <c r="I118" s="10">
        <f>IFERROR(__xludf.DUMMYFUNCTION("MAX(FILTER($H:$H,$E:$E=F118))"),1.0)</f>
        <v>1</v>
      </c>
    </row>
    <row r="119">
      <c r="A119" s="4"/>
      <c r="C119" s="4" t="s">
        <v>261</v>
      </c>
      <c r="D119" s="4" t="str">
        <f t="shared" si="1"/>
        <v>{"valorA":"realmente","valorB":1.0}</v>
      </c>
      <c r="E119" s="8" t="str">
        <f t="shared" si="2"/>
        <v>realmente</v>
      </c>
      <c r="F119" s="8" t="str">
        <f>IFERROR(__xludf.DUMMYFUNCTION("""COMPUTED_VALUE"""),"ar")</f>
        <v>ar</v>
      </c>
      <c r="G119" s="8" t="str">
        <f t="shared" si="3"/>
        <v>1.0</v>
      </c>
      <c r="H119" s="9">
        <f t="shared" si="4"/>
        <v>1</v>
      </c>
      <c r="I119" s="10">
        <f>IFERROR(__xludf.DUMMYFUNCTION("MAX(FILTER($H:$H,$E:$E=F119))"),1.0)</f>
        <v>1</v>
      </c>
    </row>
    <row r="120">
      <c r="A120" s="4"/>
      <c r="C120" s="4" t="s">
        <v>264</v>
      </c>
      <c r="D120" s="4" t="str">
        <f t="shared" si="1"/>
        <v>{"valorA":"a","valorB":2.0}</v>
      </c>
      <c r="E120" s="8" t="str">
        <f t="shared" si="2"/>
        <v>a</v>
      </c>
      <c r="F120" s="8" t="str">
        <f>IFERROR(__xludf.DUMMYFUNCTION("""COMPUTED_VALUE"""),"precisa")</f>
        <v>precisa</v>
      </c>
      <c r="G120" s="8" t="str">
        <f t="shared" si="3"/>
        <v>2.0</v>
      </c>
      <c r="H120" s="9">
        <f t="shared" si="4"/>
        <v>2</v>
      </c>
      <c r="I120" s="10">
        <f>IFERROR(__xludf.DUMMYFUNCTION("MAX(FILTER($H:$H,$E:$E=F120))"),1.0)</f>
        <v>1</v>
      </c>
    </row>
    <row r="121">
      <c r="A121" s="4"/>
      <c r="C121" s="4" t="s">
        <v>9989</v>
      </c>
      <c r="D121" s="4" t="str">
        <f t="shared" si="1"/>
        <v>{"valorA":"geladeira","valorB":3.0}</v>
      </c>
      <c r="E121" s="8" t="str">
        <f t="shared" si="2"/>
        <v>geladeira</v>
      </c>
      <c r="F121" s="8" t="str">
        <f>IFERROR(__xludf.DUMMYFUNCTION("""COMPUTED_VALUE"""),"portátil")</f>
        <v>portátil</v>
      </c>
      <c r="G121" s="8" t="str">
        <f t="shared" si="3"/>
        <v>3.0</v>
      </c>
      <c r="H121" s="9">
        <f t="shared" si="4"/>
        <v>3</v>
      </c>
      <c r="I121" s="10">
        <f>IFERROR(__xludf.DUMMYFUNCTION("MAX(FILTER($H:$H,$E:$E=F121))"),1.0)</f>
        <v>1</v>
      </c>
    </row>
    <row r="122">
      <c r="A122" s="4"/>
      <c r="C122" s="4" t="s">
        <v>419</v>
      </c>
      <c r="D122" s="4" t="str">
        <f t="shared" si="1"/>
        <v>{"valorA":"para","valorB":6.0}</v>
      </c>
      <c r="E122" s="8" t="str">
        <f t="shared" si="2"/>
        <v>para</v>
      </c>
      <c r="F122" s="8" t="str">
        <f>IFERROR(__xludf.DUMMYFUNCTION("""COMPUTED_VALUE"""),"quem")</f>
        <v>quem</v>
      </c>
      <c r="G122" s="8" t="str">
        <f t="shared" si="3"/>
        <v>6.0</v>
      </c>
      <c r="H122" s="9">
        <f t="shared" si="4"/>
        <v>6</v>
      </c>
      <c r="I122" s="10">
        <f>IFERROR(__xludf.DUMMYFUNCTION("MAX(FILTER($H:$H,$E:$E=F122))"),2.0)</f>
        <v>2</v>
      </c>
    </row>
    <row r="123">
      <c r="A123" s="4"/>
      <c r="C123" s="4" t="s">
        <v>1269</v>
      </c>
      <c r="D123" s="4" t="str">
        <f t="shared" si="1"/>
        <v>{"valorA":"confiável","valorB":1.0}</v>
      </c>
      <c r="E123" s="8" t="str">
        <f t="shared" si="2"/>
        <v>confiável</v>
      </c>
      <c r="F123" s="8" t="str">
        <f>IFERROR(__xludf.DUMMYFUNCTION("""COMPUTED_VALUE"""),"opção")</f>
        <v>opção</v>
      </c>
      <c r="G123" s="8" t="str">
        <f t="shared" si="3"/>
        <v>1.0</v>
      </c>
      <c r="H123" s="9">
        <f t="shared" si="4"/>
        <v>1</v>
      </c>
      <c r="I123" s="10">
        <f>IFERROR(__xludf.DUMMYFUNCTION("MAX(FILTER($H:$H,$E:$E=F123))"),1.0)</f>
        <v>1</v>
      </c>
    </row>
    <row r="124">
      <c r="A124" s="4"/>
      <c r="C124" s="4" t="s">
        <v>9990</v>
      </c>
      <c r="D124" s="4" t="str">
        <f t="shared" si="1"/>
        <v>{"valorA":"ama","valorB":1.0}</v>
      </c>
      <c r="E124" s="8" t="str">
        <f t="shared" si="2"/>
        <v>ama</v>
      </c>
      <c r="F124" s="8" t="str">
        <f>IFERROR(__xludf.DUMMYFUNCTION("""COMPUTED_VALUE"""),"aquele")</f>
        <v>aquele</v>
      </c>
      <c r="G124" s="8" t="str">
        <f t="shared" si="3"/>
        <v>1.0</v>
      </c>
      <c r="H124" s="9">
        <f t="shared" si="4"/>
        <v>1</v>
      </c>
      <c r="I124" s="10">
        <f>IFERROR(__xludf.DUMMYFUNCTION("MAX(FILTER($H:$H,$E:$E=F124))"),1.0)</f>
        <v>1</v>
      </c>
    </row>
    <row r="125">
      <c r="A125" s="4"/>
      <c r="C125" s="4" t="s">
        <v>200</v>
      </c>
      <c r="D125" s="4" t="str">
        <f t="shared" si="1"/>
        <v>{"valorA":"meu","valorB":1.0}</v>
      </c>
      <c r="E125" s="8" t="str">
        <f t="shared" si="2"/>
        <v>meu</v>
      </c>
      <c r="F125" s="8" t="str">
        <f>IFERROR(__xludf.DUMMYFUNCTION("""COMPUTED_VALUE"""),"é")</f>
        <v>é</v>
      </c>
      <c r="G125" s="8" t="str">
        <f t="shared" si="3"/>
        <v>1.0</v>
      </c>
      <c r="H125" s="9">
        <f t="shared" si="4"/>
        <v>1</v>
      </c>
      <c r="I125" s="10">
        <f>IFERROR(__xludf.DUMMYFUNCTION("MAX(FILTER($H:$H,$E:$E=F125))"),1.0)</f>
        <v>1</v>
      </c>
    </row>
    <row r="126">
      <c r="A126" s="4"/>
      <c r="C126" s="4" t="s">
        <v>223</v>
      </c>
      <c r="D126" s="4" t="str">
        <f t="shared" si="1"/>
        <v>{"valorA":"e","valorB":2.0}</v>
      </c>
      <c r="E126" s="8" t="str">
        <f t="shared" si="2"/>
        <v>e</v>
      </c>
      <c r="F126" s="8" t="str">
        <f>IFERROR(__xludf.DUMMYFUNCTION("""COMPUTED_VALUE"""),"lâmpada")</f>
        <v>lâmpada</v>
      </c>
      <c r="G126" s="8" t="str">
        <f t="shared" si="3"/>
        <v>2.0</v>
      </c>
      <c r="H126" s="9">
        <f t="shared" si="4"/>
        <v>2</v>
      </c>
      <c r="I126" s="10">
        <f>IFERROR(__xludf.DUMMYFUNCTION("MAX(FILTER($H:$H,$E:$E=F126))"),1.0)</f>
        <v>1</v>
      </c>
    </row>
    <row r="127">
      <c r="A127" s="4"/>
      <c r="C127" s="4" t="s">
        <v>372</v>
      </c>
      <c r="D127" s="4" t="str">
        <f t="shared" si="1"/>
        <v>{"valorA":"o","valorB":4.0}</v>
      </c>
      <c r="E127" s="8" t="str">
        <f t="shared" si="2"/>
        <v>o</v>
      </c>
      <c r="F127" s="8" t="str">
        <f>IFERROR(__xludf.DUMMYFUNCTION("""COMPUTED_VALUE"""),"dinheiro")</f>
        <v>dinheiro</v>
      </c>
      <c r="G127" s="8" t="str">
        <f t="shared" si="3"/>
        <v>4.0</v>
      </c>
      <c r="H127" s="9">
        <f t="shared" si="4"/>
        <v>4</v>
      </c>
      <c r="I127" s="10">
        <f>IFERROR(__xludf.DUMMYFUNCTION("MAX(FILTER($H:$H,$E:$E=F127))"),1.0)</f>
        <v>1</v>
      </c>
    </row>
    <row r="128">
      <c r="A128" s="4"/>
      <c r="C128" s="4" t="s">
        <v>9991</v>
      </c>
      <c r="D128" s="4" t="str">
        <f t="shared" si="1"/>
        <v>{"valorA":"rede","valorB":1.0}</v>
      </c>
      <c r="E128" s="8" t="str">
        <f t="shared" si="2"/>
        <v>rede</v>
      </c>
      <c r="F128" s="8" t="str">
        <f>IFERROR(__xludf.DUMMYFUNCTION("""COMPUTED_VALUE"""),"led")</f>
        <v>led</v>
      </c>
      <c r="G128" s="8" t="str">
        <f t="shared" si="3"/>
        <v>1.0</v>
      </c>
      <c r="H128" s="9">
        <f t="shared" si="4"/>
        <v>1</v>
      </c>
      <c r="I128" s="10">
        <f>IFERROR(__xludf.DUMMYFUNCTION("MAX(FILTER($H:$H,$E:$E=F128))"),1.0)</f>
        <v>1</v>
      </c>
    </row>
    <row r="129">
      <c r="A129" s="4"/>
      <c r="C129" s="4" t="s">
        <v>281</v>
      </c>
      <c r="D129" s="4" t="str">
        <f t="shared" si="1"/>
        <v>{"valorA":"de","valorB":4.0}</v>
      </c>
      <c r="E129" s="8" t="str">
        <f t="shared" si="2"/>
        <v>de</v>
      </c>
      <c r="F129" s="8" t="str">
        <f>IFERROR(__xludf.DUMMYFUNCTION("""COMPUTED_VALUE"""),"relógio")</f>
        <v>relógio</v>
      </c>
      <c r="G129" s="8" t="str">
        <f t="shared" si="3"/>
        <v>4.0</v>
      </c>
      <c r="H129" s="9">
        <f t="shared" si="4"/>
        <v>4</v>
      </c>
      <c r="I129" s="10">
        <f>IFERROR(__xludf.DUMMYFUNCTION("MAX(FILTER($H:$H,$E:$E=F129))"),1.0)</f>
        <v>1</v>
      </c>
    </row>
    <row r="130">
      <c r="A130" s="4"/>
      <c r="C130" s="4" t="s">
        <v>9992</v>
      </c>
      <c r="D130" s="4" t="str">
        <f t="shared" si="1"/>
        <v>{"valorA":"balança","valorB":1.0}</v>
      </c>
      <c r="E130" s="8" t="str">
        <f t="shared" si="2"/>
        <v>balança</v>
      </c>
      <c r="F130" s="8" t="str">
        <f>IFERROR(__xludf.DUMMYFUNCTION("""COMPUTED_VALUE"""),"melhor")</f>
        <v>melhor</v>
      </c>
      <c r="G130" s="8" t="str">
        <f t="shared" si="3"/>
        <v>1.0</v>
      </c>
      <c r="H130" s="9">
        <f t="shared" si="4"/>
        <v>1</v>
      </c>
      <c r="I130" s="10">
        <f>IFERROR(__xludf.DUMMYFUNCTION("MAX(FILTER($H:$H,$E:$E=F130))"),1.0)</f>
        <v>1</v>
      </c>
    </row>
    <row r="131">
      <c r="A131" s="4"/>
      <c r="C131" s="4" t="s">
        <v>273</v>
      </c>
      <c r="D131" s="4" t="str">
        <f t="shared" si="1"/>
        <v>{"valorA":"ótimo","valorB":14.0}</v>
      </c>
      <c r="E131" s="8" t="str">
        <f t="shared" si="2"/>
        <v>ótimo</v>
      </c>
      <c r="F131" s="8" t="str">
        <f>IFERROR(__xludf.DUMMYFUNCTION("""COMPUTED_VALUE"""),"acho")</f>
        <v>acho</v>
      </c>
      <c r="G131" s="8" t="str">
        <f t="shared" si="3"/>
        <v>14.0</v>
      </c>
      <c r="H131" s="9">
        <f t="shared" si="4"/>
        <v>14</v>
      </c>
      <c r="I131" s="10">
        <f>IFERROR(__xludf.DUMMYFUNCTION("MAX(FILTER($H:$H,$E:$E=F131))"),1.0)</f>
        <v>1</v>
      </c>
    </row>
    <row r="132">
      <c r="A132" s="4"/>
      <c r="C132" s="4" t="s">
        <v>9993</v>
      </c>
      <c r="D132" s="4" t="str">
        <f t="shared" si="1"/>
        <v>{"valorA":"servidor","valorB":1.0}</v>
      </c>
      <c r="E132" s="8" t="str">
        <f t="shared" si="2"/>
        <v>servidor</v>
      </c>
      <c r="F132" s="8" t="str">
        <f>IFERROR(__xludf.DUMMYFUNCTION("""COMPUTED_VALUE"""),"úteis")</f>
        <v>úteis</v>
      </c>
      <c r="G132" s="8" t="str">
        <f t="shared" si="3"/>
        <v>1.0</v>
      </c>
      <c r="H132" s="9">
        <f t="shared" si="4"/>
        <v>1</v>
      </c>
      <c r="I132" s="10">
        <f>IFERROR(__xludf.DUMMYFUNCTION("MAX(FILTER($H:$H,$E:$E=F132))"),1.0)</f>
        <v>1</v>
      </c>
    </row>
    <row r="133">
      <c r="A133" s="4"/>
      <c r="C133" s="4" t="s">
        <v>223</v>
      </c>
      <c r="D133" s="4" t="str">
        <f t="shared" si="1"/>
        <v>{"valorA":"e","valorB":2.0}</v>
      </c>
      <c r="E133" s="8" t="str">
        <f t="shared" si="2"/>
        <v>e</v>
      </c>
      <c r="F133" s="8" t="str">
        <f>IFERROR(__xludf.DUMMYFUNCTION("""COMPUTED_VALUE"""),"funções")</f>
        <v>funções</v>
      </c>
      <c r="G133" s="8" t="str">
        <f t="shared" si="3"/>
        <v>2.0</v>
      </c>
      <c r="H133" s="9">
        <f t="shared" si="4"/>
        <v>2</v>
      </c>
      <c r="I133" s="10">
        <f>IFERROR(__xludf.DUMMYFUNCTION("MAX(FILTER($H:$H,$E:$E=F133))"),1.0)</f>
        <v>1</v>
      </c>
    </row>
    <row r="134">
      <c r="A134" s="4"/>
      <c r="C134" s="4" t="s">
        <v>372</v>
      </c>
      <c r="D134" s="4" t="str">
        <f t="shared" si="1"/>
        <v>{"valorA":"o","valorB":4.0}</v>
      </c>
      <c r="E134" s="8" t="str">
        <f t="shared" si="2"/>
        <v>o</v>
      </c>
      <c r="F134" s="8" t="str">
        <f>IFERROR(__xludf.DUMMYFUNCTION("""COMPUTED_VALUE"""),"potente")</f>
        <v>potente</v>
      </c>
      <c r="G134" s="8" t="str">
        <f t="shared" si="3"/>
        <v>4.0</v>
      </c>
      <c r="H134" s="9">
        <f t="shared" si="4"/>
        <v>4</v>
      </c>
      <c r="I134" s="10">
        <f>IFERROR(__xludf.DUMMYFUNCTION("MAX(FILTER($H:$H,$E:$E=F134))"),1.0)</f>
        <v>1</v>
      </c>
    </row>
    <row r="135">
      <c r="A135" s="4"/>
      <c r="C135" s="4" t="s">
        <v>9991</v>
      </c>
      <c r="D135" s="4" t="str">
        <f t="shared" si="1"/>
        <v>{"valorA":"rede","valorB":1.0}</v>
      </c>
      <c r="E135" s="8" t="str">
        <f t="shared" si="2"/>
        <v>rede</v>
      </c>
      <c r="F135" s="8" t="str">
        <f>IFERROR(__xludf.DUMMYFUNCTION("""COMPUTED_VALUE"""),"blender")</f>
        <v>blender</v>
      </c>
      <c r="G135" s="8" t="str">
        <f t="shared" si="3"/>
        <v>1.0</v>
      </c>
      <c r="H135" s="9">
        <f t="shared" si="4"/>
        <v>1</v>
      </c>
      <c r="I135" s="10">
        <f>IFERROR(__xludf.DUMMYFUNCTION("MAX(FILTER($H:$H,$E:$E=F135))"),2.0)</f>
        <v>2</v>
      </c>
    </row>
    <row r="136">
      <c r="A136" s="4"/>
      <c r="C136" s="4" t="s">
        <v>281</v>
      </c>
      <c r="D136" s="4" t="str">
        <f t="shared" si="1"/>
        <v>{"valorA":"de","valorB":4.0}</v>
      </c>
      <c r="E136" s="8" t="str">
        <f t="shared" si="2"/>
        <v>de</v>
      </c>
      <c r="F136" s="8" t="str">
        <f>IFERROR(__xludf.DUMMYFUNCTION("""COMPUTED_VALUE"""),"outro")</f>
        <v>outro</v>
      </c>
      <c r="G136" s="8" t="str">
        <f t="shared" si="3"/>
        <v>4.0</v>
      </c>
      <c r="H136" s="9">
        <f t="shared" si="4"/>
        <v>4</v>
      </c>
      <c r="I136" s="10">
        <f>IFERROR(__xludf.DUMMYFUNCTION("MAX(FILTER($H:$H,$E:$E=F136))"),1.0)</f>
        <v>1</v>
      </c>
    </row>
    <row r="137">
      <c r="A137" s="4"/>
      <c r="C137" s="4" t="s">
        <v>9992</v>
      </c>
      <c r="D137" s="4" t="str">
        <f t="shared" si="1"/>
        <v>{"valorA":"balança","valorB":1.0}</v>
      </c>
      <c r="E137" s="8" t="str">
        <f t="shared" si="2"/>
        <v>balança</v>
      </c>
      <c r="F137" s="8" t="str">
        <f>IFERROR(__xludf.DUMMYFUNCTION("""COMPUTED_VALUE"""),"duradoura")</f>
        <v>duradoura</v>
      </c>
      <c r="G137" s="8" t="str">
        <f t="shared" si="3"/>
        <v>1.0</v>
      </c>
      <c r="H137" s="9">
        <f t="shared" si="4"/>
        <v>1</v>
      </c>
      <c r="I137" s="10">
        <f>IFERROR(__xludf.DUMMYFUNCTION("MAX(FILTER($H:$H,$E:$E=F137))"),1.0)</f>
        <v>1</v>
      </c>
    </row>
    <row r="138">
      <c r="A138" s="4"/>
      <c r="C138" s="4" t="s">
        <v>273</v>
      </c>
      <c r="D138" s="4" t="str">
        <f t="shared" si="1"/>
        <v>{"valorA":"ótimo","valorB":14.0}</v>
      </c>
      <c r="E138" s="8" t="str">
        <f t="shared" si="2"/>
        <v>ótimo</v>
      </c>
      <c r="F138" s="8" t="str">
        <f>IFERROR(__xludf.DUMMYFUNCTION("""COMPUTED_VALUE"""),"bateria")</f>
        <v>bateria</v>
      </c>
      <c r="G138" s="8" t="str">
        <f t="shared" si="3"/>
        <v>14.0</v>
      </c>
      <c r="H138" s="9">
        <f t="shared" si="4"/>
        <v>14</v>
      </c>
      <c r="I138" s="10">
        <f>IFERROR(__xludf.DUMMYFUNCTION("MAX(FILTER($H:$H,$E:$E=F138))"),1.0)</f>
        <v>1</v>
      </c>
    </row>
    <row r="139">
      <c r="A139" s="4"/>
      <c r="C139" s="4" t="s">
        <v>9993</v>
      </c>
      <c r="D139" s="4" t="str">
        <f t="shared" si="1"/>
        <v>{"valorA":"servidor","valorB":1.0}</v>
      </c>
      <c r="E139" s="8" t="str">
        <f t="shared" si="2"/>
        <v>servidor</v>
      </c>
      <c r="F139" s="8" t="str">
        <f>IFERROR(__xludf.DUMMYFUNCTION("""COMPUTED_VALUE"""),"uma")</f>
        <v>uma</v>
      </c>
      <c r="G139" s="8" t="str">
        <f t="shared" si="3"/>
        <v>1.0</v>
      </c>
      <c r="H139" s="9">
        <f t="shared" si="4"/>
        <v>1</v>
      </c>
      <c r="I139" s="10">
        <f>IFERROR(__xludf.DUMMYFUNCTION("MAX(FILTER($H:$H,$E:$E=F139))"),1.0)</f>
        <v>1</v>
      </c>
    </row>
    <row r="140">
      <c r="A140" s="4"/>
      <c r="C140" s="4" t="s">
        <v>9994</v>
      </c>
      <c r="D140" s="4" t="str">
        <f t="shared" si="1"/>
        <v>{"valorA":"dormentes","valorB":1.0}</v>
      </c>
      <c r="E140" s="8" t="str">
        <f t="shared" si="2"/>
        <v>dormentes</v>
      </c>
      <c r="F140" s="8" t="str">
        <f>IFERROR(__xludf.DUMMYFUNCTION("""COMPUTED_VALUE"""),"também")</f>
        <v>também</v>
      </c>
      <c r="G140" s="8" t="str">
        <f t="shared" si="3"/>
        <v>1.0</v>
      </c>
      <c r="H140" s="9">
        <f t="shared" si="4"/>
        <v>1</v>
      </c>
      <c r="I140" s="10">
        <f>IFERROR(__xludf.DUMMYFUNCTION("MAX(FILTER($H:$H,$E:$E=F140))"),1.0)</f>
        <v>1</v>
      </c>
    </row>
    <row r="141">
      <c r="A141" s="4"/>
      <c r="C141" s="4" t="s">
        <v>1432</v>
      </c>
      <c r="D141" s="4" t="str">
        <f t="shared" si="1"/>
        <v>{"valorA":"filho","valorB":1.0}</v>
      </c>
      <c r="E141" s="8" t="str">
        <f t="shared" si="2"/>
        <v>filho</v>
      </c>
      <c r="F141" s="8" t="str">
        <f>IFERROR(__xludf.DUMMYFUNCTION("""COMPUTED_VALUE"""),"vou")</f>
        <v>vou</v>
      </c>
      <c r="G141" s="8" t="str">
        <f t="shared" si="3"/>
        <v>1.0</v>
      </c>
      <c r="H141" s="9">
        <f t="shared" si="4"/>
        <v>1</v>
      </c>
      <c r="I141" s="10">
        <f>IFERROR(__xludf.DUMMYFUNCTION("MAX(FILTER($H:$H,$E:$E=F141))"),1.0)</f>
        <v>1</v>
      </c>
    </row>
    <row r="142">
      <c r="A142" s="4"/>
      <c r="C142" s="4" t="s">
        <v>469</v>
      </c>
      <c r="D142" s="4" t="str">
        <f t="shared" si="1"/>
        <v>{"valorA":"para","valorB":7.0}</v>
      </c>
      <c r="E142" s="8" t="str">
        <f t="shared" si="2"/>
        <v>para</v>
      </c>
      <c r="F142" s="8" t="str">
        <f>IFERROR(__xludf.DUMMYFUNCTION("""COMPUTED_VALUE"""),"recepção")</f>
        <v>recepção</v>
      </c>
      <c r="G142" s="8" t="str">
        <f t="shared" si="3"/>
        <v>7.0</v>
      </c>
      <c r="H142" s="9">
        <f t="shared" si="4"/>
        <v>7</v>
      </c>
      <c r="I142" s="10">
        <f>IFERROR(__xludf.DUMMYFUNCTION("MAX(FILTER($H:$H,$E:$E=F142))"),1.0)</f>
        <v>1</v>
      </c>
    </row>
    <row r="143">
      <c r="A143" s="4"/>
      <c r="C143" s="4" t="s">
        <v>1091</v>
      </c>
      <c r="D143" s="4" t="str">
        <f t="shared" si="1"/>
        <v>{"valorA":"modelo","valorB":1.0}</v>
      </c>
      <c r="E143" s="8" t="str">
        <f t="shared" si="2"/>
        <v>modelo</v>
      </c>
      <c r="F143" s="8" t="str">
        <f>IFERROR(__xludf.DUMMYFUNCTION("""COMPUTED_VALUE"""),"quanto")</f>
        <v>quanto</v>
      </c>
      <c r="G143" s="8" t="str">
        <f t="shared" si="3"/>
        <v>1.0</v>
      </c>
      <c r="H143" s="9">
        <f t="shared" si="4"/>
        <v>1</v>
      </c>
      <c r="I143" s="10">
        <f>IFERROR(__xludf.DUMMYFUNCTION("MAX(FILTER($H:$H,$E:$E=F143))"),1.0)</f>
        <v>1</v>
      </c>
    </row>
    <row r="144">
      <c r="A144" s="4"/>
      <c r="C144" s="4" t="s">
        <v>9995</v>
      </c>
      <c r="D144" s="4" t="str">
        <f t="shared" si="1"/>
        <v>{"valorA":"desejam","valorB":1.0}</v>
      </c>
      <c r="E144" s="8" t="str">
        <f t="shared" si="2"/>
        <v>desejam</v>
      </c>
      <c r="F144" s="8" t="str">
        <f>IFERROR(__xludf.DUMMYFUNCTION("""COMPUTED_VALUE"""),"resolução")</f>
        <v>resolução</v>
      </c>
      <c r="G144" s="8" t="str">
        <f t="shared" si="3"/>
        <v>1.0</v>
      </c>
      <c r="H144" s="9">
        <f t="shared" si="4"/>
        <v>1</v>
      </c>
      <c r="I144" s="10">
        <f>IFERROR(__xludf.DUMMYFUNCTION("MAX(FILTER($H:$H,$E:$E=F144))"),1.0)</f>
        <v>1</v>
      </c>
    </row>
    <row r="145">
      <c r="A145" s="4"/>
      <c r="C145" s="4" t="s">
        <v>4080</v>
      </c>
      <c r="D145" s="4" t="str">
        <f t="shared" si="1"/>
        <v>{"valorA":"celular","valorB":3.0}</v>
      </c>
      <c r="E145" s="8" t="str">
        <f t="shared" si="2"/>
        <v>celular</v>
      </c>
      <c r="F145" s="8" t="str">
        <f>IFERROR(__xludf.DUMMYFUNCTION("""COMPUTED_VALUE"""),"são")</f>
        <v>são</v>
      </c>
      <c r="G145" s="8" t="str">
        <f t="shared" si="3"/>
        <v>3.0</v>
      </c>
      <c r="H145" s="9">
        <f t="shared" si="4"/>
        <v>3</v>
      </c>
      <c r="I145" s="10">
        <f>IFERROR(__xludf.DUMMYFUNCTION("MAX(FILTER($H:$H,$E:$E=F145))"),1.0)</f>
        <v>1</v>
      </c>
    </row>
    <row r="146">
      <c r="A146" s="4"/>
      <c r="C146" s="4" t="s">
        <v>270</v>
      </c>
      <c r="D146" s="4" t="str">
        <f t="shared" si="1"/>
        <v>{"valorA":"e","valorB":3.0}</v>
      </c>
      <c r="E146" s="8" t="str">
        <f t="shared" si="2"/>
        <v>e</v>
      </c>
      <c r="F146" s="8" t="str">
        <f>IFERROR(__xludf.DUMMYFUNCTION("""COMPUTED_VALUE"""),"som")</f>
        <v>som</v>
      </c>
      <c r="G146" s="8" t="str">
        <f t="shared" si="3"/>
        <v>3.0</v>
      </c>
      <c r="H146" s="9">
        <f t="shared" si="4"/>
        <v>3</v>
      </c>
      <c r="I146" s="10">
        <f>IFERROR(__xludf.DUMMYFUNCTION("MAX(FILTER($H:$H,$E:$E=F146))"),1.0)</f>
        <v>1</v>
      </c>
    </row>
    <row r="147">
      <c r="A147" s="4"/>
      <c r="C147" s="4" t="s">
        <v>9996</v>
      </c>
      <c r="D147" s="4" t="str">
        <f t="shared" si="1"/>
        <v>{"valorA":"saúde","valorB":1.0}</v>
      </c>
      <c r="E147" s="8" t="str">
        <f t="shared" si="2"/>
        <v>saúde</v>
      </c>
      <c r="F147" s="8" t="str">
        <f>IFERROR(__xludf.DUMMYFUNCTION("""COMPUTED_VALUE"""),"excelente")</f>
        <v>excelente</v>
      </c>
      <c r="G147" s="8" t="str">
        <f t="shared" si="3"/>
        <v>1.0</v>
      </c>
      <c r="H147" s="9">
        <f t="shared" si="4"/>
        <v>1</v>
      </c>
      <c r="I147" s="10">
        <f>IFERROR(__xludf.DUMMYFUNCTION("MAX(FILTER($H:$H,$E:$E=F147))"),1.0)</f>
        <v>1</v>
      </c>
    </row>
    <row r="148">
      <c r="A148" s="4"/>
      <c r="C148" s="4" t="s">
        <v>373</v>
      </c>
      <c r="D148" s="4" t="str">
        <f t="shared" si="1"/>
        <v>{"valorA":"gosto","valorB":2.0}</v>
      </c>
      <c r="E148" s="8" t="str">
        <f t="shared" si="2"/>
        <v>gosto</v>
      </c>
      <c r="F148" s="8" t="str">
        <f>IFERROR(__xludf.DUMMYFUNCTION("""COMPUTED_VALUE"""),"excelentes")</f>
        <v>excelentes</v>
      </c>
      <c r="G148" s="8" t="str">
        <f t="shared" si="3"/>
        <v>2.0</v>
      </c>
      <c r="H148" s="9">
        <f t="shared" si="4"/>
        <v>2</v>
      </c>
      <c r="I148" s="10">
        <f>IFERROR(__xludf.DUMMYFUNCTION("MAX(FILTER($H:$H,$E:$E=F148))"),1.0)</f>
        <v>1</v>
      </c>
    </row>
    <row r="149">
      <c r="A149" s="4"/>
      <c r="C149" s="4" t="s">
        <v>1084</v>
      </c>
      <c r="D149" s="4" t="str">
        <f t="shared" si="1"/>
        <v>{"valorA":"aparelho","valorB":3.0}</v>
      </c>
      <c r="E149" s="8" t="str">
        <f t="shared" si="2"/>
        <v>aparelho</v>
      </c>
      <c r="F149" s="8" t="str">
        <f>IFERROR(__xludf.DUMMYFUNCTION("""COMPUTED_VALUE"""),"compra")</f>
        <v>compra</v>
      </c>
      <c r="G149" s="8" t="str">
        <f t="shared" si="3"/>
        <v>3.0</v>
      </c>
      <c r="H149" s="9">
        <f t="shared" si="4"/>
        <v>3</v>
      </c>
      <c r="I149" s="10">
        <f>IFERROR(__xludf.DUMMYFUNCTION("MAX(FILTER($H:$H,$E:$E=F149))"),2.0)</f>
        <v>2</v>
      </c>
    </row>
    <row r="150">
      <c r="A150" s="4"/>
      <c r="C150" s="4" t="s">
        <v>1604</v>
      </c>
      <c r="D150" s="4" t="str">
        <f t="shared" si="1"/>
        <v>{"valorA":"aqueles","valorB":1.0}</v>
      </c>
      <c r="E150" s="8" t="str">
        <f t="shared" si="2"/>
        <v>aqueles</v>
      </c>
      <c r="F150" s="8" t="str">
        <f>IFERROR(__xludf.DUMMYFUNCTION("""COMPUTED_VALUE"""),"procurando")</f>
        <v>procurando</v>
      </c>
      <c r="G150" s="8" t="str">
        <f t="shared" si="3"/>
        <v>1.0</v>
      </c>
      <c r="H150" s="9">
        <f t="shared" si="4"/>
        <v>1</v>
      </c>
      <c r="I150" s="10">
        <f>IFERROR(__xludf.DUMMYFUNCTION("MAX(FILTER($H:$H,$E:$E=F150))"),1.0)</f>
        <v>1</v>
      </c>
    </row>
    <row r="151">
      <c r="A151" s="4"/>
      <c r="C151" s="4" t="s">
        <v>593</v>
      </c>
      <c r="D151" s="4" t="str">
        <f t="shared" si="1"/>
        <v>{"valorA":"que","valorB":3.0}</v>
      </c>
      <c r="E151" s="8" t="str">
        <f t="shared" si="2"/>
        <v>que</v>
      </c>
      <c r="F151" s="8" t="str">
        <f>IFERROR(__xludf.DUMMYFUNCTION("""COMPUTED_VALUE"""),"por")</f>
        <v>por</v>
      </c>
      <c r="G151" s="8" t="str">
        <f t="shared" si="3"/>
        <v>3.0</v>
      </c>
      <c r="H151" s="9">
        <f t="shared" si="4"/>
        <v>3</v>
      </c>
      <c r="I151" s="10">
        <f>IFERROR(__xludf.DUMMYFUNCTION("MAX(FILTER($H:$H,$E:$E=F151))"),1.0)</f>
        <v>1</v>
      </c>
    </row>
    <row r="152">
      <c r="A152" s="4"/>
      <c r="C152" s="4" t="s">
        <v>645</v>
      </c>
      <c r="D152" s="4" t="str">
        <f t="shared" si="1"/>
        <v>{"valorA":"ótimo","valorB":16.0}</v>
      </c>
      <c r="E152" s="8" t="str">
        <f t="shared" si="2"/>
        <v>ótimo</v>
      </c>
      <c r="F152" s="8" t="str">
        <f>IFERROR(__xludf.DUMMYFUNCTION("""COMPUTED_VALUE"""),"está")</f>
        <v>está</v>
      </c>
      <c r="G152" s="8" t="str">
        <f t="shared" si="3"/>
        <v>16.0</v>
      </c>
      <c r="H152" s="9">
        <f t="shared" si="4"/>
        <v>16</v>
      </c>
      <c r="I152" s="10">
        <f>IFERROR(__xludf.DUMMYFUNCTION("MAX(FILTER($H:$H,$E:$E=F152))"),1.0)</f>
        <v>1</v>
      </c>
    </row>
    <row r="153">
      <c r="A153" s="4"/>
      <c r="C153" s="4" t="s">
        <v>9997</v>
      </c>
      <c r="D153" s="4" t="str">
        <f t="shared" si="1"/>
        <v>{"valorA":"telefone","valorB":3.0}</v>
      </c>
      <c r="E153" s="8" t="str">
        <f t="shared" si="2"/>
        <v>telefone</v>
      </c>
      <c r="F153" s="8" t="str">
        <f>IFERROR(__xludf.DUMMYFUNCTION("""COMPUTED_VALUE"""),"produto")</f>
        <v>produto</v>
      </c>
      <c r="G153" s="8" t="str">
        <f t="shared" si="3"/>
        <v>3.0</v>
      </c>
      <c r="H153" s="9">
        <f t="shared" si="4"/>
        <v>3</v>
      </c>
      <c r="I153" s="10">
        <f>IFERROR(__xludf.DUMMYFUNCTION("MAX(FILTER($H:$H,$E:$E=F153))"),1.0)</f>
        <v>1</v>
      </c>
    </row>
    <row r="154">
      <c r="A154" s="4"/>
      <c r="C154" s="4" t="s">
        <v>274</v>
      </c>
      <c r="D154" s="4" t="str">
        <f t="shared" si="1"/>
        <v>{"valorA":"muito","valorB":7.0}</v>
      </c>
      <c r="E154" s="8" t="str">
        <f t="shared" si="2"/>
        <v>muito</v>
      </c>
      <c r="F154" s="8" t="str">
        <f>IFERROR(__xludf.DUMMYFUNCTION("""COMPUTED_VALUE"""),"toalete")</f>
        <v>toalete</v>
      </c>
      <c r="G154" s="8" t="str">
        <f t="shared" si="3"/>
        <v>7.0</v>
      </c>
      <c r="H154" s="9">
        <f t="shared" si="4"/>
        <v>7</v>
      </c>
      <c r="I154" s="10">
        <f>IFERROR(__xludf.DUMMYFUNCTION("MAX(FILTER($H:$H,$E:$E=F154))"),1.0)</f>
        <v>1</v>
      </c>
    </row>
    <row r="155">
      <c r="A155" s="4"/>
      <c r="C155" s="4" t="s">
        <v>195</v>
      </c>
      <c r="D155" s="4" t="str">
        <f t="shared" si="1"/>
        <v>{"valorA":"desse","valorB":1.0}</v>
      </c>
      <c r="E155" s="8" t="str">
        <f t="shared" si="2"/>
        <v>desse</v>
      </c>
      <c r="F155" s="8" t="str">
        <f>IFERROR(__xludf.DUMMYFUNCTION("""COMPUTED_VALUE"""),"refrigerador")</f>
        <v>refrigerador</v>
      </c>
      <c r="G155" s="8" t="str">
        <f t="shared" si="3"/>
        <v>1.0</v>
      </c>
      <c r="H155" s="9">
        <f t="shared" si="4"/>
        <v>1</v>
      </c>
      <c r="I155" s="10">
        <f>IFERROR(__xludf.DUMMYFUNCTION("MAX(FILTER($H:$H,$E:$E=F155))"),2.0)</f>
        <v>2</v>
      </c>
    </row>
    <row r="156">
      <c r="A156" s="4"/>
      <c r="C156" s="4" t="s">
        <v>9998</v>
      </c>
      <c r="D156" s="4" t="str">
        <f t="shared" si="1"/>
        <v>{"valorA":"felicidade","valorB":1.0}</v>
      </c>
      <c r="E156" s="8" t="str">
        <f t="shared" si="2"/>
        <v>felicidade</v>
      </c>
      <c r="F156" s="8" t="str">
        <f>IFERROR(__xludf.DUMMYFUNCTION("""COMPUTED_VALUE"""),"antes")</f>
        <v>antes</v>
      </c>
      <c r="G156" s="8" t="str">
        <f t="shared" si="3"/>
        <v>1.0</v>
      </c>
      <c r="H156" s="9">
        <f t="shared" si="4"/>
        <v>1</v>
      </c>
      <c r="I156" s="10">
        <f>IFERROR(__xludf.DUMMYFUNCTION("MAX(FILTER($H:$H,$E:$E=F156))"),1.0)</f>
        <v>1</v>
      </c>
    </row>
    <row r="157">
      <c r="A157" s="4"/>
      <c r="C157" s="4" t="s">
        <v>277</v>
      </c>
      <c r="D157" s="4" t="str">
        <f t="shared" si="1"/>
        <v>{"valorA":"recomendo","valorB":2.0}</v>
      </c>
      <c r="E157" s="8" t="str">
        <f t="shared" si="2"/>
        <v>recomendo</v>
      </c>
      <c r="F157" s="8" t="str">
        <f>IFERROR(__xludf.DUMMYFUNCTION("""COMPUTED_VALUE"""),"tinha")</f>
        <v>tinha</v>
      </c>
      <c r="G157" s="8" t="str">
        <f t="shared" si="3"/>
        <v>2.0</v>
      </c>
      <c r="H157" s="9">
        <f t="shared" si="4"/>
        <v>2</v>
      </c>
      <c r="I157" s="10">
        <f>IFERROR(__xludf.DUMMYFUNCTION("MAX(FILTER($H:$H,$E:$E=F157))"),1.0)</f>
        <v>1</v>
      </c>
    </row>
    <row r="158">
      <c r="A158" s="4"/>
      <c r="C158" s="4" t="s">
        <v>716</v>
      </c>
      <c r="D158" s="4" t="str">
        <f t="shared" si="1"/>
        <v>{"valorA":"comprar","valorB":2.0}</v>
      </c>
      <c r="E158" s="8" t="str">
        <f t="shared" si="2"/>
        <v>comprar</v>
      </c>
      <c r="F158" s="8" t="str">
        <f>IFERROR(__xludf.DUMMYFUNCTION("""COMPUTED_VALUE"""),"conveniente")</f>
        <v>conveniente</v>
      </c>
      <c r="G158" s="8" t="str">
        <f t="shared" si="3"/>
        <v>2.0</v>
      </c>
      <c r="H158" s="9">
        <f t="shared" si="4"/>
        <v>2</v>
      </c>
      <c r="I158" s="10">
        <f>IFERROR(__xludf.DUMMYFUNCTION("MAX(FILTER($H:$H,$E:$E=F158))"),2.0)</f>
        <v>2</v>
      </c>
    </row>
    <row r="159">
      <c r="A159" s="4"/>
      <c r="C159" s="4" t="s">
        <v>436</v>
      </c>
      <c r="D159" s="4" t="str">
        <f t="shared" si="1"/>
        <v>{"valorA":"com","valorB":4.0}</v>
      </c>
      <c r="E159" s="8" t="str">
        <f t="shared" si="2"/>
        <v>com</v>
      </c>
      <c r="F159" s="8" t="str">
        <f>IFERROR(__xludf.DUMMYFUNCTION("""COMPUTED_VALUE"""),"os")</f>
        <v>os</v>
      </c>
      <c r="G159" s="8" t="str">
        <f t="shared" si="3"/>
        <v>4.0</v>
      </c>
      <c r="H159" s="9">
        <f t="shared" si="4"/>
        <v>4</v>
      </c>
      <c r="I159" s="10">
        <f>IFERROR(__xludf.DUMMYFUNCTION("MAX(FILTER($H:$H,$E:$E=F159))"),1.0)</f>
        <v>1</v>
      </c>
    </row>
    <row r="160">
      <c r="A160" s="4"/>
      <c r="C160" s="4" t="s">
        <v>9999</v>
      </c>
      <c r="D160" s="4" t="str">
        <f t="shared" si="1"/>
        <v>{"valorA":"aquisição","valorB":1.0}</v>
      </c>
      <c r="E160" s="8" t="str">
        <f t="shared" si="2"/>
        <v>aquisição</v>
      </c>
      <c r="F160" s="8" t="str">
        <f>IFERROR(__xludf.DUMMYFUNCTION("""COMPUTED_VALUE"""),"do")</f>
        <v>do</v>
      </c>
      <c r="G160" s="8" t="str">
        <f t="shared" si="3"/>
        <v>1.0</v>
      </c>
      <c r="H160" s="9">
        <f t="shared" si="4"/>
        <v>1</v>
      </c>
      <c r="I160" s="10">
        <f>IFERROR(__xludf.DUMMYFUNCTION("MAX(FILTER($H:$H,$E:$E=F160))"),1.0)</f>
        <v>1</v>
      </c>
    </row>
    <row r="161">
      <c r="A161" s="4"/>
      <c r="C161" s="4" t="s">
        <v>1102</v>
      </c>
      <c r="D161" s="4" t="str">
        <f t="shared" si="1"/>
        <v>{"valorA":"modelo","valorB":2.0}</v>
      </c>
      <c r="E161" s="8" t="str">
        <f t="shared" si="2"/>
        <v>modelo</v>
      </c>
      <c r="F161" s="8" t="str">
        <f>IFERROR(__xludf.DUMMYFUNCTION("""COMPUTED_VALUE"""),"mais")</f>
        <v>mais</v>
      </c>
      <c r="G161" s="8" t="str">
        <f t="shared" si="3"/>
        <v>2.0</v>
      </c>
      <c r="H161" s="9">
        <f t="shared" si="4"/>
        <v>2</v>
      </c>
      <c r="I161" s="10">
        <f>IFERROR(__xludf.DUMMYFUNCTION("MAX(FILTER($H:$H,$E:$E=F161))"),1.0)</f>
        <v>1</v>
      </c>
    </row>
    <row r="162">
      <c r="A162" s="4"/>
      <c r="C162" s="4" t="s">
        <v>625</v>
      </c>
      <c r="D162" s="4" t="str">
        <f t="shared" si="1"/>
        <v>{"valorA":"valeu","valorB":2.0}</v>
      </c>
      <c r="E162" s="8" t="str">
        <f t="shared" si="2"/>
        <v>valeu</v>
      </c>
      <c r="F162" s="8" t="str">
        <f>IFERROR(__xludf.DUMMYFUNCTION("""COMPUTED_VALUE"""),"automático")</f>
        <v>automático</v>
      </c>
      <c r="G162" s="8" t="str">
        <f t="shared" si="3"/>
        <v>2.0</v>
      </c>
      <c r="H162" s="9">
        <f t="shared" si="4"/>
        <v>2</v>
      </c>
      <c r="I162" s="10">
        <f>IFERROR(__xludf.DUMMYFUNCTION("MAX(FILTER($H:$H,$E:$E=F162))"),1.0)</f>
        <v>1</v>
      </c>
    </row>
    <row r="163">
      <c r="A163" s="4"/>
      <c r="C163" s="4" t="s">
        <v>473</v>
      </c>
      <c r="D163" s="4" t="str">
        <f t="shared" si="1"/>
        <v>{"valorA":"pena","valorB":2.0}</v>
      </c>
      <c r="E163" s="8" t="str">
        <f t="shared" si="2"/>
        <v>pena</v>
      </c>
      <c r="F163" s="8" t="str">
        <f>IFERROR(__xludf.DUMMYFUNCTION("""COMPUTED_VALUE"""),"janelas")</f>
        <v>janelas</v>
      </c>
      <c r="G163" s="8" t="str">
        <f t="shared" si="3"/>
        <v>2.0</v>
      </c>
      <c r="H163" s="9">
        <f t="shared" si="4"/>
        <v>2</v>
      </c>
      <c r="I163" s="10">
        <f>IFERROR(__xludf.DUMMYFUNCTION("MAX(FILTER($H:$H,$E:$E=F163))"),1.0)</f>
        <v>1</v>
      </c>
    </row>
    <row r="164">
      <c r="A164" s="4"/>
      <c r="C164" s="4" t="s">
        <v>1031</v>
      </c>
      <c r="D164" s="4" t="str">
        <f t="shared" si="1"/>
        <v>{"valorA":"ótima","valorB":3.0}</v>
      </c>
      <c r="E164" s="8" t="str">
        <f t="shared" si="2"/>
        <v>ótima</v>
      </c>
      <c r="F164" s="8" t="str">
        <f>IFERROR(__xludf.DUMMYFUNCTION("""COMPUTED_VALUE"""),"monitor")</f>
        <v>monitor</v>
      </c>
      <c r="G164" s="8" t="str">
        <f t="shared" si="3"/>
        <v>3.0</v>
      </c>
      <c r="H164" s="9">
        <f t="shared" si="4"/>
        <v>3</v>
      </c>
      <c r="I164" s="10">
        <f>IFERROR(__xludf.DUMMYFUNCTION("MAX(FILTER($H:$H,$E:$E=F164))"),1.0)</f>
        <v>1</v>
      </c>
    </row>
    <row r="165">
      <c r="A165" s="4"/>
      <c r="C165" s="4" t="s">
        <v>10000</v>
      </c>
      <c r="D165" s="4" t="str">
        <f t="shared" si="1"/>
        <v>{"valorA":"incorporado","valorB":1.0}</v>
      </c>
      <c r="E165" s="8" t="str">
        <f t="shared" si="2"/>
        <v>incorporado</v>
      </c>
      <c r="F165" s="8" t="str">
        <f>IFERROR(__xludf.DUMMYFUNCTION("""COMPUTED_VALUE"""),"deste")</f>
        <v>deste</v>
      </c>
      <c r="G165" s="8" t="str">
        <f t="shared" si="3"/>
        <v>1.0</v>
      </c>
      <c r="H165" s="9">
        <f t="shared" si="4"/>
        <v>1</v>
      </c>
      <c r="I165" s="10">
        <f>IFERROR(__xludf.DUMMYFUNCTION("MAX(FILTER($H:$H,$E:$E=F165))"),1.0)</f>
        <v>1</v>
      </c>
    </row>
    <row r="166">
      <c r="A166" s="4"/>
      <c r="C166" s="4" t="s">
        <v>655</v>
      </c>
      <c r="D166" s="4" t="str">
        <f t="shared" si="1"/>
        <v>{"valorA":"o","valorB":5.0}</v>
      </c>
      <c r="E166" s="8" t="str">
        <f t="shared" si="2"/>
        <v>o</v>
      </c>
      <c r="F166" s="8" t="str">
        <f>IFERROR(__xludf.DUMMYFUNCTION("""COMPUTED_VALUE"""),"preçoqualidade")</f>
        <v>preçoqualidade</v>
      </c>
      <c r="G166" s="8" t="str">
        <f t="shared" si="3"/>
        <v>5.0</v>
      </c>
      <c r="H166" s="9">
        <f t="shared" si="4"/>
        <v>5</v>
      </c>
      <c r="I166" s="10">
        <f>IFERROR(__xludf.DUMMYFUNCTION("MAX(FILTER($H:$H,$E:$E=F166))"),1.0)</f>
        <v>1</v>
      </c>
    </row>
    <row r="167">
      <c r="A167" s="4"/>
      <c r="C167" s="4" t="s">
        <v>681</v>
      </c>
      <c r="D167" s="4" t="str">
        <f t="shared" si="1"/>
        <v>{"valorA":"de","valorB":5.0}</v>
      </c>
      <c r="E167" s="8" t="str">
        <f t="shared" si="2"/>
        <v>de</v>
      </c>
      <c r="F167" s="8" t="str">
        <f>IFERROR(__xludf.DUMMYFUNCTION("""COMPUTED_VALUE"""),"bom")</f>
        <v>bom</v>
      </c>
      <c r="G167" s="8" t="str">
        <f t="shared" si="3"/>
        <v>5.0</v>
      </c>
      <c r="H167" s="9">
        <f t="shared" si="4"/>
        <v>5</v>
      </c>
      <c r="I167" s="10">
        <f>IFERROR(__xludf.DUMMYFUNCTION("MAX(FILTER($H:$H,$E:$E=F167))"),1.0)</f>
        <v>1</v>
      </c>
    </row>
    <row r="168">
      <c r="A168" s="4"/>
      <c r="C168" s="4" t="s">
        <v>10001</v>
      </c>
      <c r="D168" s="4" t="str">
        <f t="shared" si="1"/>
        <v>{"valorA":"microondas","valorB":1.0}</v>
      </c>
      <c r="E168" s="8" t="str">
        <f t="shared" si="2"/>
        <v>microondas</v>
      </c>
      <c r="F168" s="8" t="str">
        <f>IFERROR(__xludf.DUMMYFUNCTION("""COMPUTED_VALUE"""),"extremamente")</f>
        <v>extremamente</v>
      </c>
      <c r="G168" s="8" t="str">
        <f t="shared" si="3"/>
        <v>1.0</v>
      </c>
      <c r="H168" s="9">
        <f t="shared" si="4"/>
        <v>1</v>
      </c>
      <c r="I168" s="10">
        <f>IFERROR(__xludf.DUMMYFUNCTION("MAX(FILTER($H:$H,$E:$E=F168))"),1.0)</f>
        <v>1</v>
      </c>
    </row>
    <row r="169">
      <c r="A169" s="4"/>
      <c r="C169" s="4" t="s">
        <v>1187</v>
      </c>
      <c r="D169" s="4" t="str">
        <f t="shared" si="1"/>
        <v>{"valorA":"congelador","valorB":1.0}</v>
      </c>
      <c r="E169" s="8" t="str">
        <f t="shared" si="2"/>
        <v>congelador</v>
      </c>
      <c r="F169" s="8" t="str">
        <f>IFERROR(__xludf.DUMMYFUNCTION("""COMPUTED_VALUE"""),"hoje")</f>
        <v>hoje</v>
      </c>
      <c r="G169" s="8" t="str">
        <f t="shared" si="3"/>
        <v>1.0</v>
      </c>
      <c r="H169" s="9">
        <f t="shared" si="4"/>
        <v>1</v>
      </c>
      <c r="I169" s="10">
        <f>IFERROR(__xludf.DUMMYFUNCTION("MAX(FILTER($H:$H,$E:$E=F169))"),1.0)</f>
        <v>1</v>
      </c>
    </row>
    <row r="170">
      <c r="A170" s="4"/>
      <c r="C170" s="4" t="s">
        <v>284</v>
      </c>
      <c r="D170" s="4" t="str">
        <f t="shared" si="1"/>
        <v>{"valorA":"ótimo","valorB":17.0}</v>
      </c>
      <c r="E170" s="8" t="str">
        <f t="shared" si="2"/>
        <v>ótimo</v>
      </c>
      <c r="F170" s="8" t="str">
        <f>IFERROR(__xludf.DUMMYFUNCTION("""COMPUTED_VALUE"""),"aconselho")</f>
        <v>aconselho</v>
      </c>
      <c r="G170" s="8" t="str">
        <f t="shared" si="3"/>
        <v>17.0</v>
      </c>
      <c r="H170" s="9">
        <f t="shared" si="4"/>
        <v>17</v>
      </c>
      <c r="I170" s="10">
        <f>IFERROR(__xludf.DUMMYFUNCTION("MAX(FILTER($H:$H,$E:$E=F170))"),1.0)</f>
        <v>1</v>
      </c>
    </row>
    <row r="171">
      <c r="A171" s="4"/>
      <c r="C171" s="4" t="s">
        <v>320</v>
      </c>
      <c r="D171" s="4" t="str">
        <f t="shared" si="1"/>
        <v>{"valorA":"a","valorB":3.0}</v>
      </c>
      <c r="E171" s="8" t="str">
        <f t="shared" si="2"/>
        <v>a</v>
      </c>
      <c r="F171" s="8" t="str">
        <f>IFERROR(__xludf.DUMMYFUNCTION("""COMPUTED_VALUE"""),"vantagem")</f>
        <v>vantagem</v>
      </c>
      <c r="G171" s="8" t="str">
        <f t="shared" si="3"/>
        <v>3.0</v>
      </c>
      <c r="H171" s="9">
        <f t="shared" si="4"/>
        <v>3</v>
      </c>
      <c r="I171" s="10">
        <f>IFERROR(__xludf.DUMMYFUNCTION("MAX(FILTER($H:$H,$E:$E=F171))"),1.0)</f>
        <v>1</v>
      </c>
    </row>
    <row r="172">
      <c r="A172" s="4"/>
      <c r="C172" s="4" t="s">
        <v>10002</v>
      </c>
      <c r="D172" s="4" t="str">
        <f t="shared" si="1"/>
        <v>{"valorA":"geladeira","valorB":4.0}</v>
      </c>
      <c r="E172" s="8" t="str">
        <f t="shared" si="2"/>
        <v>geladeira</v>
      </c>
      <c r="F172" s="8" t="str">
        <f>IFERROR(__xludf.DUMMYFUNCTION("""COMPUTED_VALUE"""),"certo")</f>
        <v>certo</v>
      </c>
      <c r="G172" s="8" t="str">
        <f t="shared" si="3"/>
        <v>4.0</v>
      </c>
      <c r="H172" s="9">
        <f t="shared" si="4"/>
        <v>4</v>
      </c>
      <c r="I172" s="10">
        <f>IFERROR(__xludf.DUMMYFUNCTION("MAX(FILTER($H:$H,$E:$E=F172))"),1.0)</f>
        <v>1</v>
      </c>
    </row>
    <row r="173">
      <c r="A173" s="4"/>
      <c r="C173" s="4" t="s">
        <v>10003</v>
      </c>
      <c r="D173" s="4" t="str">
        <f t="shared" si="1"/>
        <v>{"valorA":"bancária","valorB":1.0}</v>
      </c>
      <c r="E173" s="8" t="str">
        <f t="shared" si="2"/>
        <v>bancária</v>
      </c>
      <c r="F173" s="8" t="str">
        <f>IFERROR(__xludf.DUMMYFUNCTION("""COMPUTED_VALUE"""),"caldeira")</f>
        <v>caldeira</v>
      </c>
      <c r="G173" s="8" t="str">
        <f t="shared" si="3"/>
        <v>1.0</v>
      </c>
      <c r="H173" s="9">
        <f t="shared" si="4"/>
        <v>1</v>
      </c>
      <c r="I173" s="10">
        <f>IFERROR(__xludf.DUMMYFUNCTION("MAX(FILTER($H:$H,$E:$E=F173))"),1.0)</f>
        <v>1</v>
      </c>
    </row>
    <row r="174">
      <c r="A174" s="4"/>
      <c r="C174" s="4" t="s">
        <v>678</v>
      </c>
      <c r="D174" s="4" t="str">
        <f t="shared" si="1"/>
        <v>{"valorA":"para","valorB":8.0}</v>
      </c>
      <c r="E174" s="8" t="str">
        <f t="shared" si="2"/>
        <v>para</v>
      </c>
      <c r="F174" s="8" t="str">
        <f>IFERROR(__xludf.DUMMYFUNCTION("""COMPUTED_VALUE"""),"ainda")</f>
        <v>ainda</v>
      </c>
      <c r="G174" s="8" t="str">
        <f t="shared" si="3"/>
        <v>8.0</v>
      </c>
      <c r="H174" s="9">
        <f t="shared" si="4"/>
        <v>8</v>
      </c>
      <c r="I174" s="10">
        <f>IFERROR(__xludf.DUMMYFUNCTION("MAX(FILTER($H:$H,$E:$E=F174))"),1.0)</f>
        <v>1</v>
      </c>
    </row>
    <row r="175">
      <c r="A175" s="4"/>
      <c r="C175" s="4" t="s">
        <v>179</v>
      </c>
      <c r="D175" s="4" t="str">
        <f t="shared" si="1"/>
        <v>{"valorA":"online","valorB":1.0}</v>
      </c>
      <c r="E175" s="8" t="str">
        <f t="shared" si="2"/>
        <v>online</v>
      </c>
      <c r="F175" s="8" t="str">
        <f>IFERROR(__xludf.DUMMYFUNCTION("""COMPUTED_VALUE"""),"elétrica")</f>
        <v>elétrica</v>
      </c>
      <c r="G175" s="8" t="str">
        <f t="shared" si="3"/>
        <v>1.0</v>
      </c>
      <c r="H175" s="9">
        <f t="shared" si="4"/>
        <v>1</v>
      </c>
      <c r="I175" s="10">
        <f>IFERROR(__xludf.DUMMYFUNCTION("MAX(FILTER($H:$H,$E:$E=F175))"),1.0)</f>
        <v>1</v>
      </c>
    </row>
    <row r="176">
      <c r="A176" s="4"/>
      <c r="C176" s="4" t="s">
        <v>10004</v>
      </c>
      <c r="D176" s="4" t="str">
        <f t="shared" si="1"/>
        <v>{"valorA":"fm","valorB":1.0}</v>
      </c>
      <c r="E176" s="8" t="str">
        <f t="shared" si="2"/>
        <v>fm</v>
      </c>
      <c r="F176" s="8" t="str">
        <f>IFERROR(__xludf.DUMMYFUNCTION("""COMPUTED_VALUE"""),"tudo")</f>
        <v>tudo</v>
      </c>
      <c r="G176" s="8" t="str">
        <f t="shared" si="3"/>
        <v>1.0</v>
      </c>
      <c r="H176" s="9">
        <f t="shared" si="4"/>
        <v>1</v>
      </c>
      <c r="I176" s="10">
        <f>IFERROR(__xludf.DUMMYFUNCTION("MAX(FILTER($H:$H,$E:$E=F176))"),1.0)</f>
        <v>1</v>
      </c>
    </row>
    <row r="177">
      <c r="A177" s="4"/>
      <c r="C177" s="4" t="s">
        <v>992</v>
      </c>
      <c r="D177" s="4" t="str">
        <f t="shared" si="1"/>
        <v>{"valorA":"serviço","valorB":1.0}</v>
      </c>
      <c r="E177" s="8" t="str">
        <f t="shared" si="2"/>
        <v>serviço</v>
      </c>
      <c r="F177" s="8" t="str">
        <f>IFERROR(__xludf.DUMMYFUNCTION("""COMPUTED_VALUE"""),"batedeira")</f>
        <v>batedeira</v>
      </c>
      <c r="G177" s="8" t="str">
        <f t="shared" si="3"/>
        <v>1.0</v>
      </c>
      <c r="H177" s="9">
        <f t="shared" si="4"/>
        <v>1</v>
      </c>
      <c r="I177" s="10">
        <f>IFERROR(__xludf.DUMMYFUNCTION("MAX(FILTER($H:$H,$E:$E=F177))"),1.0)</f>
        <v>1</v>
      </c>
    </row>
    <row r="178">
      <c r="A178" s="4"/>
      <c r="C178" s="4" t="s">
        <v>659</v>
      </c>
      <c r="D178" s="4" t="str">
        <f t="shared" si="1"/>
        <v>{"valorA":"valeu","valorB":3.0}</v>
      </c>
      <c r="E178" s="8" t="str">
        <f t="shared" si="2"/>
        <v>valeu</v>
      </c>
      <c r="F178" s="8" t="str">
        <f>IFERROR(__xludf.DUMMYFUNCTION("""COMPUTED_VALUE"""),"da")</f>
        <v>da</v>
      </c>
      <c r="G178" s="8" t="str">
        <f t="shared" si="3"/>
        <v>3.0</v>
      </c>
      <c r="H178" s="9">
        <f t="shared" si="4"/>
        <v>3</v>
      </c>
      <c r="I178" s="10">
        <f>IFERROR(__xludf.DUMMYFUNCTION("MAX(FILTER($H:$H,$E:$E=F178))"),1.0)</f>
        <v>1</v>
      </c>
    </row>
    <row r="179">
      <c r="A179" s="4"/>
      <c r="C179" s="4" t="s">
        <v>1140</v>
      </c>
      <c r="D179" s="4" t="str">
        <f t="shared" si="1"/>
        <v>{"valorA":"pena","valorB":3.0}</v>
      </c>
      <c r="E179" s="8" t="str">
        <f t="shared" si="2"/>
        <v>pena</v>
      </c>
      <c r="F179" s="8"/>
      <c r="G179" s="8" t="str">
        <f t="shared" si="3"/>
        <v>3.0</v>
      </c>
      <c r="H179" s="9">
        <f t="shared" si="4"/>
        <v>3</v>
      </c>
      <c r="I179" s="6" t="str">
        <f>IFERROR(__xludf.DUMMYFUNCTION("MAX(FILTER($H:$H,$E:$E=F179))"),"#N/A")</f>
        <v>#N/A</v>
      </c>
    </row>
    <row r="180">
      <c r="A180" s="4"/>
      <c r="C180" s="4" t="s">
        <v>1005</v>
      </c>
      <c r="D180" s="4" t="str">
        <f t="shared" si="1"/>
        <v>{"valorA":"rádio","valorB":1.0}</v>
      </c>
      <c r="E180" s="8" t="str">
        <f t="shared" si="2"/>
        <v>rádio</v>
      </c>
      <c r="F180" s="8"/>
      <c r="G180" s="8" t="str">
        <f t="shared" si="3"/>
        <v>1.0</v>
      </c>
      <c r="H180" s="9">
        <f t="shared" si="4"/>
        <v>1</v>
      </c>
      <c r="I180" s="6" t="str">
        <f>IFERROR(__xludf.DUMMYFUNCTION("MAX(FILTER($H:$H,$E:$E=F180))"),"#N/A")</f>
        <v>#N/A</v>
      </c>
    </row>
    <row r="181">
      <c r="A181" s="4"/>
      <c r="C181" s="4" t="s">
        <v>10005</v>
      </c>
      <c r="D181" s="4" t="str">
        <f t="shared" si="1"/>
        <v>{"valorA":"conta","valorB":1.0}</v>
      </c>
      <c r="E181" s="8" t="str">
        <f t="shared" si="2"/>
        <v>conta</v>
      </c>
      <c r="F181" s="8"/>
      <c r="G181" s="8" t="str">
        <f t="shared" si="3"/>
        <v>1.0</v>
      </c>
      <c r="H181" s="9">
        <f t="shared" si="4"/>
        <v>1</v>
      </c>
      <c r="I181" s="6" t="str">
        <f>IFERROR(__xludf.DUMMYFUNCTION("MAX(FILTER($H:$H,$E:$E=F181))"),"#N/A")</f>
        <v>#N/A</v>
      </c>
    </row>
    <row r="182">
      <c r="A182" s="4"/>
      <c r="C182" s="4" t="s">
        <v>1070</v>
      </c>
      <c r="D182" s="4" t="str">
        <f t="shared" si="1"/>
        <v>{"valorA":"óptimo","valorB":3.0}</v>
      </c>
      <c r="E182" s="8" t="str">
        <f t="shared" si="2"/>
        <v>óptimo</v>
      </c>
      <c r="F182" s="8"/>
      <c r="G182" s="8" t="str">
        <f t="shared" si="3"/>
        <v>3.0</v>
      </c>
      <c r="H182" s="9">
        <f t="shared" si="4"/>
        <v>3</v>
      </c>
      <c r="I182" s="6" t="str">
        <f>IFERROR(__xludf.DUMMYFUNCTION("MAX(FILTER($H:$H,$E:$E=F182))"),"#N/A")</f>
        <v>#N/A</v>
      </c>
    </row>
    <row r="183">
      <c r="A183" s="4"/>
      <c r="C183" s="4" t="s">
        <v>658</v>
      </c>
      <c r="D183" s="4" t="str">
        <f t="shared" si="1"/>
        <v>{"valorA":"ótimo","valorB":18.0}</v>
      </c>
      <c r="E183" s="8" t="str">
        <f t="shared" si="2"/>
        <v>ótimo</v>
      </c>
      <c r="F183" s="8"/>
      <c r="G183" s="8" t="str">
        <f t="shared" si="3"/>
        <v>18.0</v>
      </c>
      <c r="H183" s="9">
        <f t="shared" si="4"/>
        <v>18</v>
      </c>
      <c r="I183" s="6" t="str">
        <f>IFERROR(__xludf.DUMMYFUNCTION("MAX(FILTER($H:$H,$E:$E=F183))"),"#N/A")</f>
        <v>#N/A</v>
      </c>
    </row>
    <row r="184">
      <c r="A184" s="4"/>
      <c r="C184" s="4" t="s">
        <v>452</v>
      </c>
      <c r="D184" s="4" t="str">
        <f t="shared" si="1"/>
        <v>{"valorA":"a","valorB":5.0}</v>
      </c>
      <c r="E184" s="8" t="str">
        <f t="shared" si="2"/>
        <v>a</v>
      </c>
      <c r="F184" s="8"/>
      <c r="G184" s="8" t="str">
        <f t="shared" si="3"/>
        <v>5.0</v>
      </c>
      <c r="H184" s="9">
        <f t="shared" si="4"/>
        <v>5</v>
      </c>
      <c r="I184" s="6" t="str">
        <f>IFERROR(__xludf.DUMMYFUNCTION("MAX(FILTER($H:$H,$E:$E=F184))"),"#N/A")</f>
        <v>#N/A</v>
      </c>
    </row>
    <row r="185">
      <c r="A185" s="4"/>
      <c r="C185" s="4" t="s">
        <v>1272</v>
      </c>
      <c r="D185" s="4" t="str">
        <f t="shared" si="1"/>
        <v>{"valorA":"minha","valorB":2.0}</v>
      </c>
      <c r="E185" s="8" t="str">
        <f t="shared" si="2"/>
        <v>minha</v>
      </c>
      <c r="F185" s="8"/>
      <c r="G185" s="8" t="str">
        <f t="shared" si="3"/>
        <v>2.0</v>
      </c>
      <c r="H185" s="9">
        <f t="shared" si="4"/>
        <v>2</v>
      </c>
      <c r="I185" s="6" t="str">
        <f>IFERROR(__xludf.DUMMYFUNCTION("MAX(FILTER($H:$H,$E:$E=F185))"),"#N/A")</f>
        <v>#N/A</v>
      </c>
    </row>
    <row r="186">
      <c r="A186" s="4"/>
      <c r="C186" s="4" t="s">
        <v>1476</v>
      </c>
      <c r="D186" s="4" t="str">
        <f t="shared" si="1"/>
        <v>{"valorA":"horas","valorB":1.0}</v>
      </c>
      <c r="E186" s="8" t="str">
        <f t="shared" si="2"/>
        <v>horas</v>
      </c>
      <c r="F186" s="8"/>
      <c r="G186" s="8" t="str">
        <f t="shared" si="3"/>
        <v>1.0</v>
      </c>
      <c r="H186" s="9">
        <f t="shared" si="4"/>
        <v>1</v>
      </c>
      <c r="I186" s="6" t="str">
        <f>IFERROR(__xludf.DUMMYFUNCTION("MAX(FILTER($H:$H,$E:$E=F186))"),"#N/A")</f>
        <v>#N/A</v>
      </c>
    </row>
    <row r="187">
      <c r="A187" s="4"/>
      <c r="C187" s="4" t="s">
        <v>1055</v>
      </c>
      <c r="D187" s="4" t="str">
        <f t="shared" si="1"/>
        <v>{"valorA":"dia","valorB":1.0}</v>
      </c>
      <c r="E187" s="8" t="str">
        <f t="shared" si="2"/>
        <v>dia</v>
      </c>
      <c r="F187" s="8"/>
      <c r="G187" s="8" t="str">
        <f t="shared" si="3"/>
        <v>1.0</v>
      </c>
      <c r="H187" s="9">
        <f t="shared" si="4"/>
        <v>1</v>
      </c>
      <c r="I187" s="6" t="str">
        <f>IFERROR(__xludf.DUMMYFUNCTION("MAX(FILTER($H:$H,$E:$E=F187))"),"#N/A")</f>
        <v>#N/A</v>
      </c>
    </row>
    <row r="188">
      <c r="A188" s="4"/>
      <c r="C188" s="4" t="s">
        <v>1056</v>
      </c>
      <c r="D188" s="4" t="str">
        <f t="shared" si="1"/>
        <v>{"valorA":"ótima","valorB":5.0}</v>
      </c>
      <c r="E188" s="8" t="str">
        <f t="shared" si="2"/>
        <v>ótima</v>
      </c>
      <c r="F188" s="8"/>
      <c r="G188" s="8" t="str">
        <f t="shared" si="3"/>
        <v>5.0</v>
      </c>
      <c r="H188" s="9">
        <f t="shared" si="4"/>
        <v>5</v>
      </c>
      <c r="I188" s="6" t="str">
        <f>IFERROR(__xludf.DUMMYFUNCTION("MAX(FILTER($H:$H,$E:$E=F188))"),"#N/A")</f>
        <v>#N/A</v>
      </c>
    </row>
    <row r="189">
      <c r="A189" s="4"/>
      <c r="C189" s="4" t="s">
        <v>268</v>
      </c>
      <c r="D189" s="4" t="str">
        <f t="shared" si="1"/>
        <v>{"valorA":"bem","valorB":3.0}</v>
      </c>
      <c r="E189" s="8" t="str">
        <f t="shared" si="2"/>
        <v>bem</v>
      </c>
      <c r="F189" s="8"/>
      <c r="G189" s="8" t="str">
        <f t="shared" si="3"/>
        <v>3.0</v>
      </c>
      <c r="H189" s="9">
        <f t="shared" si="4"/>
        <v>3</v>
      </c>
      <c r="I189" s="6" t="str">
        <f>IFERROR(__xludf.DUMMYFUNCTION("MAX(FILTER($H:$H,$E:$E=F189))"),"#N/A")</f>
        <v>#N/A</v>
      </c>
    </row>
    <row r="190">
      <c r="A190" s="4"/>
      <c r="C190" s="4" t="s">
        <v>986</v>
      </c>
      <c r="D190" s="4" t="str">
        <f t="shared" si="1"/>
        <v>{"valorA":"escritório","valorB":1.0}</v>
      </c>
      <c r="E190" s="8" t="str">
        <f t="shared" si="2"/>
        <v>escritório</v>
      </c>
      <c r="F190" s="8"/>
      <c r="G190" s="8" t="str">
        <f t="shared" si="3"/>
        <v>1.0</v>
      </c>
      <c r="H190" s="9">
        <f t="shared" si="4"/>
        <v>1</v>
      </c>
      <c r="I190" s="6" t="str">
        <f>IFERROR(__xludf.DUMMYFUNCTION("MAX(FILTER($H:$H,$E:$E=F190))"),"#N/A")</f>
        <v>#N/A</v>
      </c>
    </row>
    <row r="191">
      <c r="A191" s="4"/>
      <c r="C191" s="4" t="s">
        <v>1038</v>
      </c>
      <c r="D191" s="4" t="str">
        <f t="shared" si="1"/>
        <v>{"valorA":"primeiro","valorB":2.0}</v>
      </c>
      <c r="E191" s="8" t="str">
        <f t="shared" si="2"/>
        <v>primeiro</v>
      </c>
      <c r="F191" s="8"/>
      <c r="G191" s="8" t="str">
        <f t="shared" si="3"/>
        <v>2.0</v>
      </c>
      <c r="H191" s="9">
        <f t="shared" si="4"/>
        <v>2</v>
      </c>
      <c r="I191" s="6" t="str">
        <f>IFERROR(__xludf.DUMMYFUNCTION("MAX(FILTER($H:$H,$E:$E=F191))"),"#N/A")</f>
        <v>#N/A</v>
      </c>
    </row>
    <row r="192">
      <c r="A192" s="4"/>
      <c r="C192" s="4" t="s">
        <v>294</v>
      </c>
      <c r="D192" s="4" t="str">
        <f t="shared" si="1"/>
        <v>{"valorA":"de","valorB":6.0}</v>
      </c>
      <c r="E192" s="8" t="str">
        <f t="shared" si="2"/>
        <v>de</v>
      </c>
      <c r="F192" s="8"/>
      <c r="G192" s="8" t="str">
        <f t="shared" si="3"/>
        <v>6.0</v>
      </c>
      <c r="H192" s="9">
        <f t="shared" si="4"/>
        <v>6</v>
      </c>
      <c r="I192" s="6" t="str">
        <f>IFERROR(__xludf.DUMMYFUNCTION("MAX(FILTER($H:$H,$E:$E=F192))"),"#N/A")</f>
        <v>#N/A</v>
      </c>
    </row>
    <row r="193">
      <c r="A193" s="4"/>
      <c r="C193" s="4" t="s">
        <v>409</v>
      </c>
      <c r="D193" s="4" t="str">
        <f t="shared" si="1"/>
        <v>{"valorA":"o","valorB":6.0}</v>
      </c>
      <c r="E193" s="8" t="str">
        <f t="shared" si="2"/>
        <v>o</v>
      </c>
      <c r="F193" s="8"/>
      <c r="G193" s="8" t="str">
        <f t="shared" si="3"/>
        <v>6.0</v>
      </c>
      <c r="H193" s="9">
        <f t="shared" si="4"/>
        <v>6</v>
      </c>
      <c r="I193" s="6" t="str">
        <f>IFERROR(__xludf.DUMMYFUNCTION("MAX(FILTER($H:$H,$E:$E=F193))"),"#N/A")</f>
        <v>#N/A</v>
      </c>
    </row>
    <row r="194">
      <c r="A194" s="4"/>
      <c r="C194" s="4" t="s">
        <v>1075</v>
      </c>
      <c r="D194" s="4" t="str">
        <f t="shared" si="1"/>
        <v>{"valorA":"fica","valorB":1.0}</v>
      </c>
      <c r="E194" s="8" t="str">
        <f t="shared" si="2"/>
        <v>fica</v>
      </c>
      <c r="F194" s="8"/>
      <c r="G194" s="8" t="str">
        <f t="shared" si="3"/>
        <v>1.0</v>
      </c>
      <c r="H194" s="9">
        <f t="shared" si="4"/>
        <v>1</v>
      </c>
      <c r="I194" s="6" t="str">
        <f>IFERROR(__xludf.DUMMYFUNCTION("MAX(FILTER($H:$H,$E:$E=F194))"),"#N/A")</f>
        <v>#N/A</v>
      </c>
    </row>
    <row r="195">
      <c r="A195" s="4"/>
      <c r="C195" s="4" t="s">
        <v>1041</v>
      </c>
      <c r="D195" s="4" t="str">
        <f t="shared" si="1"/>
        <v>{"valorA":"desde","valorB":2.0}</v>
      </c>
      <c r="E195" s="8" t="str">
        <f t="shared" si="2"/>
        <v>desde</v>
      </c>
      <c r="F195" s="8"/>
      <c r="G195" s="8" t="str">
        <f t="shared" si="3"/>
        <v>2.0</v>
      </c>
      <c r="H195" s="9">
        <f t="shared" si="4"/>
        <v>2</v>
      </c>
      <c r="I195" s="6" t="str">
        <f>IFERROR(__xludf.DUMMYFUNCTION("MAX(FILTER($H:$H,$E:$E=F195))"),"#N/A")</f>
        <v>#N/A</v>
      </c>
    </row>
    <row r="196">
      <c r="A196" s="4"/>
      <c r="C196" s="4" t="s">
        <v>1008</v>
      </c>
      <c r="D196" s="4" t="str">
        <f t="shared" si="1"/>
        <v>{"valorA":"lavadora","valorB":1.0}</v>
      </c>
      <c r="E196" s="8" t="str">
        <f t="shared" si="2"/>
        <v>lavadora</v>
      </c>
      <c r="F196" s="8"/>
      <c r="G196" s="8" t="str">
        <f t="shared" si="3"/>
        <v>1.0</v>
      </c>
      <c r="H196" s="9">
        <f t="shared" si="4"/>
        <v>1</v>
      </c>
      <c r="I196" s="6" t="str">
        <f>IFERROR(__xludf.DUMMYFUNCTION("MAX(FILTER($H:$H,$E:$E=F196))"),"#N/A")</f>
        <v>#N/A</v>
      </c>
    </row>
    <row r="197">
      <c r="A197" s="4"/>
      <c r="C197" s="4" t="s">
        <v>10006</v>
      </c>
      <c r="D197" s="4" t="str">
        <f t="shared" si="1"/>
        <v>{"valorA":"durante","valorB":1.0}</v>
      </c>
      <c r="E197" s="8" t="str">
        <f t="shared" si="2"/>
        <v>durante</v>
      </c>
      <c r="F197" s="8"/>
      <c r="G197" s="8" t="str">
        <f t="shared" si="3"/>
        <v>1.0</v>
      </c>
      <c r="H197" s="9">
        <f t="shared" si="4"/>
        <v>1</v>
      </c>
      <c r="I197" s="6" t="str">
        <f>IFERROR(__xludf.DUMMYFUNCTION("MAX(FILTER($H:$H,$E:$E=F197))"),"#N/A")</f>
        <v>#N/A</v>
      </c>
    </row>
    <row r="198">
      <c r="A198" s="4"/>
      <c r="C198" s="4" t="s">
        <v>319</v>
      </c>
      <c r="D198" s="4" t="str">
        <f t="shared" si="1"/>
        <v>{"valorA":"muito","valorB":9.0}</v>
      </c>
      <c r="E198" s="8" t="str">
        <f t="shared" si="2"/>
        <v>muito</v>
      </c>
      <c r="F198" s="8"/>
      <c r="G198" s="8" t="str">
        <f t="shared" si="3"/>
        <v>9.0</v>
      </c>
      <c r="H198" s="9">
        <f t="shared" si="4"/>
        <v>9</v>
      </c>
      <c r="I198" s="6" t="str">
        <f>IFERROR(__xludf.DUMMYFUNCTION("MAX(FILTER($H:$H,$E:$E=F198))"),"#N/A")</f>
        <v>#N/A</v>
      </c>
    </row>
    <row r="199">
      <c r="A199" s="4"/>
      <c r="C199" s="4" t="s">
        <v>1080</v>
      </c>
      <c r="D199" s="4" t="str">
        <f t="shared" si="1"/>
        <v>{"valorA":"confortável","valorB":2.0}</v>
      </c>
      <c r="E199" s="8" t="str">
        <f t="shared" si="2"/>
        <v>confortável</v>
      </c>
      <c r="F199" s="8"/>
      <c r="G199" s="8" t="str">
        <f t="shared" si="3"/>
        <v>2.0</v>
      </c>
      <c r="H199" s="9">
        <f t="shared" si="4"/>
        <v>2</v>
      </c>
      <c r="I199" s="6" t="str">
        <f>IFERROR(__xludf.DUMMYFUNCTION("MAX(FILTER($H:$H,$E:$E=F199))"),"#N/A")</f>
        <v>#N/A</v>
      </c>
    </row>
    <row r="200">
      <c r="A200" s="4"/>
      <c r="C200" s="4" t="s">
        <v>288</v>
      </c>
      <c r="D200" s="4" t="str">
        <f t="shared" si="1"/>
        <v>{"valorA":"funciona","valorB":4.0}</v>
      </c>
      <c r="E200" s="8" t="str">
        <f t="shared" si="2"/>
        <v>funciona</v>
      </c>
      <c r="F200" s="8"/>
      <c r="G200" s="8" t="str">
        <f t="shared" si="3"/>
        <v>4.0</v>
      </c>
      <c r="H200" s="9">
        <f t="shared" si="4"/>
        <v>4</v>
      </c>
      <c r="I200" s="6" t="str">
        <f>IFERROR(__xludf.DUMMYFUNCTION("MAX(FILTER($H:$H,$E:$E=F200))"),"#N/A")</f>
        <v>#N/A</v>
      </c>
    </row>
    <row r="201">
      <c r="A201" s="4"/>
      <c r="C201" s="4" t="s">
        <v>1138</v>
      </c>
      <c r="D201" s="4" t="str">
        <f t="shared" si="1"/>
        <v>{"valorA":"cadeira","valorB":2.0}</v>
      </c>
      <c r="E201" s="8" t="str">
        <f t="shared" si="2"/>
        <v>cadeira</v>
      </c>
      <c r="F201" s="8"/>
      <c r="G201" s="8" t="str">
        <f t="shared" si="3"/>
        <v>2.0</v>
      </c>
      <c r="H201" s="9">
        <f t="shared" si="4"/>
        <v>2</v>
      </c>
      <c r="I201" s="6" t="str">
        <f>IFERROR(__xludf.DUMMYFUNCTION("MAX(FILTER($H:$H,$E:$E=F201))"),"#N/A")</f>
        <v>#N/A</v>
      </c>
    </row>
    <row r="202">
      <c r="A202" s="4"/>
      <c r="C202" s="4" t="s">
        <v>639</v>
      </c>
      <c r="D202" s="4" t="str">
        <f t="shared" si="1"/>
        <v>{"valorA":"econômico","valorB":1.0}</v>
      </c>
      <c r="E202" s="8" t="str">
        <f t="shared" si="2"/>
        <v>econômico</v>
      </c>
      <c r="F202" s="8"/>
      <c r="G202" s="8" t="str">
        <f t="shared" si="3"/>
        <v>1.0</v>
      </c>
      <c r="H202" s="9">
        <f t="shared" si="4"/>
        <v>1</v>
      </c>
      <c r="I202" s="6" t="str">
        <f>IFERROR(__xludf.DUMMYFUNCTION("MAX(FILTER($H:$H,$E:$E=F202))"),"#N/A")</f>
        <v>#N/A</v>
      </c>
    </row>
    <row r="203">
      <c r="A203" s="4"/>
      <c r="C203" s="4" t="s">
        <v>1030</v>
      </c>
      <c r="D203" s="4" t="str">
        <f t="shared" si="1"/>
        <v>{"valorA":"condicionado","valorB":1.0}</v>
      </c>
      <c r="E203" s="8" t="str">
        <f t="shared" si="2"/>
        <v>condicionado</v>
      </c>
      <c r="F203" s="8"/>
      <c r="G203" s="8" t="str">
        <f t="shared" si="3"/>
        <v>1.0</v>
      </c>
      <c r="H203" s="9">
        <f t="shared" si="4"/>
        <v>1</v>
      </c>
      <c r="I203" s="6" t="str">
        <f>IFERROR(__xludf.DUMMYFUNCTION("MAX(FILTER($H:$H,$E:$E=F203))"),"#N/A")</f>
        <v>#N/A</v>
      </c>
    </row>
    <row r="204">
      <c r="A204" s="4"/>
      <c r="C204" s="4" t="s">
        <v>293</v>
      </c>
      <c r="D204" s="4" t="str">
        <f t="shared" si="1"/>
        <v>{"valorA":"bem","valorB":4.0}</v>
      </c>
      <c r="E204" s="8" t="str">
        <f t="shared" si="2"/>
        <v>bem</v>
      </c>
      <c r="F204" s="8"/>
      <c r="G204" s="8" t="str">
        <f t="shared" si="3"/>
        <v>4.0</v>
      </c>
      <c r="H204" s="9">
        <f t="shared" si="4"/>
        <v>4</v>
      </c>
      <c r="I204" s="6" t="str">
        <f>IFERROR(__xludf.DUMMYFUNCTION("MAX(FILTER($H:$H,$E:$E=F204))"),"#N/A")</f>
        <v>#N/A</v>
      </c>
    </row>
    <row r="205">
      <c r="A205" s="4"/>
      <c r="C205" s="4" t="s">
        <v>280</v>
      </c>
      <c r="D205" s="4" t="str">
        <f t="shared" si="1"/>
        <v>{"valorA":"e","valorB":4.0}</v>
      </c>
      <c r="E205" s="8" t="str">
        <f t="shared" si="2"/>
        <v>e</v>
      </c>
      <c r="F205" s="8"/>
      <c r="G205" s="8" t="str">
        <f t="shared" si="3"/>
        <v>4.0</v>
      </c>
      <c r="H205" s="9">
        <f t="shared" si="4"/>
        <v>4</v>
      </c>
      <c r="I205" s="6" t="str">
        <f>IFERROR(__xludf.DUMMYFUNCTION("MAX(FILTER($H:$H,$E:$E=F205))"),"#N/A")</f>
        <v>#N/A</v>
      </c>
    </row>
    <row r="206">
      <c r="A206" s="4"/>
      <c r="C206" s="4" t="s">
        <v>1034</v>
      </c>
      <c r="D206" s="4" t="str">
        <f t="shared" si="1"/>
        <v>{"valorA":"ar","valorB":1.0}</v>
      </c>
      <c r="E206" s="8" t="str">
        <f t="shared" si="2"/>
        <v>ar</v>
      </c>
      <c r="F206" s="8"/>
      <c r="G206" s="8" t="str">
        <f t="shared" si="3"/>
        <v>1.0</v>
      </c>
      <c r="H206" s="9">
        <f t="shared" si="4"/>
        <v>1</v>
      </c>
      <c r="I206" s="6" t="str">
        <f>IFERROR(__xludf.DUMMYFUNCTION("MAX(FILTER($H:$H,$E:$E=F206))"),"#N/A")</f>
        <v>#N/A</v>
      </c>
    </row>
    <row r="207">
      <c r="A207" s="4"/>
      <c r="C207" s="4" t="s">
        <v>1141</v>
      </c>
      <c r="D207" s="4" t="str">
        <f t="shared" si="1"/>
        <v>{"valorA":"aparelho","valorB":4.0}</v>
      </c>
      <c r="E207" s="8" t="str">
        <f t="shared" si="2"/>
        <v>aparelho</v>
      </c>
      <c r="F207" s="8"/>
      <c r="G207" s="8" t="str">
        <f t="shared" si="3"/>
        <v>4.0</v>
      </c>
      <c r="H207" s="9">
        <f t="shared" si="4"/>
        <v>4</v>
      </c>
      <c r="I207" s="6" t="str">
        <f>IFERROR(__xludf.DUMMYFUNCTION("MAX(FILTER($H:$H,$E:$E=F207))"),"#N/A")</f>
        <v>#N/A</v>
      </c>
    </row>
    <row r="208">
      <c r="A208" s="4"/>
      <c r="C208" s="4" t="s">
        <v>671</v>
      </c>
      <c r="D208" s="4" t="str">
        <f t="shared" si="1"/>
        <v>{"valorA":"ótimo","valorB":20.0}</v>
      </c>
      <c r="E208" s="8" t="str">
        <f t="shared" si="2"/>
        <v>ótimo</v>
      </c>
      <c r="F208" s="8"/>
      <c r="G208" s="8" t="str">
        <f t="shared" si="3"/>
        <v>20.0</v>
      </c>
      <c r="H208" s="9">
        <f t="shared" si="4"/>
        <v>20</v>
      </c>
      <c r="I208" s="6" t="str">
        <f>IFERROR(__xludf.DUMMYFUNCTION("MAX(FILTER($H:$H,$E:$E=F208))"),"#N/A")</f>
        <v>#N/A</v>
      </c>
    </row>
    <row r="209">
      <c r="A209" s="4"/>
      <c r="C209" s="4" t="s">
        <v>243</v>
      </c>
      <c r="D209" s="4" t="str">
        <f t="shared" si="1"/>
        <v>{"valorA":"esse","valorB":3.0}</v>
      </c>
      <c r="E209" s="8" t="str">
        <f t="shared" si="2"/>
        <v>esse</v>
      </c>
      <c r="F209" s="8"/>
      <c r="G209" s="8" t="str">
        <f t="shared" si="3"/>
        <v>3.0</v>
      </c>
      <c r="H209" s="9">
        <f t="shared" si="4"/>
        <v>3</v>
      </c>
      <c r="I209" s="6" t="str">
        <f>IFERROR(__xludf.DUMMYFUNCTION("MAX(FILTER($H:$H,$E:$E=F209))"),"#N/A")</f>
        <v>#N/A</v>
      </c>
    </row>
    <row r="210">
      <c r="A210" s="4"/>
      <c r="C210" s="4" t="s">
        <v>339</v>
      </c>
      <c r="D210" s="4" t="str">
        <f t="shared" si="1"/>
        <v>{"valorA":"muito","valorB":10.0}</v>
      </c>
      <c r="E210" s="8" t="str">
        <f t="shared" si="2"/>
        <v>muito</v>
      </c>
      <c r="F210" s="8"/>
      <c r="G210" s="8" t="str">
        <f t="shared" si="3"/>
        <v>10.0</v>
      </c>
      <c r="H210" s="9">
        <f t="shared" si="4"/>
        <v>10</v>
      </c>
      <c r="I210" s="6" t="str">
        <f>IFERROR(__xludf.DUMMYFUNCTION("MAX(FILTER($H:$H,$E:$E=F210))"),"#N/A")</f>
        <v>#N/A</v>
      </c>
    </row>
    <row r="211">
      <c r="A211" s="4"/>
      <c r="C211" s="4" t="s">
        <v>303</v>
      </c>
      <c r="D211" s="4" t="str">
        <f t="shared" si="1"/>
        <v>{"valorA":"funciona","valorB":5.0}</v>
      </c>
      <c r="E211" s="8" t="str">
        <f t="shared" si="2"/>
        <v>funciona</v>
      </c>
      <c r="F211" s="8"/>
      <c r="G211" s="8" t="str">
        <f t="shared" si="3"/>
        <v>5.0</v>
      </c>
      <c r="H211" s="9">
        <f t="shared" si="4"/>
        <v>5</v>
      </c>
      <c r="I211" s="6" t="str">
        <f>IFERROR(__xludf.DUMMYFUNCTION("MAX(FILTER($H:$H,$E:$E=F211))"),"#N/A")</f>
        <v>#N/A</v>
      </c>
    </row>
    <row r="212">
      <c r="A212" s="4"/>
      <c r="C212" s="4" t="s">
        <v>691</v>
      </c>
      <c r="D212" s="4" t="str">
        <f t="shared" si="1"/>
        <v>{"valorA":"para","valorB":9.0}</v>
      </c>
      <c r="E212" s="8" t="str">
        <f t="shared" si="2"/>
        <v>para</v>
      </c>
      <c r="F212" s="8"/>
      <c r="G212" s="8" t="str">
        <f t="shared" si="3"/>
        <v>9.0</v>
      </c>
      <c r="H212" s="9">
        <f t="shared" si="4"/>
        <v>9</v>
      </c>
      <c r="I212" s="6" t="str">
        <f>IFERROR(__xludf.DUMMYFUNCTION("MAX(FILTER($H:$H,$E:$E=F212))"),"#N/A")</f>
        <v>#N/A</v>
      </c>
    </row>
    <row r="213">
      <c r="A213" s="4"/>
      <c r="C213" s="4" t="s">
        <v>692</v>
      </c>
      <c r="D213" s="4" t="str">
        <f t="shared" si="1"/>
        <v>{"valorA":"precisa","valorB":1.0}</v>
      </c>
      <c r="E213" s="8" t="str">
        <f t="shared" si="2"/>
        <v>precisa</v>
      </c>
      <c r="F213" s="8"/>
      <c r="G213" s="8" t="str">
        <f t="shared" si="3"/>
        <v>1.0</v>
      </c>
      <c r="H213" s="9">
        <f t="shared" si="4"/>
        <v>1</v>
      </c>
      <c r="I213" s="6" t="str">
        <f>IFERROR(__xludf.DUMMYFUNCTION("MAX(FILTER($H:$H,$E:$E=F213))"),"#N/A")</f>
        <v>#N/A</v>
      </c>
    </row>
    <row r="214">
      <c r="A214" s="4"/>
      <c r="C214" s="4" t="s">
        <v>693</v>
      </c>
      <c r="D214" s="4" t="str">
        <f t="shared" si="1"/>
        <v>{"valorA":"portátil","valorB":1.0}</v>
      </c>
      <c r="E214" s="8" t="str">
        <f t="shared" si="2"/>
        <v>portátil</v>
      </c>
      <c r="F214" s="8"/>
      <c r="G214" s="8" t="str">
        <f t="shared" si="3"/>
        <v>1.0</v>
      </c>
      <c r="H214" s="9">
        <f t="shared" si="4"/>
        <v>1</v>
      </c>
      <c r="I214" s="6" t="str">
        <f>IFERROR(__xludf.DUMMYFUNCTION("MAX(FILTER($H:$H,$E:$E=F214))"),"#N/A")</f>
        <v>#N/A</v>
      </c>
    </row>
    <row r="215">
      <c r="A215" s="4"/>
      <c r="C215" s="4" t="s">
        <v>1633</v>
      </c>
      <c r="D215" s="4" t="str">
        <f t="shared" si="1"/>
        <v>{"valorA":"bastante","valorB":2.0}</v>
      </c>
      <c r="E215" s="8" t="str">
        <f t="shared" si="2"/>
        <v>bastante</v>
      </c>
      <c r="F215" s="8"/>
      <c r="G215" s="8" t="str">
        <f t="shared" si="3"/>
        <v>2.0</v>
      </c>
      <c r="H215" s="9">
        <f t="shared" si="4"/>
        <v>2</v>
      </c>
      <c r="I215" s="6" t="str">
        <f>IFERROR(__xludf.DUMMYFUNCTION("MAX(FILTER($H:$H,$E:$E=F215))"),"#N/A")</f>
        <v>#N/A</v>
      </c>
    </row>
    <row r="216">
      <c r="A216" s="4"/>
      <c r="C216" s="4" t="s">
        <v>1067</v>
      </c>
      <c r="D216" s="4" t="str">
        <f t="shared" si="1"/>
        <v>{"valorA":"ótima","valorB":6.0}</v>
      </c>
      <c r="E216" s="8" t="str">
        <f t="shared" si="2"/>
        <v>ótima</v>
      </c>
      <c r="F216" s="8"/>
      <c r="G216" s="8" t="str">
        <f t="shared" si="3"/>
        <v>6.0</v>
      </c>
      <c r="H216" s="9">
        <f t="shared" si="4"/>
        <v>6</v>
      </c>
      <c r="I216" s="6" t="str">
        <f>IFERROR(__xludf.DUMMYFUNCTION("MAX(FILTER($H:$H,$E:$E=F216))"),"#N/A")</f>
        <v>#N/A</v>
      </c>
    </row>
    <row r="217">
      <c r="A217" s="4"/>
      <c r="C217" s="4" t="s">
        <v>10007</v>
      </c>
      <c r="D217" s="4" t="str">
        <f t="shared" si="1"/>
        <v>{"valorA":"celular","valorB":4.0}</v>
      </c>
      <c r="E217" s="8" t="str">
        <f t="shared" si="2"/>
        <v>celular</v>
      </c>
      <c r="F217" s="8"/>
      <c r="G217" s="8" t="str">
        <f t="shared" si="3"/>
        <v>4.0</v>
      </c>
      <c r="H217" s="9">
        <f t="shared" si="4"/>
        <v>4</v>
      </c>
      <c r="I217" s="6" t="str">
        <f>IFERROR(__xludf.DUMMYFUNCTION("MAX(FILTER($H:$H,$E:$E=F217))"),"#N/A")</f>
        <v>#N/A</v>
      </c>
    </row>
    <row r="218">
      <c r="A218" s="4"/>
      <c r="C218" s="4" t="s">
        <v>610</v>
      </c>
      <c r="D218" s="4" t="str">
        <f t="shared" si="1"/>
        <v>{"valorA":"quem","valorB":1.0}</v>
      </c>
      <c r="E218" s="8" t="str">
        <f t="shared" si="2"/>
        <v>quem</v>
      </c>
      <c r="F218" s="8"/>
      <c r="G218" s="8" t="str">
        <f t="shared" si="3"/>
        <v>1.0</v>
      </c>
      <c r="H218" s="9">
        <f t="shared" si="4"/>
        <v>1</v>
      </c>
      <c r="I218" s="6" t="str">
        <f>IFERROR(__xludf.DUMMYFUNCTION("MAX(FILTER($H:$H,$E:$E=F218))"),"#N/A")</f>
        <v>#N/A</v>
      </c>
    </row>
    <row r="219">
      <c r="A219" s="4"/>
      <c r="C219" s="4" t="s">
        <v>350</v>
      </c>
      <c r="D219" s="4" t="str">
        <f t="shared" si="1"/>
        <v>{"valorA":"de","valorB":7.0}</v>
      </c>
      <c r="E219" s="8" t="str">
        <f t="shared" si="2"/>
        <v>de</v>
      </c>
      <c r="F219" s="8"/>
      <c r="G219" s="8" t="str">
        <f t="shared" si="3"/>
        <v>7.0</v>
      </c>
      <c r="H219" s="9">
        <f t="shared" si="4"/>
        <v>7</v>
      </c>
      <c r="I219" s="6" t="str">
        <f>IFERROR(__xludf.DUMMYFUNCTION("MAX(FILTER($H:$H,$E:$E=F219))"),"#N/A")</f>
        <v>#N/A</v>
      </c>
    </row>
    <row r="220">
      <c r="A220" s="4"/>
      <c r="C220" s="4" t="s">
        <v>4892</v>
      </c>
      <c r="D220" s="4" t="str">
        <f t="shared" si="1"/>
        <v>{"valorA":"opção","valorB":1.0}</v>
      </c>
      <c r="E220" s="8" t="str">
        <f t="shared" si="2"/>
        <v>opção</v>
      </c>
      <c r="F220" s="8"/>
      <c r="G220" s="8" t="str">
        <f t="shared" si="3"/>
        <v>1.0</v>
      </c>
      <c r="H220" s="9">
        <f t="shared" si="4"/>
        <v>1</v>
      </c>
      <c r="I220" s="6" t="str">
        <f>IFERROR(__xludf.DUMMYFUNCTION("MAX(FILTER($H:$H,$E:$E=F220))"),"#N/A")</f>
        <v>#N/A</v>
      </c>
    </row>
    <row r="221">
      <c r="A221" s="4"/>
      <c r="C221" s="4" t="s">
        <v>459</v>
      </c>
      <c r="D221" s="4" t="str">
        <f t="shared" si="1"/>
        <v>{"valorA":"gosto","valorB":3.0}</v>
      </c>
      <c r="E221" s="8" t="str">
        <f t="shared" si="2"/>
        <v>gosto</v>
      </c>
      <c r="F221" s="8"/>
      <c r="G221" s="8" t="str">
        <f t="shared" si="3"/>
        <v>3.0</v>
      </c>
      <c r="H221" s="9">
        <f t="shared" si="4"/>
        <v>3</v>
      </c>
      <c r="I221" s="6" t="str">
        <f>IFERROR(__xludf.DUMMYFUNCTION("MAX(FILTER($H:$H,$E:$E=F221))"),"#N/A")</f>
        <v>#N/A</v>
      </c>
    </row>
    <row r="222">
      <c r="A222" s="4"/>
      <c r="C222" s="4" t="s">
        <v>10008</v>
      </c>
      <c r="D222" s="4" t="str">
        <f t="shared" si="1"/>
        <v>{"valorA":"telefone","valorB":4.0}</v>
      </c>
      <c r="E222" s="8" t="str">
        <f t="shared" si="2"/>
        <v>telefone</v>
      </c>
      <c r="F222" s="8"/>
      <c r="G222" s="8" t="str">
        <f t="shared" si="3"/>
        <v>4.0</v>
      </c>
      <c r="H222" s="9">
        <f t="shared" si="4"/>
        <v>4</v>
      </c>
      <c r="I222" s="6" t="str">
        <f>IFERROR(__xludf.DUMMYFUNCTION("MAX(FILTER($H:$H,$E:$E=F222))"),"#N/A")</f>
        <v>#N/A</v>
      </c>
    </row>
    <row r="223">
      <c r="A223" s="4"/>
      <c r="C223" s="4" t="s">
        <v>677</v>
      </c>
      <c r="D223" s="4" t="str">
        <f t="shared" si="1"/>
        <v>{"valorA":"ótimo","valorB":21.0}</v>
      </c>
      <c r="E223" s="8" t="str">
        <f t="shared" si="2"/>
        <v>ótimo</v>
      </c>
      <c r="F223" s="8"/>
      <c r="G223" s="8" t="str">
        <f t="shared" si="3"/>
        <v>21.0</v>
      </c>
      <c r="H223" s="9">
        <f t="shared" si="4"/>
        <v>21</v>
      </c>
      <c r="I223" s="6" t="str">
        <f>IFERROR(__xludf.DUMMYFUNCTION("MAX(FILTER($H:$H,$E:$E=F223))"),"#N/A")</f>
        <v>#N/A</v>
      </c>
    </row>
    <row r="224">
      <c r="A224" s="4"/>
      <c r="C224" s="4" t="s">
        <v>10009</v>
      </c>
      <c r="D224" s="4" t="str">
        <f t="shared" si="1"/>
        <v>{"valorA":"aquele","valorB":1.0}</v>
      </c>
      <c r="E224" s="8" t="str">
        <f t="shared" si="2"/>
        <v>aquele</v>
      </c>
      <c r="F224" s="8"/>
      <c r="G224" s="8" t="str">
        <f t="shared" si="3"/>
        <v>1.0</v>
      </c>
      <c r="H224" s="9">
        <f t="shared" si="4"/>
        <v>1</v>
      </c>
      <c r="I224" s="6" t="str">
        <f>IFERROR(__xludf.DUMMYFUNCTION("MAX(FILTER($H:$H,$E:$E=F224))"),"#N/A")</f>
        <v>#N/A</v>
      </c>
    </row>
    <row r="225">
      <c r="A225" s="4"/>
      <c r="C225" s="4" t="s">
        <v>10010</v>
      </c>
      <c r="D225" s="4" t="str">
        <f t="shared" si="1"/>
        <v>{"valorA":"geladeira","valorB":5.0}</v>
      </c>
      <c r="E225" s="8" t="str">
        <f t="shared" si="2"/>
        <v>geladeira</v>
      </c>
      <c r="F225" s="8"/>
      <c r="G225" s="8" t="str">
        <f t="shared" si="3"/>
        <v>5.0</v>
      </c>
      <c r="H225" s="9">
        <f t="shared" si="4"/>
        <v>5</v>
      </c>
      <c r="I225" s="6" t="str">
        <f>IFERROR(__xludf.DUMMYFUNCTION("MAX(FILTER($H:$H,$E:$E=F225))"),"#N/A")</f>
        <v>#N/A</v>
      </c>
    </row>
    <row r="226">
      <c r="A226" s="4"/>
      <c r="C226" s="4" t="s">
        <v>653</v>
      </c>
      <c r="D226" s="4" t="str">
        <f t="shared" si="1"/>
        <v>{"valorA":"um","valorB":2.0}</v>
      </c>
      <c r="E226" s="8" t="str">
        <f t="shared" si="2"/>
        <v>um</v>
      </c>
      <c r="F226" s="8"/>
      <c r="G226" s="8" t="str">
        <f t="shared" si="3"/>
        <v>2.0</v>
      </c>
      <c r="H226" s="9">
        <f t="shared" si="4"/>
        <v>2</v>
      </c>
      <c r="I226" s="6" t="str">
        <f>IFERROR(__xludf.DUMMYFUNCTION("MAX(FILTER($H:$H,$E:$E=F226))"),"#N/A")</f>
        <v>#N/A</v>
      </c>
    </row>
    <row r="227">
      <c r="A227" s="4"/>
      <c r="C227" s="4" t="s">
        <v>177</v>
      </c>
      <c r="D227" s="4" t="str">
        <f t="shared" si="1"/>
        <v>{"valorA":"é","valorB":1.0}</v>
      </c>
      <c r="E227" s="8" t="str">
        <f t="shared" si="2"/>
        <v>é</v>
      </c>
      <c r="F227" s="8"/>
      <c r="G227" s="8" t="str">
        <f t="shared" si="3"/>
        <v>1.0</v>
      </c>
      <c r="H227" s="9">
        <f t="shared" si="4"/>
        <v>1</v>
      </c>
      <c r="I227" s="6" t="str">
        <f>IFERROR(__xludf.DUMMYFUNCTION("MAX(FILTER($H:$H,$E:$E=F227))"),"#N/A")</f>
        <v>#N/A</v>
      </c>
    </row>
    <row r="228">
      <c r="A228" s="4"/>
      <c r="C228" s="4" t="s">
        <v>720</v>
      </c>
      <c r="D228" s="4" t="str">
        <f t="shared" si="1"/>
        <v>{"valorA":"para","valorB":10.0}</v>
      </c>
      <c r="E228" s="8" t="str">
        <f t="shared" si="2"/>
        <v>para</v>
      </c>
      <c r="F228" s="8"/>
      <c r="G228" s="8" t="str">
        <f t="shared" si="3"/>
        <v>10.0</v>
      </c>
      <c r="H228" s="9">
        <f t="shared" si="4"/>
        <v>10</v>
      </c>
      <c r="I228" s="6" t="str">
        <f>IFERROR(__xludf.DUMMYFUNCTION("MAX(FILTER($H:$H,$E:$E=F228))"),"#N/A")</f>
        <v>#N/A</v>
      </c>
    </row>
    <row r="229">
      <c r="A229" s="4"/>
      <c r="C229" s="4" t="s">
        <v>1632</v>
      </c>
      <c r="D229" s="4" t="str">
        <f t="shared" si="1"/>
        <v>{"valorA":"comprei","valorB":4.0}</v>
      </c>
      <c r="E229" s="8" t="str">
        <f t="shared" si="2"/>
        <v>comprei</v>
      </c>
      <c r="F229" s="8"/>
      <c r="G229" s="8" t="str">
        <f t="shared" si="3"/>
        <v>4.0</v>
      </c>
      <c r="H229" s="9">
        <f t="shared" si="4"/>
        <v>4</v>
      </c>
      <c r="I229" s="6" t="str">
        <f>IFERROR(__xludf.DUMMYFUNCTION("MAX(FILTER($H:$H,$E:$E=F229))"),"#N/A")</f>
        <v>#N/A</v>
      </c>
    </row>
    <row r="230">
      <c r="A230" s="4"/>
      <c r="C230" s="4" t="s">
        <v>1022</v>
      </c>
      <c r="D230" s="4" t="str">
        <f t="shared" si="1"/>
        <v>{"valorA":"com","valorB":5.0}</v>
      </c>
      <c r="E230" s="8" t="str">
        <f t="shared" si="2"/>
        <v>com</v>
      </c>
      <c r="F230" s="8"/>
      <c r="G230" s="8" t="str">
        <f t="shared" si="3"/>
        <v>5.0</v>
      </c>
      <c r="H230" s="9">
        <f t="shared" si="4"/>
        <v>5</v>
      </c>
      <c r="I230" s="6" t="str">
        <f>IFERROR(__xludf.DUMMYFUNCTION("MAX(FILTER($H:$H,$E:$E=F230))"),"#N/A")</f>
        <v>#N/A</v>
      </c>
    </row>
    <row r="231">
      <c r="A231" s="4"/>
      <c r="C231" s="4" t="s">
        <v>1063</v>
      </c>
      <c r="D231" s="4" t="str">
        <f t="shared" si="1"/>
        <v>{"valorA":"lâmpada","valorB":1.0}</v>
      </c>
      <c r="E231" s="8" t="str">
        <f t="shared" si="2"/>
        <v>lâmpada</v>
      </c>
      <c r="F231" s="8"/>
      <c r="G231" s="8" t="str">
        <f t="shared" si="3"/>
        <v>1.0</v>
      </c>
      <c r="H231" s="9">
        <f t="shared" si="4"/>
        <v>1</v>
      </c>
      <c r="I231" s="6" t="str">
        <f>IFERROR(__xludf.DUMMYFUNCTION("MAX(FILTER($H:$H,$E:$E=F231))"),"#N/A")</f>
        <v>#N/A</v>
      </c>
    </row>
    <row r="232">
      <c r="A232" s="4"/>
      <c r="C232" s="4" t="s">
        <v>367</v>
      </c>
      <c r="D232" s="4" t="str">
        <f t="shared" si="1"/>
        <v>{"valorA":"meu","valorB":2.0}</v>
      </c>
      <c r="E232" s="8" t="str">
        <f t="shared" si="2"/>
        <v>meu</v>
      </c>
      <c r="F232" s="8"/>
      <c r="G232" s="8" t="str">
        <f t="shared" si="3"/>
        <v>2.0</v>
      </c>
      <c r="H232" s="9">
        <f t="shared" si="4"/>
        <v>2</v>
      </c>
      <c r="I232" s="6" t="str">
        <f>IFERROR(__xludf.DUMMYFUNCTION("MAX(FILTER($H:$H,$E:$E=F232))"),"#N/A")</f>
        <v>#N/A</v>
      </c>
    </row>
    <row r="233">
      <c r="A233" s="4"/>
      <c r="C233" s="4" t="s">
        <v>1128</v>
      </c>
      <c r="D233" s="4" t="str">
        <f t="shared" si="1"/>
        <v>{"valorA":"ótima","valorB":7.0}</v>
      </c>
      <c r="E233" s="8" t="str">
        <f t="shared" si="2"/>
        <v>ótima</v>
      </c>
      <c r="F233" s="8"/>
      <c r="G233" s="8" t="str">
        <f t="shared" si="3"/>
        <v>7.0</v>
      </c>
      <c r="H233" s="9">
        <f t="shared" si="4"/>
        <v>7</v>
      </c>
      <c r="I233" s="6" t="str">
        <f>IFERROR(__xludf.DUMMYFUNCTION("MAX(FILTER($H:$H,$E:$E=F233))"),"#N/A")</f>
        <v>#N/A</v>
      </c>
    </row>
    <row r="234">
      <c r="A234" s="4"/>
      <c r="C234" s="4" t="s">
        <v>308</v>
      </c>
      <c r="D234" s="4" t="str">
        <f t="shared" si="1"/>
        <v>{"valorA":"bem","valorB":5.0}</v>
      </c>
      <c r="E234" s="8" t="str">
        <f t="shared" si="2"/>
        <v>bem</v>
      </c>
      <c r="F234" s="8"/>
      <c r="G234" s="8" t="str">
        <f t="shared" si="3"/>
        <v>5.0</v>
      </c>
      <c r="H234" s="9">
        <f t="shared" si="4"/>
        <v>5</v>
      </c>
      <c r="I234" s="6" t="str">
        <f>IFERROR(__xludf.DUMMYFUNCTION("MAX(FILTER($H:$H,$E:$E=F234))"),"#N/A")</f>
        <v>#N/A</v>
      </c>
    </row>
    <row r="235">
      <c r="A235" s="4"/>
      <c r="C235" s="4" t="s">
        <v>476</v>
      </c>
      <c r="D235" s="4" t="str">
        <f t="shared" si="1"/>
        <v>{"valorA":"o","valorB":8.0}</v>
      </c>
      <c r="E235" s="8" t="str">
        <f t="shared" si="2"/>
        <v>o</v>
      </c>
      <c r="F235" s="8"/>
      <c r="G235" s="8" t="str">
        <f t="shared" si="3"/>
        <v>8.0</v>
      </c>
      <c r="H235" s="9">
        <f t="shared" si="4"/>
        <v>8</v>
      </c>
      <c r="I235" s="6" t="str">
        <f>IFERROR(__xludf.DUMMYFUNCTION("MAX(FILTER($H:$H,$E:$E=F235))"),"#N/A")</f>
        <v>#N/A</v>
      </c>
    </row>
    <row r="236">
      <c r="A236" s="4"/>
      <c r="C236" s="4" t="s">
        <v>478</v>
      </c>
      <c r="D236" s="4" t="str">
        <f t="shared" si="1"/>
        <v>{"valorA":"dinheiro","valorB":1.0}</v>
      </c>
      <c r="E236" s="8" t="str">
        <f t="shared" si="2"/>
        <v>dinheiro</v>
      </c>
      <c r="F236" s="8"/>
      <c r="G236" s="8" t="str">
        <f t="shared" si="3"/>
        <v>1.0</v>
      </c>
      <c r="H236" s="9">
        <f t="shared" si="4"/>
        <v>1</v>
      </c>
      <c r="I236" s="6" t="str">
        <f>IFERROR(__xludf.DUMMYFUNCTION("MAX(FILTER($H:$H,$E:$E=F236))"),"#N/A")</f>
        <v>#N/A</v>
      </c>
    </row>
    <row r="237">
      <c r="A237" s="4"/>
      <c r="C237" s="4" t="s">
        <v>1059</v>
      </c>
      <c r="D237" s="4" t="str">
        <f t="shared" si="1"/>
        <v>{"valorA":"desde","valorB":3.0}</v>
      </c>
      <c r="E237" s="8" t="str">
        <f t="shared" si="2"/>
        <v>desde</v>
      </c>
      <c r="F237" s="8"/>
      <c r="G237" s="8" t="str">
        <f t="shared" si="3"/>
        <v>3.0</v>
      </c>
      <c r="H237" s="9">
        <f t="shared" si="4"/>
        <v>3</v>
      </c>
      <c r="I237" s="6" t="str">
        <f>IFERROR(__xludf.DUMMYFUNCTION("MAX(FILTER($H:$H,$E:$E=F237))"),"#N/A")</f>
        <v>#N/A</v>
      </c>
    </row>
    <row r="238">
      <c r="A238" s="4"/>
      <c r="C238" s="4" t="s">
        <v>1650</v>
      </c>
      <c r="D238" s="4" t="str">
        <f t="shared" si="1"/>
        <v>{"valorA":"já","valorB":2.0}</v>
      </c>
      <c r="E238" s="8" t="str">
        <f t="shared" si="2"/>
        <v>já</v>
      </c>
      <c r="F238" s="8"/>
      <c r="G238" s="8" t="str">
        <f t="shared" si="3"/>
        <v>2.0</v>
      </c>
      <c r="H238" s="9">
        <f t="shared" si="4"/>
        <v>2</v>
      </c>
      <c r="I238" s="6" t="str">
        <f>IFERROR(__xludf.DUMMYFUNCTION("MAX(FILTER($H:$H,$E:$E=F238))"),"#N/A")</f>
        <v>#N/A</v>
      </c>
    </row>
    <row r="239">
      <c r="A239" s="4"/>
      <c r="C239" s="4" t="s">
        <v>746</v>
      </c>
      <c r="D239" s="4" t="str">
        <f t="shared" si="1"/>
        <v>{"valorA":"que","valorB":6.0}</v>
      </c>
      <c r="E239" s="8" t="str">
        <f t="shared" si="2"/>
        <v>que</v>
      </c>
      <c r="F239" s="8"/>
      <c r="G239" s="8" t="str">
        <f t="shared" si="3"/>
        <v>6.0</v>
      </c>
      <c r="H239" s="9">
        <f t="shared" si="4"/>
        <v>6</v>
      </c>
      <c r="I239" s="6" t="str">
        <f>IFERROR(__xludf.DUMMYFUNCTION("MAX(FILTER($H:$H,$E:$E=F239))"),"#N/A")</f>
        <v>#N/A</v>
      </c>
    </row>
    <row r="240">
      <c r="A240" s="4"/>
      <c r="C240" s="4" t="s">
        <v>635</v>
      </c>
      <c r="D240" s="4" t="str">
        <f t="shared" si="1"/>
        <v>{"valorA":"led","valorB":1.0}</v>
      </c>
      <c r="E240" s="8" t="str">
        <f t="shared" si="2"/>
        <v>led</v>
      </c>
      <c r="F240" s="8"/>
      <c r="G240" s="8" t="str">
        <f t="shared" si="3"/>
        <v>1.0</v>
      </c>
      <c r="H240" s="9">
        <f t="shared" si="4"/>
        <v>1</v>
      </c>
      <c r="I240" s="6" t="str">
        <f>IFERROR(__xludf.DUMMYFUNCTION("MAX(FILTER($H:$H,$E:$E=F240))"),"#N/A")</f>
        <v>#N/A</v>
      </c>
    </row>
    <row r="241">
      <c r="A241" s="4"/>
      <c r="C241" s="4" t="s">
        <v>283</v>
      </c>
      <c r="D241" s="4" t="str">
        <f t="shared" si="1"/>
        <v>{"valorA":"relógio","valorB":1.0}</v>
      </c>
      <c r="E241" s="8" t="str">
        <f t="shared" si="2"/>
        <v>relógio</v>
      </c>
      <c r="F241" s="8"/>
      <c r="G241" s="8" t="str">
        <f t="shared" si="3"/>
        <v>1.0</v>
      </c>
      <c r="H241" s="9">
        <f t="shared" si="4"/>
        <v>1</v>
      </c>
      <c r="I241" s="6" t="str">
        <f>IFERROR(__xludf.DUMMYFUNCTION("MAX(FILTER($H:$H,$E:$E=F241))"),"#N/A")</f>
        <v>#N/A</v>
      </c>
    </row>
    <row r="242">
      <c r="A242" s="4"/>
      <c r="C242" s="4" t="s">
        <v>315</v>
      </c>
      <c r="D242" s="4" t="str">
        <f t="shared" si="1"/>
        <v>{"valorA":"ótimo","valorB":22.0}</v>
      </c>
      <c r="E242" s="8" t="str">
        <f t="shared" si="2"/>
        <v>ótimo</v>
      </c>
      <c r="F242" s="8"/>
      <c r="G242" s="8" t="str">
        <f t="shared" si="3"/>
        <v>22.0</v>
      </c>
      <c r="H242" s="9">
        <f t="shared" si="4"/>
        <v>22</v>
      </c>
      <c r="I242" s="6" t="str">
        <f>IFERROR(__xludf.DUMMYFUNCTION("MAX(FILTER($H:$H,$E:$E=F242))"),"#N/A")</f>
        <v>#N/A</v>
      </c>
    </row>
    <row r="243">
      <c r="A243" s="4"/>
      <c r="C243" s="4" t="s">
        <v>286</v>
      </c>
      <c r="D243" s="4" t="str">
        <f t="shared" si="1"/>
        <v>{"valorA":"esse","valorB":4.0}</v>
      </c>
      <c r="E243" s="8" t="str">
        <f t="shared" si="2"/>
        <v>esse</v>
      </c>
      <c r="F243" s="8"/>
      <c r="G243" s="8" t="str">
        <f t="shared" si="3"/>
        <v>4.0</v>
      </c>
      <c r="H243" s="9">
        <f t="shared" si="4"/>
        <v>4</v>
      </c>
      <c r="I243" s="6" t="str">
        <f>IFERROR(__xludf.DUMMYFUNCTION("MAX(FILTER($H:$H,$E:$E=F243))"),"#N/A")</f>
        <v>#N/A</v>
      </c>
    </row>
    <row r="244">
      <c r="A244" s="4"/>
      <c r="C244" s="4" t="s">
        <v>358</v>
      </c>
      <c r="D244" s="4" t="str">
        <f t="shared" si="1"/>
        <v>{"valorA":"muito","valorB":11.0}</v>
      </c>
      <c r="E244" s="8" t="str">
        <f t="shared" si="2"/>
        <v>muito</v>
      </c>
      <c r="F244" s="8"/>
      <c r="G244" s="8" t="str">
        <f t="shared" si="3"/>
        <v>11.0</v>
      </c>
      <c r="H244" s="9">
        <f t="shared" si="4"/>
        <v>11</v>
      </c>
      <c r="I244" s="6" t="str">
        <f>IFERROR(__xludf.DUMMYFUNCTION("MAX(FILTER($H:$H,$E:$E=F244))"),"#N/A")</f>
        <v>#N/A</v>
      </c>
    </row>
    <row r="245">
      <c r="A245" s="4"/>
      <c r="C245" s="4" t="s">
        <v>1569</v>
      </c>
      <c r="D245" s="4" t="str">
        <f t="shared" si="1"/>
        <v>{"valorA":"melhor","valorB":1.0}</v>
      </c>
      <c r="E245" s="8" t="str">
        <f t="shared" si="2"/>
        <v>melhor</v>
      </c>
      <c r="F245" s="8"/>
      <c r="G245" s="8" t="str">
        <f t="shared" si="3"/>
        <v>1.0</v>
      </c>
      <c r="H245" s="9">
        <f t="shared" si="4"/>
        <v>1</v>
      </c>
      <c r="I245" s="6" t="str">
        <f>IFERROR(__xludf.DUMMYFUNCTION("MAX(FILTER($H:$H,$E:$E=F245))"),"#N/A")</f>
        <v>#N/A</v>
      </c>
    </row>
    <row r="246">
      <c r="A246" s="4"/>
      <c r="C246" s="4" t="s">
        <v>1015</v>
      </c>
      <c r="D246" s="4" t="str">
        <f t="shared" si="1"/>
        <v>{"valorA":"acho","valorB":1.0}</v>
      </c>
      <c r="E246" s="8" t="str">
        <f t="shared" si="2"/>
        <v>acho</v>
      </c>
      <c r="F246" s="8"/>
      <c r="G246" s="8" t="str">
        <f t="shared" si="3"/>
        <v>1.0</v>
      </c>
      <c r="H246" s="9">
        <f t="shared" si="4"/>
        <v>1</v>
      </c>
      <c r="I246" s="6" t="str">
        <f>IFERROR(__xludf.DUMMYFUNCTION("MAX(FILTER($H:$H,$E:$E=F246))"),"#N/A")</f>
        <v>#N/A</v>
      </c>
    </row>
    <row r="247">
      <c r="A247" s="4"/>
      <c r="C247" s="4" t="s">
        <v>324</v>
      </c>
      <c r="D247" s="4" t="str">
        <f t="shared" si="1"/>
        <v>{"valorA":"funciona","valorB":6.0}</v>
      </c>
      <c r="E247" s="8" t="str">
        <f t="shared" si="2"/>
        <v>funciona</v>
      </c>
      <c r="F247" s="8"/>
      <c r="G247" s="8" t="str">
        <f t="shared" si="3"/>
        <v>6.0</v>
      </c>
      <c r="H247" s="9">
        <f t="shared" si="4"/>
        <v>6</v>
      </c>
      <c r="I247" s="6" t="str">
        <f>IFERROR(__xludf.DUMMYFUNCTION("MAX(FILTER($H:$H,$E:$E=F247))"),"#N/A")</f>
        <v>#N/A</v>
      </c>
    </row>
    <row r="248">
      <c r="A248" s="4"/>
      <c r="C248" s="4" t="s">
        <v>325</v>
      </c>
      <c r="D248" s="4" t="str">
        <f t="shared" si="1"/>
        <v>{"valorA":"recomendo","valorB":3.0}</v>
      </c>
      <c r="E248" s="8" t="str">
        <f t="shared" si="2"/>
        <v>recomendo</v>
      </c>
      <c r="F248" s="8"/>
      <c r="G248" s="8" t="str">
        <f t="shared" si="3"/>
        <v>3.0</v>
      </c>
      <c r="H248" s="9">
        <f t="shared" si="4"/>
        <v>3</v>
      </c>
      <c r="I248" s="6" t="str">
        <f>IFERROR(__xludf.DUMMYFUNCTION("MAX(FILTER($H:$H,$E:$E=F248))"),"#N/A")</f>
        <v>#N/A</v>
      </c>
    </row>
    <row r="249">
      <c r="A249" s="4"/>
      <c r="C249" s="4" t="s">
        <v>1045</v>
      </c>
      <c r="D249" s="4" t="str">
        <f t="shared" si="1"/>
        <v>{"valorA":"com","valorB":6.0}</v>
      </c>
      <c r="E249" s="8" t="str">
        <f t="shared" si="2"/>
        <v>com</v>
      </c>
      <c r="F249" s="8"/>
      <c r="G249" s="8" t="str">
        <f t="shared" si="3"/>
        <v>6.0</v>
      </c>
      <c r="H249" s="9">
        <f t="shared" si="4"/>
        <v>6</v>
      </c>
      <c r="I249" s="6" t="str">
        <f>IFERROR(__xludf.DUMMYFUNCTION("MAX(FILTER($H:$H,$E:$E=F249))"),"#N/A")</f>
        <v>#N/A</v>
      </c>
    </row>
    <row r="250">
      <c r="A250" s="4"/>
      <c r="C250" s="4" t="s">
        <v>182</v>
      </c>
      <c r="D250" s="4" t="str">
        <f t="shared" si="1"/>
        <v>{"valorA":"usar","valorB":2.0}</v>
      </c>
      <c r="E250" s="8" t="str">
        <f t="shared" si="2"/>
        <v>usar</v>
      </c>
      <c r="F250" s="8"/>
      <c r="G250" s="8" t="str">
        <f t="shared" si="3"/>
        <v>2.0</v>
      </c>
      <c r="H250" s="9">
        <f t="shared" si="4"/>
        <v>2</v>
      </c>
      <c r="I250" s="6" t="str">
        <f>IFERROR(__xludf.DUMMYFUNCTION("MAX(FILTER($H:$H,$E:$E=F250))"),"#N/A")</f>
        <v>#N/A</v>
      </c>
    </row>
    <row r="251">
      <c r="A251" s="4"/>
      <c r="C251" s="4" t="s">
        <v>331</v>
      </c>
      <c r="D251" s="4" t="str">
        <f t="shared" si="1"/>
        <v>{"valorA":"e","valorB":5.0}</v>
      </c>
      <c r="E251" s="8" t="str">
        <f t="shared" si="2"/>
        <v>e</v>
      </c>
      <c r="F251" s="8"/>
      <c r="G251" s="8" t="str">
        <f t="shared" si="3"/>
        <v>5.0</v>
      </c>
      <c r="H251" s="9">
        <f t="shared" si="4"/>
        <v>5</v>
      </c>
      <c r="I251" s="6" t="str">
        <f>IFERROR(__xludf.DUMMYFUNCTION("MAX(FILTER($H:$H,$E:$E=F251))"),"#N/A")</f>
        <v>#N/A</v>
      </c>
    </row>
    <row r="252">
      <c r="A252" s="4"/>
      <c r="C252" s="4" t="s">
        <v>389</v>
      </c>
      <c r="D252" s="4" t="str">
        <f t="shared" si="1"/>
        <v>{"valorA":"de","valorB":8.0}</v>
      </c>
      <c r="E252" s="8" t="str">
        <f t="shared" si="2"/>
        <v>de</v>
      </c>
      <c r="F252" s="8"/>
      <c r="G252" s="8" t="str">
        <f t="shared" si="3"/>
        <v>8.0</v>
      </c>
      <c r="H252" s="9">
        <f t="shared" si="4"/>
        <v>8</v>
      </c>
      <c r="I252" s="6" t="str">
        <f>IFERROR(__xludf.DUMMYFUNCTION("MAX(FILTER($H:$H,$E:$E=F252))"),"#N/A")</f>
        <v>#N/A</v>
      </c>
    </row>
    <row r="253">
      <c r="A253" s="4"/>
      <c r="C253" s="4" t="s">
        <v>10011</v>
      </c>
      <c r="D253" s="4" t="str">
        <f t="shared" si="1"/>
        <v>{"valorA":"úteis","valorB":1.0}</v>
      </c>
      <c r="E253" s="8" t="str">
        <f t="shared" si="2"/>
        <v>úteis</v>
      </c>
      <c r="F253" s="8"/>
      <c r="G253" s="8" t="str">
        <f t="shared" si="3"/>
        <v>1.0</v>
      </c>
      <c r="H253" s="9">
        <f t="shared" si="4"/>
        <v>1</v>
      </c>
      <c r="I253" s="6" t="str">
        <f>IFERROR(__xludf.DUMMYFUNCTION("MAX(FILTER($H:$H,$E:$E=F253))"),"#N/A")</f>
        <v>#N/A</v>
      </c>
    </row>
    <row r="254">
      <c r="A254" s="4"/>
      <c r="C254" s="4" t="s">
        <v>225</v>
      </c>
      <c r="D254" s="4" t="str">
        <f t="shared" si="1"/>
        <v>{"valorA":"funções","valorB":1.0}</v>
      </c>
      <c r="E254" s="8" t="str">
        <f t="shared" si="2"/>
        <v>funções</v>
      </c>
      <c r="F254" s="8"/>
      <c r="G254" s="8" t="str">
        <f t="shared" si="3"/>
        <v>1.0</v>
      </c>
      <c r="H254" s="9">
        <f t="shared" si="4"/>
        <v>1</v>
      </c>
      <c r="I254" s="6" t="str">
        <f>IFERROR(__xludf.DUMMYFUNCTION("MAX(FILTER($H:$H,$E:$E=F254))"),"#N/A")</f>
        <v>#N/A</v>
      </c>
    </row>
    <row r="255">
      <c r="A255" s="4"/>
      <c r="C255" s="4" t="s">
        <v>1076</v>
      </c>
      <c r="D255" s="4" t="str">
        <f t="shared" si="1"/>
        <v>{"valorA":"óptimo","valorB":4.0}</v>
      </c>
      <c r="E255" s="8" t="str">
        <f t="shared" si="2"/>
        <v>óptimo</v>
      </c>
      <c r="F255" s="8"/>
      <c r="G255" s="8" t="str">
        <f t="shared" si="3"/>
        <v>4.0</v>
      </c>
      <c r="H255" s="9">
        <f t="shared" si="4"/>
        <v>4</v>
      </c>
      <c r="I255" s="6" t="str">
        <f>IFERROR(__xludf.DUMMYFUNCTION("MAX(FILTER($H:$H,$E:$E=F255))"),"#N/A")</f>
        <v>#N/A</v>
      </c>
    </row>
    <row r="256">
      <c r="A256" s="4"/>
      <c r="C256" s="4" t="s">
        <v>690</v>
      </c>
      <c r="D256" s="4" t="str">
        <f t="shared" si="1"/>
        <v>{"valorA":"ótimo","valorB":23.0}</v>
      </c>
      <c r="E256" s="8" t="str">
        <f t="shared" si="2"/>
        <v>ótimo</v>
      </c>
      <c r="F256" s="8"/>
      <c r="G256" s="8" t="str">
        <f t="shared" si="3"/>
        <v>23.0</v>
      </c>
      <c r="H256" s="9">
        <f t="shared" si="4"/>
        <v>23</v>
      </c>
      <c r="I256" s="6" t="str">
        <f>IFERROR(__xludf.DUMMYFUNCTION("MAX(FILTER($H:$H,$E:$E=F256))"),"#N/A")</f>
        <v>#N/A</v>
      </c>
    </row>
    <row r="257">
      <c r="A257" s="4"/>
      <c r="C257" s="4" t="s">
        <v>10012</v>
      </c>
      <c r="D257" s="4" t="str">
        <f t="shared" si="1"/>
        <v>{"valorA":"potente","valorB":1.0}</v>
      </c>
      <c r="E257" s="8" t="str">
        <f t="shared" si="2"/>
        <v>potente</v>
      </c>
      <c r="F257" s="8"/>
      <c r="G257" s="8" t="str">
        <f t="shared" si="3"/>
        <v>1.0</v>
      </c>
      <c r="H257" s="9">
        <f t="shared" si="4"/>
        <v>1</v>
      </c>
      <c r="I257" s="6" t="str">
        <f>IFERROR(__xludf.DUMMYFUNCTION("MAX(FILTER($H:$H,$E:$E=F257))"),"#N/A")</f>
        <v>#N/A</v>
      </c>
    </row>
    <row r="258">
      <c r="A258" s="4"/>
      <c r="C258" s="4" t="s">
        <v>396</v>
      </c>
      <c r="D258" s="4" t="str">
        <f t="shared" si="1"/>
        <v>{"valorA":"fácil","valorB":2.0}</v>
      </c>
      <c r="E258" s="8" t="str">
        <f t="shared" si="2"/>
        <v>fácil</v>
      </c>
      <c r="F258" s="8"/>
      <c r="G258" s="8" t="str">
        <f t="shared" si="3"/>
        <v>2.0</v>
      </c>
      <c r="H258" s="9">
        <f t="shared" si="4"/>
        <v>2</v>
      </c>
      <c r="I258" s="6" t="str">
        <f>IFERROR(__xludf.DUMMYFUNCTION("MAX(FILTER($H:$H,$E:$E=F258))"),"#N/A")</f>
        <v>#N/A</v>
      </c>
    </row>
    <row r="259">
      <c r="A259" s="4"/>
      <c r="C259" s="4" t="s">
        <v>377</v>
      </c>
      <c r="D259" s="4" t="str">
        <f t="shared" si="1"/>
        <v>{"valorA":"muito","valorB":12.0}</v>
      </c>
      <c r="E259" s="8" t="str">
        <f t="shared" si="2"/>
        <v>muito</v>
      </c>
      <c r="F259" s="8"/>
      <c r="G259" s="8" t="str">
        <f t="shared" si="3"/>
        <v>12.0</v>
      </c>
      <c r="H259" s="9">
        <f t="shared" si="4"/>
        <v>12</v>
      </c>
      <c r="I259" s="6" t="str">
        <f>IFERROR(__xludf.DUMMYFUNCTION("MAX(FILTER($H:$H,$E:$E=F259))"),"#N/A")</f>
        <v>#N/A</v>
      </c>
    </row>
    <row r="260">
      <c r="A260" s="4"/>
      <c r="C260" s="4" t="s">
        <v>1179</v>
      </c>
      <c r="D260" s="4" t="str">
        <f t="shared" si="1"/>
        <v>{"valorA":"muitas","valorB":2.0}</v>
      </c>
      <c r="E260" s="8" t="str">
        <f t="shared" si="2"/>
        <v>muitas</v>
      </c>
      <c r="F260" s="8"/>
      <c r="G260" s="8" t="str">
        <f t="shared" si="3"/>
        <v>2.0</v>
      </c>
      <c r="H260" s="9">
        <f t="shared" si="4"/>
        <v>2</v>
      </c>
      <c r="I260" s="6" t="str">
        <f>IFERROR(__xludf.DUMMYFUNCTION("MAX(FILTER($H:$H,$E:$E=F260))"),"#N/A")</f>
        <v>#N/A</v>
      </c>
    </row>
    <row r="261">
      <c r="A261" s="4"/>
      <c r="C261" s="4" t="s">
        <v>10013</v>
      </c>
      <c r="D261" s="4" t="str">
        <f t="shared" si="1"/>
        <v>{"valorA":"blender","valorB":2.0}</v>
      </c>
      <c r="E261" s="8" t="str">
        <f t="shared" si="2"/>
        <v>blender</v>
      </c>
      <c r="F261" s="8"/>
      <c r="G261" s="8" t="str">
        <f t="shared" si="3"/>
        <v>2.0</v>
      </c>
      <c r="H261" s="9">
        <f t="shared" si="4"/>
        <v>2</v>
      </c>
      <c r="I261" s="6" t="str">
        <f>IFERROR(__xludf.DUMMYFUNCTION("MAX(FILTER($H:$H,$E:$E=F261))"),"#N/A")</f>
        <v>#N/A</v>
      </c>
    </row>
    <row r="262">
      <c r="A262" s="4"/>
      <c r="C262" s="4" t="s">
        <v>231</v>
      </c>
      <c r="D262" s="4" t="str">
        <f t="shared" si="1"/>
        <v>{"valorA":"desse","valorB":2.0}</v>
      </c>
      <c r="E262" s="8" t="str">
        <f t="shared" si="2"/>
        <v>desse</v>
      </c>
      <c r="F262" s="8"/>
      <c r="G262" s="8" t="str">
        <f t="shared" si="3"/>
        <v>2.0</v>
      </c>
      <c r="H262" s="9">
        <f t="shared" si="4"/>
        <v>2</v>
      </c>
      <c r="I262" s="6" t="str">
        <f>IFERROR(__xludf.DUMMYFUNCTION("MAX(FILTER($H:$H,$E:$E=F262))"),"#N/A")</f>
        <v>#N/A</v>
      </c>
    </row>
    <row r="263">
      <c r="A263" s="4"/>
      <c r="C263" s="4" t="s">
        <v>10014</v>
      </c>
      <c r="D263" s="4" t="str">
        <f t="shared" si="1"/>
        <v>{"valorA":"comprar","valorB":3.0}</v>
      </c>
      <c r="E263" s="8" t="str">
        <f t="shared" si="2"/>
        <v>comprar</v>
      </c>
      <c r="F263" s="8"/>
      <c r="G263" s="8" t="str">
        <f t="shared" si="3"/>
        <v>3.0</v>
      </c>
      <c r="H263" s="9">
        <f t="shared" si="4"/>
        <v>3</v>
      </c>
      <c r="I263" s="6" t="str">
        <f>IFERROR(__xludf.DUMMYFUNCTION("MAX(FILTER($H:$H,$E:$E=F263))"),"#N/A")</f>
        <v>#N/A</v>
      </c>
    </row>
    <row r="264">
      <c r="A264" s="4"/>
      <c r="C264" s="4" t="s">
        <v>728</v>
      </c>
      <c r="D264" s="4" t="str">
        <f t="shared" si="1"/>
        <v>{"valorA":"para","valorB":11.0}</v>
      </c>
      <c r="E264" s="8" t="str">
        <f t="shared" si="2"/>
        <v>para</v>
      </c>
      <c r="F264" s="8"/>
      <c r="G264" s="8" t="str">
        <f t="shared" si="3"/>
        <v>11.0</v>
      </c>
      <c r="H264" s="9">
        <f t="shared" si="4"/>
        <v>11</v>
      </c>
      <c r="I264" s="6" t="str">
        <f>IFERROR(__xludf.DUMMYFUNCTION("MAX(FILTER($H:$H,$E:$E=F264))"),"#N/A")</f>
        <v>#N/A</v>
      </c>
    </row>
    <row r="265">
      <c r="A265" s="4"/>
      <c r="C265" s="4" t="s">
        <v>10015</v>
      </c>
      <c r="D265" s="4" t="str">
        <f t="shared" si="1"/>
        <v>{"valorA":"fm","valorB":2.0}</v>
      </c>
      <c r="E265" s="8" t="str">
        <f t="shared" si="2"/>
        <v>fm</v>
      </c>
      <c r="F265" s="8"/>
      <c r="G265" s="8" t="str">
        <f t="shared" si="3"/>
        <v>2.0</v>
      </c>
      <c r="H265" s="9">
        <f t="shared" si="4"/>
        <v>2</v>
      </c>
      <c r="I265" s="6" t="str">
        <f>IFERROR(__xludf.DUMMYFUNCTION("MAX(FILTER($H:$H,$E:$E=F265))"),"#N/A")</f>
        <v>#N/A</v>
      </c>
    </row>
    <row r="266">
      <c r="A266" s="4"/>
      <c r="C266" s="4" t="s">
        <v>1054</v>
      </c>
      <c r="D266" s="4" t="str">
        <f t="shared" si="1"/>
        <v>{"valorA":"com","valorB":7.0}</v>
      </c>
      <c r="E266" s="8" t="str">
        <f t="shared" si="2"/>
        <v>com</v>
      </c>
      <c r="F266" s="8"/>
      <c r="G266" s="8" t="str">
        <f t="shared" si="3"/>
        <v>7.0</v>
      </c>
      <c r="H266" s="9">
        <f t="shared" si="4"/>
        <v>7</v>
      </c>
      <c r="I266" s="6" t="str">
        <f>IFERROR(__xludf.DUMMYFUNCTION("MAX(FILTER($H:$H,$E:$E=F266))"),"#N/A")</f>
        <v>#N/A</v>
      </c>
    </row>
    <row r="267">
      <c r="A267" s="4"/>
      <c r="C267" s="4" t="s">
        <v>707</v>
      </c>
      <c r="D267" s="4" t="str">
        <f t="shared" si="1"/>
        <v>{"valorA":"meu","valorB":3.0}</v>
      </c>
      <c r="E267" s="8" t="str">
        <f t="shared" si="2"/>
        <v>meu</v>
      </c>
      <c r="F267" s="8"/>
      <c r="G267" s="8" t="str">
        <f t="shared" si="3"/>
        <v>3.0</v>
      </c>
      <c r="H267" s="9">
        <f t="shared" si="4"/>
        <v>3</v>
      </c>
      <c r="I267" s="6" t="str">
        <f>IFERROR(__xludf.DUMMYFUNCTION("MAX(FILTER($H:$H,$E:$E=F267))"),"#N/A")</f>
        <v>#N/A</v>
      </c>
    </row>
    <row r="268">
      <c r="A268" s="4"/>
      <c r="C268" s="4" t="s">
        <v>1117</v>
      </c>
      <c r="D268" s="4" t="str">
        <f t="shared" si="1"/>
        <v>{"valorA":"rádio","valorB":2.0}</v>
      </c>
      <c r="E268" s="8" t="str">
        <f t="shared" si="2"/>
        <v>rádio</v>
      </c>
      <c r="F268" s="8"/>
      <c r="G268" s="8" t="str">
        <f t="shared" si="3"/>
        <v>2.0</v>
      </c>
      <c r="H268" s="9">
        <f t="shared" si="4"/>
        <v>2</v>
      </c>
      <c r="I268" s="6" t="str">
        <f>IFERROR(__xludf.DUMMYFUNCTION("MAX(FILTER($H:$H,$E:$E=F268))"),"#N/A")</f>
        <v>#N/A</v>
      </c>
    </row>
    <row r="269">
      <c r="A269" s="4"/>
      <c r="C269" s="4" t="s">
        <v>329</v>
      </c>
      <c r="D269" s="4" t="str">
        <f t="shared" si="1"/>
        <v>{"valorA":"outro","valorB":1.0}</v>
      </c>
      <c r="E269" s="8" t="str">
        <f t="shared" si="2"/>
        <v>outro</v>
      </c>
      <c r="F269" s="8"/>
      <c r="G269" s="8" t="str">
        <f t="shared" si="3"/>
        <v>1.0</v>
      </c>
      <c r="H269" s="9">
        <f t="shared" si="4"/>
        <v>1</v>
      </c>
      <c r="I269" s="6" t="str">
        <f>IFERROR(__xludf.DUMMYFUNCTION("MAX(FILTER($H:$H,$E:$E=F269))"),"#N/A")</f>
        <v>#N/A</v>
      </c>
    </row>
    <row r="270">
      <c r="A270" s="4"/>
      <c r="C270" s="4" t="s">
        <v>10016</v>
      </c>
      <c r="D270" s="4" t="str">
        <f t="shared" si="1"/>
        <v>{"valorA":"duradoura","valorB":1.0}</v>
      </c>
      <c r="E270" s="8" t="str">
        <f t="shared" si="2"/>
        <v>duradoura</v>
      </c>
      <c r="F270" s="8"/>
      <c r="G270" s="8" t="str">
        <f t="shared" si="3"/>
        <v>1.0</v>
      </c>
      <c r="H270" s="9">
        <f t="shared" si="4"/>
        <v>1</v>
      </c>
      <c r="I270" s="6" t="str">
        <f>IFERROR(__xludf.DUMMYFUNCTION("MAX(FILTER($H:$H,$E:$E=F270))"),"#N/A")</f>
        <v>#N/A</v>
      </c>
    </row>
    <row r="271">
      <c r="A271" s="4"/>
      <c r="C271" s="4" t="s">
        <v>374</v>
      </c>
      <c r="D271" s="4" t="str">
        <f t="shared" si="1"/>
        <v>{"valorA":"carro","valorB":2.0}</v>
      </c>
      <c r="E271" s="8" t="str">
        <f t="shared" si="2"/>
        <v>carro</v>
      </c>
      <c r="F271" s="8"/>
      <c r="G271" s="8" t="str">
        <f t="shared" si="3"/>
        <v>2.0</v>
      </c>
      <c r="H271" s="9">
        <f t="shared" si="4"/>
        <v>2</v>
      </c>
      <c r="I271" s="6" t="str">
        <f>IFERROR(__xludf.DUMMYFUNCTION("MAX(FILTER($H:$H,$E:$E=F271))"),"#N/A")</f>
        <v>#N/A</v>
      </c>
    </row>
    <row r="272">
      <c r="A272" s="4"/>
      <c r="C272" s="4" t="s">
        <v>9409</v>
      </c>
      <c r="D272" s="4" t="str">
        <f t="shared" si="1"/>
        <v>{"valorA":"bateria","valorB":1.0}</v>
      </c>
      <c r="E272" s="8" t="str">
        <f t="shared" si="2"/>
        <v>bateria</v>
      </c>
      <c r="F272" s="8"/>
      <c r="G272" s="8" t="str">
        <f t="shared" si="3"/>
        <v>1.0</v>
      </c>
      <c r="H272" s="9">
        <f t="shared" si="4"/>
        <v>1</v>
      </c>
      <c r="I272" s="6" t="str">
        <f>IFERROR(__xludf.DUMMYFUNCTION("MAX(FILTER($H:$H,$E:$E=F272))"),"#N/A")</f>
        <v>#N/A</v>
      </c>
    </row>
    <row r="273">
      <c r="A273" s="4"/>
      <c r="C273" s="4" t="s">
        <v>297</v>
      </c>
      <c r="D273" s="4" t="str">
        <f t="shared" si="1"/>
        <v>{"valorA":"uma","valorB":1.0}</v>
      </c>
      <c r="E273" s="8" t="str">
        <f t="shared" si="2"/>
        <v>uma</v>
      </c>
      <c r="F273" s="8"/>
      <c r="G273" s="8" t="str">
        <f t="shared" si="3"/>
        <v>1.0</v>
      </c>
      <c r="H273" s="9">
        <f t="shared" si="4"/>
        <v>1</v>
      </c>
      <c r="I273" s="6" t="str">
        <f>IFERROR(__xludf.DUMMYFUNCTION("MAX(FILTER($H:$H,$E:$E=F273))"),"#N/A")</f>
        <v>#N/A</v>
      </c>
    </row>
    <row r="274">
      <c r="A274" s="4"/>
      <c r="C274" s="4" t="s">
        <v>696</v>
      </c>
      <c r="D274" s="4" t="str">
        <f t="shared" si="1"/>
        <v>{"valorA":"ótimo","valorB":24.0}</v>
      </c>
      <c r="E274" s="8" t="str">
        <f t="shared" si="2"/>
        <v>ótimo</v>
      </c>
      <c r="F274" s="8"/>
      <c r="G274" s="8" t="str">
        <f t="shared" si="3"/>
        <v>24.0</v>
      </c>
      <c r="H274" s="9">
        <f t="shared" si="4"/>
        <v>24</v>
      </c>
      <c r="I274" s="6" t="str">
        <f>IFERROR(__xludf.DUMMYFUNCTION("MAX(FILTER($H:$H,$E:$E=F274))"),"#N/A")</f>
        <v>#N/A</v>
      </c>
    </row>
    <row r="275">
      <c r="A275" s="4"/>
      <c r="C275" s="4" t="s">
        <v>1430</v>
      </c>
      <c r="D275" s="4" t="str">
        <f t="shared" si="1"/>
        <v>{"valorA":"também","valorB":1.0}</v>
      </c>
      <c r="E275" s="8" t="str">
        <f t="shared" si="2"/>
        <v>também</v>
      </c>
      <c r="F275" s="8"/>
      <c r="G275" s="8" t="str">
        <f t="shared" si="3"/>
        <v>1.0</v>
      </c>
      <c r="H275" s="9">
        <f t="shared" si="4"/>
        <v>1</v>
      </c>
      <c r="I275" s="6" t="str">
        <f>IFERROR(__xludf.DUMMYFUNCTION("MAX(FILTER($H:$H,$E:$E=F275))"),"#N/A")</f>
        <v>#N/A</v>
      </c>
    </row>
    <row r="276">
      <c r="A276" s="4"/>
      <c r="C276" s="4" t="s">
        <v>10017</v>
      </c>
      <c r="D276" s="4" t="str">
        <f t="shared" si="1"/>
        <v>{"valorA":"vou","valorB":1.0}</v>
      </c>
      <c r="E276" s="8" t="str">
        <f t="shared" si="2"/>
        <v>vou</v>
      </c>
      <c r="F276" s="8"/>
      <c r="G276" s="8" t="str">
        <f t="shared" si="3"/>
        <v>1.0</v>
      </c>
      <c r="H276" s="9">
        <f t="shared" si="4"/>
        <v>1</v>
      </c>
      <c r="I276" s="6" t="str">
        <f>IFERROR(__xludf.DUMMYFUNCTION("MAX(FILTER($H:$H,$E:$E=F276))"),"#N/A")</f>
        <v>#N/A</v>
      </c>
    </row>
    <row r="277">
      <c r="A277" s="4"/>
      <c r="C277" s="4" t="s">
        <v>10018</v>
      </c>
      <c r="D277" s="4" t="str">
        <f t="shared" si="1"/>
        <v>{"valorA":"fm","valorB":3.0}</v>
      </c>
      <c r="E277" s="8" t="str">
        <f t="shared" si="2"/>
        <v>fm</v>
      </c>
      <c r="F277" s="8"/>
      <c r="G277" s="8" t="str">
        <f t="shared" si="3"/>
        <v>3.0</v>
      </c>
      <c r="H277" s="9">
        <f t="shared" si="4"/>
        <v>3</v>
      </c>
      <c r="I277" s="6" t="str">
        <f>IFERROR(__xludf.DUMMYFUNCTION("MAX(FILTER($H:$H,$E:$E=F277))"),"#N/A")</f>
        <v>#N/A</v>
      </c>
    </row>
    <row r="278">
      <c r="A278" s="4"/>
      <c r="C278" s="4" t="s">
        <v>1100</v>
      </c>
      <c r="D278" s="4" t="str">
        <f t="shared" si="1"/>
        <v>{"valorA":"com","valorB":9.0}</v>
      </c>
      <c r="E278" s="8" t="str">
        <f t="shared" si="2"/>
        <v>com</v>
      </c>
      <c r="F278" s="8"/>
      <c r="G278" s="8" t="str">
        <f t="shared" si="3"/>
        <v>9.0</v>
      </c>
      <c r="H278" s="9">
        <f t="shared" si="4"/>
        <v>9</v>
      </c>
      <c r="I278" s="6" t="str">
        <f>IFERROR(__xludf.DUMMYFUNCTION("MAX(FILTER($H:$H,$E:$E=F278))"),"#N/A")</f>
        <v>#N/A</v>
      </c>
    </row>
    <row r="279">
      <c r="A279" s="4"/>
      <c r="C279" s="4" t="s">
        <v>10019</v>
      </c>
      <c r="D279" s="4" t="str">
        <f t="shared" si="1"/>
        <v>{"valorA":"recepção","valorB":1.0}</v>
      </c>
      <c r="E279" s="8" t="str">
        <f t="shared" si="2"/>
        <v>recepção</v>
      </c>
      <c r="F279" s="8"/>
      <c r="G279" s="8" t="str">
        <f t="shared" si="3"/>
        <v>1.0</v>
      </c>
      <c r="H279" s="9">
        <f t="shared" si="4"/>
        <v>1</v>
      </c>
      <c r="I279" s="6" t="str">
        <f>IFERROR(__xludf.DUMMYFUNCTION("MAX(FILTER($H:$H,$E:$E=F279))"),"#N/A")</f>
        <v>#N/A</v>
      </c>
    </row>
    <row r="280">
      <c r="A280" s="4"/>
      <c r="C280" s="4" t="s">
        <v>10020</v>
      </c>
      <c r="D280" s="4" t="str">
        <f t="shared" si="1"/>
        <v>{"valorA":"tanto","valorB":2.0}</v>
      </c>
      <c r="E280" s="8" t="str">
        <f t="shared" si="2"/>
        <v>tanto</v>
      </c>
      <c r="F280" s="8"/>
      <c r="G280" s="8" t="str">
        <f t="shared" si="3"/>
        <v>2.0</v>
      </c>
      <c r="H280" s="9">
        <f t="shared" si="4"/>
        <v>2</v>
      </c>
      <c r="I280" s="6" t="str">
        <f>IFERROR(__xludf.DUMMYFUNCTION("MAX(FILTER($H:$H,$E:$E=F280))"),"#N/A")</f>
        <v>#N/A</v>
      </c>
    </row>
    <row r="281">
      <c r="A281" s="4"/>
      <c r="C281" s="4" t="s">
        <v>10021</v>
      </c>
      <c r="D281" s="4" t="str">
        <f t="shared" si="1"/>
        <v>{"valorA":"rádio","valorB":3.0}</v>
      </c>
      <c r="E281" s="8" t="str">
        <f t="shared" si="2"/>
        <v>rádio</v>
      </c>
      <c r="F281" s="8"/>
      <c r="G281" s="8" t="str">
        <f t="shared" si="3"/>
        <v>3.0</v>
      </c>
      <c r="H281" s="9">
        <f t="shared" si="4"/>
        <v>3</v>
      </c>
      <c r="I281" s="6" t="str">
        <f>IFERROR(__xludf.DUMMYFUNCTION("MAX(FILTER($H:$H,$E:$E=F281))"),"#N/A")</f>
        <v>#N/A</v>
      </c>
    </row>
    <row r="282">
      <c r="A282" s="4"/>
      <c r="C282" s="4" t="s">
        <v>10022</v>
      </c>
      <c r="D282" s="4" t="str">
        <f t="shared" si="1"/>
        <v>{"valorA":"fiquei","valorB":2.0}</v>
      </c>
      <c r="E282" s="8" t="str">
        <f t="shared" si="2"/>
        <v>fiquei</v>
      </c>
      <c r="F282" s="8"/>
      <c r="G282" s="8" t="str">
        <f t="shared" si="3"/>
        <v>2.0</v>
      </c>
      <c r="H282" s="9">
        <f t="shared" si="4"/>
        <v>2</v>
      </c>
      <c r="I282" s="6" t="str">
        <f>IFERROR(__xludf.DUMMYFUNCTION("MAX(FILTER($H:$H,$E:$E=F282))"),"#N/A")</f>
        <v>#N/A</v>
      </c>
    </row>
    <row r="283">
      <c r="A283" s="4"/>
      <c r="C283" s="4" t="s">
        <v>10023</v>
      </c>
      <c r="D283" s="4" t="str">
        <f t="shared" si="1"/>
        <v>{"valorA":"celular","valorB":5.0}</v>
      </c>
      <c r="E283" s="8" t="str">
        <f t="shared" si="2"/>
        <v>celular</v>
      </c>
      <c r="F283" s="8"/>
      <c r="G283" s="8" t="str">
        <f t="shared" si="3"/>
        <v>5.0</v>
      </c>
      <c r="H283" s="9">
        <f t="shared" si="4"/>
        <v>5</v>
      </c>
      <c r="I283" s="6" t="str">
        <f>IFERROR(__xludf.DUMMYFUNCTION("MAX(FILTER($H:$H,$E:$E=F283))"),"#N/A")</f>
        <v>#N/A</v>
      </c>
    </row>
    <row r="284">
      <c r="A284" s="4"/>
      <c r="C284" s="4" t="s">
        <v>791</v>
      </c>
      <c r="D284" s="4" t="str">
        <f t="shared" si="1"/>
        <v>{"valorA":"o","valorB":9.0}</v>
      </c>
      <c r="E284" s="8" t="str">
        <f t="shared" si="2"/>
        <v>o</v>
      </c>
      <c r="F284" s="8"/>
      <c r="G284" s="8" t="str">
        <f t="shared" si="3"/>
        <v>9.0</v>
      </c>
      <c r="H284" s="9">
        <f t="shared" si="4"/>
        <v>9</v>
      </c>
      <c r="I284" s="6" t="str">
        <f>IFERROR(__xludf.DUMMYFUNCTION("MAX(FILTER($H:$H,$E:$E=F284))"),"#N/A")</f>
        <v>#N/A</v>
      </c>
    </row>
    <row r="285">
      <c r="A285" s="4"/>
      <c r="C285" s="4" t="s">
        <v>10024</v>
      </c>
      <c r="D285" s="4" t="str">
        <f t="shared" si="1"/>
        <v>{"valorA":"quanto","valorB":1.0}</v>
      </c>
      <c r="E285" s="8" t="str">
        <f t="shared" si="2"/>
        <v>quanto</v>
      </c>
      <c r="F285" s="8"/>
      <c r="G285" s="8" t="str">
        <f t="shared" si="3"/>
        <v>1.0</v>
      </c>
      <c r="H285" s="9">
        <f t="shared" si="4"/>
        <v>1</v>
      </c>
      <c r="I285" s="6" t="str">
        <f>IFERROR(__xludf.DUMMYFUNCTION("MAX(FILTER($H:$H,$E:$E=F285))"),"#N/A")</f>
        <v>#N/A</v>
      </c>
    </row>
    <row r="286">
      <c r="A286" s="4"/>
      <c r="C286" s="4" t="s">
        <v>10025</v>
      </c>
      <c r="D286" s="4" t="str">
        <f t="shared" si="1"/>
        <v>{"valorA":"resolução","valorB":1.0}</v>
      </c>
      <c r="E286" s="8" t="str">
        <f t="shared" si="2"/>
        <v>resolução</v>
      </c>
      <c r="F286" s="8"/>
      <c r="G286" s="8" t="str">
        <f t="shared" si="3"/>
        <v>1.0</v>
      </c>
      <c r="H286" s="9">
        <f t="shared" si="4"/>
        <v>1</v>
      </c>
      <c r="I286" s="6" t="str">
        <f>IFERROR(__xludf.DUMMYFUNCTION("MAX(FILTER($H:$H,$E:$E=F286))"),"#N/A")</f>
        <v>#N/A</v>
      </c>
    </row>
    <row r="287">
      <c r="A287" s="4"/>
      <c r="C287" s="4" t="s">
        <v>9451</v>
      </c>
      <c r="D287" s="4" t="str">
        <f t="shared" si="1"/>
        <v>{"valorA":"são","valorB":1.0}</v>
      </c>
      <c r="E287" s="8" t="str">
        <f t="shared" si="2"/>
        <v>são</v>
      </c>
      <c r="F287" s="8"/>
      <c r="G287" s="8" t="str">
        <f t="shared" si="3"/>
        <v>1.0</v>
      </c>
      <c r="H287" s="9">
        <f t="shared" si="4"/>
        <v>1</v>
      </c>
      <c r="I287" s="6" t="str">
        <f>IFERROR(__xludf.DUMMYFUNCTION("MAX(FILTER($H:$H,$E:$E=F287))"),"#N/A")</f>
        <v>#N/A</v>
      </c>
    </row>
    <row r="288">
      <c r="A288" s="4"/>
      <c r="C288" s="4" t="s">
        <v>10026</v>
      </c>
      <c r="D288" s="4" t="str">
        <f t="shared" si="1"/>
        <v>{"valorA":"telefone","valorB":5.0}</v>
      </c>
      <c r="E288" s="8" t="str">
        <f t="shared" si="2"/>
        <v>telefone</v>
      </c>
      <c r="F288" s="8"/>
      <c r="G288" s="8" t="str">
        <f t="shared" si="3"/>
        <v>5.0</v>
      </c>
      <c r="H288" s="9">
        <f t="shared" si="4"/>
        <v>5</v>
      </c>
      <c r="I288" s="6" t="str">
        <f>IFERROR(__xludf.DUMMYFUNCTION("MAX(FILTER($H:$H,$E:$E=F288))"),"#N/A")</f>
        <v>#N/A</v>
      </c>
    </row>
    <row r="289">
      <c r="A289" s="4"/>
      <c r="C289" s="4" t="s">
        <v>712</v>
      </c>
      <c r="D289" s="4" t="str">
        <f t="shared" si="1"/>
        <v>{"valorA":"ótimo","valorB":26.0}</v>
      </c>
      <c r="E289" s="8" t="str">
        <f t="shared" si="2"/>
        <v>ótimo</v>
      </c>
      <c r="F289" s="8"/>
      <c r="G289" s="8" t="str">
        <f t="shared" si="3"/>
        <v>26.0</v>
      </c>
      <c r="H289" s="9">
        <f t="shared" si="4"/>
        <v>26</v>
      </c>
      <c r="I289" s="6" t="str">
        <f>IFERROR(__xludf.DUMMYFUNCTION("MAX(FILTER($H:$H,$E:$E=F289))"),"#N/A")</f>
        <v>#N/A</v>
      </c>
    </row>
    <row r="290">
      <c r="A290" s="4"/>
      <c r="C290" s="4" t="s">
        <v>667</v>
      </c>
      <c r="D290" s="4" t="str">
        <f t="shared" si="1"/>
        <v>{"valorA":"som","valorB":1.0}</v>
      </c>
      <c r="E290" s="8" t="str">
        <f t="shared" si="2"/>
        <v>som</v>
      </c>
      <c r="F290" s="8"/>
      <c r="G290" s="8" t="str">
        <f t="shared" si="3"/>
        <v>1.0</v>
      </c>
      <c r="H290" s="9">
        <f t="shared" si="4"/>
        <v>1</v>
      </c>
      <c r="I290" s="6" t="str">
        <f>IFERROR(__xludf.DUMMYFUNCTION("MAX(FILTER($H:$H,$E:$E=F290))"),"#N/A")</f>
        <v>#N/A</v>
      </c>
    </row>
    <row r="291">
      <c r="A291" s="4"/>
      <c r="C291" s="4" t="s">
        <v>357</v>
      </c>
      <c r="D291" s="4" t="str">
        <f t="shared" si="1"/>
        <v>{"valorA":"excelente","valorB":1.0}</v>
      </c>
      <c r="E291" s="8" t="str">
        <f t="shared" si="2"/>
        <v>excelente</v>
      </c>
      <c r="F291" s="8"/>
      <c r="G291" s="8" t="str">
        <f t="shared" si="3"/>
        <v>1.0</v>
      </c>
      <c r="H291" s="9">
        <f t="shared" si="4"/>
        <v>1</v>
      </c>
      <c r="I291" s="6" t="str">
        <f>IFERROR(__xludf.DUMMYFUNCTION("MAX(FILTER($H:$H,$E:$E=F291))"),"#N/A")</f>
        <v>#N/A</v>
      </c>
    </row>
    <row r="292">
      <c r="A292" s="4"/>
      <c r="C292" s="4" t="s">
        <v>10027</v>
      </c>
      <c r="D292" s="4" t="str">
        <f t="shared" si="1"/>
        <v>{"valorA":"excelentes","valorB":1.0}</v>
      </c>
      <c r="E292" s="8" t="str">
        <f t="shared" si="2"/>
        <v>excelentes</v>
      </c>
      <c r="F292" s="8"/>
      <c r="G292" s="8" t="str">
        <f t="shared" si="3"/>
        <v>1.0</v>
      </c>
      <c r="H292" s="9">
        <f t="shared" si="4"/>
        <v>1</v>
      </c>
      <c r="I292" s="6" t="str">
        <f>IFERROR(__xludf.DUMMYFUNCTION("MAX(FILTER($H:$H,$E:$E=F292))"),"#N/A")</f>
        <v>#N/A</v>
      </c>
    </row>
    <row r="293">
      <c r="A293" s="4"/>
      <c r="C293" s="4" t="s">
        <v>340</v>
      </c>
      <c r="D293" s="4" t="str">
        <f t="shared" si="1"/>
        <v>{"valorA":"satisfeito","valorB":2.0}</v>
      </c>
      <c r="E293" s="8" t="str">
        <f t="shared" si="2"/>
        <v>satisfeito</v>
      </c>
      <c r="F293" s="8"/>
      <c r="G293" s="8" t="str">
        <f t="shared" si="3"/>
        <v>2.0</v>
      </c>
      <c r="H293" s="9">
        <f t="shared" si="4"/>
        <v>2</v>
      </c>
      <c r="I293" s="6" t="str">
        <f>IFERROR(__xludf.DUMMYFUNCTION("MAX(FILTER($H:$H,$E:$E=F293))"),"#N/A")</f>
        <v>#N/A</v>
      </c>
    </row>
    <row r="294">
      <c r="A294" s="4"/>
      <c r="C294" s="4" t="s">
        <v>263</v>
      </c>
      <c r="D294" s="4" t="str">
        <f t="shared" si="1"/>
        <v>{"valorA":"compra","valorB":1.0}</v>
      </c>
      <c r="E294" s="8" t="str">
        <f t="shared" si="2"/>
        <v>compra</v>
      </c>
      <c r="F294" s="8"/>
      <c r="G294" s="8" t="str">
        <f t="shared" si="3"/>
        <v>1.0</v>
      </c>
      <c r="H294" s="9">
        <f t="shared" si="4"/>
        <v>1</v>
      </c>
      <c r="I294" s="6" t="str">
        <f>IFERROR(__xludf.DUMMYFUNCTION("MAX(FILTER($H:$H,$E:$E=F294))"),"#N/A")</f>
        <v>#N/A</v>
      </c>
    </row>
    <row r="295">
      <c r="A295" s="4"/>
      <c r="C295" s="4" t="s">
        <v>630</v>
      </c>
      <c r="D295" s="4" t="str">
        <f t="shared" si="1"/>
        <v>{"valorA":"a","valorB":7.0}</v>
      </c>
      <c r="E295" s="8" t="str">
        <f t="shared" si="2"/>
        <v>a</v>
      </c>
      <c r="F295" s="8"/>
      <c r="G295" s="8" t="str">
        <f t="shared" si="3"/>
        <v>7.0</v>
      </c>
      <c r="H295" s="9">
        <f t="shared" si="4"/>
        <v>7</v>
      </c>
      <c r="I295" s="6" t="str">
        <f>IFERROR(__xludf.DUMMYFUNCTION("MAX(FILTER($H:$H,$E:$E=F295))"),"#N/A")</f>
        <v>#N/A</v>
      </c>
    </row>
    <row r="296">
      <c r="A296" s="4"/>
      <c r="C296" s="4" t="s">
        <v>345</v>
      </c>
      <c r="D296" s="4" t="str">
        <f t="shared" si="1"/>
        <v>{"valorA":"recomendo","valorB":4.0}</v>
      </c>
      <c r="E296" s="8" t="str">
        <f t="shared" si="2"/>
        <v>recomendo</v>
      </c>
      <c r="F296" s="8"/>
      <c r="G296" s="8" t="str">
        <f t="shared" si="3"/>
        <v>4.0</v>
      </c>
      <c r="H296" s="9">
        <f t="shared" si="4"/>
        <v>4</v>
      </c>
      <c r="I296" s="6" t="str">
        <f>IFERROR(__xludf.DUMMYFUNCTION("MAX(FILTER($H:$H,$E:$E=F296))"),"#N/A")</f>
        <v>#N/A</v>
      </c>
    </row>
    <row r="297">
      <c r="A297" s="4"/>
      <c r="C297" s="4" t="s">
        <v>743</v>
      </c>
      <c r="D297" s="4" t="str">
        <f t="shared" si="1"/>
        <v>{"valorA":"para","valorB":12.0}</v>
      </c>
      <c r="E297" s="8" t="str">
        <f t="shared" si="2"/>
        <v>para</v>
      </c>
      <c r="F297" s="8"/>
      <c r="G297" s="8" t="str">
        <f t="shared" si="3"/>
        <v>12.0</v>
      </c>
      <c r="H297" s="9">
        <f t="shared" si="4"/>
        <v>12</v>
      </c>
      <c r="I297" s="6" t="str">
        <f>IFERROR(__xludf.DUMMYFUNCTION("MAX(FILTER($H:$H,$E:$E=F297))"),"#N/A")</f>
        <v>#N/A</v>
      </c>
    </row>
    <row r="298">
      <c r="A298" s="4"/>
      <c r="C298" s="4" t="s">
        <v>1648</v>
      </c>
      <c r="D298" s="4" t="str">
        <f t="shared" si="1"/>
        <v>{"valorA":"comprei","valorB":5.0}</v>
      </c>
      <c r="E298" s="8" t="str">
        <f t="shared" si="2"/>
        <v>comprei</v>
      </c>
      <c r="F298" s="8"/>
      <c r="G298" s="8" t="str">
        <f t="shared" si="3"/>
        <v>5.0</v>
      </c>
      <c r="H298" s="9">
        <f t="shared" si="4"/>
        <v>5</v>
      </c>
      <c r="I298" s="6" t="str">
        <f>IFERROR(__xludf.DUMMYFUNCTION("MAX(FILTER($H:$H,$E:$E=F298))"),"#N/A")</f>
        <v>#N/A</v>
      </c>
    </row>
    <row r="299">
      <c r="A299" s="4"/>
      <c r="C299" s="4" t="s">
        <v>10028</v>
      </c>
      <c r="D299" s="4" t="str">
        <f t="shared" si="1"/>
        <v>{"valorA":"procurando","valorB":1.0}</v>
      </c>
      <c r="E299" s="8" t="str">
        <f t="shared" si="2"/>
        <v>procurando</v>
      </c>
      <c r="F299" s="8"/>
      <c r="G299" s="8" t="str">
        <f t="shared" si="3"/>
        <v>1.0</v>
      </c>
      <c r="H299" s="9">
        <f t="shared" si="4"/>
        <v>1</v>
      </c>
      <c r="I299" s="6" t="str">
        <f>IFERROR(__xludf.DUMMYFUNCTION("MAX(FILTER($H:$H,$E:$E=F299))"),"#N/A")</f>
        <v>#N/A</v>
      </c>
    </row>
    <row r="300">
      <c r="A300" s="4"/>
      <c r="C300" s="4" t="s">
        <v>1168</v>
      </c>
      <c r="D300" s="4" t="str">
        <f t="shared" si="1"/>
        <v>{"valorA":"ótima","valorB":8.0}</v>
      </c>
      <c r="E300" s="8" t="str">
        <f t="shared" si="2"/>
        <v>ótima</v>
      </c>
      <c r="F300" s="8"/>
      <c r="G300" s="8" t="str">
        <f t="shared" si="3"/>
        <v>8.0</v>
      </c>
      <c r="H300" s="9">
        <f t="shared" si="4"/>
        <v>8</v>
      </c>
      <c r="I300" s="6" t="str">
        <f>IFERROR(__xludf.DUMMYFUNCTION("MAX(FILTER($H:$H,$E:$E=F300))"),"#N/A")</f>
        <v>#N/A</v>
      </c>
    </row>
    <row r="301">
      <c r="A301" s="4"/>
      <c r="C301" s="4" t="s">
        <v>203</v>
      </c>
      <c r="D301" s="4" t="str">
        <f t="shared" si="1"/>
        <v>{"valorA":"por","valorB":1.0}</v>
      </c>
      <c r="E301" s="8" t="str">
        <f t="shared" si="2"/>
        <v>por</v>
      </c>
      <c r="F301" s="8"/>
      <c r="G301" s="8" t="str">
        <f t="shared" si="3"/>
        <v>1.0</v>
      </c>
      <c r="H301" s="9">
        <f t="shared" si="4"/>
        <v>1</v>
      </c>
      <c r="I301" s="6" t="str">
        <f>IFERROR(__xludf.DUMMYFUNCTION("MAX(FILTER($H:$H,$E:$E=F301))"),"#N/A")</f>
        <v>#N/A</v>
      </c>
    </row>
    <row r="302">
      <c r="A302" s="4"/>
      <c r="C302" s="4" t="s">
        <v>665</v>
      </c>
      <c r="D302" s="4" t="str">
        <f t="shared" si="1"/>
        <v>{"valorA":"quem","valorB":2.0}</v>
      </c>
      <c r="E302" s="8" t="str">
        <f t="shared" si="2"/>
        <v>quem</v>
      </c>
      <c r="F302" s="8"/>
      <c r="G302" s="8" t="str">
        <f t="shared" si="3"/>
        <v>2.0</v>
      </c>
      <c r="H302" s="9">
        <f t="shared" si="4"/>
        <v>2</v>
      </c>
      <c r="I302" s="6" t="str">
        <f>IFERROR(__xludf.DUMMYFUNCTION("MAX(FILTER($H:$H,$E:$E=F302))"),"#N/A")</f>
        <v>#N/A</v>
      </c>
    </row>
    <row r="303">
      <c r="A303" s="4"/>
      <c r="C303" s="4" t="s">
        <v>5538</v>
      </c>
      <c r="D303" s="4" t="str">
        <f t="shared" si="1"/>
        <v>{"valorA":"está","valorB":1.0}</v>
      </c>
      <c r="E303" s="8" t="str">
        <f t="shared" si="2"/>
        <v>está</v>
      </c>
      <c r="F303" s="8"/>
      <c r="G303" s="8" t="str">
        <f t="shared" si="3"/>
        <v>1.0</v>
      </c>
      <c r="H303" s="9">
        <f t="shared" si="4"/>
        <v>1</v>
      </c>
      <c r="I303" s="6" t="str">
        <f>IFERROR(__xludf.DUMMYFUNCTION("MAX(FILTER($H:$H,$E:$E=F303))"),"#N/A")</f>
        <v>#N/A</v>
      </c>
    </row>
    <row r="304">
      <c r="A304" s="4"/>
      <c r="C304" s="4" t="s">
        <v>1119</v>
      </c>
      <c r="D304" s="4" t="str">
        <f t="shared" si="1"/>
        <v>{"valorA":"desde","valorB":4.0}</v>
      </c>
      <c r="E304" s="8" t="str">
        <f t="shared" si="2"/>
        <v>desde</v>
      </c>
      <c r="F304" s="8"/>
      <c r="G304" s="8" t="str">
        <f t="shared" si="3"/>
        <v>4.0</v>
      </c>
      <c r="H304" s="9">
        <f t="shared" si="4"/>
        <v>4</v>
      </c>
      <c r="I304" s="6" t="str">
        <f>IFERROR(__xludf.DUMMYFUNCTION("MAX(FILTER($H:$H,$E:$E=F304))"),"#N/A")</f>
        <v>#N/A</v>
      </c>
    </row>
    <row r="305">
      <c r="A305" s="4"/>
      <c r="C305" s="4" t="s">
        <v>1014</v>
      </c>
      <c r="D305" s="4" t="str">
        <f t="shared" si="1"/>
        <v>{"valorA":"lavadora","valorB":2.0}</v>
      </c>
      <c r="E305" s="8" t="str">
        <f t="shared" si="2"/>
        <v>lavadora</v>
      </c>
      <c r="F305" s="8"/>
      <c r="G305" s="8" t="str">
        <f t="shared" si="3"/>
        <v>2.0</v>
      </c>
      <c r="H305" s="9">
        <f t="shared" si="4"/>
        <v>2</v>
      </c>
      <c r="I305" s="6" t="str">
        <f>IFERROR(__xludf.DUMMYFUNCTION("MAX(FILTER($H:$H,$E:$E=F305))"),"#N/A")</f>
        <v>#N/A</v>
      </c>
    </row>
    <row r="306">
      <c r="A306" s="4"/>
      <c r="C306" s="4" t="s">
        <v>760</v>
      </c>
      <c r="D306" s="4" t="str">
        <f t="shared" si="1"/>
        <v>{"valorA":"que","valorB":7.0}</v>
      </c>
      <c r="E306" s="8" t="str">
        <f t="shared" si="2"/>
        <v>que</v>
      </c>
      <c r="F306" s="8"/>
      <c r="G306" s="8" t="str">
        <f t="shared" si="3"/>
        <v>7.0</v>
      </c>
      <c r="H306" s="9">
        <f t="shared" si="4"/>
        <v>7</v>
      </c>
      <c r="I306" s="6" t="str">
        <f>IFERROR(__xludf.DUMMYFUNCTION("MAX(FILTER($H:$H,$E:$E=F306))"),"#N/A")</f>
        <v>#N/A</v>
      </c>
    </row>
    <row r="307">
      <c r="A307" s="4"/>
      <c r="C307" s="4" t="s">
        <v>1001</v>
      </c>
      <c r="D307" s="4" t="str">
        <f t="shared" si="1"/>
        <v>{"valorA":"produto","valorB":1.0}</v>
      </c>
      <c r="E307" s="8" t="str">
        <f t="shared" si="2"/>
        <v>produto</v>
      </c>
      <c r="F307" s="8"/>
      <c r="G307" s="8" t="str">
        <f t="shared" si="3"/>
        <v>1.0</v>
      </c>
      <c r="H307" s="9">
        <f t="shared" si="4"/>
        <v>1</v>
      </c>
      <c r="I307" s="6" t="str">
        <f>IFERROR(__xludf.DUMMYFUNCTION("MAX(FILTER($H:$H,$E:$E=F307))"),"#N/A")</f>
        <v>#N/A</v>
      </c>
    </row>
    <row r="308">
      <c r="A308" s="4"/>
      <c r="C308" s="4" t="s">
        <v>355</v>
      </c>
      <c r="D308" s="4" t="str">
        <f t="shared" si="1"/>
        <v>{"valorA":"ótimo","valorB":27.0}</v>
      </c>
      <c r="E308" s="8" t="str">
        <f t="shared" si="2"/>
        <v>ótimo</v>
      </c>
      <c r="F308" s="8"/>
      <c r="G308" s="8" t="str">
        <f t="shared" si="3"/>
        <v>27.0</v>
      </c>
      <c r="H308" s="9">
        <f t="shared" si="4"/>
        <v>27</v>
      </c>
      <c r="I308" s="6" t="str">
        <f>IFERROR(__xludf.DUMMYFUNCTION("MAX(FILTER($H:$H,$E:$E=F308))"),"#N/A")</f>
        <v>#N/A</v>
      </c>
    </row>
    <row r="309">
      <c r="A309" s="4"/>
      <c r="C309" s="4" t="s">
        <v>803</v>
      </c>
      <c r="D309" s="4" t="str">
        <f t="shared" si="1"/>
        <v>{"valorA":"perfeitamente","valorB":3.0}</v>
      </c>
      <c r="E309" s="8" t="str">
        <f t="shared" si="2"/>
        <v>perfeitamente</v>
      </c>
      <c r="F309" s="8"/>
      <c r="G309" s="8" t="str">
        <f t="shared" si="3"/>
        <v>3.0</v>
      </c>
      <c r="H309" s="9">
        <f t="shared" si="4"/>
        <v>3</v>
      </c>
      <c r="I309" s="6" t="str">
        <f>IFERROR(__xludf.DUMMYFUNCTION("MAX(FILTER($H:$H,$E:$E=F309))"),"#N/A")</f>
        <v>#N/A</v>
      </c>
    </row>
    <row r="310">
      <c r="A310" s="4"/>
      <c r="C310" s="4" t="s">
        <v>343</v>
      </c>
      <c r="D310" s="4" t="str">
        <f t="shared" si="1"/>
        <v>{"valorA":"funciona","valorB":7.0}</v>
      </c>
      <c r="E310" s="8" t="str">
        <f t="shared" si="2"/>
        <v>funciona</v>
      </c>
      <c r="F310" s="8"/>
      <c r="G310" s="8" t="str">
        <f t="shared" si="3"/>
        <v>7.0</v>
      </c>
      <c r="H310" s="9">
        <f t="shared" si="4"/>
        <v>7</v>
      </c>
      <c r="I310" s="6" t="str">
        <f>IFERROR(__xludf.DUMMYFUNCTION("MAX(FILTER($H:$H,$E:$E=F310))"),"#N/A")</f>
        <v>#N/A</v>
      </c>
    </row>
    <row r="311">
      <c r="A311" s="4"/>
      <c r="C311" s="4" t="s">
        <v>670</v>
      </c>
      <c r="D311" s="4" t="str">
        <f t="shared" si="1"/>
        <v>{"valorA":"um","valorB":3.0}</v>
      </c>
      <c r="E311" s="8" t="str">
        <f t="shared" si="2"/>
        <v>um</v>
      </c>
      <c r="F311" s="8"/>
      <c r="G311" s="8" t="str">
        <f t="shared" si="3"/>
        <v>3.0</v>
      </c>
      <c r="H311" s="9">
        <f t="shared" si="4"/>
        <v>3</v>
      </c>
      <c r="I311" s="6" t="str">
        <f>IFERROR(__xludf.DUMMYFUNCTION("MAX(FILTER($H:$H,$E:$E=F311))"),"#N/A")</f>
        <v>#N/A</v>
      </c>
    </row>
    <row r="312">
      <c r="A312" s="4"/>
      <c r="C312" s="4" t="s">
        <v>1144</v>
      </c>
      <c r="D312" s="4" t="str">
        <f t="shared" si="1"/>
        <v>{"valorA":"com","valorB":10.0}</v>
      </c>
      <c r="E312" s="8" t="str">
        <f t="shared" si="2"/>
        <v>com</v>
      </c>
      <c r="F312" s="8"/>
      <c r="G312" s="8" t="str">
        <f t="shared" si="3"/>
        <v>10.0</v>
      </c>
      <c r="H312" s="9">
        <f t="shared" si="4"/>
        <v>10</v>
      </c>
      <c r="I312" s="6" t="str">
        <f>IFERROR(__xludf.DUMMYFUNCTION("MAX(FILTER($H:$H,$E:$E=F312))"),"#N/A")</f>
        <v>#N/A</v>
      </c>
    </row>
    <row r="313">
      <c r="A313" s="4"/>
      <c r="C313" s="4" t="s">
        <v>10029</v>
      </c>
      <c r="D313" s="4" t="str">
        <f t="shared" si="1"/>
        <v>{"valorA":"toalete","valorB":1.0}</v>
      </c>
      <c r="E313" s="8" t="str">
        <f t="shared" si="2"/>
        <v>toalete</v>
      </c>
      <c r="F313" s="8"/>
      <c r="G313" s="8" t="str">
        <f t="shared" si="3"/>
        <v>1.0</v>
      </c>
      <c r="H313" s="9">
        <f t="shared" si="4"/>
        <v>1</v>
      </c>
      <c r="I313" s="6" t="str">
        <f>IFERROR(__xludf.DUMMYFUNCTION("MAX(FILTER($H:$H,$E:$E=F313))"),"#N/A")</f>
        <v>#N/A</v>
      </c>
    </row>
    <row r="314">
      <c r="A314" s="4"/>
      <c r="C314" s="4" t="s">
        <v>292</v>
      </c>
      <c r="D314" s="4" t="str">
        <f t="shared" si="1"/>
        <v>{"valorA":"refrigerador","valorB":1.0}</v>
      </c>
      <c r="E314" s="8" t="str">
        <f t="shared" si="2"/>
        <v>refrigerador</v>
      </c>
      <c r="F314" s="8"/>
      <c r="G314" s="8" t="str">
        <f t="shared" si="3"/>
        <v>1.0</v>
      </c>
      <c r="H314" s="9">
        <f t="shared" si="4"/>
        <v>1</v>
      </c>
      <c r="I314" s="6" t="str">
        <f>IFERROR(__xludf.DUMMYFUNCTION("MAX(FILTER($H:$H,$E:$E=F314))"),"#N/A")</f>
        <v>#N/A</v>
      </c>
    </row>
    <row r="315">
      <c r="A315" s="4"/>
      <c r="C315" s="4" t="s">
        <v>10030</v>
      </c>
      <c r="D315" s="4" t="str">
        <f t="shared" si="1"/>
        <v>{"valorA":"antes","valorB":1.0}</v>
      </c>
      <c r="E315" s="8" t="str">
        <f t="shared" si="2"/>
        <v>antes</v>
      </c>
      <c r="F315" s="8"/>
      <c r="G315" s="8" t="str">
        <f t="shared" si="3"/>
        <v>1.0</v>
      </c>
      <c r="H315" s="9">
        <f t="shared" si="4"/>
        <v>1</v>
      </c>
      <c r="I315" s="6" t="str">
        <f>IFERROR(__xludf.DUMMYFUNCTION("MAX(FILTER($H:$H,$E:$E=F315))"),"#N/A")</f>
        <v>#N/A</v>
      </c>
    </row>
    <row r="316">
      <c r="A316" s="4"/>
      <c r="C316" s="4" t="s">
        <v>744</v>
      </c>
      <c r="D316" s="4" t="str">
        <f t="shared" si="1"/>
        <v>{"valorA":"bem","valorB":7.0}</v>
      </c>
      <c r="E316" s="8" t="str">
        <f t="shared" si="2"/>
        <v>bem</v>
      </c>
      <c r="F316" s="8"/>
      <c r="G316" s="8" t="str">
        <f t="shared" si="3"/>
        <v>7.0</v>
      </c>
      <c r="H316" s="9">
        <f t="shared" si="4"/>
        <v>7</v>
      </c>
      <c r="I316" s="6" t="str">
        <f>IFERROR(__xludf.DUMMYFUNCTION("MAX(FILTER($H:$H,$E:$E=F316))"),"#N/A")</f>
        <v>#N/A</v>
      </c>
    </row>
    <row r="317">
      <c r="A317" s="4"/>
      <c r="C317" s="4" t="s">
        <v>10031</v>
      </c>
      <c r="D317" s="4" t="str">
        <f t="shared" si="1"/>
        <v>{"valorA":"tinha","valorB":1.0}</v>
      </c>
      <c r="E317" s="8" t="str">
        <f t="shared" si="2"/>
        <v>tinha</v>
      </c>
      <c r="F317" s="8"/>
      <c r="G317" s="8" t="str">
        <f t="shared" si="3"/>
        <v>1.0</v>
      </c>
      <c r="H317" s="9">
        <f t="shared" si="4"/>
        <v>1</v>
      </c>
      <c r="I317" s="6" t="str">
        <f>IFERROR(__xludf.DUMMYFUNCTION("MAX(FILTER($H:$H,$E:$E=F317))"),"#N/A")</f>
        <v>#N/A</v>
      </c>
    </row>
    <row r="318">
      <c r="A318" s="4"/>
      <c r="C318" s="4" t="s">
        <v>5476</v>
      </c>
      <c r="D318" s="4" t="str">
        <f t="shared" si="1"/>
        <v>{"valorA":"conveniente","valorB":1.0}</v>
      </c>
      <c r="E318" s="8" t="str">
        <f t="shared" si="2"/>
        <v>conveniente</v>
      </c>
      <c r="F318" s="8"/>
      <c r="G318" s="8" t="str">
        <f t="shared" si="3"/>
        <v>1.0</v>
      </c>
      <c r="H318" s="9">
        <f t="shared" si="4"/>
        <v>1</v>
      </c>
      <c r="I318" s="6" t="str">
        <f>IFERROR(__xludf.DUMMYFUNCTION("MAX(FILTER($H:$H,$E:$E=F318))"),"#N/A")</f>
        <v>#N/A</v>
      </c>
    </row>
    <row r="319">
      <c r="A319" s="4"/>
      <c r="C319" s="4" t="s">
        <v>817</v>
      </c>
      <c r="D319" s="4" t="str">
        <f t="shared" si="1"/>
        <v>{"valorA":"que","valorB":9.0}</v>
      </c>
      <c r="E319" s="8" t="str">
        <f t="shared" si="2"/>
        <v>que</v>
      </c>
      <c r="F319" s="8"/>
      <c r="G319" s="8" t="str">
        <f t="shared" si="3"/>
        <v>9.0</v>
      </c>
      <c r="H319" s="9">
        <f t="shared" si="4"/>
        <v>9</v>
      </c>
      <c r="I319" s="6" t="str">
        <f>IFERROR(__xludf.DUMMYFUNCTION("MAX(FILTER($H:$H,$E:$E=F319))"),"#N/A")</f>
        <v>#N/A</v>
      </c>
    </row>
    <row r="320">
      <c r="A320" s="4"/>
      <c r="C320" s="4" t="s">
        <v>1172</v>
      </c>
      <c r="D320" s="4" t="str">
        <f t="shared" si="1"/>
        <v>{"valorA":"os","valorB":1.0}</v>
      </c>
      <c r="E320" s="8" t="str">
        <f t="shared" si="2"/>
        <v>os</v>
      </c>
      <c r="F320" s="8"/>
      <c r="G320" s="8" t="str">
        <f t="shared" si="3"/>
        <v>1.0</v>
      </c>
      <c r="H320" s="9">
        <f t="shared" si="4"/>
        <v>1</v>
      </c>
      <c r="I320" s="6" t="str">
        <f>IFERROR(__xludf.DUMMYFUNCTION("MAX(FILTER($H:$H,$E:$E=F320))"),"#N/A")</f>
        <v>#N/A</v>
      </c>
    </row>
    <row r="321">
      <c r="A321" s="4"/>
      <c r="C321" s="4" t="s">
        <v>335</v>
      </c>
      <c r="D321" s="4" t="str">
        <f t="shared" si="1"/>
        <v>{"valorA":"do","valorB":1.0}</v>
      </c>
      <c r="E321" s="8" t="str">
        <f t="shared" si="2"/>
        <v>do</v>
      </c>
      <c r="F321" s="8"/>
      <c r="G321" s="8" t="str">
        <f t="shared" si="3"/>
        <v>1.0</v>
      </c>
      <c r="H321" s="9">
        <f t="shared" si="4"/>
        <v>1</v>
      </c>
      <c r="I321" s="6" t="str">
        <f>IFERROR(__xludf.DUMMYFUNCTION("MAX(FILTER($H:$H,$E:$E=F321))"),"#N/A")</f>
        <v>#N/A</v>
      </c>
    </row>
    <row r="322">
      <c r="A322" s="4"/>
      <c r="C322" s="4" t="s">
        <v>727</v>
      </c>
      <c r="D322" s="4" t="str">
        <f t="shared" si="1"/>
        <v>{"valorA":"ótimo","valorB":29.0}</v>
      </c>
      <c r="E322" s="8" t="str">
        <f t="shared" si="2"/>
        <v>ótimo</v>
      </c>
      <c r="F322" s="8"/>
      <c r="G322" s="8" t="str">
        <f t="shared" si="3"/>
        <v>29.0</v>
      </c>
      <c r="H322" s="9">
        <f t="shared" si="4"/>
        <v>29</v>
      </c>
      <c r="I322" s="6" t="str">
        <f>IFERROR(__xludf.DUMMYFUNCTION("MAX(FILTER($H:$H,$E:$E=F322))"),"#N/A")</f>
        <v>#N/A</v>
      </c>
    </row>
    <row r="323">
      <c r="A323" s="4"/>
      <c r="C323" s="4" t="s">
        <v>337</v>
      </c>
      <c r="D323" s="4" t="str">
        <f t="shared" si="1"/>
        <v>{"valorA":"mais","valorB":1.0}</v>
      </c>
      <c r="E323" s="8" t="str">
        <f t="shared" si="2"/>
        <v>mais</v>
      </c>
      <c r="F323" s="8"/>
      <c r="G323" s="8" t="str">
        <f t="shared" si="3"/>
        <v>1.0</v>
      </c>
      <c r="H323" s="9">
        <f t="shared" si="4"/>
        <v>1</v>
      </c>
      <c r="I323" s="6" t="str">
        <f>IFERROR(__xludf.DUMMYFUNCTION("MAX(FILTER($H:$H,$E:$E=F323))"),"#N/A")</f>
        <v>#N/A</v>
      </c>
    </row>
    <row r="324">
      <c r="A324" s="4"/>
      <c r="C324" s="4" t="s">
        <v>829</v>
      </c>
      <c r="D324" s="4" t="str">
        <f t="shared" si="1"/>
        <v>{"valorA":"muito","valorB":13.0}</v>
      </c>
      <c r="E324" s="8" t="str">
        <f t="shared" si="2"/>
        <v>muito</v>
      </c>
      <c r="F324" s="8"/>
      <c r="G324" s="8" t="str">
        <f t="shared" si="3"/>
        <v>13.0</v>
      </c>
      <c r="H324" s="9">
        <f t="shared" si="4"/>
        <v>13</v>
      </c>
      <c r="I324" s="6" t="str">
        <f>IFERROR(__xludf.DUMMYFUNCTION("MAX(FILTER($H:$H,$E:$E=F324))"),"#N/A")</f>
        <v>#N/A</v>
      </c>
    </row>
    <row r="325">
      <c r="A325" s="4"/>
      <c r="C325" s="4" t="s">
        <v>10032</v>
      </c>
      <c r="D325" s="4" t="str">
        <f t="shared" si="1"/>
        <v>{"valorA":"geladeira","valorB":6.0}</v>
      </c>
      <c r="E325" s="8" t="str">
        <f t="shared" si="2"/>
        <v>geladeira</v>
      </c>
      <c r="F325" s="8"/>
      <c r="G325" s="8" t="str">
        <f t="shared" si="3"/>
        <v>6.0</v>
      </c>
      <c r="H325" s="9">
        <f t="shared" si="4"/>
        <v>6</v>
      </c>
      <c r="I325" s="6" t="str">
        <f>IFERROR(__xludf.DUMMYFUNCTION("MAX(FILTER($H:$H,$E:$E=F325))"),"#N/A")</f>
        <v>#N/A</v>
      </c>
    </row>
    <row r="326">
      <c r="A326" s="4"/>
      <c r="C326" s="4" t="s">
        <v>363</v>
      </c>
      <c r="D326" s="4" t="str">
        <f t="shared" si="1"/>
        <v>{"valorA":"funciona","valorB":8.0}</v>
      </c>
      <c r="E326" s="8" t="str">
        <f t="shared" si="2"/>
        <v>funciona</v>
      </c>
      <c r="F326" s="8"/>
      <c r="G326" s="8" t="str">
        <f t="shared" si="3"/>
        <v>8.0</v>
      </c>
      <c r="H326" s="9">
        <f t="shared" si="4"/>
        <v>8</v>
      </c>
      <c r="I326" s="6" t="str">
        <f>IFERROR(__xludf.DUMMYFUNCTION("MAX(FILTER($H:$H,$E:$E=F326))"),"#N/A")</f>
        <v>#N/A</v>
      </c>
    </row>
    <row r="327">
      <c r="A327" s="4"/>
      <c r="C327" s="4" t="s">
        <v>1578</v>
      </c>
      <c r="D327" s="4" t="str">
        <f t="shared" si="1"/>
        <v>{"valorA":"ontem","valorB":2.0}</v>
      </c>
      <c r="E327" s="8" t="str">
        <f t="shared" si="2"/>
        <v>ontem</v>
      </c>
      <c r="F327" s="8"/>
      <c r="G327" s="8" t="str">
        <f t="shared" si="3"/>
        <v>2.0</v>
      </c>
      <c r="H327" s="9">
        <f t="shared" si="4"/>
        <v>2</v>
      </c>
      <c r="I327" s="6" t="str">
        <f>IFERROR(__xludf.DUMMYFUNCTION("MAX(FILTER($H:$H,$E:$E=F327))"),"#N/A")</f>
        <v>#N/A</v>
      </c>
    </row>
    <row r="328">
      <c r="A328" s="4"/>
      <c r="C328" s="4" t="s">
        <v>757</v>
      </c>
      <c r="D328" s="4" t="str">
        <f t="shared" si="1"/>
        <v>{"valorA":"para","valorB":13.0}</v>
      </c>
      <c r="E328" s="8" t="str">
        <f t="shared" si="2"/>
        <v>para</v>
      </c>
      <c r="F328" s="8"/>
      <c r="G328" s="8" t="str">
        <f t="shared" si="3"/>
        <v>13.0</v>
      </c>
      <c r="H328" s="9">
        <f t="shared" si="4"/>
        <v>13</v>
      </c>
      <c r="I328" s="6" t="str">
        <f>IFERROR(__xludf.DUMMYFUNCTION("MAX(FILTER($H:$H,$E:$E=F328))"),"#N/A")</f>
        <v>#N/A</v>
      </c>
    </row>
    <row r="329">
      <c r="A329" s="4"/>
      <c r="C329" s="4" t="s">
        <v>10033</v>
      </c>
      <c r="D329" s="4" t="str">
        <f t="shared" si="1"/>
        <v>{"valorA":"comprei","valorB":6.0}</v>
      </c>
      <c r="E329" s="8" t="str">
        <f t="shared" si="2"/>
        <v>comprei</v>
      </c>
      <c r="F329" s="8"/>
      <c r="G329" s="8" t="str">
        <f t="shared" si="3"/>
        <v>6.0</v>
      </c>
      <c r="H329" s="9">
        <f t="shared" si="4"/>
        <v>6</v>
      </c>
      <c r="I329" s="6" t="str">
        <f>IFERROR(__xludf.DUMMYFUNCTION("MAX(FILTER($H:$H,$E:$E=F329))"),"#N/A")</f>
        <v>#N/A</v>
      </c>
    </row>
    <row r="330">
      <c r="A330" s="4"/>
      <c r="C330" s="4" t="s">
        <v>348</v>
      </c>
      <c r="D330" s="4" t="str">
        <f t="shared" si="1"/>
        <v>{"valorA":"bem","valorB":8.0}</v>
      </c>
      <c r="E330" s="8" t="str">
        <f t="shared" si="2"/>
        <v>bem</v>
      </c>
      <c r="F330" s="8"/>
      <c r="G330" s="8" t="str">
        <f t="shared" si="3"/>
        <v>8.0</v>
      </c>
      <c r="H330" s="9">
        <f t="shared" si="4"/>
        <v>8</v>
      </c>
      <c r="I330" s="6" t="str">
        <f>IFERROR(__xludf.DUMMYFUNCTION("MAX(FILTER($H:$H,$E:$E=F330))"),"#N/A")</f>
        <v>#N/A</v>
      </c>
    </row>
    <row r="331">
      <c r="A331" s="4"/>
      <c r="C331" s="4" t="s">
        <v>371</v>
      </c>
      <c r="D331" s="4" t="str">
        <f t="shared" si="1"/>
        <v>{"valorA":"e","valorB":6.0}</v>
      </c>
      <c r="E331" s="8" t="str">
        <f t="shared" si="2"/>
        <v>e</v>
      </c>
      <c r="F331" s="8"/>
      <c r="G331" s="8" t="str">
        <f t="shared" si="3"/>
        <v>6.0</v>
      </c>
      <c r="H331" s="9">
        <f t="shared" si="4"/>
        <v>6</v>
      </c>
      <c r="I331" s="6" t="str">
        <f>IFERROR(__xludf.DUMMYFUNCTION("MAX(FILTER($H:$H,$E:$E=F331))"),"#N/A")</f>
        <v>#N/A</v>
      </c>
    </row>
    <row r="332">
      <c r="A332" s="4"/>
      <c r="C332" s="4" t="s">
        <v>815</v>
      </c>
      <c r="D332" s="4" t="str">
        <f t="shared" si="1"/>
        <v>{"valorA":"o","valorB":10.0}</v>
      </c>
      <c r="E332" s="8" t="str">
        <f t="shared" si="2"/>
        <v>o</v>
      </c>
      <c r="F332" s="8"/>
      <c r="G332" s="8" t="str">
        <f t="shared" si="3"/>
        <v>10.0</v>
      </c>
      <c r="H332" s="9">
        <f t="shared" si="4"/>
        <v>10</v>
      </c>
      <c r="I332" s="6" t="str">
        <f>IFERROR(__xludf.DUMMYFUNCTION("MAX(FILTER($H:$H,$E:$E=F332))"),"#N/A")</f>
        <v>#N/A</v>
      </c>
    </row>
    <row r="333">
      <c r="A333" s="4"/>
      <c r="C333" s="4" t="s">
        <v>10034</v>
      </c>
      <c r="D333" s="4" t="str">
        <f t="shared" si="1"/>
        <v>{"valorA":"cadeado","valorB":2.0}</v>
      </c>
      <c r="E333" s="8" t="str">
        <f t="shared" si="2"/>
        <v>cadeado</v>
      </c>
      <c r="F333" s="8"/>
      <c r="G333" s="8" t="str">
        <f t="shared" si="3"/>
        <v>2.0</v>
      </c>
      <c r="H333" s="9">
        <f t="shared" si="4"/>
        <v>2</v>
      </c>
      <c r="I333" s="6" t="str">
        <f>IFERROR(__xludf.DUMMYFUNCTION("MAX(FILTER($H:$H,$E:$E=F333))"),"#N/A")</f>
        <v>#N/A</v>
      </c>
    </row>
    <row r="334">
      <c r="A334" s="4"/>
      <c r="C334" s="4" t="s">
        <v>10035</v>
      </c>
      <c r="D334" s="4" t="str">
        <f t="shared" si="1"/>
        <v>{"valorA":"portas","valorB":2.0}</v>
      </c>
      <c r="E334" s="8" t="str">
        <f t="shared" si="2"/>
        <v>portas</v>
      </c>
      <c r="F334" s="8"/>
      <c r="G334" s="8" t="str">
        <f t="shared" si="3"/>
        <v>2.0</v>
      </c>
      <c r="H334" s="9">
        <f t="shared" si="4"/>
        <v>2</v>
      </c>
      <c r="I334" s="6" t="str">
        <f>IFERROR(__xludf.DUMMYFUNCTION("MAX(FILTER($H:$H,$E:$E=F334))"),"#N/A")</f>
        <v>#N/A</v>
      </c>
    </row>
    <row r="335">
      <c r="A335" s="4"/>
      <c r="C335" s="4" t="s">
        <v>10036</v>
      </c>
      <c r="D335" s="4" t="str">
        <f t="shared" si="1"/>
        <v>{"valorA":"automático","valorB":1.0}</v>
      </c>
      <c r="E335" s="8" t="str">
        <f t="shared" si="2"/>
        <v>automático</v>
      </c>
      <c r="F335" s="8"/>
      <c r="G335" s="8" t="str">
        <f t="shared" si="3"/>
        <v>1.0</v>
      </c>
      <c r="H335" s="9">
        <f t="shared" si="4"/>
        <v>1</v>
      </c>
      <c r="I335" s="6" t="str">
        <f>IFERROR(__xludf.DUMMYFUNCTION("MAX(FILTER($H:$H,$E:$E=F335))"),"#N/A")</f>
        <v>#N/A</v>
      </c>
    </row>
    <row r="336">
      <c r="A336" s="4"/>
      <c r="C336" s="4" t="s">
        <v>1108</v>
      </c>
      <c r="D336" s="4" t="str">
        <f t="shared" si="1"/>
        <v>{"valorA":"óptimo","valorB":5.0}</v>
      </c>
      <c r="E336" s="8" t="str">
        <f t="shared" si="2"/>
        <v>óptimo</v>
      </c>
      <c r="F336" s="8"/>
      <c r="G336" s="8" t="str">
        <f t="shared" si="3"/>
        <v>5.0</v>
      </c>
      <c r="H336" s="9">
        <f t="shared" si="4"/>
        <v>5</v>
      </c>
      <c r="I336" s="6" t="str">
        <f>IFERROR(__xludf.DUMMYFUNCTION("MAX(FILTER($H:$H,$E:$E=F336))"),"#N/A")</f>
        <v>#N/A</v>
      </c>
    </row>
    <row r="337">
      <c r="A337" s="4"/>
      <c r="C337" s="4" t="s">
        <v>10037</v>
      </c>
      <c r="D337" s="4" t="str">
        <f t="shared" si="1"/>
        <v>{"valorA":"que","valorB":10.0}</v>
      </c>
      <c r="E337" s="8" t="str">
        <f t="shared" si="2"/>
        <v>que</v>
      </c>
      <c r="F337" s="8"/>
      <c r="G337" s="8" t="str">
        <f t="shared" si="3"/>
        <v>10.0</v>
      </c>
      <c r="H337" s="9">
        <f t="shared" si="4"/>
        <v>10</v>
      </c>
      <c r="I337" s="6" t="str">
        <f>IFERROR(__xludf.DUMMYFUNCTION("MAX(FILTER($H:$H,$E:$E=F337))"),"#N/A")</f>
        <v>#N/A</v>
      </c>
    </row>
    <row r="338">
      <c r="A338" s="4"/>
      <c r="C338" s="4" t="s">
        <v>376</v>
      </c>
      <c r="D338" s="4" t="str">
        <f t="shared" si="1"/>
        <v>{"valorA":"ótimo","valorB":30.0}</v>
      </c>
      <c r="E338" s="8" t="str">
        <f t="shared" si="2"/>
        <v>ótimo</v>
      </c>
      <c r="F338" s="8"/>
      <c r="G338" s="8" t="str">
        <f t="shared" si="3"/>
        <v>30.0</v>
      </c>
      <c r="H338" s="9">
        <f t="shared" si="4"/>
        <v>30</v>
      </c>
      <c r="I338" s="6" t="str">
        <f>IFERROR(__xludf.DUMMYFUNCTION("MAX(FILTER($H:$H,$E:$E=F338))"),"#N/A")</f>
        <v>#N/A</v>
      </c>
    </row>
    <row r="339">
      <c r="A339" s="4"/>
      <c r="C339" s="4" t="s">
        <v>10038</v>
      </c>
      <c r="D339" s="4" t="str">
        <f t="shared" si="1"/>
        <v>{"valorA":"refrigerante","valorB":2.0}</v>
      </c>
      <c r="E339" s="8" t="str">
        <f t="shared" si="2"/>
        <v>refrigerante</v>
      </c>
      <c r="F339" s="8"/>
      <c r="G339" s="8" t="str">
        <f t="shared" si="3"/>
        <v>2.0</v>
      </c>
      <c r="H339" s="9">
        <f t="shared" si="4"/>
        <v>2</v>
      </c>
      <c r="I339" s="6" t="str">
        <f>IFERROR(__xludf.DUMMYFUNCTION("MAX(FILTER($H:$H,$E:$E=F339))"),"#N/A")</f>
        <v>#N/A</v>
      </c>
    </row>
    <row r="340">
      <c r="A340" s="4"/>
      <c r="C340" s="4" t="s">
        <v>397</v>
      </c>
      <c r="D340" s="4" t="str">
        <f t="shared" si="1"/>
        <v>{"valorA":"muito","valorB":14.0}</v>
      </c>
      <c r="E340" s="8" t="str">
        <f t="shared" si="2"/>
        <v>muito</v>
      </c>
      <c r="F340" s="8"/>
      <c r="G340" s="8" t="str">
        <f t="shared" si="3"/>
        <v>14.0</v>
      </c>
      <c r="H340" s="9">
        <f t="shared" si="4"/>
        <v>14</v>
      </c>
      <c r="I340" s="6" t="str">
        <f>IFERROR(__xludf.DUMMYFUNCTION("MAX(FILTER($H:$H,$E:$E=F340))"),"#N/A")</f>
        <v>#N/A</v>
      </c>
    </row>
    <row r="341">
      <c r="A341" s="4"/>
      <c r="C341" s="4" t="s">
        <v>10039</v>
      </c>
      <c r="D341" s="4" t="str">
        <f t="shared" si="1"/>
        <v>{"valorA":"janelas","valorB":1.0}</v>
      </c>
      <c r="E341" s="8" t="str">
        <f t="shared" si="2"/>
        <v>janelas</v>
      </c>
      <c r="F341" s="8"/>
      <c r="G341" s="8" t="str">
        <f t="shared" si="3"/>
        <v>1.0</v>
      </c>
      <c r="H341" s="9">
        <f t="shared" si="4"/>
        <v>1</v>
      </c>
      <c r="I341" s="6" t="str">
        <f>IFERROR(__xludf.DUMMYFUNCTION("MAX(FILTER($H:$H,$E:$E=F341))"),"#N/A")</f>
        <v>#N/A</v>
      </c>
    </row>
    <row r="342">
      <c r="A342" s="4"/>
      <c r="C342" s="4" t="s">
        <v>382</v>
      </c>
      <c r="D342" s="4" t="str">
        <f t="shared" si="1"/>
        <v>{"valorA":"funciona","valorB":9.0}</v>
      </c>
      <c r="E342" s="8" t="str">
        <f t="shared" si="2"/>
        <v>funciona</v>
      </c>
      <c r="F342" s="8"/>
      <c r="G342" s="8" t="str">
        <f t="shared" si="3"/>
        <v>9.0</v>
      </c>
      <c r="H342" s="9">
        <f t="shared" si="4"/>
        <v>9</v>
      </c>
      <c r="I342" s="6" t="str">
        <f>IFERROR(__xludf.DUMMYFUNCTION("MAX(FILTER($H:$H,$E:$E=F342))"),"#N/A")</f>
        <v>#N/A</v>
      </c>
    </row>
    <row r="343">
      <c r="A343" s="4"/>
      <c r="C343" s="4" t="s">
        <v>10040</v>
      </c>
      <c r="D343" s="4" t="str">
        <f t="shared" si="1"/>
        <v>{"valorA":"bastante","valorB":3.0}</v>
      </c>
      <c r="E343" s="8" t="str">
        <f t="shared" si="2"/>
        <v>bastante</v>
      </c>
      <c r="F343" s="8"/>
      <c r="G343" s="8" t="str">
        <f t="shared" si="3"/>
        <v>3.0</v>
      </c>
      <c r="H343" s="9">
        <f t="shared" si="4"/>
        <v>3</v>
      </c>
      <c r="I343" s="6" t="str">
        <f>IFERROR(__xludf.DUMMYFUNCTION("MAX(FILTER($H:$H,$E:$E=F343))"),"#N/A")</f>
        <v>#N/A</v>
      </c>
    </row>
    <row r="344">
      <c r="A344" s="4"/>
      <c r="C344" s="4" t="s">
        <v>10041</v>
      </c>
      <c r="D344" s="4" t="str">
        <f t="shared" si="1"/>
        <v>{"valorA":"modelo","valorB":4.0}</v>
      </c>
      <c r="E344" s="8" t="str">
        <f t="shared" si="2"/>
        <v>modelo</v>
      </c>
      <c r="F344" s="8"/>
      <c r="G344" s="8" t="str">
        <f t="shared" si="3"/>
        <v>4.0</v>
      </c>
      <c r="H344" s="9">
        <f t="shared" si="4"/>
        <v>4</v>
      </c>
      <c r="I344" s="6" t="str">
        <f>IFERROR(__xludf.DUMMYFUNCTION("MAX(FILTER($H:$H,$E:$E=F344))"),"#N/A")</f>
        <v>#N/A</v>
      </c>
    </row>
    <row r="345">
      <c r="A345" s="4"/>
      <c r="C345" s="4" t="s">
        <v>682</v>
      </c>
      <c r="D345" s="4" t="str">
        <f t="shared" si="1"/>
        <v>{"valorA":"monitor","valorB":1.0}</v>
      </c>
      <c r="E345" s="8" t="str">
        <f t="shared" si="2"/>
        <v>monitor</v>
      </c>
      <c r="F345" s="8"/>
      <c r="G345" s="8" t="str">
        <f t="shared" si="3"/>
        <v>1.0</v>
      </c>
      <c r="H345" s="9">
        <f t="shared" si="4"/>
        <v>1</v>
      </c>
      <c r="I345" s="6" t="str">
        <f>IFERROR(__xludf.DUMMYFUNCTION("MAX(FILTER($H:$H,$E:$E=F345))"),"#N/A")</f>
        <v>#N/A</v>
      </c>
    </row>
    <row r="346">
      <c r="A346" s="4"/>
      <c r="C346" s="4" t="s">
        <v>1475</v>
      </c>
      <c r="D346" s="4" t="str">
        <f t="shared" si="1"/>
        <v>{"valorA":"gosto","valorB":5.0}</v>
      </c>
      <c r="E346" s="8" t="str">
        <f t="shared" si="2"/>
        <v>gosto</v>
      </c>
      <c r="F346" s="8"/>
      <c r="G346" s="8" t="str">
        <f t="shared" si="3"/>
        <v>5.0</v>
      </c>
      <c r="H346" s="9">
        <f t="shared" si="4"/>
        <v>5</v>
      </c>
      <c r="I346" s="6" t="str">
        <f>IFERROR(__xludf.DUMMYFUNCTION("MAX(FILTER($H:$H,$E:$E=F346))"),"#N/A")</f>
        <v>#N/A</v>
      </c>
    </row>
    <row r="347">
      <c r="A347" s="4"/>
      <c r="C347" s="4" t="s">
        <v>10042</v>
      </c>
      <c r="D347" s="4" t="str">
        <f t="shared" si="1"/>
        <v>{"valorA":"cadeado","valorB":3.0}</v>
      </c>
      <c r="E347" s="8" t="str">
        <f t="shared" si="2"/>
        <v>cadeado</v>
      </c>
      <c r="F347" s="8"/>
      <c r="G347" s="8" t="str">
        <f t="shared" si="3"/>
        <v>3.0</v>
      </c>
      <c r="H347" s="9">
        <f t="shared" si="4"/>
        <v>3</v>
      </c>
      <c r="I347" s="6" t="str">
        <f>IFERROR(__xludf.DUMMYFUNCTION("MAX(FILTER($H:$H,$E:$E=F347))"),"#N/A")</f>
        <v>#N/A</v>
      </c>
    </row>
    <row r="348">
      <c r="A348" s="4"/>
      <c r="C348" s="4" t="s">
        <v>747</v>
      </c>
      <c r="D348" s="4" t="str">
        <f t="shared" si="1"/>
        <v>{"valorA":"ótimo","valorB":32.0}</v>
      </c>
      <c r="E348" s="8" t="str">
        <f t="shared" si="2"/>
        <v>ótimo</v>
      </c>
      <c r="F348" s="8"/>
      <c r="G348" s="8" t="str">
        <f t="shared" si="3"/>
        <v>32.0</v>
      </c>
      <c r="H348" s="9">
        <f t="shared" si="4"/>
        <v>32</v>
      </c>
      <c r="I348" s="6" t="str">
        <f>IFERROR(__xludf.DUMMYFUNCTION("MAX(FILTER($H:$H,$E:$E=F348))"),"#N/A")</f>
        <v>#N/A</v>
      </c>
    </row>
    <row r="349">
      <c r="A349" s="4"/>
      <c r="C349" s="4" t="s">
        <v>1079</v>
      </c>
      <c r="D349" s="4" t="str">
        <f t="shared" si="1"/>
        <v>{"valorA":"deste","valorB":1.0}</v>
      </c>
      <c r="E349" s="8" t="str">
        <f t="shared" si="2"/>
        <v>deste</v>
      </c>
      <c r="F349" s="8"/>
      <c r="G349" s="8" t="str">
        <f t="shared" si="3"/>
        <v>1.0</v>
      </c>
      <c r="H349" s="9">
        <f t="shared" si="4"/>
        <v>1</v>
      </c>
      <c r="I349" s="6" t="str">
        <f>IFERROR(__xludf.DUMMYFUNCTION("MAX(FILTER($H:$H,$E:$E=F349))"),"#N/A")</f>
        <v>#N/A</v>
      </c>
    </row>
    <row r="350">
      <c r="A350" s="4"/>
      <c r="C350" s="4" t="s">
        <v>432</v>
      </c>
      <c r="D350" s="4" t="str">
        <f t="shared" si="1"/>
        <v>{"valorA":"muito","valorB":15.0}</v>
      </c>
      <c r="E350" s="8" t="str">
        <f t="shared" si="2"/>
        <v>muito</v>
      </c>
      <c r="F350" s="8"/>
      <c r="G350" s="8" t="str">
        <f t="shared" si="3"/>
        <v>15.0</v>
      </c>
      <c r="H350" s="9">
        <f t="shared" si="4"/>
        <v>15</v>
      </c>
      <c r="I350" s="6" t="str">
        <f>IFERROR(__xludf.DUMMYFUNCTION("MAX(FILTER($H:$H,$E:$E=F350))"),"#N/A")</f>
        <v>#N/A</v>
      </c>
    </row>
    <row r="351">
      <c r="A351" s="4"/>
      <c r="C351" s="4" t="s">
        <v>1277</v>
      </c>
      <c r="D351" s="4" t="str">
        <f t="shared" si="1"/>
        <v>{"valorA":"desse","valorB":3.0}</v>
      </c>
      <c r="E351" s="8" t="str">
        <f t="shared" si="2"/>
        <v>desse</v>
      </c>
      <c r="F351" s="8"/>
      <c r="G351" s="8" t="str">
        <f t="shared" si="3"/>
        <v>3.0</v>
      </c>
      <c r="H351" s="9">
        <f t="shared" si="4"/>
        <v>3</v>
      </c>
      <c r="I351" s="6" t="str">
        <f>IFERROR(__xludf.DUMMYFUNCTION("MAX(FILTER($H:$H,$E:$E=F351))"),"#N/A")</f>
        <v>#N/A</v>
      </c>
    </row>
    <row r="352">
      <c r="A352" s="4"/>
      <c r="C352" s="4" t="s">
        <v>837</v>
      </c>
      <c r="D352" s="4" t="str">
        <f t="shared" si="1"/>
        <v>{"valorA":"preçoqualidade","valorB":1.0}</v>
      </c>
      <c r="E352" s="8" t="str">
        <f t="shared" si="2"/>
        <v>preçoqualidade</v>
      </c>
      <c r="F352" s="8"/>
      <c r="G352" s="8" t="str">
        <f t="shared" si="3"/>
        <v>1.0</v>
      </c>
      <c r="H352" s="9">
        <f t="shared" si="4"/>
        <v>1</v>
      </c>
      <c r="I352" s="6" t="str">
        <f>IFERROR(__xludf.DUMMYFUNCTION("MAX(FILTER($H:$H,$E:$E=F352))"),"#N/A")</f>
        <v>#N/A</v>
      </c>
    </row>
    <row r="353">
      <c r="A353" s="4"/>
      <c r="C353" s="4" t="s">
        <v>769</v>
      </c>
      <c r="D353" s="4" t="str">
        <f t="shared" si="1"/>
        <v>{"valorA":"para","valorB":14.0}</v>
      </c>
      <c r="E353" s="8" t="str">
        <f t="shared" si="2"/>
        <v>para</v>
      </c>
      <c r="F353" s="8"/>
      <c r="G353" s="8" t="str">
        <f t="shared" si="3"/>
        <v>14.0</v>
      </c>
      <c r="H353" s="9">
        <f t="shared" si="4"/>
        <v>14</v>
      </c>
      <c r="I353" s="6" t="str">
        <f>IFERROR(__xludf.DUMMYFUNCTION("MAX(FILTER($H:$H,$E:$E=F353))"),"#N/A")</f>
        <v>#N/A</v>
      </c>
    </row>
    <row r="354">
      <c r="A354" s="4"/>
      <c r="C354" s="4" t="s">
        <v>5506</v>
      </c>
      <c r="D354" s="4" t="str">
        <f t="shared" si="1"/>
        <v>{"valorA":"em","valorB":2.0}</v>
      </c>
      <c r="E354" s="8" t="str">
        <f t="shared" si="2"/>
        <v>em</v>
      </c>
      <c r="F354" s="8"/>
      <c r="G354" s="8" t="str">
        <f t="shared" si="3"/>
        <v>2.0</v>
      </c>
      <c r="H354" s="9">
        <f t="shared" si="4"/>
        <v>2</v>
      </c>
      <c r="I354" s="6" t="str">
        <f>IFERROR(__xludf.DUMMYFUNCTION("MAX(FILTER($H:$H,$E:$E=F354))"),"#N/A")</f>
        <v>#N/A</v>
      </c>
    </row>
    <row r="355">
      <c r="A355" s="4"/>
      <c r="C355" s="4" t="s">
        <v>10043</v>
      </c>
      <c r="D355" s="4" t="str">
        <f t="shared" si="1"/>
        <v>{"valorA":"comprei","valorB":7.0}</v>
      </c>
      <c r="E355" s="8" t="str">
        <f t="shared" si="2"/>
        <v>comprei</v>
      </c>
      <c r="F355" s="8"/>
      <c r="G355" s="8" t="str">
        <f t="shared" si="3"/>
        <v>7.0</v>
      </c>
      <c r="H355" s="9">
        <f t="shared" si="4"/>
        <v>7</v>
      </c>
      <c r="I355" s="6" t="str">
        <f>IFERROR(__xludf.DUMMYFUNCTION("MAX(FILTER($H:$H,$E:$E=F355))"),"#N/A")</f>
        <v>#N/A</v>
      </c>
    </row>
    <row r="356">
      <c r="A356" s="4"/>
      <c r="C356" s="4" t="s">
        <v>1602</v>
      </c>
      <c r="D356" s="4" t="str">
        <f t="shared" si="1"/>
        <v>{"valorA":"ótima","valorB":9.0}</v>
      </c>
      <c r="E356" s="8" t="str">
        <f t="shared" si="2"/>
        <v>ótima</v>
      </c>
      <c r="F356" s="8"/>
      <c r="G356" s="8" t="str">
        <f t="shared" si="3"/>
        <v>9.0</v>
      </c>
      <c r="H356" s="9">
        <f t="shared" si="4"/>
        <v>9</v>
      </c>
      <c r="I356" s="6" t="str">
        <f>IFERROR(__xludf.DUMMYFUNCTION("MAX(FILTER($H:$H,$E:$E=F356))"),"#N/A")</f>
        <v>#N/A</v>
      </c>
    </row>
    <row r="357">
      <c r="A357" s="4"/>
      <c r="C357" s="4" t="s">
        <v>1129</v>
      </c>
      <c r="D357" s="4" t="str">
        <f t="shared" si="1"/>
        <v>{"valorA":"escritório","valorB":2.0}</v>
      </c>
      <c r="E357" s="8" t="str">
        <f t="shared" si="2"/>
        <v>escritório</v>
      </c>
      <c r="F357" s="8"/>
      <c r="G357" s="8" t="str">
        <f t="shared" si="3"/>
        <v>2.0</v>
      </c>
      <c r="H357" s="9">
        <f t="shared" si="4"/>
        <v>2</v>
      </c>
      <c r="I357" s="6" t="str">
        <f>IFERROR(__xludf.DUMMYFUNCTION("MAX(FILTER($H:$H,$E:$E=F357))"),"#N/A")</f>
        <v>#N/A</v>
      </c>
    </row>
    <row r="358">
      <c r="A358" s="4"/>
      <c r="C358" s="4" t="s">
        <v>615</v>
      </c>
      <c r="D358" s="4" t="str">
        <f t="shared" si="1"/>
        <v>{"valorA":"bom","valorB":1.0}</v>
      </c>
      <c r="E358" s="8" t="str">
        <f t="shared" si="2"/>
        <v>bom</v>
      </c>
      <c r="F358" s="8"/>
      <c r="G358" s="8" t="str">
        <f t="shared" si="3"/>
        <v>1.0</v>
      </c>
      <c r="H358" s="9">
        <f t="shared" si="4"/>
        <v>1</v>
      </c>
      <c r="I358" s="6" t="str">
        <f>IFERROR(__xludf.DUMMYFUNCTION("MAX(FILTER($H:$H,$E:$E=F358))"),"#N/A")</f>
        <v>#N/A</v>
      </c>
    </row>
    <row r="359">
      <c r="A359" s="4"/>
      <c r="C359" s="4" t="s">
        <v>826</v>
      </c>
      <c r="D359" s="4" t="str">
        <f t="shared" si="1"/>
        <v>{"valorA":"o","valorB":11.0}</v>
      </c>
      <c r="E359" s="8" t="str">
        <f t="shared" si="2"/>
        <v>o</v>
      </c>
      <c r="F359" s="8"/>
      <c r="G359" s="8" t="str">
        <f t="shared" si="3"/>
        <v>11.0</v>
      </c>
      <c r="H359" s="9">
        <f t="shared" si="4"/>
        <v>11</v>
      </c>
      <c r="I359" s="6" t="str">
        <f>IFERROR(__xludf.DUMMYFUNCTION("MAX(FILTER($H:$H,$E:$E=F359))"),"#N/A")</f>
        <v>#N/A</v>
      </c>
    </row>
    <row r="360">
      <c r="A360" s="4"/>
      <c r="C360" s="4" t="s">
        <v>410</v>
      </c>
      <c r="D360" s="4" t="str">
        <f t="shared" si="1"/>
        <v>{"valorA":"de","valorB":9.0}</v>
      </c>
      <c r="E360" s="8" t="str">
        <f t="shared" si="2"/>
        <v>de</v>
      </c>
      <c r="F360" s="8"/>
      <c r="G360" s="8" t="str">
        <f t="shared" si="3"/>
        <v>9.0</v>
      </c>
      <c r="H360" s="9">
        <f t="shared" si="4"/>
        <v>9</v>
      </c>
      <c r="I360" s="6" t="str">
        <f>IFERROR(__xludf.DUMMYFUNCTION("MAX(FILTER($H:$H,$E:$E=F360))"),"#N/A")</f>
        <v>#N/A</v>
      </c>
    </row>
    <row r="361">
      <c r="A361" s="4"/>
      <c r="C361" s="4" t="s">
        <v>10044</v>
      </c>
      <c r="D361" s="4" t="str">
        <f t="shared" si="1"/>
        <v>{"valorA":"extremamente","valorB":1.0}</v>
      </c>
      <c r="E361" s="8" t="str">
        <f t="shared" si="2"/>
        <v>extremamente</v>
      </c>
      <c r="F361" s="8"/>
      <c r="G361" s="8" t="str">
        <f t="shared" si="3"/>
        <v>1.0</v>
      </c>
      <c r="H361" s="9">
        <f t="shared" si="4"/>
        <v>1</v>
      </c>
      <c r="I361" s="6" t="str">
        <f>IFERROR(__xludf.DUMMYFUNCTION("MAX(FILTER($H:$H,$E:$E=F361))"),"#N/A")</f>
        <v>#N/A</v>
      </c>
    </row>
    <row r="362">
      <c r="A362" s="4"/>
      <c r="C362" s="4" t="s">
        <v>10045</v>
      </c>
      <c r="D362" s="4" t="str">
        <f t="shared" si="1"/>
        <v>{"valorA":"conveniente","valorB":2.0}</v>
      </c>
      <c r="E362" s="8" t="str">
        <f t="shared" si="2"/>
        <v>conveniente</v>
      </c>
      <c r="F362" s="8"/>
      <c r="G362" s="8" t="str">
        <f t="shared" si="3"/>
        <v>2.0</v>
      </c>
      <c r="H362" s="9">
        <f t="shared" si="4"/>
        <v>2</v>
      </c>
      <c r="I362" s="6" t="str">
        <f>IFERROR(__xludf.DUMMYFUNCTION("MAX(FILTER($H:$H,$E:$E=F362))"),"#N/A")</f>
        <v>#N/A</v>
      </c>
    </row>
    <row r="363">
      <c r="A363" s="4"/>
      <c r="C363" s="4" t="s">
        <v>10046</v>
      </c>
      <c r="D363" s="4" t="str">
        <f t="shared" si="1"/>
        <v>{"valorA":"que","valorB":11.0}</v>
      </c>
      <c r="E363" s="8" t="str">
        <f t="shared" si="2"/>
        <v>que</v>
      </c>
      <c r="F363" s="8"/>
      <c r="G363" s="8" t="str">
        <f t="shared" si="3"/>
        <v>11.0</v>
      </c>
      <c r="H363" s="9">
        <f t="shared" si="4"/>
        <v>11</v>
      </c>
      <c r="I363" s="6" t="str">
        <f>IFERROR(__xludf.DUMMYFUNCTION("MAX(FILTER($H:$H,$E:$E=F363))"),"#N/A")</f>
        <v>#N/A</v>
      </c>
    </row>
    <row r="364">
      <c r="A364" s="4"/>
      <c r="C364" s="4" t="s">
        <v>762</v>
      </c>
      <c r="D364" s="4" t="str">
        <f t="shared" si="1"/>
        <v>{"valorA":"ótimo","valorB":33.0}</v>
      </c>
      <c r="E364" s="8" t="str">
        <f t="shared" si="2"/>
        <v>ótimo</v>
      </c>
      <c r="F364" s="8"/>
      <c r="G364" s="8" t="str">
        <f t="shared" si="3"/>
        <v>33.0</v>
      </c>
      <c r="H364" s="9">
        <f t="shared" si="4"/>
        <v>33</v>
      </c>
      <c r="I364" s="6" t="str">
        <f>IFERROR(__xludf.DUMMYFUNCTION("MAX(FILTER($H:$H,$E:$E=F364))"),"#N/A")</f>
        <v>#N/A</v>
      </c>
    </row>
    <row r="365">
      <c r="A365" s="4"/>
      <c r="C365" s="4" t="s">
        <v>5536</v>
      </c>
      <c r="D365" s="4" t="str">
        <f t="shared" si="1"/>
        <v>{"valorA":"mesa","valorB":2.0}</v>
      </c>
      <c r="E365" s="8" t="str">
        <f t="shared" si="2"/>
        <v>mesa</v>
      </c>
      <c r="F365" s="8"/>
      <c r="G365" s="8" t="str">
        <f t="shared" si="3"/>
        <v>2.0</v>
      </c>
      <c r="H365" s="9">
        <f t="shared" si="4"/>
        <v>2</v>
      </c>
      <c r="I365" s="6" t="str">
        <f>IFERROR(__xludf.DUMMYFUNCTION("MAX(FILTER($H:$H,$E:$E=F365))"),"#N/A")</f>
        <v>#N/A</v>
      </c>
    </row>
    <row r="366">
      <c r="A366" s="4"/>
      <c r="C366" s="4" t="s">
        <v>449</v>
      </c>
      <c r="D366" s="4" t="str">
        <f t="shared" si="1"/>
        <v>{"valorA":"muito","valorB":16.0}</v>
      </c>
      <c r="E366" s="8" t="str">
        <f t="shared" si="2"/>
        <v>muito</v>
      </c>
      <c r="F366" s="8"/>
      <c r="G366" s="8" t="str">
        <f t="shared" si="3"/>
        <v>16.0</v>
      </c>
      <c r="H366" s="9">
        <f t="shared" si="4"/>
        <v>16</v>
      </c>
      <c r="I366" s="6" t="str">
        <f>IFERROR(__xludf.DUMMYFUNCTION("MAX(FILTER($H:$H,$E:$E=F366))"),"#N/A")</f>
        <v>#N/A</v>
      </c>
    </row>
    <row r="367">
      <c r="A367" s="4"/>
      <c r="C367" s="4" t="s">
        <v>10047</v>
      </c>
      <c r="D367" s="4" t="str">
        <f t="shared" si="1"/>
        <v>{"valorA":"casa","valorB":3.0}</v>
      </c>
      <c r="E367" s="8" t="str">
        <f t="shared" si="2"/>
        <v>casa</v>
      </c>
      <c r="F367" s="8"/>
      <c r="G367" s="8" t="str">
        <f t="shared" si="3"/>
        <v>3.0</v>
      </c>
      <c r="H367" s="9">
        <f t="shared" si="4"/>
        <v>3</v>
      </c>
      <c r="I367" s="6" t="str">
        <f>IFERROR(__xludf.DUMMYFUNCTION("MAX(FILTER($H:$H,$E:$E=F367))"),"#N/A")</f>
        <v>#N/A</v>
      </c>
    </row>
    <row r="368">
      <c r="A368" s="4"/>
      <c r="C368" s="4" t="s">
        <v>1567</v>
      </c>
      <c r="D368" s="4" t="str">
        <f t="shared" si="1"/>
        <v>{"valorA":"hoje","valorB":1.0}</v>
      </c>
      <c r="E368" s="8" t="str">
        <f t="shared" si="2"/>
        <v>hoje</v>
      </c>
      <c r="F368" s="8"/>
      <c r="G368" s="8" t="str">
        <f t="shared" si="3"/>
        <v>1.0</v>
      </c>
      <c r="H368" s="9">
        <f t="shared" si="4"/>
        <v>1</v>
      </c>
      <c r="I368" s="6" t="str">
        <f>IFERROR(__xludf.DUMMYFUNCTION("MAX(FILTER($H:$H,$E:$E=F368))"),"#N/A")</f>
        <v>#N/A</v>
      </c>
    </row>
    <row r="369">
      <c r="A369" s="4"/>
      <c r="C369" s="4" t="s">
        <v>5533</v>
      </c>
      <c r="D369" s="4" t="str">
        <f t="shared" si="1"/>
        <v>{"valorA":"trabalhar","valorB":2.0}</v>
      </c>
      <c r="E369" s="8" t="str">
        <f t="shared" si="2"/>
        <v>trabalhar</v>
      </c>
      <c r="F369" s="8"/>
      <c r="G369" s="8" t="str">
        <f t="shared" si="3"/>
        <v>2.0</v>
      </c>
      <c r="H369" s="9">
        <f t="shared" si="4"/>
        <v>2</v>
      </c>
      <c r="I369" s="6" t="str">
        <f>IFERROR(__xludf.DUMMYFUNCTION("MAX(FILTER($H:$H,$E:$E=F369))"),"#N/A")</f>
        <v>#N/A</v>
      </c>
    </row>
    <row r="370">
      <c r="A370" s="4"/>
      <c r="C370" s="4" t="s">
        <v>10048</v>
      </c>
      <c r="D370" s="4" t="str">
        <f t="shared" si="1"/>
        <v>{"valorA":"coment","valorB":3.0}</v>
      </c>
      <c r="E370" s="8" t="str">
        <f t="shared" si="2"/>
        <v>coment</v>
      </c>
      <c r="F370" s="8"/>
      <c r="G370" s="8" t="str">
        <f t="shared" si="3"/>
        <v>3.0</v>
      </c>
      <c r="H370" s="9">
        <f t="shared" si="4"/>
        <v>3</v>
      </c>
      <c r="I370" s="6" t="str">
        <f>IFERROR(__xludf.DUMMYFUNCTION("MAX(FILTER($H:$H,$E:$E=F370))"),"#N/A")</f>
        <v>#N/A</v>
      </c>
    </row>
    <row r="371">
      <c r="A371" s="4"/>
      <c r="C371" s="4" t="s">
        <v>1150</v>
      </c>
      <c r="D371" s="4" t="str">
        <f t="shared" si="1"/>
        <v>{"valorA":"com","valorB":11.0}</v>
      </c>
      <c r="E371" s="8" t="str">
        <f t="shared" si="2"/>
        <v>com</v>
      </c>
      <c r="F371" s="8"/>
      <c r="G371" s="8" t="str">
        <f t="shared" si="3"/>
        <v>11.0</v>
      </c>
      <c r="H371" s="9">
        <f t="shared" si="4"/>
        <v>11</v>
      </c>
      <c r="I371" s="6" t="str">
        <f>IFERROR(__xludf.DUMMYFUNCTION("MAX(FILTER($H:$H,$E:$E=F371))"),"#N/A")</f>
        <v>#N/A</v>
      </c>
    </row>
    <row r="372">
      <c r="A372" s="4"/>
      <c r="C372" s="4" t="s">
        <v>10049</v>
      </c>
      <c r="D372" s="4" t="str">
        <f t="shared" si="1"/>
        <v>{"valorA":"modelo","valorB":5.0}</v>
      </c>
      <c r="E372" s="8" t="str">
        <f t="shared" si="2"/>
        <v>modelo</v>
      </c>
      <c r="F372" s="8"/>
      <c r="G372" s="8" t="str">
        <f t="shared" si="3"/>
        <v>5.0</v>
      </c>
      <c r="H372" s="9">
        <f t="shared" si="4"/>
        <v>5</v>
      </c>
      <c r="I372" s="6" t="str">
        <f>IFERROR(__xludf.DUMMYFUNCTION("MAX(FILTER($H:$H,$E:$E=F372))"),"#N/A")</f>
        <v>#N/A</v>
      </c>
    </row>
    <row r="373">
      <c r="A373" s="4"/>
      <c r="C373" s="4" t="s">
        <v>5484</v>
      </c>
      <c r="D373" s="4" t="str">
        <f t="shared" si="1"/>
        <v>{"valorA":"aconselho","valorB":1.0}</v>
      </c>
      <c r="E373" s="8" t="str">
        <f t="shared" si="2"/>
        <v>aconselho</v>
      </c>
      <c r="F373" s="8"/>
      <c r="G373" s="8" t="str">
        <f t="shared" si="3"/>
        <v>1.0</v>
      </c>
      <c r="H373" s="9">
        <f t="shared" si="4"/>
        <v>1</v>
      </c>
      <c r="I373" s="6" t="str">
        <f>IFERROR(__xludf.DUMMYFUNCTION("MAX(FILTER($H:$H,$E:$E=F373))"),"#N/A")</f>
        <v>#N/A</v>
      </c>
    </row>
    <row r="374">
      <c r="A374" s="4"/>
      <c r="C374" s="4" t="s">
        <v>1115</v>
      </c>
      <c r="D374" s="4" t="str">
        <f t="shared" si="1"/>
        <v>{"valorA":"dia","valorB":2.0}</v>
      </c>
      <c r="E374" s="8" t="str">
        <f t="shared" si="2"/>
        <v>dia</v>
      </c>
      <c r="F374" s="8"/>
      <c r="G374" s="8" t="str">
        <f t="shared" si="3"/>
        <v>2.0</v>
      </c>
      <c r="H374" s="9">
        <f t="shared" si="4"/>
        <v>2</v>
      </c>
      <c r="I374" s="6" t="str">
        <f>IFERROR(__xludf.DUMMYFUNCTION("MAX(FILTER($H:$H,$E:$E=F374))"),"#N/A")</f>
        <v>#N/A</v>
      </c>
    </row>
    <row r="375">
      <c r="A375" s="4"/>
      <c r="C375" s="4" t="s">
        <v>1619</v>
      </c>
      <c r="D375" s="4" t="str">
        <f t="shared" si="1"/>
        <v>{"valorA":"ótima","valorB":10.0}</v>
      </c>
      <c r="E375" s="8" t="str">
        <f t="shared" si="2"/>
        <v>ótima</v>
      </c>
      <c r="F375" s="8"/>
      <c r="G375" s="8" t="str">
        <f t="shared" si="3"/>
        <v>10.0</v>
      </c>
      <c r="H375" s="9">
        <f t="shared" si="4"/>
        <v>10</v>
      </c>
      <c r="I375" s="6" t="str">
        <f>IFERROR(__xludf.DUMMYFUNCTION("MAX(FILTER($H:$H,$E:$E=F375))"),"#N/A")</f>
        <v>#N/A</v>
      </c>
    </row>
    <row r="376">
      <c r="A376" s="4"/>
      <c r="C376" s="4" t="s">
        <v>825</v>
      </c>
      <c r="D376" s="4" t="str">
        <f t="shared" si="1"/>
        <v>{"valorA":"bem","valorB":9.0}</v>
      </c>
      <c r="E376" s="8" t="str">
        <f t="shared" si="2"/>
        <v>bem</v>
      </c>
      <c r="F376" s="8"/>
      <c r="G376" s="8" t="str">
        <f t="shared" si="3"/>
        <v>9.0</v>
      </c>
      <c r="H376" s="9">
        <f t="shared" si="4"/>
        <v>9</v>
      </c>
      <c r="I376" s="6" t="str">
        <f>IFERROR(__xludf.DUMMYFUNCTION("MAX(FILTER($H:$H,$E:$E=F376))"),"#N/A")</f>
        <v>#N/A</v>
      </c>
    </row>
    <row r="377">
      <c r="A377" s="4"/>
      <c r="C377" s="4" t="s">
        <v>5576</v>
      </c>
      <c r="D377" s="4" t="str">
        <f t="shared" si="1"/>
        <v>{"valorA":"vantagem","valorB":1.0}</v>
      </c>
      <c r="E377" s="8" t="str">
        <f t="shared" si="2"/>
        <v>vantagem</v>
      </c>
      <c r="F377" s="8"/>
      <c r="G377" s="8" t="str">
        <f t="shared" si="3"/>
        <v>1.0</v>
      </c>
      <c r="H377" s="9">
        <f t="shared" si="4"/>
        <v>1</v>
      </c>
      <c r="I377" s="6" t="str">
        <f>IFERROR(__xludf.DUMMYFUNCTION("MAX(FILTER($H:$H,$E:$E=F377))"),"#N/A")</f>
        <v>#N/A</v>
      </c>
    </row>
    <row r="378">
      <c r="A378" s="4"/>
      <c r="C378" s="4" t="s">
        <v>666</v>
      </c>
      <c r="D378" s="4" t="str">
        <f t="shared" si="1"/>
        <v>{"valorA":"e","valorB":7.0}</v>
      </c>
      <c r="E378" s="8" t="str">
        <f t="shared" si="2"/>
        <v>e</v>
      </c>
      <c r="F378" s="8"/>
      <c r="G378" s="8" t="str">
        <f t="shared" si="3"/>
        <v>7.0</v>
      </c>
      <c r="H378" s="9">
        <f t="shared" si="4"/>
        <v>7</v>
      </c>
      <c r="I378" s="6" t="str">
        <f>IFERROR(__xludf.DUMMYFUNCTION("MAX(FILTER($H:$H,$E:$E=F378))"),"#N/A")</f>
        <v>#N/A</v>
      </c>
    </row>
    <row r="379">
      <c r="A379" s="4"/>
      <c r="C379" s="4" t="s">
        <v>855</v>
      </c>
      <c r="D379" s="4" t="str">
        <f t="shared" si="1"/>
        <v>{"valorA":"o","valorB":12.0}</v>
      </c>
      <c r="E379" s="8" t="str">
        <f t="shared" si="2"/>
        <v>o</v>
      </c>
      <c r="F379" s="8"/>
      <c r="G379" s="8" t="str">
        <f t="shared" si="3"/>
        <v>12.0</v>
      </c>
      <c r="H379" s="9">
        <f t="shared" si="4"/>
        <v>12</v>
      </c>
      <c r="I379" s="6" t="str">
        <f>IFERROR(__xludf.DUMMYFUNCTION("MAX(FILTER($H:$H,$E:$E=F379))"),"#N/A")</f>
        <v>#N/A</v>
      </c>
    </row>
    <row r="380">
      <c r="A380" s="4"/>
      <c r="C380" s="4" t="s">
        <v>427</v>
      </c>
      <c r="D380" s="4" t="str">
        <f t="shared" si="1"/>
        <v>{"valorA":"de","valorB":10.0}</v>
      </c>
      <c r="E380" s="8" t="str">
        <f t="shared" si="2"/>
        <v>de</v>
      </c>
      <c r="F380" s="8"/>
      <c r="G380" s="8" t="str">
        <f t="shared" si="3"/>
        <v>10.0</v>
      </c>
      <c r="H380" s="9">
        <f t="shared" si="4"/>
        <v>10</v>
      </c>
      <c r="I380" s="6" t="str">
        <f>IFERROR(__xludf.DUMMYFUNCTION("MAX(FILTER($H:$H,$E:$E=F380))"),"#N/A")</f>
        <v>#N/A</v>
      </c>
    </row>
    <row r="381">
      <c r="A381" s="4"/>
      <c r="C381" s="4" t="s">
        <v>10050</v>
      </c>
      <c r="D381" s="4" t="str">
        <f t="shared" si="1"/>
        <v>{"valorA":"certo","valorB":1.0}</v>
      </c>
      <c r="E381" s="8" t="str">
        <f t="shared" si="2"/>
        <v>certo</v>
      </c>
      <c r="F381" s="8"/>
      <c r="G381" s="8" t="str">
        <f t="shared" si="3"/>
        <v>1.0</v>
      </c>
      <c r="H381" s="9">
        <f t="shared" si="4"/>
        <v>1</v>
      </c>
      <c r="I381" s="6" t="str">
        <f>IFERROR(__xludf.DUMMYFUNCTION("MAX(FILTER($H:$H,$E:$E=F381))"),"#N/A")</f>
        <v>#N/A</v>
      </c>
    </row>
    <row r="382">
      <c r="A382" s="4"/>
      <c r="C382" s="4" t="s">
        <v>1157</v>
      </c>
      <c r="D382" s="4" t="str">
        <f t="shared" si="1"/>
        <v>{"valorA":"desde","valorB":5.0}</v>
      </c>
      <c r="E382" s="8" t="str">
        <f t="shared" si="2"/>
        <v>desde</v>
      </c>
      <c r="F382" s="8"/>
      <c r="G382" s="8" t="str">
        <f t="shared" si="3"/>
        <v>5.0</v>
      </c>
      <c r="H382" s="9">
        <f t="shared" si="4"/>
        <v>5</v>
      </c>
      <c r="I382" s="6" t="str">
        <f>IFERROR(__xludf.DUMMYFUNCTION("MAX(FILTER($H:$H,$E:$E=F382))"),"#N/A")</f>
        <v>#N/A</v>
      </c>
    </row>
    <row r="383">
      <c r="A383" s="4"/>
      <c r="C383" s="4" t="s">
        <v>394</v>
      </c>
      <c r="D383" s="4" t="str">
        <f t="shared" si="1"/>
        <v>{"valorA":"ótimo","valorB":34.0}</v>
      </c>
      <c r="E383" s="8" t="str">
        <f t="shared" si="2"/>
        <v>ótimo</v>
      </c>
      <c r="F383" s="8"/>
      <c r="G383" s="8" t="str">
        <f t="shared" si="3"/>
        <v>34.0</v>
      </c>
      <c r="H383" s="9">
        <f t="shared" si="4"/>
        <v>34</v>
      </c>
      <c r="I383" s="6" t="str">
        <f>IFERROR(__xludf.DUMMYFUNCTION("MAX(FILTER($H:$H,$E:$E=F383))"),"#N/A")</f>
        <v>#N/A</v>
      </c>
    </row>
    <row r="384">
      <c r="A384" s="4"/>
      <c r="C384" s="4" t="s">
        <v>1323</v>
      </c>
      <c r="D384" s="4" t="str">
        <f t="shared" si="1"/>
        <v>{"valorA":"muito","valorB":17.0}</v>
      </c>
      <c r="E384" s="8" t="str">
        <f t="shared" si="2"/>
        <v>muito</v>
      </c>
      <c r="F384" s="8"/>
      <c r="G384" s="8" t="str">
        <f t="shared" si="3"/>
        <v>17.0</v>
      </c>
      <c r="H384" s="9">
        <f t="shared" si="4"/>
        <v>17</v>
      </c>
      <c r="I384" s="6" t="str">
        <f>IFERROR(__xludf.DUMMYFUNCTION("MAX(FILTER($H:$H,$E:$E=F384))"),"#N/A")</f>
        <v>#N/A</v>
      </c>
    </row>
    <row r="385">
      <c r="A385" s="4"/>
      <c r="C385" s="4" t="s">
        <v>341</v>
      </c>
      <c r="D385" s="4" t="str">
        <f t="shared" si="1"/>
        <v>{"valorA":"compra","valorB":2.0}</v>
      </c>
      <c r="E385" s="8" t="str">
        <f t="shared" si="2"/>
        <v>compra</v>
      </c>
      <c r="F385" s="8"/>
      <c r="G385" s="8" t="str">
        <f t="shared" si="3"/>
        <v>2.0</v>
      </c>
      <c r="H385" s="9">
        <f t="shared" si="4"/>
        <v>2</v>
      </c>
      <c r="I385" s="6" t="str">
        <f>IFERROR(__xludf.DUMMYFUNCTION("MAX(FILTER($H:$H,$E:$E=F385))"),"#N/A")</f>
        <v>#N/A</v>
      </c>
    </row>
    <row r="386">
      <c r="A386" s="4"/>
      <c r="C386" s="4" t="s">
        <v>10051</v>
      </c>
      <c r="D386" s="4" t="str">
        <f t="shared" si="1"/>
        <v>{"valorA":"caldeira","valorB":1.0}</v>
      </c>
      <c r="E386" s="8" t="str">
        <f t="shared" si="2"/>
        <v>caldeira</v>
      </c>
      <c r="F386" s="8"/>
      <c r="G386" s="8" t="str">
        <f t="shared" si="3"/>
        <v>1.0</v>
      </c>
      <c r="H386" s="9">
        <f t="shared" si="4"/>
        <v>1</v>
      </c>
      <c r="I386" s="6" t="str">
        <f>IFERROR(__xludf.DUMMYFUNCTION("MAX(FILTER($H:$H,$E:$E=F386))"),"#N/A")</f>
        <v>#N/A</v>
      </c>
    </row>
    <row r="387">
      <c r="A387" s="4"/>
      <c r="C387" s="4" t="s">
        <v>10052</v>
      </c>
      <c r="D387" s="4" t="str">
        <f t="shared" si="1"/>
        <v>{"valorA":"ainda","valorB":1.0}</v>
      </c>
      <c r="E387" s="8" t="str">
        <f t="shared" si="2"/>
        <v>ainda</v>
      </c>
      <c r="F387" s="8"/>
      <c r="G387" s="8" t="str">
        <f t="shared" si="3"/>
        <v>1.0</v>
      </c>
      <c r="H387" s="9">
        <f t="shared" si="4"/>
        <v>1</v>
      </c>
      <c r="I387" s="6" t="str">
        <f>IFERROR(__xludf.DUMMYFUNCTION("MAX(FILTER($H:$H,$E:$E=F387))"),"#N/A")</f>
        <v>#N/A</v>
      </c>
    </row>
    <row r="388">
      <c r="A388" s="4"/>
      <c r="C388" s="4" t="s">
        <v>10053</v>
      </c>
      <c r="D388" s="4" t="str">
        <f t="shared" si="1"/>
        <v>{"valorA":"elétrica","valorB":1.0}</v>
      </c>
      <c r="E388" s="8" t="str">
        <f t="shared" si="2"/>
        <v>elétrica</v>
      </c>
      <c r="F388" s="8"/>
      <c r="G388" s="8" t="str">
        <f t="shared" si="3"/>
        <v>1.0</v>
      </c>
      <c r="H388" s="9">
        <f t="shared" si="4"/>
        <v>1</v>
      </c>
      <c r="I388" s="6" t="str">
        <f>IFERROR(__xludf.DUMMYFUNCTION("MAX(FILTER($H:$H,$E:$E=F388))"),"#N/A")</f>
        <v>#N/A</v>
      </c>
    </row>
    <row r="389">
      <c r="A389" s="4"/>
      <c r="C389" s="4" t="s">
        <v>989</v>
      </c>
      <c r="D389" s="4" t="str">
        <f t="shared" si="1"/>
        <v>{"valorA":"tudo","valorB":1.0}</v>
      </c>
      <c r="E389" s="8" t="str">
        <f t="shared" si="2"/>
        <v>tudo</v>
      </c>
      <c r="F389" s="8"/>
      <c r="G389" s="8" t="str">
        <f t="shared" si="3"/>
        <v>1.0</v>
      </c>
      <c r="H389" s="9">
        <f t="shared" si="4"/>
        <v>1</v>
      </c>
      <c r="I389" s="6" t="str">
        <f>IFERROR(__xludf.DUMMYFUNCTION("MAX(FILTER($H:$H,$E:$E=F389))"),"#N/A")</f>
        <v>#N/A</v>
      </c>
    </row>
    <row r="390">
      <c r="A390" s="4"/>
      <c r="C390" s="4" t="s">
        <v>453</v>
      </c>
      <c r="D390" s="4" t="str">
        <f t="shared" si="1"/>
        <v>{"valorA":"funciona","valorB":11.0}</v>
      </c>
      <c r="E390" s="8" t="str">
        <f t="shared" si="2"/>
        <v>funciona</v>
      </c>
      <c r="F390" s="8"/>
      <c r="G390" s="8" t="str">
        <f t="shared" si="3"/>
        <v>11.0</v>
      </c>
      <c r="H390" s="9">
        <f t="shared" si="4"/>
        <v>11</v>
      </c>
      <c r="I390" s="6" t="str">
        <f>IFERROR(__xludf.DUMMYFUNCTION("MAX(FILTER($H:$H,$E:$E=F390))"),"#N/A")</f>
        <v>#N/A</v>
      </c>
    </row>
    <row r="391">
      <c r="A391" s="4"/>
      <c r="C391" s="4" t="s">
        <v>10054</v>
      </c>
      <c r="D391" s="4" t="str">
        <f t="shared" si="1"/>
        <v>{"valorA":"batedeira","valorB":1.0}</v>
      </c>
      <c r="E391" s="8" t="str">
        <f t="shared" si="2"/>
        <v>batedeira</v>
      </c>
      <c r="F391" s="8"/>
      <c r="G391" s="8" t="str">
        <f t="shared" si="3"/>
        <v>1.0</v>
      </c>
      <c r="H391" s="9">
        <f t="shared" si="4"/>
        <v>1</v>
      </c>
      <c r="I391" s="6" t="str">
        <f>IFERROR(__xludf.DUMMYFUNCTION("MAX(FILTER($H:$H,$E:$E=F391))"),"#N/A")</f>
        <v>#N/A</v>
      </c>
    </row>
    <row r="392">
      <c r="A392" s="4"/>
      <c r="C392" s="4" t="s">
        <v>323</v>
      </c>
      <c r="D392" s="4" t="str">
        <f t="shared" si="1"/>
        <v>{"valorA":"da","valorB":1.0}</v>
      </c>
      <c r="E392" s="8" t="str">
        <f t="shared" si="2"/>
        <v>da</v>
      </c>
      <c r="F392" s="8"/>
      <c r="G392" s="8" t="str">
        <f t="shared" si="3"/>
        <v>1.0</v>
      </c>
      <c r="H392" s="9">
        <f t="shared" si="4"/>
        <v>1</v>
      </c>
      <c r="I392" s="6" t="str">
        <f>IFERROR(__xludf.DUMMYFUNCTION("MAX(FILTER($H:$H,$E:$E=F392))"),"#N/A")</f>
        <v>#N/A</v>
      </c>
    </row>
    <row r="393">
      <c r="A393" s="4"/>
      <c r="C393" s="4" t="s">
        <v>10055</v>
      </c>
      <c r="D393" s="4" t="str">
        <f t="shared" si="1"/>
        <v>{"valorA":"modelo","valorB":6.0}</v>
      </c>
      <c r="E393" s="8" t="str">
        <f t="shared" si="2"/>
        <v>modelo</v>
      </c>
      <c r="F393" s="8"/>
      <c r="G393" s="8" t="str">
        <f t="shared" si="3"/>
        <v>6.0</v>
      </c>
      <c r="H393" s="9">
        <f t="shared" si="4"/>
        <v>6</v>
      </c>
      <c r="I393" s="6" t="str">
        <f>IFERROR(__xludf.DUMMYFUNCTION("MAX(FILTER($H:$H,$E:$E=F393))"),"#N/A")</f>
        <v>#N/A</v>
      </c>
    </row>
    <row r="394">
      <c r="A394" s="4"/>
      <c r="C394" s="4" t="s">
        <v>1184</v>
      </c>
      <c r="D394" s="4" t="str">
        <f t="shared" si="1"/>
        <v>{"valorA":"refrigerador","valorB":2.0}</v>
      </c>
      <c r="E394" s="8" t="str">
        <f t="shared" si="2"/>
        <v>refrigerador</v>
      </c>
      <c r="F394" s="8"/>
      <c r="G394" s="8" t="str">
        <f t="shared" si="3"/>
        <v>2.0</v>
      </c>
      <c r="H394" s="9">
        <f t="shared" si="4"/>
        <v>2</v>
      </c>
      <c r="I394" s="6" t="str">
        <f>IFERROR(__xludf.DUMMYFUNCTION("MAX(FILTER($H:$H,$E:$E=F394))"),"#N/A")</f>
        <v>#N/A</v>
      </c>
    </row>
    <row r="395">
      <c r="A395" s="4"/>
      <c r="C395" s="4" t="s">
        <v>441</v>
      </c>
      <c r="D395" s="4" t="str">
        <f t="shared" si="1"/>
        <v>{"valorA":"de","valorB":11.0}</v>
      </c>
      <c r="E395" s="8" t="str">
        <f t="shared" si="2"/>
        <v>de</v>
      </c>
      <c r="F395" s="8"/>
      <c r="G395" s="8" t="str">
        <f t="shared" si="3"/>
        <v>11.0</v>
      </c>
      <c r="H395" s="9">
        <f t="shared" si="4"/>
        <v>11</v>
      </c>
      <c r="I395" s="6" t="str">
        <f>IFERROR(__xludf.DUMMYFUNCTION("MAX(FILTER($H:$H,$E:$E=F395))"),"#N/A")</f>
        <v>#N/A</v>
      </c>
    </row>
    <row r="396">
      <c r="A396" s="4"/>
      <c r="C396" s="4" t="s">
        <v>1012</v>
      </c>
      <c r="D396" s="4" t="str">
        <f t="shared" si="1"/>
        <v>{"valorA":"limpar","valorB":2.0}</v>
      </c>
      <c r="E396" s="8" t="str">
        <f t="shared" si="2"/>
        <v>limpar</v>
      </c>
      <c r="F396" s="8"/>
      <c r="G396" s="8" t="str">
        <f t="shared" si="3"/>
        <v>2.0</v>
      </c>
      <c r="H396" s="9">
        <f t="shared" si="4"/>
        <v>2</v>
      </c>
      <c r="I396" s="6" t="str">
        <f>IFERROR(__xludf.DUMMYFUNCTION("MAX(FILTER($H:$H,$E:$E=F396))"),"#N/A")</f>
        <v>#N/A</v>
      </c>
    </row>
    <row r="397">
      <c r="A397" s="4"/>
      <c r="C397" s="4" t="s">
        <v>768</v>
      </c>
      <c r="D397" s="4" t="str">
        <f t="shared" si="1"/>
        <v>{"valorA":"ótimo","valorB":35.0}</v>
      </c>
      <c r="E397" s="8" t="str">
        <f t="shared" si="2"/>
        <v>ótimo</v>
      </c>
      <c r="F397" s="8"/>
      <c r="G397" s="8" t="str">
        <f t="shared" si="3"/>
        <v>35.0</v>
      </c>
      <c r="H397" s="9">
        <f t="shared" si="4"/>
        <v>35</v>
      </c>
      <c r="I397" s="6" t="str">
        <f>IFERROR(__xludf.DUMMYFUNCTION("MAX(FILTER($H:$H,$E:$E=F397))"),"#N/A")</f>
        <v>#N/A</v>
      </c>
    </row>
    <row r="398">
      <c r="A398" s="4"/>
      <c r="C398" s="4" t="s">
        <v>431</v>
      </c>
      <c r="D398" s="4" t="str">
        <f t="shared" si="1"/>
        <v>{"valorA":"fácil","valorB":3.0}</v>
      </c>
      <c r="E398" s="8" t="str">
        <f t="shared" si="2"/>
        <v>fácil</v>
      </c>
      <c r="F398" s="8"/>
      <c r="G398" s="8" t="str">
        <f t="shared" si="3"/>
        <v>3.0</v>
      </c>
      <c r="H398" s="9">
        <f t="shared" si="4"/>
        <v>3</v>
      </c>
      <c r="I398" s="6" t="str">
        <f>IFERROR(__xludf.DUMMYFUNCTION("MAX(FILTER($H:$H,$E:$E=F398))"),"#N/A")</f>
        <v>#N/A</v>
      </c>
    </row>
    <row r="399">
      <c r="A399" s="4"/>
      <c r="C399" s="4" t="s">
        <v>1314</v>
      </c>
      <c r="D399" s="4" t="str">
        <f t="shared" si="1"/>
        <v>{"valorA":"desse","valorB":4.0}</v>
      </c>
      <c r="E399" s="8" t="str">
        <f t="shared" si="2"/>
        <v>desse</v>
      </c>
      <c r="F399" s="8"/>
      <c r="G399" s="8" t="str">
        <f t="shared" si="3"/>
        <v>4.0</v>
      </c>
      <c r="H399" s="9">
        <f t="shared" si="4"/>
        <v>4</v>
      </c>
      <c r="I399" s="6" t="str">
        <f>IFERROR(__xludf.DUMMYFUNCTION("MAX(FILTER($H:$H,$E:$E=F399))"),"#N/A")</f>
        <v>#N/A</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 t="s">
        <v>32</v>
      </c>
      <c r="B1" s="7" t="s">
        <v>8667</v>
      </c>
      <c r="C1" s="5" t="s">
        <v>8668</v>
      </c>
      <c r="D1" s="5" t="s">
        <v>8669</v>
      </c>
      <c r="F1" s="5"/>
      <c r="G1" s="22" t="s">
        <v>8670</v>
      </c>
      <c r="H1" s="23"/>
      <c r="J1" s="22" t="s">
        <v>8671</v>
      </c>
      <c r="K1" s="23"/>
      <c r="M1" s="22" t="s">
        <v>8672</v>
      </c>
      <c r="N1" s="23"/>
    </row>
    <row r="2">
      <c r="A2" s="4" t="s">
        <v>10056</v>
      </c>
      <c r="B2" s="10">
        <f t="shared" ref="B2:B399" si="1">VALUE(SUBSTITUTE(MID(A2,FIND("CPU usage is:",A2)+13,FIND("RAM memory",A2)-FIND("CPU usage is:",A2)-13),".",","))</f>
        <v>100</v>
      </c>
      <c r="C2" s="6">
        <f t="shared" ref="C2:C399" si="2">VALUE(SUBSTITUTE(SUBSTITUTE(MID(A2,FIND("RAM memory % used:",A2)+18,9),"RAM",""),".",","))</f>
        <v>96.9</v>
      </c>
      <c r="D2" s="6">
        <f t="shared" ref="D2:D399" si="3">VALUE(SUBSTITUTE(SUBSTITUTE(MID(A2,FIND("RAM Used (GB):",A2)+14,9),"RAM",""),".",","))</f>
        <v>16.512491</v>
      </c>
      <c r="G2" s="25" t="s">
        <v>4013</v>
      </c>
      <c r="H2" s="25" t="s">
        <v>4247</v>
      </c>
      <c r="J2" s="25" t="s">
        <v>4013</v>
      </c>
      <c r="K2" s="25" t="s">
        <v>4247</v>
      </c>
      <c r="M2" s="25" t="s">
        <v>4013</v>
      </c>
      <c r="N2" s="25" t="s">
        <v>4247</v>
      </c>
    </row>
    <row r="3">
      <c r="A3" s="4" t="s">
        <v>10057</v>
      </c>
      <c r="B3" s="10">
        <f t="shared" si="1"/>
        <v>0</v>
      </c>
      <c r="C3" s="6">
        <f t="shared" si="2"/>
        <v>96.6</v>
      </c>
      <c r="D3" s="6">
        <f t="shared" si="3"/>
        <v>16.455454</v>
      </c>
      <c r="G3" s="28">
        <f>AVERAGE(B2:B399)</f>
        <v>70.18417085</v>
      </c>
      <c r="H3" s="20">
        <f>STDEV(B2:B399)</f>
        <v>45.74139856</v>
      </c>
      <c r="J3" s="20">
        <f>AVERAGE(C2:C399)</f>
        <v>91.34422111</v>
      </c>
      <c r="K3" s="20">
        <f>STDEV(C2:C399)</f>
        <v>6.253531337</v>
      </c>
      <c r="M3" s="20">
        <f>AVERAGE(D2:D399)</f>
        <v>15.56602715</v>
      </c>
      <c r="N3" s="20">
        <f>STDEV(D2:D399)</f>
        <v>1.06552445</v>
      </c>
    </row>
    <row r="4">
      <c r="A4" s="4" t="s">
        <v>10058</v>
      </c>
      <c r="B4" s="10">
        <f t="shared" si="1"/>
        <v>100</v>
      </c>
      <c r="C4" s="6">
        <f t="shared" si="2"/>
        <v>97.7</v>
      </c>
      <c r="D4" s="6">
        <f t="shared" si="3"/>
        <v>16.651972</v>
      </c>
    </row>
    <row r="5">
      <c r="A5" s="4" t="s">
        <v>10059</v>
      </c>
      <c r="B5" s="10">
        <f t="shared" si="1"/>
        <v>100</v>
      </c>
      <c r="C5" s="6">
        <f t="shared" si="2"/>
        <v>95.8</v>
      </c>
      <c r="D5" s="6">
        <f t="shared" si="3"/>
        <v>16.320442</v>
      </c>
    </row>
    <row r="6">
      <c r="A6" s="4" t="s">
        <v>10060</v>
      </c>
      <c r="B6" s="10">
        <f t="shared" si="1"/>
        <v>0</v>
      </c>
      <c r="C6" s="6">
        <f t="shared" si="2"/>
        <v>95.8</v>
      </c>
      <c r="D6" s="6">
        <f t="shared" si="3"/>
        <v>16.332427</v>
      </c>
    </row>
    <row r="7">
      <c r="A7" s="4" t="s">
        <v>10061</v>
      </c>
      <c r="B7" s="10">
        <f t="shared" si="1"/>
        <v>100</v>
      </c>
      <c r="C7" s="6">
        <f t="shared" si="2"/>
        <v>95.7</v>
      </c>
      <c r="D7" s="6">
        <f t="shared" si="3"/>
        <v>16.304001</v>
      </c>
    </row>
    <row r="8">
      <c r="A8" s="4" t="s">
        <v>10062</v>
      </c>
      <c r="B8" s="10">
        <f t="shared" si="1"/>
        <v>0</v>
      </c>
      <c r="C8" s="6">
        <f t="shared" si="2"/>
        <v>95.6</v>
      </c>
      <c r="D8" s="6">
        <f t="shared" si="3"/>
        <v>16.29569</v>
      </c>
    </row>
    <row r="9">
      <c r="A9" s="4" t="s">
        <v>10063</v>
      </c>
      <c r="B9" s="10">
        <f t="shared" si="1"/>
        <v>100</v>
      </c>
      <c r="C9" s="6">
        <f t="shared" si="2"/>
        <v>95.6</v>
      </c>
      <c r="D9" s="6">
        <f t="shared" si="3"/>
        <v>16.285048</v>
      </c>
    </row>
    <row r="10">
      <c r="A10" s="4" t="s">
        <v>10064</v>
      </c>
      <c r="B10" s="10">
        <f t="shared" si="1"/>
        <v>0</v>
      </c>
      <c r="C10" s="6">
        <f t="shared" si="2"/>
        <v>95.6</v>
      </c>
      <c r="D10" s="6">
        <f t="shared" si="3"/>
        <v>16.297521</v>
      </c>
    </row>
    <row r="11">
      <c r="A11" s="4" t="s">
        <v>10065</v>
      </c>
      <c r="B11" s="10">
        <f t="shared" si="1"/>
        <v>100</v>
      </c>
      <c r="C11" s="6">
        <f t="shared" si="2"/>
        <v>97.5</v>
      </c>
      <c r="D11" s="6">
        <f t="shared" si="3"/>
        <v>16.622682</v>
      </c>
    </row>
    <row r="12">
      <c r="A12" s="4" t="s">
        <v>10066</v>
      </c>
      <c r="B12" s="10">
        <f t="shared" si="1"/>
        <v>100</v>
      </c>
      <c r="C12" s="6">
        <f t="shared" si="2"/>
        <v>95.4</v>
      </c>
      <c r="D12" s="6">
        <f t="shared" si="3"/>
        <v>16.262955</v>
      </c>
    </row>
    <row r="13">
      <c r="A13" s="4" t="s">
        <v>10067</v>
      </c>
      <c r="B13" s="10">
        <f t="shared" si="1"/>
        <v>100</v>
      </c>
      <c r="C13" s="6">
        <f t="shared" si="2"/>
        <v>95.8</v>
      </c>
      <c r="D13" s="6">
        <f t="shared" si="3"/>
        <v>16.323756</v>
      </c>
    </row>
    <row r="14">
      <c r="A14" s="4" t="s">
        <v>10068</v>
      </c>
      <c r="B14" s="10">
        <f t="shared" si="1"/>
        <v>100</v>
      </c>
      <c r="C14" s="6">
        <f t="shared" si="2"/>
        <v>97.4</v>
      </c>
      <c r="D14" s="6">
        <f t="shared" si="3"/>
        <v>16.594239</v>
      </c>
    </row>
    <row r="15">
      <c r="A15" s="4" t="s">
        <v>10069</v>
      </c>
      <c r="B15" s="10">
        <f t="shared" si="1"/>
        <v>0</v>
      </c>
      <c r="C15" s="6">
        <f t="shared" si="2"/>
        <v>94.7</v>
      </c>
      <c r="D15" s="6">
        <f t="shared" si="3"/>
        <v>16.145862</v>
      </c>
    </row>
    <row r="16">
      <c r="A16" s="4" t="s">
        <v>10070</v>
      </c>
      <c r="B16" s="10">
        <f t="shared" si="1"/>
        <v>100</v>
      </c>
      <c r="C16" s="6">
        <f t="shared" si="2"/>
        <v>95</v>
      </c>
      <c r="D16" s="6">
        <f t="shared" si="3"/>
        <v>16.184475</v>
      </c>
    </row>
    <row r="17">
      <c r="A17" s="4" t="s">
        <v>10071</v>
      </c>
      <c r="B17" s="10">
        <f t="shared" si="1"/>
        <v>100</v>
      </c>
      <c r="C17" s="6">
        <f t="shared" si="2"/>
        <v>95.4</v>
      </c>
      <c r="D17" s="6">
        <f t="shared" si="3"/>
        <v>16.258289</v>
      </c>
    </row>
    <row r="18">
      <c r="A18" s="4" t="s">
        <v>10072</v>
      </c>
      <c r="B18" s="10">
        <f t="shared" si="1"/>
        <v>0</v>
      </c>
      <c r="C18" s="6">
        <f t="shared" si="2"/>
        <v>94.7</v>
      </c>
      <c r="D18" s="6">
        <f t="shared" si="3"/>
        <v>16.13006</v>
      </c>
    </row>
    <row r="19">
      <c r="A19" s="4" t="s">
        <v>10073</v>
      </c>
      <c r="B19" s="10">
        <f t="shared" si="1"/>
        <v>100</v>
      </c>
      <c r="C19" s="6">
        <f t="shared" si="2"/>
        <v>94.6</v>
      </c>
      <c r="D19" s="6">
        <f t="shared" si="3"/>
        <v>16.126271</v>
      </c>
    </row>
    <row r="20">
      <c r="A20" s="4" t="s">
        <v>10074</v>
      </c>
      <c r="B20" s="10">
        <f t="shared" si="1"/>
        <v>100</v>
      </c>
      <c r="C20" s="6">
        <f t="shared" si="2"/>
        <v>95.6</v>
      </c>
      <c r="D20" s="6">
        <f t="shared" si="3"/>
        <v>16.298106</v>
      </c>
    </row>
    <row r="21">
      <c r="A21" s="4" t="s">
        <v>10075</v>
      </c>
      <c r="B21" s="10">
        <f t="shared" si="1"/>
        <v>0</v>
      </c>
      <c r="C21" s="6">
        <f t="shared" si="2"/>
        <v>94.6</v>
      </c>
      <c r="D21" s="6">
        <f t="shared" si="3"/>
        <v>16.115073</v>
      </c>
    </row>
    <row r="22">
      <c r="A22" s="4" t="s">
        <v>10076</v>
      </c>
      <c r="B22" s="10">
        <f t="shared" si="1"/>
        <v>100</v>
      </c>
      <c r="C22" s="6">
        <f t="shared" si="2"/>
        <v>94.6</v>
      </c>
      <c r="D22" s="6">
        <f t="shared" si="3"/>
        <v>16.11563</v>
      </c>
    </row>
    <row r="23">
      <c r="A23" s="4" t="s">
        <v>10077</v>
      </c>
      <c r="B23" s="10">
        <f t="shared" si="1"/>
        <v>100</v>
      </c>
      <c r="C23" s="6">
        <f t="shared" si="2"/>
        <v>94.5</v>
      </c>
      <c r="D23" s="6">
        <f t="shared" si="3"/>
        <v>16.097992</v>
      </c>
    </row>
    <row r="24">
      <c r="A24" s="4" t="s">
        <v>10078</v>
      </c>
      <c r="B24" s="10">
        <f t="shared" si="1"/>
        <v>100</v>
      </c>
      <c r="C24" s="6">
        <f t="shared" si="2"/>
        <v>94.6</v>
      </c>
      <c r="D24" s="6">
        <f t="shared" si="3"/>
        <v>16.119349</v>
      </c>
    </row>
    <row r="25">
      <c r="A25" s="4" t="s">
        <v>10079</v>
      </c>
      <c r="B25" s="10">
        <f t="shared" si="1"/>
        <v>100</v>
      </c>
      <c r="C25" s="6">
        <f t="shared" si="2"/>
        <v>94.6</v>
      </c>
      <c r="D25" s="6">
        <f t="shared" si="3"/>
        <v>16.11549</v>
      </c>
    </row>
    <row r="26">
      <c r="A26" s="4" t="s">
        <v>10080</v>
      </c>
      <c r="B26" s="10">
        <f t="shared" si="1"/>
        <v>0</v>
      </c>
      <c r="C26" s="6">
        <f t="shared" si="2"/>
        <v>94.5</v>
      </c>
      <c r="D26" s="6">
        <f t="shared" si="3"/>
        <v>16.099872</v>
      </c>
    </row>
    <row r="27">
      <c r="A27" s="4" t="s">
        <v>10081</v>
      </c>
      <c r="B27" s="10">
        <f t="shared" si="1"/>
        <v>100</v>
      </c>
      <c r="C27" s="6">
        <f t="shared" si="2"/>
        <v>94.5</v>
      </c>
      <c r="D27" s="6">
        <f t="shared" si="3"/>
        <v>16.107212</v>
      </c>
    </row>
    <row r="28">
      <c r="A28" s="4" t="s">
        <v>10082</v>
      </c>
      <c r="B28" s="10">
        <f t="shared" si="1"/>
        <v>0</v>
      </c>
      <c r="C28" s="6">
        <f t="shared" si="2"/>
        <v>94.6</v>
      </c>
      <c r="D28" s="6">
        <f t="shared" si="3"/>
        <v>16.114716</v>
      </c>
    </row>
    <row r="29">
      <c r="A29" s="4" t="s">
        <v>10083</v>
      </c>
      <c r="B29" s="10">
        <f t="shared" si="1"/>
        <v>100</v>
      </c>
      <c r="C29" s="6">
        <f t="shared" si="2"/>
        <v>94.1</v>
      </c>
      <c r="D29" s="6">
        <f t="shared" si="3"/>
        <v>16.034385</v>
      </c>
    </row>
    <row r="30">
      <c r="A30" s="4" t="s">
        <v>10084</v>
      </c>
      <c r="B30" s="10">
        <f t="shared" si="1"/>
        <v>100</v>
      </c>
      <c r="C30" s="6">
        <f t="shared" si="2"/>
        <v>94.1</v>
      </c>
      <c r="D30" s="6">
        <f t="shared" si="3"/>
        <v>16.034504</v>
      </c>
    </row>
    <row r="31">
      <c r="A31" s="4" t="s">
        <v>10085</v>
      </c>
      <c r="B31" s="10">
        <f t="shared" si="1"/>
        <v>100</v>
      </c>
      <c r="C31" s="6">
        <f t="shared" si="2"/>
        <v>94</v>
      </c>
      <c r="D31" s="6">
        <f t="shared" si="3"/>
        <v>16.02145</v>
      </c>
    </row>
    <row r="32">
      <c r="A32" s="4" t="s">
        <v>10086</v>
      </c>
      <c r="B32" s="10">
        <f t="shared" si="1"/>
        <v>100</v>
      </c>
      <c r="C32" s="6">
        <f t="shared" si="2"/>
        <v>94</v>
      </c>
      <c r="D32" s="6">
        <f t="shared" si="3"/>
        <v>16.019804</v>
      </c>
    </row>
    <row r="33">
      <c r="A33" s="4" t="s">
        <v>10087</v>
      </c>
      <c r="B33" s="10">
        <f t="shared" si="1"/>
        <v>100</v>
      </c>
      <c r="C33" s="6">
        <f t="shared" si="2"/>
        <v>94.1</v>
      </c>
      <c r="D33" s="6">
        <f t="shared" si="3"/>
        <v>16.039837</v>
      </c>
    </row>
    <row r="34">
      <c r="A34" s="4" t="s">
        <v>10088</v>
      </c>
      <c r="B34" s="10">
        <f t="shared" si="1"/>
        <v>0</v>
      </c>
      <c r="C34" s="6">
        <f t="shared" si="2"/>
        <v>93.8</v>
      </c>
      <c r="D34" s="6">
        <f t="shared" si="3"/>
        <v>15.984832</v>
      </c>
    </row>
    <row r="35">
      <c r="A35" s="4" t="s">
        <v>10089</v>
      </c>
      <c r="B35" s="10">
        <f t="shared" si="1"/>
        <v>100</v>
      </c>
      <c r="C35" s="6">
        <f t="shared" si="2"/>
        <v>93.7</v>
      </c>
      <c r="D35" s="6">
        <f t="shared" si="3"/>
        <v>15.961858</v>
      </c>
    </row>
    <row r="36">
      <c r="A36" s="4" t="s">
        <v>10090</v>
      </c>
      <c r="B36" s="10">
        <f t="shared" si="1"/>
        <v>100</v>
      </c>
      <c r="C36" s="6">
        <f t="shared" si="2"/>
        <v>93.7</v>
      </c>
      <c r="D36" s="6">
        <f t="shared" si="3"/>
        <v>15.959269</v>
      </c>
    </row>
    <row r="37">
      <c r="A37" s="4" t="s">
        <v>10091</v>
      </c>
      <c r="B37" s="10">
        <f t="shared" si="1"/>
        <v>100</v>
      </c>
      <c r="C37" s="6">
        <f t="shared" si="2"/>
        <v>93.5</v>
      </c>
      <c r="D37" s="6">
        <f t="shared" si="3"/>
        <v>15.938404</v>
      </c>
    </row>
    <row r="38">
      <c r="A38" s="4" t="s">
        <v>10092</v>
      </c>
      <c r="B38" s="10">
        <f t="shared" si="1"/>
        <v>0</v>
      </c>
      <c r="C38" s="6">
        <f t="shared" si="2"/>
        <v>92.5</v>
      </c>
      <c r="D38" s="6">
        <f t="shared" si="3"/>
        <v>15.763369</v>
      </c>
    </row>
    <row r="39">
      <c r="A39" s="4" t="s">
        <v>10093</v>
      </c>
      <c r="B39" s="10">
        <f t="shared" si="1"/>
        <v>100</v>
      </c>
      <c r="C39" s="6">
        <f t="shared" si="2"/>
        <v>92.2</v>
      </c>
      <c r="D39" s="6">
        <f t="shared" si="3"/>
        <v>15.714938</v>
      </c>
    </row>
    <row r="40">
      <c r="A40" s="4" t="s">
        <v>10094</v>
      </c>
      <c r="B40" s="10">
        <f t="shared" si="1"/>
        <v>100</v>
      </c>
      <c r="C40" s="6">
        <f t="shared" si="2"/>
        <v>92.4</v>
      </c>
      <c r="D40" s="6">
        <f t="shared" si="3"/>
        <v>15.739887</v>
      </c>
    </row>
    <row r="41">
      <c r="A41" s="4" t="s">
        <v>10095</v>
      </c>
      <c r="B41" s="10">
        <f t="shared" si="1"/>
        <v>100</v>
      </c>
      <c r="C41" s="6">
        <f t="shared" si="2"/>
        <v>92.4</v>
      </c>
      <c r="D41" s="6">
        <f t="shared" si="3"/>
        <v>15.750987</v>
      </c>
    </row>
    <row r="42">
      <c r="A42" s="4" t="s">
        <v>10096</v>
      </c>
      <c r="B42" s="10">
        <f t="shared" si="1"/>
        <v>0</v>
      </c>
      <c r="C42" s="6">
        <f t="shared" si="2"/>
        <v>92.5</v>
      </c>
      <c r="D42" s="6">
        <f t="shared" si="3"/>
        <v>15.762202</v>
      </c>
    </row>
    <row r="43">
      <c r="A43" s="4" t="s">
        <v>10097</v>
      </c>
      <c r="B43" s="10">
        <f t="shared" si="1"/>
        <v>100</v>
      </c>
      <c r="C43" s="6">
        <f t="shared" si="2"/>
        <v>92.4</v>
      </c>
      <c r="D43" s="6">
        <f t="shared" si="3"/>
        <v>15.751532</v>
      </c>
    </row>
    <row r="44">
      <c r="A44" s="4" t="s">
        <v>10098</v>
      </c>
      <c r="B44" s="10">
        <f t="shared" si="1"/>
        <v>0</v>
      </c>
      <c r="C44" s="6">
        <f t="shared" si="2"/>
        <v>92.4</v>
      </c>
      <c r="D44" s="6">
        <f t="shared" si="3"/>
        <v>15.744974</v>
      </c>
    </row>
    <row r="45">
      <c r="A45" s="4" t="s">
        <v>10099</v>
      </c>
      <c r="B45" s="10">
        <f t="shared" si="1"/>
        <v>100</v>
      </c>
      <c r="C45" s="6">
        <f t="shared" si="2"/>
        <v>92.4</v>
      </c>
      <c r="D45" s="6">
        <f t="shared" si="3"/>
        <v>15.744802</v>
      </c>
    </row>
    <row r="46">
      <c r="A46" s="4" t="s">
        <v>10100</v>
      </c>
      <c r="B46" s="10">
        <f t="shared" si="1"/>
        <v>100</v>
      </c>
      <c r="C46" s="6">
        <f t="shared" si="2"/>
        <v>92.3</v>
      </c>
      <c r="D46" s="6">
        <f t="shared" si="3"/>
        <v>15.730139</v>
      </c>
    </row>
    <row r="47">
      <c r="A47" s="4" t="s">
        <v>10101</v>
      </c>
      <c r="B47" s="10">
        <f t="shared" si="1"/>
        <v>100</v>
      </c>
      <c r="C47" s="6">
        <f t="shared" si="2"/>
        <v>94.5</v>
      </c>
      <c r="D47" s="6">
        <f t="shared" si="3"/>
        <v>16.103948</v>
      </c>
    </row>
    <row r="48">
      <c r="A48" s="4" t="s">
        <v>10102</v>
      </c>
      <c r="B48" s="10">
        <f t="shared" si="1"/>
        <v>100</v>
      </c>
      <c r="C48" s="6">
        <f t="shared" si="2"/>
        <v>92.3</v>
      </c>
      <c r="D48" s="6">
        <f t="shared" si="3"/>
        <v>15.734628</v>
      </c>
    </row>
    <row r="49">
      <c r="A49" s="4" t="s">
        <v>10103</v>
      </c>
      <c r="B49" s="10">
        <f t="shared" si="1"/>
        <v>100</v>
      </c>
      <c r="C49" s="6">
        <f t="shared" si="2"/>
        <v>92.3</v>
      </c>
      <c r="D49" s="6">
        <f t="shared" si="3"/>
        <v>15.727583</v>
      </c>
    </row>
    <row r="50">
      <c r="A50" s="4" t="s">
        <v>10104</v>
      </c>
      <c r="B50" s="10">
        <f t="shared" si="1"/>
        <v>100</v>
      </c>
      <c r="C50" s="6">
        <f t="shared" si="2"/>
        <v>92.3</v>
      </c>
      <c r="D50" s="6">
        <f t="shared" si="3"/>
        <v>15.725948</v>
      </c>
    </row>
    <row r="51">
      <c r="A51" s="4" t="s">
        <v>10105</v>
      </c>
      <c r="B51" s="10">
        <f t="shared" si="1"/>
        <v>100</v>
      </c>
      <c r="C51" s="6">
        <f t="shared" si="2"/>
        <v>92.6</v>
      </c>
      <c r="D51" s="6">
        <f t="shared" si="3"/>
        <v>15.782236</v>
      </c>
    </row>
    <row r="52">
      <c r="A52" s="4" t="s">
        <v>10106</v>
      </c>
      <c r="B52" s="10">
        <f t="shared" si="1"/>
        <v>100</v>
      </c>
      <c r="C52" s="6">
        <f t="shared" si="2"/>
        <v>91.8</v>
      </c>
      <c r="D52" s="6">
        <f t="shared" si="3"/>
        <v>15.644987</v>
      </c>
    </row>
    <row r="53">
      <c r="A53" s="4" t="s">
        <v>10107</v>
      </c>
      <c r="B53" s="10">
        <f t="shared" si="1"/>
        <v>0</v>
      </c>
      <c r="C53" s="6">
        <f t="shared" si="2"/>
        <v>93.9</v>
      </c>
      <c r="D53" s="6">
        <f t="shared" si="3"/>
        <v>16.010248</v>
      </c>
    </row>
    <row r="54">
      <c r="A54" s="4" t="s">
        <v>10108</v>
      </c>
      <c r="B54" s="10">
        <f t="shared" si="1"/>
        <v>0</v>
      </c>
      <c r="C54" s="6">
        <f t="shared" si="2"/>
        <v>91.6</v>
      </c>
      <c r="D54" s="6">
        <f t="shared" si="3"/>
        <v>15.611985</v>
      </c>
    </row>
    <row r="55">
      <c r="A55" s="4" t="s">
        <v>10109</v>
      </c>
      <c r="B55" s="10">
        <f t="shared" si="1"/>
        <v>100</v>
      </c>
      <c r="C55" s="6">
        <f t="shared" si="2"/>
        <v>91</v>
      </c>
      <c r="D55" s="6">
        <f t="shared" si="3"/>
        <v>15.511433</v>
      </c>
    </row>
    <row r="56">
      <c r="A56" s="4" t="s">
        <v>10110</v>
      </c>
      <c r="B56" s="10">
        <f t="shared" si="1"/>
        <v>0</v>
      </c>
      <c r="C56" s="6">
        <f t="shared" si="2"/>
        <v>91.1</v>
      </c>
      <c r="D56" s="6">
        <f t="shared" si="3"/>
        <v>15.518617</v>
      </c>
    </row>
    <row r="57">
      <c r="A57" s="4" t="s">
        <v>10111</v>
      </c>
      <c r="B57" s="10">
        <f t="shared" si="1"/>
        <v>0</v>
      </c>
      <c r="C57" s="6">
        <f t="shared" si="2"/>
        <v>91.1</v>
      </c>
      <c r="D57" s="6">
        <f t="shared" si="3"/>
        <v>15.53263</v>
      </c>
    </row>
    <row r="58">
      <c r="A58" s="4" t="s">
        <v>10112</v>
      </c>
      <c r="B58" s="10">
        <f t="shared" si="1"/>
        <v>100</v>
      </c>
      <c r="C58" s="6">
        <f t="shared" si="2"/>
        <v>91.1</v>
      </c>
      <c r="D58" s="6">
        <f t="shared" si="3"/>
        <v>15.522463</v>
      </c>
    </row>
    <row r="59">
      <c r="A59" s="4" t="s">
        <v>10113</v>
      </c>
      <c r="B59" s="10">
        <f t="shared" si="1"/>
        <v>0</v>
      </c>
      <c r="C59" s="6">
        <f t="shared" si="2"/>
        <v>91</v>
      </c>
      <c r="D59" s="6">
        <f t="shared" si="3"/>
        <v>15.502712</v>
      </c>
    </row>
    <row r="60">
      <c r="A60" s="4" t="s">
        <v>10114</v>
      </c>
      <c r="B60" s="10">
        <f t="shared" si="1"/>
        <v>0</v>
      </c>
      <c r="C60" s="6">
        <f t="shared" si="2"/>
        <v>91</v>
      </c>
      <c r="D60" s="6">
        <f t="shared" si="3"/>
        <v>15.501697</v>
      </c>
    </row>
    <row r="61">
      <c r="A61" s="4" t="s">
        <v>10115</v>
      </c>
      <c r="B61" s="10">
        <f t="shared" si="1"/>
        <v>100</v>
      </c>
      <c r="C61" s="6">
        <f t="shared" si="2"/>
        <v>90.6</v>
      </c>
      <c r="D61" s="6">
        <f t="shared" si="3"/>
        <v>15.44527</v>
      </c>
    </row>
    <row r="62">
      <c r="A62" s="4" t="s">
        <v>10116</v>
      </c>
      <c r="B62" s="10">
        <f t="shared" si="1"/>
        <v>0</v>
      </c>
      <c r="C62" s="6">
        <f t="shared" si="2"/>
        <v>90.4</v>
      </c>
      <c r="D62" s="6">
        <f t="shared" si="3"/>
        <v>15.412375</v>
      </c>
    </row>
    <row r="63">
      <c r="A63" s="4" t="s">
        <v>10117</v>
      </c>
      <c r="B63" s="10">
        <f t="shared" si="1"/>
        <v>100</v>
      </c>
      <c r="C63" s="6">
        <f t="shared" si="2"/>
        <v>91.6</v>
      </c>
      <c r="D63" s="6">
        <f t="shared" si="3"/>
        <v>15.611973</v>
      </c>
    </row>
    <row r="64">
      <c r="A64" s="4" t="s">
        <v>10118</v>
      </c>
      <c r="B64" s="10">
        <f t="shared" si="1"/>
        <v>100</v>
      </c>
      <c r="C64" s="6">
        <f t="shared" si="2"/>
        <v>89.1</v>
      </c>
      <c r="D64" s="6">
        <f t="shared" si="3"/>
        <v>15.187271</v>
      </c>
    </row>
    <row r="65">
      <c r="A65" s="4" t="s">
        <v>10119</v>
      </c>
      <c r="B65" s="10">
        <f t="shared" si="1"/>
        <v>100</v>
      </c>
      <c r="C65" s="6">
        <f t="shared" si="2"/>
        <v>89</v>
      </c>
      <c r="D65" s="6">
        <f t="shared" si="3"/>
        <v>15.168696</v>
      </c>
    </row>
    <row r="66">
      <c r="A66" s="4" t="s">
        <v>10120</v>
      </c>
      <c r="B66" s="10">
        <f t="shared" si="1"/>
        <v>100</v>
      </c>
      <c r="C66" s="6">
        <f t="shared" si="2"/>
        <v>89</v>
      </c>
      <c r="D66" s="6">
        <f t="shared" si="3"/>
        <v>15.174705</v>
      </c>
    </row>
    <row r="67">
      <c r="A67" s="4" t="s">
        <v>10121</v>
      </c>
      <c r="B67" s="10">
        <f t="shared" si="1"/>
        <v>100</v>
      </c>
      <c r="C67" s="6">
        <f t="shared" si="2"/>
        <v>89</v>
      </c>
      <c r="D67" s="6">
        <f t="shared" si="3"/>
        <v>15.171289</v>
      </c>
    </row>
    <row r="68">
      <c r="A68" s="4" t="s">
        <v>10122</v>
      </c>
      <c r="B68" s="10">
        <f t="shared" si="1"/>
        <v>0</v>
      </c>
      <c r="C68" s="6">
        <f t="shared" si="2"/>
        <v>89.2</v>
      </c>
      <c r="D68" s="6">
        <f t="shared" si="3"/>
        <v>15.202668</v>
      </c>
    </row>
    <row r="69">
      <c r="A69" s="4" t="s">
        <v>10123</v>
      </c>
      <c r="B69" s="10">
        <f t="shared" si="1"/>
        <v>0</v>
      </c>
      <c r="C69" s="6">
        <f t="shared" si="2"/>
        <v>89.2</v>
      </c>
      <c r="D69" s="6">
        <f t="shared" si="3"/>
        <v>15.199457</v>
      </c>
    </row>
    <row r="70">
      <c r="A70" s="4" t="s">
        <v>10124</v>
      </c>
      <c r="B70" s="10">
        <f t="shared" si="1"/>
        <v>100</v>
      </c>
      <c r="C70" s="6">
        <f t="shared" si="2"/>
        <v>89</v>
      </c>
      <c r="D70" s="6">
        <f t="shared" si="3"/>
        <v>15.163883</v>
      </c>
    </row>
    <row r="71">
      <c r="A71" s="4" t="s">
        <v>10125</v>
      </c>
      <c r="B71" s="10">
        <f t="shared" si="1"/>
        <v>33.3</v>
      </c>
      <c r="C71" s="6">
        <f t="shared" si="2"/>
        <v>89</v>
      </c>
      <c r="D71" s="6">
        <f t="shared" si="3"/>
        <v>15.15862</v>
      </c>
    </row>
    <row r="72">
      <c r="A72" s="4" t="s">
        <v>10126</v>
      </c>
      <c r="B72" s="10">
        <f t="shared" si="1"/>
        <v>100</v>
      </c>
      <c r="C72" s="6">
        <f t="shared" si="2"/>
        <v>89.8</v>
      </c>
      <c r="D72" s="6">
        <f t="shared" si="3"/>
        <v>15.296434</v>
      </c>
    </row>
    <row r="73">
      <c r="A73" s="4" t="s">
        <v>10127</v>
      </c>
      <c r="B73" s="10">
        <f t="shared" si="1"/>
        <v>100</v>
      </c>
      <c r="C73" s="6">
        <f t="shared" si="2"/>
        <v>89.7</v>
      </c>
      <c r="D73" s="6">
        <f t="shared" si="3"/>
        <v>15.280136</v>
      </c>
    </row>
    <row r="74">
      <c r="A74" s="4" t="s">
        <v>10128</v>
      </c>
      <c r="B74" s="10">
        <f t="shared" si="1"/>
        <v>0</v>
      </c>
      <c r="C74" s="6">
        <f t="shared" si="2"/>
        <v>89.8</v>
      </c>
      <c r="D74" s="6">
        <f t="shared" si="3"/>
        <v>15.30175</v>
      </c>
    </row>
    <row r="75">
      <c r="A75" s="4" t="s">
        <v>10129</v>
      </c>
      <c r="B75" s="10">
        <f t="shared" si="1"/>
        <v>0</v>
      </c>
      <c r="C75" s="6">
        <f t="shared" si="2"/>
        <v>89.8</v>
      </c>
      <c r="D75" s="6">
        <f t="shared" si="3"/>
        <v>15.303012</v>
      </c>
    </row>
    <row r="76">
      <c r="A76" s="4" t="s">
        <v>10130</v>
      </c>
      <c r="B76" s="10">
        <f t="shared" si="1"/>
        <v>0</v>
      </c>
      <c r="C76" s="6">
        <f t="shared" si="2"/>
        <v>90.6</v>
      </c>
      <c r="D76" s="6">
        <f t="shared" si="3"/>
        <v>15.431372</v>
      </c>
    </row>
    <row r="77">
      <c r="A77" s="4" t="s">
        <v>10131</v>
      </c>
      <c r="B77" s="10">
        <f t="shared" si="1"/>
        <v>100</v>
      </c>
      <c r="C77" s="6">
        <f t="shared" si="2"/>
        <v>91.4</v>
      </c>
      <c r="D77" s="6">
        <f t="shared" si="3"/>
        <v>15.568084</v>
      </c>
    </row>
    <row r="78">
      <c r="A78" s="4" t="s">
        <v>10132</v>
      </c>
      <c r="B78" s="10">
        <f t="shared" si="1"/>
        <v>100</v>
      </c>
      <c r="C78" s="6">
        <f t="shared" si="2"/>
        <v>91.5</v>
      </c>
      <c r="D78" s="6">
        <f t="shared" si="3"/>
        <v>15.584612</v>
      </c>
    </row>
    <row r="79">
      <c r="A79" s="4" t="s">
        <v>10133</v>
      </c>
      <c r="B79" s="10">
        <f t="shared" si="1"/>
        <v>100</v>
      </c>
      <c r="C79" s="6">
        <f t="shared" si="2"/>
        <v>91.5</v>
      </c>
      <c r="D79" s="6">
        <f t="shared" si="3"/>
        <v>15.593418</v>
      </c>
    </row>
    <row r="80">
      <c r="A80" s="4" t="s">
        <v>10134</v>
      </c>
      <c r="B80" s="10">
        <f t="shared" si="1"/>
        <v>100</v>
      </c>
      <c r="C80" s="6">
        <f t="shared" si="2"/>
        <v>91.7</v>
      </c>
      <c r="D80" s="6">
        <f t="shared" si="3"/>
        <v>15.622668</v>
      </c>
    </row>
    <row r="81">
      <c r="A81" s="4" t="s">
        <v>10135</v>
      </c>
      <c r="B81" s="10">
        <f t="shared" si="1"/>
        <v>0</v>
      </c>
      <c r="C81" s="6">
        <f t="shared" si="2"/>
        <v>91.6</v>
      </c>
      <c r="D81" s="6">
        <f t="shared" si="3"/>
        <v>15.613497</v>
      </c>
    </row>
    <row r="82">
      <c r="A82" s="4" t="s">
        <v>10136</v>
      </c>
      <c r="B82" s="10">
        <f t="shared" si="1"/>
        <v>100</v>
      </c>
      <c r="C82" s="6">
        <f t="shared" si="2"/>
        <v>91.6</v>
      </c>
      <c r="D82" s="6">
        <f t="shared" si="3"/>
        <v>15.60424</v>
      </c>
    </row>
    <row r="83">
      <c r="A83" s="4" t="s">
        <v>10137</v>
      </c>
      <c r="B83" s="10">
        <f t="shared" si="1"/>
        <v>100</v>
      </c>
      <c r="C83" s="6">
        <f t="shared" si="2"/>
        <v>91.4</v>
      </c>
      <c r="D83" s="6">
        <f t="shared" si="3"/>
        <v>15.577202</v>
      </c>
    </row>
    <row r="84">
      <c r="A84" s="4" t="s">
        <v>10138</v>
      </c>
      <c r="B84" s="10">
        <f t="shared" si="1"/>
        <v>100</v>
      </c>
      <c r="C84" s="6">
        <f t="shared" si="2"/>
        <v>92.8</v>
      </c>
      <c r="D84" s="6">
        <f t="shared" si="3"/>
        <v>15.808516</v>
      </c>
    </row>
    <row r="85">
      <c r="A85" s="4" t="s">
        <v>10139</v>
      </c>
      <c r="B85" s="10">
        <f t="shared" si="1"/>
        <v>100</v>
      </c>
      <c r="C85" s="6">
        <f t="shared" si="2"/>
        <v>91.6</v>
      </c>
      <c r="D85" s="6">
        <f t="shared" si="3"/>
        <v>15.603539</v>
      </c>
    </row>
    <row r="86">
      <c r="A86" s="4" t="s">
        <v>10140</v>
      </c>
      <c r="B86" s="10">
        <f t="shared" si="1"/>
        <v>100</v>
      </c>
      <c r="C86" s="6">
        <f t="shared" si="2"/>
        <v>91.6</v>
      </c>
      <c r="D86" s="6">
        <f t="shared" si="3"/>
        <v>15.606288</v>
      </c>
    </row>
    <row r="87">
      <c r="A87" s="4" t="s">
        <v>10141</v>
      </c>
      <c r="B87" s="10">
        <f t="shared" si="1"/>
        <v>100</v>
      </c>
      <c r="C87" s="6">
        <f t="shared" si="2"/>
        <v>91.6</v>
      </c>
      <c r="D87" s="6">
        <f t="shared" si="3"/>
        <v>15.613673</v>
      </c>
    </row>
    <row r="88">
      <c r="A88" s="4" t="s">
        <v>10142</v>
      </c>
      <c r="B88" s="10">
        <f t="shared" si="1"/>
        <v>0</v>
      </c>
      <c r="C88" s="6">
        <f t="shared" si="2"/>
        <v>92.7</v>
      </c>
      <c r="D88" s="6">
        <f t="shared" si="3"/>
        <v>15.800721</v>
      </c>
    </row>
    <row r="89">
      <c r="A89" s="4" t="s">
        <v>10143</v>
      </c>
      <c r="B89" s="10">
        <f t="shared" si="1"/>
        <v>100</v>
      </c>
      <c r="C89" s="6">
        <f t="shared" si="2"/>
        <v>91.7</v>
      </c>
      <c r="D89" s="6">
        <f t="shared" si="3"/>
        <v>15.632965</v>
      </c>
    </row>
    <row r="90">
      <c r="A90" s="4" t="s">
        <v>10144</v>
      </c>
      <c r="B90" s="10">
        <f t="shared" si="1"/>
        <v>0</v>
      </c>
      <c r="C90" s="6">
        <f t="shared" si="2"/>
        <v>91.7</v>
      </c>
      <c r="D90" s="6">
        <f t="shared" si="3"/>
        <v>15.620825</v>
      </c>
    </row>
    <row r="91">
      <c r="A91" s="4" t="s">
        <v>10145</v>
      </c>
      <c r="B91" s="10">
        <f t="shared" si="1"/>
        <v>100</v>
      </c>
      <c r="C91" s="6">
        <f t="shared" si="2"/>
        <v>93.8</v>
      </c>
      <c r="D91" s="6">
        <f t="shared" si="3"/>
        <v>15.985049</v>
      </c>
    </row>
    <row r="92">
      <c r="A92" s="4" t="s">
        <v>10146</v>
      </c>
      <c r="B92" s="10">
        <f t="shared" si="1"/>
        <v>100</v>
      </c>
      <c r="C92" s="6">
        <f t="shared" si="2"/>
        <v>91.8</v>
      </c>
      <c r="D92" s="6">
        <f t="shared" si="3"/>
        <v>15.635726</v>
      </c>
    </row>
    <row r="93">
      <c r="A93" s="4" t="s">
        <v>10147</v>
      </c>
      <c r="B93" s="10">
        <f t="shared" si="1"/>
        <v>100</v>
      </c>
      <c r="C93" s="6">
        <f t="shared" si="2"/>
        <v>93</v>
      </c>
      <c r="D93" s="6">
        <f t="shared" si="3"/>
        <v>15.84862</v>
      </c>
    </row>
    <row r="94">
      <c r="A94" s="4" t="s">
        <v>10148</v>
      </c>
      <c r="B94" s="10">
        <f t="shared" si="1"/>
        <v>0</v>
      </c>
      <c r="C94" s="6">
        <f t="shared" si="2"/>
        <v>92.9</v>
      </c>
      <c r="D94" s="6">
        <f t="shared" si="3"/>
        <v>15.828209</v>
      </c>
    </row>
    <row r="95">
      <c r="A95" s="4" t="s">
        <v>10149</v>
      </c>
      <c r="B95" s="10">
        <f t="shared" si="1"/>
        <v>100</v>
      </c>
      <c r="C95" s="6">
        <f t="shared" si="2"/>
        <v>92.9</v>
      </c>
      <c r="D95" s="6">
        <f t="shared" si="3"/>
        <v>15.837724</v>
      </c>
    </row>
    <row r="96">
      <c r="A96" s="4" t="s">
        <v>10150</v>
      </c>
      <c r="B96" s="10">
        <f t="shared" si="1"/>
        <v>0</v>
      </c>
      <c r="C96" s="6">
        <f t="shared" si="2"/>
        <v>93</v>
      </c>
      <c r="D96" s="6">
        <f t="shared" si="3"/>
        <v>15.854215</v>
      </c>
    </row>
    <row r="97">
      <c r="A97" s="4" t="s">
        <v>10151</v>
      </c>
      <c r="B97" s="10">
        <f t="shared" si="1"/>
        <v>100</v>
      </c>
      <c r="C97" s="6">
        <f t="shared" si="2"/>
        <v>93.2</v>
      </c>
      <c r="D97" s="6">
        <f t="shared" si="3"/>
        <v>15.888015</v>
      </c>
    </row>
    <row r="98">
      <c r="A98" s="4" t="s">
        <v>10152</v>
      </c>
      <c r="B98" s="10">
        <f t="shared" si="1"/>
        <v>0</v>
      </c>
      <c r="C98" s="6">
        <f t="shared" si="2"/>
        <v>93.1</v>
      </c>
      <c r="D98" s="6">
        <f t="shared" si="3"/>
        <v>15.86921</v>
      </c>
    </row>
    <row r="99">
      <c r="A99" s="4" t="s">
        <v>10153</v>
      </c>
      <c r="B99" s="10">
        <f t="shared" si="1"/>
        <v>100</v>
      </c>
      <c r="C99" s="6">
        <f t="shared" si="2"/>
        <v>93.3</v>
      </c>
      <c r="D99" s="6">
        <f t="shared" si="3"/>
        <v>15.895785</v>
      </c>
    </row>
    <row r="100">
      <c r="A100" s="4" t="s">
        <v>10154</v>
      </c>
      <c r="B100" s="10">
        <f t="shared" si="1"/>
        <v>100</v>
      </c>
      <c r="C100" s="6">
        <f t="shared" si="2"/>
        <v>93.5</v>
      </c>
      <c r="D100" s="6">
        <f t="shared" si="3"/>
        <v>15.92886</v>
      </c>
    </row>
    <row r="101">
      <c r="A101" s="4" t="s">
        <v>10155</v>
      </c>
      <c r="B101" s="10">
        <f t="shared" si="1"/>
        <v>100</v>
      </c>
      <c r="C101" s="6">
        <f t="shared" si="2"/>
        <v>93.4</v>
      </c>
      <c r="D101" s="6">
        <f t="shared" si="3"/>
        <v>15.924174</v>
      </c>
    </row>
    <row r="102">
      <c r="A102" s="4" t="s">
        <v>10156</v>
      </c>
      <c r="B102" s="10">
        <f t="shared" si="1"/>
        <v>100</v>
      </c>
      <c r="C102" s="6">
        <f t="shared" si="2"/>
        <v>93.1</v>
      </c>
      <c r="D102" s="6">
        <f t="shared" si="3"/>
        <v>15.863922</v>
      </c>
    </row>
    <row r="103">
      <c r="A103" s="4" t="s">
        <v>10157</v>
      </c>
      <c r="B103" s="10">
        <f t="shared" si="1"/>
        <v>100</v>
      </c>
      <c r="C103" s="6">
        <f t="shared" si="2"/>
        <v>93.2</v>
      </c>
      <c r="D103" s="6">
        <f t="shared" si="3"/>
        <v>15.887065</v>
      </c>
    </row>
    <row r="104">
      <c r="A104" s="4" t="s">
        <v>10158</v>
      </c>
      <c r="B104" s="10">
        <f t="shared" si="1"/>
        <v>100</v>
      </c>
      <c r="C104" s="6">
        <f t="shared" si="2"/>
        <v>92.9</v>
      </c>
      <c r="D104" s="6">
        <f t="shared" si="3"/>
        <v>15.831994</v>
      </c>
    </row>
    <row r="105">
      <c r="A105" s="4" t="s">
        <v>10159</v>
      </c>
      <c r="B105" s="10">
        <f t="shared" si="1"/>
        <v>100</v>
      </c>
      <c r="C105" s="6">
        <f t="shared" si="2"/>
        <v>93</v>
      </c>
      <c r="D105" s="6">
        <f t="shared" si="3"/>
        <v>15.851462</v>
      </c>
    </row>
    <row r="106">
      <c r="A106" s="4" t="s">
        <v>10160</v>
      </c>
      <c r="B106" s="10">
        <f t="shared" si="1"/>
        <v>100</v>
      </c>
      <c r="C106" s="6">
        <f t="shared" si="2"/>
        <v>93.1</v>
      </c>
      <c r="D106" s="6">
        <f t="shared" si="3"/>
        <v>15.871741</v>
      </c>
    </row>
    <row r="107">
      <c r="A107" s="4" t="s">
        <v>10161</v>
      </c>
      <c r="B107" s="10">
        <f t="shared" si="1"/>
        <v>100</v>
      </c>
      <c r="C107" s="6">
        <f t="shared" si="2"/>
        <v>93</v>
      </c>
      <c r="D107" s="6">
        <f t="shared" si="3"/>
        <v>15.845933</v>
      </c>
    </row>
    <row r="108">
      <c r="A108" s="4" t="s">
        <v>10162</v>
      </c>
      <c r="B108" s="10">
        <f t="shared" si="1"/>
        <v>100</v>
      </c>
      <c r="C108" s="6">
        <f t="shared" si="2"/>
        <v>93.1</v>
      </c>
      <c r="D108" s="6">
        <f t="shared" si="3"/>
        <v>15.86203</v>
      </c>
    </row>
    <row r="109">
      <c r="A109" s="4" t="s">
        <v>10163</v>
      </c>
      <c r="B109" s="10">
        <f t="shared" si="1"/>
        <v>100</v>
      </c>
      <c r="C109" s="6">
        <f t="shared" si="2"/>
        <v>93</v>
      </c>
      <c r="D109" s="6">
        <f t="shared" si="3"/>
        <v>15.843385</v>
      </c>
    </row>
    <row r="110">
      <c r="A110" s="4" t="s">
        <v>10164</v>
      </c>
      <c r="B110" s="10">
        <f t="shared" si="1"/>
        <v>100</v>
      </c>
      <c r="C110" s="6">
        <f t="shared" si="2"/>
        <v>93.2</v>
      </c>
      <c r="D110" s="6">
        <f t="shared" si="3"/>
        <v>15.88593</v>
      </c>
    </row>
    <row r="111">
      <c r="A111" s="4" t="s">
        <v>10165</v>
      </c>
      <c r="B111" s="10">
        <f t="shared" si="1"/>
        <v>100</v>
      </c>
      <c r="C111" s="6">
        <f t="shared" si="2"/>
        <v>93.2</v>
      </c>
      <c r="D111" s="6">
        <f t="shared" si="3"/>
        <v>15.874199</v>
      </c>
    </row>
    <row r="112">
      <c r="A112" s="4" t="s">
        <v>10166</v>
      </c>
      <c r="B112" s="10">
        <f t="shared" si="1"/>
        <v>0</v>
      </c>
      <c r="C112" s="6">
        <f t="shared" si="2"/>
        <v>93.1</v>
      </c>
      <c r="D112" s="6">
        <f t="shared" si="3"/>
        <v>15.86006</v>
      </c>
    </row>
    <row r="113">
      <c r="A113" s="4" t="s">
        <v>10167</v>
      </c>
      <c r="B113" s="10">
        <f t="shared" si="1"/>
        <v>0</v>
      </c>
      <c r="C113" s="6">
        <f t="shared" si="2"/>
        <v>93.1</v>
      </c>
      <c r="D113" s="6">
        <f t="shared" si="3"/>
        <v>15.858806</v>
      </c>
    </row>
    <row r="114">
      <c r="A114" s="4" t="s">
        <v>10168</v>
      </c>
      <c r="B114" s="10">
        <f t="shared" si="1"/>
        <v>0</v>
      </c>
      <c r="C114" s="6">
        <f t="shared" si="2"/>
        <v>93.1</v>
      </c>
      <c r="D114" s="6">
        <f t="shared" si="3"/>
        <v>15.857762</v>
      </c>
    </row>
    <row r="115">
      <c r="A115" s="4" t="s">
        <v>10169</v>
      </c>
      <c r="B115" s="10">
        <f t="shared" si="1"/>
        <v>0</v>
      </c>
      <c r="C115" s="6">
        <f t="shared" si="2"/>
        <v>93.3</v>
      </c>
      <c r="D115" s="6">
        <f t="shared" si="3"/>
        <v>15.896911</v>
      </c>
    </row>
    <row r="116">
      <c r="A116" s="4" t="s">
        <v>10170</v>
      </c>
      <c r="B116" s="10">
        <f t="shared" si="1"/>
        <v>100</v>
      </c>
      <c r="C116" s="6">
        <f t="shared" si="2"/>
        <v>92.9</v>
      </c>
      <c r="D116" s="6">
        <f t="shared" si="3"/>
        <v>15.834529</v>
      </c>
    </row>
    <row r="117">
      <c r="A117" s="4" t="s">
        <v>10171</v>
      </c>
      <c r="B117" s="10">
        <f t="shared" si="1"/>
        <v>100</v>
      </c>
      <c r="C117" s="6">
        <f t="shared" si="2"/>
        <v>93.2</v>
      </c>
      <c r="D117" s="6">
        <f t="shared" si="3"/>
        <v>15.880507</v>
      </c>
    </row>
    <row r="118">
      <c r="A118" s="4" t="s">
        <v>10172</v>
      </c>
      <c r="B118" s="10">
        <f t="shared" si="1"/>
        <v>0</v>
      </c>
      <c r="C118" s="6">
        <f t="shared" si="2"/>
        <v>93.1</v>
      </c>
      <c r="D118" s="6">
        <f t="shared" si="3"/>
        <v>15.871041</v>
      </c>
    </row>
    <row r="119">
      <c r="A119" s="4" t="s">
        <v>10173</v>
      </c>
      <c r="B119" s="10">
        <f t="shared" si="1"/>
        <v>100</v>
      </c>
      <c r="C119" s="6">
        <f t="shared" si="2"/>
        <v>93.2</v>
      </c>
      <c r="D119" s="6">
        <f t="shared" si="3"/>
        <v>15.874396</v>
      </c>
    </row>
    <row r="120">
      <c r="A120" s="4" t="s">
        <v>10174</v>
      </c>
      <c r="B120" s="10">
        <f t="shared" si="1"/>
        <v>0</v>
      </c>
      <c r="C120" s="6">
        <f t="shared" si="2"/>
        <v>93</v>
      </c>
      <c r="D120" s="6">
        <f t="shared" si="3"/>
        <v>15.850598</v>
      </c>
    </row>
    <row r="121">
      <c r="A121" s="4" t="s">
        <v>10175</v>
      </c>
      <c r="B121" s="10">
        <f t="shared" si="1"/>
        <v>100</v>
      </c>
      <c r="C121" s="6">
        <f t="shared" si="2"/>
        <v>93.2</v>
      </c>
      <c r="D121" s="6">
        <f t="shared" si="3"/>
        <v>15.888695</v>
      </c>
    </row>
    <row r="122">
      <c r="A122" s="4" t="s">
        <v>10176</v>
      </c>
      <c r="B122" s="10">
        <f t="shared" si="1"/>
        <v>100</v>
      </c>
      <c r="C122" s="6">
        <f t="shared" si="2"/>
        <v>93.6</v>
      </c>
      <c r="D122" s="6">
        <f t="shared" si="3"/>
        <v>15.945773</v>
      </c>
    </row>
    <row r="123">
      <c r="A123" s="4" t="s">
        <v>10177</v>
      </c>
      <c r="B123" s="10">
        <f t="shared" si="1"/>
        <v>100</v>
      </c>
      <c r="C123" s="6">
        <f t="shared" si="2"/>
        <v>94.6</v>
      </c>
      <c r="D123" s="6">
        <f t="shared" si="3"/>
        <v>16.1164</v>
      </c>
    </row>
    <row r="124">
      <c r="A124" s="4" t="s">
        <v>10178</v>
      </c>
      <c r="B124" s="10">
        <f t="shared" si="1"/>
        <v>0</v>
      </c>
      <c r="C124" s="6">
        <f t="shared" si="2"/>
        <v>93.3</v>
      </c>
      <c r="D124" s="6">
        <f t="shared" si="3"/>
        <v>15.894851</v>
      </c>
    </row>
    <row r="125">
      <c r="A125" s="4" t="s">
        <v>10179</v>
      </c>
      <c r="B125" s="10">
        <f t="shared" si="1"/>
        <v>100</v>
      </c>
      <c r="C125" s="6">
        <f t="shared" si="2"/>
        <v>93.3</v>
      </c>
      <c r="D125" s="6">
        <f t="shared" si="3"/>
        <v>15.900397</v>
      </c>
    </row>
    <row r="126">
      <c r="A126" s="4" t="s">
        <v>10180</v>
      </c>
      <c r="B126" s="10">
        <f t="shared" si="1"/>
        <v>0</v>
      </c>
      <c r="C126" s="6">
        <f t="shared" si="2"/>
        <v>93.5</v>
      </c>
      <c r="D126" s="6">
        <f t="shared" si="3"/>
        <v>15.931904</v>
      </c>
    </row>
    <row r="127">
      <c r="A127" s="4" t="s">
        <v>10181</v>
      </c>
      <c r="B127" s="10">
        <f t="shared" si="1"/>
        <v>100</v>
      </c>
      <c r="C127" s="6">
        <f t="shared" si="2"/>
        <v>93.2</v>
      </c>
      <c r="D127" s="6">
        <f t="shared" si="3"/>
        <v>15.877746</v>
      </c>
    </row>
    <row r="128">
      <c r="A128" s="4" t="s">
        <v>10182</v>
      </c>
      <c r="B128" s="10">
        <f t="shared" si="1"/>
        <v>100</v>
      </c>
      <c r="C128" s="6">
        <f t="shared" si="2"/>
        <v>93.4</v>
      </c>
      <c r="D128" s="6">
        <f t="shared" si="3"/>
        <v>15.908737</v>
      </c>
    </row>
    <row r="129">
      <c r="A129" s="4" t="s">
        <v>10183</v>
      </c>
      <c r="B129" s="10">
        <f t="shared" si="1"/>
        <v>100</v>
      </c>
      <c r="C129" s="6">
        <f t="shared" si="2"/>
        <v>93.4</v>
      </c>
      <c r="D129" s="6">
        <f t="shared" si="3"/>
        <v>15.919566</v>
      </c>
    </row>
    <row r="130">
      <c r="A130" s="4" t="s">
        <v>10184</v>
      </c>
      <c r="B130" s="10">
        <f t="shared" si="1"/>
        <v>100</v>
      </c>
      <c r="C130" s="6">
        <f t="shared" si="2"/>
        <v>93.1</v>
      </c>
      <c r="D130" s="6">
        <f t="shared" si="3"/>
        <v>15.85802</v>
      </c>
    </row>
    <row r="131">
      <c r="A131" s="4" t="s">
        <v>10185</v>
      </c>
      <c r="B131" s="10">
        <f t="shared" si="1"/>
        <v>100</v>
      </c>
      <c r="C131" s="6">
        <f t="shared" si="2"/>
        <v>93.2</v>
      </c>
      <c r="D131" s="6">
        <f t="shared" si="3"/>
        <v>15.886606</v>
      </c>
    </row>
    <row r="132">
      <c r="A132" s="4" t="s">
        <v>10186</v>
      </c>
      <c r="B132" s="10">
        <f t="shared" si="1"/>
        <v>100</v>
      </c>
      <c r="C132" s="6">
        <f t="shared" si="2"/>
        <v>93.1</v>
      </c>
      <c r="D132" s="6">
        <f t="shared" si="3"/>
        <v>15.857897</v>
      </c>
    </row>
    <row r="133">
      <c r="A133" s="4" t="s">
        <v>10187</v>
      </c>
      <c r="B133" s="10">
        <f t="shared" si="1"/>
        <v>0</v>
      </c>
      <c r="C133" s="6">
        <f t="shared" si="2"/>
        <v>93.1</v>
      </c>
      <c r="D133" s="6">
        <f t="shared" si="3"/>
        <v>15.871287</v>
      </c>
    </row>
    <row r="134">
      <c r="A134" s="4" t="s">
        <v>10188</v>
      </c>
      <c r="B134" s="10">
        <f t="shared" si="1"/>
        <v>100</v>
      </c>
      <c r="C134" s="6">
        <f t="shared" si="2"/>
        <v>93.1</v>
      </c>
      <c r="D134" s="6">
        <f t="shared" si="3"/>
        <v>15.869194</v>
      </c>
    </row>
    <row r="135">
      <c r="A135" s="4" t="s">
        <v>10189</v>
      </c>
      <c r="B135" s="10">
        <f t="shared" si="1"/>
        <v>100</v>
      </c>
      <c r="C135" s="6">
        <f t="shared" si="2"/>
        <v>93.2</v>
      </c>
      <c r="D135" s="6">
        <f t="shared" si="3"/>
        <v>15.883403</v>
      </c>
    </row>
    <row r="136">
      <c r="A136" s="4" t="s">
        <v>10190</v>
      </c>
      <c r="B136" s="10">
        <f t="shared" si="1"/>
        <v>100</v>
      </c>
      <c r="C136" s="6">
        <f t="shared" si="2"/>
        <v>93.3</v>
      </c>
      <c r="D136" s="6">
        <f t="shared" si="3"/>
        <v>15.898193</v>
      </c>
    </row>
    <row r="137">
      <c r="A137" s="4" t="s">
        <v>10191</v>
      </c>
      <c r="B137" s="10">
        <f t="shared" si="1"/>
        <v>0</v>
      </c>
      <c r="C137" s="6">
        <f t="shared" si="2"/>
        <v>93.1</v>
      </c>
      <c r="D137" s="6">
        <f t="shared" si="3"/>
        <v>15.871119</v>
      </c>
    </row>
    <row r="138">
      <c r="A138" s="4" t="s">
        <v>10192</v>
      </c>
      <c r="B138" s="10">
        <f t="shared" si="1"/>
        <v>100</v>
      </c>
      <c r="C138" s="6">
        <f t="shared" si="2"/>
        <v>93.3</v>
      </c>
      <c r="D138" s="6">
        <f t="shared" si="3"/>
        <v>15.903805</v>
      </c>
    </row>
    <row r="139">
      <c r="A139" s="4" t="s">
        <v>10193</v>
      </c>
      <c r="B139" s="10">
        <f t="shared" si="1"/>
        <v>100</v>
      </c>
      <c r="C139" s="6">
        <f t="shared" si="2"/>
        <v>94.9</v>
      </c>
      <c r="D139" s="6">
        <f t="shared" si="3"/>
        <v>16.180469</v>
      </c>
    </row>
    <row r="140">
      <c r="A140" s="4" t="s">
        <v>10194</v>
      </c>
      <c r="B140" s="10">
        <f t="shared" si="1"/>
        <v>100</v>
      </c>
      <c r="C140" s="6">
        <f t="shared" si="2"/>
        <v>93.2</v>
      </c>
      <c r="D140" s="6">
        <f t="shared" si="3"/>
        <v>15.876108</v>
      </c>
    </row>
    <row r="141">
      <c r="A141" s="4" t="s">
        <v>10195</v>
      </c>
      <c r="B141" s="10">
        <f t="shared" si="1"/>
        <v>100</v>
      </c>
      <c r="C141" s="6">
        <f t="shared" si="2"/>
        <v>93.1</v>
      </c>
      <c r="D141" s="6">
        <f t="shared" si="3"/>
        <v>15.865032</v>
      </c>
    </row>
    <row r="142">
      <c r="A142" s="4" t="s">
        <v>10196</v>
      </c>
      <c r="B142" s="10">
        <f t="shared" si="1"/>
        <v>100</v>
      </c>
      <c r="C142" s="6">
        <f t="shared" si="2"/>
        <v>93.2</v>
      </c>
      <c r="D142" s="6">
        <f t="shared" si="3"/>
        <v>15.89037</v>
      </c>
    </row>
    <row r="143">
      <c r="A143" s="4" t="s">
        <v>10197</v>
      </c>
      <c r="B143" s="10">
        <f t="shared" si="1"/>
        <v>0</v>
      </c>
      <c r="C143" s="6">
        <f t="shared" si="2"/>
        <v>93.1</v>
      </c>
      <c r="D143" s="6">
        <f t="shared" si="3"/>
        <v>15.866757</v>
      </c>
    </row>
    <row r="144">
      <c r="A144" s="4" t="s">
        <v>10198</v>
      </c>
      <c r="B144" s="10">
        <f t="shared" si="1"/>
        <v>100</v>
      </c>
      <c r="C144" s="6">
        <f t="shared" si="2"/>
        <v>93</v>
      </c>
      <c r="D144" s="6">
        <f t="shared" si="3"/>
        <v>15.845064</v>
      </c>
    </row>
    <row r="145">
      <c r="A145" s="4" t="s">
        <v>10199</v>
      </c>
      <c r="B145" s="10">
        <f t="shared" si="1"/>
        <v>0</v>
      </c>
      <c r="C145" s="6">
        <f t="shared" si="2"/>
        <v>93</v>
      </c>
      <c r="D145" s="6">
        <f t="shared" si="3"/>
        <v>15.855738</v>
      </c>
    </row>
    <row r="146">
      <c r="A146" s="4" t="s">
        <v>10200</v>
      </c>
      <c r="B146" s="10">
        <f t="shared" si="1"/>
        <v>100</v>
      </c>
      <c r="C146" s="6">
        <f t="shared" si="2"/>
        <v>93</v>
      </c>
      <c r="D146" s="6">
        <f t="shared" si="3"/>
        <v>15.848169</v>
      </c>
    </row>
    <row r="147">
      <c r="A147" s="4" t="s">
        <v>10201</v>
      </c>
      <c r="B147" s="10">
        <f t="shared" si="1"/>
        <v>100</v>
      </c>
      <c r="C147" s="6">
        <f t="shared" si="2"/>
        <v>93.1</v>
      </c>
      <c r="D147" s="6">
        <f t="shared" si="3"/>
        <v>15.860305</v>
      </c>
    </row>
    <row r="148">
      <c r="A148" s="4" t="s">
        <v>10202</v>
      </c>
      <c r="B148" s="10">
        <f t="shared" si="1"/>
        <v>100</v>
      </c>
      <c r="C148" s="6">
        <f t="shared" si="2"/>
        <v>92.8</v>
      </c>
      <c r="D148" s="6">
        <f t="shared" si="3"/>
        <v>15.814246</v>
      </c>
    </row>
    <row r="149">
      <c r="A149" s="4" t="s">
        <v>10203</v>
      </c>
      <c r="B149" s="10">
        <f t="shared" si="1"/>
        <v>100</v>
      </c>
      <c r="C149" s="6">
        <f t="shared" si="2"/>
        <v>92.7</v>
      </c>
      <c r="D149" s="6">
        <f t="shared" si="3"/>
        <v>15.802789</v>
      </c>
    </row>
    <row r="150">
      <c r="A150" s="4" t="s">
        <v>10204</v>
      </c>
      <c r="B150" s="10">
        <f t="shared" si="1"/>
        <v>100</v>
      </c>
      <c r="C150" s="6">
        <f t="shared" si="2"/>
        <v>92.7</v>
      </c>
      <c r="D150" s="6">
        <f t="shared" si="3"/>
        <v>15.796789</v>
      </c>
    </row>
    <row r="151">
      <c r="A151" s="4" t="s">
        <v>10205</v>
      </c>
      <c r="B151" s="10">
        <f t="shared" si="1"/>
        <v>100</v>
      </c>
      <c r="C151" s="6">
        <f t="shared" si="2"/>
        <v>92.7</v>
      </c>
      <c r="D151" s="6">
        <f t="shared" si="3"/>
        <v>15.794761</v>
      </c>
    </row>
    <row r="152">
      <c r="A152" s="4" t="s">
        <v>10206</v>
      </c>
      <c r="B152" s="10">
        <f t="shared" si="1"/>
        <v>100</v>
      </c>
      <c r="C152" s="6">
        <f t="shared" si="2"/>
        <v>92.5</v>
      </c>
      <c r="D152" s="6">
        <f t="shared" si="3"/>
        <v>15.766405</v>
      </c>
    </row>
    <row r="153">
      <c r="A153" s="4" t="s">
        <v>10207</v>
      </c>
      <c r="B153" s="10">
        <f t="shared" si="1"/>
        <v>100</v>
      </c>
      <c r="C153" s="6">
        <f t="shared" si="2"/>
        <v>93.1</v>
      </c>
      <c r="D153" s="6">
        <f t="shared" si="3"/>
        <v>15.860383</v>
      </c>
    </row>
    <row r="154">
      <c r="A154" s="4" t="s">
        <v>10208</v>
      </c>
      <c r="B154" s="10">
        <f t="shared" si="1"/>
        <v>0</v>
      </c>
      <c r="C154" s="6">
        <f t="shared" si="2"/>
        <v>94.5</v>
      </c>
      <c r="D154" s="6">
        <f t="shared" si="3"/>
        <v>16.107147</v>
      </c>
    </row>
    <row r="155">
      <c r="A155" s="4" t="s">
        <v>10209</v>
      </c>
      <c r="B155" s="10">
        <f t="shared" si="1"/>
        <v>100</v>
      </c>
      <c r="C155" s="6">
        <f t="shared" si="2"/>
        <v>94.4</v>
      </c>
      <c r="D155" s="6">
        <f t="shared" si="3"/>
        <v>16.081305</v>
      </c>
    </row>
    <row r="156">
      <c r="A156" s="4" t="s">
        <v>10210</v>
      </c>
      <c r="B156" s="10">
        <f t="shared" si="1"/>
        <v>0</v>
      </c>
      <c r="C156" s="6">
        <f t="shared" si="2"/>
        <v>92.3</v>
      </c>
      <c r="D156" s="6">
        <f t="shared" si="3"/>
        <v>15.723413</v>
      </c>
    </row>
    <row r="157">
      <c r="A157" s="4" t="s">
        <v>10211</v>
      </c>
      <c r="B157" s="10">
        <f t="shared" si="1"/>
        <v>100</v>
      </c>
      <c r="C157" s="6">
        <f t="shared" si="2"/>
        <v>93.8</v>
      </c>
      <c r="D157" s="6">
        <f t="shared" si="3"/>
        <v>15.982161</v>
      </c>
    </row>
    <row r="158">
      <c r="A158" s="4" t="s">
        <v>10212</v>
      </c>
      <c r="B158" s="10">
        <f t="shared" si="1"/>
        <v>0</v>
      </c>
      <c r="C158" s="6">
        <f t="shared" si="2"/>
        <v>91.8</v>
      </c>
      <c r="D158" s="6">
        <f t="shared" si="3"/>
        <v>15.642058</v>
      </c>
    </row>
    <row r="159">
      <c r="A159" s="4" t="s">
        <v>10213</v>
      </c>
      <c r="B159" s="10">
        <f t="shared" si="1"/>
        <v>100</v>
      </c>
      <c r="C159" s="6">
        <f t="shared" si="2"/>
        <v>91.7</v>
      </c>
      <c r="D159" s="6">
        <f t="shared" si="3"/>
        <v>15.629594</v>
      </c>
    </row>
    <row r="160">
      <c r="A160" s="4" t="s">
        <v>10214</v>
      </c>
      <c r="B160" s="10">
        <f t="shared" si="1"/>
        <v>100</v>
      </c>
      <c r="C160" s="6">
        <f t="shared" si="2"/>
        <v>93.7</v>
      </c>
      <c r="D160" s="6">
        <f t="shared" si="3"/>
        <v>15.974367</v>
      </c>
    </row>
    <row r="161">
      <c r="A161" s="4" t="s">
        <v>10215</v>
      </c>
      <c r="B161" s="10">
        <f t="shared" si="1"/>
        <v>0</v>
      </c>
      <c r="C161" s="6">
        <f t="shared" si="2"/>
        <v>91.8</v>
      </c>
      <c r="D161" s="6">
        <f t="shared" si="3"/>
        <v>15.652171</v>
      </c>
    </row>
    <row r="162">
      <c r="A162" s="4" t="s">
        <v>10216</v>
      </c>
      <c r="B162" s="10">
        <f t="shared" si="1"/>
        <v>100</v>
      </c>
      <c r="C162" s="6">
        <f t="shared" si="2"/>
        <v>91.6</v>
      </c>
      <c r="D162" s="6">
        <f t="shared" si="3"/>
        <v>15.606009</v>
      </c>
    </row>
    <row r="163">
      <c r="A163" s="4" t="s">
        <v>10217</v>
      </c>
      <c r="B163" s="10">
        <f t="shared" si="1"/>
        <v>100</v>
      </c>
      <c r="C163" s="6">
        <f t="shared" si="2"/>
        <v>91.7</v>
      </c>
      <c r="D163" s="6">
        <f t="shared" si="3"/>
        <v>15.632482</v>
      </c>
    </row>
    <row r="164">
      <c r="A164" s="4" t="s">
        <v>10218</v>
      </c>
      <c r="B164" s="10">
        <f t="shared" si="1"/>
        <v>100</v>
      </c>
      <c r="C164" s="6">
        <f t="shared" si="2"/>
        <v>91.8</v>
      </c>
      <c r="D164" s="6">
        <f t="shared" si="3"/>
        <v>15.644581</v>
      </c>
    </row>
    <row r="165">
      <c r="A165" s="4" t="s">
        <v>10219</v>
      </c>
      <c r="B165" s="10">
        <f t="shared" si="1"/>
        <v>100</v>
      </c>
      <c r="C165" s="6">
        <f t="shared" si="2"/>
        <v>94.5</v>
      </c>
      <c r="D165" s="6">
        <f t="shared" si="3"/>
        <v>16.105218</v>
      </c>
    </row>
    <row r="166">
      <c r="A166" s="4" t="s">
        <v>10220</v>
      </c>
      <c r="B166" s="10">
        <f t="shared" si="1"/>
        <v>100</v>
      </c>
      <c r="C166" s="6">
        <f t="shared" si="2"/>
        <v>91.7</v>
      </c>
      <c r="D166" s="6">
        <f t="shared" si="3"/>
        <v>15.626829</v>
      </c>
    </row>
    <row r="167">
      <c r="A167" s="4" t="s">
        <v>10221</v>
      </c>
      <c r="B167" s="10">
        <f t="shared" si="1"/>
        <v>100</v>
      </c>
      <c r="C167" s="6">
        <f t="shared" si="2"/>
        <v>91.6</v>
      </c>
      <c r="D167" s="6">
        <f t="shared" si="3"/>
        <v>15.606513</v>
      </c>
    </row>
    <row r="168">
      <c r="A168" s="4" t="s">
        <v>10222</v>
      </c>
      <c r="B168" s="10">
        <f t="shared" si="1"/>
        <v>100</v>
      </c>
      <c r="C168" s="6">
        <f t="shared" si="2"/>
        <v>91.3</v>
      </c>
      <c r="D168" s="6">
        <f t="shared" si="3"/>
        <v>15.561154</v>
      </c>
    </row>
    <row r="169">
      <c r="A169" s="4" t="s">
        <v>10223</v>
      </c>
      <c r="B169" s="10">
        <f t="shared" si="1"/>
        <v>100</v>
      </c>
      <c r="C169" s="6">
        <f t="shared" si="2"/>
        <v>91.3</v>
      </c>
      <c r="D169" s="6">
        <f t="shared" si="3"/>
        <v>15.561605</v>
      </c>
    </row>
    <row r="170">
      <c r="A170" s="4" t="s">
        <v>10224</v>
      </c>
      <c r="B170" s="10">
        <f t="shared" si="1"/>
        <v>100</v>
      </c>
      <c r="C170" s="6">
        <f t="shared" si="2"/>
        <v>91.4</v>
      </c>
      <c r="D170" s="6">
        <f t="shared" si="3"/>
        <v>15.582814</v>
      </c>
    </row>
    <row r="171">
      <c r="A171" s="4" t="s">
        <v>10225</v>
      </c>
      <c r="B171" s="10">
        <f t="shared" si="1"/>
        <v>0</v>
      </c>
      <c r="C171" s="6">
        <f t="shared" si="2"/>
        <v>91.3</v>
      </c>
      <c r="D171" s="6">
        <f t="shared" si="3"/>
        <v>15.567073</v>
      </c>
    </row>
    <row r="172">
      <c r="A172" s="4" t="s">
        <v>10226</v>
      </c>
      <c r="B172" s="10">
        <f t="shared" si="1"/>
        <v>100</v>
      </c>
      <c r="C172" s="6">
        <f t="shared" si="2"/>
        <v>91.3</v>
      </c>
      <c r="D172" s="6">
        <f t="shared" si="3"/>
        <v>15.552073</v>
      </c>
    </row>
    <row r="173">
      <c r="A173" s="4" t="s">
        <v>10227</v>
      </c>
      <c r="B173" s="10">
        <f t="shared" si="1"/>
        <v>100</v>
      </c>
      <c r="C173" s="6">
        <f t="shared" si="2"/>
        <v>89.8</v>
      </c>
      <c r="D173" s="6">
        <f t="shared" si="3"/>
        <v>15.311331</v>
      </c>
    </row>
    <row r="174">
      <c r="A174" s="4" t="s">
        <v>10228</v>
      </c>
      <c r="B174" s="10">
        <f t="shared" si="1"/>
        <v>0</v>
      </c>
      <c r="C174" s="6">
        <f t="shared" si="2"/>
        <v>90.9</v>
      </c>
      <c r="D174" s="6">
        <f t="shared" si="3"/>
        <v>15.498375</v>
      </c>
    </row>
    <row r="175">
      <c r="A175" s="4" t="s">
        <v>10229</v>
      </c>
      <c r="B175" s="10">
        <f t="shared" si="1"/>
        <v>100</v>
      </c>
      <c r="C175" s="6">
        <f t="shared" si="2"/>
        <v>89.8</v>
      </c>
      <c r="D175" s="6">
        <f t="shared" si="3"/>
        <v>15.3114</v>
      </c>
    </row>
    <row r="176">
      <c r="A176" s="4" t="s">
        <v>10230</v>
      </c>
      <c r="B176" s="10">
        <f t="shared" si="1"/>
        <v>100</v>
      </c>
      <c r="C176" s="6">
        <f t="shared" si="2"/>
        <v>89.8</v>
      </c>
      <c r="D176" s="6">
        <f t="shared" si="3"/>
        <v>15.306211</v>
      </c>
    </row>
    <row r="177">
      <c r="A177" s="4" t="s">
        <v>10231</v>
      </c>
      <c r="B177" s="10">
        <f t="shared" si="1"/>
        <v>0</v>
      </c>
      <c r="C177" s="6">
        <f t="shared" si="2"/>
        <v>91.1</v>
      </c>
      <c r="D177" s="6">
        <f t="shared" si="3"/>
        <v>15.524708</v>
      </c>
    </row>
    <row r="178">
      <c r="A178" s="4" t="s">
        <v>10232</v>
      </c>
      <c r="B178" s="10">
        <f t="shared" si="1"/>
        <v>100</v>
      </c>
      <c r="C178" s="6">
        <f t="shared" si="2"/>
        <v>89.8</v>
      </c>
      <c r="D178" s="6">
        <f t="shared" si="3"/>
        <v>15.310331</v>
      </c>
    </row>
    <row r="179">
      <c r="A179" s="4" t="s">
        <v>10233</v>
      </c>
      <c r="B179" s="10">
        <f t="shared" si="1"/>
        <v>100</v>
      </c>
      <c r="C179" s="6">
        <f t="shared" si="2"/>
        <v>89.9</v>
      </c>
      <c r="D179" s="6">
        <f t="shared" si="3"/>
        <v>15.317291</v>
      </c>
    </row>
    <row r="180">
      <c r="A180" s="4" t="s">
        <v>10234</v>
      </c>
      <c r="B180" s="10">
        <f t="shared" si="1"/>
        <v>100</v>
      </c>
      <c r="C180" s="6">
        <f t="shared" si="2"/>
        <v>89.9</v>
      </c>
      <c r="D180" s="6">
        <f t="shared" si="3"/>
        <v>15.322464</v>
      </c>
    </row>
    <row r="181">
      <c r="A181" s="4" t="s">
        <v>10235</v>
      </c>
      <c r="B181" s="10">
        <f t="shared" si="1"/>
        <v>100</v>
      </c>
      <c r="C181" s="6">
        <f t="shared" si="2"/>
        <v>90.4</v>
      </c>
      <c r="D181" s="6">
        <f t="shared" si="3"/>
        <v>15.399563</v>
      </c>
    </row>
    <row r="182">
      <c r="A182" s="4" t="s">
        <v>10236</v>
      </c>
      <c r="B182" s="10">
        <f t="shared" si="1"/>
        <v>0</v>
      </c>
      <c r="C182" s="6">
        <f t="shared" si="2"/>
        <v>90.2</v>
      </c>
      <c r="D182" s="6">
        <f t="shared" si="3"/>
        <v>15.362924</v>
      </c>
    </row>
    <row r="183">
      <c r="A183" s="4" t="s">
        <v>10237</v>
      </c>
      <c r="B183" s="10">
        <f t="shared" si="1"/>
        <v>100</v>
      </c>
      <c r="C183" s="6">
        <f t="shared" si="2"/>
        <v>90.3</v>
      </c>
      <c r="D183" s="6">
        <f t="shared" si="3"/>
        <v>15.395</v>
      </c>
    </row>
    <row r="184">
      <c r="A184" s="4" t="s">
        <v>10238</v>
      </c>
      <c r="B184" s="10">
        <f t="shared" si="1"/>
        <v>100</v>
      </c>
      <c r="C184" s="6">
        <f t="shared" si="2"/>
        <v>92.2</v>
      </c>
      <c r="D184" s="6">
        <f t="shared" si="3"/>
        <v>15.706693</v>
      </c>
    </row>
    <row r="185">
      <c r="A185" s="4" t="s">
        <v>10239</v>
      </c>
      <c r="B185" s="10">
        <f t="shared" si="1"/>
        <v>0</v>
      </c>
      <c r="C185" s="6">
        <f t="shared" si="2"/>
        <v>90.2</v>
      </c>
      <c r="D185" s="6">
        <f t="shared" si="3"/>
        <v>15.377461</v>
      </c>
    </row>
    <row r="186">
      <c r="A186" s="4" t="s">
        <v>10240</v>
      </c>
      <c r="B186" s="10">
        <f t="shared" si="1"/>
        <v>100</v>
      </c>
      <c r="C186" s="6">
        <f t="shared" si="2"/>
        <v>90.8</v>
      </c>
      <c r="D186" s="6">
        <f t="shared" si="3"/>
        <v>15.472521</v>
      </c>
    </row>
    <row r="187">
      <c r="A187" s="4" t="s">
        <v>10241</v>
      </c>
      <c r="B187" s="10">
        <f t="shared" si="1"/>
        <v>0</v>
      </c>
      <c r="C187" s="6">
        <f t="shared" si="2"/>
        <v>90.7</v>
      </c>
      <c r="D187" s="6">
        <f t="shared" si="3"/>
        <v>15.462531</v>
      </c>
    </row>
    <row r="188">
      <c r="A188" s="4" t="s">
        <v>10242</v>
      </c>
      <c r="B188" s="10">
        <f t="shared" si="1"/>
        <v>100</v>
      </c>
      <c r="C188" s="6">
        <f t="shared" si="2"/>
        <v>90.9</v>
      </c>
      <c r="D188" s="6">
        <f t="shared" si="3"/>
        <v>15.49663</v>
      </c>
    </row>
    <row r="189">
      <c r="A189" s="4" t="s">
        <v>10243</v>
      </c>
      <c r="B189" s="10">
        <f t="shared" si="1"/>
        <v>0</v>
      </c>
      <c r="C189" s="6">
        <f t="shared" si="2"/>
        <v>90.9</v>
      </c>
      <c r="D189" s="6">
        <f t="shared" si="3"/>
        <v>15.493771</v>
      </c>
    </row>
    <row r="190">
      <c r="A190" s="4" t="s">
        <v>10244</v>
      </c>
      <c r="B190" s="10">
        <f t="shared" si="1"/>
        <v>100</v>
      </c>
      <c r="C190" s="6">
        <f t="shared" si="2"/>
        <v>92.4</v>
      </c>
      <c r="D190" s="6">
        <f t="shared" si="3"/>
        <v>15.754461</v>
      </c>
    </row>
    <row r="191">
      <c r="A191" s="4" t="s">
        <v>10245</v>
      </c>
      <c r="B191" s="10">
        <f t="shared" si="1"/>
        <v>100</v>
      </c>
      <c r="C191" s="6">
        <f t="shared" si="2"/>
        <v>90.3</v>
      </c>
      <c r="D191" s="6">
        <f t="shared" si="3"/>
        <v>15.384674</v>
      </c>
    </row>
    <row r="192">
      <c r="A192" s="4" t="s">
        <v>10246</v>
      </c>
      <c r="B192" s="10">
        <f t="shared" si="1"/>
        <v>100</v>
      </c>
      <c r="C192" s="6">
        <f t="shared" si="2"/>
        <v>91.2</v>
      </c>
      <c r="D192" s="6">
        <f t="shared" si="3"/>
        <v>15.534903</v>
      </c>
    </row>
    <row r="193">
      <c r="A193" s="4" t="s">
        <v>10247</v>
      </c>
      <c r="B193" s="10">
        <f t="shared" si="1"/>
        <v>100</v>
      </c>
      <c r="C193" s="6">
        <f t="shared" si="2"/>
        <v>90.3</v>
      </c>
      <c r="D193" s="6">
        <f t="shared" si="3"/>
        <v>15.390257</v>
      </c>
    </row>
    <row r="194">
      <c r="A194" s="4" t="s">
        <v>10248</v>
      </c>
      <c r="B194" s="10">
        <f t="shared" si="1"/>
        <v>100</v>
      </c>
      <c r="C194" s="6">
        <f t="shared" si="2"/>
        <v>90.2</v>
      </c>
      <c r="D194" s="6">
        <f t="shared" si="3"/>
        <v>15.368687</v>
      </c>
    </row>
    <row r="195">
      <c r="A195" s="4" t="s">
        <v>10249</v>
      </c>
      <c r="B195" s="10">
        <f t="shared" si="1"/>
        <v>100</v>
      </c>
      <c r="C195" s="6">
        <f t="shared" si="2"/>
        <v>90.4</v>
      </c>
      <c r="D195" s="6">
        <f t="shared" si="3"/>
        <v>15.411138</v>
      </c>
    </row>
    <row r="196">
      <c r="A196" s="4" t="s">
        <v>10250</v>
      </c>
      <c r="B196" s="10">
        <f t="shared" si="1"/>
        <v>100</v>
      </c>
      <c r="C196" s="6">
        <f t="shared" si="2"/>
        <v>90.3</v>
      </c>
      <c r="D196" s="6">
        <f t="shared" si="3"/>
        <v>15.393275</v>
      </c>
    </row>
    <row r="197">
      <c r="A197" s="4" t="s">
        <v>10251</v>
      </c>
      <c r="B197" s="10">
        <f t="shared" si="1"/>
        <v>100</v>
      </c>
      <c r="C197" s="6">
        <f t="shared" si="2"/>
        <v>90.4</v>
      </c>
      <c r="D197" s="6">
        <f t="shared" si="3"/>
        <v>15.396872</v>
      </c>
    </row>
    <row r="198">
      <c r="A198" s="4" t="s">
        <v>10252</v>
      </c>
      <c r="B198" s="10">
        <f t="shared" si="1"/>
        <v>0</v>
      </c>
      <c r="C198" s="6">
        <f t="shared" si="2"/>
        <v>91.7</v>
      </c>
      <c r="D198" s="6">
        <f t="shared" si="3"/>
        <v>15.624753</v>
      </c>
    </row>
    <row r="199">
      <c r="A199" s="4" t="s">
        <v>10253</v>
      </c>
      <c r="B199" s="10">
        <f t="shared" si="1"/>
        <v>100</v>
      </c>
      <c r="C199" s="6">
        <f t="shared" si="2"/>
        <v>90.4</v>
      </c>
      <c r="D199" s="6">
        <f t="shared" si="3"/>
        <v>15.409033</v>
      </c>
    </row>
    <row r="200">
      <c r="A200" s="4" t="s">
        <v>10254</v>
      </c>
      <c r="B200" s="10">
        <f t="shared" si="1"/>
        <v>0</v>
      </c>
      <c r="C200" s="6">
        <f t="shared" si="2"/>
        <v>90.4</v>
      </c>
      <c r="D200" s="6">
        <f t="shared" si="3"/>
        <v>15.413424</v>
      </c>
    </row>
    <row r="201">
      <c r="A201" s="4" t="s">
        <v>10255</v>
      </c>
      <c r="B201" s="10">
        <f t="shared" si="1"/>
        <v>100</v>
      </c>
      <c r="C201" s="6">
        <f t="shared" si="2"/>
        <v>90.6</v>
      </c>
      <c r="D201" s="6">
        <f t="shared" si="3"/>
        <v>15.433379</v>
      </c>
    </row>
    <row r="202">
      <c r="A202" s="4" t="s">
        <v>10256</v>
      </c>
      <c r="B202" s="10">
        <f t="shared" si="1"/>
        <v>0</v>
      </c>
      <c r="C202" s="6">
        <f t="shared" si="2"/>
        <v>91.3</v>
      </c>
      <c r="D202" s="6">
        <f t="shared" si="3"/>
        <v>15.567122</v>
      </c>
    </row>
    <row r="203">
      <c r="A203" s="4" t="s">
        <v>10257</v>
      </c>
      <c r="B203" s="10">
        <f t="shared" si="1"/>
        <v>0</v>
      </c>
      <c r="C203" s="6">
        <f t="shared" si="2"/>
        <v>91.8</v>
      </c>
      <c r="D203" s="6">
        <f t="shared" si="3"/>
        <v>15.641358</v>
      </c>
    </row>
    <row r="204">
      <c r="A204" s="4" t="s">
        <v>10258</v>
      </c>
      <c r="B204" s="10">
        <f t="shared" si="1"/>
        <v>100</v>
      </c>
      <c r="C204" s="6">
        <f t="shared" si="2"/>
        <v>91.8</v>
      </c>
      <c r="D204" s="6">
        <f t="shared" si="3"/>
        <v>15.650668</v>
      </c>
    </row>
    <row r="205">
      <c r="A205" s="4" t="s">
        <v>10259</v>
      </c>
      <c r="B205" s="10">
        <f t="shared" si="1"/>
        <v>100</v>
      </c>
      <c r="C205" s="6">
        <f t="shared" si="2"/>
        <v>92.4</v>
      </c>
      <c r="D205" s="6">
        <f t="shared" si="3"/>
        <v>15.750705</v>
      </c>
    </row>
    <row r="206">
      <c r="A206" s="4" t="s">
        <v>10260</v>
      </c>
      <c r="B206" s="10">
        <f t="shared" si="1"/>
        <v>100</v>
      </c>
      <c r="C206" s="6">
        <f t="shared" si="2"/>
        <v>94.7</v>
      </c>
      <c r="D206" s="6">
        <f t="shared" si="3"/>
        <v>16.133914</v>
      </c>
    </row>
    <row r="207">
      <c r="A207" s="4" t="s">
        <v>10261</v>
      </c>
      <c r="B207" s="10">
        <f t="shared" si="1"/>
        <v>100</v>
      </c>
      <c r="C207" s="6">
        <f t="shared" si="2"/>
        <v>92</v>
      </c>
      <c r="D207" s="6">
        <f t="shared" si="3"/>
        <v>15.681261</v>
      </c>
    </row>
    <row r="208">
      <c r="A208" s="4" t="s">
        <v>10262</v>
      </c>
      <c r="B208" s="10">
        <f t="shared" si="1"/>
        <v>100</v>
      </c>
      <c r="C208" s="6">
        <f t="shared" si="2"/>
        <v>93.8</v>
      </c>
      <c r="D208" s="6">
        <f t="shared" si="3"/>
        <v>15.989096</v>
      </c>
    </row>
    <row r="209">
      <c r="A209" s="4" t="s">
        <v>10263</v>
      </c>
      <c r="B209" s="10">
        <f t="shared" si="1"/>
        <v>0</v>
      </c>
      <c r="C209" s="6">
        <f t="shared" si="2"/>
        <v>94</v>
      </c>
      <c r="D209" s="6">
        <f t="shared" si="3"/>
        <v>16.015298</v>
      </c>
    </row>
    <row r="210">
      <c r="A210" s="4" t="s">
        <v>10264</v>
      </c>
      <c r="B210" s="10">
        <f t="shared" si="1"/>
        <v>100</v>
      </c>
      <c r="C210" s="6">
        <f t="shared" si="2"/>
        <v>94.5</v>
      </c>
      <c r="D210" s="6">
        <f t="shared" si="3"/>
        <v>16.10942</v>
      </c>
    </row>
    <row r="211">
      <c r="A211" s="4" t="s">
        <v>10265</v>
      </c>
      <c r="B211" s="10">
        <f t="shared" si="1"/>
        <v>100</v>
      </c>
      <c r="C211" s="6">
        <f t="shared" si="2"/>
        <v>93.9</v>
      </c>
      <c r="D211" s="6">
        <f t="shared" si="3"/>
        <v>16.000155</v>
      </c>
    </row>
    <row r="212">
      <c r="A212" s="4" t="s">
        <v>10266</v>
      </c>
      <c r="B212" s="10">
        <f t="shared" si="1"/>
        <v>100</v>
      </c>
      <c r="C212" s="6">
        <f t="shared" si="2"/>
        <v>95</v>
      </c>
      <c r="D212" s="6">
        <f t="shared" si="3"/>
        <v>16.184217</v>
      </c>
    </row>
    <row r="213">
      <c r="A213" s="4" t="s">
        <v>10267</v>
      </c>
      <c r="B213" s="10">
        <f t="shared" si="1"/>
        <v>100</v>
      </c>
      <c r="C213" s="6">
        <f t="shared" si="2"/>
        <v>95.1</v>
      </c>
      <c r="D213" s="6">
        <f t="shared" si="3"/>
        <v>16.199094</v>
      </c>
    </row>
    <row r="214">
      <c r="A214" s="4" t="s">
        <v>10268</v>
      </c>
      <c r="B214" s="10">
        <f t="shared" si="1"/>
        <v>100</v>
      </c>
      <c r="C214" s="6">
        <f t="shared" si="2"/>
        <v>95.2</v>
      </c>
      <c r="D214" s="6">
        <f t="shared" si="3"/>
        <v>16.225296</v>
      </c>
    </row>
    <row r="215">
      <c r="A215" s="4" t="s">
        <v>10269</v>
      </c>
      <c r="B215" s="10">
        <f t="shared" si="1"/>
        <v>100</v>
      </c>
      <c r="C215" s="6">
        <f t="shared" si="2"/>
        <v>94.7</v>
      </c>
      <c r="D215" s="6">
        <f t="shared" si="3"/>
        <v>16.14286</v>
      </c>
    </row>
    <row r="216">
      <c r="A216" s="4" t="s">
        <v>10270</v>
      </c>
      <c r="B216" s="10">
        <f t="shared" si="1"/>
        <v>100</v>
      </c>
      <c r="C216" s="6">
        <f t="shared" si="2"/>
        <v>94.9</v>
      </c>
      <c r="D216" s="6">
        <f t="shared" si="3"/>
        <v>16.169656</v>
      </c>
    </row>
    <row r="217">
      <c r="A217" s="4" t="s">
        <v>10271</v>
      </c>
      <c r="B217" s="10">
        <f t="shared" si="1"/>
        <v>100</v>
      </c>
      <c r="C217" s="6">
        <f t="shared" si="2"/>
        <v>93.7</v>
      </c>
      <c r="D217" s="6">
        <f t="shared" si="3"/>
        <v>15.960678</v>
      </c>
    </row>
    <row r="218">
      <c r="A218" s="4" t="s">
        <v>10272</v>
      </c>
      <c r="B218" s="10">
        <f t="shared" si="1"/>
        <v>100</v>
      </c>
      <c r="C218" s="6">
        <f t="shared" si="2"/>
        <v>94.2</v>
      </c>
      <c r="D218" s="6">
        <f t="shared" si="3"/>
        <v>16.04601</v>
      </c>
    </row>
    <row r="219">
      <c r="A219" s="4" t="s">
        <v>10273</v>
      </c>
      <c r="B219" s="10">
        <f t="shared" si="1"/>
        <v>100</v>
      </c>
      <c r="C219" s="6">
        <f t="shared" si="2"/>
        <v>94.2</v>
      </c>
      <c r="D219" s="6">
        <f t="shared" si="3"/>
        <v>16.048062</v>
      </c>
    </row>
    <row r="220">
      <c r="A220" s="4" t="s">
        <v>10274</v>
      </c>
      <c r="B220" s="10">
        <f t="shared" si="1"/>
        <v>100</v>
      </c>
      <c r="C220" s="6">
        <f t="shared" si="2"/>
        <v>93.8</v>
      </c>
      <c r="D220" s="6">
        <f t="shared" si="3"/>
        <v>15.985385</v>
      </c>
    </row>
    <row r="221">
      <c r="A221" s="4" t="s">
        <v>10275</v>
      </c>
      <c r="B221" s="10">
        <f t="shared" si="1"/>
        <v>100</v>
      </c>
      <c r="C221" s="6">
        <f t="shared" si="2"/>
        <v>93.8</v>
      </c>
      <c r="D221" s="6">
        <f t="shared" si="3"/>
        <v>15.984234</v>
      </c>
    </row>
    <row r="222">
      <c r="A222" s="4" t="s">
        <v>10276</v>
      </c>
      <c r="B222" s="10">
        <f t="shared" si="1"/>
        <v>100</v>
      </c>
      <c r="C222" s="6">
        <f t="shared" si="2"/>
        <v>93.2</v>
      </c>
      <c r="D222" s="6">
        <f t="shared" si="3"/>
        <v>15.887405</v>
      </c>
    </row>
    <row r="223">
      <c r="A223" s="4" t="s">
        <v>10277</v>
      </c>
      <c r="B223" s="10">
        <f t="shared" si="1"/>
        <v>100</v>
      </c>
      <c r="C223" s="6">
        <f t="shared" si="2"/>
        <v>93.2</v>
      </c>
      <c r="D223" s="6">
        <f t="shared" si="3"/>
        <v>15.890673</v>
      </c>
    </row>
    <row r="224">
      <c r="A224" s="4" t="s">
        <v>10278</v>
      </c>
      <c r="B224" s="10">
        <f t="shared" si="1"/>
        <v>100</v>
      </c>
      <c r="C224" s="6">
        <f t="shared" si="2"/>
        <v>93.3</v>
      </c>
      <c r="D224" s="6">
        <f t="shared" si="3"/>
        <v>15.900561</v>
      </c>
    </row>
    <row r="225">
      <c r="A225" s="4" t="s">
        <v>10279</v>
      </c>
      <c r="B225" s="10">
        <f t="shared" si="1"/>
        <v>100</v>
      </c>
      <c r="C225" s="6">
        <f t="shared" si="2"/>
        <v>92.8</v>
      </c>
      <c r="D225" s="6">
        <f t="shared" si="3"/>
        <v>15.806951</v>
      </c>
    </row>
    <row r="226">
      <c r="A226" s="4" t="s">
        <v>10280</v>
      </c>
      <c r="B226" s="10">
        <f t="shared" si="1"/>
        <v>0</v>
      </c>
      <c r="C226" s="6">
        <f t="shared" si="2"/>
        <v>92.7</v>
      </c>
      <c r="D226" s="6">
        <f t="shared" si="3"/>
        <v>15.805198</v>
      </c>
    </row>
    <row r="227">
      <c r="A227" s="4" t="s">
        <v>10281</v>
      </c>
      <c r="B227" s="10">
        <f t="shared" si="1"/>
        <v>0</v>
      </c>
      <c r="C227" s="6">
        <f t="shared" si="2"/>
        <v>92.6</v>
      </c>
      <c r="D227" s="6">
        <f t="shared" si="3"/>
        <v>15.778988</v>
      </c>
    </row>
    <row r="228">
      <c r="A228" s="4" t="s">
        <v>10282</v>
      </c>
      <c r="B228" s="10">
        <f t="shared" si="1"/>
        <v>100</v>
      </c>
      <c r="C228" s="6">
        <f t="shared" si="2"/>
        <v>92.7</v>
      </c>
      <c r="D228" s="6">
        <f t="shared" si="3"/>
        <v>15.801085</v>
      </c>
    </row>
    <row r="229">
      <c r="A229" s="4" t="s">
        <v>10283</v>
      </c>
      <c r="B229" s="10">
        <f t="shared" si="1"/>
        <v>0</v>
      </c>
      <c r="C229" s="6">
        <f t="shared" si="2"/>
        <v>92.7</v>
      </c>
      <c r="D229" s="6">
        <f t="shared" si="3"/>
        <v>15.798079</v>
      </c>
    </row>
    <row r="230">
      <c r="A230" s="4" t="s">
        <v>10284</v>
      </c>
      <c r="B230" s="10">
        <f t="shared" si="1"/>
        <v>0</v>
      </c>
      <c r="C230" s="6">
        <f t="shared" si="2"/>
        <v>95.6</v>
      </c>
      <c r="D230" s="6">
        <f t="shared" si="3"/>
        <v>16.287997</v>
      </c>
    </row>
    <row r="231">
      <c r="A231" s="4" t="s">
        <v>10285</v>
      </c>
      <c r="B231" s="10">
        <f t="shared" si="1"/>
        <v>100</v>
      </c>
      <c r="C231" s="6">
        <f t="shared" si="2"/>
        <v>92.5</v>
      </c>
      <c r="D231" s="6">
        <f t="shared" si="3"/>
        <v>15.763218</v>
      </c>
    </row>
    <row r="232">
      <c r="A232" s="4" t="s">
        <v>10286</v>
      </c>
      <c r="B232" s="10">
        <f t="shared" si="1"/>
        <v>0</v>
      </c>
      <c r="C232" s="6">
        <f t="shared" si="2"/>
        <v>92.6</v>
      </c>
      <c r="D232" s="6">
        <f t="shared" si="3"/>
        <v>15.783956</v>
      </c>
    </row>
    <row r="233">
      <c r="A233" s="4" t="s">
        <v>10287</v>
      </c>
      <c r="B233" s="10">
        <f t="shared" si="1"/>
        <v>100</v>
      </c>
      <c r="C233" s="6">
        <f t="shared" si="2"/>
        <v>92.7</v>
      </c>
      <c r="D233" s="6">
        <f t="shared" si="3"/>
        <v>15.799697</v>
      </c>
    </row>
    <row r="234">
      <c r="A234" s="4" t="s">
        <v>10288</v>
      </c>
      <c r="B234" s="10">
        <f t="shared" si="1"/>
        <v>0</v>
      </c>
      <c r="C234" s="6">
        <f t="shared" si="2"/>
        <v>92.7</v>
      </c>
      <c r="D234" s="6">
        <f t="shared" si="3"/>
        <v>15.79864</v>
      </c>
    </row>
    <row r="235">
      <c r="A235" s="4" t="s">
        <v>10289</v>
      </c>
      <c r="B235" s="10">
        <f t="shared" si="1"/>
        <v>100</v>
      </c>
      <c r="C235" s="6">
        <f t="shared" si="2"/>
        <v>92.8</v>
      </c>
      <c r="D235" s="6">
        <f t="shared" si="3"/>
        <v>15.806246</v>
      </c>
    </row>
    <row r="236">
      <c r="A236" s="4" t="s">
        <v>10290</v>
      </c>
      <c r="B236" s="10">
        <f t="shared" si="1"/>
        <v>100</v>
      </c>
      <c r="C236" s="6">
        <f t="shared" si="2"/>
        <v>93.8</v>
      </c>
      <c r="D236" s="6">
        <f t="shared" si="3"/>
        <v>15.990251</v>
      </c>
    </row>
    <row r="237">
      <c r="A237" s="4" t="s">
        <v>10291</v>
      </c>
      <c r="B237" s="10">
        <f t="shared" si="1"/>
        <v>0</v>
      </c>
      <c r="C237" s="6">
        <f t="shared" si="2"/>
        <v>92.9</v>
      </c>
      <c r="D237" s="6">
        <f t="shared" si="3"/>
        <v>15.832432</v>
      </c>
    </row>
    <row r="238">
      <c r="A238" s="4" t="s">
        <v>10292</v>
      </c>
      <c r="B238" s="10">
        <f t="shared" si="1"/>
        <v>0</v>
      </c>
      <c r="C238" s="6">
        <f t="shared" si="2"/>
        <v>93</v>
      </c>
      <c r="D238" s="6">
        <f t="shared" si="3"/>
        <v>15.840694</v>
      </c>
    </row>
    <row r="239">
      <c r="A239" s="4" t="s">
        <v>10293</v>
      </c>
      <c r="B239" s="10">
        <f t="shared" si="1"/>
        <v>100</v>
      </c>
      <c r="C239" s="6">
        <f t="shared" si="2"/>
        <v>93.1</v>
      </c>
      <c r="D239" s="6">
        <f t="shared" si="3"/>
        <v>15.863959</v>
      </c>
    </row>
    <row r="240">
      <c r="A240" s="4" t="s">
        <v>10294</v>
      </c>
      <c r="B240" s="10">
        <f t="shared" si="1"/>
        <v>0</v>
      </c>
      <c r="C240" s="6">
        <f t="shared" si="2"/>
        <v>93.1</v>
      </c>
      <c r="D240" s="6">
        <f t="shared" si="3"/>
        <v>15.872196</v>
      </c>
    </row>
    <row r="241">
      <c r="A241" s="4" t="s">
        <v>10295</v>
      </c>
      <c r="B241" s="10">
        <f t="shared" si="1"/>
        <v>100</v>
      </c>
      <c r="C241" s="6">
        <f t="shared" si="2"/>
        <v>93</v>
      </c>
      <c r="D241" s="6">
        <f t="shared" si="3"/>
        <v>15.855472</v>
      </c>
    </row>
    <row r="242">
      <c r="A242" s="4" t="s">
        <v>10296</v>
      </c>
      <c r="B242" s="10">
        <f t="shared" si="1"/>
        <v>100</v>
      </c>
      <c r="C242" s="6">
        <f t="shared" si="2"/>
        <v>92.9</v>
      </c>
      <c r="D242" s="6">
        <f t="shared" si="3"/>
        <v>15.825932</v>
      </c>
    </row>
    <row r="243">
      <c r="A243" s="4" t="s">
        <v>10297</v>
      </c>
      <c r="B243" s="10">
        <f t="shared" si="1"/>
        <v>100</v>
      </c>
      <c r="C243" s="6">
        <f t="shared" si="2"/>
        <v>92.7</v>
      </c>
      <c r="D243" s="6">
        <f t="shared" si="3"/>
        <v>15.789957</v>
      </c>
    </row>
    <row r="244">
      <c r="A244" s="4" t="s">
        <v>10298</v>
      </c>
      <c r="B244" s="10">
        <f t="shared" si="1"/>
        <v>0</v>
      </c>
      <c r="C244" s="6">
        <f t="shared" si="2"/>
        <v>92.5</v>
      </c>
      <c r="D244" s="6">
        <f t="shared" si="3"/>
        <v>15.755063</v>
      </c>
    </row>
    <row r="245">
      <c r="A245" s="4" t="s">
        <v>10299</v>
      </c>
      <c r="B245" s="10">
        <f t="shared" si="1"/>
        <v>100</v>
      </c>
      <c r="C245" s="6">
        <f t="shared" si="2"/>
        <v>92.7</v>
      </c>
      <c r="D245" s="6">
        <f t="shared" si="3"/>
        <v>15.792791</v>
      </c>
    </row>
    <row r="246">
      <c r="A246" s="4" t="s">
        <v>10300</v>
      </c>
      <c r="B246" s="10">
        <f t="shared" si="1"/>
        <v>100</v>
      </c>
      <c r="C246" s="6">
        <f t="shared" si="2"/>
        <v>92.2</v>
      </c>
      <c r="D246" s="6">
        <f t="shared" si="3"/>
        <v>15.70671</v>
      </c>
    </row>
    <row r="247">
      <c r="A247" s="4" t="s">
        <v>10301</v>
      </c>
      <c r="B247" s="10">
        <f t="shared" si="1"/>
        <v>0</v>
      </c>
      <c r="C247" s="6">
        <f t="shared" si="2"/>
        <v>92.2</v>
      </c>
      <c r="D247" s="6">
        <f t="shared" si="3"/>
        <v>15.704563</v>
      </c>
    </row>
    <row r="248">
      <c r="A248" s="4" t="s">
        <v>10302</v>
      </c>
      <c r="B248" s="10">
        <f t="shared" si="1"/>
        <v>100</v>
      </c>
      <c r="C248" s="6">
        <f t="shared" si="2"/>
        <v>90.7</v>
      </c>
      <c r="D248" s="6">
        <f t="shared" si="3"/>
        <v>15.454957</v>
      </c>
    </row>
    <row r="249">
      <c r="A249" s="4" t="s">
        <v>10303</v>
      </c>
      <c r="B249" s="10">
        <f t="shared" si="1"/>
        <v>0</v>
      </c>
      <c r="C249" s="6">
        <f t="shared" si="2"/>
        <v>90.7</v>
      </c>
      <c r="D249" s="6">
        <f t="shared" si="3"/>
        <v>15.459442</v>
      </c>
    </row>
    <row r="250">
      <c r="A250" s="4" t="s">
        <v>10304</v>
      </c>
      <c r="B250" s="10">
        <f t="shared" si="1"/>
        <v>0</v>
      </c>
      <c r="C250" s="6">
        <f t="shared" si="2"/>
        <v>93</v>
      </c>
      <c r="D250" s="6">
        <f t="shared" si="3"/>
        <v>15.845429</v>
      </c>
    </row>
    <row r="251">
      <c r="A251" s="4" t="s">
        <v>10305</v>
      </c>
      <c r="B251" s="10">
        <f t="shared" si="1"/>
        <v>100</v>
      </c>
      <c r="C251" s="6">
        <f t="shared" si="2"/>
        <v>93.5</v>
      </c>
      <c r="D251" s="6">
        <f t="shared" si="3"/>
        <v>15.940743</v>
      </c>
    </row>
    <row r="252">
      <c r="A252" s="4" t="s">
        <v>10306</v>
      </c>
      <c r="B252" s="10">
        <f t="shared" si="1"/>
        <v>100</v>
      </c>
      <c r="C252" s="6">
        <f t="shared" si="2"/>
        <v>92.7</v>
      </c>
      <c r="D252" s="6">
        <f t="shared" si="3"/>
        <v>15.796563</v>
      </c>
    </row>
    <row r="253">
      <c r="A253" s="4" t="s">
        <v>10307</v>
      </c>
      <c r="B253" s="10">
        <f t="shared" si="1"/>
        <v>0</v>
      </c>
      <c r="C253" s="6">
        <f t="shared" si="2"/>
        <v>92.5</v>
      </c>
      <c r="D253" s="6">
        <f t="shared" si="3"/>
        <v>15.761866</v>
      </c>
    </row>
    <row r="254">
      <c r="A254" s="4" t="s">
        <v>10308</v>
      </c>
      <c r="B254" s="10">
        <f t="shared" si="1"/>
        <v>100</v>
      </c>
      <c r="C254" s="6">
        <f t="shared" si="2"/>
        <v>93.9</v>
      </c>
      <c r="D254" s="6">
        <f t="shared" si="3"/>
        <v>15.999393</v>
      </c>
    </row>
    <row r="255">
      <c r="A255" s="4" t="s">
        <v>10309</v>
      </c>
      <c r="B255" s="10">
        <f t="shared" si="1"/>
        <v>100</v>
      </c>
      <c r="C255" s="6">
        <f t="shared" si="2"/>
        <v>92.9</v>
      </c>
      <c r="D255" s="6">
        <f t="shared" si="3"/>
        <v>15.823728</v>
      </c>
    </row>
    <row r="256">
      <c r="A256" s="4" t="s">
        <v>10310</v>
      </c>
      <c r="B256" s="10">
        <f t="shared" si="1"/>
        <v>100</v>
      </c>
      <c r="C256" s="6">
        <f t="shared" si="2"/>
        <v>95.6</v>
      </c>
      <c r="D256" s="6">
        <f t="shared" si="3"/>
        <v>16.287752</v>
      </c>
    </row>
    <row r="257">
      <c r="A257" s="4" t="s">
        <v>10311</v>
      </c>
      <c r="B257" s="10">
        <f t="shared" si="1"/>
        <v>100</v>
      </c>
      <c r="C257" s="6">
        <f t="shared" si="2"/>
        <v>93.6</v>
      </c>
      <c r="D257" s="6">
        <f t="shared" si="3"/>
        <v>15.951257</v>
      </c>
    </row>
    <row r="258">
      <c r="A258" s="4" t="s">
        <v>10312</v>
      </c>
      <c r="B258" s="10">
        <f t="shared" si="1"/>
        <v>100</v>
      </c>
      <c r="C258" s="6">
        <f t="shared" si="2"/>
        <v>93.6</v>
      </c>
      <c r="D258" s="6">
        <f t="shared" si="3"/>
        <v>15.951122</v>
      </c>
    </row>
    <row r="259">
      <c r="A259" s="4" t="s">
        <v>10313</v>
      </c>
      <c r="B259" s="10">
        <f t="shared" si="1"/>
        <v>100</v>
      </c>
      <c r="C259" s="6">
        <f t="shared" si="2"/>
        <v>96.1</v>
      </c>
      <c r="D259" s="6">
        <f t="shared" si="3"/>
        <v>16.37616</v>
      </c>
    </row>
    <row r="260">
      <c r="A260" s="4" t="s">
        <v>10314</v>
      </c>
      <c r="B260" s="10">
        <f t="shared" si="1"/>
        <v>100</v>
      </c>
      <c r="C260" s="6">
        <f t="shared" si="2"/>
        <v>93.6</v>
      </c>
      <c r="D260" s="6">
        <f t="shared" si="3"/>
        <v>15.952916</v>
      </c>
    </row>
    <row r="261">
      <c r="A261" s="4" t="s">
        <v>10315</v>
      </c>
      <c r="B261" s="10">
        <f t="shared" si="1"/>
        <v>100</v>
      </c>
      <c r="C261" s="6">
        <f t="shared" si="2"/>
        <v>93.5</v>
      </c>
      <c r="D261" s="6">
        <f t="shared" si="3"/>
        <v>15.934189</v>
      </c>
    </row>
    <row r="262">
      <c r="A262" s="4" t="s">
        <v>10316</v>
      </c>
      <c r="B262" s="10">
        <f t="shared" si="1"/>
        <v>0</v>
      </c>
      <c r="C262" s="6">
        <f t="shared" si="2"/>
        <v>93.5</v>
      </c>
      <c r="D262" s="6">
        <f t="shared" si="3"/>
        <v>15.934578</v>
      </c>
    </row>
    <row r="263">
      <c r="A263" s="4" t="s">
        <v>10317</v>
      </c>
      <c r="B263" s="10">
        <f t="shared" si="1"/>
        <v>100</v>
      </c>
      <c r="C263" s="6">
        <f t="shared" si="2"/>
        <v>94.1</v>
      </c>
      <c r="D263" s="6">
        <f t="shared" si="3"/>
        <v>16.0398</v>
      </c>
    </row>
    <row r="264">
      <c r="A264" s="4" t="s">
        <v>10318</v>
      </c>
      <c r="B264" s="10">
        <f t="shared" si="1"/>
        <v>0</v>
      </c>
      <c r="C264" s="6">
        <f t="shared" si="2"/>
        <v>94</v>
      </c>
      <c r="D264" s="6">
        <f t="shared" si="3"/>
        <v>16.016625</v>
      </c>
    </row>
    <row r="265">
      <c r="A265" s="4" t="s">
        <v>10319</v>
      </c>
      <c r="B265" s="10">
        <f t="shared" si="1"/>
        <v>0</v>
      </c>
      <c r="C265" s="6">
        <f t="shared" si="2"/>
        <v>93.7</v>
      </c>
      <c r="D265" s="6">
        <f t="shared" si="3"/>
        <v>15.972462</v>
      </c>
    </row>
    <row r="266">
      <c r="A266" s="4" t="s">
        <v>10320</v>
      </c>
      <c r="B266" s="10">
        <f t="shared" si="1"/>
        <v>0</v>
      </c>
      <c r="C266" s="6">
        <f t="shared" si="2"/>
        <v>95.4</v>
      </c>
      <c r="D266" s="6">
        <f t="shared" si="3"/>
        <v>16.251273</v>
      </c>
    </row>
    <row r="267">
      <c r="A267" s="4" t="s">
        <v>10321</v>
      </c>
      <c r="B267" s="10">
        <f t="shared" si="1"/>
        <v>0</v>
      </c>
      <c r="C267" s="6">
        <f t="shared" si="2"/>
        <v>93.6</v>
      </c>
      <c r="D267" s="6">
        <f t="shared" si="3"/>
        <v>15.945007</v>
      </c>
    </row>
    <row r="268">
      <c r="A268" s="4" t="s">
        <v>10322</v>
      </c>
      <c r="B268" s="10">
        <f t="shared" si="1"/>
        <v>100</v>
      </c>
      <c r="C268" s="6">
        <f t="shared" si="2"/>
        <v>96.5</v>
      </c>
      <c r="D268" s="6">
        <f t="shared" si="3"/>
        <v>16.441184</v>
      </c>
    </row>
    <row r="269">
      <c r="A269" s="4" t="s">
        <v>10323</v>
      </c>
      <c r="B269" s="10">
        <f t="shared" si="1"/>
        <v>100</v>
      </c>
      <c r="C269" s="6">
        <f t="shared" si="2"/>
        <v>93.8</v>
      </c>
      <c r="D269" s="6">
        <f t="shared" si="3"/>
        <v>15.981289</v>
      </c>
    </row>
    <row r="270">
      <c r="A270" s="4" t="s">
        <v>10324</v>
      </c>
      <c r="B270" s="10">
        <f t="shared" si="1"/>
        <v>100</v>
      </c>
      <c r="C270" s="6">
        <f t="shared" si="2"/>
        <v>94.1</v>
      </c>
      <c r="D270" s="6">
        <f t="shared" si="3"/>
        <v>16.03101</v>
      </c>
    </row>
    <row r="271">
      <c r="A271" s="4" t="s">
        <v>10325</v>
      </c>
      <c r="B271" s="10">
        <f t="shared" si="1"/>
        <v>100</v>
      </c>
      <c r="C271" s="6">
        <f t="shared" si="2"/>
        <v>94.2</v>
      </c>
      <c r="D271" s="6">
        <f t="shared" si="3"/>
        <v>16.054034</v>
      </c>
    </row>
    <row r="272">
      <c r="A272" s="4" t="s">
        <v>10326</v>
      </c>
      <c r="B272" s="10">
        <f t="shared" si="1"/>
        <v>0</v>
      </c>
      <c r="C272" s="6">
        <f t="shared" si="2"/>
        <v>95.7</v>
      </c>
      <c r="D272" s="6">
        <f t="shared" si="3"/>
        <v>16.308379</v>
      </c>
    </row>
    <row r="273">
      <c r="A273" s="4" t="s">
        <v>10327</v>
      </c>
      <c r="B273" s="10">
        <f t="shared" si="1"/>
        <v>100</v>
      </c>
      <c r="C273" s="6">
        <f t="shared" si="2"/>
        <v>95.1</v>
      </c>
      <c r="D273" s="6">
        <f t="shared" si="3"/>
        <v>16.204791</v>
      </c>
    </row>
    <row r="274">
      <c r="A274" s="4" t="s">
        <v>10328</v>
      </c>
      <c r="B274" s="10">
        <f t="shared" si="1"/>
        <v>100</v>
      </c>
      <c r="C274" s="6">
        <f t="shared" si="2"/>
        <v>95.4</v>
      </c>
      <c r="D274" s="6">
        <f t="shared" si="3"/>
        <v>16.249737</v>
      </c>
    </row>
    <row r="275">
      <c r="A275" s="4" t="s">
        <v>10329</v>
      </c>
      <c r="B275" s="10">
        <f t="shared" si="1"/>
        <v>100</v>
      </c>
      <c r="C275" s="6">
        <f t="shared" si="2"/>
        <v>93.8</v>
      </c>
      <c r="D275" s="6">
        <f t="shared" si="3"/>
        <v>15.976341</v>
      </c>
    </row>
    <row r="276">
      <c r="A276" s="4" t="s">
        <v>10330</v>
      </c>
      <c r="B276" s="10">
        <f t="shared" si="1"/>
        <v>100</v>
      </c>
      <c r="C276" s="6">
        <f t="shared" si="2"/>
        <v>93.7</v>
      </c>
      <c r="D276" s="6">
        <f t="shared" si="3"/>
        <v>15.968579</v>
      </c>
    </row>
    <row r="277">
      <c r="A277" s="4" t="s">
        <v>10331</v>
      </c>
      <c r="B277" s="10">
        <f t="shared" si="1"/>
        <v>100</v>
      </c>
      <c r="C277" s="6">
        <f t="shared" si="2"/>
        <v>93.4</v>
      </c>
      <c r="D277" s="6">
        <f t="shared" si="3"/>
        <v>15.908278</v>
      </c>
    </row>
    <row r="278">
      <c r="A278" s="4" t="s">
        <v>10332</v>
      </c>
      <c r="B278" s="10">
        <f t="shared" si="1"/>
        <v>0</v>
      </c>
      <c r="C278" s="6">
        <f t="shared" si="2"/>
        <v>93.5</v>
      </c>
      <c r="D278" s="6">
        <f t="shared" si="3"/>
        <v>15.928741</v>
      </c>
    </row>
    <row r="279">
      <c r="A279" s="4" t="s">
        <v>10333</v>
      </c>
      <c r="B279" s="10">
        <f t="shared" si="1"/>
        <v>100</v>
      </c>
      <c r="C279" s="6">
        <f t="shared" si="2"/>
        <v>93.2</v>
      </c>
      <c r="D279" s="6">
        <f t="shared" si="3"/>
        <v>15.877079</v>
      </c>
    </row>
    <row r="280">
      <c r="A280" s="4" t="s">
        <v>10334</v>
      </c>
      <c r="B280" s="10">
        <f t="shared" si="1"/>
        <v>100</v>
      </c>
      <c r="C280" s="6">
        <f t="shared" si="2"/>
        <v>92.9</v>
      </c>
      <c r="D280" s="6">
        <f t="shared" si="3"/>
        <v>15.838457</v>
      </c>
    </row>
    <row r="281">
      <c r="A281" s="4" t="s">
        <v>10335</v>
      </c>
      <c r="B281" s="10">
        <f t="shared" si="1"/>
        <v>100</v>
      </c>
      <c r="C281" s="6">
        <f t="shared" si="2"/>
        <v>92.9</v>
      </c>
      <c r="D281" s="6">
        <f t="shared" si="3"/>
        <v>15.833014</v>
      </c>
    </row>
    <row r="282">
      <c r="A282" s="4" t="s">
        <v>10336</v>
      </c>
      <c r="B282" s="10">
        <f t="shared" si="1"/>
        <v>100</v>
      </c>
      <c r="C282" s="6">
        <f t="shared" si="2"/>
        <v>94.7</v>
      </c>
      <c r="D282" s="6">
        <f t="shared" si="3"/>
        <v>16.139194</v>
      </c>
    </row>
    <row r="283">
      <c r="A283" s="4" t="s">
        <v>10337</v>
      </c>
      <c r="B283" s="10">
        <f t="shared" si="1"/>
        <v>0</v>
      </c>
      <c r="C283" s="6">
        <f t="shared" si="2"/>
        <v>93</v>
      </c>
      <c r="D283" s="6">
        <f t="shared" si="3"/>
        <v>15.847006</v>
      </c>
    </row>
    <row r="284">
      <c r="A284" s="4" t="s">
        <v>10338</v>
      </c>
      <c r="B284" s="10">
        <f t="shared" si="1"/>
        <v>100</v>
      </c>
      <c r="C284" s="6">
        <f t="shared" si="2"/>
        <v>92.9</v>
      </c>
      <c r="D284" s="6">
        <f t="shared" si="3"/>
        <v>15.825219</v>
      </c>
    </row>
    <row r="285">
      <c r="A285" s="4" t="s">
        <v>10339</v>
      </c>
      <c r="B285" s="10">
        <f t="shared" si="1"/>
        <v>100</v>
      </c>
      <c r="C285" s="6">
        <f t="shared" si="2"/>
        <v>93.3</v>
      </c>
      <c r="D285" s="6">
        <f t="shared" si="3"/>
        <v>15.903567</v>
      </c>
    </row>
    <row r="286">
      <c r="A286" s="4" t="s">
        <v>10340</v>
      </c>
      <c r="B286" s="10">
        <f t="shared" si="1"/>
        <v>100</v>
      </c>
      <c r="C286" s="6">
        <f t="shared" si="2"/>
        <v>93</v>
      </c>
      <c r="D286" s="6">
        <f t="shared" si="3"/>
        <v>15.856754</v>
      </c>
    </row>
    <row r="287">
      <c r="A287" s="4" t="s">
        <v>10341</v>
      </c>
      <c r="B287" s="10">
        <f t="shared" si="1"/>
        <v>100</v>
      </c>
      <c r="C287" s="6">
        <f t="shared" si="2"/>
        <v>93.1</v>
      </c>
      <c r="D287" s="6">
        <f t="shared" si="3"/>
        <v>15.860101</v>
      </c>
    </row>
    <row r="288">
      <c r="A288" s="4" t="s">
        <v>10342</v>
      </c>
      <c r="B288" s="10">
        <f t="shared" si="1"/>
        <v>100</v>
      </c>
      <c r="C288" s="6">
        <f t="shared" si="2"/>
        <v>94.8</v>
      </c>
      <c r="D288" s="6">
        <f t="shared" si="3"/>
        <v>16.162402</v>
      </c>
    </row>
    <row r="289">
      <c r="A289" s="4" t="s">
        <v>10343</v>
      </c>
      <c r="B289" s="10">
        <f t="shared" si="1"/>
        <v>100</v>
      </c>
      <c r="C289" s="6">
        <f t="shared" si="2"/>
        <v>93.2</v>
      </c>
      <c r="D289" s="6">
        <f t="shared" si="3"/>
        <v>15.874256</v>
      </c>
    </row>
    <row r="290">
      <c r="A290" s="4" t="s">
        <v>10344</v>
      </c>
      <c r="B290" s="10">
        <f t="shared" si="1"/>
        <v>0</v>
      </c>
      <c r="C290" s="6">
        <f t="shared" si="2"/>
        <v>92.9</v>
      </c>
      <c r="D290" s="6">
        <f t="shared" si="3"/>
        <v>15.833919</v>
      </c>
    </row>
    <row r="291">
      <c r="A291" s="4" t="s">
        <v>10345</v>
      </c>
      <c r="B291" s="10">
        <f t="shared" si="1"/>
        <v>0</v>
      </c>
      <c r="C291" s="6">
        <f t="shared" si="2"/>
        <v>94.2</v>
      </c>
      <c r="D291" s="6">
        <f t="shared" si="3"/>
        <v>16.059912</v>
      </c>
    </row>
    <row r="292">
      <c r="A292" s="4" t="s">
        <v>10346</v>
      </c>
      <c r="B292" s="10">
        <f t="shared" si="1"/>
        <v>100</v>
      </c>
      <c r="C292" s="6">
        <f t="shared" si="2"/>
        <v>92.9</v>
      </c>
      <c r="D292" s="6">
        <f t="shared" si="3"/>
        <v>15.833792</v>
      </c>
    </row>
    <row r="293">
      <c r="A293" s="4" t="s">
        <v>10347</v>
      </c>
      <c r="B293" s="10">
        <f t="shared" si="1"/>
        <v>100</v>
      </c>
      <c r="C293" s="6">
        <f t="shared" si="2"/>
        <v>94</v>
      </c>
      <c r="D293" s="6">
        <f t="shared" si="3"/>
        <v>16.014561</v>
      </c>
    </row>
    <row r="294">
      <c r="A294" s="4" t="s">
        <v>10348</v>
      </c>
      <c r="B294" s="10">
        <f t="shared" si="1"/>
        <v>100</v>
      </c>
      <c r="C294" s="6">
        <f t="shared" si="2"/>
        <v>95.8</v>
      </c>
      <c r="D294" s="6">
        <f t="shared" si="3"/>
        <v>16.32036</v>
      </c>
    </row>
    <row r="295">
      <c r="A295" s="4" t="s">
        <v>10349</v>
      </c>
      <c r="B295" s="10">
        <f t="shared" si="1"/>
        <v>0</v>
      </c>
      <c r="C295" s="6">
        <f t="shared" si="2"/>
        <v>92.9</v>
      </c>
      <c r="D295" s="6">
        <f t="shared" si="3"/>
        <v>15.834853</v>
      </c>
    </row>
    <row r="296">
      <c r="A296" s="4" t="s">
        <v>10350</v>
      </c>
      <c r="B296" s="10">
        <f t="shared" si="1"/>
        <v>0</v>
      </c>
      <c r="C296" s="6">
        <f t="shared" si="2"/>
        <v>93.1</v>
      </c>
      <c r="D296" s="6">
        <f t="shared" si="3"/>
        <v>15.872172</v>
      </c>
    </row>
    <row r="297">
      <c r="A297" s="4" t="s">
        <v>10351</v>
      </c>
      <c r="B297" s="10">
        <f t="shared" si="1"/>
        <v>0</v>
      </c>
      <c r="C297" s="6">
        <f t="shared" si="2"/>
        <v>93</v>
      </c>
      <c r="D297" s="6">
        <f t="shared" si="3"/>
        <v>15.841214</v>
      </c>
    </row>
    <row r="298">
      <c r="A298" s="4" t="s">
        <v>10352</v>
      </c>
      <c r="B298" s="10">
        <f t="shared" si="1"/>
        <v>100</v>
      </c>
      <c r="C298" s="6">
        <f t="shared" si="2"/>
        <v>93</v>
      </c>
      <c r="D298" s="6">
        <f t="shared" si="3"/>
        <v>15.846305</v>
      </c>
    </row>
    <row r="299">
      <c r="A299" s="4" t="s">
        <v>10353</v>
      </c>
      <c r="B299" s="10">
        <f t="shared" si="1"/>
        <v>100</v>
      </c>
      <c r="C299" s="6">
        <f t="shared" si="2"/>
        <v>93.5</v>
      </c>
      <c r="D299" s="6">
        <f t="shared" si="3"/>
        <v>15.92773</v>
      </c>
    </row>
    <row r="300">
      <c r="A300" s="4" t="s">
        <v>10354</v>
      </c>
      <c r="B300" s="10">
        <f t="shared" si="1"/>
        <v>100</v>
      </c>
      <c r="C300" s="6">
        <f t="shared" si="2"/>
        <v>93.4</v>
      </c>
      <c r="D300" s="6">
        <f t="shared" si="3"/>
        <v>15.921647</v>
      </c>
    </row>
    <row r="301">
      <c r="A301" s="4" t="s">
        <v>10355</v>
      </c>
      <c r="B301" s="10">
        <f t="shared" si="1"/>
        <v>0</v>
      </c>
      <c r="C301" s="6">
        <f t="shared" si="2"/>
        <v>95.4</v>
      </c>
      <c r="D301" s="6">
        <f t="shared" si="3"/>
        <v>16.250159</v>
      </c>
    </row>
    <row r="302">
      <c r="A302" s="4" t="s">
        <v>10356</v>
      </c>
      <c r="B302" s="10">
        <f t="shared" si="1"/>
        <v>0</v>
      </c>
      <c r="C302" s="6">
        <f t="shared" si="2"/>
        <v>93.3</v>
      </c>
      <c r="D302" s="6">
        <f t="shared" si="3"/>
        <v>15.897477</v>
      </c>
    </row>
    <row r="303">
      <c r="A303" s="4" t="s">
        <v>10357</v>
      </c>
      <c r="B303" s="10">
        <f t="shared" si="1"/>
        <v>100</v>
      </c>
      <c r="C303" s="6">
        <f t="shared" si="2"/>
        <v>93.4</v>
      </c>
      <c r="D303" s="6">
        <f t="shared" si="3"/>
        <v>15.911628</v>
      </c>
    </row>
    <row r="304">
      <c r="A304" s="4" t="s">
        <v>10358</v>
      </c>
      <c r="B304" s="10">
        <f t="shared" si="1"/>
        <v>100</v>
      </c>
      <c r="C304" s="6">
        <f t="shared" si="2"/>
        <v>95</v>
      </c>
      <c r="D304" s="6">
        <f t="shared" si="3"/>
        <v>16.192876</v>
      </c>
    </row>
    <row r="305">
      <c r="A305" s="4" t="s">
        <v>10359</v>
      </c>
      <c r="B305" s="10">
        <f t="shared" si="1"/>
        <v>100</v>
      </c>
      <c r="C305" s="6">
        <f t="shared" si="2"/>
        <v>93.5</v>
      </c>
      <c r="D305" s="6">
        <f t="shared" si="3"/>
        <v>15.926788</v>
      </c>
    </row>
    <row r="306">
      <c r="A306" s="4" t="s">
        <v>10360</v>
      </c>
      <c r="B306" s="10">
        <f t="shared" si="1"/>
        <v>100</v>
      </c>
      <c r="C306" s="6">
        <f t="shared" si="2"/>
        <v>93.6</v>
      </c>
      <c r="D306" s="6">
        <f t="shared" si="3"/>
        <v>15.948492</v>
      </c>
    </row>
    <row r="307">
      <c r="A307" s="4" t="s">
        <v>10361</v>
      </c>
      <c r="B307" s="10">
        <f t="shared" si="1"/>
        <v>100</v>
      </c>
      <c r="C307" s="6">
        <f t="shared" si="2"/>
        <v>93.9</v>
      </c>
      <c r="D307" s="6">
        <f t="shared" si="3"/>
        <v>16.005595</v>
      </c>
    </row>
    <row r="308">
      <c r="A308" s="4" t="s">
        <v>10362</v>
      </c>
      <c r="B308" s="10">
        <f t="shared" si="1"/>
        <v>100</v>
      </c>
      <c r="C308" s="6">
        <f t="shared" si="2"/>
        <v>93.2</v>
      </c>
      <c r="D308" s="6">
        <f t="shared" si="3"/>
        <v>15.877853</v>
      </c>
    </row>
    <row r="309">
      <c r="A309" s="4" t="s">
        <v>10363</v>
      </c>
      <c r="B309" s="10">
        <f t="shared" si="1"/>
        <v>100</v>
      </c>
      <c r="C309" s="6">
        <f t="shared" si="2"/>
        <v>94.1</v>
      </c>
      <c r="D309" s="6">
        <f t="shared" si="3"/>
        <v>16.039698</v>
      </c>
    </row>
    <row r="310">
      <c r="A310" s="4" t="s">
        <v>10364</v>
      </c>
      <c r="B310" s="10">
        <f t="shared" si="1"/>
        <v>100</v>
      </c>
      <c r="C310" s="6">
        <f t="shared" si="2"/>
        <v>96.7</v>
      </c>
      <c r="D310" s="6">
        <f t="shared" si="3"/>
        <v>16.483643</v>
      </c>
    </row>
    <row r="311">
      <c r="A311" s="4" t="s">
        <v>10365</v>
      </c>
      <c r="B311" s="10">
        <f t="shared" si="1"/>
        <v>100</v>
      </c>
      <c r="C311" s="6">
        <f t="shared" si="2"/>
        <v>94.3</v>
      </c>
      <c r="D311" s="6">
        <f t="shared" si="3"/>
        <v>16.064901</v>
      </c>
    </row>
    <row r="312">
      <c r="A312" s="4" t="s">
        <v>10366</v>
      </c>
      <c r="B312" s="10">
        <f t="shared" si="1"/>
        <v>100</v>
      </c>
      <c r="C312" s="6">
        <f t="shared" si="2"/>
        <v>93.9</v>
      </c>
      <c r="D312" s="6">
        <f t="shared" si="3"/>
        <v>16.006586</v>
      </c>
    </row>
    <row r="313">
      <c r="A313" s="4" t="s">
        <v>10367</v>
      </c>
      <c r="B313" s="10">
        <f t="shared" si="1"/>
        <v>100</v>
      </c>
      <c r="C313" s="6">
        <f t="shared" si="2"/>
        <v>93.9</v>
      </c>
      <c r="D313" s="6">
        <f t="shared" si="3"/>
        <v>15.997329</v>
      </c>
    </row>
    <row r="314">
      <c r="A314" s="4" t="s">
        <v>10368</v>
      </c>
      <c r="B314" s="10">
        <f t="shared" si="1"/>
        <v>100</v>
      </c>
      <c r="C314" s="6">
        <f t="shared" si="2"/>
        <v>94</v>
      </c>
      <c r="D314" s="6">
        <f t="shared" si="3"/>
        <v>16.011755</v>
      </c>
    </row>
    <row r="315">
      <c r="A315" s="4" t="s">
        <v>10369</v>
      </c>
      <c r="B315" s="10">
        <f t="shared" si="1"/>
        <v>0</v>
      </c>
      <c r="C315" s="6">
        <f t="shared" si="2"/>
        <v>94.1</v>
      </c>
      <c r="D315" s="6">
        <f t="shared" si="3"/>
        <v>16.027901</v>
      </c>
    </row>
    <row r="316">
      <c r="A316" s="4" t="s">
        <v>10370</v>
      </c>
      <c r="B316" s="10">
        <f t="shared" si="1"/>
        <v>0</v>
      </c>
      <c r="C316" s="6">
        <f t="shared" si="2"/>
        <v>93.8</v>
      </c>
      <c r="D316" s="6">
        <f t="shared" si="3"/>
        <v>15.980544</v>
      </c>
    </row>
    <row r="317">
      <c r="A317" s="4" t="s">
        <v>10371</v>
      </c>
      <c r="B317" s="10">
        <f t="shared" si="1"/>
        <v>100</v>
      </c>
      <c r="C317" s="6">
        <f t="shared" si="2"/>
        <v>95.3</v>
      </c>
      <c r="D317" s="6">
        <f t="shared" si="3"/>
        <v>16.233119</v>
      </c>
    </row>
    <row r="318">
      <c r="A318" s="4" t="s">
        <v>10372</v>
      </c>
      <c r="B318" s="10">
        <f t="shared" si="1"/>
        <v>100</v>
      </c>
      <c r="C318" s="6">
        <f t="shared" si="2"/>
        <v>93.7</v>
      </c>
      <c r="D318" s="6">
        <f t="shared" si="3"/>
        <v>15.975747</v>
      </c>
    </row>
    <row r="319">
      <c r="A319" s="4" t="s">
        <v>10373</v>
      </c>
      <c r="B319" s="10">
        <f t="shared" si="1"/>
        <v>100</v>
      </c>
      <c r="C319" s="6">
        <f t="shared" si="2"/>
        <v>93.9</v>
      </c>
      <c r="D319" s="6">
        <f t="shared" si="3"/>
        <v>16.004558</v>
      </c>
    </row>
    <row r="320">
      <c r="A320" s="4" t="s">
        <v>10374</v>
      </c>
      <c r="B320" s="10">
        <f t="shared" si="1"/>
        <v>100</v>
      </c>
      <c r="C320" s="6">
        <f t="shared" si="2"/>
        <v>93.9</v>
      </c>
      <c r="D320" s="6">
        <f t="shared" si="3"/>
        <v>15.997222</v>
      </c>
    </row>
    <row r="321">
      <c r="A321" s="4" t="s">
        <v>10375</v>
      </c>
      <c r="B321" s="10">
        <f t="shared" si="1"/>
        <v>100</v>
      </c>
      <c r="C321" s="6">
        <f t="shared" si="2"/>
        <v>95.4</v>
      </c>
      <c r="D321" s="6">
        <f t="shared" si="3"/>
        <v>16.263491</v>
      </c>
    </row>
    <row r="322">
      <c r="A322" s="4" t="s">
        <v>10376</v>
      </c>
      <c r="B322" s="10">
        <f t="shared" si="1"/>
        <v>100</v>
      </c>
      <c r="C322" s="6">
        <f t="shared" si="2"/>
        <v>93.8</v>
      </c>
      <c r="D322" s="6">
        <f t="shared" si="3"/>
        <v>15.988183</v>
      </c>
    </row>
    <row r="323">
      <c r="A323" s="4" t="s">
        <v>10377</v>
      </c>
      <c r="B323" s="10">
        <f t="shared" si="1"/>
        <v>100</v>
      </c>
      <c r="C323" s="6">
        <f t="shared" si="2"/>
        <v>93.7</v>
      </c>
      <c r="D323" s="6">
        <f t="shared" si="3"/>
        <v>15.971602</v>
      </c>
    </row>
    <row r="324">
      <c r="A324" s="4" t="s">
        <v>10378</v>
      </c>
      <c r="B324" s="10">
        <f t="shared" si="1"/>
        <v>0</v>
      </c>
      <c r="C324" s="6">
        <f t="shared" si="2"/>
        <v>93.7</v>
      </c>
      <c r="D324" s="6">
        <f t="shared" si="3"/>
        <v>15.961722</v>
      </c>
    </row>
    <row r="325">
      <c r="A325" s="4" t="s">
        <v>10379</v>
      </c>
      <c r="B325" s="10">
        <f t="shared" si="1"/>
        <v>100</v>
      </c>
      <c r="C325" s="6">
        <f t="shared" si="2"/>
        <v>93.4</v>
      </c>
      <c r="D325" s="6">
        <f t="shared" si="3"/>
        <v>15.915663</v>
      </c>
    </row>
    <row r="326">
      <c r="A326" s="4" t="s">
        <v>10380</v>
      </c>
      <c r="B326" s="10">
        <f t="shared" si="1"/>
        <v>100</v>
      </c>
      <c r="C326" s="6">
        <f t="shared" si="2"/>
        <v>93.7</v>
      </c>
      <c r="D326" s="6">
        <f t="shared" si="3"/>
        <v>15.960932</v>
      </c>
    </row>
    <row r="327">
      <c r="A327" s="4" t="s">
        <v>10381</v>
      </c>
      <c r="B327" s="10">
        <f t="shared" si="1"/>
        <v>0</v>
      </c>
      <c r="C327" s="6">
        <f t="shared" si="2"/>
        <v>93.9</v>
      </c>
      <c r="D327" s="6">
        <f t="shared" si="3"/>
        <v>15.997448</v>
      </c>
    </row>
    <row r="328">
      <c r="A328" s="4" t="s">
        <v>10382</v>
      </c>
      <c r="B328" s="10">
        <f t="shared" si="1"/>
        <v>100</v>
      </c>
      <c r="C328" s="6">
        <f t="shared" si="2"/>
        <v>93.9</v>
      </c>
      <c r="D328" s="6">
        <f t="shared" si="3"/>
        <v>16.009248</v>
      </c>
    </row>
    <row r="329">
      <c r="A329" s="4" t="s">
        <v>10383</v>
      </c>
      <c r="B329" s="10">
        <f t="shared" si="1"/>
        <v>100</v>
      </c>
      <c r="C329" s="6">
        <f t="shared" si="2"/>
        <v>93.7</v>
      </c>
      <c r="D329" s="6">
        <f t="shared" si="3"/>
        <v>15.973851</v>
      </c>
    </row>
    <row r="330">
      <c r="A330" s="4" t="s">
        <v>10384</v>
      </c>
      <c r="B330" s="10">
        <f t="shared" si="1"/>
        <v>100</v>
      </c>
      <c r="C330" s="6">
        <f t="shared" si="2"/>
        <v>93.5</v>
      </c>
      <c r="D330" s="6">
        <f t="shared" si="3"/>
        <v>15.932874</v>
      </c>
    </row>
    <row r="331">
      <c r="A331" s="4" t="s">
        <v>10385</v>
      </c>
      <c r="B331" s="10">
        <f t="shared" si="1"/>
        <v>100</v>
      </c>
      <c r="C331" s="6">
        <f t="shared" si="2"/>
        <v>93.6</v>
      </c>
      <c r="D331" s="6">
        <f t="shared" si="3"/>
        <v>15.943417</v>
      </c>
    </row>
    <row r="332">
      <c r="A332" s="4" t="s">
        <v>10386</v>
      </c>
      <c r="B332" s="10">
        <f t="shared" si="1"/>
        <v>100</v>
      </c>
      <c r="C332" s="6">
        <f t="shared" si="2"/>
        <v>93.4</v>
      </c>
      <c r="D332" s="6">
        <f t="shared" si="3"/>
        <v>15.912013</v>
      </c>
    </row>
    <row r="333">
      <c r="A333" s="4" t="s">
        <v>10387</v>
      </c>
      <c r="B333" s="10">
        <f t="shared" si="1"/>
        <v>0</v>
      </c>
      <c r="C333" s="6">
        <f t="shared" si="2"/>
        <v>93.3</v>
      </c>
      <c r="D333" s="6">
        <f t="shared" si="3"/>
        <v>15.906078</v>
      </c>
    </row>
    <row r="334">
      <c r="A334" s="4" t="s">
        <v>10388</v>
      </c>
      <c r="B334" s="10">
        <f t="shared" si="1"/>
        <v>0</v>
      </c>
      <c r="C334" s="6">
        <f t="shared" si="2"/>
        <v>93.4</v>
      </c>
      <c r="D334" s="6">
        <f t="shared" si="3"/>
        <v>15.90965</v>
      </c>
    </row>
    <row r="335">
      <c r="A335" s="4" t="s">
        <v>10389</v>
      </c>
      <c r="B335" s="10">
        <f t="shared" si="1"/>
        <v>100</v>
      </c>
      <c r="C335" s="6">
        <f t="shared" si="2"/>
        <v>93.2</v>
      </c>
      <c r="D335" s="6">
        <f t="shared" si="3"/>
        <v>15.890513</v>
      </c>
    </row>
    <row r="336">
      <c r="A336" s="4" t="s">
        <v>10390</v>
      </c>
      <c r="B336" s="10">
        <f t="shared" si="1"/>
        <v>100</v>
      </c>
      <c r="C336" s="6">
        <f t="shared" si="2"/>
        <v>95.1</v>
      </c>
      <c r="D336" s="6">
        <f t="shared" si="3"/>
        <v>16.204447</v>
      </c>
    </row>
    <row r="337">
      <c r="A337" s="4" t="s">
        <v>10391</v>
      </c>
      <c r="B337" s="10">
        <f t="shared" si="1"/>
        <v>100</v>
      </c>
      <c r="C337" s="6">
        <f t="shared" si="2"/>
        <v>93.3</v>
      </c>
      <c r="D337" s="6">
        <f t="shared" si="3"/>
        <v>15.89567</v>
      </c>
    </row>
    <row r="338">
      <c r="A338" s="4" t="s">
        <v>10392</v>
      </c>
      <c r="B338" s="10">
        <f t="shared" si="1"/>
        <v>100</v>
      </c>
      <c r="C338" s="6">
        <f t="shared" si="2"/>
        <v>93</v>
      </c>
      <c r="D338" s="6">
        <f t="shared" si="3"/>
        <v>15.853776</v>
      </c>
    </row>
    <row r="339">
      <c r="A339" s="4" t="s">
        <v>10393</v>
      </c>
      <c r="B339" s="10">
        <f t="shared" si="1"/>
        <v>0</v>
      </c>
      <c r="C339" s="6">
        <f t="shared" si="2"/>
        <v>92.9</v>
      </c>
      <c r="D339" s="6">
        <f t="shared" si="3"/>
        <v>15.837786</v>
      </c>
    </row>
    <row r="340">
      <c r="A340" s="4" t="s">
        <v>10394</v>
      </c>
      <c r="B340" s="10">
        <f t="shared" si="1"/>
        <v>100</v>
      </c>
      <c r="C340" s="6">
        <f t="shared" si="2"/>
        <v>93</v>
      </c>
      <c r="D340" s="6">
        <f t="shared" si="3"/>
        <v>15.843598</v>
      </c>
    </row>
    <row r="341">
      <c r="A341" s="4" t="s">
        <v>10395</v>
      </c>
      <c r="B341" s="10">
        <f t="shared" si="1"/>
        <v>100</v>
      </c>
      <c r="C341" s="6">
        <f t="shared" si="2"/>
        <v>93</v>
      </c>
      <c r="D341" s="6">
        <f t="shared" si="3"/>
        <v>15.842238</v>
      </c>
    </row>
    <row r="342">
      <c r="A342" s="4" t="s">
        <v>10396</v>
      </c>
      <c r="B342" s="10">
        <f t="shared" si="1"/>
        <v>100</v>
      </c>
      <c r="C342" s="6">
        <f t="shared" si="2"/>
        <v>92.8</v>
      </c>
      <c r="D342" s="6">
        <f t="shared" si="3"/>
        <v>15.811194</v>
      </c>
    </row>
    <row r="343">
      <c r="A343" s="4" t="s">
        <v>10397</v>
      </c>
      <c r="B343" s="10">
        <f t="shared" si="1"/>
        <v>100</v>
      </c>
      <c r="C343" s="6">
        <f t="shared" si="2"/>
        <v>93.1</v>
      </c>
      <c r="D343" s="6">
        <f t="shared" si="3"/>
        <v>15.86547</v>
      </c>
    </row>
    <row r="344">
      <c r="A344" s="4" t="s">
        <v>10398</v>
      </c>
      <c r="B344" s="10">
        <f t="shared" si="1"/>
        <v>0</v>
      </c>
      <c r="C344" s="6">
        <f t="shared" si="2"/>
        <v>93.3</v>
      </c>
      <c r="D344" s="6">
        <f t="shared" si="3"/>
        <v>15.892189</v>
      </c>
    </row>
    <row r="345">
      <c r="A345" s="4" t="s">
        <v>10399</v>
      </c>
      <c r="B345" s="10">
        <f t="shared" si="1"/>
        <v>100</v>
      </c>
      <c r="C345" s="6">
        <f t="shared" si="2"/>
        <v>93</v>
      </c>
      <c r="D345" s="6">
        <f t="shared" si="3"/>
        <v>15.848493</v>
      </c>
    </row>
    <row r="346">
      <c r="A346" s="4" t="s">
        <v>10400</v>
      </c>
      <c r="B346" s="10">
        <f t="shared" si="1"/>
        <v>0</v>
      </c>
      <c r="C346" s="6">
        <f t="shared" si="2"/>
        <v>91.8</v>
      </c>
      <c r="D346" s="6">
        <f t="shared" si="3"/>
        <v>15.636979</v>
      </c>
    </row>
    <row r="347">
      <c r="A347" s="4" t="s">
        <v>10401</v>
      </c>
      <c r="B347" s="10">
        <f t="shared" si="1"/>
        <v>100</v>
      </c>
      <c r="C347" s="6">
        <f t="shared" si="2"/>
        <v>94.4</v>
      </c>
      <c r="D347" s="6">
        <f t="shared" si="3"/>
        <v>16.079286</v>
      </c>
    </row>
    <row r="348">
      <c r="A348" s="4" t="s">
        <v>10402</v>
      </c>
      <c r="B348" s="10">
        <f t="shared" si="1"/>
        <v>100</v>
      </c>
      <c r="C348" s="6">
        <f t="shared" si="2"/>
        <v>91.8</v>
      </c>
      <c r="D348" s="6">
        <f t="shared" si="3"/>
        <v>15.643787</v>
      </c>
    </row>
    <row r="349">
      <c r="A349" s="4" t="s">
        <v>10403</v>
      </c>
      <c r="B349" s="10">
        <f t="shared" si="1"/>
        <v>100</v>
      </c>
      <c r="C349" s="6">
        <f t="shared" si="2"/>
        <v>91.6</v>
      </c>
      <c r="D349" s="6">
        <f t="shared" si="3"/>
        <v>15.61677</v>
      </c>
    </row>
    <row r="350">
      <c r="A350" s="4" t="s">
        <v>10404</v>
      </c>
      <c r="B350" s="10">
        <f t="shared" si="1"/>
        <v>100</v>
      </c>
      <c r="C350" s="6">
        <f t="shared" si="2"/>
        <v>91.8</v>
      </c>
      <c r="D350" s="6">
        <f t="shared" si="3"/>
        <v>15.650508</v>
      </c>
    </row>
    <row r="351">
      <c r="A351" s="4" t="s">
        <v>10405</v>
      </c>
      <c r="B351" s="10">
        <f t="shared" si="1"/>
        <v>0</v>
      </c>
      <c r="C351" s="6">
        <f t="shared" si="2"/>
        <v>91.7</v>
      </c>
      <c r="D351" s="6">
        <f t="shared" si="3"/>
        <v>15.633821</v>
      </c>
    </row>
    <row r="352">
      <c r="A352" s="4" t="s">
        <v>10406</v>
      </c>
      <c r="B352" s="10">
        <f t="shared" si="1"/>
        <v>0</v>
      </c>
      <c r="C352" s="6">
        <f t="shared" si="2"/>
        <v>91.9</v>
      </c>
      <c r="D352" s="6">
        <f t="shared" si="3"/>
        <v>15.659978</v>
      </c>
    </row>
    <row r="353">
      <c r="A353" s="4" t="s">
        <v>10407</v>
      </c>
      <c r="B353" s="10">
        <f t="shared" si="1"/>
        <v>0</v>
      </c>
      <c r="C353" s="6">
        <f t="shared" si="2"/>
        <v>91.8</v>
      </c>
      <c r="D353" s="6">
        <f t="shared" si="3"/>
        <v>15.651495</v>
      </c>
    </row>
    <row r="354">
      <c r="A354" s="4" t="s">
        <v>10408</v>
      </c>
      <c r="B354" s="10">
        <f t="shared" si="1"/>
        <v>0</v>
      </c>
      <c r="C354" s="6">
        <f t="shared" si="2"/>
        <v>91.8</v>
      </c>
      <c r="D354" s="6">
        <f t="shared" si="3"/>
        <v>15.645937</v>
      </c>
    </row>
    <row r="355">
      <c r="A355" s="4" t="s">
        <v>10409</v>
      </c>
      <c r="B355" s="10">
        <f t="shared" si="1"/>
        <v>0</v>
      </c>
      <c r="C355" s="6">
        <f t="shared" si="2"/>
        <v>93.7</v>
      </c>
      <c r="D355" s="6">
        <f t="shared" si="3"/>
        <v>15.972769</v>
      </c>
    </row>
    <row r="356">
      <c r="A356" s="4" t="s">
        <v>10410</v>
      </c>
      <c r="B356" s="10">
        <f t="shared" si="1"/>
        <v>100</v>
      </c>
      <c r="C356" s="6">
        <f t="shared" si="2"/>
        <v>92.1</v>
      </c>
      <c r="D356" s="6">
        <f t="shared" si="3"/>
        <v>15.688765</v>
      </c>
    </row>
    <row r="357">
      <c r="A357" s="4" t="s">
        <v>10411</v>
      </c>
      <c r="B357" s="10">
        <f t="shared" si="1"/>
        <v>100</v>
      </c>
      <c r="C357" s="6">
        <f t="shared" si="2"/>
        <v>92.1</v>
      </c>
      <c r="D357" s="6">
        <f t="shared" si="3"/>
        <v>15.688663</v>
      </c>
    </row>
    <row r="358">
      <c r="A358" s="4" t="s">
        <v>10412</v>
      </c>
      <c r="B358" s="10">
        <f t="shared" si="1"/>
        <v>100</v>
      </c>
      <c r="C358" s="6">
        <f t="shared" si="2"/>
        <v>92.1</v>
      </c>
      <c r="D358" s="6">
        <f t="shared" si="3"/>
        <v>15.693594</v>
      </c>
    </row>
    <row r="359">
      <c r="A359" s="4" t="s">
        <v>10413</v>
      </c>
      <c r="B359" s="10">
        <f t="shared" si="1"/>
        <v>100</v>
      </c>
      <c r="C359" s="6">
        <f t="shared" si="2"/>
        <v>92.2</v>
      </c>
      <c r="D359" s="6">
        <f t="shared" si="3"/>
        <v>15.720022</v>
      </c>
    </row>
    <row r="360">
      <c r="A360" s="4" t="s">
        <v>10414</v>
      </c>
      <c r="B360" s="10">
        <f t="shared" si="1"/>
        <v>100</v>
      </c>
      <c r="C360" s="6">
        <f t="shared" si="2"/>
        <v>92</v>
      </c>
      <c r="D360" s="6">
        <f t="shared" si="3"/>
        <v>15.676657</v>
      </c>
    </row>
    <row r="361">
      <c r="A361" s="4" t="s">
        <v>10415</v>
      </c>
      <c r="B361" s="10">
        <f t="shared" si="1"/>
        <v>0</v>
      </c>
      <c r="C361" s="6">
        <f t="shared" si="2"/>
        <v>92.2</v>
      </c>
      <c r="D361" s="6">
        <f t="shared" si="3"/>
        <v>15.719243</v>
      </c>
    </row>
    <row r="362">
      <c r="A362" s="4" t="s">
        <v>10416</v>
      </c>
      <c r="B362" s="10">
        <f t="shared" si="1"/>
        <v>100</v>
      </c>
      <c r="C362" s="6">
        <f t="shared" si="2"/>
        <v>92.5</v>
      </c>
      <c r="D362" s="6">
        <f t="shared" si="3"/>
        <v>15.766089</v>
      </c>
    </row>
    <row r="363">
      <c r="A363" s="4" t="s">
        <v>10417</v>
      </c>
      <c r="B363" s="10">
        <f t="shared" si="1"/>
        <v>100</v>
      </c>
      <c r="C363" s="6">
        <f t="shared" si="2"/>
        <v>95.2</v>
      </c>
      <c r="D363" s="6">
        <f t="shared" si="3"/>
        <v>16.229605</v>
      </c>
    </row>
    <row r="364">
      <c r="A364" s="4" t="s">
        <v>10418</v>
      </c>
      <c r="B364" s="10">
        <f t="shared" si="1"/>
        <v>100</v>
      </c>
      <c r="C364" s="6">
        <f t="shared" si="2"/>
        <v>92.4</v>
      </c>
      <c r="D364" s="6">
        <f t="shared" si="3"/>
        <v>15.754178</v>
      </c>
    </row>
    <row r="365">
      <c r="A365" s="4" t="s">
        <v>10419</v>
      </c>
      <c r="B365" s="10">
        <f t="shared" si="1"/>
        <v>100</v>
      </c>
      <c r="C365" s="6">
        <f t="shared" si="2"/>
        <v>92.6</v>
      </c>
      <c r="D365" s="6">
        <f t="shared" si="3"/>
        <v>15.779516</v>
      </c>
    </row>
    <row r="366">
      <c r="A366" s="4" t="s">
        <v>10420</v>
      </c>
      <c r="B366" s="10">
        <f t="shared" si="1"/>
        <v>100</v>
      </c>
      <c r="C366" s="6">
        <f t="shared" si="2"/>
        <v>92.5</v>
      </c>
      <c r="D366" s="6">
        <f t="shared" si="3"/>
        <v>15.76051</v>
      </c>
    </row>
    <row r="367">
      <c r="A367" s="4" t="s">
        <v>10421</v>
      </c>
      <c r="B367" s="10">
        <f t="shared" si="1"/>
        <v>0</v>
      </c>
      <c r="C367" s="6">
        <f t="shared" si="2"/>
        <v>92.6</v>
      </c>
      <c r="D367" s="6">
        <f t="shared" si="3"/>
        <v>15.776911</v>
      </c>
    </row>
    <row r="368">
      <c r="A368" s="4" t="s">
        <v>10422</v>
      </c>
      <c r="B368" s="10">
        <f t="shared" si="1"/>
        <v>100</v>
      </c>
      <c r="C368" s="6">
        <f t="shared" si="2"/>
        <v>93.1</v>
      </c>
      <c r="D368" s="6">
        <f t="shared" si="3"/>
        <v>15.862501</v>
      </c>
    </row>
    <row r="369">
      <c r="A369" s="4" t="s">
        <v>10423</v>
      </c>
      <c r="B369" s="10">
        <f t="shared" si="1"/>
        <v>0</v>
      </c>
      <c r="C369" s="6">
        <f t="shared" si="2"/>
        <v>93.1</v>
      </c>
      <c r="D369" s="6">
        <f t="shared" si="3"/>
        <v>15.86509</v>
      </c>
    </row>
    <row r="370">
      <c r="A370" s="4" t="s">
        <v>10424</v>
      </c>
      <c r="B370" s="10">
        <f t="shared" si="1"/>
        <v>0</v>
      </c>
      <c r="C370" s="6">
        <f t="shared" si="2"/>
        <v>92.8</v>
      </c>
      <c r="D370" s="6">
        <f t="shared" si="3"/>
        <v>15.813111</v>
      </c>
    </row>
    <row r="371">
      <c r="A371" s="4" t="s">
        <v>10425</v>
      </c>
      <c r="B371" s="10">
        <f t="shared" si="1"/>
        <v>100</v>
      </c>
      <c r="C371" s="6">
        <f t="shared" si="2"/>
        <v>93</v>
      </c>
      <c r="D371" s="6">
        <f t="shared" si="3"/>
        <v>15.840681</v>
      </c>
    </row>
    <row r="372">
      <c r="A372" s="4" t="s">
        <v>10426</v>
      </c>
      <c r="B372" s="10">
        <f t="shared" si="1"/>
        <v>0</v>
      </c>
      <c r="C372" s="6">
        <f t="shared" si="2"/>
        <v>94.3</v>
      </c>
      <c r="D372" s="6">
        <f t="shared" si="3"/>
        <v>16.074276</v>
      </c>
    </row>
    <row r="373">
      <c r="A373" s="4" t="s">
        <v>10427</v>
      </c>
      <c r="B373" s="10">
        <f t="shared" si="1"/>
        <v>100</v>
      </c>
      <c r="C373" s="6">
        <f t="shared" si="2"/>
        <v>87.8</v>
      </c>
      <c r="D373" s="6">
        <f t="shared" si="3"/>
        <v>14.964404</v>
      </c>
    </row>
    <row r="374">
      <c r="A374" s="4" t="s">
        <v>10428</v>
      </c>
      <c r="B374" s="10">
        <f t="shared" si="1"/>
        <v>100</v>
      </c>
      <c r="C374" s="6">
        <f t="shared" si="2"/>
        <v>78</v>
      </c>
      <c r="D374" s="6">
        <f t="shared" si="3"/>
        <v>13.28402</v>
      </c>
    </row>
    <row r="375">
      <c r="A375" s="4" t="s">
        <v>10429</v>
      </c>
      <c r="B375" s="10">
        <f t="shared" si="1"/>
        <v>100</v>
      </c>
      <c r="C375" s="6">
        <f t="shared" si="2"/>
        <v>67.6</v>
      </c>
      <c r="D375" s="6">
        <f t="shared" si="3"/>
        <v>11.52111</v>
      </c>
    </row>
    <row r="376">
      <c r="A376" s="4" t="s">
        <v>10430</v>
      </c>
      <c r="B376" s="10">
        <f t="shared" si="1"/>
        <v>100</v>
      </c>
      <c r="C376" s="6">
        <f t="shared" si="2"/>
        <v>67.6</v>
      </c>
      <c r="D376" s="6">
        <f t="shared" si="3"/>
        <v>11.527241</v>
      </c>
    </row>
    <row r="377">
      <c r="A377" s="4" t="s">
        <v>10431</v>
      </c>
      <c r="B377" s="10">
        <f t="shared" si="1"/>
        <v>100</v>
      </c>
      <c r="C377" s="6">
        <f t="shared" si="2"/>
        <v>67.7</v>
      </c>
      <c r="D377" s="6">
        <f t="shared" si="3"/>
        <v>11.542745</v>
      </c>
    </row>
    <row r="378">
      <c r="A378" s="4" t="s">
        <v>10432</v>
      </c>
      <c r="B378" s="10">
        <f t="shared" si="1"/>
        <v>0</v>
      </c>
      <c r="C378" s="6">
        <f t="shared" si="2"/>
        <v>67.9</v>
      </c>
      <c r="D378" s="6">
        <f t="shared" si="3"/>
        <v>11.577286</v>
      </c>
    </row>
    <row r="379">
      <c r="A379" s="4" t="s">
        <v>10433</v>
      </c>
      <c r="B379" s="10">
        <f t="shared" si="1"/>
        <v>0</v>
      </c>
      <c r="C379" s="6">
        <f t="shared" si="2"/>
        <v>68.1</v>
      </c>
      <c r="D379" s="6">
        <f t="shared" si="3"/>
        <v>11.601018</v>
      </c>
    </row>
    <row r="380">
      <c r="A380" s="4" t="s">
        <v>10434</v>
      </c>
      <c r="B380" s="10">
        <f t="shared" si="1"/>
        <v>100</v>
      </c>
      <c r="C380" s="6">
        <f t="shared" si="2"/>
        <v>68</v>
      </c>
      <c r="D380" s="6">
        <f t="shared" si="3"/>
        <v>11.585785</v>
      </c>
    </row>
    <row r="381">
      <c r="A381" s="4" t="s">
        <v>10435</v>
      </c>
      <c r="B381" s="10">
        <f t="shared" si="1"/>
        <v>100</v>
      </c>
      <c r="C381" s="6">
        <f t="shared" si="2"/>
        <v>68</v>
      </c>
      <c r="D381" s="6">
        <f t="shared" si="3"/>
        <v>11.58599</v>
      </c>
    </row>
    <row r="382">
      <c r="A382" s="4" t="s">
        <v>10436</v>
      </c>
      <c r="B382" s="10">
        <f t="shared" si="1"/>
        <v>0</v>
      </c>
      <c r="C382" s="6">
        <f t="shared" si="2"/>
        <v>68.5</v>
      </c>
      <c r="D382" s="6">
        <f t="shared" si="3"/>
        <v>11.677102</v>
      </c>
    </row>
    <row r="383">
      <c r="A383" s="4" t="s">
        <v>10437</v>
      </c>
      <c r="B383" s="10">
        <f t="shared" si="1"/>
        <v>0</v>
      </c>
      <c r="C383" s="6">
        <f t="shared" si="2"/>
        <v>68.1</v>
      </c>
      <c r="D383" s="6">
        <f t="shared" si="3"/>
        <v>11.61311</v>
      </c>
    </row>
    <row r="384">
      <c r="A384" s="4" t="s">
        <v>10438</v>
      </c>
      <c r="B384" s="10">
        <f t="shared" si="1"/>
        <v>100</v>
      </c>
      <c r="C384" s="6">
        <f t="shared" si="2"/>
        <v>68</v>
      </c>
      <c r="D384" s="6">
        <f t="shared" si="3"/>
        <v>11.594366</v>
      </c>
    </row>
    <row r="385">
      <c r="A385" s="4" t="s">
        <v>10439</v>
      </c>
      <c r="B385" s="10">
        <f t="shared" si="1"/>
        <v>0</v>
      </c>
      <c r="C385" s="6">
        <f t="shared" si="2"/>
        <v>68</v>
      </c>
      <c r="D385" s="6">
        <f t="shared" si="3"/>
        <v>11.585142</v>
      </c>
    </row>
    <row r="386">
      <c r="A386" s="4" t="s">
        <v>10440</v>
      </c>
      <c r="B386" s="10">
        <f t="shared" si="1"/>
        <v>0</v>
      </c>
      <c r="C386" s="6">
        <f t="shared" si="2"/>
        <v>68</v>
      </c>
      <c r="D386" s="6">
        <f t="shared" si="3"/>
        <v>11.592675</v>
      </c>
    </row>
    <row r="387">
      <c r="A387" s="4" t="s">
        <v>10441</v>
      </c>
      <c r="B387" s="10">
        <f t="shared" si="1"/>
        <v>0</v>
      </c>
      <c r="C387" s="6">
        <f t="shared" si="2"/>
        <v>68</v>
      </c>
      <c r="D387" s="6">
        <f t="shared" si="3"/>
        <v>11.582545</v>
      </c>
    </row>
    <row r="388">
      <c r="A388" s="4" t="s">
        <v>10442</v>
      </c>
      <c r="B388" s="10">
        <f t="shared" si="1"/>
        <v>0</v>
      </c>
      <c r="C388" s="6">
        <f t="shared" si="2"/>
        <v>68</v>
      </c>
      <c r="D388" s="6">
        <f t="shared" si="3"/>
        <v>11.591311</v>
      </c>
    </row>
    <row r="389">
      <c r="A389" s="4" t="s">
        <v>10443</v>
      </c>
      <c r="B389" s="10">
        <f t="shared" si="1"/>
        <v>0</v>
      </c>
      <c r="C389" s="6">
        <f t="shared" si="2"/>
        <v>68</v>
      </c>
      <c r="D389" s="6">
        <f t="shared" si="3"/>
        <v>11.580391</v>
      </c>
    </row>
    <row r="390">
      <c r="A390" s="4" t="s">
        <v>10444</v>
      </c>
      <c r="B390" s="10">
        <f t="shared" si="1"/>
        <v>100</v>
      </c>
      <c r="C390" s="6">
        <f t="shared" si="2"/>
        <v>68.2</v>
      </c>
      <c r="D390" s="6">
        <f t="shared" si="3"/>
        <v>11.618959</v>
      </c>
    </row>
    <row r="391">
      <c r="A391" s="4" t="s">
        <v>10445</v>
      </c>
      <c r="B391" s="10">
        <f t="shared" si="1"/>
        <v>100</v>
      </c>
      <c r="C391" s="6">
        <f t="shared" si="2"/>
        <v>70.2</v>
      </c>
      <c r="D391" s="6">
        <f t="shared" si="3"/>
        <v>11.954302</v>
      </c>
    </row>
    <row r="392">
      <c r="A392" s="4" t="s">
        <v>10446</v>
      </c>
      <c r="B392" s="10">
        <f t="shared" si="1"/>
        <v>100</v>
      </c>
      <c r="C392" s="6">
        <f t="shared" si="2"/>
        <v>67.8</v>
      </c>
      <c r="D392" s="6">
        <f t="shared" si="3"/>
        <v>11.55149</v>
      </c>
    </row>
    <row r="393">
      <c r="A393" s="4" t="s">
        <v>10447</v>
      </c>
      <c r="B393" s="10">
        <f t="shared" si="1"/>
        <v>0</v>
      </c>
      <c r="C393" s="6">
        <f t="shared" si="2"/>
        <v>68.2</v>
      </c>
      <c r="D393" s="6">
        <f t="shared" si="3"/>
        <v>11.613847</v>
      </c>
    </row>
    <row r="394">
      <c r="A394" s="4" t="s">
        <v>10448</v>
      </c>
      <c r="B394" s="10">
        <f t="shared" si="1"/>
        <v>100</v>
      </c>
      <c r="C394" s="6">
        <f t="shared" si="2"/>
        <v>68.2</v>
      </c>
      <c r="D394" s="6">
        <f t="shared" si="3"/>
        <v>11.613904</v>
      </c>
    </row>
    <row r="395">
      <c r="A395" s="4" t="s">
        <v>10449</v>
      </c>
      <c r="B395" s="10">
        <f t="shared" si="1"/>
        <v>100</v>
      </c>
      <c r="C395" s="6">
        <f t="shared" si="2"/>
        <v>68.2</v>
      </c>
      <c r="D395" s="6">
        <f t="shared" si="3"/>
        <v>11.628675</v>
      </c>
    </row>
    <row r="396">
      <c r="A396" s="4" t="s">
        <v>10450</v>
      </c>
      <c r="B396" s="10">
        <f t="shared" si="1"/>
        <v>0</v>
      </c>
      <c r="C396" s="6">
        <f t="shared" si="2"/>
        <v>68.1</v>
      </c>
      <c r="D396" s="6">
        <f t="shared" si="3"/>
        <v>11.606822</v>
      </c>
    </row>
    <row r="397">
      <c r="A397" s="4" t="s">
        <v>10451</v>
      </c>
      <c r="B397" s="10">
        <f t="shared" si="1"/>
        <v>100</v>
      </c>
      <c r="C397" s="6">
        <f t="shared" si="2"/>
        <v>68.4</v>
      </c>
      <c r="D397" s="6">
        <f t="shared" si="3"/>
        <v>11.659771</v>
      </c>
    </row>
    <row r="398">
      <c r="A398" s="4" t="s">
        <v>10452</v>
      </c>
      <c r="B398" s="10">
        <f t="shared" si="1"/>
        <v>100</v>
      </c>
      <c r="C398" s="6">
        <f t="shared" si="2"/>
        <v>68.3</v>
      </c>
      <c r="D398" s="6">
        <f t="shared" si="3"/>
        <v>11.631824</v>
      </c>
    </row>
    <row r="399">
      <c r="A399" s="4" t="s">
        <v>10453</v>
      </c>
      <c r="B399" s="10">
        <f t="shared" si="1"/>
        <v>100</v>
      </c>
      <c r="C399" s="6">
        <f t="shared" si="2"/>
        <v>68.2</v>
      </c>
      <c r="D399" s="6">
        <f t="shared" si="3"/>
        <v>11.630485</v>
      </c>
    </row>
  </sheetData>
  <mergeCells count="3">
    <mergeCell ref="G1:H1"/>
    <mergeCell ref="J1:K1"/>
    <mergeCell ref="M1:N1"/>
  </mergeCells>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1655</v>
      </c>
    </row>
    <row r="3">
      <c r="A3" s="4" t="s">
        <v>1656</v>
      </c>
    </row>
    <row r="4">
      <c r="A4" s="4" t="s">
        <v>1657</v>
      </c>
    </row>
    <row r="5">
      <c r="A5" s="4" t="s">
        <v>1657</v>
      </c>
    </row>
    <row r="6">
      <c r="A6" s="4" t="s">
        <v>1656</v>
      </c>
    </row>
    <row r="7">
      <c r="A7" s="4" t="s">
        <v>1655</v>
      </c>
    </row>
    <row r="8">
      <c r="A8" s="4" t="s">
        <v>1655</v>
      </c>
    </row>
    <row r="9">
      <c r="A9" s="4" t="s">
        <v>1657</v>
      </c>
    </row>
    <row r="10">
      <c r="A10" s="4" t="s">
        <v>1655</v>
      </c>
    </row>
    <row r="11">
      <c r="A11" s="4" t="s">
        <v>1655</v>
      </c>
    </row>
    <row r="12">
      <c r="A12" s="4" t="s">
        <v>1655</v>
      </c>
    </row>
    <row r="13">
      <c r="A13" s="4" t="s">
        <v>1656</v>
      </c>
    </row>
    <row r="14">
      <c r="A14" s="4" t="s">
        <v>1655</v>
      </c>
    </row>
    <row r="15">
      <c r="A15" s="4" t="s">
        <v>1657</v>
      </c>
    </row>
    <row r="16">
      <c r="A16" s="4" t="s">
        <v>1657</v>
      </c>
    </row>
    <row r="17">
      <c r="A17" s="4" t="s">
        <v>1655</v>
      </c>
    </row>
    <row r="18">
      <c r="A18" s="4" t="s">
        <v>1655</v>
      </c>
    </row>
    <row r="19">
      <c r="A19" s="4" t="s">
        <v>1656</v>
      </c>
    </row>
    <row r="20">
      <c r="A20" s="4" t="s">
        <v>1655</v>
      </c>
    </row>
    <row r="21">
      <c r="A21" s="4" t="s">
        <v>1657</v>
      </c>
    </row>
    <row r="22">
      <c r="A22" s="4" t="s">
        <v>1657</v>
      </c>
    </row>
    <row r="23">
      <c r="A23" s="4" t="s">
        <v>1657</v>
      </c>
    </row>
    <row r="24">
      <c r="A24" s="4" t="s">
        <v>1656</v>
      </c>
    </row>
    <row r="25">
      <c r="A25" s="4" t="s">
        <v>1657</v>
      </c>
    </row>
    <row r="26">
      <c r="A26" s="4" t="s">
        <v>1657</v>
      </c>
    </row>
    <row r="27">
      <c r="A27" s="4" t="s">
        <v>1656</v>
      </c>
    </row>
    <row r="28">
      <c r="A28" s="4" t="s">
        <v>1657</v>
      </c>
    </row>
    <row r="29">
      <c r="A29" s="4" t="s">
        <v>1655</v>
      </c>
    </row>
    <row r="30">
      <c r="A30" s="4" t="s">
        <v>1655</v>
      </c>
    </row>
    <row r="31">
      <c r="A31" s="4" t="s">
        <v>1657</v>
      </c>
    </row>
    <row r="32">
      <c r="A32" s="4" t="s">
        <v>1657</v>
      </c>
    </row>
    <row r="33">
      <c r="A33" s="4" t="s">
        <v>1655</v>
      </c>
    </row>
    <row r="34">
      <c r="A34" s="4" t="s">
        <v>1657</v>
      </c>
    </row>
    <row r="35">
      <c r="A35" s="4" t="s">
        <v>1657</v>
      </c>
    </row>
    <row r="36">
      <c r="A36" s="4" t="s">
        <v>1656</v>
      </c>
    </row>
    <row r="37">
      <c r="A37" s="4" t="s">
        <v>1655</v>
      </c>
    </row>
    <row r="38">
      <c r="A38" s="4" t="s">
        <v>1655</v>
      </c>
    </row>
    <row r="39">
      <c r="A39" s="4" t="s">
        <v>1657</v>
      </c>
    </row>
    <row r="40">
      <c r="A40" s="4" t="s">
        <v>1657</v>
      </c>
    </row>
    <row r="41">
      <c r="A41" s="4" t="s">
        <v>1657</v>
      </c>
    </row>
    <row r="42">
      <c r="A42" s="4" t="s">
        <v>1655</v>
      </c>
    </row>
    <row r="43">
      <c r="A43" s="4" t="s">
        <v>1655</v>
      </c>
    </row>
    <row r="44">
      <c r="A44" s="4" t="s">
        <v>1657</v>
      </c>
    </row>
    <row r="45">
      <c r="A45" s="4" t="s">
        <v>1655</v>
      </c>
    </row>
    <row r="46">
      <c r="A46" s="4" t="s">
        <v>1656</v>
      </c>
    </row>
    <row r="47">
      <c r="A47" s="4" t="s">
        <v>1656</v>
      </c>
    </row>
    <row r="48">
      <c r="A48" s="4" t="s">
        <v>1656</v>
      </c>
    </row>
    <row r="49">
      <c r="A49" s="4" t="s">
        <v>1656</v>
      </c>
    </row>
    <row r="50">
      <c r="A50" s="4" t="s">
        <v>1656</v>
      </c>
    </row>
    <row r="51">
      <c r="A51" s="4" t="s">
        <v>1657</v>
      </c>
    </row>
    <row r="52">
      <c r="A52" s="4" t="s">
        <v>1655</v>
      </c>
    </row>
    <row r="53">
      <c r="A53" s="4" t="s">
        <v>1656</v>
      </c>
    </row>
    <row r="54">
      <c r="A54" s="4" t="s">
        <v>1656</v>
      </c>
    </row>
    <row r="55">
      <c r="A55" s="4" t="s">
        <v>1656</v>
      </c>
    </row>
    <row r="56">
      <c r="A56" s="4" t="s">
        <v>1656</v>
      </c>
    </row>
    <row r="57">
      <c r="A57" s="4" t="s">
        <v>1657</v>
      </c>
    </row>
    <row r="58">
      <c r="A58" s="4" t="s">
        <v>1657</v>
      </c>
    </row>
    <row r="59">
      <c r="A59" s="4" t="s">
        <v>1655</v>
      </c>
    </row>
    <row r="60">
      <c r="A60" s="4" t="s">
        <v>1655</v>
      </c>
    </row>
    <row r="61">
      <c r="A61" s="4" t="s">
        <v>1656</v>
      </c>
    </row>
    <row r="62">
      <c r="A62" s="4" t="s">
        <v>1656</v>
      </c>
    </row>
    <row r="63">
      <c r="A63" s="4" t="s">
        <v>1656</v>
      </c>
    </row>
    <row r="64">
      <c r="A64" s="4" t="s">
        <v>1656</v>
      </c>
    </row>
    <row r="65">
      <c r="A65" s="4" t="s">
        <v>1657</v>
      </c>
    </row>
    <row r="66">
      <c r="A66" s="4" t="s">
        <v>1656</v>
      </c>
    </row>
    <row r="67">
      <c r="A67" s="4" t="s">
        <v>1657</v>
      </c>
    </row>
    <row r="68">
      <c r="A68" s="4" t="s">
        <v>1656</v>
      </c>
    </row>
    <row r="69">
      <c r="A69" s="4" t="s">
        <v>1655</v>
      </c>
    </row>
    <row r="70">
      <c r="A70" s="4" t="s">
        <v>1657</v>
      </c>
    </row>
    <row r="71">
      <c r="A71" s="4" t="s">
        <v>1656</v>
      </c>
    </row>
    <row r="72">
      <c r="A72" s="4" t="s">
        <v>1657</v>
      </c>
    </row>
    <row r="73">
      <c r="A73" s="4" t="s">
        <v>1656</v>
      </c>
    </row>
    <row r="74">
      <c r="A74" s="4" t="s">
        <v>1655</v>
      </c>
    </row>
    <row r="75">
      <c r="A75" s="4" t="s">
        <v>1657</v>
      </c>
    </row>
    <row r="76">
      <c r="A76" s="4" t="s">
        <v>1657</v>
      </c>
    </row>
    <row r="77">
      <c r="A77" s="4" t="s">
        <v>1657</v>
      </c>
    </row>
    <row r="78">
      <c r="A78" s="4" t="s">
        <v>1656</v>
      </c>
    </row>
    <row r="79">
      <c r="A79" s="4" t="s">
        <v>1657</v>
      </c>
    </row>
    <row r="80">
      <c r="A80" s="4" t="s">
        <v>1657</v>
      </c>
    </row>
    <row r="81">
      <c r="A81" s="4" t="s">
        <v>1657</v>
      </c>
    </row>
    <row r="82">
      <c r="A82" s="4" t="s">
        <v>1655</v>
      </c>
    </row>
    <row r="83">
      <c r="A83" s="4" t="s">
        <v>1655</v>
      </c>
    </row>
    <row r="84">
      <c r="A84" s="4" t="s">
        <v>1657</v>
      </c>
    </row>
    <row r="85">
      <c r="A85" s="4" t="s">
        <v>1656</v>
      </c>
    </row>
    <row r="86">
      <c r="A86" s="4" t="s">
        <v>1657</v>
      </c>
    </row>
    <row r="87">
      <c r="A87" s="4" t="s">
        <v>1656</v>
      </c>
    </row>
    <row r="88">
      <c r="A88" s="4" t="s">
        <v>1657</v>
      </c>
    </row>
    <row r="89">
      <c r="A89" s="4" t="s">
        <v>1655</v>
      </c>
    </row>
    <row r="90">
      <c r="A90" s="4" t="s">
        <v>1656</v>
      </c>
    </row>
    <row r="91">
      <c r="A91" s="4" t="s">
        <v>1655</v>
      </c>
    </row>
    <row r="92">
      <c r="A92" s="4" t="s">
        <v>1656</v>
      </c>
    </row>
    <row r="93">
      <c r="A93" s="4" t="s">
        <v>1657</v>
      </c>
    </row>
    <row r="94">
      <c r="A94" s="4" t="s">
        <v>1655</v>
      </c>
    </row>
    <row r="95">
      <c r="A95" s="4" t="s">
        <v>1655</v>
      </c>
    </row>
    <row r="96">
      <c r="A96" s="4" t="s">
        <v>1657</v>
      </c>
    </row>
    <row r="97">
      <c r="A97" s="4" t="s">
        <v>1657</v>
      </c>
    </row>
    <row r="98">
      <c r="A98" s="4" t="s">
        <v>1657</v>
      </c>
    </row>
    <row r="99">
      <c r="A99" s="4" t="s">
        <v>1656</v>
      </c>
    </row>
    <row r="100">
      <c r="A100" s="4" t="s">
        <v>1657</v>
      </c>
    </row>
    <row r="101">
      <c r="A101" s="4" t="s">
        <v>1656</v>
      </c>
    </row>
    <row r="102">
      <c r="A102" s="4" t="s">
        <v>1655</v>
      </c>
    </row>
    <row r="103">
      <c r="A103" s="4" t="s">
        <v>1656</v>
      </c>
    </row>
    <row r="104">
      <c r="A104" s="4" t="s">
        <v>1655</v>
      </c>
    </row>
    <row r="105">
      <c r="A105" s="4" t="s">
        <v>1657</v>
      </c>
    </row>
    <row r="106">
      <c r="A106" s="4" t="s">
        <v>1657</v>
      </c>
    </row>
    <row r="107">
      <c r="A107" s="4" t="s">
        <v>1656</v>
      </c>
    </row>
    <row r="108">
      <c r="A108" s="4" t="s">
        <v>1657</v>
      </c>
    </row>
    <row r="109">
      <c r="A109" s="4" t="s">
        <v>1655</v>
      </c>
    </row>
    <row r="110">
      <c r="A110" s="4" t="s">
        <v>1657</v>
      </c>
    </row>
    <row r="111">
      <c r="A111" s="4" t="s">
        <v>1657</v>
      </c>
    </row>
    <row r="112">
      <c r="A112" s="4" t="s">
        <v>1656</v>
      </c>
    </row>
    <row r="113">
      <c r="A113" s="4" t="s">
        <v>1656</v>
      </c>
    </row>
    <row r="114">
      <c r="A114" s="4" t="s">
        <v>1656</v>
      </c>
    </row>
    <row r="115">
      <c r="A115" s="4" t="s">
        <v>1655</v>
      </c>
    </row>
    <row r="116">
      <c r="A116" s="4" t="s">
        <v>1656</v>
      </c>
    </row>
    <row r="117">
      <c r="A117" s="4" t="s">
        <v>1655</v>
      </c>
    </row>
    <row r="118">
      <c r="A118" s="4" t="s">
        <v>1656</v>
      </c>
    </row>
    <row r="119">
      <c r="A119" s="4" t="s">
        <v>1657</v>
      </c>
    </row>
    <row r="120">
      <c r="A120" s="4" t="s">
        <v>1655</v>
      </c>
    </row>
    <row r="121">
      <c r="A121" s="4" t="s">
        <v>1657</v>
      </c>
    </row>
    <row r="122">
      <c r="A122" s="4" t="s">
        <v>1656</v>
      </c>
    </row>
    <row r="123">
      <c r="A123" s="4" t="s">
        <v>1657</v>
      </c>
    </row>
    <row r="124">
      <c r="A124" s="4" t="s">
        <v>1657</v>
      </c>
    </row>
    <row r="125">
      <c r="A125" s="4" t="s">
        <v>1656</v>
      </c>
    </row>
    <row r="126">
      <c r="A126" s="4" t="s">
        <v>1656</v>
      </c>
    </row>
    <row r="127">
      <c r="A127" s="4" t="s">
        <v>1657</v>
      </c>
    </row>
    <row r="128">
      <c r="A128" s="4" t="s">
        <v>1657</v>
      </c>
    </row>
    <row r="129">
      <c r="A129" s="4" t="s">
        <v>1657</v>
      </c>
    </row>
    <row r="130">
      <c r="A130" s="4" t="s">
        <v>1657</v>
      </c>
    </row>
    <row r="131">
      <c r="A131" s="4" t="s">
        <v>1655</v>
      </c>
    </row>
    <row r="132">
      <c r="A132" s="4" t="s">
        <v>1655</v>
      </c>
    </row>
    <row r="133">
      <c r="A133" s="4" t="s">
        <v>1655</v>
      </c>
    </row>
    <row r="134">
      <c r="A134" s="4" t="s">
        <v>1655</v>
      </c>
    </row>
    <row r="135">
      <c r="A135" s="4" t="s">
        <v>1656</v>
      </c>
    </row>
    <row r="136">
      <c r="A136" s="4" t="s">
        <v>1657</v>
      </c>
    </row>
    <row r="137">
      <c r="A137" s="4" t="s">
        <v>1656</v>
      </c>
    </row>
    <row r="138">
      <c r="A138" s="4" t="s">
        <v>1656</v>
      </c>
    </row>
    <row r="139">
      <c r="A139" s="4" t="s">
        <v>1656</v>
      </c>
    </row>
    <row r="140">
      <c r="A140" s="4" t="s">
        <v>1656</v>
      </c>
    </row>
    <row r="141">
      <c r="A141" s="4" t="s">
        <v>1657</v>
      </c>
    </row>
    <row r="142">
      <c r="A142" s="4" t="s">
        <v>1655</v>
      </c>
    </row>
    <row r="143">
      <c r="A143" s="4" t="s">
        <v>1656</v>
      </c>
    </row>
    <row r="144">
      <c r="A144" s="4" t="s">
        <v>1655</v>
      </c>
    </row>
    <row r="145">
      <c r="A145" s="4" t="s">
        <v>1656</v>
      </c>
    </row>
    <row r="146">
      <c r="A146" s="4" t="s">
        <v>1656</v>
      </c>
    </row>
    <row r="147">
      <c r="A147" s="4" t="s">
        <v>1655</v>
      </c>
    </row>
    <row r="148">
      <c r="A148" s="4" t="s">
        <v>1657</v>
      </c>
    </row>
    <row r="149">
      <c r="A149" s="4" t="s">
        <v>1656</v>
      </c>
    </row>
    <row r="150">
      <c r="A150" s="4" t="s">
        <v>1655</v>
      </c>
    </row>
    <row r="151">
      <c r="A151" s="4" t="s">
        <v>1655</v>
      </c>
    </row>
    <row r="152">
      <c r="A152" s="4" t="s">
        <v>1656</v>
      </c>
    </row>
    <row r="153">
      <c r="A153" s="4" t="s">
        <v>1655</v>
      </c>
    </row>
    <row r="154">
      <c r="A154" s="4" t="s">
        <v>1657</v>
      </c>
    </row>
    <row r="155">
      <c r="A155" s="4" t="s">
        <v>1656</v>
      </c>
    </row>
    <row r="156">
      <c r="A156" s="4" t="s">
        <v>1655</v>
      </c>
    </row>
    <row r="157">
      <c r="A157" s="4" t="s">
        <v>1656</v>
      </c>
    </row>
    <row r="158">
      <c r="A158" s="4" t="s">
        <v>1655</v>
      </c>
    </row>
    <row r="159">
      <c r="A159" s="4" t="s">
        <v>1657</v>
      </c>
    </row>
    <row r="160">
      <c r="A160" s="4" t="s">
        <v>1657</v>
      </c>
    </row>
    <row r="161">
      <c r="A161" s="4" t="s">
        <v>1656</v>
      </c>
    </row>
    <row r="162">
      <c r="A162" s="4" t="s">
        <v>1657</v>
      </c>
    </row>
    <row r="163">
      <c r="A163" s="4" t="s">
        <v>1655</v>
      </c>
    </row>
    <row r="164">
      <c r="A164" s="4" t="s">
        <v>1657</v>
      </c>
    </row>
    <row r="165">
      <c r="A165" s="4" t="s">
        <v>1657</v>
      </c>
    </row>
    <row r="166">
      <c r="A166" s="4" t="s">
        <v>1656</v>
      </c>
    </row>
    <row r="167">
      <c r="A167" s="4" t="s">
        <v>1656</v>
      </c>
    </row>
    <row r="168">
      <c r="A168" s="4" t="s">
        <v>1656</v>
      </c>
    </row>
    <row r="169">
      <c r="A169" s="4" t="s">
        <v>1656</v>
      </c>
    </row>
    <row r="170">
      <c r="A170" s="4" t="s">
        <v>1655</v>
      </c>
    </row>
    <row r="171">
      <c r="A171" s="4" t="s">
        <v>1656</v>
      </c>
    </row>
    <row r="172">
      <c r="A172" s="4" t="s">
        <v>1655</v>
      </c>
    </row>
    <row r="173">
      <c r="A173" s="4" t="s">
        <v>1655</v>
      </c>
    </row>
    <row r="174">
      <c r="A174" s="4" t="s">
        <v>1656</v>
      </c>
    </row>
    <row r="175">
      <c r="A175" s="4" t="s">
        <v>1657</v>
      </c>
    </row>
    <row r="176">
      <c r="A176" s="4" t="s">
        <v>1657</v>
      </c>
    </row>
    <row r="177">
      <c r="A177" s="4" t="s">
        <v>1656</v>
      </c>
    </row>
    <row r="178">
      <c r="A178" s="4" t="s">
        <v>1655</v>
      </c>
    </row>
    <row r="179">
      <c r="A179" s="4" t="s">
        <v>1656</v>
      </c>
    </row>
    <row r="180">
      <c r="A180" s="4" t="s">
        <v>1657</v>
      </c>
    </row>
    <row r="181">
      <c r="A181" s="4" t="s">
        <v>1657</v>
      </c>
    </row>
    <row r="182">
      <c r="A182" s="4" t="s">
        <v>1655</v>
      </c>
    </row>
    <row r="183">
      <c r="A183" s="4" t="s">
        <v>1656</v>
      </c>
    </row>
    <row r="184">
      <c r="A184" s="4" t="s">
        <v>1657</v>
      </c>
    </row>
    <row r="185">
      <c r="A185" s="4" t="s">
        <v>1657</v>
      </c>
    </row>
    <row r="186">
      <c r="A186" s="4" t="s">
        <v>1656</v>
      </c>
    </row>
    <row r="187">
      <c r="A187" s="4" t="s">
        <v>1656</v>
      </c>
    </row>
    <row r="188">
      <c r="A188" s="4" t="s">
        <v>1657</v>
      </c>
    </row>
    <row r="189">
      <c r="A189" s="4" t="s">
        <v>1657</v>
      </c>
    </row>
    <row r="190">
      <c r="A190" s="4" t="s">
        <v>1657</v>
      </c>
    </row>
    <row r="191">
      <c r="A191" s="4" t="s">
        <v>1655</v>
      </c>
    </row>
    <row r="192">
      <c r="A192" s="4" t="s">
        <v>1655</v>
      </c>
    </row>
    <row r="193">
      <c r="A193" s="4" t="s">
        <v>1657</v>
      </c>
    </row>
    <row r="194">
      <c r="A194" s="4" t="s">
        <v>1657</v>
      </c>
    </row>
    <row r="195">
      <c r="A195" s="4" t="s">
        <v>1655</v>
      </c>
    </row>
    <row r="196">
      <c r="A196" s="4" t="s">
        <v>1655</v>
      </c>
    </row>
    <row r="197">
      <c r="A197" s="4" t="s">
        <v>1656</v>
      </c>
    </row>
    <row r="198">
      <c r="A198" s="4" t="s">
        <v>1656</v>
      </c>
    </row>
    <row r="199">
      <c r="A199" s="4" t="s">
        <v>1657</v>
      </c>
    </row>
    <row r="200">
      <c r="A200" s="4" t="s">
        <v>1655</v>
      </c>
    </row>
    <row r="201">
      <c r="A201" s="4" t="s">
        <v>1655</v>
      </c>
    </row>
    <row r="202">
      <c r="A202" s="4" t="s">
        <v>1655</v>
      </c>
    </row>
    <row r="203">
      <c r="A203" s="4" t="s">
        <v>1655</v>
      </c>
    </row>
    <row r="204">
      <c r="A204" s="4" t="s">
        <v>1656</v>
      </c>
    </row>
    <row r="205">
      <c r="A205" s="4" t="s">
        <v>1656</v>
      </c>
    </row>
    <row r="206">
      <c r="A206" s="4" t="s">
        <v>1656</v>
      </c>
    </row>
    <row r="207">
      <c r="A207" s="4" t="s">
        <v>1655</v>
      </c>
    </row>
    <row r="208">
      <c r="A208" s="4" t="s">
        <v>1655</v>
      </c>
    </row>
    <row r="209">
      <c r="A209" s="4" t="s">
        <v>1656</v>
      </c>
    </row>
    <row r="210">
      <c r="A210" s="4" t="s">
        <v>1655</v>
      </c>
    </row>
    <row r="211">
      <c r="A211" s="4" t="s">
        <v>1656</v>
      </c>
    </row>
    <row r="212">
      <c r="A212" s="4" t="s">
        <v>1655</v>
      </c>
    </row>
    <row r="213">
      <c r="A213" s="4" t="s">
        <v>1657</v>
      </c>
    </row>
    <row r="214">
      <c r="A214" s="4" t="s">
        <v>1656</v>
      </c>
    </row>
    <row r="215">
      <c r="A215" s="4" t="s">
        <v>1657</v>
      </c>
    </row>
    <row r="216">
      <c r="A216" s="4" t="s">
        <v>1656</v>
      </c>
    </row>
    <row r="217">
      <c r="A217" s="4" t="s">
        <v>1656</v>
      </c>
    </row>
    <row r="218">
      <c r="A218" s="4" t="s">
        <v>1657</v>
      </c>
    </row>
    <row r="219">
      <c r="A219" s="4" t="s">
        <v>1656</v>
      </c>
    </row>
    <row r="220">
      <c r="A220" s="4" t="s">
        <v>1655</v>
      </c>
    </row>
    <row r="221">
      <c r="A221" s="4" t="s">
        <v>1657</v>
      </c>
    </row>
    <row r="222">
      <c r="A222" s="4" t="s">
        <v>1655</v>
      </c>
    </row>
    <row r="223">
      <c r="A223" s="4" t="s">
        <v>1656</v>
      </c>
    </row>
    <row r="224">
      <c r="A224" s="4" t="s">
        <v>1655</v>
      </c>
    </row>
    <row r="225">
      <c r="A225" s="4" t="s">
        <v>1656</v>
      </c>
    </row>
    <row r="226">
      <c r="A226" s="4" t="s">
        <v>1655</v>
      </c>
    </row>
    <row r="227">
      <c r="A227" s="4" t="s">
        <v>1657</v>
      </c>
    </row>
    <row r="228">
      <c r="A228" s="4" t="s">
        <v>1657</v>
      </c>
    </row>
    <row r="229">
      <c r="A229" s="4" t="s">
        <v>1655</v>
      </c>
    </row>
    <row r="230">
      <c r="A230" s="4" t="s">
        <v>1656</v>
      </c>
    </row>
    <row r="231">
      <c r="A231" s="4" t="s">
        <v>1657</v>
      </c>
    </row>
    <row r="232">
      <c r="A232" s="4" t="s">
        <v>1656</v>
      </c>
    </row>
    <row r="233">
      <c r="A233" s="4" t="s">
        <v>1656</v>
      </c>
    </row>
    <row r="234">
      <c r="A234" s="4" t="s">
        <v>1657</v>
      </c>
    </row>
    <row r="235">
      <c r="A235" s="4" t="s">
        <v>1657</v>
      </c>
    </row>
    <row r="236">
      <c r="A236" s="4" t="s">
        <v>1656</v>
      </c>
    </row>
    <row r="237">
      <c r="A237" s="4" t="s">
        <v>1656</v>
      </c>
    </row>
    <row r="238">
      <c r="A238" s="4" t="s">
        <v>1655</v>
      </c>
    </row>
    <row r="239">
      <c r="A239" s="4" t="s">
        <v>1657</v>
      </c>
    </row>
    <row r="240">
      <c r="A240" s="4" t="s">
        <v>1657</v>
      </c>
    </row>
    <row r="241">
      <c r="A241" s="4" t="s">
        <v>1656</v>
      </c>
    </row>
    <row r="242">
      <c r="A242" s="4" t="s">
        <v>1655</v>
      </c>
    </row>
    <row r="243">
      <c r="A243" s="4" t="s">
        <v>1655</v>
      </c>
    </row>
    <row r="244">
      <c r="A244" s="4" t="s">
        <v>1655</v>
      </c>
    </row>
    <row r="245">
      <c r="A245" s="4" t="s">
        <v>1656</v>
      </c>
    </row>
    <row r="246">
      <c r="A246" s="4" t="s">
        <v>1655</v>
      </c>
    </row>
    <row r="247">
      <c r="A247" s="4" t="s">
        <v>1655</v>
      </c>
    </row>
    <row r="248">
      <c r="A248" s="4" t="s">
        <v>1657</v>
      </c>
    </row>
    <row r="249">
      <c r="A249" s="4" t="s">
        <v>1655</v>
      </c>
    </row>
    <row r="250">
      <c r="A250" s="4" t="s">
        <v>1657</v>
      </c>
    </row>
    <row r="251">
      <c r="A251" s="4" t="s">
        <v>1656</v>
      </c>
    </row>
    <row r="252">
      <c r="A252" s="4" t="s">
        <v>1657</v>
      </c>
    </row>
    <row r="253">
      <c r="A253" s="4" t="s">
        <v>1657</v>
      </c>
    </row>
    <row r="254">
      <c r="A254" s="4" t="s">
        <v>1656</v>
      </c>
    </row>
    <row r="255">
      <c r="A255" s="4" t="s">
        <v>1655</v>
      </c>
    </row>
    <row r="256">
      <c r="A256" s="4" t="s">
        <v>1657</v>
      </c>
    </row>
    <row r="257">
      <c r="A257" s="4" t="s">
        <v>1655</v>
      </c>
    </row>
    <row r="258">
      <c r="A258" s="4" t="s">
        <v>1655</v>
      </c>
    </row>
    <row r="259">
      <c r="A259" s="4" t="s">
        <v>1656</v>
      </c>
    </row>
    <row r="260">
      <c r="A260" s="4" t="s">
        <v>1655</v>
      </c>
    </row>
    <row r="261">
      <c r="A261" s="4" t="s">
        <v>1656</v>
      </c>
    </row>
    <row r="262">
      <c r="A262" s="4" t="s">
        <v>1655</v>
      </c>
    </row>
    <row r="263">
      <c r="A263" s="4" t="s">
        <v>1655</v>
      </c>
    </row>
    <row r="264">
      <c r="A264" s="4" t="s">
        <v>1656</v>
      </c>
    </row>
    <row r="265">
      <c r="A265" s="4" t="s">
        <v>1656</v>
      </c>
    </row>
    <row r="266">
      <c r="A266" s="4" t="s">
        <v>1657</v>
      </c>
    </row>
    <row r="267">
      <c r="A267" s="4" t="s">
        <v>1656</v>
      </c>
    </row>
    <row r="268">
      <c r="A268" s="4" t="s">
        <v>1655</v>
      </c>
    </row>
    <row r="269">
      <c r="A269" s="4" t="s">
        <v>1656</v>
      </c>
    </row>
    <row r="270">
      <c r="A270" s="4" t="s">
        <v>1655</v>
      </c>
    </row>
    <row r="271">
      <c r="A271" s="4" t="s">
        <v>1657</v>
      </c>
    </row>
    <row r="272">
      <c r="A272" s="4" t="s">
        <v>1656</v>
      </c>
    </row>
    <row r="273">
      <c r="A273" s="4" t="s">
        <v>1657</v>
      </c>
    </row>
    <row r="274">
      <c r="A274" s="4" t="s">
        <v>1655</v>
      </c>
    </row>
    <row r="275">
      <c r="A275" s="4" t="s">
        <v>1656</v>
      </c>
    </row>
    <row r="276">
      <c r="A276" s="4" t="s">
        <v>1655</v>
      </c>
    </row>
    <row r="277">
      <c r="A277" s="4" t="s">
        <v>1656</v>
      </c>
    </row>
    <row r="278">
      <c r="A278" s="4" t="s">
        <v>1655</v>
      </c>
    </row>
    <row r="279">
      <c r="A279" s="4" t="s">
        <v>1655</v>
      </c>
    </row>
    <row r="280">
      <c r="A280" s="4" t="s">
        <v>1657</v>
      </c>
    </row>
    <row r="281">
      <c r="A281" s="4" t="s">
        <v>1657</v>
      </c>
    </row>
    <row r="282">
      <c r="A282" s="4" t="s">
        <v>1657</v>
      </c>
    </row>
    <row r="283">
      <c r="A283" s="4" t="s">
        <v>1655</v>
      </c>
    </row>
    <row r="284">
      <c r="A284" s="4" t="s">
        <v>1657</v>
      </c>
    </row>
    <row r="285">
      <c r="A285" s="4" t="s">
        <v>1656</v>
      </c>
    </row>
    <row r="286">
      <c r="A286" s="4" t="s">
        <v>1655</v>
      </c>
    </row>
    <row r="287">
      <c r="A287" s="4" t="s">
        <v>1655</v>
      </c>
    </row>
    <row r="288">
      <c r="A288" s="4" t="s">
        <v>1657</v>
      </c>
    </row>
    <row r="289">
      <c r="A289" s="4" t="s">
        <v>1657</v>
      </c>
    </row>
    <row r="290">
      <c r="A290" s="4" t="s">
        <v>1655</v>
      </c>
    </row>
    <row r="291">
      <c r="A291" s="4" t="s">
        <v>1657</v>
      </c>
    </row>
    <row r="292">
      <c r="A292" s="4" t="s">
        <v>1656</v>
      </c>
    </row>
    <row r="293">
      <c r="A293" s="4" t="s">
        <v>1657</v>
      </c>
    </row>
    <row r="294">
      <c r="A294" s="4" t="s">
        <v>1656</v>
      </c>
    </row>
    <row r="295">
      <c r="A295" s="4" t="s">
        <v>1655</v>
      </c>
    </row>
    <row r="296">
      <c r="A296" s="4" t="s">
        <v>1655</v>
      </c>
    </row>
    <row r="297">
      <c r="A297" s="4" t="s">
        <v>1657</v>
      </c>
    </row>
    <row r="298">
      <c r="A298" s="4" t="s">
        <v>1655</v>
      </c>
    </row>
    <row r="299">
      <c r="A299" s="4" t="s">
        <v>1656</v>
      </c>
    </row>
    <row r="300">
      <c r="A300" s="4" t="s">
        <v>1655</v>
      </c>
    </row>
    <row r="301">
      <c r="A301" s="4" t="s">
        <v>1655</v>
      </c>
    </row>
    <row r="302">
      <c r="A302" s="4" t="s">
        <v>1657</v>
      </c>
    </row>
    <row r="303">
      <c r="A303" s="4" t="s">
        <v>1656</v>
      </c>
    </row>
    <row r="304">
      <c r="A304" s="4" t="s">
        <v>1656</v>
      </c>
    </row>
    <row r="305">
      <c r="A305" s="4" t="s">
        <v>1655</v>
      </c>
    </row>
    <row r="306">
      <c r="A306" s="4" t="s">
        <v>1655</v>
      </c>
    </row>
    <row r="307">
      <c r="A307" s="4" t="s">
        <v>1656</v>
      </c>
    </row>
    <row r="308">
      <c r="A308" s="4" t="s">
        <v>1657</v>
      </c>
    </row>
    <row r="309">
      <c r="A309" s="4" t="s">
        <v>1657</v>
      </c>
    </row>
    <row r="310">
      <c r="A310" s="4" t="s">
        <v>1657</v>
      </c>
    </row>
    <row r="311">
      <c r="A311" s="4" t="s">
        <v>1656</v>
      </c>
    </row>
    <row r="312">
      <c r="A312" s="4" t="s">
        <v>1655</v>
      </c>
    </row>
    <row r="313">
      <c r="A313" s="4" t="s">
        <v>1657</v>
      </c>
    </row>
    <row r="314">
      <c r="A314" s="4" t="s">
        <v>1656</v>
      </c>
    </row>
    <row r="315">
      <c r="A315" s="4" t="s">
        <v>1655</v>
      </c>
    </row>
    <row r="316">
      <c r="A316" s="4" t="s">
        <v>1657</v>
      </c>
    </row>
    <row r="317">
      <c r="A317" s="4" t="s">
        <v>1655</v>
      </c>
    </row>
    <row r="318">
      <c r="A318" s="4" t="s">
        <v>1655</v>
      </c>
    </row>
    <row r="319">
      <c r="A319" s="4" t="s">
        <v>1655</v>
      </c>
    </row>
    <row r="320">
      <c r="A320" s="4" t="s">
        <v>1656</v>
      </c>
    </row>
    <row r="321">
      <c r="A321" s="4" t="s">
        <v>1656</v>
      </c>
    </row>
    <row r="322">
      <c r="A322" s="4" t="s">
        <v>1657</v>
      </c>
    </row>
    <row r="323">
      <c r="A323" s="4" t="s">
        <v>1655</v>
      </c>
    </row>
    <row r="324">
      <c r="A324" s="4" t="s">
        <v>1657</v>
      </c>
    </row>
    <row r="325">
      <c r="A325" s="4" t="s">
        <v>1656</v>
      </c>
    </row>
    <row r="326">
      <c r="A326" s="4" t="s">
        <v>1657</v>
      </c>
    </row>
    <row r="327">
      <c r="A327" s="4" t="s">
        <v>1655</v>
      </c>
    </row>
    <row r="328">
      <c r="A328" s="4" t="s">
        <v>1655</v>
      </c>
    </row>
    <row r="329">
      <c r="A329" s="4" t="s">
        <v>1657</v>
      </c>
    </row>
    <row r="330">
      <c r="A330" s="4" t="s">
        <v>1656</v>
      </c>
    </row>
    <row r="331">
      <c r="A331" s="4" t="s">
        <v>1657</v>
      </c>
    </row>
    <row r="332">
      <c r="A332" s="4" t="s">
        <v>1656</v>
      </c>
    </row>
    <row r="333">
      <c r="A333" s="4" t="s">
        <v>1656</v>
      </c>
    </row>
    <row r="334">
      <c r="A334" s="4" t="s">
        <v>1657</v>
      </c>
    </row>
    <row r="335">
      <c r="A335" s="4" t="s">
        <v>1656</v>
      </c>
    </row>
    <row r="336">
      <c r="A336" s="4" t="s">
        <v>1657</v>
      </c>
    </row>
    <row r="337">
      <c r="A337" s="4" t="s">
        <v>1657</v>
      </c>
    </row>
    <row r="338">
      <c r="A338" s="4" t="s">
        <v>1656</v>
      </c>
    </row>
    <row r="339">
      <c r="A339" s="4" t="s">
        <v>1655</v>
      </c>
    </row>
    <row r="340">
      <c r="A340" s="4" t="s">
        <v>1657</v>
      </c>
    </row>
    <row r="341">
      <c r="A341" s="4" t="s">
        <v>1655</v>
      </c>
    </row>
    <row r="342">
      <c r="A342" s="4" t="s">
        <v>1657</v>
      </c>
    </row>
    <row r="343">
      <c r="A343" s="4" t="s">
        <v>1655</v>
      </c>
    </row>
    <row r="344">
      <c r="A344" s="4" t="s">
        <v>1657</v>
      </c>
    </row>
    <row r="345">
      <c r="A345" s="4" t="s">
        <v>1656</v>
      </c>
    </row>
    <row r="346">
      <c r="A346" s="4" t="s">
        <v>1655</v>
      </c>
    </row>
    <row r="347">
      <c r="A347" s="4" t="s">
        <v>1657</v>
      </c>
    </row>
    <row r="348">
      <c r="A348" s="4" t="s">
        <v>1656</v>
      </c>
    </row>
    <row r="349">
      <c r="A349" s="4" t="s">
        <v>1657</v>
      </c>
    </row>
    <row r="350">
      <c r="A350" s="4" t="s">
        <v>1657</v>
      </c>
    </row>
    <row r="351">
      <c r="A351" s="4" t="s">
        <v>1655</v>
      </c>
    </row>
    <row r="352">
      <c r="A352" s="4" t="s">
        <v>1656</v>
      </c>
    </row>
    <row r="353">
      <c r="A353" s="4" t="s">
        <v>1657</v>
      </c>
    </row>
    <row r="354">
      <c r="A354" s="4" t="s">
        <v>1657</v>
      </c>
    </row>
    <row r="355">
      <c r="A355" s="4" t="s">
        <v>1657</v>
      </c>
    </row>
    <row r="356">
      <c r="A356" s="4" t="s">
        <v>1656</v>
      </c>
    </row>
    <row r="357">
      <c r="A357" s="4" t="s">
        <v>1656</v>
      </c>
    </row>
    <row r="358">
      <c r="A358" s="4" t="s">
        <v>1655</v>
      </c>
    </row>
    <row r="359">
      <c r="A359" s="4" t="s">
        <v>1655</v>
      </c>
    </row>
    <row r="360">
      <c r="A360" s="4" t="s">
        <v>1656</v>
      </c>
    </row>
    <row r="361">
      <c r="A361" s="4" t="s">
        <v>1657</v>
      </c>
    </row>
    <row r="362">
      <c r="A362" s="4" t="s">
        <v>1655</v>
      </c>
    </row>
    <row r="363">
      <c r="A363" s="4" t="s">
        <v>1657</v>
      </c>
    </row>
    <row r="364">
      <c r="A364" s="4" t="s">
        <v>1657</v>
      </c>
    </row>
    <row r="365">
      <c r="A365" s="4" t="s">
        <v>1655</v>
      </c>
    </row>
    <row r="366">
      <c r="A366" s="4" t="s">
        <v>1656</v>
      </c>
    </row>
    <row r="367">
      <c r="A367" s="4" t="s">
        <v>1656</v>
      </c>
    </row>
    <row r="368">
      <c r="A368" s="4" t="s">
        <v>1655</v>
      </c>
    </row>
    <row r="369">
      <c r="A369" s="4" t="s">
        <v>1655</v>
      </c>
    </row>
    <row r="370">
      <c r="A370" s="4" t="s">
        <v>1655</v>
      </c>
    </row>
    <row r="371">
      <c r="A371" s="4" t="s">
        <v>1656</v>
      </c>
    </row>
    <row r="372">
      <c r="A372" s="4" t="s">
        <v>1656</v>
      </c>
    </row>
    <row r="373">
      <c r="A373" s="4" t="s">
        <v>1655</v>
      </c>
    </row>
    <row r="374">
      <c r="A374" s="4" t="s">
        <v>1655</v>
      </c>
    </row>
    <row r="375">
      <c r="A375" s="4" t="s">
        <v>1657</v>
      </c>
    </row>
    <row r="376">
      <c r="A376" s="4" t="s">
        <v>1655</v>
      </c>
    </row>
    <row r="377">
      <c r="A377" s="4" t="s">
        <v>1657</v>
      </c>
    </row>
    <row r="378">
      <c r="A378" s="4" t="s">
        <v>1655</v>
      </c>
    </row>
    <row r="379">
      <c r="A379" s="4" t="s">
        <v>1657</v>
      </c>
    </row>
    <row r="380">
      <c r="A380" s="4" t="s">
        <v>1657</v>
      </c>
    </row>
    <row r="381">
      <c r="A381" s="4" t="s">
        <v>1657</v>
      </c>
    </row>
    <row r="382">
      <c r="A382" s="4" t="s">
        <v>1656</v>
      </c>
    </row>
    <row r="383">
      <c r="A383" s="4" t="s">
        <v>1657</v>
      </c>
    </row>
    <row r="384">
      <c r="A384" s="4" t="s">
        <v>1655</v>
      </c>
    </row>
    <row r="385">
      <c r="A385" s="4" t="s">
        <v>1655</v>
      </c>
    </row>
    <row r="386">
      <c r="A386" s="4" t="s">
        <v>1657</v>
      </c>
    </row>
    <row r="387">
      <c r="A387" s="4" t="s">
        <v>1655</v>
      </c>
    </row>
    <row r="388">
      <c r="A388" s="4" t="s">
        <v>1657</v>
      </c>
    </row>
    <row r="389">
      <c r="A389" s="4" t="s">
        <v>1655</v>
      </c>
    </row>
    <row r="390">
      <c r="A390" s="4" t="s">
        <v>1655</v>
      </c>
    </row>
    <row r="391">
      <c r="A391" s="4" t="s">
        <v>1656</v>
      </c>
    </row>
    <row r="392">
      <c r="A392" s="4" t="s">
        <v>1656</v>
      </c>
    </row>
    <row r="393">
      <c r="A393" s="4" t="s">
        <v>1655</v>
      </c>
    </row>
    <row r="394">
      <c r="A394" s="4" t="s">
        <v>1657</v>
      </c>
    </row>
    <row r="395">
      <c r="A395" s="4" t="s">
        <v>1656</v>
      </c>
    </row>
    <row r="396">
      <c r="A396" s="4" t="s">
        <v>1657</v>
      </c>
    </row>
    <row r="397">
      <c r="A397" s="4" t="s">
        <v>1655</v>
      </c>
    </row>
    <row r="398">
      <c r="A398" s="4" t="s">
        <v>1655</v>
      </c>
    </row>
    <row r="399">
      <c r="A399" s="4" t="s">
        <v>1656</v>
      </c>
    </row>
    <row r="400">
      <c r="A400" s="4" t="s">
        <v>1656</v>
      </c>
    </row>
    <row r="401">
      <c r="A401" s="4" t="s">
        <v>1657</v>
      </c>
    </row>
    <row r="402">
      <c r="A402" s="4" t="s">
        <v>1657</v>
      </c>
    </row>
    <row r="403">
      <c r="A403" s="4" t="s">
        <v>1655</v>
      </c>
    </row>
    <row r="404">
      <c r="A404" s="4" t="s">
        <v>1657</v>
      </c>
    </row>
    <row r="405">
      <c r="A405" s="4" t="s">
        <v>1657</v>
      </c>
    </row>
    <row r="406">
      <c r="A406" s="4" t="s">
        <v>1656</v>
      </c>
    </row>
    <row r="407">
      <c r="A407" s="4" t="s">
        <v>1657</v>
      </c>
    </row>
    <row r="408">
      <c r="A408" s="4" t="s">
        <v>1656</v>
      </c>
    </row>
    <row r="409">
      <c r="A409" s="4" t="s">
        <v>1655</v>
      </c>
    </row>
    <row r="410">
      <c r="A410" s="4" t="s">
        <v>1657</v>
      </c>
    </row>
    <row r="411">
      <c r="A411" s="4" t="s">
        <v>1657</v>
      </c>
    </row>
    <row r="412">
      <c r="A412" s="4" t="s">
        <v>1657</v>
      </c>
    </row>
    <row r="413">
      <c r="A413" s="4" t="s">
        <v>1657</v>
      </c>
    </row>
    <row r="414">
      <c r="A414" s="4" t="s">
        <v>1655</v>
      </c>
    </row>
    <row r="415">
      <c r="A415" s="4" t="s">
        <v>1657</v>
      </c>
    </row>
    <row r="416">
      <c r="A416" s="4" t="s">
        <v>1656</v>
      </c>
    </row>
    <row r="417">
      <c r="A417" s="4" t="s">
        <v>1655</v>
      </c>
    </row>
    <row r="418">
      <c r="A418" s="4" t="s">
        <v>1656</v>
      </c>
    </row>
    <row r="419">
      <c r="A419" s="4" t="s">
        <v>1655</v>
      </c>
    </row>
    <row r="420">
      <c r="A420" s="4" t="s">
        <v>1655</v>
      </c>
    </row>
    <row r="421">
      <c r="A421" s="4" t="s">
        <v>1655</v>
      </c>
    </row>
    <row r="422">
      <c r="A422" s="4" t="s">
        <v>1655</v>
      </c>
    </row>
    <row r="423">
      <c r="A423" s="4" t="s">
        <v>1655</v>
      </c>
    </row>
    <row r="424">
      <c r="A424" s="4" t="s">
        <v>1655</v>
      </c>
    </row>
    <row r="425">
      <c r="A425" s="4" t="s">
        <v>1657</v>
      </c>
    </row>
    <row r="426">
      <c r="A426" s="4" t="s">
        <v>1655</v>
      </c>
    </row>
    <row r="427">
      <c r="A427" s="4" t="s">
        <v>1657</v>
      </c>
    </row>
    <row r="428">
      <c r="A428" s="4" t="s">
        <v>1656</v>
      </c>
    </row>
    <row r="429">
      <c r="A429" s="4" t="s">
        <v>1656</v>
      </c>
    </row>
    <row r="430">
      <c r="A430" s="4" t="s">
        <v>1655</v>
      </c>
    </row>
    <row r="431">
      <c r="A431" s="4" t="s">
        <v>1657</v>
      </c>
    </row>
    <row r="432">
      <c r="A432" s="4" t="s">
        <v>1655</v>
      </c>
    </row>
    <row r="433">
      <c r="A433" s="4" t="s">
        <v>1655</v>
      </c>
    </row>
    <row r="434">
      <c r="A434" s="4" t="s">
        <v>1656</v>
      </c>
    </row>
    <row r="435">
      <c r="A435" s="4" t="s">
        <v>1655</v>
      </c>
    </row>
    <row r="436">
      <c r="A436" s="4" t="s">
        <v>1657</v>
      </c>
    </row>
    <row r="437">
      <c r="A437" s="4" t="s">
        <v>1655</v>
      </c>
    </row>
    <row r="438">
      <c r="A438" s="4" t="s">
        <v>1656</v>
      </c>
    </row>
    <row r="439">
      <c r="A439" s="4" t="s">
        <v>1656</v>
      </c>
    </row>
    <row r="440">
      <c r="A440" s="4" t="s">
        <v>1656</v>
      </c>
    </row>
    <row r="441">
      <c r="A441" s="4" t="s">
        <v>1657</v>
      </c>
    </row>
    <row r="442">
      <c r="A442" s="4" t="s">
        <v>1656</v>
      </c>
    </row>
    <row r="443">
      <c r="A443" s="4" t="s">
        <v>1657</v>
      </c>
    </row>
    <row r="444">
      <c r="A444" s="4" t="s">
        <v>1657</v>
      </c>
    </row>
    <row r="445">
      <c r="A445" s="4" t="s">
        <v>1657</v>
      </c>
    </row>
    <row r="446">
      <c r="A446" s="4" t="s">
        <v>1656</v>
      </c>
    </row>
    <row r="447">
      <c r="A447" s="4" t="s">
        <v>1655</v>
      </c>
    </row>
    <row r="448">
      <c r="A448" s="4" t="s">
        <v>1657</v>
      </c>
    </row>
    <row r="449">
      <c r="A449" s="4" t="s">
        <v>1655</v>
      </c>
    </row>
    <row r="450">
      <c r="A450" s="4" t="s">
        <v>1655</v>
      </c>
    </row>
    <row r="451">
      <c r="A451" s="4" t="s">
        <v>1656</v>
      </c>
    </row>
    <row r="452">
      <c r="A452" s="4" t="s">
        <v>1655</v>
      </c>
    </row>
    <row r="453">
      <c r="A453" s="4" t="s">
        <v>1657</v>
      </c>
    </row>
    <row r="454">
      <c r="A454" s="4" t="s">
        <v>1657</v>
      </c>
    </row>
    <row r="455">
      <c r="A455" s="4" t="s">
        <v>1657</v>
      </c>
    </row>
    <row r="456">
      <c r="A456" s="4" t="s">
        <v>1656</v>
      </c>
    </row>
    <row r="457">
      <c r="A457" s="4" t="s">
        <v>1657</v>
      </c>
    </row>
    <row r="458">
      <c r="A458" s="4" t="s">
        <v>1655</v>
      </c>
    </row>
    <row r="459">
      <c r="A459" s="4" t="s">
        <v>1657</v>
      </c>
    </row>
    <row r="460">
      <c r="A460" s="4" t="s">
        <v>1656</v>
      </c>
    </row>
    <row r="461">
      <c r="A461" s="4" t="s">
        <v>1656</v>
      </c>
    </row>
    <row r="462">
      <c r="A462" s="4" t="s">
        <v>1657</v>
      </c>
    </row>
    <row r="463">
      <c r="A463" s="4" t="s">
        <v>1656</v>
      </c>
    </row>
    <row r="464">
      <c r="A464" s="4" t="s">
        <v>1656</v>
      </c>
    </row>
    <row r="465">
      <c r="A465" s="4" t="s">
        <v>1655</v>
      </c>
    </row>
    <row r="466">
      <c r="A466" s="4" t="s">
        <v>1657</v>
      </c>
    </row>
    <row r="467">
      <c r="A467" s="4" t="s">
        <v>1656</v>
      </c>
    </row>
    <row r="468">
      <c r="A468" s="4" t="s">
        <v>1656</v>
      </c>
    </row>
    <row r="469">
      <c r="A469" s="4" t="s">
        <v>1656</v>
      </c>
    </row>
    <row r="470">
      <c r="A470" s="4" t="s">
        <v>1656</v>
      </c>
    </row>
    <row r="471">
      <c r="A471" s="4" t="s">
        <v>1656</v>
      </c>
    </row>
    <row r="472">
      <c r="A472" s="4" t="s">
        <v>1657</v>
      </c>
    </row>
    <row r="473">
      <c r="A473" s="4" t="s">
        <v>1656</v>
      </c>
    </row>
    <row r="474">
      <c r="A474" s="4" t="s">
        <v>1657</v>
      </c>
    </row>
    <row r="475">
      <c r="A475" s="4" t="s">
        <v>1657</v>
      </c>
    </row>
    <row r="476">
      <c r="A476" s="4" t="s">
        <v>1656</v>
      </c>
    </row>
    <row r="477">
      <c r="A477" s="4" t="s">
        <v>1656</v>
      </c>
    </row>
    <row r="478">
      <c r="A478" s="4" t="s">
        <v>1656</v>
      </c>
    </row>
    <row r="479">
      <c r="A479" s="4" t="s">
        <v>1656</v>
      </c>
    </row>
    <row r="480">
      <c r="A480" s="4" t="s">
        <v>1655</v>
      </c>
    </row>
    <row r="481">
      <c r="A481" s="4" t="s">
        <v>1655</v>
      </c>
    </row>
    <row r="482">
      <c r="A482" s="4" t="s">
        <v>1657</v>
      </c>
    </row>
    <row r="483">
      <c r="A483" s="4" t="s">
        <v>1657</v>
      </c>
    </row>
    <row r="484">
      <c r="A484" s="4" t="s">
        <v>1657</v>
      </c>
    </row>
    <row r="485">
      <c r="A485" s="4" t="s">
        <v>1656</v>
      </c>
    </row>
    <row r="486">
      <c r="A486" s="4" t="s">
        <v>1656</v>
      </c>
    </row>
    <row r="487">
      <c r="A487" s="4" t="s">
        <v>1657</v>
      </c>
    </row>
    <row r="488">
      <c r="A488" s="4" t="s">
        <v>1656</v>
      </c>
    </row>
    <row r="489">
      <c r="A489" s="4" t="s">
        <v>1656</v>
      </c>
    </row>
    <row r="490">
      <c r="A490" s="4" t="s">
        <v>1655</v>
      </c>
    </row>
    <row r="491">
      <c r="A491" s="4" t="s">
        <v>1655</v>
      </c>
    </row>
    <row r="492">
      <c r="A492" s="4" t="s">
        <v>1656</v>
      </c>
    </row>
    <row r="493">
      <c r="A493" s="4" t="s">
        <v>1656</v>
      </c>
    </row>
    <row r="494">
      <c r="A494" s="4" t="s">
        <v>1656</v>
      </c>
    </row>
    <row r="495">
      <c r="A495" s="4" t="s">
        <v>1655</v>
      </c>
    </row>
    <row r="496">
      <c r="A496" s="4" t="s">
        <v>1655</v>
      </c>
    </row>
    <row r="497">
      <c r="A497" s="4" t="s">
        <v>1657</v>
      </c>
    </row>
    <row r="498">
      <c r="A498" s="4" t="s">
        <v>1657</v>
      </c>
    </row>
    <row r="499">
      <c r="A499" s="4" t="s">
        <v>1655</v>
      </c>
    </row>
    <row r="500">
      <c r="A500" s="4" t="s">
        <v>1657</v>
      </c>
    </row>
    <row r="501">
      <c r="A501" s="4" t="s">
        <v>1657</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1658</v>
      </c>
      <c r="D2" s="4" t="str">
        <f t="shared" ref="D2:D501" si="1">C2</f>
        <v>{"valorA":"ar condicionado","valorB":1}</v>
      </c>
      <c r="E2" s="8" t="str">
        <f t="shared" ref="E2:E501" si="2">SUBSTITUTE(MID(C2,FIND(":",C2)+1,FIND(",",C2)-FIND(":",C2)-1),"""","")</f>
        <v>ar condicionado</v>
      </c>
      <c r="F2" s="8" t="str">
        <f>IFERROR(__xludf.DUMMYFUNCTION("UNIQUE(E2:E501)"),"ar condicionado")</f>
        <v>ar condicionado</v>
      </c>
      <c r="G2" s="8" t="str">
        <f t="shared" ref="G2:G501" si="3">MID(C2,FIND("valorB",C2)+8,FIND("}",C2)-FIND("valorB",C2)-8)</f>
        <v>1</v>
      </c>
      <c r="H2" s="9">
        <f t="shared" ref="H2:H501" si="4">VALUE(SUBSTITUTE(G2,".",","))</f>
        <v>1</v>
      </c>
      <c r="I2" s="10">
        <f>IFERROR(__xludf.DUMMYFUNCTION("MAX(FILTER($H:$H,$E:$E=F2))"),161.0)</f>
        <v>161</v>
      </c>
    </row>
    <row r="3">
      <c r="A3" s="4"/>
      <c r="C3" s="4" t="s">
        <v>1693</v>
      </c>
      <c r="D3" s="4" t="str">
        <f t="shared" si="1"/>
        <v>{"valorA":"microondas","valorB":1}</v>
      </c>
      <c r="E3" s="8" t="str">
        <f t="shared" si="2"/>
        <v>microondas</v>
      </c>
      <c r="F3" s="8" t="str">
        <f>IFERROR(__xludf.DUMMYFUNCTION("""COMPUTED_VALUE"""),"microondas")</f>
        <v>microondas</v>
      </c>
      <c r="G3" s="8" t="str">
        <f t="shared" si="3"/>
        <v>1</v>
      </c>
      <c r="H3" s="9">
        <f t="shared" si="4"/>
        <v>1</v>
      </c>
      <c r="I3" s="10">
        <f>IFERROR(__xludf.DUMMYFUNCTION("MAX(FILTER($H:$H,$E:$E=F3))"),164.0)</f>
        <v>164</v>
      </c>
    </row>
    <row r="4">
      <c r="A4" s="4"/>
      <c r="C4" s="4" t="s">
        <v>1694</v>
      </c>
      <c r="D4" s="4" t="str">
        <f t="shared" si="1"/>
        <v>{"valorA":"microondas","valorB":2}</v>
      </c>
      <c r="E4" s="8" t="str">
        <f t="shared" si="2"/>
        <v>microondas</v>
      </c>
      <c r="F4" s="8" t="str">
        <f>IFERROR(__xludf.DUMMYFUNCTION("""COMPUTED_VALUE"""),"freezer")</f>
        <v>freezer</v>
      </c>
      <c r="G4" s="8" t="str">
        <f t="shared" si="3"/>
        <v>2</v>
      </c>
      <c r="H4" s="9">
        <f t="shared" si="4"/>
        <v>2</v>
      </c>
      <c r="I4" s="10">
        <f>IFERROR(__xludf.DUMMYFUNCTION("MAX(FILTER($H:$H,$E:$E=F4))"),175.0)</f>
        <v>175</v>
      </c>
    </row>
    <row r="5">
      <c r="A5" s="4"/>
      <c r="C5" s="4" t="s">
        <v>1695</v>
      </c>
      <c r="D5" s="4" t="str">
        <f t="shared" si="1"/>
        <v>{"valorA":"ar condicionado","valorB":2}</v>
      </c>
      <c r="E5" s="8" t="str">
        <f t="shared" si="2"/>
        <v>ar condicionado</v>
      </c>
      <c r="F5" s="8"/>
      <c r="G5" s="8" t="str">
        <f t="shared" si="3"/>
        <v>2</v>
      </c>
      <c r="H5" s="9">
        <f t="shared" si="4"/>
        <v>2</v>
      </c>
      <c r="I5" s="6" t="str">
        <f>IFERROR(__xludf.DUMMYFUNCTION("MAX(FILTER($H:$H,$E:$E=F5))"),"#N/A")</f>
        <v>#N/A</v>
      </c>
    </row>
    <row r="6">
      <c r="A6" s="4"/>
      <c r="C6" s="4" t="s">
        <v>1697</v>
      </c>
      <c r="D6" s="4" t="str">
        <f t="shared" si="1"/>
        <v>{"valorA":"ar condicionado","valorB":3}</v>
      </c>
      <c r="E6" s="8" t="str">
        <f t="shared" si="2"/>
        <v>ar condicionado</v>
      </c>
      <c r="F6" s="8"/>
      <c r="G6" s="8" t="str">
        <f t="shared" si="3"/>
        <v>3</v>
      </c>
      <c r="H6" s="9">
        <f t="shared" si="4"/>
        <v>3</v>
      </c>
      <c r="I6" s="6" t="str">
        <f>IFERROR(__xludf.DUMMYFUNCTION("MAX(FILTER($H:$H,$E:$E=F6))"),"#N/A")</f>
        <v>#N/A</v>
      </c>
    </row>
    <row r="7">
      <c r="A7" s="4"/>
      <c r="C7" s="4" t="s">
        <v>1698</v>
      </c>
      <c r="D7" s="4" t="str">
        <f t="shared" si="1"/>
        <v>{"valorA":"ar condicionado","valorB":4}</v>
      </c>
      <c r="E7" s="8" t="str">
        <f t="shared" si="2"/>
        <v>ar condicionado</v>
      </c>
      <c r="F7" s="8"/>
      <c r="G7" s="8" t="str">
        <f t="shared" si="3"/>
        <v>4</v>
      </c>
      <c r="H7" s="9">
        <f t="shared" si="4"/>
        <v>4</v>
      </c>
      <c r="I7" s="6" t="str">
        <f>IFERROR(__xludf.DUMMYFUNCTION("MAX(FILTER($H:$H,$E:$E=F7))"),"#N/A")</f>
        <v>#N/A</v>
      </c>
    </row>
    <row r="8">
      <c r="A8" s="4"/>
      <c r="C8" s="4" t="s">
        <v>1700</v>
      </c>
      <c r="D8" s="4" t="str">
        <f t="shared" si="1"/>
        <v>{"valorA":"ar condicionado","valorB":5}</v>
      </c>
      <c r="E8" s="8" t="str">
        <f t="shared" si="2"/>
        <v>ar condicionado</v>
      </c>
      <c r="F8" s="8"/>
      <c r="G8" s="8" t="str">
        <f t="shared" si="3"/>
        <v>5</v>
      </c>
      <c r="H8" s="9">
        <f t="shared" si="4"/>
        <v>5</v>
      </c>
      <c r="I8" s="6" t="str">
        <f>IFERROR(__xludf.DUMMYFUNCTION("MAX(FILTER($H:$H,$E:$E=F8))"),"#N/A")</f>
        <v>#N/A</v>
      </c>
    </row>
    <row r="9">
      <c r="A9" s="4"/>
      <c r="C9" s="4" t="s">
        <v>1702</v>
      </c>
      <c r="D9" s="4" t="str">
        <f t="shared" si="1"/>
        <v>{"valorA":"ar condicionado","valorB":6}</v>
      </c>
      <c r="E9" s="8" t="str">
        <f t="shared" si="2"/>
        <v>ar condicionado</v>
      </c>
      <c r="F9" s="8"/>
      <c r="G9" s="8" t="str">
        <f t="shared" si="3"/>
        <v>6</v>
      </c>
      <c r="H9" s="9">
        <f t="shared" si="4"/>
        <v>6</v>
      </c>
      <c r="I9" s="6" t="str">
        <f>IFERROR(__xludf.DUMMYFUNCTION("MAX(FILTER($H:$H,$E:$E=F9))"),"#N/A")</f>
        <v>#N/A</v>
      </c>
    </row>
    <row r="10">
      <c r="A10" s="4"/>
      <c r="C10" s="4" t="s">
        <v>1659</v>
      </c>
      <c r="D10" s="4" t="str">
        <f t="shared" si="1"/>
        <v>{"valorA":"freezer","valorB":1}</v>
      </c>
      <c r="E10" s="8" t="str">
        <f t="shared" si="2"/>
        <v>freezer</v>
      </c>
      <c r="F10" s="8"/>
      <c r="G10" s="8" t="str">
        <f t="shared" si="3"/>
        <v>1</v>
      </c>
      <c r="H10" s="9">
        <f t="shared" si="4"/>
        <v>1</v>
      </c>
      <c r="I10" s="6" t="str">
        <f>IFERROR(__xludf.DUMMYFUNCTION("MAX(FILTER($H:$H,$E:$E=F10))"),"#N/A")</f>
        <v>#N/A</v>
      </c>
    </row>
    <row r="11">
      <c r="A11" s="4"/>
      <c r="C11" s="4" t="s">
        <v>1660</v>
      </c>
      <c r="D11" s="4" t="str">
        <f t="shared" si="1"/>
        <v>{"valorA":"freezer","valorB":2}</v>
      </c>
      <c r="E11" s="8" t="str">
        <f t="shared" si="2"/>
        <v>freezer</v>
      </c>
      <c r="F11" s="8"/>
      <c r="G11" s="8" t="str">
        <f t="shared" si="3"/>
        <v>2</v>
      </c>
      <c r="H11" s="9">
        <f t="shared" si="4"/>
        <v>2</v>
      </c>
      <c r="I11" s="6" t="str">
        <f>IFERROR(__xludf.DUMMYFUNCTION("MAX(FILTER($H:$H,$E:$E=F11))"),"#N/A")</f>
        <v>#N/A</v>
      </c>
    </row>
    <row r="12">
      <c r="A12" s="4"/>
      <c r="C12" s="4" t="s">
        <v>1661</v>
      </c>
      <c r="D12" s="4" t="str">
        <f t="shared" si="1"/>
        <v>{"valorA":"freezer","valorB":3}</v>
      </c>
      <c r="E12" s="8" t="str">
        <f t="shared" si="2"/>
        <v>freezer</v>
      </c>
      <c r="F12" s="8"/>
      <c r="G12" s="8" t="str">
        <f t="shared" si="3"/>
        <v>3</v>
      </c>
      <c r="H12" s="9">
        <f t="shared" si="4"/>
        <v>3</v>
      </c>
      <c r="I12" s="6" t="str">
        <f>IFERROR(__xludf.DUMMYFUNCTION("MAX(FILTER($H:$H,$E:$E=F12))"),"#N/A")</f>
        <v>#N/A</v>
      </c>
    </row>
    <row r="13">
      <c r="A13" s="4"/>
      <c r="C13" s="4" t="s">
        <v>1696</v>
      </c>
      <c r="D13" s="4" t="str">
        <f t="shared" si="1"/>
        <v>{"valorA":"microondas","valorB":3}</v>
      </c>
      <c r="E13" s="8" t="str">
        <f t="shared" si="2"/>
        <v>microondas</v>
      </c>
      <c r="F13" s="8"/>
      <c r="G13" s="8" t="str">
        <f t="shared" si="3"/>
        <v>3</v>
      </c>
      <c r="H13" s="9">
        <f t="shared" si="4"/>
        <v>3</v>
      </c>
      <c r="I13" s="6" t="str">
        <f>IFERROR(__xludf.DUMMYFUNCTION("MAX(FILTER($H:$H,$E:$E=F13))"),"#N/A")</f>
        <v>#N/A</v>
      </c>
    </row>
    <row r="14">
      <c r="A14" s="4"/>
      <c r="C14" s="4" t="s">
        <v>1705</v>
      </c>
      <c r="D14" s="4" t="str">
        <f t="shared" si="1"/>
        <v>{"valorA":"ar condicionado","valorB":7}</v>
      </c>
      <c r="E14" s="8" t="str">
        <f t="shared" si="2"/>
        <v>ar condicionado</v>
      </c>
      <c r="F14" s="8"/>
      <c r="G14" s="8" t="str">
        <f t="shared" si="3"/>
        <v>7</v>
      </c>
      <c r="H14" s="9">
        <f t="shared" si="4"/>
        <v>7</v>
      </c>
      <c r="I14" s="6" t="str">
        <f>IFERROR(__xludf.DUMMYFUNCTION("MAX(FILTER($H:$H,$E:$E=F14))"),"#N/A")</f>
        <v>#N/A</v>
      </c>
    </row>
    <row r="15">
      <c r="A15" s="4"/>
      <c r="C15" s="4" t="s">
        <v>1662</v>
      </c>
      <c r="D15" s="4" t="str">
        <f t="shared" si="1"/>
        <v>{"valorA":"freezer","valorB":4}</v>
      </c>
      <c r="E15" s="8" t="str">
        <f t="shared" si="2"/>
        <v>freezer</v>
      </c>
      <c r="F15" s="8"/>
      <c r="G15" s="8" t="str">
        <f t="shared" si="3"/>
        <v>4</v>
      </c>
      <c r="H15" s="9">
        <f t="shared" si="4"/>
        <v>4</v>
      </c>
      <c r="I15" s="6" t="str">
        <f>IFERROR(__xludf.DUMMYFUNCTION("MAX(FILTER($H:$H,$E:$E=F15))"),"#N/A")</f>
        <v>#N/A</v>
      </c>
    </row>
    <row r="16">
      <c r="A16" s="4"/>
      <c r="C16" s="4" t="s">
        <v>1663</v>
      </c>
      <c r="D16" s="4" t="str">
        <f t="shared" si="1"/>
        <v>{"valorA":"freezer","valorB":5}</v>
      </c>
      <c r="E16" s="8" t="str">
        <f t="shared" si="2"/>
        <v>freezer</v>
      </c>
      <c r="F16" s="8"/>
      <c r="G16" s="8" t="str">
        <f t="shared" si="3"/>
        <v>5</v>
      </c>
      <c r="H16" s="9">
        <f t="shared" si="4"/>
        <v>5</v>
      </c>
      <c r="I16" s="6" t="str">
        <f>IFERROR(__xludf.DUMMYFUNCTION("MAX(FILTER($H:$H,$E:$E=F16))"),"#N/A")</f>
        <v>#N/A</v>
      </c>
    </row>
    <row r="17">
      <c r="A17" s="4"/>
      <c r="C17" s="4" t="s">
        <v>1706</v>
      </c>
      <c r="D17" s="4" t="str">
        <f t="shared" si="1"/>
        <v>{"valorA":"ar condicionado","valorB":8}</v>
      </c>
      <c r="E17" s="8" t="str">
        <f t="shared" si="2"/>
        <v>ar condicionado</v>
      </c>
      <c r="F17" s="8"/>
      <c r="G17" s="8" t="str">
        <f t="shared" si="3"/>
        <v>8</v>
      </c>
      <c r="H17" s="9">
        <f t="shared" si="4"/>
        <v>8</v>
      </c>
      <c r="I17" s="6" t="str">
        <f>IFERROR(__xludf.DUMMYFUNCTION("MAX(FILTER($H:$H,$E:$E=F17))"),"#N/A")</f>
        <v>#N/A</v>
      </c>
    </row>
    <row r="18">
      <c r="A18" s="4"/>
      <c r="C18" s="4" t="s">
        <v>1707</v>
      </c>
      <c r="D18" s="4" t="str">
        <f t="shared" si="1"/>
        <v>{"valorA":"ar condicionado","valorB":9}</v>
      </c>
      <c r="E18" s="8" t="str">
        <f t="shared" si="2"/>
        <v>ar condicionado</v>
      </c>
      <c r="F18" s="8"/>
      <c r="G18" s="8" t="str">
        <f t="shared" si="3"/>
        <v>9</v>
      </c>
      <c r="H18" s="9">
        <f t="shared" si="4"/>
        <v>9</v>
      </c>
      <c r="I18" s="6" t="str">
        <f>IFERROR(__xludf.DUMMYFUNCTION("MAX(FILTER($H:$H,$E:$E=F18))"),"#N/A")</f>
        <v>#N/A</v>
      </c>
    </row>
    <row r="19">
      <c r="A19" s="4"/>
      <c r="C19" s="4" t="s">
        <v>1699</v>
      </c>
      <c r="D19" s="4" t="str">
        <f t="shared" si="1"/>
        <v>{"valorA":"microondas","valorB":4}</v>
      </c>
      <c r="E19" s="8" t="str">
        <f t="shared" si="2"/>
        <v>microondas</v>
      </c>
      <c r="F19" s="8"/>
      <c r="G19" s="8" t="str">
        <f t="shared" si="3"/>
        <v>4</v>
      </c>
      <c r="H19" s="9">
        <f t="shared" si="4"/>
        <v>4</v>
      </c>
      <c r="I19" s="6" t="str">
        <f>IFERROR(__xludf.DUMMYFUNCTION("MAX(FILTER($H:$H,$E:$E=F19))"),"#N/A")</f>
        <v>#N/A</v>
      </c>
    </row>
    <row r="20">
      <c r="A20" s="4"/>
      <c r="C20" s="4" t="s">
        <v>1709</v>
      </c>
      <c r="D20" s="4" t="str">
        <f t="shared" si="1"/>
        <v>{"valorA":"ar condicionado","valorB":10}</v>
      </c>
      <c r="E20" s="8" t="str">
        <f t="shared" si="2"/>
        <v>ar condicionado</v>
      </c>
      <c r="F20" s="8"/>
      <c r="G20" s="8" t="str">
        <f t="shared" si="3"/>
        <v>10</v>
      </c>
      <c r="H20" s="9">
        <f t="shared" si="4"/>
        <v>10</v>
      </c>
      <c r="I20" s="6" t="str">
        <f>IFERROR(__xludf.DUMMYFUNCTION("MAX(FILTER($H:$H,$E:$E=F20))"),"#N/A")</f>
        <v>#N/A</v>
      </c>
    </row>
    <row r="21">
      <c r="A21" s="4"/>
      <c r="C21" s="4" t="s">
        <v>1664</v>
      </c>
      <c r="D21" s="4" t="str">
        <f t="shared" si="1"/>
        <v>{"valorA":"freezer","valorB":6}</v>
      </c>
      <c r="E21" s="8" t="str">
        <f t="shared" si="2"/>
        <v>freezer</v>
      </c>
      <c r="F21" s="8"/>
      <c r="G21" s="8" t="str">
        <f t="shared" si="3"/>
        <v>6</v>
      </c>
      <c r="H21" s="9">
        <f t="shared" si="4"/>
        <v>6</v>
      </c>
      <c r="I21" s="6" t="str">
        <f>IFERROR(__xludf.DUMMYFUNCTION("MAX(FILTER($H:$H,$E:$E=F21))"),"#N/A")</f>
        <v>#N/A</v>
      </c>
    </row>
    <row r="22">
      <c r="A22" s="4"/>
      <c r="C22" s="4" t="s">
        <v>1665</v>
      </c>
      <c r="D22" s="4" t="str">
        <f t="shared" si="1"/>
        <v>{"valorA":"freezer","valorB":7}</v>
      </c>
      <c r="E22" s="8" t="str">
        <f t="shared" si="2"/>
        <v>freezer</v>
      </c>
      <c r="F22" s="8"/>
      <c r="G22" s="8" t="str">
        <f t="shared" si="3"/>
        <v>7</v>
      </c>
      <c r="H22" s="9">
        <f t="shared" si="4"/>
        <v>7</v>
      </c>
      <c r="I22" s="6" t="str">
        <f>IFERROR(__xludf.DUMMYFUNCTION("MAX(FILTER($H:$H,$E:$E=F22))"),"#N/A")</f>
        <v>#N/A</v>
      </c>
    </row>
    <row r="23">
      <c r="A23" s="4"/>
      <c r="C23" s="4" t="s">
        <v>1666</v>
      </c>
      <c r="D23" s="4" t="str">
        <f t="shared" si="1"/>
        <v>{"valorA":"freezer","valorB":8}</v>
      </c>
      <c r="E23" s="8" t="str">
        <f t="shared" si="2"/>
        <v>freezer</v>
      </c>
      <c r="F23" s="8"/>
      <c r="G23" s="8" t="str">
        <f t="shared" si="3"/>
        <v>8</v>
      </c>
      <c r="H23" s="9">
        <f t="shared" si="4"/>
        <v>8</v>
      </c>
      <c r="I23" s="6" t="str">
        <f>IFERROR(__xludf.DUMMYFUNCTION("MAX(FILTER($H:$H,$E:$E=F23))"),"#N/A")</f>
        <v>#N/A</v>
      </c>
    </row>
    <row r="24">
      <c r="A24" s="4"/>
      <c r="C24" s="4" t="s">
        <v>1701</v>
      </c>
      <c r="D24" s="4" t="str">
        <f t="shared" si="1"/>
        <v>{"valorA":"microondas","valorB":5}</v>
      </c>
      <c r="E24" s="8" t="str">
        <f t="shared" si="2"/>
        <v>microondas</v>
      </c>
      <c r="F24" s="8"/>
      <c r="G24" s="8" t="str">
        <f t="shared" si="3"/>
        <v>5</v>
      </c>
      <c r="H24" s="9">
        <f t="shared" si="4"/>
        <v>5</v>
      </c>
      <c r="I24" s="6" t="str">
        <f>IFERROR(__xludf.DUMMYFUNCTION("MAX(FILTER($H:$H,$E:$E=F24))"),"#N/A")</f>
        <v>#N/A</v>
      </c>
    </row>
    <row r="25">
      <c r="A25" s="4"/>
      <c r="C25" s="4" t="s">
        <v>1667</v>
      </c>
      <c r="D25" s="4" t="str">
        <f t="shared" si="1"/>
        <v>{"valorA":"freezer","valorB":9}</v>
      </c>
      <c r="E25" s="8" t="str">
        <f t="shared" si="2"/>
        <v>freezer</v>
      </c>
      <c r="F25" s="8"/>
      <c r="G25" s="8" t="str">
        <f t="shared" si="3"/>
        <v>9</v>
      </c>
      <c r="H25" s="9">
        <f t="shared" si="4"/>
        <v>9</v>
      </c>
      <c r="I25" s="6" t="str">
        <f>IFERROR(__xludf.DUMMYFUNCTION("MAX(FILTER($H:$H,$E:$E=F25))"),"#N/A")</f>
        <v>#N/A</v>
      </c>
    </row>
    <row r="26">
      <c r="A26" s="4"/>
      <c r="C26" s="4" t="s">
        <v>1668</v>
      </c>
      <c r="D26" s="4" t="str">
        <f t="shared" si="1"/>
        <v>{"valorA":"freezer","valorB":10}</v>
      </c>
      <c r="E26" s="8" t="str">
        <f t="shared" si="2"/>
        <v>freezer</v>
      </c>
      <c r="F26" s="8"/>
      <c r="G26" s="8" t="str">
        <f t="shared" si="3"/>
        <v>10</v>
      </c>
      <c r="H26" s="9">
        <f t="shared" si="4"/>
        <v>10</v>
      </c>
      <c r="I26" s="6" t="str">
        <f>IFERROR(__xludf.DUMMYFUNCTION("MAX(FILTER($H:$H,$E:$E=F26))"),"#N/A")</f>
        <v>#N/A</v>
      </c>
    </row>
    <row r="27">
      <c r="A27" s="4"/>
      <c r="C27" s="4" t="s">
        <v>1703</v>
      </c>
      <c r="D27" s="4" t="str">
        <f t="shared" si="1"/>
        <v>{"valorA":"microondas","valorB":6}</v>
      </c>
      <c r="E27" s="8" t="str">
        <f t="shared" si="2"/>
        <v>microondas</v>
      </c>
      <c r="F27" s="8"/>
      <c r="G27" s="8" t="str">
        <f t="shared" si="3"/>
        <v>6</v>
      </c>
      <c r="H27" s="9">
        <f t="shared" si="4"/>
        <v>6</v>
      </c>
      <c r="I27" s="6" t="str">
        <f>IFERROR(__xludf.DUMMYFUNCTION("MAX(FILTER($H:$H,$E:$E=F27))"),"#N/A")</f>
        <v>#N/A</v>
      </c>
    </row>
    <row r="28">
      <c r="A28" s="4"/>
      <c r="C28" s="4" t="s">
        <v>1669</v>
      </c>
      <c r="D28" s="4" t="str">
        <f t="shared" si="1"/>
        <v>{"valorA":"freezer","valorB":11}</v>
      </c>
      <c r="E28" s="8" t="str">
        <f t="shared" si="2"/>
        <v>freezer</v>
      </c>
      <c r="F28" s="8"/>
      <c r="G28" s="8" t="str">
        <f t="shared" si="3"/>
        <v>11</v>
      </c>
      <c r="H28" s="9">
        <f t="shared" si="4"/>
        <v>11</v>
      </c>
      <c r="I28" s="6" t="str">
        <f>IFERROR(__xludf.DUMMYFUNCTION("MAX(FILTER($H:$H,$E:$E=F28))"),"#N/A")</f>
        <v>#N/A</v>
      </c>
    </row>
    <row r="29">
      <c r="A29" s="4"/>
      <c r="C29" s="4" t="s">
        <v>1710</v>
      </c>
      <c r="D29" s="4" t="str">
        <f t="shared" si="1"/>
        <v>{"valorA":"ar condicionado","valorB":11}</v>
      </c>
      <c r="E29" s="8" t="str">
        <f t="shared" si="2"/>
        <v>ar condicionado</v>
      </c>
      <c r="F29" s="8"/>
      <c r="G29" s="8" t="str">
        <f t="shared" si="3"/>
        <v>11</v>
      </c>
      <c r="H29" s="9">
        <f t="shared" si="4"/>
        <v>11</v>
      </c>
      <c r="I29" s="6" t="str">
        <f>IFERROR(__xludf.DUMMYFUNCTION("MAX(FILTER($H:$H,$E:$E=F29))"),"#N/A")</f>
        <v>#N/A</v>
      </c>
    </row>
    <row r="30">
      <c r="A30" s="4"/>
      <c r="C30" s="4" t="s">
        <v>1711</v>
      </c>
      <c r="D30" s="4" t="str">
        <f t="shared" si="1"/>
        <v>{"valorA":"ar condicionado","valorB":12}</v>
      </c>
      <c r="E30" s="8" t="str">
        <f t="shared" si="2"/>
        <v>ar condicionado</v>
      </c>
      <c r="F30" s="8"/>
      <c r="G30" s="8" t="str">
        <f t="shared" si="3"/>
        <v>12</v>
      </c>
      <c r="H30" s="9">
        <f t="shared" si="4"/>
        <v>12</v>
      </c>
      <c r="I30" s="6" t="str">
        <f>IFERROR(__xludf.DUMMYFUNCTION("MAX(FILTER($H:$H,$E:$E=F30))"),"#N/A")</f>
        <v>#N/A</v>
      </c>
    </row>
    <row r="31">
      <c r="A31" s="4"/>
      <c r="C31" s="4" t="s">
        <v>1670</v>
      </c>
      <c r="D31" s="4" t="str">
        <f t="shared" si="1"/>
        <v>{"valorA":"freezer","valorB":12}</v>
      </c>
      <c r="E31" s="8" t="str">
        <f t="shared" si="2"/>
        <v>freezer</v>
      </c>
      <c r="F31" s="8"/>
      <c r="G31" s="8" t="str">
        <f t="shared" si="3"/>
        <v>12</v>
      </c>
      <c r="H31" s="9">
        <f t="shared" si="4"/>
        <v>12</v>
      </c>
      <c r="I31" s="6" t="str">
        <f>IFERROR(__xludf.DUMMYFUNCTION("MAX(FILTER($H:$H,$E:$E=F31))"),"#N/A")</f>
        <v>#N/A</v>
      </c>
    </row>
    <row r="32">
      <c r="A32" s="4"/>
      <c r="C32" s="4" t="s">
        <v>1671</v>
      </c>
      <c r="D32" s="4" t="str">
        <f t="shared" si="1"/>
        <v>{"valorA":"freezer","valorB":13}</v>
      </c>
      <c r="E32" s="8" t="str">
        <f t="shared" si="2"/>
        <v>freezer</v>
      </c>
      <c r="F32" s="8"/>
      <c r="G32" s="8" t="str">
        <f t="shared" si="3"/>
        <v>13</v>
      </c>
      <c r="H32" s="9">
        <f t="shared" si="4"/>
        <v>13</v>
      </c>
      <c r="I32" s="6" t="str">
        <f>IFERROR(__xludf.DUMMYFUNCTION("MAX(FILTER($H:$H,$E:$E=F32))"),"#N/A")</f>
        <v>#N/A</v>
      </c>
    </row>
    <row r="33">
      <c r="A33" s="4"/>
      <c r="C33" s="4" t="s">
        <v>1715</v>
      </c>
      <c r="D33" s="4" t="str">
        <f t="shared" si="1"/>
        <v>{"valorA":"ar condicionado","valorB":13}</v>
      </c>
      <c r="E33" s="8" t="str">
        <f t="shared" si="2"/>
        <v>ar condicionado</v>
      </c>
      <c r="F33" s="8"/>
      <c r="G33" s="8" t="str">
        <f t="shared" si="3"/>
        <v>13</v>
      </c>
      <c r="H33" s="9">
        <f t="shared" si="4"/>
        <v>13</v>
      </c>
      <c r="I33" s="6" t="str">
        <f>IFERROR(__xludf.DUMMYFUNCTION("MAX(FILTER($H:$H,$E:$E=F33))"),"#N/A")</f>
        <v>#N/A</v>
      </c>
    </row>
    <row r="34">
      <c r="A34" s="4"/>
      <c r="C34" s="4" t="s">
        <v>1672</v>
      </c>
      <c r="D34" s="4" t="str">
        <f t="shared" si="1"/>
        <v>{"valorA":"freezer","valorB":14}</v>
      </c>
      <c r="E34" s="8" t="str">
        <f t="shared" si="2"/>
        <v>freezer</v>
      </c>
      <c r="F34" s="8"/>
      <c r="G34" s="8" t="str">
        <f t="shared" si="3"/>
        <v>14</v>
      </c>
      <c r="H34" s="9">
        <f t="shared" si="4"/>
        <v>14</v>
      </c>
      <c r="I34" s="6" t="str">
        <f>IFERROR(__xludf.DUMMYFUNCTION("MAX(FILTER($H:$H,$E:$E=F34))"),"#N/A")</f>
        <v>#N/A</v>
      </c>
    </row>
    <row r="35">
      <c r="A35" s="4"/>
      <c r="C35" s="4" t="s">
        <v>1673</v>
      </c>
      <c r="D35" s="4" t="str">
        <f t="shared" si="1"/>
        <v>{"valorA":"freezer","valorB":15}</v>
      </c>
      <c r="E35" s="8" t="str">
        <f t="shared" si="2"/>
        <v>freezer</v>
      </c>
      <c r="F35" s="8"/>
      <c r="G35" s="8" t="str">
        <f t="shared" si="3"/>
        <v>15</v>
      </c>
      <c r="H35" s="9">
        <f t="shared" si="4"/>
        <v>15</v>
      </c>
      <c r="I35" s="6" t="str">
        <f>IFERROR(__xludf.DUMMYFUNCTION("MAX(FILTER($H:$H,$E:$E=F35))"),"#N/A")</f>
        <v>#N/A</v>
      </c>
    </row>
    <row r="36">
      <c r="A36" s="4"/>
      <c r="C36" s="4" t="s">
        <v>1704</v>
      </c>
      <c r="D36" s="4" t="str">
        <f t="shared" si="1"/>
        <v>{"valorA":"microondas","valorB":7}</v>
      </c>
      <c r="E36" s="8" t="str">
        <f t="shared" si="2"/>
        <v>microondas</v>
      </c>
      <c r="F36" s="8"/>
      <c r="G36" s="8" t="str">
        <f t="shared" si="3"/>
        <v>7</v>
      </c>
      <c r="H36" s="9">
        <f t="shared" si="4"/>
        <v>7</v>
      </c>
      <c r="I36" s="6" t="str">
        <f>IFERROR(__xludf.DUMMYFUNCTION("MAX(FILTER($H:$H,$E:$E=F36))"),"#N/A")</f>
        <v>#N/A</v>
      </c>
    </row>
    <row r="37">
      <c r="A37" s="4"/>
      <c r="C37" s="4" t="s">
        <v>1717</v>
      </c>
      <c r="D37" s="4" t="str">
        <f t="shared" si="1"/>
        <v>{"valorA":"ar condicionado","valorB":14}</v>
      </c>
      <c r="E37" s="8" t="str">
        <f t="shared" si="2"/>
        <v>ar condicionado</v>
      </c>
      <c r="F37" s="8"/>
      <c r="G37" s="8" t="str">
        <f t="shared" si="3"/>
        <v>14</v>
      </c>
      <c r="H37" s="9">
        <f t="shared" si="4"/>
        <v>14</v>
      </c>
      <c r="I37" s="6" t="str">
        <f>IFERROR(__xludf.DUMMYFUNCTION("MAX(FILTER($H:$H,$E:$E=F37))"),"#N/A")</f>
        <v>#N/A</v>
      </c>
    </row>
    <row r="38">
      <c r="A38" s="4"/>
      <c r="C38" s="4" t="s">
        <v>1718</v>
      </c>
      <c r="D38" s="4" t="str">
        <f t="shared" si="1"/>
        <v>{"valorA":"ar condicionado","valorB":15}</v>
      </c>
      <c r="E38" s="8" t="str">
        <f t="shared" si="2"/>
        <v>ar condicionado</v>
      </c>
      <c r="F38" s="8"/>
      <c r="G38" s="8" t="str">
        <f t="shared" si="3"/>
        <v>15</v>
      </c>
      <c r="H38" s="9">
        <f t="shared" si="4"/>
        <v>15</v>
      </c>
      <c r="I38" s="6" t="str">
        <f>IFERROR(__xludf.DUMMYFUNCTION("MAX(FILTER($H:$H,$E:$E=F38))"),"#N/A")</f>
        <v>#N/A</v>
      </c>
    </row>
    <row r="39">
      <c r="A39" s="4"/>
      <c r="C39" s="4" t="s">
        <v>1674</v>
      </c>
      <c r="D39" s="4" t="str">
        <f t="shared" si="1"/>
        <v>{"valorA":"freezer","valorB":16}</v>
      </c>
      <c r="E39" s="8" t="str">
        <f t="shared" si="2"/>
        <v>freezer</v>
      </c>
      <c r="F39" s="8"/>
      <c r="G39" s="8" t="str">
        <f t="shared" si="3"/>
        <v>16</v>
      </c>
      <c r="H39" s="9">
        <f t="shared" si="4"/>
        <v>16</v>
      </c>
      <c r="I39" s="6" t="str">
        <f>IFERROR(__xludf.DUMMYFUNCTION("MAX(FILTER($H:$H,$E:$E=F39))"),"#N/A")</f>
        <v>#N/A</v>
      </c>
    </row>
    <row r="40">
      <c r="A40" s="4"/>
      <c r="C40" s="4" t="s">
        <v>1675</v>
      </c>
      <c r="D40" s="4" t="str">
        <f t="shared" si="1"/>
        <v>{"valorA":"freezer","valorB":17}</v>
      </c>
      <c r="E40" s="8" t="str">
        <f t="shared" si="2"/>
        <v>freezer</v>
      </c>
      <c r="F40" s="8"/>
      <c r="G40" s="8" t="str">
        <f t="shared" si="3"/>
        <v>17</v>
      </c>
      <c r="H40" s="9">
        <f t="shared" si="4"/>
        <v>17</v>
      </c>
      <c r="I40" s="6" t="str">
        <f>IFERROR(__xludf.DUMMYFUNCTION("MAX(FILTER($H:$H,$E:$E=F40))"),"#N/A")</f>
        <v>#N/A</v>
      </c>
    </row>
    <row r="41">
      <c r="A41" s="4"/>
      <c r="C41" s="4" t="s">
        <v>1676</v>
      </c>
      <c r="D41" s="4" t="str">
        <f t="shared" si="1"/>
        <v>{"valorA":"freezer","valorB":18}</v>
      </c>
      <c r="E41" s="8" t="str">
        <f t="shared" si="2"/>
        <v>freezer</v>
      </c>
      <c r="F41" s="8"/>
      <c r="G41" s="8" t="str">
        <f t="shared" si="3"/>
        <v>18</v>
      </c>
      <c r="H41" s="9">
        <f t="shared" si="4"/>
        <v>18</v>
      </c>
      <c r="I41" s="6" t="str">
        <f>IFERROR(__xludf.DUMMYFUNCTION("MAX(FILTER($H:$H,$E:$E=F41))"),"#N/A")</f>
        <v>#N/A</v>
      </c>
    </row>
    <row r="42">
      <c r="A42" s="4"/>
      <c r="C42" s="4" t="s">
        <v>1719</v>
      </c>
      <c r="D42" s="4" t="str">
        <f t="shared" si="1"/>
        <v>{"valorA":"ar condicionado","valorB":16}</v>
      </c>
      <c r="E42" s="8" t="str">
        <f t="shared" si="2"/>
        <v>ar condicionado</v>
      </c>
      <c r="F42" s="8"/>
      <c r="G42" s="8" t="str">
        <f t="shared" si="3"/>
        <v>16</v>
      </c>
      <c r="H42" s="9">
        <f t="shared" si="4"/>
        <v>16</v>
      </c>
      <c r="I42" s="6" t="str">
        <f>IFERROR(__xludf.DUMMYFUNCTION("MAX(FILTER($H:$H,$E:$E=F42))"),"#N/A")</f>
        <v>#N/A</v>
      </c>
    </row>
    <row r="43">
      <c r="A43" s="4"/>
      <c r="C43" s="4" t="s">
        <v>1723</v>
      </c>
      <c r="D43" s="4" t="str">
        <f t="shared" si="1"/>
        <v>{"valorA":"ar condicionado","valorB":17}</v>
      </c>
      <c r="E43" s="8" t="str">
        <f t="shared" si="2"/>
        <v>ar condicionado</v>
      </c>
      <c r="F43" s="8"/>
      <c r="G43" s="8" t="str">
        <f t="shared" si="3"/>
        <v>17</v>
      </c>
      <c r="H43" s="9">
        <f t="shared" si="4"/>
        <v>17</v>
      </c>
      <c r="I43" s="6" t="str">
        <f>IFERROR(__xludf.DUMMYFUNCTION("MAX(FILTER($H:$H,$E:$E=F43))"),"#N/A")</f>
        <v>#N/A</v>
      </c>
    </row>
    <row r="44">
      <c r="A44" s="4"/>
      <c r="C44" s="4" t="s">
        <v>1677</v>
      </c>
      <c r="D44" s="4" t="str">
        <f t="shared" si="1"/>
        <v>{"valorA":"freezer","valorB":19}</v>
      </c>
      <c r="E44" s="8" t="str">
        <f t="shared" si="2"/>
        <v>freezer</v>
      </c>
      <c r="F44" s="8"/>
      <c r="G44" s="8" t="str">
        <f t="shared" si="3"/>
        <v>19</v>
      </c>
      <c r="H44" s="9">
        <f t="shared" si="4"/>
        <v>19</v>
      </c>
      <c r="I44" s="6" t="str">
        <f>IFERROR(__xludf.DUMMYFUNCTION("MAX(FILTER($H:$H,$E:$E=F44))"),"#N/A")</f>
        <v>#N/A</v>
      </c>
    </row>
    <row r="45">
      <c r="A45" s="4"/>
      <c r="C45" s="4" t="s">
        <v>1724</v>
      </c>
      <c r="D45" s="4" t="str">
        <f t="shared" si="1"/>
        <v>{"valorA":"ar condicionado","valorB":18}</v>
      </c>
      <c r="E45" s="8" t="str">
        <f t="shared" si="2"/>
        <v>ar condicionado</v>
      </c>
      <c r="F45" s="8"/>
      <c r="G45" s="8" t="str">
        <f t="shared" si="3"/>
        <v>18</v>
      </c>
      <c r="H45" s="9">
        <f t="shared" si="4"/>
        <v>18</v>
      </c>
      <c r="I45" s="6" t="str">
        <f>IFERROR(__xludf.DUMMYFUNCTION("MAX(FILTER($H:$H,$E:$E=F45))"),"#N/A")</f>
        <v>#N/A</v>
      </c>
    </row>
    <row r="46">
      <c r="A46" s="4"/>
      <c r="C46" s="4" t="s">
        <v>1708</v>
      </c>
      <c r="D46" s="4" t="str">
        <f t="shared" si="1"/>
        <v>{"valorA":"microondas","valorB":8}</v>
      </c>
      <c r="E46" s="8" t="str">
        <f t="shared" si="2"/>
        <v>microondas</v>
      </c>
      <c r="F46" s="8"/>
      <c r="G46" s="8" t="str">
        <f t="shared" si="3"/>
        <v>8</v>
      </c>
      <c r="H46" s="9">
        <f t="shared" si="4"/>
        <v>8</v>
      </c>
      <c r="I46" s="6" t="str">
        <f>IFERROR(__xludf.DUMMYFUNCTION("MAX(FILTER($H:$H,$E:$E=F46))"),"#N/A")</f>
        <v>#N/A</v>
      </c>
    </row>
    <row r="47">
      <c r="A47" s="4"/>
      <c r="C47" s="4" t="s">
        <v>1712</v>
      </c>
      <c r="D47" s="4" t="str">
        <f t="shared" si="1"/>
        <v>{"valorA":"microondas","valorB":9}</v>
      </c>
      <c r="E47" s="8" t="str">
        <f t="shared" si="2"/>
        <v>microondas</v>
      </c>
      <c r="F47" s="8"/>
      <c r="G47" s="8" t="str">
        <f t="shared" si="3"/>
        <v>9</v>
      </c>
      <c r="H47" s="9">
        <f t="shared" si="4"/>
        <v>9</v>
      </c>
      <c r="I47" s="6" t="str">
        <f>IFERROR(__xludf.DUMMYFUNCTION("MAX(FILTER($H:$H,$E:$E=F47))"),"#N/A")</f>
        <v>#N/A</v>
      </c>
    </row>
    <row r="48">
      <c r="A48" s="4"/>
      <c r="C48" s="4" t="s">
        <v>1713</v>
      </c>
      <c r="D48" s="4" t="str">
        <f t="shared" si="1"/>
        <v>{"valorA":"microondas","valorB":10}</v>
      </c>
      <c r="E48" s="8" t="str">
        <f t="shared" si="2"/>
        <v>microondas</v>
      </c>
      <c r="F48" s="8"/>
      <c r="G48" s="8" t="str">
        <f t="shared" si="3"/>
        <v>10</v>
      </c>
      <c r="H48" s="9">
        <f t="shared" si="4"/>
        <v>10</v>
      </c>
      <c r="I48" s="6" t="str">
        <f>IFERROR(__xludf.DUMMYFUNCTION("MAX(FILTER($H:$H,$E:$E=F48))"),"#N/A")</f>
        <v>#N/A</v>
      </c>
    </row>
    <row r="49">
      <c r="A49" s="4"/>
      <c r="C49" s="4" t="s">
        <v>1714</v>
      </c>
      <c r="D49" s="4" t="str">
        <f t="shared" si="1"/>
        <v>{"valorA":"microondas","valorB":11}</v>
      </c>
      <c r="E49" s="8" t="str">
        <f t="shared" si="2"/>
        <v>microondas</v>
      </c>
      <c r="F49" s="8"/>
      <c r="G49" s="8" t="str">
        <f t="shared" si="3"/>
        <v>11</v>
      </c>
      <c r="H49" s="9">
        <f t="shared" si="4"/>
        <v>11</v>
      </c>
      <c r="I49" s="6" t="str">
        <f>IFERROR(__xludf.DUMMYFUNCTION("MAX(FILTER($H:$H,$E:$E=F49))"),"#N/A")</f>
        <v>#N/A</v>
      </c>
    </row>
    <row r="50">
      <c r="A50" s="4"/>
      <c r="C50" s="4" t="s">
        <v>1716</v>
      </c>
      <c r="D50" s="4" t="str">
        <f t="shared" si="1"/>
        <v>{"valorA":"microondas","valorB":12}</v>
      </c>
      <c r="E50" s="8" t="str">
        <f t="shared" si="2"/>
        <v>microondas</v>
      </c>
      <c r="F50" s="8"/>
      <c r="G50" s="8" t="str">
        <f t="shared" si="3"/>
        <v>12</v>
      </c>
      <c r="H50" s="9">
        <f t="shared" si="4"/>
        <v>12</v>
      </c>
      <c r="I50" s="6" t="str">
        <f>IFERROR(__xludf.DUMMYFUNCTION("MAX(FILTER($H:$H,$E:$E=F50))"),"#N/A")</f>
        <v>#N/A</v>
      </c>
    </row>
    <row r="51">
      <c r="A51" s="4"/>
      <c r="C51" s="4" t="s">
        <v>1678</v>
      </c>
      <c r="D51" s="4" t="str">
        <f t="shared" si="1"/>
        <v>{"valorA":"freezer","valorB":20}</v>
      </c>
      <c r="E51" s="8" t="str">
        <f t="shared" si="2"/>
        <v>freezer</v>
      </c>
      <c r="F51" s="8"/>
      <c r="G51" s="8" t="str">
        <f t="shared" si="3"/>
        <v>20</v>
      </c>
      <c r="H51" s="9">
        <f t="shared" si="4"/>
        <v>20</v>
      </c>
      <c r="I51" s="6" t="str">
        <f>IFERROR(__xludf.DUMMYFUNCTION("MAX(FILTER($H:$H,$E:$E=F51))"),"#N/A")</f>
        <v>#N/A</v>
      </c>
    </row>
    <row r="52">
      <c r="A52" s="4"/>
      <c r="C52" s="4" t="s">
        <v>1726</v>
      </c>
      <c r="D52" s="4" t="str">
        <f t="shared" si="1"/>
        <v>{"valorA":"ar condicionado","valorB":19}</v>
      </c>
      <c r="E52" s="8" t="str">
        <f t="shared" si="2"/>
        <v>ar condicionado</v>
      </c>
      <c r="F52" s="8"/>
      <c r="G52" s="8" t="str">
        <f t="shared" si="3"/>
        <v>19</v>
      </c>
      <c r="H52" s="9">
        <f t="shared" si="4"/>
        <v>19</v>
      </c>
      <c r="I52" s="6" t="str">
        <f>IFERROR(__xludf.DUMMYFUNCTION("MAX(FILTER($H:$H,$E:$E=F52))"),"#N/A")</f>
        <v>#N/A</v>
      </c>
    </row>
    <row r="53">
      <c r="A53" s="4"/>
      <c r="C53" s="4" t="s">
        <v>1720</v>
      </c>
      <c r="D53" s="4" t="str">
        <f t="shared" si="1"/>
        <v>{"valorA":"microondas","valorB":13}</v>
      </c>
      <c r="E53" s="8" t="str">
        <f t="shared" si="2"/>
        <v>microondas</v>
      </c>
      <c r="F53" s="8"/>
      <c r="G53" s="8" t="str">
        <f t="shared" si="3"/>
        <v>13</v>
      </c>
      <c r="H53" s="9">
        <f t="shared" si="4"/>
        <v>13</v>
      </c>
      <c r="I53" s="6" t="str">
        <f>IFERROR(__xludf.DUMMYFUNCTION("MAX(FILTER($H:$H,$E:$E=F53))"),"#N/A")</f>
        <v>#N/A</v>
      </c>
    </row>
    <row r="54">
      <c r="A54" s="4"/>
      <c r="C54" s="4" t="s">
        <v>1721</v>
      </c>
      <c r="D54" s="4" t="str">
        <f t="shared" si="1"/>
        <v>{"valorA":"microondas","valorB":14}</v>
      </c>
      <c r="E54" s="8" t="str">
        <f t="shared" si="2"/>
        <v>microondas</v>
      </c>
      <c r="F54" s="8"/>
      <c r="G54" s="8" t="str">
        <f t="shared" si="3"/>
        <v>14</v>
      </c>
      <c r="H54" s="9">
        <f t="shared" si="4"/>
        <v>14</v>
      </c>
      <c r="I54" s="6" t="str">
        <f>IFERROR(__xludf.DUMMYFUNCTION("MAX(FILTER($H:$H,$E:$E=F54))"),"#N/A")</f>
        <v>#N/A</v>
      </c>
    </row>
    <row r="55">
      <c r="A55" s="4"/>
      <c r="C55" s="4" t="s">
        <v>1722</v>
      </c>
      <c r="D55" s="4" t="str">
        <f t="shared" si="1"/>
        <v>{"valorA":"microondas","valorB":15}</v>
      </c>
      <c r="E55" s="8" t="str">
        <f t="shared" si="2"/>
        <v>microondas</v>
      </c>
      <c r="F55" s="8"/>
      <c r="G55" s="8" t="str">
        <f t="shared" si="3"/>
        <v>15</v>
      </c>
      <c r="H55" s="9">
        <f t="shared" si="4"/>
        <v>15</v>
      </c>
      <c r="I55" s="6" t="str">
        <f>IFERROR(__xludf.DUMMYFUNCTION("MAX(FILTER($H:$H,$E:$E=F55))"),"#N/A")</f>
        <v>#N/A</v>
      </c>
    </row>
    <row r="56">
      <c r="A56" s="4"/>
      <c r="C56" s="4" t="s">
        <v>1725</v>
      </c>
      <c r="D56" s="4" t="str">
        <f t="shared" si="1"/>
        <v>{"valorA":"microondas","valorB":16}</v>
      </c>
      <c r="E56" s="8" t="str">
        <f t="shared" si="2"/>
        <v>microondas</v>
      </c>
      <c r="F56" s="8"/>
      <c r="G56" s="8" t="str">
        <f t="shared" si="3"/>
        <v>16</v>
      </c>
      <c r="H56" s="9">
        <f t="shared" si="4"/>
        <v>16</v>
      </c>
      <c r="I56" s="6" t="str">
        <f>IFERROR(__xludf.DUMMYFUNCTION("MAX(FILTER($H:$H,$E:$E=F56))"),"#N/A")</f>
        <v>#N/A</v>
      </c>
    </row>
    <row r="57">
      <c r="A57" s="4"/>
      <c r="C57" s="4" t="s">
        <v>1679</v>
      </c>
      <c r="D57" s="4" t="str">
        <f t="shared" si="1"/>
        <v>{"valorA":"freezer","valorB":21}</v>
      </c>
      <c r="E57" s="8" t="str">
        <f t="shared" si="2"/>
        <v>freezer</v>
      </c>
      <c r="F57" s="8"/>
      <c r="G57" s="8" t="str">
        <f t="shared" si="3"/>
        <v>21</v>
      </c>
      <c r="H57" s="9">
        <f t="shared" si="4"/>
        <v>21</v>
      </c>
      <c r="I57" s="6" t="str">
        <f>IFERROR(__xludf.DUMMYFUNCTION("MAX(FILTER($H:$H,$E:$E=F57))"),"#N/A")</f>
        <v>#N/A</v>
      </c>
    </row>
    <row r="58">
      <c r="A58" s="4"/>
      <c r="C58" s="4" t="s">
        <v>1680</v>
      </c>
      <c r="D58" s="4" t="str">
        <f t="shared" si="1"/>
        <v>{"valorA":"freezer","valorB":22}</v>
      </c>
      <c r="E58" s="8" t="str">
        <f t="shared" si="2"/>
        <v>freezer</v>
      </c>
      <c r="F58" s="8"/>
      <c r="G58" s="8" t="str">
        <f t="shared" si="3"/>
        <v>22</v>
      </c>
      <c r="H58" s="9">
        <f t="shared" si="4"/>
        <v>22</v>
      </c>
      <c r="I58" s="6" t="str">
        <f>IFERROR(__xludf.DUMMYFUNCTION("MAX(FILTER($H:$H,$E:$E=F58))"),"#N/A")</f>
        <v>#N/A</v>
      </c>
    </row>
    <row r="59">
      <c r="A59" s="4"/>
      <c r="C59" s="4" t="s">
        <v>1729</v>
      </c>
      <c r="D59" s="4" t="str">
        <f t="shared" si="1"/>
        <v>{"valorA":"ar condicionado","valorB":20}</v>
      </c>
      <c r="E59" s="8" t="str">
        <f t="shared" si="2"/>
        <v>ar condicionado</v>
      </c>
      <c r="F59" s="8"/>
      <c r="G59" s="8" t="str">
        <f t="shared" si="3"/>
        <v>20</v>
      </c>
      <c r="H59" s="9">
        <f t="shared" si="4"/>
        <v>20</v>
      </c>
      <c r="I59" s="6" t="str">
        <f>IFERROR(__xludf.DUMMYFUNCTION("MAX(FILTER($H:$H,$E:$E=F59))"),"#N/A")</f>
        <v>#N/A</v>
      </c>
    </row>
    <row r="60">
      <c r="A60" s="4"/>
      <c r="C60" s="4" t="s">
        <v>1731</v>
      </c>
      <c r="D60" s="4" t="str">
        <f t="shared" si="1"/>
        <v>{"valorA":"ar condicionado","valorB":21}</v>
      </c>
      <c r="E60" s="8" t="str">
        <f t="shared" si="2"/>
        <v>ar condicionado</v>
      </c>
      <c r="F60" s="8"/>
      <c r="G60" s="8" t="str">
        <f t="shared" si="3"/>
        <v>21</v>
      </c>
      <c r="H60" s="9">
        <f t="shared" si="4"/>
        <v>21</v>
      </c>
      <c r="I60" s="6" t="str">
        <f>IFERROR(__xludf.DUMMYFUNCTION("MAX(FILTER($H:$H,$E:$E=F60))"),"#N/A")</f>
        <v>#N/A</v>
      </c>
    </row>
    <row r="61">
      <c r="A61" s="4"/>
      <c r="C61" s="4" t="s">
        <v>1727</v>
      </c>
      <c r="D61" s="4" t="str">
        <f t="shared" si="1"/>
        <v>{"valorA":"microondas","valorB":17}</v>
      </c>
      <c r="E61" s="8" t="str">
        <f t="shared" si="2"/>
        <v>microondas</v>
      </c>
      <c r="F61" s="8"/>
      <c r="G61" s="8" t="str">
        <f t="shared" si="3"/>
        <v>17</v>
      </c>
      <c r="H61" s="9">
        <f t="shared" si="4"/>
        <v>17</v>
      </c>
      <c r="I61" s="6" t="str">
        <f>IFERROR(__xludf.DUMMYFUNCTION("MAX(FILTER($H:$H,$E:$E=F61))"),"#N/A")</f>
        <v>#N/A</v>
      </c>
    </row>
    <row r="62">
      <c r="A62" s="4"/>
      <c r="C62" s="4" t="s">
        <v>1728</v>
      </c>
      <c r="D62" s="4" t="str">
        <f t="shared" si="1"/>
        <v>{"valorA":"microondas","valorB":18}</v>
      </c>
      <c r="E62" s="8" t="str">
        <f t="shared" si="2"/>
        <v>microondas</v>
      </c>
      <c r="F62" s="8"/>
      <c r="G62" s="8" t="str">
        <f t="shared" si="3"/>
        <v>18</v>
      </c>
      <c r="H62" s="9">
        <f t="shared" si="4"/>
        <v>18</v>
      </c>
      <c r="I62" s="6" t="str">
        <f>IFERROR(__xludf.DUMMYFUNCTION("MAX(FILTER($H:$H,$E:$E=F62))"),"#N/A")</f>
        <v>#N/A</v>
      </c>
    </row>
    <row r="63">
      <c r="A63" s="4"/>
      <c r="C63" s="4" t="s">
        <v>1730</v>
      </c>
      <c r="D63" s="4" t="str">
        <f t="shared" si="1"/>
        <v>{"valorA":"microondas","valorB":19}</v>
      </c>
      <c r="E63" s="8" t="str">
        <f t="shared" si="2"/>
        <v>microondas</v>
      </c>
      <c r="F63" s="8"/>
      <c r="G63" s="8" t="str">
        <f t="shared" si="3"/>
        <v>19</v>
      </c>
      <c r="H63" s="9">
        <f t="shared" si="4"/>
        <v>19</v>
      </c>
      <c r="I63" s="6" t="str">
        <f>IFERROR(__xludf.DUMMYFUNCTION("MAX(FILTER($H:$H,$E:$E=F63))"),"#N/A")</f>
        <v>#N/A</v>
      </c>
    </row>
    <row r="64">
      <c r="A64" s="4"/>
      <c r="C64" s="4" t="s">
        <v>1734</v>
      </c>
      <c r="D64" s="4" t="str">
        <f t="shared" si="1"/>
        <v>{"valorA":"microondas","valorB":20}</v>
      </c>
      <c r="E64" s="8" t="str">
        <f t="shared" si="2"/>
        <v>microondas</v>
      </c>
      <c r="F64" s="8"/>
      <c r="G64" s="8" t="str">
        <f t="shared" si="3"/>
        <v>20</v>
      </c>
      <c r="H64" s="9">
        <f t="shared" si="4"/>
        <v>20</v>
      </c>
      <c r="I64" s="6" t="str">
        <f>IFERROR(__xludf.DUMMYFUNCTION("MAX(FILTER($H:$H,$E:$E=F64))"),"#N/A")</f>
        <v>#N/A</v>
      </c>
    </row>
    <row r="65">
      <c r="A65" s="4"/>
      <c r="C65" s="4" t="s">
        <v>1681</v>
      </c>
      <c r="D65" s="4" t="str">
        <f t="shared" si="1"/>
        <v>{"valorA":"freezer","valorB":23}</v>
      </c>
      <c r="E65" s="8" t="str">
        <f t="shared" si="2"/>
        <v>freezer</v>
      </c>
      <c r="F65" s="8"/>
      <c r="G65" s="8" t="str">
        <f t="shared" si="3"/>
        <v>23</v>
      </c>
      <c r="H65" s="9">
        <f t="shared" si="4"/>
        <v>23</v>
      </c>
      <c r="I65" s="6" t="str">
        <f>IFERROR(__xludf.DUMMYFUNCTION("MAX(FILTER($H:$H,$E:$E=F65))"),"#N/A")</f>
        <v>#N/A</v>
      </c>
    </row>
    <row r="66">
      <c r="A66" s="4"/>
      <c r="C66" s="4" t="s">
        <v>1735</v>
      </c>
      <c r="D66" s="4" t="str">
        <f t="shared" si="1"/>
        <v>{"valorA":"microondas","valorB":21}</v>
      </c>
      <c r="E66" s="8" t="str">
        <f t="shared" si="2"/>
        <v>microondas</v>
      </c>
      <c r="F66" s="8"/>
      <c r="G66" s="8" t="str">
        <f t="shared" si="3"/>
        <v>21</v>
      </c>
      <c r="H66" s="9">
        <f t="shared" si="4"/>
        <v>21</v>
      </c>
      <c r="I66" s="6" t="str">
        <f>IFERROR(__xludf.DUMMYFUNCTION("MAX(FILTER($H:$H,$E:$E=F66))"),"#N/A")</f>
        <v>#N/A</v>
      </c>
    </row>
    <row r="67">
      <c r="A67" s="4"/>
      <c r="C67" s="4" t="s">
        <v>1682</v>
      </c>
      <c r="D67" s="4" t="str">
        <f t="shared" si="1"/>
        <v>{"valorA":"freezer","valorB":24}</v>
      </c>
      <c r="E67" s="8" t="str">
        <f t="shared" si="2"/>
        <v>freezer</v>
      </c>
      <c r="F67" s="8"/>
      <c r="G67" s="8" t="str">
        <f t="shared" si="3"/>
        <v>24</v>
      </c>
      <c r="H67" s="9">
        <f t="shared" si="4"/>
        <v>24</v>
      </c>
      <c r="I67" s="6" t="str">
        <f>IFERROR(__xludf.DUMMYFUNCTION("MAX(FILTER($H:$H,$E:$E=F67))"),"#N/A")</f>
        <v>#N/A</v>
      </c>
    </row>
    <row r="68">
      <c r="A68" s="4"/>
      <c r="C68" s="4" t="s">
        <v>1737</v>
      </c>
      <c r="D68" s="4" t="str">
        <f t="shared" si="1"/>
        <v>{"valorA":"microondas","valorB":22}</v>
      </c>
      <c r="E68" s="8" t="str">
        <f t="shared" si="2"/>
        <v>microondas</v>
      </c>
      <c r="F68" s="8"/>
      <c r="G68" s="8" t="str">
        <f t="shared" si="3"/>
        <v>22</v>
      </c>
      <c r="H68" s="9">
        <f t="shared" si="4"/>
        <v>22</v>
      </c>
      <c r="I68" s="6" t="str">
        <f>IFERROR(__xludf.DUMMYFUNCTION("MAX(FILTER($H:$H,$E:$E=F68))"),"#N/A")</f>
        <v>#N/A</v>
      </c>
    </row>
    <row r="69">
      <c r="A69" s="4"/>
      <c r="C69" s="4" t="s">
        <v>1732</v>
      </c>
      <c r="D69" s="4" t="str">
        <f t="shared" si="1"/>
        <v>{"valorA":"ar condicionado","valorB":22}</v>
      </c>
      <c r="E69" s="8" t="str">
        <f t="shared" si="2"/>
        <v>ar condicionado</v>
      </c>
      <c r="F69" s="8"/>
      <c r="G69" s="8" t="str">
        <f t="shared" si="3"/>
        <v>22</v>
      </c>
      <c r="H69" s="9">
        <f t="shared" si="4"/>
        <v>22</v>
      </c>
      <c r="I69" s="6" t="str">
        <f>IFERROR(__xludf.DUMMYFUNCTION("MAX(FILTER($H:$H,$E:$E=F69))"),"#N/A")</f>
        <v>#N/A</v>
      </c>
    </row>
    <row r="70">
      <c r="A70" s="4"/>
      <c r="C70" s="4" t="s">
        <v>1683</v>
      </c>
      <c r="D70" s="4" t="str">
        <f t="shared" si="1"/>
        <v>{"valorA":"freezer","valorB":25}</v>
      </c>
      <c r="E70" s="8" t="str">
        <f t="shared" si="2"/>
        <v>freezer</v>
      </c>
      <c r="F70" s="8"/>
      <c r="G70" s="8" t="str">
        <f t="shared" si="3"/>
        <v>25</v>
      </c>
      <c r="H70" s="9">
        <f t="shared" si="4"/>
        <v>25</v>
      </c>
      <c r="I70" s="6" t="str">
        <f>IFERROR(__xludf.DUMMYFUNCTION("MAX(FILTER($H:$H,$E:$E=F70))"),"#N/A")</f>
        <v>#N/A</v>
      </c>
    </row>
    <row r="71">
      <c r="A71" s="4"/>
      <c r="C71" s="4" t="s">
        <v>1738</v>
      </c>
      <c r="D71" s="4" t="str">
        <f t="shared" si="1"/>
        <v>{"valorA":"microondas","valorB":23}</v>
      </c>
      <c r="E71" s="8" t="str">
        <f t="shared" si="2"/>
        <v>microondas</v>
      </c>
      <c r="F71" s="8"/>
      <c r="G71" s="8" t="str">
        <f t="shared" si="3"/>
        <v>23</v>
      </c>
      <c r="H71" s="9">
        <f t="shared" si="4"/>
        <v>23</v>
      </c>
      <c r="I71" s="6" t="str">
        <f>IFERROR(__xludf.DUMMYFUNCTION("MAX(FILTER($H:$H,$E:$E=F71))"),"#N/A")</f>
        <v>#N/A</v>
      </c>
    </row>
    <row r="72">
      <c r="A72" s="4"/>
      <c r="C72" s="4" t="s">
        <v>1684</v>
      </c>
      <c r="D72" s="4" t="str">
        <f t="shared" si="1"/>
        <v>{"valorA":"freezer","valorB":26}</v>
      </c>
      <c r="E72" s="8" t="str">
        <f t="shared" si="2"/>
        <v>freezer</v>
      </c>
      <c r="F72" s="8"/>
      <c r="G72" s="8" t="str">
        <f t="shared" si="3"/>
        <v>26</v>
      </c>
      <c r="H72" s="9">
        <f t="shared" si="4"/>
        <v>26</v>
      </c>
      <c r="I72" s="6" t="str">
        <f>IFERROR(__xludf.DUMMYFUNCTION("MAX(FILTER($H:$H,$E:$E=F72))"),"#N/A")</f>
        <v>#N/A</v>
      </c>
    </row>
    <row r="73">
      <c r="A73" s="4"/>
      <c r="C73" s="4" t="s">
        <v>1740</v>
      </c>
      <c r="D73" s="4" t="str">
        <f t="shared" si="1"/>
        <v>{"valorA":"microondas","valorB":24}</v>
      </c>
      <c r="E73" s="8" t="str">
        <f t="shared" si="2"/>
        <v>microondas</v>
      </c>
      <c r="F73" s="8"/>
      <c r="G73" s="8" t="str">
        <f t="shared" si="3"/>
        <v>24</v>
      </c>
      <c r="H73" s="9">
        <f t="shared" si="4"/>
        <v>24</v>
      </c>
      <c r="I73" s="6" t="str">
        <f>IFERROR(__xludf.DUMMYFUNCTION("MAX(FILTER($H:$H,$E:$E=F73))"),"#N/A")</f>
        <v>#N/A</v>
      </c>
    </row>
    <row r="74">
      <c r="A74" s="4"/>
      <c r="C74" s="4" t="s">
        <v>1733</v>
      </c>
      <c r="D74" s="4" t="str">
        <f t="shared" si="1"/>
        <v>{"valorA":"ar condicionado","valorB":23}</v>
      </c>
      <c r="E74" s="8" t="str">
        <f t="shared" si="2"/>
        <v>ar condicionado</v>
      </c>
      <c r="F74" s="8"/>
      <c r="G74" s="8" t="str">
        <f t="shared" si="3"/>
        <v>23</v>
      </c>
      <c r="H74" s="9">
        <f t="shared" si="4"/>
        <v>23</v>
      </c>
      <c r="I74" s="6" t="str">
        <f>IFERROR(__xludf.DUMMYFUNCTION("MAX(FILTER($H:$H,$E:$E=F74))"),"#N/A")</f>
        <v>#N/A</v>
      </c>
    </row>
    <row r="75">
      <c r="A75" s="4"/>
      <c r="C75" s="4" t="s">
        <v>1685</v>
      </c>
      <c r="D75" s="4" t="str">
        <f t="shared" si="1"/>
        <v>{"valorA":"freezer","valorB":27}</v>
      </c>
      <c r="E75" s="8" t="str">
        <f t="shared" si="2"/>
        <v>freezer</v>
      </c>
      <c r="F75" s="8"/>
      <c r="G75" s="8" t="str">
        <f t="shared" si="3"/>
        <v>27</v>
      </c>
      <c r="H75" s="9">
        <f t="shared" si="4"/>
        <v>27</v>
      </c>
      <c r="I75" s="6" t="str">
        <f>IFERROR(__xludf.DUMMYFUNCTION("MAX(FILTER($H:$H,$E:$E=F75))"),"#N/A")</f>
        <v>#N/A</v>
      </c>
    </row>
    <row r="76">
      <c r="A76" s="4"/>
      <c r="C76" s="4" t="s">
        <v>1686</v>
      </c>
      <c r="D76" s="4" t="str">
        <f t="shared" si="1"/>
        <v>{"valorA":"freezer","valorB":28}</v>
      </c>
      <c r="E76" s="8" t="str">
        <f t="shared" si="2"/>
        <v>freezer</v>
      </c>
      <c r="F76" s="8"/>
      <c r="G76" s="8" t="str">
        <f t="shared" si="3"/>
        <v>28</v>
      </c>
      <c r="H76" s="9">
        <f t="shared" si="4"/>
        <v>28</v>
      </c>
      <c r="I76" s="6" t="str">
        <f>IFERROR(__xludf.DUMMYFUNCTION("MAX(FILTER($H:$H,$E:$E=F76))"),"#N/A")</f>
        <v>#N/A</v>
      </c>
    </row>
    <row r="77">
      <c r="A77" s="4"/>
      <c r="C77" s="4" t="s">
        <v>1687</v>
      </c>
      <c r="D77" s="4" t="str">
        <f t="shared" si="1"/>
        <v>{"valorA":"freezer","valorB":29}</v>
      </c>
      <c r="E77" s="8" t="str">
        <f t="shared" si="2"/>
        <v>freezer</v>
      </c>
      <c r="F77" s="8"/>
      <c r="G77" s="8" t="str">
        <f t="shared" si="3"/>
        <v>29</v>
      </c>
      <c r="H77" s="9">
        <f t="shared" si="4"/>
        <v>29</v>
      </c>
      <c r="I77" s="6" t="str">
        <f>IFERROR(__xludf.DUMMYFUNCTION("MAX(FILTER($H:$H,$E:$E=F77))"),"#N/A")</f>
        <v>#N/A</v>
      </c>
    </row>
    <row r="78">
      <c r="A78" s="4"/>
      <c r="C78" s="4" t="s">
        <v>1743</v>
      </c>
      <c r="D78" s="4" t="str">
        <f t="shared" si="1"/>
        <v>{"valorA":"microondas","valorB":25}</v>
      </c>
      <c r="E78" s="8" t="str">
        <f t="shared" si="2"/>
        <v>microondas</v>
      </c>
      <c r="F78" s="8"/>
      <c r="G78" s="8" t="str">
        <f t="shared" si="3"/>
        <v>25</v>
      </c>
      <c r="H78" s="9">
        <f t="shared" si="4"/>
        <v>25</v>
      </c>
      <c r="I78" s="6" t="str">
        <f>IFERROR(__xludf.DUMMYFUNCTION("MAX(FILTER($H:$H,$E:$E=F78))"),"#N/A")</f>
        <v>#N/A</v>
      </c>
    </row>
    <row r="79">
      <c r="A79" s="4"/>
      <c r="C79" s="4" t="s">
        <v>1688</v>
      </c>
      <c r="D79" s="4" t="str">
        <f t="shared" si="1"/>
        <v>{"valorA":"freezer","valorB":30}</v>
      </c>
      <c r="E79" s="8" t="str">
        <f t="shared" si="2"/>
        <v>freezer</v>
      </c>
      <c r="F79" s="8"/>
      <c r="G79" s="8" t="str">
        <f t="shared" si="3"/>
        <v>30</v>
      </c>
      <c r="H79" s="9">
        <f t="shared" si="4"/>
        <v>30</v>
      </c>
      <c r="I79" s="6" t="str">
        <f>IFERROR(__xludf.DUMMYFUNCTION("MAX(FILTER($H:$H,$E:$E=F79))"),"#N/A")</f>
        <v>#N/A</v>
      </c>
    </row>
    <row r="80">
      <c r="A80" s="4"/>
      <c r="C80" s="4" t="s">
        <v>1689</v>
      </c>
      <c r="D80" s="4" t="str">
        <f t="shared" si="1"/>
        <v>{"valorA":"freezer","valorB":31}</v>
      </c>
      <c r="E80" s="8" t="str">
        <f t="shared" si="2"/>
        <v>freezer</v>
      </c>
      <c r="F80" s="8"/>
      <c r="G80" s="8" t="str">
        <f t="shared" si="3"/>
        <v>31</v>
      </c>
      <c r="H80" s="9">
        <f t="shared" si="4"/>
        <v>31</v>
      </c>
      <c r="I80" s="6" t="str">
        <f>IFERROR(__xludf.DUMMYFUNCTION("MAX(FILTER($H:$H,$E:$E=F80))"),"#N/A")</f>
        <v>#N/A</v>
      </c>
    </row>
    <row r="81">
      <c r="A81" s="4"/>
      <c r="C81" s="4" t="s">
        <v>1690</v>
      </c>
      <c r="D81" s="4" t="str">
        <f t="shared" si="1"/>
        <v>{"valorA":"freezer","valorB":32}</v>
      </c>
      <c r="E81" s="8" t="str">
        <f t="shared" si="2"/>
        <v>freezer</v>
      </c>
      <c r="F81" s="8"/>
      <c r="G81" s="8" t="str">
        <f t="shared" si="3"/>
        <v>32</v>
      </c>
      <c r="H81" s="9">
        <f t="shared" si="4"/>
        <v>32</v>
      </c>
      <c r="I81" s="6" t="str">
        <f>IFERROR(__xludf.DUMMYFUNCTION("MAX(FILTER($H:$H,$E:$E=F81))"),"#N/A")</f>
        <v>#N/A</v>
      </c>
    </row>
    <row r="82">
      <c r="A82" s="4"/>
      <c r="C82" s="4" t="s">
        <v>1736</v>
      </c>
      <c r="D82" s="4" t="str">
        <f t="shared" si="1"/>
        <v>{"valorA":"ar condicionado","valorB":24}</v>
      </c>
      <c r="E82" s="8" t="str">
        <f t="shared" si="2"/>
        <v>ar condicionado</v>
      </c>
      <c r="F82" s="8"/>
      <c r="G82" s="8" t="str">
        <f t="shared" si="3"/>
        <v>24</v>
      </c>
      <c r="H82" s="9">
        <f t="shared" si="4"/>
        <v>24</v>
      </c>
      <c r="I82" s="6" t="str">
        <f>IFERROR(__xludf.DUMMYFUNCTION("MAX(FILTER($H:$H,$E:$E=F82))"),"#N/A")</f>
        <v>#N/A</v>
      </c>
    </row>
    <row r="83">
      <c r="A83" s="4"/>
      <c r="C83" s="4" t="s">
        <v>1739</v>
      </c>
      <c r="D83" s="4" t="str">
        <f t="shared" si="1"/>
        <v>{"valorA":"ar condicionado","valorB":25}</v>
      </c>
      <c r="E83" s="8" t="str">
        <f t="shared" si="2"/>
        <v>ar condicionado</v>
      </c>
      <c r="F83" s="8"/>
      <c r="G83" s="8" t="str">
        <f t="shared" si="3"/>
        <v>25</v>
      </c>
      <c r="H83" s="9">
        <f t="shared" si="4"/>
        <v>25</v>
      </c>
      <c r="I83" s="6" t="str">
        <f>IFERROR(__xludf.DUMMYFUNCTION("MAX(FILTER($H:$H,$E:$E=F83))"),"#N/A")</f>
        <v>#N/A</v>
      </c>
    </row>
    <row r="84">
      <c r="A84" s="4"/>
      <c r="C84" s="4" t="s">
        <v>1691</v>
      </c>
      <c r="D84" s="4" t="str">
        <f t="shared" si="1"/>
        <v>{"valorA":"freezer","valorB":33}</v>
      </c>
      <c r="E84" s="8" t="str">
        <f t="shared" si="2"/>
        <v>freezer</v>
      </c>
      <c r="F84" s="8"/>
      <c r="G84" s="8" t="str">
        <f t="shared" si="3"/>
        <v>33</v>
      </c>
      <c r="H84" s="9">
        <f t="shared" si="4"/>
        <v>33</v>
      </c>
      <c r="I84" s="6" t="str">
        <f>IFERROR(__xludf.DUMMYFUNCTION("MAX(FILTER($H:$H,$E:$E=F84))"),"#N/A")</f>
        <v>#N/A</v>
      </c>
    </row>
    <row r="85">
      <c r="A85" s="4"/>
      <c r="C85" s="4" t="s">
        <v>1746</v>
      </c>
      <c r="D85" s="4" t="str">
        <f t="shared" si="1"/>
        <v>{"valorA":"microondas","valorB":26}</v>
      </c>
      <c r="E85" s="8" t="str">
        <f t="shared" si="2"/>
        <v>microondas</v>
      </c>
      <c r="F85" s="8"/>
      <c r="G85" s="8" t="str">
        <f t="shared" si="3"/>
        <v>26</v>
      </c>
      <c r="H85" s="9">
        <f t="shared" si="4"/>
        <v>26</v>
      </c>
      <c r="I85" s="6" t="str">
        <f>IFERROR(__xludf.DUMMYFUNCTION("MAX(FILTER($H:$H,$E:$E=F85))"),"#N/A")</f>
        <v>#N/A</v>
      </c>
    </row>
    <row r="86">
      <c r="A86" s="4"/>
      <c r="C86" s="4" t="s">
        <v>1692</v>
      </c>
      <c r="D86" s="4" t="str">
        <f t="shared" si="1"/>
        <v>{"valorA":"freezer","valorB":34}</v>
      </c>
      <c r="E86" s="8" t="str">
        <f t="shared" si="2"/>
        <v>freezer</v>
      </c>
      <c r="F86" s="8"/>
      <c r="G86" s="8" t="str">
        <f t="shared" si="3"/>
        <v>34</v>
      </c>
      <c r="H86" s="9">
        <f t="shared" si="4"/>
        <v>34</v>
      </c>
      <c r="I86" s="6" t="str">
        <f>IFERROR(__xludf.DUMMYFUNCTION("MAX(FILTER($H:$H,$E:$E=F86))"),"#N/A")</f>
        <v>#N/A</v>
      </c>
    </row>
    <row r="87">
      <c r="A87" s="4"/>
      <c r="C87" s="4" t="s">
        <v>1748</v>
      </c>
      <c r="D87" s="4" t="str">
        <f t="shared" si="1"/>
        <v>{"valorA":"microondas","valorB":27}</v>
      </c>
      <c r="E87" s="8" t="str">
        <f t="shared" si="2"/>
        <v>microondas</v>
      </c>
      <c r="F87" s="8"/>
      <c r="G87" s="8" t="str">
        <f t="shared" si="3"/>
        <v>27</v>
      </c>
      <c r="H87" s="9">
        <f t="shared" si="4"/>
        <v>27</v>
      </c>
      <c r="I87" s="6" t="str">
        <f>IFERROR(__xludf.DUMMYFUNCTION("MAX(FILTER($H:$H,$E:$E=F87))"),"#N/A")</f>
        <v>#N/A</v>
      </c>
    </row>
    <row r="88">
      <c r="A88" s="4"/>
      <c r="C88" s="4" t="s">
        <v>1771</v>
      </c>
      <c r="D88" s="4" t="str">
        <f t="shared" si="1"/>
        <v>{"valorA":"freezer","valorB":35}</v>
      </c>
      <c r="E88" s="8" t="str">
        <f t="shared" si="2"/>
        <v>freezer</v>
      </c>
      <c r="F88" s="8"/>
      <c r="G88" s="8" t="str">
        <f t="shared" si="3"/>
        <v>35</v>
      </c>
      <c r="H88" s="9">
        <f t="shared" si="4"/>
        <v>35</v>
      </c>
      <c r="I88" s="6" t="str">
        <f>IFERROR(__xludf.DUMMYFUNCTION("MAX(FILTER($H:$H,$E:$E=F88))"),"#N/A")</f>
        <v>#N/A</v>
      </c>
    </row>
    <row r="89">
      <c r="A89" s="4"/>
      <c r="C89" s="4" t="s">
        <v>1741</v>
      </c>
      <c r="D89" s="4" t="str">
        <f t="shared" si="1"/>
        <v>{"valorA":"ar condicionado","valorB":26}</v>
      </c>
      <c r="E89" s="8" t="str">
        <f t="shared" si="2"/>
        <v>ar condicionado</v>
      </c>
      <c r="F89" s="8"/>
      <c r="G89" s="8" t="str">
        <f t="shared" si="3"/>
        <v>26</v>
      </c>
      <c r="H89" s="9">
        <f t="shared" si="4"/>
        <v>26</v>
      </c>
      <c r="I89" s="6" t="str">
        <f>IFERROR(__xludf.DUMMYFUNCTION("MAX(FILTER($H:$H,$E:$E=F89))"),"#N/A")</f>
        <v>#N/A</v>
      </c>
    </row>
    <row r="90">
      <c r="A90" s="4"/>
      <c r="C90" s="4" t="s">
        <v>1750</v>
      </c>
      <c r="D90" s="4" t="str">
        <f t="shared" si="1"/>
        <v>{"valorA":"microondas","valorB":28}</v>
      </c>
      <c r="E90" s="8" t="str">
        <f t="shared" si="2"/>
        <v>microondas</v>
      </c>
      <c r="F90" s="8"/>
      <c r="G90" s="8" t="str">
        <f t="shared" si="3"/>
        <v>28</v>
      </c>
      <c r="H90" s="9">
        <f t="shared" si="4"/>
        <v>28</v>
      </c>
      <c r="I90" s="6" t="str">
        <f>IFERROR(__xludf.DUMMYFUNCTION("MAX(FILTER($H:$H,$E:$E=F90))"),"#N/A")</f>
        <v>#N/A</v>
      </c>
    </row>
    <row r="91">
      <c r="A91" s="4"/>
      <c r="C91" s="4" t="s">
        <v>1742</v>
      </c>
      <c r="D91" s="4" t="str">
        <f t="shared" si="1"/>
        <v>{"valorA":"ar condicionado","valorB":27}</v>
      </c>
      <c r="E91" s="8" t="str">
        <f t="shared" si="2"/>
        <v>ar condicionado</v>
      </c>
      <c r="F91" s="8"/>
      <c r="G91" s="8" t="str">
        <f t="shared" si="3"/>
        <v>27</v>
      </c>
      <c r="H91" s="9">
        <f t="shared" si="4"/>
        <v>27</v>
      </c>
      <c r="I91" s="6" t="str">
        <f>IFERROR(__xludf.DUMMYFUNCTION("MAX(FILTER($H:$H,$E:$E=F91))"),"#N/A")</f>
        <v>#N/A</v>
      </c>
    </row>
    <row r="92">
      <c r="A92" s="4"/>
      <c r="C92" s="4" t="s">
        <v>1751</v>
      </c>
      <c r="D92" s="4" t="str">
        <f t="shared" si="1"/>
        <v>{"valorA":"microondas","valorB":29}</v>
      </c>
      <c r="E92" s="8" t="str">
        <f t="shared" si="2"/>
        <v>microondas</v>
      </c>
      <c r="F92" s="8"/>
      <c r="G92" s="8" t="str">
        <f t="shared" si="3"/>
        <v>29</v>
      </c>
      <c r="H92" s="9">
        <f t="shared" si="4"/>
        <v>29</v>
      </c>
      <c r="I92" s="6" t="str">
        <f>IFERROR(__xludf.DUMMYFUNCTION("MAX(FILTER($H:$H,$E:$E=F92))"),"#N/A")</f>
        <v>#N/A</v>
      </c>
    </row>
    <row r="93">
      <c r="A93" s="4"/>
      <c r="C93" s="4" t="s">
        <v>1772</v>
      </c>
      <c r="D93" s="4" t="str">
        <f t="shared" si="1"/>
        <v>{"valorA":"freezer","valorB":36}</v>
      </c>
      <c r="E93" s="8" t="str">
        <f t="shared" si="2"/>
        <v>freezer</v>
      </c>
      <c r="F93" s="8"/>
      <c r="G93" s="8" t="str">
        <f t="shared" si="3"/>
        <v>36</v>
      </c>
      <c r="H93" s="9">
        <f t="shared" si="4"/>
        <v>36</v>
      </c>
      <c r="I93" s="6" t="str">
        <f>IFERROR(__xludf.DUMMYFUNCTION("MAX(FILTER($H:$H,$E:$E=F93))"),"#N/A")</f>
        <v>#N/A</v>
      </c>
    </row>
    <row r="94">
      <c r="A94" s="4"/>
      <c r="C94" s="4" t="s">
        <v>1744</v>
      </c>
      <c r="D94" s="4" t="str">
        <f t="shared" si="1"/>
        <v>{"valorA":"ar condicionado","valorB":28}</v>
      </c>
      <c r="E94" s="8" t="str">
        <f t="shared" si="2"/>
        <v>ar condicionado</v>
      </c>
      <c r="F94" s="8"/>
      <c r="G94" s="8" t="str">
        <f t="shared" si="3"/>
        <v>28</v>
      </c>
      <c r="H94" s="9">
        <f t="shared" si="4"/>
        <v>28</v>
      </c>
      <c r="I94" s="6" t="str">
        <f>IFERROR(__xludf.DUMMYFUNCTION("MAX(FILTER($H:$H,$E:$E=F94))"),"#N/A")</f>
        <v>#N/A</v>
      </c>
    </row>
    <row r="95">
      <c r="A95" s="4"/>
      <c r="C95" s="4" t="s">
        <v>1745</v>
      </c>
      <c r="D95" s="4" t="str">
        <f t="shared" si="1"/>
        <v>{"valorA":"ar condicionado","valorB":29}</v>
      </c>
      <c r="E95" s="8" t="str">
        <f t="shared" si="2"/>
        <v>ar condicionado</v>
      </c>
      <c r="F95" s="8"/>
      <c r="G95" s="8" t="str">
        <f t="shared" si="3"/>
        <v>29</v>
      </c>
      <c r="H95" s="9">
        <f t="shared" si="4"/>
        <v>29</v>
      </c>
      <c r="I95" s="6" t="str">
        <f>IFERROR(__xludf.DUMMYFUNCTION("MAX(FILTER($H:$H,$E:$E=F95))"),"#N/A")</f>
        <v>#N/A</v>
      </c>
    </row>
    <row r="96">
      <c r="A96" s="4"/>
      <c r="C96" s="4" t="s">
        <v>1779</v>
      </c>
      <c r="D96" s="4" t="str">
        <f t="shared" si="1"/>
        <v>{"valorA":"freezer","valorB":37}</v>
      </c>
      <c r="E96" s="8" t="str">
        <f t="shared" si="2"/>
        <v>freezer</v>
      </c>
      <c r="F96" s="8"/>
      <c r="G96" s="8" t="str">
        <f t="shared" si="3"/>
        <v>37</v>
      </c>
      <c r="H96" s="9">
        <f t="shared" si="4"/>
        <v>37</v>
      </c>
      <c r="I96" s="6" t="str">
        <f>IFERROR(__xludf.DUMMYFUNCTION("MAX(FILTER($H:$H,$E:$E=F96))"),"#N/A")</f>
        <v>#N/A</v>
      </c>
    </row>
    <row r="97">
      <c r="A97" s="4"/>
      <c r="C97" s="4" t="s">
        <v>1781</v>
      </c>
      <c r="D97" s="4" t="str">
        <f t="shared" si="1"/>
        <v>{"valorA":"freezer","valorB":38}</v>
      </c>
      <c r="E97" s="8" t="str">
        <f t="shared" si="2"/>
        <v>freezer</v>
      </c>
      <c r="F97" s="8"/>
      <c r="G97" s="8" t="str">
        <f t="shared" si="3"/>
        <v>38</v>
      </c>
      <c r="H97" s="9">
        <f t="shared" si="4"/>
        <v>38</v>
      </c>
      <c r="I97" s="6" t="str">
        <f>IFERROR(__xludf.DUMMYFUNCTION("MAX(FILTER($H:$H,$E:$E=F97))"),"#N/A")</f>
        <v>#N/A</v>
      </c>
    </row>
    <row r="98">
      <c r="A98" s="4"/>
      <c r="C98" s="4" t="s">
        <v>1782</v>
      </c>
      <c r="D98" s="4" t="str">
        <f t="shared" si="1"/>
        <v>{"valorA":"freezer","valorB":39}</v>
      </c>
      <c r="E98" s="8" t="str">
        <f t="shared" si="2"/>
        <v>freezer</v>
      </c>
      <c r="F98" s="8"/>
      <c r="G98" s="8" t="str">
        <f t="shared" si="3"/>
        <v>39</v>
      </c>
      <c r="H98" s="9">
        <f t="shared" si="4"/>
        <v>39</v>
      </c>
      <c r="I98" s="6" t="str">
        <f>IFERROR(__xludf.DUMMYFUNCTION("MAX(FILTER($H:$H,$E:$E=F98))"),"#N/A")</f>
        <v>#N/A</v>
      </c>
    </row>
    <row r="99">
      <c r="A99" s="4"/>
      <c r="C99" s="4" t="s">
        <v>1752</v>
      </c>
      <c r="D99" s="4" t="str">
        <f t="shared" si="1"/>
        <v>{"valorA":"microondas","valorB":30}</v>
      </c>
      <c r="E99" s="8" t="str">
        <f t="shared" si="2"/>
        <v>microondas</v>
      </c>
      <c r="F99" s="8"/>
      <c r="G99" s="8" t="str">
        <f t="shared" si="3"/>
        <v>30</v>
      </c>
      <c r="H99" s="9">
        <f t="shared" si="4"/>
        <v>30</v>
      </c>
      <c r="I99" s="6" t="str">
        <f>IFERROR(__xludf.DUMMYFUNCTION("MAX(FILTER($H:$H,$E:$E=F99))"),"#N/A")</f>
        <v>#N/A</v>
      </c>
    </row>
    <row r="100">
      <c r="A100" s="4"/>
      <c r="C100" s="4" t="s">
        <v>1783</v>
      </c>
      <c r="D100" s="4" t="str">
        <f t="shared" si="1"/>
        <v>{"valorA":"freezer","valorB":40}</v>
      </c>
      <c r="E100" s="8" t="str">
        <f t="shared" si="2"/>
        <v>freezer</v>
      </c>
      <c r="F100" s="8"/>
      <c r="G100" s="8" t="str">
        <f t="shared" si="3"/>
        <v>40</v>
      </c>
      <c r="H100" s="9">
        <f t="shared" si="4"/>
        <v>40</v>
      </c>
      <c r="I100" s="6" t="str">
        <f>IFERROR(__xludf.DUMMYFUNCTION("MAX(FILTER($H:$H,$E:$E=F100))"),"#N/A")</f>
        <v>#N/A</v>
      </c>
    </row>
    <row r="101">
      <c r="A101" s="4"/>
      <c r="C101" s="4" t="s">
        <v>1753</v>
      </c>
      <c r="D101" s="4" t="str">
        <f t="shared" si="1"/>
        <v>{"valorA":"microondas","valorB":31}</v>
      </c>
      <c r="E101" s="8" t="str">
        <f t="shared" si="2"/>
        <v>microondas</v>
      </c>
      <c r="F101" s="8"/>
      <c r="G101" s="8" t="str">
        <f t="shared" si="3"/>
        <v>31</v>
      </c>
      <c r="H101" s="9">
        <f t="shared" si="4"/>
        <v>31</v>
      </c>
      <c r="I101" s="6" t="str">
        <f>IFERROR(__xludf.DUMMYFUNCTION("MAX(FILTER($H:$H,$E:$E=F101))"),"#N/A")</f>
        <v>#N/A</v>
      </c>
    </row>
    <row r="102">
      <c r="A102" s="4"/>
      <c r="C102" s="4" t="s">
        <v>1747</v>
      </c>
      <c r="D102" s="4" t="str">
        <f t="shared" si="1"/>
        <v>{"valorA":"ar condicionado","valorB":30}</v>
      </c>
      <c r="E102" s="8" t="str">
        <f t="shared" si="2"/>
        <v>ar condicionado</v>
      </c>
      <c r="F102" s="8"/>
      <c r="G102" s="8" t="str">
        <f t="shared" si="3"/>
        <v>30</v>
      </c>
      <c r="H102" s="9">
        <f t="shared" si="4"/>
        <v>30</v>
      </c>
      <c r="I102" s="6" t="str">
        <f>IFERROR(__xludf.DUMMYFUNCTION("MAX(FILTER($H:$H,$E:$E=F102))"),"#N/A")</f>
        <v>#N/A</v>
      </c>
    </row>
    <row r="103">
      <c r="A103" s="4"/>
      <c r="C103" s="4" t="s">
        <v>1756</v>
      </c>
      <c r="D103" s="4" t="str">
        <f t="shared" si="1"/>
        <v>{"valorA":"microondas","valorB":32}</v>
      </c>
      <c r="E103" s="8" t="str">
        <f t="shared" si="2"/>
        <v>microondas</v>
      </c>
      <c r="F103" s="8"/>
      <c r="G103" s="8" t="str">
        <f t="shared" si="3"/>
        <v>32</v>
      </c>
      <c r="H103" s="9">
        <f t="shared" si="4"/>
        <v>32</v>
      </c>
      <c r="I103" s="6" t="str">
        <f>IFERROR(__xludf.DUMMYFUNCTION("MAX(FILTER($H:$H,$E:$E=F103))"),"#N/A")</f>
        <v>#N/A</v>
      </c>
    </row>
    <row r="104">
      <c r="A104" s="4"/>
      <c r="C104" s="4" t="s">
        <v>1749</v>
      </c>
      <c r="D104" s="4" t="str">
        <f t="shared" si="1"/>
        <v>{"valorA":"ar condicionado","valorB":31}</v>
      </c>
      <c r="E104" s="8" t="str">
        <f t="shared" si="2"/>
        <v>ar condicionado</v>
      </c>
      <c r="F104" s="8"/>
      <c r="G104" s="8" t="str">
        <f t="shared" si="3"/>
        <v>31</v>
      </c>
      <c r="H104" s="9">
        <f t="shared" si="4"/>
        <v>31</v>
      </c>
      <c r="I104" s="6" t="str">
        <f>IFERROR(__xludf.DUMMYFUNCTION("MAX(FILTER($H:$H,$E:$E=F104))"),"#N/A")</f>
        <v>#N/A</v>
      </c>
    </row>
    <row r="105">
      <c r="A105" s="4"/>
      <c r="C105" s="4" t="s">
        <v>1784</v>
      </c>
      <c r="D105" s="4" t="str">
        <f t="shared" si="1"/>
        <v>{"valorA":"freezer","valorB":41}</v>
      </c>
      <c r="E105" s="8" t="str">
        <f t="shared" si="2"/>
        <v>freezer</v>
      </c>
      <c r="F105" s="8"/>
      <c r="G105" s="8" t="str">
        <f t="shared" si="3"/>
        <v>41</v>
      </c>
      <c r="H105" s="9">
        <f t="shared" si="4"/>
        <v>41</v>
      </c>
      <c r="I105" s="6" t="str">
        <f>IFERROR(__xludf.DUMMYFUNCTION("MAX(FILTER($H:$H,$E:$E=F105))"),"#N/A")</f>
        <v>#N/A</v>
      </c>
    </row>
    <row r="106">
      <c r="A106" s="4"/>
      <c r="C106" s="4" t="s">
        <v>1790</v>
      </c>
      <c r="D106" s="4" t="str">
        <f t="shared" si="1"/>
        <v>{"valorA":"freezer","valorB":42}</v>
      </c>
      <c r="E106" s="8" t="str">
        <f t="shared" si="2"/>
        <v>freezer</v>
      </c>
      <c r="F106" s="8"/>
      <c r="G106" s="8" t="str">
        <f t="shared" si="3"/>
        <v>42</v>
      </c>
      <c r="H106" s="9">
        <f t="shared" si="4"/>
        <v>42</v>
      </c>
      <c r="I106" s="6" t="str">
        <f>IFERROR(__xludf.DUMMYFUNCTION("MAX(FILTER($H:$H,$E:$E=F106))"),"#N/A")</f>
        <v>#N/A</v>
      </c>
    </row>
    <row r="107">
      <c r="A107" s="4"/>
      <c r="C107" s="4" t="s">
        <v>1758</v>
      </c>
      <c r="D107" s="4" t="str">
        <f t="shared" si="1"/>
        <v>{"valorA":"microondas","valorB":33}</v>
      </c>
      <c r="E107" s="8" t="str">
        <f t="shared" si="2"/>
        <v>microondas</v>
      </c>
      <c r="F107" s="8"/>
      <c r="G107" s="8" t="str">
        <f t="shared" si="3"/>
        <v>33</v>
      </c>
      <c r="H107" s="9">
        <f t="shared" si="4"/>
        <v>33</v>
      </c>
      <c r="I107" s="6" t="str">
        <f>IFERROR(__xludf.DUMMYFUNCTION("MAX(FILTER($H:$H,$E:$E=F107))"),"#N/A")</f>
        <v>#N/A</v>
      </c>
    </row>
    <row r="108">
      <c r="A108" s="4"/>
      <c r="C108" s="4" t="s">
        <v>1792</v>
      </c>
      <c r="D108" s="4" t="str">
        <f t="shared" si="1"/>
        <v>{"valorA":"freezer","valorB":43}</v>
      </c>
      <c r="E108" s="8" t="str">
        <f t="shared" si="2"/>
        <v>freezer</v>
      </c>
      <c r="F108" s="8"/>
      <c r="G108" s="8" t="str">
        <f t="shared" si="3"/>
        <v>43</v>
      </c>
      <c r="H108" s="9">
        <f t="shared" si="4"/>
        <v>43</v>
      </c>
      <c r="I108" s="6" t="str">
        <f>IFERROR(__xludf.DUMMYFUNCTION("MAX(FILTER($H:$H,$E:$E=F108))"),"#N/A")</f>
        <v>#N/A</v>
      </c>
    </row>
    <row r="109">
      <c r="A109" s="4"/>
      <c r="C109" s="4" t="s">
        <v>1754</v>
      </c>
      <c r="D109" s="4" t="str">
        <f t="shared" si="1"/>
        <v>{"valorA":"ar condicionado","valorB":32}</v>
      </c>
      <c r="E109" s="8" t="str">
        <f t="shared" si="2"/>
        <v>ar condicionado</v>
      </c>
      <c r="F109" s="8"/>
      <c r="G109" s="8" t="str">
        <f t="shared" si="3"/>
        <v>32</v>
      </c>
      <c r="H109" s="9">
        <f t="shared" si="4"/>
        <v>32</v>
      </c>
      <c r="I109" s="6" t="str">
        <f>IFERROR(__xludf.DUMMYFUNCTION("MAX(FILTER($H:$H,$E:$E=F109))"),"#N/A")</f>
        <v>#N/A</v>
      </c>
    </row>
    <row r="110">
      <c r="A110" s="4"/>
      <c r="C110" s="4" t="s">
        <v>1793</v>
      </c>
      <c r="D110" s="4" t="str">
        <f t="shared" si="1"/>
        <v>{"valorA":"freezer","valorB":44}</v>
      </c>
      <c r="E110" s="8" t="str">
        <f t="shared" si="2"/>
        <v>freezer</v>
      </c>
      <c r="F110" s="8"/>
      <c r="G110" s="8" t="str">
        <f t="shared" si="3"/>
        <v>44</v>
      </c>
      <c r="H110" s="9">
        <f t="shared" si="4"/>
        <v>44</v>
      </c>
      <c r="I110" s="6" t="str">
        <f>IFERROR(__xludf.DUMMYFUNCTION("MAX(FILTER($H:$H,$E:$E=F110))"),"#N/A")</f>
        <v>#N/A</v>
      </c>
    </row>
    <row r="111">
      <c r="A111" s="4"/>
      <c r="C111" s="4" t="s">
        <v>1795</v>
      </c>
      <c r="D111" s="4" t="str">
        <f t="shared" si="1"/>
        <v>{"valorA":"freezer","valorB":45}</v>
      </c>
      <c r="E111" s="8" t="str">
        <f t="shared" si="2"/>
        <v>freezer</v>
      </c>
      <c r="F111" s="8"/>
      <c r="G111" s="8" t="str">
        <f t="shared" si="3"/>
        <v>45</v>
      </c>
      <c r="H111" s="9">
        <f t="shared" si="4"/>
        <v>45</v>
      </c>
      <c r="I111" s="6" t="str">
        <f>IFERROR(__xludf.DUMMYFUNCTION("MAX(FILTER($H:$H,$E:$E=F111))"),"#N/A")</f>
        <v>#N/A</v>
      </c>
    </row>
    <row r="112">
      <c r="A112" s="4"/>
      <c r="C112" s="4" t="s">
        <v>1759</v>
      </c>
      <c r="D112" s="4" t="str">
        <f t="shared" si="1"/>
        <v>{"valorA":"microondas","valorB":34}</v>
      </c>
      <c r="E112" s="8" t="str">
        <f t="shared" si="2"/>
        <v>microondas</v>
      </c>
      <c r="F112" s="8"/>
      <c r="G112" s="8" t="str">
        <f t="shared" si="3"/>
        <v>34</v>
      </c>
      <c r="H112" s="9">
        <f t="shared" si="4"/>
        <v>34</v>
      </c>
      <c r="I112" s="6" t="str">
        <f>IFERROR(__xludf.DUMMYFUNCTION("MAX(FILTER($H:$H,$E:$E=F112))"),"#N/A")</f>
        <v>#N/A</v>
      </c>
    </row>
    <row r="113">
      <c r="A113" s="4"/>
      <c r="C113" s="4" t="s">
        <v>1762</v>
      </c>
      <c r="D113" s="4" t="str">
        <f t="shared" si="1"/>
        <v>{"valorA":"microondas","valorB":35}</v>
      </c>
      <c r="E113" s="8" t="str">
        <f t="shared" si="2"/>
        <v>microondas</v>
      </c>
      <c r="F113" s="8"/>
      <c r="G113" s="8" t="str">
        <f t="shared" si="3"/>
        <v>35</v>
      </c>
      <c r="H113" s="9">
        <f t="shared" si="4"/>
        <v>35</v>
      </c>
      <c r="I113" s="6" t="str">
        <f>IFERROR(__xludf.DUMMYFUNCTION("MAX(FILTER($H:$H,$E:$E=F113))"),"#N/A")</f>
        <v>#N/A</v>
      </c>
    </row>
    <row r="114">
      <c r="A114" s="4"/>
      <c r="C114" s="4" t="s">
        <v>1766</v>
      </c>
      <c r="D114" s="4" t="str">
        <f t="shared" si="1"/>
        <v>{"valorA":"microondas","valorB":36}</v>
      </c>
      <c r="E114" s="8" t="str">
        <f t="shared" si="2"/>
        <v>microondas</v>
      </c>
      <c r="F114" s="8"/>
      <c r="G114" s="8" t="str">
        <f t="shared" si="3"/>
        <v>36</v>
      </c>
      <c r="H114" s="9">
        <f t="shared" si="4"/>
        <v>36</v>
      </c>
      <c r="I114" s="6" t="str">
        <f>IFERROR(__xludf.DUMMYFUNCTION("MAX(FILTER($H:$H,$E:$E=F114))"),"#N/A")</f>
        <v>#N/A</v>
      </c>
    </row>
    <row r="115">
      <c r="A115" s="4"/>
      <c r="C115" s="4" t="s">
        <v>1755</v>
      </c>
      <c r="D115" s="4" t="str">
        <f t="shared" si="1"/>
        <v>{"valorA":"ar condicionado","valorB":33}</v>
      </c>
      <c r="E115" s="8" t="str">
        <f t="shared" si="2"/>
        <v>ar condicionado</v>
      </c>
      <c r="F115" s="8"/>
      <c r="G115" s="8" t="str">
        <f t="shared" si="3"/>
        <v>33</v>
      </c>
      <c r="H115" s="9">
        <f t="shared" si="4"/>
        <v>33</v>
      </c>
      <c r="I115" s="6" t="str">
        <f>IFERROR(__xludf.DUMMYFUNCTION("MAX(FILTER($H:$H,$E:$E=F115))"),"#N/A")</f>
        <v>#N/A</v>
      </c>
    </row>
    <row r="116">
      <c r="A116" s="4"/>
      <c r="C116" s="4" t="s">
        <v>1768</v>
      </c>
      <c r="D116" s="4" t="str">
        <f t="shared" si="1"/>
        <v>{"valorA":"microondas","valorB":37}</v>
      </c>
      <c r="E116" s="8" t="str">
        <f t="shared" si="2"/>
        <v>microondas</v>
      </c>
      <c r="F116" s="8"/>
      <c r="G116" s="8" t="str">
        <f t="shared" si="3"/>
        <v>37</v>
      </c>
      <c r="H116" s="9">
        <f t="shared" si="4"/>
        <v>37</v>
      </c>
      <c r="I116" s="6" t="str">
        <f>IFERROR(__xludf.DUMMYFUNCTION("MAX(FILTER($H:$H,$E:$E=F116))"),"#N/A")</f>
        <v>#N/A</v>
      </c>
    </row>
    <row r="117">
      <c r="A117" s="4"/>
      <c r="C117" s="4" t="s">
        <v>1757</v>
      </c>
      <c r="D117" s="4" t="str">
        <f t="shared" si="1"/>
        <v>{"valorA":"ar condicionado","valorB":34}</v>
      </c>
      <c r="E117" s="8" t="str">
        <f t="shared" si="2"/>
        <v>ar condicionado</v>
      </c>
      <c r="F117" s="8"/>
      <c r="G117" s="8" t="str">
        <f t="shared" si="3"/>
        <v>34</v>
      </c>
      <c r="H117" s="9">
        <f t="shared" si="4"/>
        <v>34</v>
      </c>
      <c r="I117" s="6" t="str">
        <f>IFERROR(__xludf.DUMMYFUNCTION("MAX(FILTER($H:$H,$E:$E=F117))"),"#N/A")</f>
        <v>#N/A</v>
      </c>
    </row>
    <row r="118">
      <c r="A118" s="4"/>
      <c r="C118" s="4" t="s">
        <v>1770</v>
      </c>
      <c r="D118" s="4" t="str">
        <f t="shared" si="1"/>
        <v>{"valorA":"microondas","valorB":38}</v>
      </c>
      <c r="E118" s="8" t="str">
        <f t="shared" si="2"/>
        <v>microondas</v>
      </c>
      <c r="F118" s="8"/>
      <c r="G118" s="8" t="str">
        <f t="shared" si="3"/>
        <v>38</v>
      </c>
      <c r="H118" s="9">
        <f t="shared" si="4"/>
        <v>38</v>
      </c>
      <c r="I118" s="6" t="str">
        <f>IFERROR(__xludf.DUMMYFUNCTION("MAX(FILTER($H:$H,$E:$E=F118))"),"#N/A")</f>
        <v>#N/A</v>
      </c>
    </row>
    <row r="119">
      <c r="A119" s="4"/>
      <c r="C119" s="4" t="s">
        <v>1796</v>
      </c>
      <c r="D119" s="4" t="str">
        <f t="shared" si="1"/>
        <v>{"valorA":"freezer","valorB":46}</v>
      </c>
      <c r="E119" s="8" t="str">
        <f t="shared" si="2"/>
        <v>freezer</v>
      </c>
      <c r="F119" s="8"/>
      <c r="G119" s="8" t="str">
        <f t="shared" si="3"/>
        <v>46</v>
      </c>
      <c r="H119" s="9">
        <f t="shared" si="4"/>
        <v>46</v>
      </c>
      <c r="I119" s="6" t="str">
        <f>IFERROR(__xludf.DUMMYFUNCTION("MAX(FILTER($H:$H,$E:$E=F119))"),"#N/A")</f>
        <v>#N/A</v>
      </c>
    </row>
    <row r="120">
      <c r="A120" s="4"/>
      <c r="C120" s="4" t="s">
        <v>1760</v>
      </c>
      <c r="D120" s="4" t="str">
        <f t="shared" si="1"/>
        <v>{"valorA":"ar condicionado","valorB":35}</v>
      </c>
      <c r="E120" s="8" t="str">
        <f t="shared" si="2"/>
        <v>ar condicionado</v>
      </c>
      <c r="F120" s="8"/>
      <c r="G120" s="8" t="str">
        <f t="shared" si="3"/>
        <v>35</v>
      </c>
      <c r="H120" s="9">
        <f t="shared" si="4"/>
        <v>35</v>
      </c>
      <c r="I120" s="6" t="str">
        <f>IFERROR(__xludf.DUMMYFUNCTION("MAX(FILTER($H:$H,$E:$E=F120))"),"#N/A")</f>
        <v>#N/A</v>
      </c>
    </row>
    <row r="121">
      <c r="A121" s="4"/>
      <c r="C121" s="4" t="s">
        <v>1801</v>
      </c>
      <c r="D121" s="4" t="str">
        <f t="shared" si="1"/>
        <v>{"valorA":"freezer","valorB":47}</v>
      </c>
      <c r="E121" s="8" t="str">
        <f t="shared" si="2"/>
        <v>freezer</v>
      </c>
      <c r="F121" s="8"/>
      <c r="G121" s="8" t="str">
        <f t="shared" si="3"/>
        <v>47</v>
      </c>
      <c r="H121" s="9">
        <f t="shared" si="4"/>
        <v>47</v>
      </c>
      <c r="I121" s="6" t="str">
        <f>IFERROR(__xludf.DUMMYFUNCTION("MAX(FILTER($H:$H,$E:$E=F121))"),"#N/A")</f>
        <v>#N/A</v>
      </c>
    </row>
    <row r="122">
      <c r="A122" s="4"/>
      <c r="C122" s="4" t="s">
        <v>1773</v>
      </c>
      <c r="D122" s="4" t="str">
        <f t="shared" si="1"/>
        <v>{"valorA":"microondas","valorB":39}</v>
      </c>
      <c r="E122" s="8" t="str">
        <f t="shared" si="2"/>
        <v>microondas</v>
      </c>
      <c r="F122" s="8"/>
      <c r="G122" s="8" t="str">
        <f t="shared" si="3"/>
        <v>39</v>
      </c>
      <c r="H122" s="9">
        <f t="shared" si="4"/>
        <v>39</v>
      </c>
      <c r="I122" s="6" t="str">
        <f>IFERROR(__xludf.DUMMYFUNCTION("MAX(FILTER($H:$H,$E:$E=F122))"),"#N/A")</f>
        <v>#N/A</v>
      </c>
    </row>
    <row r="123">
      <c r="A123" s="4"/>
      <c r="C123" s="4" t="s">
        <v>1804</v>
      </c>
      <c r="D123" s="4" t="str">
        <f t="shared" si="1"/>
        <v>{"valorA":"freezer","valorB":48}</v>
      </c>
      <c r="E123" s="8" t="str">
        <f t="shared" si="2"/>
        <v>freezer</v>
      </c>
      <c r="F123" s="8"/>
      <c r="G123" s="8" t="str">
        <f t="shared" si="3"/>
        <v>48</v>
      </c>
      <c r="H123" s="9">
        <f t="shared" si="4"/>
        <v>48</v>
      </c>
      <c r="I123" s="6" t="str">
        <f>IFERROR(__xludf.DUMMYFUNCTION("MAX(FILTER($H:$H,$E:$E=F123))"),"#N/A")</f>
        <v>#N/A</v>
      </c>
    </row>
    <row r="124">
      <c r="A124" s="4"/>
      <c r="C124" s="4" t="s">
        <v>1805</v>
      </c>
      <c r="D124" s="4" t="str">
        <f t="shared" si="1"/>
        <v>{"valorA":"freezer","valorB":49}</v>
      </c>
      <c r="E124" s="8" t="str">
        <f t="shared" si="2"/>
        <v>freezer</v>
      </c>
      <c r="F124" s="8"/>
      <c r="G124" s="8" t="str">
        <f t="shared" si="3"/>
        <v>49</v>
      </c>
      <c r="H124" s="9">
        <f t="shared" si="4"/>
        <v>49</v>
      </c>
      <c r="I124" s="6" t="str">
        <f>IFERROR(__xludf.DUMMYFUNCTION("MAX(FILTER($H:$H,$E:$E=F124))"),"#N/A")</f>
        <v>#N/A</v>
      </c>
    </row>
    <row r="125">
      <c r="A125" s="4"/>
      <c r="C125" s="4" t="s">
        <v>1775</v>
      </c>
      <c r="D125" s="4" t="str">
        <f t="shared" si="1"/>
        <v>{"valorA":"microondas","valorB":40}</v>
      </c>
      <c r="E125" s="8" t="str">
        <f t="shared" si="2"/>
        <v>microondas</v>
      </c>
      <c r="F125" s="8"/>
      <c r="G125" s="8" t="str">
        <f t="shared" si="3"/>
        <v>40</v>
      </c>
      <c r="H125" s="9">
        <f t="shared" si="4"/>
        <v>40</v>
      </c>
      <c r="I125" s="6" t="str">
        <f>IFERROR(__xludf.DUMMYFUNCTION("MAX(FILTER($H:$H,$E:$E=F125))"),"#N/A")</f>
        <v>#N/A</v>
      </c>
    </row>
    <row r="126">
      <c r="A126" s="4"/>
      <c r="C126" s="4" t="s">
        <v>1777</v>
      </c>
      <c r="D126" s="4" t="str">
        <f t="shared" si="1"/>
        <v>{"valorA":"microondas","valorB":41}</v>
      </c>
      <c r="E126" s="8" t="str">
        <f t="shared" si="2"/>
        <v>microondas</v>
      </c>
      <c r="F126" s="8"/>
      <c r="G126" s="8" t="str">
        <f t="shared" si="3"/>
        <v>41</v>
      </c>
      <c r="H126" s="9">
        <f t="shared" si="4"/>
        <v>41</v>
      </c>
      <c r="I126" s="6" t="str">
        <f>IFERROR(__xludf.DUMMYFUNCTION("MAX(FILTER($H:$H,$E:$E=F126))"),"#N/A")</f>
        <v>#N/A</v>
      </c>
    </row>
    <row r="127">
      <c r="A127" s="4"/>
      <c r="C127" s="4" t="s">
        <v>1810</v>
      </c>
      <c r="D127" s="4" t="str">
        <f t="shared" si="1"/>
        <v>{"valorA":"freezer","valorB":50}</v>
      </c>
      <c r="E127" s="8" t="str">
        <f t="shared" si="2"/>
        <v>freezer</v>
      </c>
      <c r="F127" s="8"/>
      <c r="G127" s="8" t="str">
        <f t="shared" si="3"/>
        <v>50</v>
      </c>
      <c r="H127" s="9">
        <f t="shared" si="4"/>
        <v>50</v>
      </c>
      <c r="I127" s="6" t="str">
        <f>IFERROR(__xludf.DUMMYFUNCTION("MAX(FILTER($H:$H,$E:$E=F127))"),"#N/A")</f>
        <v>#N/A</v>
      </c>
    </row>
    <row r="128">
      <c r="A128" s="4"/>
      <c r="C128" s="4" t="s">
        <v>1812</v>
      </c>
      <c r="D128" s="4" t="str">
        <f t="shared" si="1"/>
        <v>{"valorA":"freezer","valorB":51}</v>
      </c>
      <c r="E128" s="8" t="str">
        <f t="shared" si="2"/>
        <v>freezer</v>
      </c>
      <c r="F128" s="8"/>
      <c r="G128" s="8" t="str">
        <f t="shared" si="3"/>
        <v>51</v>
      </c>
      <c r="H128" s="9">
        <f t="shared" si="4"/>
        <v>51</v>
      </c>
      <c r="I128" s="6" t="str">
        <f>IFERROR(__xludf.DUMMYFUNCTION("MAX(FILTER($H:$H,$E:$E=F128))"),"#N/A")</f>
        <v>#N/A</v>
      </c>
    </row>
    <row r="129">
      <c r="A129" s="4"/>
      <c r="C129" s="4" t="s">
        <v>1816</v>
      </c>
      <c r="D129" s="4" t="str">
        <f t="shared" si="1"/>
        <v>{"valorA":"freezer","valorB":52}</v>
      </c>
      <c r="E129" s="8" t="str">
        <f t="shared" si="2"/>
        <v>freezer</v>
      </c>
      <c r="F129" s="8"/>
      <c r="G129" s="8" t="str">
        <f t="shared" si="3"/>
        <v>52</v>
      </c>
      <c r="H129" s="9">
        <f t="shared" si="4"/>
        <v>52</v>
      </c>
      <c r="I129" s="6" t="str">
        <f>IFERROR(__xludf.DUMMYFUNCTION("MAX(FILTER($H:$H,$E:$E=F129))"),"#N/A")</f>
        <v>#N/A</v>
      </c>
    </row>
    <row r="130">
      <c r="A130" s="4"/>
      <c r="C130" s="4" t="s">
        <v>1817</v>
      </c>
      <c r="D130" s="4" t="str">
        <f t="shared" si="1"/>
        <v>{"valorA":"freezer","valorB":53}</v>
      </c>
      <c r="E130" s="8" t="str">
        <f t="shared" si="2"/>
        <v>freezer</v>
      </c>
      <c r="F130" s="8"/>
      <c r="G130" s="8" t="str">
        <f t="shared" si="3"/>
        <v>53</v>
      </c>
      <c r="H130" s="9">
        <f t="shared" si="4"/>
        <v>53</v>
      </c>
      <c r="I130" s="6" t="str">
        <f>IFERROR(__xludf.DUMMYFUNCTION("MAX(FILTER($H:$H,$E:$E=F130))"),"#N/A")</f>
        <v>#N/A</v>
      </c>
    </row>
    <row r="131">
      <c r="A131" s="4"/>
      <c r="C131" s="4" t="s">
        <v>1761</v>
      </c>
      <c r="D131" s="4" t="str">
        <f t="shared" si="1"/>
        <v>{"valorA":"ar condicionado","valorB":36}</v>
      </c>
      <c r="E131" s="8" t="str">
        <f t="shared" si="2"/>
        <v>ar condicionado</v>
      </c>
      <c r="F131" s="8"/>
      <c r="G131" s="8" t="str">
        <f t="shared" si="3"/>
        <v>36</v>
      </c>
      <c r="H131" s="9">
        <f t="shared" si="4"/>
        <v>36</v>
      </c>
      <c r="I131" s="6" t="str">
        <f>IFERROR(__xludf.DUMMYFUNCTION("MAX(FILTER($H:$H,$E:$E=F131))"),"#N/A")</f>
        <v>#N/A</v>
      </c>
    </row>
    <row r="132">
      <c r="A132" s="4"/>
      <c r="C132" s="4" t="s">
        <v>1763</v>
      </c>
      <c r="D132" s="4" t="str">
        <f t="shared" si="1"/>
        <v>{"valorA":"ar condicionado","valorB":37}</v>
      </c>
      <c r="E132" s="8" t="str">
        <f t="shared" si="2"/>
        <v>ar condicionado</v>
      </c>
      <c r="F132" s="8"/>
      <c r="G132" s="8" t="str">
        <f t="shared" si="3"/>
        <v>37</v>
      </c>
      <c r="H132" s="9">
        <f t="shared" si="4"/>
        <v>37</v>
      </c>
      <c r="I132" s="6" t="str">
        <f>IFERROR(__xludf.DUMMYFUNCTION("MAX(FILTER($H:$H,$E:$E=F132))"),"#N/A")</f>
        <v>#N/A</v>
      </c>
    </row>
    <row r="133">
      <c r="A133" s="4"/>
      <c r="C133" s="4" t="s">
        <v>1764</v>
      </c>
      <c r="D133" s="4" t="str">
        <f t="shared" si="1"/>
        <v>{"valorA":"ar condicionado","valorB":38}</v>
      </c>
      <c r="E133" s="8" t="str">
        <f t="shared" si="2"/>
        <v>ar condicionado</v>
      </c>
      <c r="F133" s="8"/>
      <c r="G133" s="8" t="str">
        <f t="shared" si="3"/>
        <v>38</v>
      </c>
      <c r="H133" s="9">
        <f t="shared" si="4"/>
        <v>38</v>
      </c>
      <c r="I133" s="6" t="str">
        <f>IFERROR(__xludf.DUMMYFUNCTION("MAX(FILTER($H:$H,$E:$E=F133))"),"#N/A")</f>
        <v>#N/A</v>
      </c>
    </row>
    <row r="134">
      <c r="A134" s="4"/>
      <c r="C134" s="4" t="s">
        <v>1765</v>
      </c>
      <c r="D134" s="4" t="str">
        <f t="shared" si="1"/>
        <v>{"valorA":"ar condicionado","valorB":39}</v>
      </c>
      <c r="E134" s="8" t="str">
        <f t="shared" si="2"/>
        <v>ar condicionado</v>
      </c>
      <c r="F134" s="8"/>
      <c r="G134" s="8" t="str">
        <f t="shared" si="3"/>
        <v>39</v>
      </c>
      <c r="H134" s="9">
        <f t="shared" si="4"/>
        <v>39</v>
      </c>
      <c r="I134" s="6" t="str">
        <f>IFERROR(__xludf.DUMMYFUNCTION("MAX(FILTER($H:$H,$E:$E=F134))"),"#N/A")</f>
        <v>#N/A</v>
      </c>
    </row>
    <row r="135">
      <c r="A135" s="4"/>
      <c r="C135" s="4" t="s">
        <v>1785</v>
      </c>
      <c r="D135" s="4" t="str">
        <f t="shared" si="1"/>
        <v>{"valorA":"microondas","valorB":42}</v>
      </c>
      <c r="E135" s="8" t="str">
        <f t="shared" si="2"/>
        <v>microondas</v>
      </c>
      <c r="F135" s="8"/>
      <c r="G135" s="8" t="str">
        <f t="shared" si="3"/>
        <v>42</v>
      </c>
      <c r="H135" s="9">
        <f t="shared" si="4"/>
        <v>42</v>
      </c>
      <c r="I135" s="6" t="str">
        <f>IFERROR(__xludf.DUMMYFUNCTION("MAX(FILTER($H:$H,$E:$E=F135))"),"#N/A")</f>
        <v>#N/A</v>
      </c>
    </row>
    <row r="136">
      <c r="A136" s="4"/>
      <c r="C136" s="4" t="s">
        <v>1821</v>
      </c>
      <c r="D136" s="4" t="str">
        <f t="shared" si="1"/>
        <v>{"valorA":"freezer","valorB":54}</v>
      </c>
      <c r="E136" s="8" t="str">
        <f t="shared" si="2"/>
        <v>freezer</v>
      </c>
      <c r="F136" s="8"/>
      <c r="G136" s="8" t="str">
        <f t="shared" si="3"/>
        <v>54</v>
      </c>
      <c r="H136" s="9">
        <f t="shared" si="4"/>
        <v>54</v>
      </c>
      <c r="I136" s="6" t="str">
        <f>IFERROR(__xludf.DUMMYFUNCTION("MAX(FILTER($H:$H,$E:$E=F136))"),"#N/A")</f>
        <v>#N/A</v>
      </c>
    </row>
    <row r="137">
      <c r="A137" s="4"/>
      <c r="C137" s="4" t="s">
        <v>1786</v>
      </c>
      <c r="D137" s="4" t="str">
        <f t="shared" si="1"/>
        <v>{"valorA":"microondas","valorB":43}</v>
      </c>
      <c r="E137" s="8" t="str">
        <f t="shared" si="2"/>
        <v>microondas</v>
      </c>
      <c r="F137" s="8"/>
      <c r="G137" s="8" t="str">
        <f t="shared" si="3"/>
        <v>43</v>
      </c>
      <c r="H137" s="9">
        <f t="shared" si="4"/>
        <v>43</v>
      </c>
      <c r="I137" s="6" t="str">
        <f>IFERROR(__xludf.DUMMYFUNCTION("MAX(FILTER($H:$H,$E:$E=F137))"),"#N/A")</f>
        <v>#N/A</v>
      </c>
    </row>
    <row r="138">
      <c r="A138" s="4"/>
      <c r="C138" s="4" t="s">
        <v>1787</v>
      </c>
      <c r="D138" s="4" t="str">
        <f t="shared" si="1"/>
        <v>{"valorA":"microondas","valorB":44}</v>
      </c>
      <c r="E138" s="8" t="str">
        <f t="shared" si="2"/>
        <v>microondas</v>
      </c>
      <c r="F138" s="8"/>
      <c r="G138" s="8" t="str">
        <f t="shared" si="3"/>
        <v>44</v>
      </c>
      <c r="H138" s="9">
        <f t="shared" si="4"/>
        <v>44</v>
      </c>
      <c r="I138" s="6" t="str">
        <f>IFERROR(__xludf.DUMMYFUNCTION("MAX(FILTER($H:$H,$E:$E=F138))"),"#N/A")</f>
        <v>#N/A</v>
      </c>
    </row>
    <row r="139">
      <c r="A139" s="4"/>
      <c r="C139" s="4" t="s">
        <v>1788</v>
      </c>
      <c r="D139" s="4" t="str">
        <f t="shared" si="1"/>
        <v>{"valorA":"microondas","valorB":45}</v>
      </c>
      <c r="E139" s="8" t="str">
        <f t="shared" si="2"/>
        <v>microondas</v>
      </c>
      <c r="F139" s="8"/>
      <c r="G139" s="8" t="str">
        <f t="shared" si="3"/>
        <v>45</v>
      </c>
      <c r="H139" s="9">
        <f t="shared" si="4"/>
        <v>45</v>
      </c>
      <c r="I139" s="6" t="str">
        <f>IFERROR(__xludf.DUMMYFUNCTION("MAX(FILTER($H:$H,$E:$E=F139))"),"#N/A")</f>
        <v>#N/A</v>
      </c>
    </row>
    <row r="140">
      <c r="A140" s="4"/>
      <c r="C140" s="4" t="s">
        <v>1797</v>
      </c>
      <c r="D140" s="4" t="str">
        <f t="shared" si="1"/>
        <v>{"valorA":"microondas","valorB":46}</v>
      </c>
      <c r="E140" s="8" t="str">
        <f t="shared" si="2"/>
        <v>microondas</v>
      </c>
      <c r="F140" s="8"/>
      <c r="G140" s="8" t="str">
        <f t="shared" si="3"/>
        <v>46</v>
      </c>
      <c r="H140" s="9">
        <f t="shared" si="4"/>
        <v>46</v>
      </c>
      <c r="I140" s="6" t="str">
        <f>IFERROR(__xludf.DUMMYFUNCTION("MAX(FILTER($H:$H,$E:$E=F140))"),"#N/A")</f>
        <v>#N/A</v>
      </c>
    </row>
    <row r="141">
      <c r="A141" s="4"/>
      <c r="C141" s="4" t="s">
        <v>1822</v>
      </c>
      <c r="D141" s="4" t="str">
        <f t="shared" si="1"/>
        <v>{"valorA":"freezer","valorB":55}</v>
      </c>
      <c r="E141" s="8" t="str">
        <f t="shared" si="2"/>
        <v>freezer</v>
      </c>
      <c r="F141" s="8"/>
      <c r="G141" s="8" t="str">
        <f t="shared" si="3"/>
        <v>55</v>
      </c>
      <c r="H141" s="9">
        <f t="shared" si="4"/>
        <v>55</v>
      </c>
      <c r="I141" s="6" t="str">
        <f>IFERROR(__xludf.DUMMYFUNCTION("MAX(FILTER($H:$H,$E:$E=F141))"),"#N/A")</f>
        <v>#N/A</v>
      </c>
    </row>
    <row r="142">
      <c r="A142" s="4"/>
      <c r="C142" s="4" t="s">
        <v>1767</v>
      </c>
      <c r="D142" s="4" t="str">
        <f t="shared" si="1"/>
        <v>{"valorA":"ar condicionado","valorB":40}</v>
      </c>
      <c r="E142" s="8" t="str">
        <f t="shared" si="2"/>
        <v>ar condicionado</v>
      </c>
      <c r="F142" s="8"/>
      <c r="G142" s="8" t="str">
        <f t="shared" si="3"/>
        <v>40</v>
      </c>
      <c r="H142" s="9">
        <f t="shared" si="4"/>
        <v>40</v>
      </c>
      <c r="I142" s="6" t="str">
        <f>IFERROR(__xludf.DUMMYFUNCTION("MAX(FILTER($H:$H,$E:$E=F142))"),"#N/A")</f>
        <v>#N/A</v>
      </c>
    </row>
    <row r="143">
      <c r="A143" s="4"/>
      <c r="C143" s="4" t="s">
        <v>1799</v>
      </c>
      <c r="D143" s="4" t="str">
        <f t="shared" si="1"/>
        <v>{"valorA":"microondas","valorB":47}</v>
      </c>
      <c r="E143" s="8" t="str">
        <f t="shared" si="2"/>
        <v>microondas</v>
      </c>
      <c r="F143" s="8"/>
      <c r="G143" s="8" t="str">
        <f t="shared" si="3"/>
        <v>47</v>
      </c>
      <c r="H143" s="9">
        <f t="shared" si="4"/>
        <v>47</v>
      </c>
      <c r="I143" s="6" t="str">
        <f>IFERROR(__xludf.DUMMYFUNCTION("MAX(FILTER($H:$H,$E:$E=F143))"),"#N/A")</f>
        <v>#N/A</v>
      </c>
    </row>
    <row r="144">
      <c r="A144" s="4"/>
      <c r="C144" s="4" t="s">
        <v>1769</v>
      </c>
      <c r="D144" s="4" t="str">
        <f t="shared" si="1"/>
        <v>{"valorA":"ar condicionado","valorB":41}</v>
      </c>
      <c r="E144" s="8" t="str">
        <f t="shared" si="2"/>
        <v>ar condicionado</v>
      </c>
      <c r="F144" s="8"/>
      <c r="G144" s="8" t="str">
        <f t="shared" si="3"/>
        <v>41</v>
      </c>
      <c r="H144" s="9">
        <f t="shared" si="4"/>
        <v>41</v>
      </c>
      <c r="I144" s="6" t="str">
        <f>IFERROR(__xludf.DUMMYFUNCTION("MAX(FILTER($H:$H,$E:$E=F144))"),"#N/A")</f>
        <v>#N/A</v>
      </c>
    </row>
    <row r="145">
      <c r="A145" s="4"/>
      <c r="C145" s="4" t="s">
        <v>1806</v>
      </c>
      <c r="D145" s="4" t="str">
        <f t="shared" si="1"/>
        <v>{"valorA":"microondas","valorB":48}</v>
      </c>
      <c r="E145" s="8" t="str">
        <f t="shared" si="2"/>
        <v>microondas</v>
      </c>
      <c r="F145" s="8"/>
      <c r="G145" s="8" t="str">
        <f t="shared" si="3"/>
        <v>48</v>
      </c>
      <c r="H145" s="9">
        <f t="shared" si="4"/>
        <v>48</v>
      </c>
      <c r="I145" s="6" t="str">
        <f>IFERROR(__xludf.DUMMYFUNCTION("MAX(FILTER($H:$H,$E:$E=F145))"),"#N/A")</f>
        <v>#N/A</v>
      </c>
    </row>
    <row r="146">
      <c r="A146" s="4"/>
      <c r="C146" s="4" t="s">
        <v>1807</v>
      </c>
      <c r="D146" s="4" t="str">
        <f t="shared" si="1"/>
        <v>{"valorA":"microondas","valorB":49}</v>
      </c>
      <c r="E146" s="8" t="str">
        <f t="shared" si="2"/>
        <v>microondas</v>
      </c>
      <c r="F146" s="8"/>
      <c r="G146" s="8" t="str">
        <f t="shared" si="3"/>
        <v>49</v>
      </c>
      <c r="H146" s="9">
        <f t="shared" si="4"/>
        <v>49</v>
      </c>
      <c r="I146" s="6" t="str">
        <f>IFERROR(__xludf.DUMMYFUNCTION("MAX(FILTER($H:$H,$E:$E=F146))"),"#N/A")</f>
        <v>#N/A</v>
      </c>
    </row>
    <row r="147">
      <c r="A147" s="4"/>
      <c r="C147" s="4" t="s">
        <v>1774</v>
      </c>
      <c r="D147" s="4" t="str">
        <f t="shared" si="1"/>
        <v>{"valorA":"ar condicionado","valorB":42}</v>
      </c>
      <c r="E147" s="8" t="str">
        <f t="shared" si="2"/>
        <v>ar condicionado</v>
      </c>
      <c r="F147" s="8"/>
      <c r="G147" s="8" t="str">
        <f t="shared" si="3"/>
        <v>42</v>
      </c>
      <c r="H147" s="9">
        <f t="shared" si="4"/>
        <v>42</v>
      </c>
      <c r="I147" s="6" t="str">
        <f>IFERROR(__xludf.DUMMYFUNCTION("MAX(FILTER($H:$H,$E:$E=F147))"),"#N/A")</f>
        <v>#N/A</v>
      </c>
    </row>
    <row r="148">
      <c r="A148" s="4"/>
      <c r="C148" s="4" t="s">
        <v>1823</v>
      </c>
      <c r="D148" s="4" t="str">
        <f t="shared" si="1"/>
        <v>{"valorA":"freezer","valorB":56}</v>
      </c>
      <c r="E148" s="8" t="str">
        <f t="shared" si="2"/>
        <v>freezer</v>
      </c>
      <c r="F148" s="8"/>
      <c r="G148" s="8" t="str">
        <f t="shared" si="3"/>
        <v>56</v>
      </c>
      <c r="H148" s="9">
        <f t="shared" si="4"/>
        <v>56</v>
      </c>
      <c r="I148" s="6" t="str">
        <f>IFERROR(__xludf.DUMMYFUNCTION("MAX(FILTER($H:$H,$E:$E=F148))"),"#N/A")</f>
        <v>#N/A</v>
      </c>
    </row>
    <row r="149">
      <c r="A149" s="4"/>
      <c r="C149" s="4" t="s">
        <v>1808</v>
      </c>
      <c r="D149" s="4" t="str">
        <f t="shared" si="1"/>
        <v>{"valorA":"microondas","valorB":50}</v>
      </c>
      <c r="E149" s="8" t="str">
        <f t="shared" si="2"/>
        <v>microondas</v>
      </c>
      <c r="F149" s="8"/>
      <c r="G149" s="8" t="str">
        <f t="shared" si="3"/>
        <v>50</v>
      </c>
      <c r="H149" s="9">
        <f t="shared" si="4"/>
        <v>50</v>
      </c>
      <c r="I149" s="6" t="str">
        <f>IFERROR(__xludf.DUMMYFUNCTION("MAX(FILTER($H:$H,$E:$E=F149))"),"#N/A")</f>
        <v>#N/A</v>
      </c>
    </row>
    <row r="150">
      <c r="A150" s="4"/>
      <c r="C150" s="4" t="s">
        <v>1776</v>
      </c>
      <c r="D150" s="4" t="str">
        <f t="shared" si="1"/>
        <v>{"valorA":"ar condicionado","valorB":43}</v>
      </c>
      <c r="E150" s="8" t="str">
        <f t="shared" si="2"/>
        <v>ar condicionado</v>
      </c>
      <c r="F150" s="8"/>
      <c r="G150" s="8" t="str">
        <f t="shared" si="3"/>
        <v>43</v>
      </c>
      <c r="H150" s="9">
        <f t="shared" si="4"/>
        <v>43</v>
      </c>
      <c r="I150" s="6" t="str">
        <f>IFERROR(__xludf.DUMMYFUNCTION("MAX(FILTER($H:$H,$E:$E=F150))"),"#N/A")</f>
        <v>#N/A</v>
      </c>
    </row>
    <row r="151">
      <c r="A151" s="4"/>
      <c r="C151" s="4" t="s">
        <v>1778</v>
      </c>
      <c r="D151" s="4" t="str">
        <f t="shared" si="1"/>
        <v>{"valorA":"ar condicionado","valorB":44}</v>
      </c>
      <c r="E151" s="8" t="str">
        <f t="shared" si="2"/>
        <v>ar condicionado</v>
      </c>
      <c r="F151" s="8"/>
      <c r="G151" s="8" t="str">
        <f t="shared" si="3"/>
        <v>44</v>
      </c>
      <c r="H151" s="9">
        <f t="shared" si="4"/>
        <v>44</v>
      </c>
      <c r="I151" s="6" t="str">
        <f>IFERROR(__xludf.DUMMYFUNCTION("MAX(FILTER($H:$H,$E:$E=F151))"),"#N/A")</f>
        <v>#N/A</v>
      </c>
    </row>
    <row r="152">
      <c r="A152" s="4"/>
      <c r="C152" s="4" t="s">
        <v>1811</v>
      </c>
      <c r="D152" s="4" t="str">
        <f t="shared" si="1"/>
        <v>{"valorA":"microondas","valorB":51}</v>
      </c>
      <c r="E152" s="8" t="str">
        <f t="shared" si="2"/>
        <v>microondas</v>
      </c>
      <c r="F152" s="8"/>
      <c r="G152" s="8" t="str">
        <f t="shared" si="3"/>
        <v>51</v>
      </c>
      <c r="H152" s="9">
        <f t="shared" si="4"/>
        <v>51</v>
      </c>
      <c r="I152" s="6" t="str">
        <f>IFERROR(__xludf.DUMMYFUNCTION("MAX(FILTER($H:$H,$E:$E=F152))"),"#N/A")</f>
        <v>#N/A</v>
      </c>
    </row>
    <row r="153">
      <c r="A153" s="4"/>
      <c r="C153" s="4" t="s">
        <v>1780</v>
      </c>
      <c r="D153" s="4" t="str">
        <f t="shared" si="1"/>
        <v>{"valorA":"ar condicionado","valorB":45}</v>
      </c>
      <c r="E153" s="8" t="str">
        <f t="shared" si="2"/>
        <v>ar condicionado</v>
      </c>
      <c r="F153" s="8"/>
      <c r="G153" s="8" t="str">
        <f t="shared" si="3"/>
        <v>45</v>
      </c>
      <c r="H153" s="9">
        <f t="shared" si="4"/>
        <v>45</v>
      </c>
      <c r="I153" s="6" t="str">
        <f>IFERROR(__xludf.DUMMYFUNCTION("MAX(FILTER($H:$H,$E:$E=F153))"),"#N/A")</f>
        <v>#N/A</v>
      </c>
    </row>
    <row r="154">
      <c r="A154" s="4"/>
      <c r="C154" s="4" t="s">
        <v>1824</v>
      </c>
      <c r="D154" s="4" t="str">
        <f t="shared" si="1"/>
        <v>{"valorA":"freezer","valorB":57}</v>
      </c>
      <c r="E154" s="8" t="str">
        <f t="shared" si="2"/>
        <v>freezer</v>
      </c>
      <c r="F154" s="8"/>
      <c r="G154" s="8" t="str">
        <f t="shared" si="3"/>
        <v>57</v>
      </c>
      <c r="H154" s="9">
        <f t="shared" si="4"/>
        <v>57</v>
      </c>
      <c r="I154" s="6" t="str">
        <f>IFERROR(__xludf.DUMMYFUNCTION("MAX(FILTER($H:$H,$E:$E=F154))"),"#N/A")</f>
        <v>#N/A</v>
      </c>
    </row>
    <row r="155">
      <c r="A155" s="4"/>
      <c r="C155" s="4" t="s">
        <v>1815</v>
      </c>
      <c r="D155" s="4" t="str">
        <f t="shared" si="1"/>
        <v>{"valorA":"microondas","valorB":52}</v>
      </c>
      <c r="E155" s="8" t="str">
        <f t="shared" si="2"/>
        <v>microondas</v>
      </c>
      <c r="F155" s="8"/>
      <c r="G155" s="8" t="str">
        <f t="shared" si="3"/>
        <v>52</v>
      </c>
      <c r="H155" s="9">
        <f t="shared" si="4"/>
        <v>52</v>
      </c>
      <c r="I155" s="6" t="str">
        <f>IFERROR(__xludf.DUMMYFUNCTION("MAX(FILTER($H:$H,$E:$E=F155))"),"#N/A")</f>
        <v>#N/A</v>
      </c>
    </row>
    <row r="156">
      <c r="A156" s="4"/>
      <c r="C156" s="4" t="s">
        <v>1789</v>
      </c>
      <c r="D156" s="4" t="str">
        <f t="shared" si="1"/>
        <v>{"valorA":"ar condicionado","valorB":46}</v>
      </c>
      <c r="E156" s="8" t="str">
        <f t="shared" si="2"/>
        <v>ar condicionado</v>
      </c>
      <c r="F156" s="8"/>
      <c r="G156" s="8" t="str">
        <f t="shared" si="3"/>
        <v>46</v>
      </c>
      <c r="H156" s="9">
        <f t="shared" si="4"/>
        <v>46</v>
      </c>
      <c r="I156" s="6" t="str">
        <f>IFERROR(__xludf.DUMMYFUNCTION("MAX(FILTER($H:$H,$E:$E=F156))"),"#N/A")</f>
        <v>#N/A</v>
      </c>
    </row>
    <row r="157">
      <c r="A157" s="4"/>
      <c r="C157" s="4" t="s">
        <v>1819</v>
      </c>
      <c r="D157" s="4" t="str">
        <f t="shared" si="1"/>
        <v>{"valorA":"microondas","valorB":53}</v>
      </c>
      <c r="E157" s="8" t="str">
        <f t="shared" si="2"/>
        <v>microondas</v>
      </c>
      <c r="F157" s="8"/>
      <c r="G157" s="8" t="str">
        <f t="shared" si="3"/>
        <v>53</v>
      </c>
      <c r="H157" s="9">
        <f t="shared" si="4"/>
        <v>53</v>
      </c>
      <c r="I157" s="6" t="str">
        <f>IFERROR(__xludf.DUMMYFUNCTION("MAX(FILTER($H:$H,$E:$E=F157))"),"#N/A")</f>
        <v>#N/A</v>
      </c>
    </row>
    <row r="158">
      <c r="A158" s="4"/>
      <c r="C158" s="4" t="s">
        <v>1791</v>
      </c>
      <c r="D158" s="4" t="str">
        <f t="shared" si="1"/>
        <v>{"valorA":"ar condicionado","valorB":47}</v>
      </c>
      <c r="E158" s="8" t="str">
        <f t="shared" si="2"/>
        <v>ar condicionado</v>
      </c>
      <c r="F158" s="8"/>
      <c r="G158" s="8" t="str">
        <f t="shared" si="3"/>
        <v>47</v>
      </c>
      <c r="H158" s="9">
        <f t="shared" si="4"/>
        <v>47</v>
      </c>
      <c r="I158" s="6" t="str">
        <f>IFERROR(__xludf.DUMMYFUNCTION("MAX(FILTER($H:$H,$E:$E=F158))"),"#N/A")</f>
        <v>#N/A</v>
      </c>
    </row>
    <row r="159">
      <c r="A159" s="4"/>
      <c r="C159" s="4" t="s">
        <v>1829</v>
      </c>
      <c r="D159" s="4" t="str">
        <f t="shared" si="1"/>
        <v>{"valorA":"freezer","valorB":58}</v>
      </c>
      <c r="E159" s="8" t="str">
        <f t="shared" si="2"/>
        <v>freezer</v>
      </c>
      <c r="F159" s="8"/>
      <c r="G159" s="8" t="str">
        <f t="shared" si="3"/>
        <v>58</v>
      </c>
      <c r="H159" s="9">
        <f t="shared" si="4"/>
        <v>58</v>
      </c>
      <c r="I159" s="6" t="str">
        <f>IFERROR(__xludf.DUMMYFUNCTION("MAX(FILTER($H:$H,$E:$E=F159))"),"#N/A")</f>
        <v>#N/A</v>
      </c>
    </row>
    <row r="160">
      <c r="A160" s="4"/>
      <c r="C160" s="4" t="s">
        <v>1838</v>
      </c>
      <c r="D160" s="4" t="str">
        <f t="shared" si="1"/>
        <v>{"valorA":"freezer","valorB":59}</v>
      </c>
      <c r="E160" s="8" t="str">
        <f t="shared" si="2"/>
        <v>freezer</v>
      </c>
      <c r="F160" s="8"/>
      <c r="G160" s="8" t="str">
        <f t="shared" si="3"/>
        <v>59</v>
      </c>
      <c r="H160" s="9">
        <f t="shared" si="4"/>
        <v>59</v>
      </c>
      <c r="I160" s="6" t="str">
        <f>IFERROR(__xludf.DUMMYFUNCTION("MAX(FILTER($H:$H,$E:$E=F160))"),"#N/A")</f>
        <v>#N/A</v>
      </c>
    </row>
    <row r="161">
      <c r="A161" s="4"/>
      <c r="C161" s="4" t="s">
        <v>1820</v>
      </c>
      <c r="D161" s="4" t="str">
        <f t="shared" si="1"/>
        <v>{"valorA":"microondas","valorB":54}</v>
      </c>
      <c r="E161" s="8" t="str">
        <f t="shared" si="2"/>
        <v>microondas</v>
      </c>
      <c r="F161" s="8"/>
      <c r="G161" s="8" t="str">
        <f t="shared" si="3"/>
        <v>54</v>
      </c>
      <c r="H161" s="9">
        <f t="shared" si="4"/>
        <v>54</v>
      </c>
      <c r="I161" s="6" t="str">
        <f>IFERROR(__xludf.DUMMYFUNCTION("MAX(FILTER($H:$H,$E:$E=F161))"),"#N/A")</f>
        <v>#N/A</v>
      </c>
    </row>
    <row r="162">
      <c r="A162" s="4"/>
      <c r="C162" s="4" t="s">
        <v>1840</v>
      </c>
      <c r="D162" s="4" t="str">
        <f t="shared" si="1"/>
        <v>{"valorA":"freezer","valorB":60}</v>
      </c>
      <c r="E162" s="8" t="str">
        <f t="shared" si="2"/>
        <v>freezer</v>
      </c>
      <c r="F162" s="8"/>
      <c r="G162" s="8" t="str">
        <f t="shared" si="3"/>
        <v>60</v>
      </c>
      <c r="H162" s="9">
        <f t="shared" si="4"/>
        <v>60</v>
      </c>
      <c r="I162" s="6" t="str">
        <f>IFERROR(__xludf.DUMMYFUNCTION("MAX(FILTER($H:$H,$E:$E=F162))"),"#N/A")</f>
        <v>#N/A</v>
      </c>
    </row>
    <row r="163">
      <c r="A163" s="4"/>
      <c r="C163" s="4" t="s">
        <v>1794</v>
      </c>
      <c r="D163" s="4" t="str">
        <f t="shared" si="1"/>
        <v>{"valorA":"ar condicionado","valorB":48}</v>
      </c>
      <c r="E163" s="8" t="str">
        <f t="shared" si="2"/>
        <v>ar condicionado</v>
      </c>
      <c r="F163" s="8"/>
      <c r="G163" s="8" t="str">
        <f t="shared" si="3"/>
        <v>48</v>
      </c>
      <c r="H163" s="9">
        <f t="shared" si="4"/>
        <v>48</v>
      </c>
      <c r="I163" s="6" t="str">
        <f>IFERROR(__xludf.DUMMYFUNCTION("MAX(FILTER($H:$H,$E:$E=F163))"),"#N/A")</f>
        <v>#N/A</v>
      </c>
    </row>
    <row r="164">
      <c r="A164" s="4"/>
      <c r="C164" s="4" t="s">
        <v>1841</v>
      </c>
      <c r="D164" s="4" t="str">
        <f t="shared" si="1"/>
        <v>{"valorA":"freezer","valorB":61}</v>
      </c>
      <c r="E164" s="8" t="str">
        <f t="shared" si="2"/>
        <v>freezer</v>
      </c>
      <c r="F164" s="8"/>
      <c r="G164" s="8" t="str">
        <f t="shared" si="3"/>
        <v>61</v>
      </c>
      <c r="H164" s="9">
        <f t="shared" si="4"/>
        <v>61</v>
      </c>
      <c r="I164" s="6" t="str">
        <f>IFERROR(__xludf.DUMMYFUNCTION("MAX(FILTER($H:$H,$E:$E=F164))"),"#N/A")</f>
        <v>#N/A</v>
      </c>
    </row>
    <row r="165">
      <c r="A165" s="4"/>
      <c r="C165" s="4" t="s">
        <v>1850</v>
      </c>
      <c r="D165" s="4" t="str">
        <f t="shared" si="1"/>
        <v>{"valorA":"freezer","valorB":62}</v>
      </c>
      <c r="E165" s="8" t="str">
        <f t="shared" si="2"/>
        <v>freezer</v>
      </c>
      <c r="F165" s="8"/>
      <c r="G165" s="8" t="str">
        <f t="shared" si="3"/>
        <v>62</v>
      </c>
      <c r="H165" s="9">
        <f t="shared" si="4"/>
        <v>62</v>
      </c>
      <c r="I165" s="6" t="str">
        <f>IFERROR(__xludf.DUMMYFUNCTION("MAX(FILTER($H:$H,$E:$E=F165))"),"#N/A")</f>
        <v>#N/A</v>
      </c>
    </row>
    <row r="166">
      <c r="A166" s="4"/>
      <c r="C166" s="4" t="s">
        <v>1826</v>
      </c>
      <c r="D166" s="4" t="str">
        <f t="shared" si="1"/>
        <v>{"valorA":"microondas","valorB":55}</v>
      </c>
      <c r="E166" s="8" t="str">
        <f t="shared" si="2"/>
        <v>microondas</v>
      </c>
      <c r="F166" s="8"/>
      <c r="G166" s="8" t="str">
        <f t="shared" si="3"/>
        <v>55</v>
      </c>
      <c r="H166" s="9">
        <f t="shared" si="4"/>
        <v>55</v>
      </c>
      <c r="I166" s="6" t="str">
        <f>IFERROR(__xludf.DUMMYFUNCTION("MAX(FILTER($H:$H,$E:$E=F166))"),"#N/A")</f>
        <v>#N/A</v>
      </c>
    </row>
    <row r="167">
      <c r="A167" s="4"/>
      <c r="C167" s="4" t="s">
        <v>1827</v>
      </c>
      <c r="D167" s="4" t="str">
        <f t="shared" si="1"/>
        <v>{"valorA":"microondas","valorB":56}</v>
      </c>
      <c r="E167" s="8" t="str">
        <f t="shared" si="2"/>
        <v>microondas</v>
      </c>
      <c r="F167" s="8"/>
      <c r="G167" s="8" t="str">
        <f t="shared" si="3"/>
        <v>56</v>
      </c>
      <c r="H167" s="9">
        <f t="shared" si="4"/>
        <v>56</v>
      </c>
      <c r="I167" s="6" t="str">
        <f>IFERROR(__xludf.DUMMYFUNCTION("MAX(FILTER($H:$H,$E:$E=F167))"),"#N/A")</f>
        <v>#N/A</v>
      </c>
    </row>
    <row r="168">
      <c r="A168" s="4"/>
      <c r="C168" s="4" t="s">
        <v>1828</v>
      </c>
      <c r="D168" s="4" t="str">
        <f t="shared" si="1"/>
        <v>{"valorA":"microondas","valorB":57}</v>
      </c>
      <c r="E168" s="8" t="str">
        <f t="shared" si="2"/>
        <v>microondas</v>
      </c>
      <c r="F168" s="8"/>
      <c r="G168" s="8" t="str">
        <f t="shared" si="3"/>
        <v>57</v>
      </c>
      <c r="H168" s="9">
        <f t="shared" si="4"/>
        <v>57</v>
      </c>
      <c r="I168" s="6" t="str">
        <f>IFERROR(__xludf.DUMMYFUNCTION("MAX(FILTER($H:$H,$E:$E=F168))"),"#N/A")</f>
        <v>#N/A</v>
      </c>
    </row>
    <row r="169">
      <c r="A169" s="4"/>
      <c r="C169" s="4" t="s">
        <v>1830</v>
      </c>
      <c r="D169" s="4" t="str">
        <f t="shared" si="1"/>
        <v>{"valorA":"microondas","valorB":58}</v>
      </c>
      <c r="E169" s="8" t="str">
        <f t="shared" si="2"/>
        <v>microondas</v>
      </c>
      <c r="F169" s="8"/>
      <c r="G169" s="8" t="str">
        <f t="shared" si="3"/>
        <v>58</v>
      </c>
      <c r="H169" s="9">
        <f t="shared" si="4"/>
        <v>58</v>
      </c>
      <c r="I169" s="6" t="str">
        <f>IFERROR(__xludf.DUMMYFUNCTION("MAX(FILTER($H:$H,$E:$E=F169))"),"#N/A")</f>
        <v>#N/A</v>
      </c>
    </row>
    <row r="170">
      <c r="A170" s="4"/>
      <c r="C170" s="4" t="s">
        <v>1798</v>
      </c>
      <c r="D170" s="4" t="str">
        <f t="shared" si="1"/>
        <v>{"valorA":"ar condicionado","valorB":49}</v>
      </c>
      <c r="E170" s="8" t="str">
        <f t="shared" si="2"/>
        <v>ar condicionado</v>
      </c>
      <c r="F170" s="8"/>
      <c r="G170" s="8" t="str">
        <f t="shared" si="3"/>
        <v>49</v>
      </c>
      <c r="H170" s="9">
        <f t="shared" si="4"/>
        <v>49</v>
      </c>
      <c r="I170" s="6" t="str">
        <f>IFERROR(__xludf.DUMMYFUNCTION("MAX(FILTER($H:$H,$E:$E=F170))"),"#N/A")</f>
        <v>#N/A</v>
      </c>
    </row>
    <row r="171">
      <c r="A171" s="4"/>
      <c r="C171" s="4" t="s">
        <v>1831</v>
      </c>
      <c r="D171" s="4" t="str">
        <f t="shared" si="1"/>
        <v>{"valorA":"microondas","valorB":59}</v>
      </c>
      <c r="E171" s="8" t="str">
        <f t="shared" si="2"/>
        <v>microondas</v>
      </c>
      <c r="F171" s="8"/>
      <c r="G171" s="8" t="str">
        <f t="shared" si="3"/>
        <v>59</v>
      </c>
      <c r="H171" s="9">
        <f t="shared" si="4"/>
        <v>59</v>
      </c>
      <c r="I171" s="6" t="str">
        <f>IFERROR(__xludf.DUMMYFUNCTION("MAX(FILTER($H:$H,$E:$E=F171))"),"#N/A")</f>
        <v>#N/A</v>
      </c>
    </row>
    <row r="172">
      <c r="A172" s="4"/>
      <c r="C172" s="4" t="s">
        <v>1800</v>
      </c>
      <c r="D172" s="4" t="str">
        <f t="shared" si="1"/>
        <v>{"valorA":"ar condicionado","valorB":50}</v>
      </c>
      <c r="E172" s="8" t="str">
        <f t="shared" si="2"/>
        <v>ar condicionado</v>
      </c>
      <c r="F172" s="8"/>
      <c r="G172" s="8" t="str">
        <f t="shared" si="3"/>
        <v>50</v>
      </c>
      <c r="H172" s="9">
        <f t="shared" si="4"/>
        <v>50</v>
      </c>
      <c r="I172" s="6" t="str">
        <f>IFERROR(__xludf.DUMMYFUNCTION("MAX(FILTER($H:$H,$E:$E=F172))"),"#N/A")</f>
        <v>#N/A</v>
      </c>
    </row>
    <row r="173">
      <c r="A173" s="4"/>
      <c r="C173" s="4" t="s">
        <v>1802</v>
      </c>
      <c r="D173" s="4" t="str">
        <f t="shared" si="1"/>
        <v>{"valorA":"ar condicionado","valorB":51}</v>
      </c>
      <c r="E173" s="8" t="str">
        <f t="shared" si="2"/>
        <v>ar condicionado</v>
      </c>
      <c r="F173" s="8"/>
      <c r="G173" s="8" t="str">
        <f t="shared" si="3"/>
        <v>51</v>
      </c>
      <c r="H173" s="9">
        <f t="shared" si="4"/>
        <v>51</v>
      </c>
      <c r="I173" s="6" t="str">
        <f>IFERROR(__xludf.DUMMYFUNCTION("MAX(FILTER($H:$H,$E:$E=F173))"),"#N/A")</f>
        <v>#N/A</v>
      </c>
    </row>
    <row r="174">
      <c r="A174" s="4"/>
      <c r="C174" s="4" t="s">
        <v>1832</v>
      </c>
      <c r="D174" s="4" t="str">
        <f t="shared" si="1"/>
        <v>{"valorA":"microondas","valorB":60}</v>
      </c>
      <c r="E174" s="8" t="str">
        <f t="shared" si="2"/>
        <v>microondas</v>
      </c>
      <c r="F174" s="8"/>
      <c r="G174" s="8" t="str">
        <f t="shared" si="3"/>
        <v>60</v>
      </c>
      <c r="H174" s="9">
        <f t="shared" si="4"/>
        <v>60</v>
      </c>
      <c r="I174" s="6" t="str">
        <f>IFERROR(__xludf.DUMMYFUNCTION("MAX(FILTER($H:$H,$E:$E=F174))"),"#N/A")</f>
        <v>#N/A</v>
      </c>
    </row>
    <row r="175">
      <c r="A175" s="4"/>
      <c r="C175" s="4" t="s">
        <v>1856</v>
      </c>
      <c r="D175" s="4" t="str">
        <f t="shared" si="1"/>
        <v>{"valorA":"freezer","valorB":63}</v>
      </c>
      <c r="E175" s="8" t="str">
        <f t="shared" si="2"/>
        <v>freezer</v>
      </c>
      <c r="F175" s="8"/>
      <c r="G175" s="8" t="str">
        <f t="shared" si="3"/>
        <v>63</v>
      </c>
      <c r="H175" s="9">
        <f t="shared" si="4"/>
        <v>63</v>
      </c>
      <c r="I175" s="6" t="str">
        <f>IFERROR(__xludf.DUMMYFUNCTION("MAX(FILTER($H:$H,$E:$E=F175))"),"#N/A")</f>
        <v>#N/A</v>
      </c>
    </row>
    <row r="176">
      <c r="A176" s="4"/>
      <c r="C176" s="4" t="s">
        <v>1857</v>
      </c>
      <c r="D176" s="4" t="str">
        <f t="shared" si="1"/>
        <v>{"valorA":"freezer","valorB":64}</v>
      </c>
      <c r="E176" s="8" t="str">
        <f t="shared" si="2"/>
        <v>freezer</v>
      </c>
      <c r="F176" s="8"/>
      <c r="G176" s="8" t="str">
        <f t="shared" si="3"/>
        <v>64</v>
      </c>
      <c r="H176" s="9">
        <f t="shared" si="4"/>
        <v>64</v>
      </c>
      <c r="I176" s="6" t="str">
        <f>IFERROR(__xludf.DUMMYFUNCTION("MAX(FILTER($H:$H,$E:$E=F176))"),"#N/A")</f>
        <v>#N/A</v>
      </c>
    </row>
    <row r="177">
      <c r="A177" s="4"/>
      <c r="C177" s="4" t="s">
        <v>1834</v>
      </c>
      <c r="D177" s="4" t="str">
        <f t="shared" si="1"/>
        <v>{"valorA":"microondas","valorB":61}</v>
      </c>
      <c r="E177" s="8" t="str">
        <f t="shared" si="2"/>
        <v>microondas</v>
      </c>
      <c r="F177" s="8"/>
      <c r="G177" s="8" t="str">
        <f t="shared" si="3"/>
        <v>61</v>
      </c>
      <c r="H177" s="9">
        <f t="shared" si="4"/>
        <v>61</v>
      </c>
      <c r="I177" s="6" t="str">
        <f>IFERROR(__xludf.DUMMYFUNCTION("MAX(FILTER($H:$H,$E:$E=F177))"),"#N/A")</f>
        <v>#N/A</v>
      </c>
    </row>
    <row r="178">
      <c r="A178" s="4"/>
      <c r="C178" s="4" t="s">
        <v>1803</v>
      </c>
      <c r="D178" s="4" t="str">
        <f t="shared" si="1"/>
        <v>{"valorA":"ar condicionado","valorB":52}</v>
      </c>
      <c r="E178" s="8" t="str">
        <f t="shared" si="2"/>
        <v>ar condicionado</v>
      </c>
      <c r="F178" s="8"/>
      <c r="G178" s="8" t="str">
        <f t="shared" si="3"/>
        <v>52</v>
      </c>
      <c r="H178" s="9">
        <f t="shared" si="4"/>
        <v>52</v>
      </c>
      <c r="I178" s="6" t="str">
        <f>IFERROR(__xludf.DUMMYFUNCTION("MAX(FILTER($H:$H,$E:$E=F178))"),"#N/A")</f>
        <v>#N/A</v>
      </c>
    </row>
    <row r="179">
      <c r="A179" s="4"/>
      <c r="C179" s="4" t="s">
        <v>1835</v>
      </c>
      <c r="D179" s="4" t="str">
        <f t="shared" si="1"/>
        <v>{"valorA":"microondas","valorB":62}</v>
      </c>
      <c r="E179" s="8" t="str">
        <f t="shared" si="2"/>
        <v>microondas</v>
      </c>
      <c r="F179" s="8"/>
      <c r="G179" s="8" t="str">
        <f t="shared" si="3"/>
        <v>62</v>
      </c>
      <c r="H179" s="9">
        <f t="shared" si="4"/>
        <v>62</v>
      </c>
      <c r="I179" s="6" t="str">
        <f>IFERROR(__xludf.DUMMYFUNCTION("MAX(FILTER($H:$H,$E:$E=F179))"),"#N/A")</f>
        <v>#N/A</v>
      </c>
    </row>
    <row r="180">
      <c r="A180" s="4"/>
      <c r="C180" s="4" t="s">
        <v>1858</v>
      </c>
      <c r="D180" s="4" t="str">
        <f t="shared" si="1"/>
        <v>{"valorA":"freezer","valorB":65}</v>
      </c>
      <c r="E180" s="8" t="str">
        <f t="shared" si="2"/>
        <v>freezer</v>
      </c>
      <c r="F180" s="8"/>
      <c r="G180" s="8" t="str">
        <f t="shared" si="3"/>
        <v>65</v>
      </c>
      <c r="H180" s="9">
        <f t="shared" si="4"/>
        <v>65</v>
      </c>
      <c r="I180" s="6" t="str">
        <f>IFERROR(__xludf.DUMMYFUNCTION("MAX(FILTER($H:$H,$E:$E=F180))"),"#N/A")</f>
        <v>#N/A</v>
      </c>
    </row>
    <row r="181">
      <c r="A181" s="4"/>
      <c r="C181" s="4" t="s">
        <v>1859</v>
      </c>
      <c r="D181" s="4" t="str">
        <f t="shared" si="1"/>
        <v>{"valorA":"freezer","valorB":66}</v>
      </c>
      <c r="E181" s="8" t="str">
        <f t="shared" si="2"/>
        <v>freezer</v>
      </c>
      <c r="F181" s="8"/>
      <c r="G181" s="8" t="str">
        <f t="shared" si="3"/>
        <v>66</v>
      </c>
      <c r="H181" s="9">
        <f t="shared" si="4"/>
        <v>66</v>
      </c>
      <c r="I181" s="6" t="str">
        <f>IFERROR(__xludf.DUMMYFUNCTION("MAX(FILTER($H:$H,$E:$E=F181))"),"#N/A")</f>
        <v>#N/A</v>
      </c>
    </row>
    <row r="182">
      <c r="A182" s="4"/>
      <c r="C182" s="4" t="s">
        <v>1809</v>
      </c>
      <c r="D182" s="4" t="str">
        <f t="shared" si="1"/>
        <v>{"valorA":"ar condicionado","valorB":53}</v>
      </c>
      <c r="E182" s="8" t="str">
        <f t="shared" si="2"/>
        <v>ar condicionado</v>
      </c>
      <c r="F182" s="8"/>
      <c r="G182" s="8" t="str">
        <f t="shared" si="3"/>
        <v>53</v>
      </c>
      <c r="H182" s="9">
        <f t="shared" si="4"/>
        <v>53</v>
      </c>
      <c r="I182" s="6" t="str">
        <f>IFERROR(__xludf.DUMMYFUNCTION("MAX(FILTER($H:$H,$E:$E=F182))"),"#N/A")</f>
        <v>#N/A</v>
      </c>
    </row>
    <row r="183">
      <c r="A183" s="4"/>
      <c r="C183" s="4" t="s">
        <v>1837</v>
      </c>
      <c r="D183" s="4" t="str">
        <f t="shared" si="1"/>
        <v>{"valorA":"microondas","valorB":63}</v>
      </c>
      <c r="E183" s="8" t="str">
        <f t="shared" si="2"/>
        <v>microondas</v>
      </c>
      <c r="F183" s="8"/>
      <c r="G183" s="8" t="str">
        <f t="shared" si="3"/>
        <v>63</v>
      </c>
      <c r="H183" s="9">
        <f t="shared" si="4"/>
        <v>63</v>
      </c>
      <c r="I183" s="6" t="str">
        <f>IFERROR(__xludf.DUMMYFUNCTION("MAX(FILTER($H:$H,$E:$E=F183))"),"#N/A")</f>
        <v>#N/A</v>
      </c>
    </row>
    <row r="184">
      <c r="A184" s="4"/>
      <c r="C184" s="4" t="s">
        <v>1861</v>
      </c>
      <c r="D184" s="4" t="str">
        <f t="shared" si="1"/>
        <v>{"valorA":"freezer","valorB":67}</v>
      </c>
      <c r="E184" s="8" t="str">
        <f t="shared" si="2"/>
        <v>freezer</v>
      </c>
      <c r="F184" s="8"/>
      <c r="G184" s="8" t="str">
        <f t="shared" si="3"/>
        <v>67</v>
      </c>
      <c r="H184" s="9">
        <f t="shared" si="4"/>
        <v>67</v>
      </c>
      <c r="I184" s="6" t="str">
        <f>IFERROR(__xludf.DUMMYFUNCTION("MAX(FILTER($H:$H,$E:$E=F184))"),"#N/A")</f>
        <v>#N/A</v>
      </c>
    </row>
    <row r="185">
      <c r="A185" s="4"/>
      <c r="C185" s="4" t="s">
        <v>1862</v>
      </c>
      <c r="D185" s="4" t="str">
        <f t="shared" si="1"/>
        <v>{"valorA":"freezer","valorB":68}</v>
      </c>
      <c r="E185" s="8" t="str">
        <f t="shared" si="2"/>
        <v>freezer</v>
      </c>
      <c r="F185" s="8"/>
      <c r="G185" s="8" t="str">
        <f t="shared" si="3"/>
        <v>68</v>
      </c>
      <c r="H185" s="9">
        <f t="shared" si="4"/>
        <v>68</v>
      </c>
      <c r="I185" s="6" t="str">
        <f>IFERROR(__xludf.DUMMYFUNCTION("MAX(FILTER($H:$H,$E:$E=F185))"),"#N/A")</f>
        <v>#N/A</v>
      </c>
    </row>
    <row r="186">
      <c r="A186" s="4"/>
      <c r="C186" s="4" t="s">
        <v>1839</v>
      </c>
      <c r="D186" s="4" t="str">
        <f t="shared" si="1"/>
        <v>{"valorA":"microondas","valorB":64}</v>
      </c>
      <c r="E186" s="8" t="str">
        <f t="shared" si="2"/>
        <v>microondas</v>
      </c>
      <c r="F186" s="8"/>
      <c r="G186" s="8" t="str">
        <f t="shared" si="3"/>
        <v>64</v>
      </c>
      <c r="H186" s="9">
        <f t="shared" si="4"/>
        <v>64</v>
      </c>
      <c r="I186" s="6" t="str">
        <f>IFERROR(__xludf.DUMMYFUNCTION("MAX(FILTER($H:$H,$E:$E=F186))"),"#N/A")</f>
        <v>#N/A</v>
      </c>
    </row>
    <row r="187">
      <c r="A187" s="4"/>
      <c r="C187" s="4" t="s">
        <v>1845</v>
      </c>
      <c r="D187" s="4" t="str">
        <f t="shared" si="1"/>
        <v>{"valorA":"microondas","valorB":65}</v>
      </c>
      <c r="E187" s="8" t="str">
        <f t="shared" si="2"/>
        <v>microondas</v>
      </c>
      <c r="F187" s="8"/>
      <c r="G187" s="8" t="str">
        <f t="shared" si="3"/>
        <v>65</v>
      </c>
      <c r="H187" s="9">
        <f t="shared" si="4"/>
        <v>65</v>
      </c>
      <c r="I187" s="6" t="str">
        <f>IFERROR(__xludf.DUMMYFUNCTION("MAX(FILTER($H:$H,$E:$E=F187))"),"#N/A")</f>
        <v>#N/A</v>
      </c>
    </row>
    <row r="188">
      <c r="A188" s="4"/>
      <c r="C188" s="4" t="s">
        <v>1864</v>
      </c>
      <c r="D188" s="4" t="str">
        <f t="shared" si="1"/>
        <v>{"valorA":"freezer","valorB":69}</v>
      </c>
      <c r="E188" s="8" t="str">
        <f t="shared" si="2"/>
        <v>freezer</v>
      </c>
      <c r="F188" s="8"/>
      <c r="G188" s="8" t="str">
        <f t="shared" si="3"/>
        <v>69</v>
      </c>
      <c r="H188" s="9">
        <f t="shared" si="4"/>
        <v>69</v>
      </c>
      <c r="I188" s="6" t="str">
        <f>IFERROR(__xludf.DUMMYFUNCTION("MAX(FILTER($H:$H,$E:$E=F188))"),"#N/A")</f>
        <v>#N/A</v>
      </c>
    </row>
    <row r="189">
      <c r="A189" s="4"/>
      <c r="C189" s="4" t="s">
        <v>1869</v>
      </c>
      <c r="D189" s="4" t="str">
        <f t="shared" si="1"/>
        <v>{"valorA":"freezer","valorB":70}</v>
      </c>
      <c r="E189" s="8" t="str">
        <f t="shared" si="2"/>
        <v>freezer</v>
      </c>
      <c r="F189" s="8"/>
      <c r="G189" s="8" t="str">
        <f t="shared" si="3"/>
        <v>70</v>
      </c>
      <c r="H189" s="9">
        <f t="shared" si="4"/>
        <v>70</v>
      </c>
      <c r="I189" s="6" t="str">
        <f>IFERROR(__xludf.DUMMYFUNCTION("MAX(FILTER($H:$H,$E:$E=F189))"),"#N/A")</f>
        <v>#N/A</v>
      </c>
    </row>
    <row r="190">
      <c r="A190" s="4"/>
      <c r="C190" s="4" t="s">
        <v>1870</v>
      </c>
      <c r="D190" s="4" t="str">
        <f t="shared" si="1"/>
        <v>{"valorA":"freezer","valorB":71}</v>
      </c>
      <c r="E190" s="8" t="str">
        <f t="shared" si="2"/>
        <v>freezer</v>
      </c>
      <c r="F190" s="8"/>
      <c r="G190" s="8" t="str">
        <f t="shared" si="3"/>
        <v>71</v>
      </c>
      <c r="H190" s="9">
        <f t="shared" si="4"/>
        <v>71</v>
      </c>
      <c r="I190" s="6" t="str">
        <f>IFERROR(__xludf.DUMMYFUNCTION("MAX(FILTER($H:$H,$E:$E=F190))"),"#N/A")</f>
        <v>#N/A</v>
      </c>
    </row>
    <row r="191">
      <c r="A191" s="4"/>
      <c r="C191" s="4" t="s">
        <v>1813</v>
      </c>
      <c r="D191" s="4" t="str">
        <f t="shared" si="1"/>
        <v>{"valorA":"ar condicionado","valorB":54}</v>
      </c>
      <c r="E191" s="8" t="str">
        <f t="shared" si="2"/>
        <v>ar condicionado</v>
      </c>
      <c r="F191" s="8"/>
      <c r="G191" s="8" t="str">
        <f t="shared" si="3"/>
        <v>54</v>
      </c>
      <c r="H191" s="9">
        <f t="shared" si="4"/>
        <v>54</v>
      </c>
      <c r="I191" s="6" t="str">
        <f>IFERROR(__xludf.DUMMYFUNCTION("MAX(FILTER($H:$H,$E:$E=F191))"),"#N/A")</f>
        <v>#N/A</v>
      </c>
    </row>
    <row r="192">
      <c r="A192" s="4"/>
      <c r="C192" s="4" t="s">
        <v>1814</v>
      </c>
      <c r="D192" s="4" t="str">
        <f t="shared" si="1"/>
        <v>{"valorA":"ar condicionado","valorB":55}</v>
      </c>
      <c r="E192" s="8" t="str">
        <f t="shared" si="2"/>
        <v>ar condicionado</v>
      </c>
      <c r="F192" s="8"/>
      <c r="G192" s="8" t="str">
        <f t="shared" si="3"/>
        <v>55</v>
      </c>
      <c r="H192" s="9">
        <f t="shared" si="4"/>
        <v>55</v>
      </c>
      <c r="I192" s="6" t="str">
        <f>IFERROR(__xludf.DUMMYFUNCTION("MAX(FILTER($H:$H,$E:$E=F192))"),"#N/A")</f>
        <v>#N/A</v>
      </c>
    </row>
    <row r="193">
      <c r="A193" s="4"/>
      <c r="C193" s="4" t="s">
        <v>1875</v>
      </c>
      <c r="D193" s="4" t="str">
        <f t="shared" si="1"/>
        <v>{"valorA":"freezer","valorB":72}</v>
      </c>
      <c r="E193" s="8" t="str">
        <f t="shared" si="2"/>
        <v>freezer</v>
      </c>
      <c r="F193" s="8"/>
      <c r="G193" s="8" t="str">
        <f t="shared" si="3"/>
        <v>72</v>
      </c>
      <c r="H193" s="9">
        <f t="shared" si="4"/>
        <v>72</v>
      </c>
      <c r="I193" s="6" t="str">
        <f>IFERROR(__xludf.DUMMYFUNCTION("MAX(FILTER($H:$H,$E:$E=F193))"),"#N/A")</f>
        <v>#N/A</v>
      </c>
    </row>
    <row r="194">
      <c r="A194" s="4"/>
      <c r="C194" s="4" t="s">
        <v>1876</v>
      </c>
      <c r="D194" s="4" t="str">
        <f t="shared" si="1"/>
        <v>{"valorA":"freezer","valorB":73}</v>
      </c>
      <c r="E194" s="8" t="str">
        <f t="shared" si="2"/>
        <v>freezer</v>
      </c>
      <c r="F194" s="8"/>
      <c r="G194" s="8" t="str">
        <f t="shared" si="3"/>
        <v>73</v>
      </c>
      <c r="H194" s="9">
        <f t="shared" si="4"/>
        <v>73</v>
      </c>
      <c r="I194" s="6" t="str">
        <f>IFERROR(__xludf.DUMMYFUNCTION("MAX(FILTER($H:$H,$E:$E=F194))"),"#N/A")</f>
        <v>#N/A</v>
      </c>
    </row>
    <row r="195">
      <c r="A195" s="4"/>
      <c r="C195" s="4" t="s">
        <v>1818</v>
      </c>
      <c r="D195" s="4" t="str">
        <f t="shared" si="1"/>
        <v>{"valorA":"ar condicionado","valorB":56}</v>
      </c>
      <c r="E195" s="8" t="str">
        <f t="shared" si="2"/>
        <v>ar condicionado</v>
      </c>
      <c r="F195" s="8"/>
      <c r="G195" s="8" t="str">
        <f t="shared" si="3"/>
        <v>56</v>
      </c>
      <c r="H195" s="9">
        <f t="shared" si="4"/>
        <v>56</v>
      </c>
      <c r="I195" s="6" t="str">
        <f>IFERROR(__xludf.DUMMYFUNCTION("MAX(FILTER($H:$H,$E:$E=F195))"),"#N/A")</f>
        <v>#N/A</v>
      </c>
    </row>
    <row r="196">
      <c r="A196" s="4"/>
      <c r="C196" s="4" t="s">
        <v>1825</v>
      </c>
      <c r="D196" s="4" t="str">
        <f t="shared" si="1"/>
        <v>{"valorA":"ar condicionado","valorB":57}</v>
      </c>
      <c r="E196" s="8" t="str">
        <f t="shared" si="2"/>
        <v>ar condicionado</v>
      </c>
      <c r="F196" s="8"/>
      <c r="G196" s="8" t="str">
        <f t="shared" si="3"/>
        <v>57</v>
      </c>
      <c r="H196" s="9">
        <f t="shared" si="4"/>
        <v>57</v>
      </c>
      <c r="I196" s="6" t="str">
        <f>IFERROR(__xludf.DUMMYFUNCTION("MAX(FILTER($H:$H,$E:$E=F196))"),"#N/A")</f>
        <v>#N/A</v>
      </c>
    </row>
    <row r="197">
      <c r="A197" s="4"/>
      <c r="C197" s="4" t="s">
        <v>1848</v>
      </c>
      <c r="D197" s="4" t="str">
        <f t="shared" si="1"/>
        <v>{"valorA":"microondas","valorB":66}</v>
      </c>
      <c r="E197" s="8" t="str">
        <f t="shared" si="2"/>
        <v>microondas</v>
      </c>
      <c r="F197" s="8"/>
      <c r="G197" s="8" t="str">
        <f t="shared" si="3"/>
        <v>66</v>
      </c>
      <c r="H197" s="9">
        <f t="shared" si="4"/>
        <v>66</v>
      </c>
      <c r="I197" s="6" t="str">
        <f>IFERROR(__xludf.DUMMYFUNCTION("MAX(FILTER($H:$H,$E:$E=F197))"),"#N/A")</f>
        <v>#N/A</v>
      </c>
    </row>
    <row r="198">
      <c r="A198" s="4"/>
      <c r="C198" s="4" t="s">
        <v>1851</v>
      </c>
      <c r="D198" s="4" t="str">
        <f t="shared" si="1"/>
        <v>{"valorA":"microondas","valorB":67}</v>
      </c>
      <c r="E198" s="8" t="str">
        <f t="shared" si="2"/>
        <v>microondas</v>
      </c>
      <c r="F198" s="8"/>
      <c r="G198" s="8" t="str">
        <f t="shared" si="3"/>
        <v>67</v>
      </c>
      <c r="H198" s="9">
        <f t="shared" si="4"/>
        <v>67</v>
      </c>
      <c r="I198" s="6" t="str">
        <f>IFERROR(__xludf.DUMMYFUNCTION("MAX(FILTER($H:$H,$E:$E=F198))"),"#N/A")</f>
        <v>#N/A</v>
      </c>
    </row>
    <row r="199">
      <c r="A199" s="4"/>
      <c r="C199" s="4" t="s">
        <v>1877</v>
      </c>
      <c r="D199" s="4" t="str">
        <f t="shared" si="1"/>
        <v>{"valorA":"freezer","valorB":74}</v>
      </c>
      <c r="E199" s="8" t="str">
        <f t="shared" si="2"/>
        <v>freezer</v>
      </c>
      <c r="F199" s="8"/>
      <c r="G199" s="8" t="str">
        <f t="shared" si="3"/>
        <v>74</v>
      </c>
      <c r="H199" s="9">
        <f t="shared" si="4"/>
        <v>74</v>
      </c>
      <c r="I199" s="6" t="str">
        <f>IFERROR(__xludf.DUMMYFUNCTION("MAX(FILTER($H:$H,$E:$E=F199))"),"#N/A")</f>
        <v>#N/A</v>
      </c>
    </row>
    <row r="200">
      <c r="A200" s="4"/>
      <c r="C200" s="4" t="s">
        <v>1833</v>
      </c>
      <c r="D200" s="4" t="str">
        <f t="shared" si="1"/>
        <v>{"valorA":"ar condicionado","valorB":58}</v>
      </c>
      <c r="E200" s="8" t="str">
        <f t="shared" si="2"/>
        <v>ar condicionado</v>
      </c>
      <c r="F200" s="8"/>
      <c r="G200" s="8" t="str">
        <f t="shared" si="3"/>
        <v>58</v>
      </c>
      <c r="H200" s="9">
        <f t="shared" si="4"/>
        <v>58</v>
      </c>
      <c r="I200" s="6" t="str">
        <f>IFERROR(__xludf.DUMMYFUNCTION("MAX(FILTER($H:$H,$E:$E=F200))"),"#N/A")</f>
        <v>#N/A</v>
      </c>
    </row>
    <row r="201">
      <c r="A201" s="4"/>
      <c r="C201" s="4" t="s">
        <v>1836</v>
      </c>
      <c r="D201" s="4" t="str">
        <f t="shared" si="1"/>
        <v>{"valorA":"ar condicionado","valorB":59}</v>
      </c>
      <c r="E201" s="8" t="str">
        <f t="shared" si="2"/>
        <v>ar condicionado</v>
      </c>
      <c r="F201" s="8"/>
      <c r="G201" s="8" t="str">
        <f t="shared" si="3"/>
        <v>59</v>
      </c>
      <c r="H201" s="9">
        <f t="shared" si="4"/>
        <v>59</v>
      </c>
      <c r="I201" s="6" t="str">
        <f>IFERROR(__xludf.DUMMYFUNCTION("MAX(FILTER($H:$H,$E:$E=F201))"),"#N/A")</f>
        <v>#N/A</v>
      </c>
    </row>
    <row r="202">
      <c r="A202" s="4"/>
      <c r="C202" s="4" t="s">
        <v>1842</v>
      </c>
      <c r="D202" s="4" t="str">
        <f t="shared" si="1"/>
        <v>{"valorA":"ar condicionado","valorB":60}</v>
      </c>
      <c r="E202" s="8" t="str">
        <f t="shared" si="2"/>
        <v>ar condicionado</v>
      </c>
      <c r="F202" s="8"/>
      <c r="G202" s="8" t="str">
        <f t="shared" si="3"/>
        <v>60</v>
      </c>
      <c r="H202" s="9">
        <f t="shared" si="4"/>
        <v>60</v>
      </c>
      <c r="I202" s="6" t="str">
        <f>IFERROR(__xludf.DUMMYFUNCTION("MAX(FILTER($H:$H,$E:$E=F202))"),"#N/A")</f>
        <v>#N/A</v>
      </c>
    </row>
    <row r="203">
      <c r="A203" s="4"/>
      <c r="C203" s="4" t="s">
        <v>1843</v>
      </c>
      <c r="D203" s="4" t="str">
        <f t="shared" si="1"/>
        <v>{"valorA":"ar condicionado","valorB":61}</v>
      </c>
      <c r="E203" s="8" t="str">
        <f t="shared" si="2"/>
        <v>ar condicionado</v>
      </c>
      <c r="F203" s="8"/>
      <c r="G203" s="8" t="str">
        <f t="shared" si="3"/>
        <v>61</v>
      </c>
      <c r="H203" s="9">
        <f t="shared" si="4"/>
        <v>61</v>
      </c>
      <c r="I203" s="6" t="str">
        <f>IFERROR(__xludf.DUMMYFUNCTION("MAX(FILTER($H:$H,$E:$E=F203))"),"#N/A")</f>
        <v>#N/A</v>
      </c>
    </row>
    <row r="204">
      <c r="A204" s="4"/>
      <c r="C204" s="4" t="s">
        <v>1852</v>
      </c>
      <c r="D204" s="4" t="str">
        <f t="shared" si="1"/>
        <v>{"valorA":"microondas","valorB":68}</v>
      </c>
      <c r="E204" s="8" t="str">
        <f t="shared" si="2"/>
        <v>microondas</v>
      </c>
      <c r="F204" s="8"/>
      <c r="G204" s="8" t="str">
        <f t="shared" si="3"/>
        <v>68</v>
      </c>
      <c r="H204" s="9">
        <f t="shared" si="4"/>
        <v>68</v>
      </c>
      <c r="I204" s="6" t="str">
        <f>IFERROR(__xludf.DUMMYFUNCTION("MAX(FILTER($H:$H,$E:$E=F204))"),"#N/A")</f>
        <v>#N/A</v>
      </c>
    </row>
    <row r="205">
      <c r="A205" s="4"/>
      <c r="C205" s="4" t="s">
        <v>1853</v>
      </c>
      <c r="D205" s="4" t="str">
        <f t="shared" si="1"/>
        <v>{"valorA":"microondas","valorB":69}</v>
      </c>
      <c r="E205" s="8" t="str">
        <f t="shared" si="2"/>
        <v>microondas</v>
      </c>
      <c r="F205" s="8"/>
      <c r="G205" s="8" t="str">
        <f t="shared" si="3"/>
        <v>69</v>
      </c>
      <c r="H205" s="9">
        <f t="shared" si="4"/>
        <v>69</v>
      </c>
      <c r="I205" s="6" t="str">
        <f>IFERROR(__xludf.DUMMYFUNCTION("MAX(FILTER($H:$H,$E:$E=F205))"),"#N/A")</f>
        <v>#N/A</v>
      </c>
    </row>
    <row r="206">
      <c r="A206" s="4"/>
      <c r="C206" s="4" t="s">
        <v>1854</v>
      </c>
      <c r="D206" s="4" t="str">
        <f t="shared" si="1"/>
        <v>{"valorA":"microondas","valorB":70}</v>
      </c>
      <c r="E206" s="8" t="str">
        <f t="shared" si="2"/>
        <v>microondas</v>
      </c>
      <c r="F206" s="8"/>
      <c r="G206" s="8" t="str">
        <f t="shared" si="3"/>
        <v>70</v>
      </c>
      <c r="H206" s="9">
        <f t="shared" si="4"/>
        <v>70</v>
      </c>
      <c r="I206" s="6" t="str">
        <f>IFERROR(__xludf.DUMMYFUNCTION("MAX(FILTER($H:$H,$E:$E=F206))"),"#N/A")</f>
        <v>#N/A</v>
      </c>
    </row>
    <row r="207">
      <c r="A207" s="4"/>
      <c r="C207" s="4" t="s">
        <v>1844</v>
      </c>
      <c r="D207" s="4" t="str">
        <f t="shared" si="1"/>
        <v>{"valorA":"ar condicionado","valorB":62}</v>
      </c>
      <c r="E207" s="8" t="str">
        <f t="shared" si="2"/>
        <v>ar condicionado</v>
      </c>
      <c r="F207" s="8"/>
      <c r="G207" s="8" t="str">
        <f t="shared" si="3"/>
        <v>62</v>
      </c>
      <c r="H207" s="9">
        <f t="shared" si="4"/>
        <v>62</v>
      </c>
      <c r="I207" s="6" t="str">
        <f>IFERROR(__xludf.DUMMYFUNCTION("MAX(FILTER($H:$H,$E:$E=F207))"),"#N/A")</f>
        <v>#N/A</v>
      </c>
    </row>
    <row r="208">
      <c r="A208" s="4"/>
      <c r="C208" s="4" t="s">
        <v>1846</v>
      </c>
      <c r="D208" s="4" t="str">
        <f t="shared" si="1"/>
        <v>{"valorA":"ar condicionado","valorB":63}</v>
      </c>
      <c r="E208" s="8" t="str">
        <f t="shared" si="2"/>
        <v>ar condicionado</v>
      </c>
      <c r="F208" s="8"/>
      <c r="G208" s="8" t="str">
        <f t="shared" si="3"/>
        <v>63</v>
      </c>
      <c r="H208" s="9">
        <f t="shared" si="4"/>
        <v>63</v>
      </c>
      <c r="I208" s="6" t="str">
        <f>IFERROR(__xludf.DUMMYFUNCTION("MAX(FILTER($H:$H,$E:$E=F208))"),"#N/A")</f>
        <v>#N/A</v>
      </c>
    </row>
    <row r="209">
      <c r="A209" s="4"/>
      <c r="C209" s="4" t="s">
        <v>1860</v>
      </c>
      <c r="D209" s="4" t="str">
        <f t="shared" si="1"/>
        <v>{"valorA":"microondas","valorB":71}</v>
      </c>
      <c r="E209" s="8" t="str">
        <f t="shared" si="2"/>
        <v>microondas</v>
      </c>
      <c r="F209" s="8"/>
      <c r="G209" s="8" t="str">
        <f t="shared" si="3"/>
        <v>71</v>
      </c>
      <c r="H209" s="9">
        <f t="shared" si="4"/>
        <v>71</v>
      </c>
      <c r="I209" s="6" t="str">
        <f>IFERROR(__xludf.DUMMYFUNCTION("MAX(FILTER($H:$H,$E:$E=F209))"),"#N/A")</f>
        <v>#N/A</v>
      </c>
    </row>
    <row r="210">
      <c r="A210" s="4"/>
      <c r="C210" s="4" t="s">
        <v>1847</v>
      </c>
      <c r="D210" s="4" t="str">
        <f t="shared" si="1"/>
        <v>{"valorA":"ar condicionado","valorB":64}</v>
      </c>
      <c r="E210" s="8" t="str">
        <f t="shared" si="2"/>
        <v>ar condicionado</v>
      </c>
      <c r="F210" s="8"/>
      <c r="G210" s="8" t="str">
        <f t="shared" si="3"/>
        <v>64</v>
      </c>
      <c r="H210" s="9">
        <f t="shared" si="4"/>
        <v>64</v>
      </c>
      <c r="I210" s="6" t="str">
        <f>IFERROR(__xludf.DUMMYFUNCTION("MAX(FILTER($H:$H,$E:$E=F210))"),"#N/A")</f>
        <v>#N/A</v>
      </c>
    </row>
    <row r="211">
      <c r="A211" s="4"/>
      <c r="C211" s="4" t="s">
        <v>1863</v>
      </c>
      <c r="D211" s="4" t="str">
        <f t="shared" si="1"/>
        <v>{"valorA":"microondas","valorB":72}</v>
      </c>
      <c r="E211" s="8" t="str">
        <f t="shared" si="2"/>
        <v>microondas</v>
      </c>
      <c r="F211" s="8"/>
      <c r="G211" s="8" t="str">
        <f t="shared" si="3"/>
        <v>72</v>
      </c>
      <c r="H211" s="9">
        <f t="shared" si="4"/>
        <v>72</v>
      </c>
      <c r="I211" s="6" t="str">
        <f>IFERROR(__xludf.DUMMYFUNCTION("MAX(FILTER($H:$H,$E:$E=F211))"),"#N/A")</f>
        <v>#N/A</v>
      </c>
    </row>
    <row r="212">
      <c r="A212" s="4"/>
      <c r="C212" s="4" t="s">
        <v>1849</v>
      </c>
      <c r="D212" s="4" t="str">
        <f t="shared" si="1"/>
        <v>{"valorA":"ar condicionado","valorB":65}</v>
      </c>
      <c r="E212" s="8" t="str">
        <f t="shared" si="2"/>
        <v>ar condicionado</v>
      </c>
      <c r="F212" s="8"/>
      <c r="G212" s="8" t="str">
        <f t="shared" si="3"/>
        <v>65</v>
      </c>
      <c r="H212" s="9">
        <f t="shared" si="4"/>
        <v>65</v>
      </c>
      <c r="I212" s="6" t="str">
        <f>IFERROR(__xludf.DUMMYFUNCTION("MAX(FILTER($H:$H,$E:$E=F212))"),"#N/A")</f>
        <v>#N/A</v>
      </c>
    </row>
    <row r="213">
      <c r="A213" s="4"/>
      <c r="C213" s="4" t="s">
        <v>1885</v>
      </c>
      <c r="D213" s="4" t="str">
        <f t="shared" si="1"/>
        <v>{"valorA":"freezer","valorB":75}</v>
      </c>
      <c r="E213" s="8" t="str">
        <f t="shared" si="2"/>
        <v>freezer</v>
      </c>
      <c r="F213" s="8"/>
      <c r="G213" s="8" t="str">
        <f t="shared" si="3"/>
        <v>75</v>
      </c>
      <c r="H213" s="9">
        <f t="shared" si="4"/>
        <v>75</v>
      </c>
      <c r="I213" s="6" t="str">
        <f>IFERROR(__xludf.DUMMYFUNCTION("MAX(FILTER($H:$H,$E:$E=F213))"),"#N/A")</f>
        <v>#N/A</v>
      </c>
    </row>
    <row r="214">
      <c r="A214" s="4"/>
      <c r="C214" s="4" t="s">
        <v>1865</v>
      </c>
      <c r="D214" s="4" t="str">
        <f t="shared" si="1"/>
        <v>{"valorA":"microondas","valorB":73}</v>
      </c>
      <c r="E214" s="8" t="str">
        <f t="shared" si="2"/>
        <v>microondas</v>
      </c>
      <c r="F214" s="8"/>
      <c r="G214" s="8" t="str">
        <f t="shared" si="3"/>
        <v>73</v>
      </c>
      <c r="H214" s="9">
        <f t="shared" si="4"/>
        <v>73</v>
      </c>
      <c r="I214" s="6" t="str">
        <f>IFERROR(__xludf.DUMMYFUNCTION("MAX(FILTER($H:$H,$E:$E=F214))"),"#N/A")</f>
        <v>#N/A</v>
      </c>
    </row>
    <row r="215">
      <c r="A215" s="4"/>
      <c r="C215" s="4" t="s">
        <v>1886</v>
      </c>
      <c r="D215" s="4" t="str">
        <f t="shared" si="1"/>
        <v>{"valorA":"freezer","valorB":76}</v>
      </c>
      <c r="E215" s="8" t="str">
        <f t="shared" si="2"/>
        <v>freezer</v>
      </c>
      <c r="F215" s="8"/>
      <c r="G215" s="8" t="str">
        <f t="shared" si="3"/>
        <v>76</v>
      </c>
      <c r="H215" s="9">
        <f t="shared" si="4"/>
        <v>76</v>
      </c>
      <c r="I215" s="6" t="str">
        <f>IFERROR(__xludf.DUMMYFUNCTION("MAX(FILTER($H:$H,$E:$E=F215))"),"#N/A")</f>
        <v>#N/A</v>
      </c>
    </row>
    <row r="216">
      <c r="A216" s="4"/>
      <c r="C216" s="4" t="s">
        <v>1873</v>
      </c>
      <c r="D216" s="4" t="str">
        <f t="shared" si="1"/>
        <v>{"valorA":"microondas","valorB":74}</v>
      </c>
      <c r="E216" s="8" t="str">
        <f t="shared" si="2"/>
        <v>microondas</v>
      </c>
      <c r="F216" s="8"/>
      <c r="G216" s="8" t="str">
        <f t="shared" si="3"/>
        <v>74</v>
      </c>
      <c r="H216" s="9">
        <f t="shared" si="4"/>
        <v>74</v>
      </c>
      <c r="I216" s="6" t="str">
        <f>IFERROR(__xludf.DUMMYFUNCTION("MAX(FILTER($H:$H,$E:$E=F216))"),"#N/A")</f>
        <v>#N/A</v>
      </c>
    </row>
    <row r="217">
      <c r="A217" s="4"/>
      <c r="C217" s="4" t="s">
        <v>1881</v>
      </c>
      <c r="D217" s="4" t="str">
        <f t="shared" si="1"/>
        <v>{"valorA":"microondas","valorB":75}</v>
      </c>
      <c r="E217" s="8" t="str">
        <f t="shared" si="2"/>
        <v>microondas</v>
      </c>
      <c r="F217" s="8"/>
      <c r="G217" s="8" t="str">
        <f t="shared" si="3"/>
        <v>75</v>
      </c>
      <c r="H217" s="9">
        <f t="shared" si="4"/>
        <v>75</v>
      </c>
      <c r="I217" s="6" t="str">
        <f>IFERROR(__xludf.DUMMYFUNCTION("MAX(FILTER($H:$H,$E:$E=F217))"),"#N/A")</f>
        <v>#N/A</v>
      </c>
    </row>
    <row r="218">
      <c r="A218" s="4"/>
      <c r="C218" s="4" t="s">
        <v>1890</v>
      </c>
      <c r="D218" s="4" t="str">
        <f t="shared" si="1"/>
        <v>{"valorA":"freezer","valorB":77}</v>
      </c>
      <c r="E218" s="8" t="str">
        <f t="shared" si="2"/>
        <v>freezer</v>
      </c>
      <c r="F218" s="8"/>
      <c r="G218" s="8" t="str">
        <f t="shared" si="3"/>
        <v>77</v>
      </c>
      <c r="H218" s="9">
        <f t="shared" si="4"/>
        <v>77</v>
      </c>
      <c r="I218" s="6" t="str">
        <f>IFERROR(__xludf.DUMMYFUNCTION("MAX(FILTER($H:$H,$E:$E=F218))"),"#N/A")</f>
        <v>#N/A</v>
      </c>
    </row>
    <row r="219">
      <c r="A219" s="4"/>
      <c r="C219" s="4" t="s">
        <v>1882</v>
      </c>
      <c r="D219" s="4" t="str">
        <f t="shared" si="1"/>
        <v>{"valorA":"microondas","valorB":76}</v>
      </c>
      <c r="E219" s="8" t="str">
        <f t="shared" si="2"/>
        <v>microondas</v>
      </c>
      <c r="F219" s="8"/>
      <c r="G219" s="8" t="str">
        <f t="shared" si="3"/>
        <v>76</v>
      </c>
      <c r="H219" s="9">
        <f t="shared" si="4"/>
        <v>76</v>
      </c>
      <c r="I219" s="6" t="str">
        <f>IFERROR(__xludf.DUMMYFUNCTION("MAX(FILTER($H:$H,$E:$E=F219))"),"#N/A")</f>
        <v>#N/A</v>
      </c>
    </row>
    <row r="220">
      <c r="A220" s="4"/>
      <c r="C220" s="4" t="s">
        <v>1855</v>
      </c>
      <c r="D220" s="4" t="str">
        <f t="shared" si="1"/>
        <v>{"valorA":"ar condicionado","valorB":66}</v>
      </c>
      <c r="E220" s="8" t="str">
        <f t="shared" si="2"/>
        <v>ar condicionado</v>
      </c>
      <c r="F220" s="8"/>
      <c r="G220" s="8" t="str">
        <f t="shared" si="3"/>
        <v>66</v>
      </c>
      <c r="H220" s="9">
        <f t="shared" si="4"/>
        <v>66</v>
      </c>
      <c r="I220" s="6" t="str">
        <f>IFERROR(__xludf.DUMMYFUNCTION("MAX(FILTER($H:$H,$E:$E=F220))"),"#N/A")</f>
        <v>#N/A</v>
      </c>
    </row>
    <row r="221">
      <c r="A221" s="4"/>
      <c r="C221" s="4" t="s">
        <v>1891</v>
      </c>
      <c r="D221" s="4" t="str">
        <f t="shared" si="1"/>
        <v>{"valorA":"freezer","valorB":78}</v>
      </c>
      <c r="E221" s="8" t="str">
        <f t="shared" si="2"/>
        <v>freezer</v>
      </c>
      <c r="F221" s="8"/>
      <c r="G221" s="8" t="str">
        <f t="shared" si="3"/>
        <v>78</v>
      </c>
      <c r="H221" s="9">
        <f t="shared" si="4"/>
        <v>78</v>
      </c>
      <c r="I221" s="6" t="str">
        <f>IFERROR(__xludf.DUMMYFUNCTION("MAX(FILTER($H:$H,$E:$E=F221))"),"#N/A")</f>
        <v>#N/A</v>
      </c>
    </row>
    <row r="222">
      <c r="A222" s="4"/>
      <c r="C222" s="4" t="s">
        <v>1866</v>
      </c>
      <c r="D222" s="4" t="str">
        <f t="shared" si="1"/>
        <v>{"valorA":"ar condicionado","valorB":67}</v>
      </c>
      <c r="E222" s="8" t="str">
        <f t="shared" si="2"/>
        <v>ar condicionado</v>
      </c>
      <c r="F222" s="8"/>
      <c r="G222" s="8" t="str">
        <f t="shared" si="3"/>
        <v>67</v>
      </c>
      <c r="H222" s="9">
        <f t="shared" si="4"/>
        <v>67</v>
      </c>
      <c r="I222" s="6" t="str">
        <f>IFERROR(__xludf.DUMMYFUNCTION("MAX(FILTER($H:$H,$E:$E=F222))"),"#N/A")</f>
        <v>#N/A</v>
      </c>
    </row>
    <row r="223">
      <c r="A223" s="4"/>
      <c r="C223" s="4" t="s">
        <v>1887</v>
      </c>
      <c r="D223" s="4" t="str">
        <f t="shared" si="1"/>
        <v>{"valorA":"microondas","valorB":77}</v>
      </c>
      <c r="E223" s="8" t="str">
        <f t="shared" si="2"/>
        <v>microondas</v>
      </c>
      <c r="F223" s="8"/>
      <c r="G223" s="8" t="str">
        <f t="shared" si="3"/>
        <v>77</v>
      </c>
      <c r="H223" s="9">
        <f t="shared" si="4"/>
        <v>77</v>
      </c>
      <c r="I223" s="6" t="str">
        <f>IFERROR(__xludf.DUMMYFUNCTION("MAX(FILTER($H:$H,$E:$E=F223))"),"#N/A")</f>
        <v>#N/A</v>
      </c>
    </row>
    <row r="224">
      <c r="A224" s="4"/>
      <c r="C224" s="4" t="s">
        <v>1867</v>
      </c>
      <c r="D224" s="4" t="str">
        <f t="shared" si="1"/>
        <v>{"valorA":"ar condicionado","valorB":68}</v>
      </c>
      <c r="E224" s="8" t="str">
        <f t="shared" si="2"/>
        <v>ar condicionado</v>
      </c>
      <c r="F224" s="8"/>
      <c r="G224" s="8" t="str">
        <f t="shared" si="3"/>
        <v>68</v>
      </c>
      <c r="H224" s="9">
        <f t="shared" si="4"/>
        <v>68</v>
      </c>
      <c r="I224" s="6" t="str">
        <f>IFERROR(__xludf.DUMMYFUNCTION("MAX(FILTER($H:$H,$E:$E=F224))"),"#N/A")</f>
        <v>#N/A</v>
      </c>
    </row>
    <row r="225">
      <c r="A225" s="4"/>
      <c r="C225" s="4" t="s">
        <v>1888</v>
      </c>
      <c r="D225" s="4" t="str">
        <f t="shared" si="1"/>
        <v>{"valorA":"microondas","valorB":78}</v>
      </c>
      <c r="E225" s="8" t="str">
        <f t="shared" si="2"/>
        <v>microondas</v>
      </c>
      <c r="F225" s="8"/>
      <c r="G225" s="8" t="str">
        <f t="shared" si="3"/>
        <v>78</v>
      </c>
      <c r="H225" s="9">
        <f t="shared" si="4"/>
        <v>78</v>
      </c>
      <c r="I225" s="6" t="str">
        <f>IFERROR(__xludf.DUMMYFUNCTION("MAX(FILTER($H:$H,$E:$E=F225))"),"#N/A")</f>
        <v>#N/A</v>
      </c>
    </row>
    <row r="226">
      <c r="A226" s="4"/>
      <c r="C226" s="4" t="s">
        <v>1868</v>
      </c>
      <c r="D226" s="4" t="str">
        <f t="shared" si="1"/>
        <v>{"valorA":"ar condicionado","valorB":69}</v>
      </c>
      <c r="E226" s="8" t="str">
        <f t="shared" si="2"/>
        <v>ar condicionado</v>
      </c>
      <c r="F226" s="8"/>
      <c r="G226" s="8" t="str">
        <f t="shared" si="3"/>
        <v>69</v>
      </c>
      <c r="H226" s="9">
        <f t="shared" si="4"/>
        <v>69</v>
      </c>
      <c r="I226" s="6" t="str">
        <f>IFERROR(__xludf.DUMMYFUNCTION("MAX(FILTER($H:$H,$E:$E=F226))"),"#N/A")</f>
        <v>#N/A</v>
      </c>
    </row>
    <row r="227">
      <c r="A227" s="4"/>
      <c r="C227" s="4" t="s">
        <v>1894</v>
      </c>
      <c r="D227" s="4" t="str">
        <f t="shared" si="1"/>
        <v>{"valorA":"freezer","valorB":79}</v>
      </c>
      <c r="E227" s="8" t="str">
        <f t="shared" si="2"/>
        <v>freezer</v>
      </c>
      <c r="F227" s="8"/>
      <c r="G227" s="8" t="str">
        <f t="shared" si="3"/>
        <v>79</v>
      </c>
      <c r="H227" s="9">
        <f t="shared" si="4"/>
        <v>79</v>
      </c>
      <c r="I227" s="6" t="str">
        <f>IFERROR(__xludf.DUMMYFUNCTION("MAX(FILTER($H:$H,$E:$E=F227))"),"#N/A")</f>
        <v>#N/A</v>
      </c>
    </row>
    <row r="228">
      <c r="A228" s="4"/>
      <c r="C228" s="4" t="s">
        <v>1895</v>
      </c>
      <c r="D228" s="4" t="str">
        <f t="shared" si="1"/>
        <v>{"valorA":"freezer","valorB":80}</v>
      </c>
      <c r="E228" s="8" t="str">
        <f t="shared" si="2"/>
        <v>freezer</v>
      </c>
      <c r="F228" s="8"/>
      <c r="G228" s="8" t="str">
        <f t="shared" si="3"/>
        <v>80</v>
      </c>
      <c r="H228" s="9">
        <f t="shared" si="4"/>
        <v>80</v>
      </c>
      <c r="I228" s="6" t="str">
        <f>IFERROR(__xludf.DUMMYFUNCTION("MAX(FILTER($H:$H,$E:$E=F228))"),"#N/A")</f>
        <v>#N/A</v>
      </c>
    </row>
    <row r="229">
      <c r="A229" s="4"/>
      <c r="C229" s="4" t="s">
        <v>1871</v>
      </c>
      <c r="D229" s="4" t="str">
        <f t="shared" si="1"/>
        <v>{"valorA":"ar condicionado","valorB":70}</v>
      </c>
      <c r="E229" s="8" t="str">
        <f t="shared" si="2"/>
        <v>ar condicionado</v>
      </c>
      <c r="F229" s="8"/>
      <c r="G229" s="8" t="str">
        <f t="shared" si="3"/>
        <v>70</v>
      </c>
      <c r="H229" s="9">
        <f t="shared" si="4"/>
        <v>70</v>
      </c>
      <c r="I229" s="6" t="str">
        <f>IFERROR(__xludf.DUMMYFUNCTION("MAX(FILTER($H:$H,$E:$E=F229))"),"#N/A")</f>
        <v>#N/A</v>
      </c>
    </row>
    <row r="230">
      <c r="A230" s="4"/>
      <c r="C230" s="4" t="s">
        <v>1892</v>
      </c>
      <c r="D230" s="4" t="str">
        <f t="shared" si="1"/>
        <v>{"valorA":"microondas","valorB":79}</v>
      </c>
      <c r="E230" s="8" t="str">
        <f t="shared" si="2"/>
        <v>microondas</v>
      </c>
      <c r="F230" s="8"/>
      <c r="G230" s="8" t="str">
        <f t="shared" si="3"/>
        <v>79</v>
      </c>
      <c r="H230" s="9">
        <f t="shared" si="4"/>
        <v>79</v>
      </c>
      <c r="I230" s="6" t="str">
        <f>IFERROR(__xludf.DUMMYFUNCTION("MAX(FILTER($H:$H,$E:$E=F230))"),"#N/A")</f>
        <v>#N/A</v>
      </c>
    </row>
    <row r="231">
      <c r="A231" s="4"/>
      <c r="C231" s="4" t="s">
        <v>1898</v>
      </c>
      <c r="D231" s="4" t="str">
        <f t="shared" si="1"/>
        <v>{"valorA":"freezer","valorB":81}</v>
      </c>
      <c r="E231" s="8" t="str">
        <f t="shared" si="2"/>
        <v>freezer</v>
      </c>
      <c r="F231" s="8"/>
      <c r="G231" s="8" t="str">
        <f t="shared" si="3"/>
        <v>81</v>
      </c>
      <c r="H231" s="9">
        <f t="shared" si="4"/>
        <v>81</v>
      </c>
      <c r="I231" s="6" t="str">
        <f>IFERROR(__xludf.DUMMYFUNCTION("MAX(FILTER($H:$H,$E:$E=F231))"),"#N/A")</f>
        <v>#N/A</v>
      </c>
    </row>
    <row r="232">
      <c r="A232" s="4"/>
      <c r="C232" s="4" t="s">
        <v>1897</v>
      </c>
      <c r="D232" s="4" t="str">
        <f t="shared" si="1"/>
        <v>{"valorA":"microondas","valorB":80}</v>
      </c>
      <c r="E232" s="8" t="str">
        <f t="shared" si="2"/>
        <v>microondas</v>
      </c>
      <c r="F232" s="8"/>
      <c r="G232" s="8" t="str">
        <f t="shared" si="3"/>
        <v>80</v>
      </c>
      <c r="H232" s="9">
        <f t="shared" si="4"/>
        <v>80</v>
      </c>
      <c r="I232" s="6" t="str">
        <f>IFERROR(__xludf.DUMMYFUNCTION("MAX(FILTER($H:$H,$E:$E=F232))"),"#N/A")</f>
        <v>#N/A</v>
      </c>
    </row>
    <row r="233">
      <c r="A233" s="4"/>
      <c r="C233" s="4" t="s">
        <v>1899</v>
      </c>
      <c r="D233" s="4" t="str">
        <f t="shared" si="1"/>
        <v>{"valorA":"microondas","valorB":81}</v>
      </c>
      <c r="E233" s="8" t="str">
        <f t="shared" si="2"/>
        <v>microondas</v>
      </c>
      <c r="F233" s="8"/>
      <c r="G233" s="8" t="str">
        <f t="shared" si="3"/>
        <v>81</v>
      </c>
      <c r="H233" s="9">
        <f t="shared" si="4"/>
        <v>81</v>
      </c>
      <c r="I233" s="6" t="str">
        <f>IFERROR(__xludf.DUMMYFUNCTION("MAX(FILTER($H:$H,$E:$E=F233))"),"#N/A")</f>
        <v>#N/A</v>
      </c>
    </row>
    <row r="234">
      <c r="A234" s="4"/>
      <c r="C234" s="4" t="s">
        <v>1905</v>
      </c>
      <c r="D234" s="4" t="str">
        <f t="shared" si="1"/>
        <v>{"valorA":"freezer","valorB":82}</v>
      </c>
      <c r="E234" s="8" t="str">
        <f t="shared" si="2"/>
        <v>freezer</v>
      </c>
      <c r="F234" s="8"/>
      <c r="G234" s="8" t="str">
        <f t="shared" si="3"/>
        <v>82</v>
      </c>
      <c r="H234" s="9">
        <f t="shared" si="4"/>
        <v>82</v>
      </c>
      <c r="I234" s="6" t="str">
        <f>IFERROR(__xludf.DUMMYFUNCTION("MAX(FILTER($H:$H,$E:$E=F234))"),"#N/A")</f>
        <v>#N/A</v>
      </c>
    </row>
    <row r="235">
      <c r="A235" s="4"/>
      <c r="C235" s="4" t="s">
        <v>1907</v>
      </c>
      <c r="D235" s="4" t="str">
        <f t="shared" si="1"/>
        <v>{"valorA":"freezer","valorB":83}</v>
      </c>
      <c r="E235" s="8" t="str">
        <f t="shared" si="2"/>
        <v>freezer</v>
      </c>
      <c r="F235" s="8"/>
      <c r="G235" s="8" t="str">
        <f t="shared" si="3"/>
        <v>83</v>
      </c>
      <c r="H235" s="9">
        <f t="shared" si="4"/>
        <v>83</v>
      </c>
      <c r="I235" s="6" t="str">
        <f>IFERROR(__xludf.DUMMYFUNCTION("MAX(FILTER($H:$H,$E:$E=F235))"),"#N/A")</f>
        <v>#N/A</v>
      </c>
    </row>
    <row r="236">
      <c r="A236" s="4"/>
      <c r="C236" s="4" t="s">
        <v>1903</v>
      </c>
      <c r="D236" s="4" t="str">
        <f t="shared" si="1"/>
        <v>{"valorA":"microondas","valorB":82}</v>
      </c>
      <c r="E236" s="8" t="str">
        <f t="shared" si="2"/>
        <v>microondas</v>
      </c>
      <c r="F236" s="8"/>
      <c r="G236" s="8" t="str">
        <f t="shared" si="3"/>
        <v>82</v>
      </c>
      <c r="H236" s="9">
        <f t="shared" si="4"/>
        <v>82</v>
      </c>
      <c r="I236" s="6" t="str">
        <f>IFERROR(__xludf.DUMMYFUNCTION("MAX(FILTER($H:$H,$E:$E=F236))"),"#N/A")</f>
        <v>#N/A</v>
      </c>
    </row>
    <row r="237">
      <c r="A237" s="4"/>
      <c r="C237" s="4" t="s">
        <v>1910</v>
      </c>
      <c r="D237" s="4" t="str">
        <f t="shared" si="1"/>
        <v>{"valorA":"microondas","valorB":83}</v>
      </c>
      <c r="E237" s="8" t="str">
        <f t="shared" si="2"/>
        <v>microondas</v>
      </c>
      <c r="F237" s="8"/>
      <c r="G237" s="8" t="str">
        <f t="shared" si="3"/>
        <v>83</v>
      </c>
      <c r="H237" s="9">
        <f t="shared" si="4"/>
        <v>83</v>
      </c>
      <c r="I237" s="6" t="str">
        <f>IFERROR(__xludf.DUMMYFUNCTION("MAX(FILTER($H:$H,$E:$E=F237))"),"#N/A")</f>
        <v>#N/A</v>
      </c>
    </row>
    <row r="238">
      <c r="A238" s="4"/>
      <c r="C238" s="4" t="s">
        <v>1872</v>
      </c>
      <c r="D238" s="4" t="str">
        <f t="shared" si="1"/>
        <v>{"valorA":"ar condicionado","valorB":71}</v>
      </c>
      <c r="E238" s="8" t="str">
        <f t="shared" si="2"/>
        <v>ar condicionado</v>
      </c>
      <c r="F238" s="8"/>
      <c r="G238" s="8" t="str">
        <f t="shared" si="3"/>
        <v>71</v>
      </c>
      <c r="H238" s="9">
        <f t="shared" si="4"/>
        <v>71</v>
      </c>
      <c r="I238" s="6" t="str">
        <f>IFERROR(__xludf.DUMMYFUNCTION("MAX(FILTER($H:$H,$E:$E=F238))"),"#N/A")</f>
        <v>#N/A</v>
      </c>
    </row>
    <row r="239">
      <c r="A239" s="4"/>
      <c r="C239" s="4" t="s">
        <v>1911</v>
      </c>
      <c r="D239" s="4" t="str">
        <f t="shared" si="1"/>
        <v>{"valorA":"freezer","valorB":84}</v>
      </c>
      <c r="E239" s="8" t="str">
        <f t="shared" si="2"/>
        <v>freezer</v>
      </c>
      <c r="F239" s="8"/>
      <c r="G239" s="8" t="str">
        <f t="shared" si="3"/>
        <v>84</v>
      </c>
      <c r="H239" s="9">
        <f t="shared" si="4"/>
        <v>84</v>
      </c>
      <c r="I239" s="6" t="str">
        <f>IFERROR(__xludf.DUMMYFUNCTION("MAX(FILTER($H:$H,$E:$E=F239))"),"#N/A")</f>
        <v>#N/A</v>
      </c>
    </row>
    <row r="240">
      <c r="A240" s="4"/>
      <c r="C240" s="4" t="s">
        <v>1912</v>
      </c>
      <c r="D240" s="4" t="str">
        <f t="shared" si="1"/>
        <v>{"valorA":"freezer","valorB":85}</v>
      </c>
      <c r="E240" s="8" t="str">
        <f t="shared" si="2"/>
        <v>freezer</v>
      </c>
      <c r="F240" s="8"/>
      <c r="G240" s="8" t="str">
        <f t="shared" si="3"/>
        <v>85</v>
      </c>
      <c r="H240" s="9">
        <f t="shared" si="4"/>
        <v>85</v>
      </c>
      <c r="I240" s="6" t="str">
        <f>IFERROR(__xludf.DUMMYFUNCTION("MAX(FILTER($H:$H,$E:$E=F240))"),"#N/A")</f>
        <v>#N/A</v>
      </c>
    </row>
    <row r="241">
      <c r="A241" s="4"/>
      <c r="C241" s="4" t="s">
        <v>1919</v>
      </c>
      <c r="D241" s="4" t="str">
        <f t="shared" si="1"/>
        <v>{"valorA":"microondas","valorB":84}</v>
      </c>
      <c r="E241" s="8" t="str">
        <f t="shared" si="2"/>
        <v>microondas</v>
      </c>
      <c r="F241" s="8"/>
      <c r="G241" s="8" t="str">
        <f t="shared" si="3"/>
        <v>84</v>
      </c>
      <c r="H241" s="9">
        <f t="shared" si="4"/>
        <v>84</v>
      </c>
      <c r="I241" s="6" t="str">
        <f>IFERROR(__xludf.DUMMYFUNCTION("MAX(FILTER($H:$H,$E:$E=F241))"),"#N/A")</f>
        <v>#N/A</v>
      </c>
    </row>
    <row r="242">
      <c r="A242" s="4"/>
      <c r="C242" s="4" t="s">
        <v>1874</v>
      </c>
      <c r="D242" s="4" t="str">
        <f t="shared" si="1"/>
        <v>{"valorA":"ar condicionado","valorB":72}</v>
      </c>
      <c r="E242" s="8" t="str">
        <f t="shared" si="2"/>
        <v>ar condicionado</v>
      </c>
      <c r="F242" s="8"/>
      <c r="G242" s="8" t="str">
        <f t="shared" si="3"/>
        <v>72</v>
      </c>
      <c r="H242" s="9">
        <f t="shared" si="4"/>
        <v>72</v>
      </c>
      <c r="I242" s="6" t="str">
        <f>IFERROR(__xludf.DUMMYFUNCTION("MAX(FILTER($H:$H,$E:$E=F242))"),"#N/A")</f>
        <v>#N/A</v>
      </c>
    </row>
    <row r="243">
      <c r="A243" s="4"/>
      <c r="C243" s="4" t="s">
        <v>1878</v>
      </c>
      <c r="D243" s="4" t="str">
        <f t="shared" si="1"/>
        <v>{"valorA":"ar condicionado","valorB":73}</v>
      </c>
      <c r="E243" s="8" t="str">
        <f t="shared" si="2"/>
        <v>ar condicionado</v>
      </c>
      <c r="F243" s="8"/>
      <c r="G243" s="8" t="str">
        <f t="shared" si="3"/>
        <v>73</v>
      </c>
      <c r="H243" s="9">
        <f t="shared" si="4"/>
        <v>73</v>
      </c>
      <c r="I243" s="6" t="str">
        <f>IFERROR(__xludf.DUMMYFUNCTION("MAX(FILTER($H:$H,$E:$E=F243))"),"#N/A")</f>
        <v>#N/A</v>
      </c>
    </row>
    <row r="244">
      <c r="A244" s="4"/>
      <c r="C244" s="4" t="s">
        <v>1879</v>
      </c>
      <c r="D244" s="4" t="str">
        <f t="shared" si="1"/>
        <v>{"valorA":"ar condicionado","valorB":74}</v>
      </c>
      <c r="E244" s="8" t="str">
        <f t="shared" si="2"/>
        <v>ar condicionado</v>
      </c>
      <c r="F244" s="8"/>
      <c r="G244" s="8" t="str">
        <f t="shared" si="3"/>
        <v>74</v>
      </c>
      <c r="H244" s="9">
        <f t="shared" si="4"/>
        <v>74</v>
      </c>
      <c r="I244" s="6" t="str">
        <f>IFERROR(__xludf.DUMMYFUNCTION("MAX(FILTER($H:$H,$E:$E=F244))"),"#N/A")</f>
        <v>#N/A</v>
      </c>
    </row>
    <row r="245">
      <c r="A245" s="4"/>
      <c r="C245" s="4" t="s">
        <v>1925</v>
      </c>
      <c r="D245" s="4" t="str">
        <f t="shared" si="1"/>
        <v>{"valorA":"microondas","valorB":85}</v>
      </c>
      <c r="E245" s="8" t="str">
        <f t="shared" si="2"/>
        <v>microondas</v>
      </c>
      <c r="F245" s="8"/>
      <c r="G245" s="8" t="str">
        <f t="shared" si="3"/>
        <v>85</v>
      </c>
      <c r="H245" s="9">
        <f t="shared" si="4"/>
        <v>85</v>
      </c>
      <c r="I245" s="6" t="str">
        <f>IFERROR(__xludf.DUMMYFUNCTION("MAX(FILTER($H:$H,$E:$E=F245))"),"#N/A")</f>
        <v>#N/A</v>
      </c>
    </row>
    <row r="246">
      <c r="A246" s="4"/>
      <c r="C246" s="4" t="s">
        <v>1880</v>
      </c>
      <c r="D246" s="4" t="str">
        <f t="shared" si="1"/>
        <v>{"valorA":"ar condicionado","valorB":75}</v>
      </c>
      <c r="E246" s="8" t="str">
        <f t="shared" si="2"/>
        <v>ar condicionado</v>
      </c>
      <c r="F246" s="8"/>
      <c r="G246" s="8" t="str">
        <f t="shared" si="3"/>
        <v>75</v>
      </c>
      <c r="H246" s="9">
        <f t="shared" si="4"/>
        <v>75</v>
      </c>
      <c r="I246" s="6" t="str">
        <f>IFERROR(__xludf.DUMMYFUNCTION("MAX(FILTER($H:$H,$E:$E=F246))"),"#N/A")</f>
        <v>#N/A</v>
      </c>
    </row>
    <row r="247">
      <c r="A247" s="4"/>
      <c r="C247" s="4" t="s">
        <v>1883</v>
      </c>
      <c r="D247" s="4" t="str">
        <f t="shared" si="1"/>
        <v>{"valorA":"ar condicionado","valorB":76}</v>
      </c>
      <c r="E247" s="8" t="str">
        <f t="shared" si="2"/>
        <v>ar condicionado</v>
      </c>
      <c r="F247" s="8"/>
      <c r="G247" s="8" t="str">
        <f t="shared" si="3"/>
        <v>76</v>
      </c>
      <c r="H247" s="9">
        <f t="shared" si="4"/>
        <v>76</v>
      </c>
      <c r="I247" s="6" t="str">
        <f>IFERROR(__xludf.DUMMYFUNCTION("MAX(FILTER($H:$H,$E:$E=F247))"),"#N/A")</f>
        <v>#N/A</v>
      </c>
    </row>
    <row r="248">
      <c r="A248" s="4"/>
      <c r="C248" s="4" t="s">
        <v>1913</v>
      </c>
      <c r="D248" s="4" t="str">
        <f t="shared" si="1"/>
        <v>{"valorA":"freezer","valorB":86}</v>
      </c>
      <c r="E248" s="8" t="str">
        <f t="shared" si="2"/>
        <v>freezer</v>
      </c>
      <c r="F248" s="8"/>
      <c r="G248" s="8" t="str">
        <f t="shared" si="3"/>
        <v>86</v>
      </c>
      <c r="H248" s="9">
        <f t="shared" si="4"/>
        <v>86</v>
      </c>
      <c r="I248" s="6" t="str">
        <f>IFERROR(__xludf.DUMMYFUNCTION("MAX(FILTER($H:$H,$E:$E=F248))"),"#N/A")</f>
        <v>#N/A</v>
      </c>
    </row>
    <row r="249">
      <c r="A249" s="4"/>
      <c r="C249" s="4" t="s">
        <v>1884</v>
      </c>
      <c r="D249" s="4" t="str">
        <f t="shared" si="1"/>
        <v>{"valorA":"ar condicionado","valorB":77}</v>
      </c>
      <c r="E249" s="8" t="str">
        <f t="shared" si="2"/>
        <v>ar condicionado</v>
      </c>
      <c r="F249" s="8"/>
      <c r="G249" s="8" t="str">
        <f t="shared" si="3"/>
        <v>77</v>
      </c>
      <c r="H249" s="9">
        <f t="shared" si="4"/>
        <v>77</v>
      </c>
      <c r="I249" s="6" t="str">
        <f>IFERROR(__xludf.DUMMYFUNCTION("MAX(FILTER($H:$H,$E:$E=F249))"),"#N/A")</f>
        <v>#N/A</v>
      </c>
    </row>
    <row r="250">
      <c r="A250" s="4"/>
      <c r="C250" s="4" t="s">
        <v>1914</v>
      </c>
      <c r="D250" s="4" t="str">
        <f t="shared" si="1"/>
        <v>{"valorA":"freezer","valorB":87}</v>
      </c>
      <c r="E250" s="8" t="str">
        <f t="shared" si="2"/>
        <v>freezer</v>
      </c>
      <c r="F250" s="8"/>
      <c r="G250" s="8" t="str">
        <f t="shared" si="3"/>
        <v>87</v>
      </c>
      <c r="H250" s="9">
        <f t="shared" si="4"/>
        <v>87</v>
      </c>
      <c r="I250" s="6" t="str">
        <f>IFERROR(__xludf.DUMMYFUNCTION("MAX(FILTER($H:$H,$E:$E=F250))"),"#N/A")</f>
        <v>#N/A</v>
      </c>
    </row>
    <row r="251">
      <c r="A251" s="4"/>
      <c r="C251" s="4" t="s">
        <v>1928</v>
      </c>
      <c r="D251" s="4" t="str">
        <f t="shared" si="1"/>
        <v>{"valorA":"microondas","valorB":86}</v>
      </c>
      <c r="E251" s="8" t="str">
        <f t="shared" si="2"/>
        <v>microondas</v>
      </c>
      <c r="F251" s="8"/>
      <c r="G251" s="8" t="str">
        <f t="shared" si="3"/>
        <v>86</v>
      </c>
      <c r="H251" s="9">
        <f t="shared" si="4"/>
        <v>86</v>
      </c>
      <c r="I251" s="6" t="str">
        <f>IFERROR(__xludf.DUMMYFUNCTION("MAX(FILTER($H:$H,$E:$E=F251))"),"#N/A")</f>
        <v>#N/A</v>
      </c>
    </row>
    <row r="252">
      <c r="A252" s="4"/>
      <c r="C252" s="4" t="s">
        <v>1916</v>
      </c>
      <c r="D252" s="4" t="str">
        <f t="shared" si="1"/>
        <v>{"valorA":"freezer","valorB":88}</v>
      </c>
      <c r="E252" s="8" t="str">
        <f t="shared" si="2"/>
        <v>freezer</v>
      </c>
      <c r="F252" s="8"/>
      <c r="G252" s="8" t="str">
        <f t="shared" si="3"/>
        <v>88</v>
      </c>
      <c r="H252" s="9">
        <f t="shared" si="4"/>
        <v>88</v>
      </c>
      <c r="I252" s="6" t="str">
        <f>IFERROR(__xludf.DUMMYFUNCTION("MAX(FILTER($H:$H,$E:$E=F252))"),"#N/A")</f>
        <v>#N/A</v>
      </c>
    </row>
    <row r="253">
      <c r="A253" s="4"/>
      <c r="C253" s="4" t="s">
        <v>1917</v>
      </c>
      <c r="D253" s="4" t="str">
        <f t="shared" si="1"/>
        <v>{"valorA":"freezer","valorB":89}</v>
      </c>
      <c r="E253" s="8" t="str">
        <f t="shared" si="2"/>
        <v>freezer</v>
      </c>
      <c r="F253" s="8"/>
      <c r="G253" s="8" t="str">
        <f t="shared" si="3"/>
        <v>89</v>
      </c>
      <c r="H253" s="9">
        <f t="shared" si="4"/>
        <v>89</v>
      </c>
      <c r="I253" s="6" t="str">
        <f>IFERROR(__xludf.DUMMYFUNCTION("MAX(FILTER($H:$H,$E:$E=F253))"),"#N/A")</f>
        <v>#N/A</v>
      </c>
    </row>
    <row r="254">
      <c r="A254" s="4"/>
      <c r="C254" s="4" t="s">
        <v>1930</v>
      </c>
      <c r="D254" s="4" t="str">
        <f t="shared" si="1"/>
        <v>{"valorA":"microondas","valorB":87}</v>
      </c>
      <c r="E254" s="8" t="str">
        <f t="shared" si="2"/>
        <v>microondas</v>
      </c>
      <c r="F254" s="8"/>
      <c r="G254" s="8" t="str">
        <f t="shared" si="3"/>
        <v>87</v>
      </c>
      <c r="H254" s="9">
        <f t="shared" si="4"/>
        <v>87</v>
      </c>
      <c r="I254" s="6" t="str">
        <f>IFERROR(__xludf.DUMMYFUNCTION("MAX(FILTER($H:$H,$E:$E=F254))"),"#N/A")</f>
        <v>#N/A</v>
      </c>
    </row>
    <row r="255">
      <c r="A255" s="4"/>
      <c r="C255" s="4" t="s">
        <v>1889</v>
      </c>
      <c r="D255" s="4" t="str">
        <f t="shared" si="1"/>
        <v>{"valorA":"ar condicionado","valorB":78}</v>
      </c>
      <c r="E255" s="8" t="str">
        <f t="shared" si="2"/>
        <v>ar condicionado</v>
      </c>
      <c r="F255" s="8"/>
      <c r="G255" s="8" t="str">
        <f t="shared" si="3"/>
        <v>78</v>
      </c>
      <c r="H255" s="9">
        <f t="shared" si="4"/>
        <v>78</v>
      </c>
      <c r="I255" s="6" t="str">
        <f>IFERROR(__xludf.DUMMYFUNCTION("MAX(FILTER($H:$H,$E:$E=F255))"),"#N/A")</f>
        <v>#N/A</v>
      </c>
    </row>
    <row r="256">
      <c r="A256" s="4"/>
      <c r="C256" s="4" t="s">
        <v>1918</v>
      </c>
      <c r="D256" s="4" t="str">
        <f t="shared" si="1"/>
        <v>{"valorA":"freezer","valorB":90}</v>
      </c>
      <c r="E256" s="8" t="str">
        <f t="shared" si="2"/>
        <v>freezer</v>
      </c>
      <c r="F256" s="8"/>
      <c r="G256" s="8" t="str">
        <f t="shared" si="3"/>
        <v>90</v>
      </c>
      <c r="H256" s="9">
        <f t="shared" si="4"/>
        <v>90</v>
      </c>
      <c r="I256" s="6" t="str">
        <f>IFERROR(__xludf.DUMMYFUNCTION("MAX(FILTER($H:$H,$E:$E=F256))"),"#N/A")</f>
        <v>#N/A</v>
      </c>
    </row>
    <row r="257">
      <c r="A257" s="4"/>
      <c r="C257" s="4" t="s">
        <v>1893</v>
      </c>
      <c r="D257" s="4" t="str">
        <f t="shared" si="1"/>
        <v>{"valorA":"ar condicionado","valorB":79}</v>
      </c>
      <c r="E257" s="8" t="str">
        <f t="shared" si="2"/>
        <v>ar condicionado</v>
      </c>
      <c r="F257" s="8"/>
      <c r="G257" s="8" t="str">
        <f t="shared" si="3"/>
        <v>79</v>
      </c>
      <c r="H257" s="9">
        <f t="shared" si="4"/>
        <v>79</v>
      </c>
      <c r="I257" s="6" t="str">
        <f>IFERROR(__xludf.DUMMYFUNCTION("MAX(FILTER($H:$H,$E:$E=F257))"),"#N/A")</f>
        <v>#N/A</v>
      </c>
    </row>
    <row r="258">
      <c r="A258" s="4"/>
      <c r="C258" s="4" t="s">
        <v>1896</v>
      </c>
      <c r="D258" s="4" t="str">
        <f t="shared" si="1"/>
        <v>{"valorA":"ar condicionado","valorB":80}</v>
      </c>
      <c r="E258" s="8" t="str">
        <f t="shared" si="2"/>
        <v>ar condicionado</v>
      </c>
      <c r="F258" s="8"/>
      <c r="G258" s="8" t="str">
        <f t="shared" si="3"/>
        <v>80</v>
      </c>
      <c r="H258" s="9">
        <f t="shared" si="4"/>
        <v>80</v>
      </c>
      <c r="I258" s="6" t="str">
        <f>IFERROR(__xludf.DUMMYFUNCTION("MAX(FILTER($H:$H,$E:$E=F258))"),"#N/A")</f>
        <v>#N/A</v>
      </c>
    </row>
    <row r="259">
      <c r="A259" s="4"/>
      <c r="C259" s="4" t="s">
        <v>1932</v>
      </c>
      <c r="D259" s="4" t="str">
        <f t="shared" si="1"/>
        <v>{"valorA":"microondas","valorB":88}</v>
      </c>
      <c r="E259" s="8" t="str">
        <f t="shared" si="2"/>
        <v>microondas</v>
      </c>
      <c r="F259" s="8"/>
      <c r="G259" s="8" t="str">
        <f t="shared" si="3"/>
        <v>88</v>
      </c>
      <c r="H259" s="9">
        <f t="shared" si="4"/>
        <v>88</v>
      </c>
      <c r="I259" s="6" t="str">
        <f>IFERROR(__xludf.DUMMYFUNCTION("MAX(FILTER($H:$H,$E:$E=F259))"),"#N/A")</f>
        <v>#N/A</v>
      </c>
    </row>
    <row r="260">
      <c r="A260" s="4"/>
      <c r="C260" s="4" t="s">
        <v>1900</v>
      </c>
      <c r="D260" s="4" t="str">
        <f t="shared" si="1"/>
        <v>{"valorA":"ar condicionado","valorB":81}</v>
      </c>
      <c r="E260" s="8" t="str">
        <f t="shared" si="2"/>
        <v>ar condicionado</v>
      </c>
      <c r="F260" s="8"/>
      <c r="G260" s="8" t="str">
        <f t="shared" si="3"/>
        <v>81</v>
      </c>
      <c r="H260" s="9">
        <f t="shared" si="4"/>
        <v>81</v>
      </c>
      <c r="I260" s="6" t="str">
        <f>IFERROR(__xludf.DUMMYFUNCTION("MAX(FILTER($H:$H,$E:$E=F260))"),"#N/A")</f>
        <v>#N/A</v>
      </c>
    </row>
    <row r="261">
      <c r="A261" s="4"/>
      <c r="C261" s="4" t="s">
        <v>1936</v>
      </c>
      <c r="D261" s="4" t="str">
        <f t="shared" si="1"/>
        <v>{"valorA":"microondas","valorB":89}</v>
      </c>
      <c r="E261" s="8" t="str">
        <f t="shared" si="2"/>
        <v>microondas</v>
      </c>
      <c r="F261" s="8"/>
      <c r="G261" s="8" t="str">
        <f t="shared" si="3"/>
        <v>89</v>
      </c>
      <c r="H261" s="9">
        <f t="shared" si="4"/>
        <v>89</v>
      </c>
      <c r="I261" s="6" t="str">
        <f>IFERROR(__xludf.DUMMYFUNCTION("MAX(FILTER($H:$H,$E:$E=F261))"),"#N/A")</f>
        <v>#N/A</v>
      </c>
    </row>
    <row r="262">
      <c r="A262" s="4"/>
      <c r="C262" s="4" t="s">
        <v>1901</v>
      </c>
      <c r="D262" s="4" t="str">
        <f t="shared" si="1"/>
        <v>{"valorA":"ar condicionado","valorB":82}</v>
      </c>
      <c r="E262" s="8" t="str">
        <f t="shared" si="2"/>
        <v>ar condicionado</v>
      </c>
      <c r="F262" s="8"/>
      <c r="G262" s="8" t="str">
        <f t="shared" si="3"/>
        <v>82</v>
      </c>
      <c r="H262" s="9">
        <f t="shared" si="4"/>
        <v>82</v>
      </c>
      <c r="I262" s="6" t="str">
        <f>IFERROR(__xludf.DUMMYFUNCTION("MAX(FILTER($H:$H,$E:$E=F262))"),"#N/A")</f>
        <v>#N/A</v>
      </c>
    </row>
    <row r="263">
      <c r="A263" s="4"/>
      <c r="C263" s="4" t="s">
        <v>1902</v>
      </c>
      <c r="D263" s="4" t="str">
        <f t="shared" si="1"/>
        <v>{"valorA":"ar condicionado","valorB":83}</v>
      </c>
      <c r="E263" s="8" t="str">
        <f t="shared" si="2"/>
        <v>ar condicionado</v>
      </c>
      <c r="F263" s="8"/>
      <c r="G263" s="8" t="str">
        <f t="shared" si="3"/>
        <v>83</v>
      </c>
      <c r="H263" s="9">
        <f t="shared" si="4"/>
        <v>83</v>
      </c>
      <c r="I263" s="6" t="str">
        <f>IFERROR(__xludf.DUMMYFUNCTION("MAX(FILTER($H:$H,$E:$E=F263))"),"#N/A")</f>
        <v>#N/A</v>
      </c>
    </row>
    <row r="264">
      <c r="A264" s="4"/>
      <c r="C264" s="4" t="s">
        <v>1938</v>
      </c>
      <c r="D264" s="4" t="str">
        <f t="shared" si="1"/>
        <v>{"valorA":"microondas","valorB":90}</v>
      </c>
      <c r="E264" s="8" t="str">
        <f t="shared" si="2"/>
        <v>microondas</v>
      </c>
      <c r="F264" s="8"/>
      <c r="G264" s="8" t="str">
        <f t="shared" si="3"/>
        <v>90</v>
      </c>
      <c r="H264" s="9">
        <f t="shared" si="4"/>
        <v>90</v>
      </c>
      <c r="I264" s="6" t="str">
        <f>IFERROR(__xludf.DUMMYFUNCTION("MAX(FILTER($H:$H,$E:$E=F264))"),"#N/A")</f>
        <v>#N/A</v>
      </c>
    </row>
    <row r="265">
      <c r="A265" s="4"/>
      <c r="C265" s="4" t="s">
        <v>1939</v>
      </c>
      <c r="D265" s="4" t="str">
        <f t="shared" si="1"/>
        <v>{"valorA":"microondas","valorB":91}</v>
      </c>
      <c r="E265" s="8" t="str">
        <f t="shared" si="2"/>
        <v>microondas</v>
      </c>
      <c r="F265" s="8"/>
      <c r="G265" s="8" t="str">
        <f t="shared" si="3"/>
        <v>91</v>
      </c>
      <c r="H265" s="9">
        <f t="shared" si="4"/>
        <v>91</v>
      </c>
      <c r="I265" s="6" t="str">
        <f>IFERROR(__xludf.DUMMYFUNCTION("MAX(FILTER($H:$H,$E:$E=F265))"),"#N/A")</f>
        <v>#N/A</v>
      </c>
    </row>
    <row r="266">
      <c r="A266" s="4"/>
      <c r="C266" s="4" t="s">
        <v>1920</v>
      </c>
      <c r="D266" s="4" t="str">
        <f t="shared" si="1"/>
        <v>{"valorA":"freezer","valorB":91}</v>
      </c>
      <c r="E266" s="8" t="str">
        <f t="shared" si="2"/>
        <v>freezer</v>
      </c>
      <c r="F266" s="8"/>
      <c r="G266" s="8" t="str">
        <f t="shared" si="3"/>
        <v>91</v>
      </c>
      <c r="H266" s="9">
        <f t="shared" si="4"/>
        <v>91</v>
      </c>
      <c r="I266" s="6" t="str">
        <f>IFERROR(__xludf.DUMMYFUNCTION("MAX(FILTER($H:$H,$E:$E=F266))"),"#N/A")</f>
        <v>#N/A</v>
      </c>
    </row>
    <row r="267">
      <c r="A267" s="4"/>
      <c r="C267" s="4" t="s">
        <v>1942</v>
      </c>
      <c r="D267" s="4" t="str">
        <f t="shared" si="1"/>
        <v>{"valorA":"microondas","valorB":92}</v>
      </c>
      <c r="E267" s="8" t="str">
        <f t="shared" si="2"/>
        <v>microondas</v>
      </c>
      <c r="F267" s="8"/>
      <c r="G267" s="8" t="str">
        <f t="shared" si="3"/>
        <v>92</v>
      </c>
      <c r="H267" s="9">
        <f t="shared" si="4"/>
        <v>92</v>
      </c>
      <c r="I267" s="6" t="str">
        <f>IFERROR(__xludf.DUMMYFUNCTION("MAX(FILTER($H:$H,$E:$E=F267))"),"#N/A")</f>
        <v>#N/A</v>
      </c>
    </row>
    <row r="268">
      <c r="A268" s="4"/>
      <c r="C268" s="4" t="s">
        <v>1904</v>
      </c>
      <c r="D268" s="4" t="str">
        <f t="shared" si="1"/>
        <v>{"valorA":"ar condicionado","valorB":84}</v>
      </c>
      <c r="E268" s="8" t="str">
        <f t="shared" si="2"/>
        <v>ar condicionado</v>
      </c>
      <c r="F268" s="8"/>
      <c r="G268" s="8" t="str">
        <f t="shared" si="3"/>
        <v>84</v>
      </c>
      <c r="H268" s="9">
        <f t="shared" si="4"/>
        <v>84</v>
      </c>
      <c r="I268" s="6" t="str">
        <f>IFERROR(__xludf.DUMMYFUNCTION("MAX(FILTER($H:$H,$E:$E=F268))"),"#N/A")</f>
        <v>#N/A</v>
      </c>
    </row>
    <row r="269">
      <c r="A269" s="4"/>
      <c r="C269" s="4" t="s">
        <v>1943</v>
      </c>
      <c r="D269" s="4" t="str">
        <f t="shared" si="1"/>
        <v>{"valorA":"microondas","valorB":93}</v>
      </c>
      <c r="E269" s="8" t="str">
        <f t="shared" si="2"/>
        <v>microondas</v>
      </c>
      <c r="F269" s="8"/>
      <c r="G269" s="8" t="str">
        <f t="shared" si="3"/>
        <v>93</v>
      </c>
      <c r="H269" s="9">
        <f t="shared" si="4"/>
        <v>93</v>
      </c>
      <c r="I269" s="6" t="str">
        <f>IFERROR(__xludf.DUMMYFUNCTION("MAX(FILTER($H:$H,$E:$E=F269))"),"#N/A")</f>
        <v>#N/A</v>
      </c>
    </row>
    <row r="270">
      <c r="A270" s="4"/>
      <c r="C270" s="4" t="s">
        <v>1906</v>
      </c>
      <c r="D270" s="4" t="str">
        <f t="shared" si="1"/>
        <v>{"valorA":"ar condicionado","valorB":85}</v>
      </c>
      <c r="E270" s="8" t="str">
        <f t="shared" si="2"/>
        <v>ar condicionado</v>
      </c>
      <c r="F270" s="8"/>
      <c r="G270" s="8" t="str">
        <f t="shared" si="3"/>
        <v>85</v>
      </c>
      <c r="H270" s="9">
        <f t="shared" si="4"/>
        <v>85</v>
      </c>
      <c r="I270" s="6" t="str">
        <f>IFERROR(__xludf.DUMMYFUNCTION("MAX(FILTER($H:$H,$E:$E=F270))"),"#N/A")</f>
        <v>#N/A</v>
      </c>
    </row>
    <row r="271">
      <c r="A271" s="4"/>
      <c r="C271" s="4" t="s">
        <v>1921</v>
      </c>
      <c r="D271" s="4" t="str">
        <f t="shared" si="1"/>
        <v>{"valorA":"freezer","valorB":92}</v>
      </c>
      <c r="E271" s="8" t="str">
        <f t="shared" si="2"/>
        <v>freezer</v>
      </c>
      <c r="F271" s="8"/>
      <c r="G271" s="8" t="str">
        <f t="shared" si="3"/>
        <v>92</v>
      </c>
      <c r="H271" s="9">
        <f t="shared" si="4"/>
        <v>92</v>
      </c>
      <c r="I271" s="6" t="str">
        <f>IFERROR(__xludf.DUMMYFUNCTION("MAX(FILTER($H:$H,$E:$E=F271))"),"#N/A")</f>
        <v>#N/A</v>
      </c>
    </row>
    <row r="272">
      <c r="A272" s="4"/>
      <c r="C272" s="4" t="s">
        <v>1952</v>
      </c>
      <c r="D272" s="4" t="str">
        <f t="shared" si="1"/>
        <v>{"valorA":"microondas","valorB":94}</v>
      </c>
      <c r="E272" s="8" t="str">
        <f t="shared" si="2"/>
        <v>microondas</v>
      </c>
      <c r="F272" s="8"/>
      <c r="G272" s="8" t="str">
        <f t="shared" si="3"/>
        <v>94</v>
      </c>
      <c r="H272" s="9">
        <f t="shared" si="4"/>
        <v>94</v>
      </c>
      <c r="I272" s="6" t="str">
        <f>IFERROR(__xludf.DUMMYFUNCTION("MAX(FILTER($H:$H,$E:$E=F272))"),"#N/A")</f>
        <v>#N/A</v>
      </c>
    </row>
    <row r="273">
      <c r="A273" s="4"/>
      <c r="C273" s="4" t="s">
        <v>1926</v>
      </c>
      <c r="D273" s="4" t="str">
        <f t="shared" si="1"/>
        <v>{"valorA":"freezer","valorB":93}</v>
      </c>
      <c r="E273" s="8" t="str">
        <f t="shared" si="2"/>
        <v>freezer</v>
      </c>
      <c r="F273" s="8"/>
      <c r="G273" s="8" t="str">
        <f t="shared" si="3"/>
        <v>93</v>
      </c>
      <c r="H273" s="9">
        <f t="shared" si="4"/>
        <v>93</v>
      </c>
      <c r="I273" s="6" t="str">
        <f>IFERROR(__xludf.DUMMYFUNCTION("MAX(FILTER($H:$H,$E:$E=F273))"),"#N/A")</f>
        <v>#N/A</v>
      </c>
    </row>
    <row r="274">
      <c r="A274" s="4"/>
      <c r="C274" s="4" t="s">
        <v>1908</v>
      </c>
      <c r="D274" s="4" t="str">
        <f t="shared" si="1"/>
        <v>{"valorA":"ar condicionado","valorB":86}</v>
      </c>
      <c r="E274" s="8" t="str">
        <f t="shared" si="2"/>
        <v>ar condicionado</v>
      </c>
      <c r="F274" s="8"/>
      <c r="G274" s="8" t="str">
        <f t="shared" si="3"/>
        <v>86</v>
      </c>
      <c r="H274" s="9">
        <f t="shared" si="4"/>
        <v>86</v>
      </c>
      <c r="I274" s="6" t="str">
        <f>IFERROR(__xludf.DUMMYFUNCTION("MAX(FILTER($H:$H,$E:$E=F274))"),"#N/A")</f>
        <v>#N/A</v>
      </c>
    </row>
    <row r="275">
      <c r="A275" s="4"/>
      <c r="C275" s="4" t="s">
        <v>1953</v>
      </c>
      <c r="D275" s="4" t="str">
        <f t="shared" si="1"/>
        <v>{"valorA":"microondas","valorB":95}</v>
      </c>
      <c r="E275" s="8" t="str">
        <f t="shared" si="2"/>
        <v>microondas</v>
      </c>
      <c r="F275" s="8"/>
      <c r="G275" s="8" t="str">
        <f t="shared" si="3"/>
        <v>95</v>
      </c>
      <c r="H275" s="9">
        <f t="shared" si="4"/>
        <v>95</v>
      </c>
      <c r="I275" s="6" t="str">
        <f>IFERROR(__xludf.DUMMYFUNCTION("MAX(FILTER($H:$H,$E:$E=F275))"),"#N/A")</f>
        <v>#N/A</v>
      </c>
    </row>
    <row r="276">
      <c r="A276" s="4"/>
      <c r="C276" s="4" t="s">
        <v>1909</v>
      </c>
      <c r="D276" s="4" t="str">
        <f t="shared" si="1"/>
        <v>{"valorA":"ar condicionado","valorB":87}</v>
      </c>
      <c r="E276" s="8" t="str">
        <f t="shared" si="2"/>
        <v>ar condicionado</v>
      </c>
      <c r="F276" s="8"/>
      <c r="G276" s="8" t="str">
        <f t="shared" si="3"/>
        <v>87</v>
      </c>
      <c r="H276" s="9">
        <f t="shared" si="4"/>
        <v>87</v>
      </c>
      <c r="I276" s="6" t="str">
        <f>IFERROR(__xludf.DUMMYFUNCTION("MAX(FILTER($H:$H,$E:$E=F276))"),"#N/A")</f>
        <v>#N/A</v>
      </c>
    </row>
    <row r="277">
      <c r="A277" s="4"/>
      <c r="C277" s="4" t="s">
        <v>1956</v>
      </c>
      <c r="D277" s="4" t="str">
        <f t="shared" si="1"/>
        <v>{"valorA":"microondas","valorB":96}</v>
      </c>
      <c r="E277" s="8" t="str">
        <f t="shared" si="2"/>
        <v>microondas</v>
      </c>
      <c r="F277" s="8"/>
      <c r="G277" s="8" t="str">
        <f t="shared" si="3"/>
        <v>96</v>
      </c>
      <c r="H277" s="9">
        <f t="shared" si="4"/>
        <v>96</v>
      </c>
      <c r="I277" s="6" t="str">
        <f>IFERROR(__xludf.DUMMYFUNCTION("MAX(FILTER($H:$H,$E:$E=F277))"),"#N/A")</f>
        <v>#N/A</v>
      </c>
    </row>
    <row r="278">
      <c r="A278" s="4"/>
      <c r="C278" s="4" t="s">
        <v>1915</v>
      </c>
      <c r="D278" s="4" t="str">
        <f t="shared" si="1"/>
        <v>{"valorA":"ar condicionado","valorB":88}</v>
      </c>
      <c r="E278" s="8" t="str">
        <f t="shared" si="2"/>
        <v>ar condicionado</v>
      </c>
      <c r="F278" s="8"/>
      <c r="G278" s="8" t="str">
        <f t="shared" si="3"/>
        <v>88</v>
      </c>
      <c r="H278" s="9">
        <f t="shared" si="4"/>
        <v>88</v>
      </c>
      <c r="I278" s="6" t="str">
        <f>IFERROR(__xludf.DUMMYFUNCTION("MAX(FILTER($H:$H,$E:$E=F278))"),"#N/A")</f>
        <v>#N/A</v>
      </c>
    </row>
    <row r="279">
      <c r="A279" s="4"/>
      <c r="C279" s="4" t="s">
        <v>1922</v>
      </c>
      <c r="D279" s="4" t="str">
        <f t="shared" si="1"/>
        <v>{"valorA":"ar condicionado","valorB":89}</v>
      </c>
      <c r="E279" s="8" t="str">
        <f t="shared" si="2"/>
        <v>ar condicionado</v>
      </c>
      <c r="F279" s="8"/>
      <c r="G279" s="8" t="str">
        <f t="shared" si="3"/>
        <v>89</v>
      </c>
      <c r="H279" s="9">
        <f t="shared" si="4"/>
        <v>89</v>
      </c>
      <c r="I279" s="6" t="str">
        <f>IFERROR(__xludf.DUMMYFUNCTION("MAX(FILTER($H:$H,$E:$E=F279))"),"#N/A")</f>
        <v>#N/A</v>
      </c>
    </row>
    <row r="280">
      <c r="A280" s="4"/>
      <c r="C280" s="4" t="s">
        <v>1927</v>
      </c>
      <c r="D280" s="4" t="str">
        <f t="shared" si="1"/>
        <v>{"valorA":"freezer","valorB":94}</v>
      </c>
      <c r="E280" s="8" t="str">
        <f t="shared" si="2"/>
        <v>freezer</v>
      </c>
      <c r="F280" s="8"/>
      <c r="G280" s="8" t="str">
        <f t="shared" si="3"/>
        <v>94</v>
      </c>
      <c r="H280" s="9">
        <f t="shared" si="4"/>
        <v>94</v>
      </c>
      <c r="I280" s="6" t="str">
        <f>IFERROR(__xludf.DUMMYFUNCTION("MAX(FILTER($H:$H,$E:$E=F280))"),"#N/A")</f>
        <v>#N/A</v>
      </c>
    </row>
    <row r="281">
      <c r="A281" s="4"/>
      <c r="C281" s="4" t="s">
        <v>1929</v>
      </c>
      <c r="D281" s="4" t="str">
        <f t="shared" si="1"/>
        <v>{"valorA":"freezer","valorB":95}</v>
      </c>
      <c r="E281" s="8" t="str">
        <f t="shared" si="2"/>
        <v>freezer</v>
      </c>
      <c r="F281" s="8"/>
      <c r="G281" s="8" t="str">
        <f t="shared" si="3"/>
        <v>95</v>
      </c>
      <c r="H281" s="9">
        <f t="shared" si="4"/>
        <v>95</v>
      </c>
      <c r="I281" s="6" t="str">
        <f>IFERROR(__xludf.DUMMYFUNCTION("MAX(FILTER($H:$H,$E:$E=F281))"),"#N/A")</f>
        <v>#N/A</v>
      </c>
    </row>
    <row r="282">
      <c r="A282" s="4"/>
      <c r="C282" s="4" t="s">
        <v>1931</v>
      </c>
      <c r="D282" s="4" t="str">
        <f t="shared" si="1"/>
        <v>{"valorA":"freezer","valorB":96}</v>
      </c>
      <c r="E282" s="8" t="str">
        <f t="shared" si="2"/>
        <v>freezer</v>
      </c>
      <c r="F282" s="8"/>
      <c r="G282" s="8" t="str">
        <f t="shared" si="3"/>
        <v>96</v>
      </c>
      <c r="H282" s="9">
        <f t="shared" si="4"/>
        <v>96</v>
      </c>
      <c r="I282" s="6" t="str">
        <f>IFERROR(__xludf.DUMMYFUNCTION("MAX(FILTER($H:$H,$E:$E=F282))"),"#N/A")</f>
        <v>#N/A</v>
      </c>
    </row>
    <row r="283">
      <c r="A283" s="4"/>
      <c r="C283" s="4" t="s">
        <v>1923</v>
      </c>
      <c r="D283" s="4" t="str">
        <f t="shared" si="1"/>
        <v>{"valorA":"ar condicionado","valorB":90}</v>
      </c>
      <c r="E283" s="8" t="str">
        <f t="shared" si="2"/>
        <v>ar condicionado</v>
      </c>
      <c r="F283" s="8"/>
      <c r="G283" s="8" t="str">
        <f t="shared" si="3"/>
        <v>90</v>
      </c>
      <c r="H283" s="9">
        <f t="shared" si="4"/>
        <v>90</v>
      </c>
      <c r="I283" s="6" t="str">
        <f>IFERROR(__xludf.DUMMYFUNCTION("MAX(FILTER($H:$H,$E:$E=F283))"),"#N/A")</f>
        <v>#N/A</v>
      </c>
    </row>
    <row r="284">
      <c r="A284" s="4"/>
      <c r="C284" s="4" t="s">
        <v>1935</v>
      </c>
      <c r="D284" s="4" t="str">
        <f t="shared" si="1"/>
        <v>{"valorA":"freezer","valorB":97}</v>
      </c>
      <c r="E284" s="8" t="str">
        <f t="shared" si="2"/>
        <v>freezer</v>
      </c>
      <c r="F284" s="8"/>
      <c r="G284" s="8" t="str">
        <f t="shared" si="3"/>
        <v>97</v>
      </c>
      <c r="H284" s="9">
        <f t="shared" si="4"/>
        <v>97</v>
      </c>
      <c r="I284" s="6" t="str">
        <f>IFERROR(__xludf.DUMMYFUNCTION("MAX(FILTER($H:$H,$E:$E=F284))"),"#N/A")</f>
        <v>#N/A</v>
      </c>
    </row>
    <row r="285">
      <c r="A285" s="4"/>
      <c r="C285" s="4" t="s">
        <v>1960</v>
      </c>
      <c r="D285" s="4" t="str">
        <f t="shared" si="1"/>
        <v>{"valorA":"microondas","valorB":97}</v>
      </c>
      <c r="E285" s="8" t="str">
        <f t="shared" si="2"/>
        <v>microondas</v>
      </c>
      <c r="F285" s="8"/>
      <c r="G285" s="8" t="str">
        <f t="shared" si="3"/>
        <v>97</v>
      </c>
      <c r="H285" s="9">
        <f t="shared" si="4"/>
        <v>97</v>
      </c>
      <c r="I285" s="6" t="str">
        <f>IFERROR(__xludf.DUMMYFUNCTION("MAX(FILTER($H:$H,$E:$E=F285))"),"#N/A")</f>
        <v>#N/A</v>
      </c>
    </row>
    <row r="286">
      <c r="A286" s="4"/>
      <c r="C286" s="4" t="s">
        <v>1924</v>
      </c>
      <c r="D286" s="4" t="str">
        <f t="shared" si="1"/>
        <v>{"valorA":"ar condicionado","valorB":91}</v>
      </c>
      <c r="E286" s="8" t="str">
        <f t="shared" si="2"/>
        <v>ar condicionado</v>
      </c>
      <c r="F286" s="8"/>
      <c r="G286" s="8" t="str">
        <f t="shared" si="3"/>
        <v>91</v>
      </c>
      <c r="H286" s="9">
        <f t="shared" si="4"/>
        <v>91</v>
      </c>
      <c r="I286" s="6" t="str">
        <f>IFERROR(__xludf.DUMMYFUNCTION("MAX(FILTER($H:$H,$E:$E=F286))"),"#N/A")</f>
        <v>#N/A</v>
      </c>
    </row>
    <row r="287">
      <c r="A287" s="4"/>
      <c r="C287" s="4" t="s">
        <v>1933</v>
      </c>
      <c r="D287" s="4" t="str">
        <f t="shared" si="1"/>
        <v>{"valorA":"ar condicionado","valorB":92}</v>
      </c>
      <c r="E287" s="8" t="str">
        <f t="shared" si="2"/>
        <v>ar condicionado</v>
      </c>
      <c r="F287" s="8"/>
      <c r="G287" s="8" t="str">
        <f t="shared" si="3"/>
        <v>92</v>
      </c>
      <c r="H287" s="9">
        <f t="shared" si="4"/>
        <v>92</v>
      </c>
      <c r="I287" s="6" t="str">
        <f>IFERROR(__xludf.DUMMYFUNCTION("MAX(FILTER($H:$H,$E:$E=F287))"),"#N/A")</f>
        <v>#N/A</v>
      </c>
    </row>
    <row r="288">
      <c r="A288" s="4"/>
      <c r="C288" s="4" t="s">
        <v>1945</v>
      </c>
      <c r="D288" s="4" t="str">
        <f t="shared" si="1"/>
        <v>{"valorA":"freezer","valorB":98}</v>
      </c>
      <c r="E288" s="8" t="str">
        <f t="shared" si="2"/>
        <v>freezer</v>
      </c>
      <c r="F288" s="8"/>
      <c r="G288" s="8" t="str">
        <f t="shared" si="3"/>
        <v>98</v>
      </c>
      <c r="H288" s="9">
        <f t="shared" si="4"/>
        <v>98</v>
      </c>
      <c r="I288" s="6" t="str">
        <f>IFERROR(__xludf.DUMMYFUNCTION("MAX(FILTER($H:$H,$E:$E=F288))"),"#N/A")</f>
        <v>#N/A</v>
      </c>
    </row>
    <row r="289">
      <c r="A289" s="4"/>
      <c r="C289" s="4" t="s">
        <v>1946</v>
      </c>
      <c r="D289" s="4" t="str">
        <f t="shared" si="1"/>
        <v>{"valorA":"freezer","valorB":99}</v>
      </c>
      <c r="E289" s="8" t="str">
        <f t="shared" si="2"/>
        <v>freezer</v>
      </c>
      <c r="F289" s="8"/>
      <c r="G289" s="8" t="str">
        <f t="shared" si="3"/>
        <v>99</v>
      </c>
      <c r="H289" s="9">
        <f t="shared" si="4"/>
        <v>99</v>
      </c>
      <c r="I289" s="6" t="str">
        <f>IFERROR(__xludf.DUMMYFUNCTION("MAX(FILTER($H:$H,$E:$E=F289))"),"#N/A")</f>
        <v>#N/A</v>
      </c>
    </row>
    <row r="290">
      <c r="A290" s="4"/>
      <c r="C290" s="4" t="s">
        <v>1934</v>
      </c>
      <c r="D290" s="4" t="str">
        <f t="shared" si="1"/>
        <v>{"valorA":"ar condicionado","valorB":93}</v>
      </c>
      <c r="E290" s="8" t="str">
        <f t="shared" si="2"/>
        <v>ar condicionado</v>
      </c>
      <c r="F290" s="8"/>
      <c r="G290" s="8" t="str">
        <f t="shared" si="3"/>
        <v>93</v>
      </c>
      <c r="H290" s="9">
        <f t="shared" si="4"/>
        <v>93</v>
      </c>
      <c r="I290" s="6" t="str">
        <f>IFERROR(__xludf.DUMMYFUNCTION("MAX(FILTER($H:$H,$E:$E=F290))"),"#N/A")</f>
        <v>#N/A</v>
      </c>
    </row>
    <row r="291">
      <c r="A291" s="4"/>
      <c r="C291" s="4" t="s">
        <v>1947</v>
      </c>
      <c r="D291" s="4" t="str">
        <f t="shared" si="1"/>
        <v>{"valorA":"freezer","valorB":100}</v>
      </c>
      <c r="E291" s="8" t="str">
        <f t="shared" si="2"/>
        <v>freezer</v>
      </c>
      <c r="F291" s="8"/>
      <c r="G291" s="8" t="str">
        <f t="shared" si="3"/>
        <v>100</v>
      </c>
      <c r="H291" s="9">
        <f t="shared" si="4"/>
        <v>100</v>
      </c>
      <c r="I291" s="6" t="str">
        <f>IFERROR(__xludf.DUMMYFUNCTION("MAX(FILTER($H:$H,$E:$E=F291))"),"#N/A")</f>
        <v>#N/A</v>
      </c>
    </row>
    <row r="292">
      <c r="A292" s="4"/>
      <c r="C292" s="4" t="s">
        <v>1961</v>
      </c>
      <c r="D292" s="4" t="str">
        <f t="shared" si="1"/>
        <v>{"valorA":"microondas","valorB":98}</v>
      </c>
      <c r="E292" s="8" t="str">
        <f t="shared" si="2"/>
        <v>microondas</v>
      </c>
      <c r="F292" s="8"/>
      <c r="G292" s="8" t="str">
        <f t="shared" si="3"/>
        <v>98</v>
      </c>
      <c r="H292" s="9">
        <f t="shared" si="4"/>
        <v>98</v>
      </c>
      <c r="I292" s="6" t="str">
        <f>IFERROR(__xludf.DUMMYFUNCTION("MAX(FILTER($H:$H,$E:$E=F292))"),"#N/A")</f>
        <v>#N/A</v>
      </c>
    </row>
    <row r="293">
      <c r="A293" s="4"/>
      <c r="C293" s="4" t="s">
        <v>1954</v>
      </c>
      <c r="D293" s="4" t="str">
        <f t="shared" si="1"/>
        <v>{"valorA":"freezer","valorB":101}</v>
      </c>
      <c r="E293" s="8" t="str">
        <f t="shared" si="2"/>
        <v>freezer</v>
      </c>
      <c r="F293" s="8"/>
      <c r="G293" s="8" t="str">
        <f t="shared" si="3"/>
        <v>101</v>
      </c>
      <c r="H293" s="9">
        <f t="shared" si="4"/>
        <v>101</v>
      </c>
      <c r="I293" s="6" t="str">
        <f>IFERROR(__xludf.DUMMYFUNCTION("MAX(FILTER($H:$H,$E:$E=F293))"),"#N/A")</f>
        <v>#N/A</v>
      </c>
    </row>
    <row r="294">
      <c r="A294" s="4"/>
      <c r="C294" s="4" t="s">
        <v>1965</v>
      </c>
      <c r="D294" s="4" t="str">
        <f t="shared" si="1"/>
        <v>{"valorA":"microondas","valorB":99}</v>
      </c>
      <c r="E294" s="8" t="str">
        <f t="shared" si="2"/>
        <v>microondas</v>
      </c>
      <c r="F294" s="8"/>
      <c r="G294" s="8" t="str">
        <f t="shared" si="3"/>
        <v>99</v>
      </c>
      <c r="H294" s="9">
        <f t="shared" si="4"/>
        <v>99</v>
      </c>
      <c r="I294" s="6" t="str">
        <f>IFERROR(__xludf.DUMMYFUNCTION("MAX(FILTER($H:$H,$E:$E=F294))"),"#N/A")</f>
        <v>#N/A</v>
      </c>
    </row>
    <row r="295">
      <c r="A295" s="4"/>
      <c r="C295" s="4" t="s">
        <v>1937</v>
      </c>
      <c r="D295" s="4" t="str">
        <f t="shared" si="1"/>
        <v>{"valorA":"ar condicionado","valorB":94}</v>
      </c>
      <c r="E295" s="8" t="str">
        <f t="shared" si="2"/>
        <v>ar condicionado</v>
      </c>
      <c r="F295" s="8"/>
      <c r="G295" s="8" t="str">
        <f t="shared" si="3"/>
        <v>94</v>
      </c>
      <c r="H295" s="9">
        <f t="shared" si="4"/>
        <v>94</v>
      </c>
      <c r="I295" s="6" t="str">
        <f>IFERROR(__xludf.DUMMYFUNCTION("MAX(FILTER($H:$H,$E:$E=F295))"),"#N/A")</f>
        <v>#N/A</v>
      </c>
    </row>
    <row r="296">
      <c r="A296" s="4"/>
      <c r="C296" s="4" t="s">
        <v>1940</v>
      </c>
      <c r="D296" s="4" t="str">
        <f t="shared" si="1"/>
        <v>{"valorA":"ar condicionado","valorB":95}</v>
      </c>
      <c r="E296" s="8" t="str">
        <f t="shared" si="2"/>
        <v>ar condicionado</v>
      </c>
      <c r="F296" s="8"/>
      <c r="G296" s="8" t="str">
        <f t="shared" si="3"/>
        <v>95</v>
      </c>
      <c r="H296" s="9">
        <f t="shared" si="4"/>
        <v>95</v>
      </c>
      <c r="I296" s="6" t="str">
        <f>IFERROR(__xludf.DUMMYFUNCTION("MAX(FILTER($H:$H,$E:$E=F296))"),"#N/A")</f>
        <v>#N/A</v>
      </c>
    </row>
    <row r="297">
      <c r="A297" s="4"/>
      <c r="C297" s="4" t="s">
        <v>1955</v>
      </c>
      <c r="D297" s="4" t="str">
        <f t="shared" si="1"/>
        <v>{"valorA":"freezer","valorB":102}</v>
      </c>
      <c r="E297" s="8" t="str">
        <f t="shared" si="2"/>
        <v>freezer</v>
      </c>
      <c r="F297" s="8"/>
      <c r="G297" s="8" t="str">
        <f t="shared" si="3"/>
        <v>102</v>
      </c>
      <c r="H297" s="9">
        <f t="shared" si="4"/>
        <v>102</v>
      </c>
      <c r="I297" s="6" t="str">
        <f>IFERROR(__xludf.DUMMYFUNCTION("MAX(FILTER($H:$H,$E:$E=F297))"),"#N/A")</f>
        <v>#N/A</v>
      </c>
    </row>
    <row r="298">
      <c r="A298" s="4"/>
      <c r="C298" s="4" t="s">
        <v>1941</v>
      </c>
      <c r="D298" s="4" t="str">
        <f t="shared" si="1"/>
        <v>{"valorA":"ar condicionado","valorB":96}</v>
      </c>
      <c r="E298" s="8" t="str">
        <f t="shared" si="2"/>
        <v>ar condicionado</v>
      </c>
      <c r="F298" s="8"/>
      <c r="G298" s="8" t="str">
        <f t="shared" si="3"/>
        <v>96</v>
      </c>
      <c r="H298" s="9">
        <f t="shared" si="4"/>
        <v>96</v>
      </c>
      <c r="I298" s="6" t="str">
        <f>IFERROR(__xludf.DUMMYFUNCTION("MAX(FILTER($H:$H,$E:$E=F298))"),"#N/A")</f>
        <v>#N/A</v>
      </c>
    </row>
    <row r="299">
      <c r="A299" s="4"/>
      <c r="C299" s="4" t="s">
        <v>1967</v>
      </c>
      <c r="D299" s="4" t="str">
        <f t="shared" si="1"/>
        <v>{"valorA":"microondas","valorB":100}</v>
      </c>
      <c r="E299" s="8" t="str">
        <f t="shared" si="2"/>
        <v>microondas</v>
      </c>
      <c r="F299" s="8"/>
      <c r="G299" s="8" t="str">
        <f t="shared" si="3"/>
        <v>100</v>
      </c>
      <c r="H299" s="9">
        <f t="shared" si="4"/>
        <v>100</v>
      </c>
      <c r="I299" s="6" t="str">
        <f>IFERROR(__xludf.DUMMYFUNCTION("MAX(FILTER($H:$H,$E:$E=F299))"),"#N/A")</f>
        <v>#N/A</v>
      </c>
    </row>
    <row r="300">
      <c r="A300" s="4"/>
      <c r="C300" s="4" t="s">
        <v>1944</v>
      </c>
      <c r="D300" s="4" t="str">
        <f t="shared" si="1"/>
        <v>{"valorA":"ar condicionado","valorB":97}</v>
      </c>
      <c r="E300" s="8" t="str">
        <f t="shared" si="2"/>
        <v>ar condicionado</v>
      </c>
      <c r="F300" s="8"/>
      <c r="G300" s="8" t="str">
        <f t="shared" si="3"/>
        <v>97</v>
      </c>
      <c r="H300" s="9">
        <f t="shared" si="4"/>
        <v>97</v>
      </c>
      <c r="I300" s="6" t="str">
        <f>IFERROR(__xludf.DUMMYFUNCTION("MAX(FILTER($H:$H,$E:$E=F300))"),"#N/A")</f>
        <v>#N/A</v>
      </c>
    </row>
    <row r="301">
      <c r="A301" s="4"/>
      <c r="C301" s="4" t="s">
        <v>1948</v>
      </c>
      <c r="D301" s="4" t="str">
        <f t="shared" si="1"/>
        <v>{"valorA":"ar condicionado","valorB":98}</v>
      </c>
      <c r="E301" s="8" t="str">
        <f t="shared" si="2"/>
        <v>ar condicionado</v>
      </c>
      <c r="F301" s="8"/>
      <c r="G301" s="8" t="str">
        <f t="shared" si="3"/>
        <v>98</v>
      </c>
      <c r="H301" s="9">
        <f t="shared" si="4"/>
        <v>98</v>
      </c>
      <c r="I301" s="6" t="str">
        <f>IFERROR(__xludf.DUMMYFUNCTION("MAX(FILTER($H:$H,$E:$E=F301))"),"#N/A")</f>
        <v>#N/A</v>
      </c>
    </row>
    <row r="302">
      <c r="A302" s="4"/>
      <c r="C302" s="4" t="s">
        <v>1959</v>
      </c>
      <c r="D302" s="4" t="str">
        <f t="shared" si="1"/>
        <v>{"valorA":"freezer","valorB":103}</v>
      </c>
      <c r="E302" s="8" t="str">
        <f t="shared" si="2"/>
        <v>freezer</v>
      </c>
      <c r="F302" s="8"/>
      <c r="G302" s="8" t="str">
        <f t="shared" si="3"/>
        <v>103</v>
      </c>
      <c r="H302" s="9">
        <f t="shared" si="4"/>
        <v>103</v>
      </c>
      <c r="I302" s="6" t="str">
        <f>IFERROR(__xludf.DUMMYFUNCTION("MAX(FILTER($H:$H,$E:$E=F302))"),"#N/A")</f>
        <v>#N/A</v>
      </c>
    </row>
    <row r="303">
      <c r="A303" s="4"/>
      <c r="C303" s="4" t="s">
        <v>1969</v>
      </c>
      <c r="D303" s="4" t="str">
        <f t="shared" si="1"/>
        <v>{"valorA":"microondas","valorB":101}</v>
      </c>
      <c r="E303" s="8" t="str">
        <f t="shared" si="2"/>
        <v>microondas</v>
      </c>
      <c r="F303" s="8"/>
      <c r="G303" s="8" t="str">
        <f t="shared" si="3"/>
        <v>101</v>
      </c>
      <c r="H303" s="9">
        <f t="shared" si="4"/>
        <v>101</v>
      </c>
      <c r="I303" s="6" t="str">
        <f>IFERROR(__xludf.DUMMYFUNCTION("MAX(FILTER($H:$H,$E:$E=F303))"),"#N/A")</f>
        <v>#N/A</v>
      </c>
    </row>
    <row r="304">
      <c r="A304" s="4"/>
      <c r="C304" s="4" t="s">
        <v>1970</v>
      </c>
      <c r="D304" s="4" t="str">
        <f t="shared" si="1"/>
        <v>{"valorA":"microondas","valorB":102}</v>
      </c>
      <c r="E304" s="8" t="str">
        <f t="shared" si="2"/>
        <v>microondas</v>
      </c>
      <c r="F304" s="8"/>
      <c r="G304" s="8" t="str">
        <f t="shared" si="3"/>
        <v>102</v>
      </c>
      <c r="H304" s="9">
        <f t="shared" si="4"/>
        <v>102</v>
      </c>
      <c r="I304" s="6" t="str">
        <f>IFERROR(__xludf.DUMMYFUNCTION("MAX(FILTER($H:$H,$E:$E=F304))"),"#N/A")</f>
        <v>#N/A</v>
      </c>
    </row>
    <row r="305">
      <c r="A305" s="4"/>
      <c r="C305" s="4" t="s">
        <v>1949</v>
      </c>
      <c r="D305" s="4" t="str">
        <f t="shared" si="1"/>
        <v>{"valorA":"ar condicionado","valorB":99}</v>
      </c>
      <c r="E305" s="8" t="str">
        <f t="shared" si="2"/>
        <v>ar condicionado</v>
      </c>
      <c r="F305" s="8"/>
      <c r="G305" s="8" t="str">
        <f t="shared" si="3"/>
        <v>99</v>
      </c>
      <c r="H305" s="9">
        <f t="shared" si="4"/>
        <v>99</v>
      </c>
      <c r="I305" s="6" t="str">
        <f>IFERROR(__xludf.DUMMYFUNCTION("MAX(FILTER($H:$H,$E:$E=F305))"),"#N/A")</f>
        <v>#N/A</v>
      </c>
    </row>
    <row r="306">
      <c r="A306" s="4"/>
      <c r="C306" s="4" t="s">
        <v>1950</v>
      </c>
      <c r="D306" s="4" t="str">
        <f t="shared" si="1"/>
        <v>{"valorA":"ar condicionado","valorB":100}</v>
      </c>
      <c r="E306" s="8" t="str">
        <f t="shared" si="2"/>
        <v>ar condicionado</v>
      </c>
      <c r="F306" s="8"/>
      <c r="G306" s="8" t="str">
        <f t="shared" si="3"/>
        <v>100</v>
      </c>
      <c r="H306" s="9">
        <f t="shared" si="4"/>
        <v>100</v>
      </c>
      <c r="I306" s="6" t="str">
        <f>IFERROR(__xludf.DUMMYFUNCTION("MAX(FILTER($H:$H,$E:$E=F306))"),"#N/A")</f>
        <v>#N/A</v>
      </c>
    </row>
    <row r="307">
      <c r="A307" s="4"/>
      <c r="C307" s="4" t="s">
        <v>1972</v>
      </c>
      <c r="D307" s="4" t="str">
        <f t="shared" si="1"/>
        <v>{"valorA":"microondas","valorB":103}</v>
      </c>
      <c r="E307" s="8" t="str">
        <f t="shared" si="2"/>
        <v>microondas</v>
      </c>
      <c r="F307" s="8"/>
      <c r="G307" s="8" t="str">
        <f t="shared" si="3"/>
        <v>103</v>
      </c>
      <c r="H307" s="9">
        <f t="shared" si="4"/>
        <v>103</v>
      </c>
      <c r="I307" s="6" t="str">
        <f>IFERROR(__xludf.DUMMYFUNCTION("MAX(FILTER($H:$H,$E:$E=F307))"),"#N/A")</f>
        <v>#N/A</v>
      </c>
    </row>
    <row r="308">
      <c r="A308" s="4"/>
      <c r="C308" s="4" t="s">
        <v>1963</v>
      </c>
      <c r="D308" s="4" t="str">
        <f t="shared" si="1"/>
        <v>{"valorA":"freezer","valorB":104}</v>
      </c>
      <c r="E308" s="8" t="str">
        <f t="shared" si="2"/>
        <v>freezer</v>
      </c>
      <c r="F308" s="8"/>
      <c r="G308" s="8" t="str">
        <f t="shared" si="3"/>
        <v>104</v>
      </c>
      <c r="H308" s="9">
        <f t="shared" si="4"/>
        <v>104</v>
      </c>
      <c r="I308" s="6" t="str">
        <f>IFERROR(__xludf.DUMMYFUNCTION("MAX(FILTER($H:$H,$E:$E=F308))"),"#N/A")</f>
        <v>#N/A</v>
      </c>
    </row>
    <row r="309">
      <c r="A309" s="4"/>
      <c r="C309" s="4" t="s">
        <v>1964</v>
      </c>
      <c r="D309" s="4" t="str">
        <f t="shared" si="1"/>
        <v>{"valorA":"freezer","valorB":105}</v>
      </c>
      <c r="E309" s="8" t="str">
        <f t="shared" si="2"/>
        <v>freezer</v>
      </c>
      <c r="F309" s="8"/>
      <c r="G309" s="8" t="str">
        <f t="shared" si="3"/>
        <v>105</v>
      </c>
      <c r="H309" s="9">
        <f t="shared" si="4"/>
        <v>105</v>
      </c>
      <c r="I309" s="6" t="str">
        <f>IFERROR(__xludf.DUMMYFUNCTION("MAX(FILTER($H:$H,$E:$E=F309))"),"#N/A")</f>
        <v>#N/A</v>
      </c>
    </row>
    <row r="310">
      <c r="A310" s="4"/>
      <c r="C310" s="4" t="s">
        <v>1968</v>
      </c>
      <c r="D310" s="4" t="str">
        <f t="shared" si="1"/>
        <v>{"valorA":"freezer","valorB":106}</v>
      </c>
      <c r="E310" s="8" t="str">
        <f t="shared" si="2"/>
        <v>freezer</v>
      </c>
      <c r="F310" s="8"/>
      <c r="G310" s="8" t="str">
        <f t="shared" si="3"/>
        <v>106</v>
      </c>
      <c r="H310" s="9">
        <f t="shared" si="4"/>
        <v>106</v>
      </c>
      <c r="I310" s="6" t="str">
        <f>IFERROR(__xludf.DUMMYFUNCTION("MAX(FILTER($H:$H,$E:$E=F310))"),"#N/A")</f>
        <v>#N/A</v>
      </c>
    </row>
    <row r="311">
      <c r="A311" s="4"/>
      <c r="C311" s="4" t="s">
        <v>1973</v>
      </c>
      <c r="D311" s="4" t="str">
        <f t="shared" si="1"/>
        <v>{"valorA":"microondas","valorB":104}</v>
      </c>
      <c r="E311" s="8" t="str">
        <f t="shared" si="2"/>
        <v>microondas</v>
      </c>
      <c r="F311" s="8"/>
      <c r="G311" s="8" t="str">
        <f t="shared" si="3"/>
        <v>104</v>
      </c>
      <c r="H311" s="9">
        <f t="shared" si="4"/>
        <v>104</v>
      </c>
      <c r="I311" s="6" t="str">
        <f>IFERROR(__xludf.DUMMYFUNCTION("MAX(FILTER($H:$H,$E:$E=F311))"),"#N/A")</f>
        <v>#N/A</v>
      </c>
    </row>
    <row r="312">
      <c r="A312" s="4"/>
      <c r="C312" s="4" t="s">
        <v>1951</v>
      </c>
      <c r="D312" s="4" t="str">
        <f t="shared" si="1"/>
        <v>{"valorA":"ar condicionado","valorB":101}</v>
      </c>
      <c r="E312" s="8" t="str">
        <f t="shared" si="2"/>
        <v>ar condicionado</v>
      </c>
      <c r="F312" s="8"/>
      <c r="G312" s="8" t="str">
        <f t="shared" si="3"/>
        <v>101</v>
      </c>
      <c r="H312" s="9">
        <f t="shared" si="4"/>
        <v>101</v>
      </c>
      <c r="I312" s="6" t="str">
        <f>IFERROR(__xludf.DUMMYFUNCTION("MAX(FILTER($H:$H,$E:$E=F312))"),"#N/A")</f>
        <v>#N/A</v>
      </c>
    </row>
    <row r="313">
      <c r="A313" s="4"/>
      <c r="C313" s="4" t="s">
        <v>1971</v>
      </c>
      <c r="D313" s="4" t="str">
        <f t="shared" si="1"/>
        <v>{"valorA":"freezer","valorB":107}</v>
      </c>
      <c r="E313" s="8" t="str">
        <f t="shared" si="2"/>
        <v>freezer</v>
      </c>
      <c r="F313" s="8"/>
      <c r="G313" s="8" t="str">
        <f t="shared" si="3"/>
        <v>107</v>
      </c>
      <c r="H313" s="9">
        <f t="shared" si="4"/>
        <v>107</v>
      </c>
      <c r="I313" s="6" t="str">
        <f>IFERROR(__xludf.DUMMYFUNCTION("MAX(FILTER($H:$H,$E:$E=F313))"),"#N/A")</f>
        <v>#N/A</v>
      </c>
    </row>
    <row r="314">
      <c r="A314" s="4"/>
      <c r="C314" s="4" t="s">
        <v>1974</v>
      </c>
      <c r="D314" s="4" t="str">
        <f t="shared" si="1"/>
        <v>{"valorA":"microondas","valorB":105}</v>
      </c>
      <c r="E314" s="8" t="str">
        <f t="shared" si="2"/>
        <v>microondas</v>
      </c>
      <c r="F314" s="8"/>
      <c r="G314" s="8" t="str">
        <f t="shared" si="3"/>
        <v>105</v>
      </c>
      <c r="H314" s="9">
        <f t="shared" si="4"/>
        <v>105</v>
      </c>
      <c r="I314" s="6" t="str">
        <f>IFERROR(__xludf.DUMMYFUNCTION("MAX(FILTER($H:$H,$E:$E=F314))"),"#N/A")</f>
        <v>#N/A</v>
      </c>
    </row>
    <row r="315">
      <c r="A315" s="4"/>
      <c r="C315" s="4" t="s">
        <v>1957</v>
      </c>
      <c r="D315" s="4" t="str">
        <f t="shared" si="1"/>
        <v>{"valorA":"ar condicionado","valorB":102}</v>
      </c>
      <c r="E315" s="8" t="str">
        <f t="shared" si="2"/>
        <v>ar condicionado</v>
      </c>
      <c r="F315" s="8"/>
      <c r="G315" s="8" t="str">
        <f t="shared" si="3"/>
        <v>102</v>
      </c>
      <c r="H315" s="9">
        <f t="shared" si="4"/>
        <v>102</v>
      </c>
      <c r="I315" s="6" t="str">
        <f>IFERROR(__xludf.DUMMYFUNCTION("MAX(FILTER($H:$H,$E:$E=F315))"),"#N/A")</f>
        <v>#N/A</v>
      </c>
    </row>
    <row r="316">
      <c r="A316" s="4"/>
      <c r="C316" s="4" t="s">
        <v>1976</v>
      </c>
      <c r="D316" s="4" t="str">
        <f t="shared" si="1"/>
        <v>{"valorA":"freezer","valorB":108}</v>
      </c>
      <c r="E316" s="8" t="str">
        <f t="shared" si="2"/>
        <v>freezer</v>
      </c>
      <c r="F316" s="8"/>
      <c r="G316" s="8" t="str">
        <f t="shared" si="3"/>
        <v>108</v>
      </c>
      <c r="H316" s="9">
        <f t="shared" si="4"/>
        <v>108</v>
      </c>
      <c r="I316" s="6" t="str">
        <f>IFERROR(__xludf.DUMMYFUNCTION("MAX(FILTER($H:$H,$E:$E=F316))"),"#N/A")</f>
        <v>#N/A</v>
      </c>
    </row>
    <row r="317">
      <c r="A317" s="4"/>
      <c r="C317" s="4" t="s">
        <v>1958</v>
      </c>
      <c r="D317" s="4" t="str">
        <f t="shared" si="1"/>
        <v>{"valorA":"ar condicionado","valorB":103}</v>
      </c>
      <c r="E317" s="8" t="str">
        <f t="shared" si="2"/>
        <v>ar condicionado</v>
      </c>
      <c r="F317" s="8"/>
      <c r="G317" s="8" t="str">
        <f t="shared" si="3"/>
        <v>103</v>
      </c>
      <c r="H317" s="9">
        <f t="shared" si="4"/>
        <v>103</v>
      </c>
      <c r="I317" s="6" t="str">
        <f>IFERROR(__xludf.DUMMYFUNCTION("MAX(FILTER($H:$H,$E:$E=F317))"),"#N/A")</f>
        <v>#N/A</v>
      </c>
    </row>
    <row r="318">
      <c r="A318" s="4"/>
      <c r="C318" s="4" t="s">
        <v>1962</v>
      </c>
      <c r="D318" s="4" t="str">
        <f t="shared" si="1"/>
        <v>{"valorA":"ar condicionado","valorB":104}</v>
      </c>
      <c r="E318" s="8" t="str">
        <f t="shared" si="2"/>
        <v>ar condicionado</v>
      </c>
      <c r="F318" s="8"/>
      <c r="G318" s="8" t="str">
        <f t="shared" si="3"/>
        <v>104</v>
      </c>
      <c r="H318" s="9">
        <f t="shared" si="4"/>
        <v>104</v>
      </c>
      <c r="I318" s="6" t="str">
        <f>IFERROR(__xludf.DUMMYFUNCTION("MAX(FILTER($H:$H,$E:$E=F318))"),"#N/A")</f>
        <v>#N/A</v>
      </c>
    </row>
    <row r="319">
      <c r="A319" s="4"/>
      <c r="C319" s="4" t="s">
        <v>1966</v>
      </c>
      <c r="D319" s="4" t="str">
        <f t="shared" si="1"/>
        <v>{"valorA":"ar condicionado","valorB":105}</v>
      </c>
      <c r="E319" s="8" t="str">
        <f t="shared" si="2"/>
        <v>ar condicionado</v>
      </c>
      <c r="F319" s="8"/>
      <c r="G319" s="8" t="str">
        <f t="shared" si="3"/>
        <v>105</v>
      </c>
      <c r="H319" s="9">
        <f t="shared" si="4"/>
        <v>105</v>
      </c>
      <c r="I319" s="6" t="str">
        <f>IFERROR(__xludf.DUMMYFUNCTION("MAX(FILTER($H:$H,$E:$E=F319))"),"#N/A")</f>
        <v>#N/A</v>
      </c>
    </row>
    <row r="320">
      <c r="A320" s="4"/>
      <c r="C320" s="4" t="s">
        <v>1979</v>
      </c>
      <c r="D320" s="4" t="str">
        <f t="shared" si="1"/>
        <v>{"valorA":"microondas","valorB":106}</v>
      </c>
      <c r="E320" s="8" t="str">
        <f t="shared" si="2"/>
        <v>microondas</v>
      </c>
      <c r="F320" s="8"/>
      <c r="G320" s="8" t="str">
        <f t="shared" si="3"/>
        <v>106</v>
      </c>
      <c r="H320" s="9">
        <f t="shared" si="4"/>
        <v>106</v>
      </c>
      <c r="I320" s="6" t="str">
        <f>IFERROR(__xludf.DUMMYFUNCTION("MAX(FILTER($H:$H,$E:$E=F320))"),"#N/A")</f>
        <v>#N/A</v>
      </c>
    </row>
    <row r="321">
      <c r="A321" s="4"/>
      <c r="C321" s="4" t="s">
        <v>1981</v>
      </c>
      <c r="D321" s="4" t="str">
        <f t="shared" si="1"/>
        <v>{"valorA":"microondas","valorB":107}</v>
      </c>
      <c r="E321" s="8" t="str">
        <f t="shared" si="2"/>
        <v>microondas</v>
      </c>
      <c r="F321" s="8"/>
      <c r="G321" s="8" t="str">
        <f t="shared" si="3"/>
        <v>107</v>
      </c>
      <c r="H321" s="9">
        <f t="shared" si="4"/>
        <v>107</v>
      </c>
      <c r="I321" s="6" t="str">
        <f>IFERROR(__xludf.DUMMYFUNCTION("MAX(FILTER($H:$H,$E:$E=F321))"),"#N/A")</f>
        <v>#N/A</v>
      </c>
    </row>
    <row r="322">
      <c r="A322" s="4"/>
      <c r="C322" s="4" t="s">
        <v>1978</v>
      </c>
      <c r="D322" s="4" t="str">
        <f t="shared" si="1"/>
        <v>{"valorA":"freezer","valorB":109}</v>
      </c>
      <c r="E322" s="8" t="str">
        <f t="shared" si="2"/>
        <v>freezer</v>
      </c>
      <c r="F322" s="8"/>
      <c r="G322" s="8" t="str">
        <f t="shared" si="3"/>
        <v>109</v>
      </c>
      <c r="H322" s="9">
        <f t="shared" si="4"/>
        <v>109</v>
      </c>
      <c r="I322" s="6" t="str">
        <f>IFERROR(__xludf.DUMMYFUNCTION("MAX(FILTER($H:$H,$E:$E=F322))"),"#N/A")</f>
        <v>#N/A</v>
      </c>
    </row>
    <row r="323">
      <c r="A323" s="4"/>
      <c r="C323" s="4" t="s">
        <v>1975</v>
      </c>
      <c r="D323" s="4" t="str">
        <f t="shared" si="1"/>
        <v>{"valorA":"ar condicionado","valorB":106}</v>
      </c>
      <c r="E323" s="8" t="str">
        <f t="shared" si="2"/>
        <v>ar condicionado</v>
      </c>
      <c r="F323" s="8"/>
      <c r="G323" s="8" t="str">
        <f t="shared" si="3"/>
        <v>106</v>
      </c>
      <c r="H323" s="9">
        <f t="shared" si="4"/>
        <v>106</v>
      </c>
      <c r="I323" s="6" t="str">
        <f>IFERROR(__xludf.DUMMYFUNCTION("MAX(FILTER($H:$H,$E:$E=F323))"),"#N/A")</f>
        <v>#N/A</v>
      </c>
    </row>
    <row r="324">
      <c r="A324" s="4"/>
      <c r="C324" s="4" t="s">
        <v>1980</v>
      </c>
      <c r="D324" s="4" t="str">
        <f t="shared" si="1"/>
        <v>{"valorA":"freezer","valorB":110}</v>
      </c>
      <c r="E324" s="8" t="str">
        <f t="shared" si="2"/>
        <v>freezer</v>
      </c>
      <c r="F324" s="8"/>
      <c r="G324" s="8" t="str">
        <f t="shared" si="3"/>
        <v>110</v>
      </c>
      <c r="H324" s="9">
        <f t="shared" si="4"/>
        <v>110</v>
      </c>
      <c r="I324" s="6" t="str">
        <f>IFERROR(__xludf.DUMMYFUNCTION("MAX(FILTER($H:$H,$E:$E=F324))"),"#N/A")</f>
        <v>#N/A</v>
      </c>
    </row>
    <row r="325">
      <c r="A325" s="4"/>
      <c r="C325" s="4" t="s">
        <v>1984</v>
      </c>
      <c r="D325" s="4" t="str">
        <f t="shared" si="1"/>
        <v>{"valorA":"microondas","valorB":108}</v>
      </c>
      <c r="E325" s="8" t="str">
        <f t="shared" si="2"/>
        <v>microondas</v>
      </c>
      <c r="F325" s="8"/>
      <c r="G325" s="8" t="str">
        <f t="shared" si="3"/>
        <v>108</v>
      </c>
      <c r="H325" s="9">
        <f t="shared" si="4"/>
        <v>108</v>
      </c>
      <c r="I325" s="6" t="str">
        <f>IFERROR(__xludf.DUMMYFUNCTION("MAX(FILTER($H:$H,$E:$E=F325))"),"#N/A")</f>
        <v>#N/A</v>
      </c>
    </row>
    <row r="326">
      <c r="A326" s="4"/>
      <c r="C326" s="4" t="s">
        <v>1982</v>
      </c>
      <c r="D326" s="4" t="str">
        <f t="shared" si="1"/>
        <v>{"valorA":"freezer","valorB":111}</v>
      </c>
      <c r="E326" s="8" t="str">
        <f t="shared" si="2"/>
        <v>freezer</v>
      </c>
      <c r="F326" s="8"/>
      <c r="G326" s="8" t="str">
        <f t="shared" si="3"/>
        <v>111</v>
      </c>
      <c r="H326" s="9">
        <f t="shared" si="4"/>
        <v>111</v>
      </c>
      <c r="I326" s="6" t="str">
        <f>IFERROR(__xludf.DUMMYFUNCTION("MAX(FILTER($H:$H,$E:$E=F326))"),"#N/A")</f>
        <v>#N/A</v>
      </c>
    </row>
    <row r="327">
      <c r="A327" s="4"/>
      <c r="C327" s="4" t="s">
        <v>1977</v>
      </c>
      <c r="D327" s="4" t="str">
        <f t="shared" si="1"/>
        <v>{"valorA":"ar condicionado","valorB":107}</v>
      </c>
      <c r="E327" s="8" t="str">
        <f t="shared" si="2"/>
        <v>ar condicionado</v>
      </c>
      <c r="F327" s="8"/>
      <c r="G327" s="8" t="str">
        <f t="shared" si="3"/>
        <v>107</v>
      </c>
      <c r="H327" s="9">
        <f t="shared" si="4"/>
        <v>107</v>
      </c>
      <c r="I327" s="6" t="str">
        <f>IFERROR(__xludf.DUMMYFUNCTION("MAX(FILTER($H:$H,$E:$E=F327))"),"#N/A")</f>
        <v>#N/A</v>
      </c>
    </row>
    <row r="328">
      <c r="A328" s="4"/>
      <c r="C328" s="4" t="s">
        <v>1983</v>
      </c>
      <c r="D328" s="4" t="str">
        <f t="shared" si="1"/>
        <v>{"valorA":"ar condicionado","valorB":108}</v>
      </c>
      <c r="E328" s="8" t="str">
        <f t="shared" si="2"/>
        <v>ar condicionado</v>
      </c>
      <c r="F328" s="8"/>
      <c r="G328" s="8" t="str">
        <f t="shared" si="3"/>
        <v>108</v>
      </c>
      <c r="H328" s="9">
        <f t="shared" si="4"/>
        <v>108</v>
      </c>
      <c r="I328" s="6" t="str">
        <f>IFERROR(__xludf.DUMMYFUNCTION("MAX(FILTER($H:$H,$E:$E=F328))"),"#N/A")</f>
        <v>#N/A</v>
      </c>
    </row>
    <row r="329">
      <c r="A329" s="4"/>
      <c r="C329" s="4" t="s">
        <v>1986</v>
      </c>
      <c r="D329" s="4" t="str">
        <f t="shared" si="1"/>
        <v>{"valorA":"freezer","valorB":112}</v>
      </c>
      <c r="E329" s="8" t="str">
        <f t="shared" si="2"/>
        <v>freezer</v>
      </c>
      <c r="F329" s="8"/>
      <c r="G329" s="8" t="str">
        <f t="shared" si="3"/>
        <v>112</v>
      </c>
      <c r="H329" s="9">
        <f t="shared" si="4"/>
        <v>112</v>
      </c>
      <c r="I329" s="6" t="str">
        <f>IFERROR(__xludf.DUMMYFUNCTION("MAX(FILTER($H:$H,$E:$E=F329))"),"#N/A")</f>
        <v>#N/A</v>
      </c>
    </row>
    <row r="330">
      <c r="A330" s="4"/>
      <c r="C330" s="4" t="s">
        <v>1985</v>
      </c>
      <c r="D330" s="4" t="str">
        <f t="shared" si="1"/>
        <v>{"valorA":"microondas","valorB":109}</v>
      </c>
      <c r="E330" s="8" t="str">
        <f t="shared" si="2"/>
        <v>microondas</v>
      </c>
      <c r="F330" s="8"/>
      <c r="G330" s="8" t="str">
        <f t="shared" si="3"/>
        <v>109</v>
      </c>
      <c r="H330" s="9">
        <f t="shared" si="4"/>
        <v>109</v>
      </c>
      <c r="I330" s="6" t="str">
        <f>IFERROR(__xludf.DUMMYFUNCTION("MAX(FILTER($H:$H,$E:$E=F330))"),"#N/A")</f>
        <v>#N/A</v>
      </c>
    </row>
    <row r="331">
      <c r="A331" s="4"/>
      <c r="C331" s="4" t="s">
        <v>1989</v>
      </c>
      <c r="D331" s="4" t="str">
        <f t="shared" si="1"/>
        <v>{"valorA":"freezer","valorB":113}</v>
      </c>
      <c r="E331" s="8" t="str">
        <f t="shared" si="2"/>
        <v>freezer</v>
      </c>
      <c r="F331" s="8"/>
      <c r="G331" s="8" t="str">
        <f t="shared" si="3"/>
        <v>113</v>
      </c>
      <c r="H331" s="9">
        <f t="shared" si="4"/>
        <v>113</v>
      </c>
      <c r="I331" s="6" t="str">
        <f>IFERROR(__xludf.DUMMYFUNCTION("MAX(FILTER($H:$H,$E:$E=F331))"),"#N/A")</f>
        <v>#N/A</v>
      </c>
    </row>
    <row r="332">
      <c r="A332" s="4"/>
      <c r="C332" s="4" t="s">
        <v>1987</v>
      </c>
      <c r="D332" s="4" t="str">
        <f t="shared" si="1"/>
        <v>{"valorA":"microondas","valorB":110}</v>
      </c>
      <c r="E332" s="8" t="str">
        <f t="shared" si="2"/>
        <v>microondas</v>
      </c>
      <c r="F332" s="8"/>
      <c r="G332" s="8" t="str">
        <f t="shared" si="3"/>
        <v>110</v>
      </c>
      <c r="H332" s="9">
        <f t="shared" si="4"/>
        <v>110</v>
      </c>
      <c r="I332" s="6" t="str">
        <f>IFERROR(__xludf.DUMMYFUNCTION("MAX(FILTER($H:$H,$E:$E=F332))"),"#N/A")</f>
        <v>#N/A</v>
      </c>
    </row>
    <row r="333">
      <c r="A333" s="4"/>
      <c r="C333" s="4" t="s">
        <v>1990</v>
      </c>
      <c r="D333" s="4" t="str">
        <f t="shared" si="1"/>
        <v>{"valorA":"microondas","valorB":111}</v>
      </c>
      <c r="E333" s="8" t="str">
        <f t="shared" si="2"/>
        <v>microondas</v>
      </c>
      <c r="F333" s="8"/>
      <c r="G333" s="8" t="str">
        <f t="shared" si="3"/>
        <v>111</v>
      </c>
      <c r="H333" s="9">
        <f t="shared" si="4"/>
        <v>111</v>
      </c>
      <c r="I333" s="6" t="str">
        <f>IFERROR(__xludf.DUMMYFUNCTION("MAX(FILTER($H:$H,$E:$E=F333))"),"#N/A")</f>
        <v>#N/A</v>
      </c>
    </row>
    <row r="334">
      <c r="A334" s="4"/>
      <c r="C334" s="4" t="s">
        <v>1991</v>
      </c>
      <c r="D334" s="4" t="str">
        <f t="shared" si="1"/>
        <v>{"valorA":"freezer","valorB":114}</v>
      </c>
      <c r="E334" s="8" t="str">
        <f t="shared" si="2"/>
        <v>freezer</v>
      </c>
      <c r="F334" s="8"/>
      <c r="G334" s="8" t="str">
        <f t="shared" si="3"/>
        <v>114</v>
      </c>
      <c r="H334" s="9">
        <f t="shared" si="4"/>
        <v>114</v>
      </c>
      <c r="I334" s="6" t="str">
        <f>IFERROR(__xludf.DUMMYFUNCTION("MAX(FILTER($H:$H,$E:$E=F334))"),"#N/A")</f>
        <v>#N/A</v>
      </c>
    </row>
    <row r="335">
      <c r="A335" s="4"/>
      <c r="C335" s="4" t="s">
        <v>1992</v>
      </c>
      <c r="D335" s="4" t="str">
        <f t="shared" si="1"/>
        <v>{"valorA":"microondas","valorB":112}</v>
      </c>
      <c r="E335" s="8" t="str">
        <f t="shared" si="2"/>
        <v>microondas</v>
      </c>
      <c r="F335" s="8"/>
      <c r="G335" s="8" t="str">
        <f t="shared" si="3"/>
        <v>112</v>
      </c>
      <c r="H335" s="9">
        <f t="shared" si="4"/>
        <v>112</v>
      </c>
      <c r="I335" s="6" t="str">
        <f>IFERROR(__xludf.DUMMYFUNCTION("MAX(FILTER($H:$H,$E:$E=F335))"),"#N/A")</f>
        <v>#N/A</v>
      </c>
    </row>
    <row r="336">
      <c r="A336" s="4"/>
      <c r="C336" s="4" t="s">
        <v>1993</v>
      </c>
      <c r="D336" s="4" t="str">
        <f t="shared" si="1"/>
        <v>{"valorA":"freezer","valorB":115}</v>
      </c>
      <c r="E336" s="8" t="str">
        <f t="shared" si="2"/>
        <v>freezer</v>
      </c>
      <c r="F336" s="8"/>
      <c r="G336" s="8" t="str">
        <f t="shared" si="3"/>
        <v>115</v>
      </c>
      <c r="H336" s="9">
        <f t="shared" si="4"/>
        <v>115</v>
      </c>
      <c r="I336" s="6" t="str">
        <f>IFERROR(__xludf.DUMMYFUNCTION("MAX(FILTER($H:$H,$E:$E=F336))"),"#N/A")</f>
        <v>#N/A</v>
      </c>
    </row>
    <row r="337">
      <c r="A337" s="4"/>
      <c r="C337" s="4" t="s">
        <v>1994</v>
      </c>
      <c r="D337" s="4" t="str">
        <f t="shared" si="1"/>
        <v>{"valorA":"freezer","valorB":116}</v>
      </c>
      <c r="E337" s="8" t="str">
        <f t="shared" si="2"/>
        <v>freezer</v>
      </c>
      <c r="F337" s="8"/>
      <c r="G337" s="8" t="str">
        <f t="shared" si="3"/>
        <v>116</v>
      </c>
      <c r="H337" s="9">
        <f t="shared" si="4"/>
        <v>116</v>
      </c>
      <c r="I337" s="6" t="str">
        <f>IFERROR(__xludf.DUMMYFUNCTION("MAX(FILTER($H:$H,$E:$E=F337))"),"#N/A")</f>
        <v>#N/A</v>
      </c>
    </row>
    <row r="338">
      <c r="A338" s="4"/>
      <c r="C338" s="4" t="s">
        <v>2000</v>
      </c>
      <c r="D338" s="4" t="str">
        <f t="shared" si="1"/>
        <v>{"valorA":"microondas","valorB":113}</v>
      </c>
      <c r="E338" s="8" t="str">
        <f t="shared" si="2"/>
        <v>microondas</v>
      </c>
      <c r="F338" s="8"/>
      <c r="G338" s="8" t="str">
        <f t="shared" si="3"/>
        <v>113</v>
      </c>
      <c r="H338" s="9">
        <f t="shared" si="4"/>
        <v>113</v>
      </c>
      <c r="I338" s="6" t="str">
        <f>IFERROR(__xludf.DUMMYFUNCTION("MAX(FILTER($H:$H,$E:$E=F338))"),"#N/A")</f>
        <v>#N/A</v>
      </c>
    </row>
    <row r="339">
      <c r="A339" s="4"/>
      <c r="C339" s="4" t="s">
        <v>1988</v>
      </c>
      <c r="D339" s="4" t="str">
        <f t="shared" si="1"/>
        <v>{"valorA":"ar condicionado","valorB":109}</v>
      </c>
      <c r="E339" s="8" t="str">
        <f t="shared" si="2"/>
        <v>ar condicionado</v>
      </c>
      <c r="F339" s="8"/>
      <c r="G339" s="8" t="str">
        <f t="shared" si="3"/>
        <v>109</v>
      </c>
      <c r="H339" s="9">
        <f t="shared" si="4"/>
        <v>109</v>
      </c>
      <c r="I339" s="6" t="str">
        <f>IFERROR(__xludf.DUMMYFUNCTION("MAX(FILTER($H:$H,$E:$E=F339))"),"#N/A")</f>
        <v>#N/A</v>
      </c>
    </row>
    <row r="340">
      <c r="A340" s="4"/>
      <c r="C340" s="4" t="s">
        <v>1996</v>
      </c>
      <c r="D340" s="4" t="str">
        <f t="shared" si="1"/>
        <v>{"valorA":"freezer","valorB":117}</v>
      </c>
      <c r="E340" s="8" t="str">
        <f t="shared" si="2"/>
        <v>freezer</v>
      </c>
      <c r="F340" s="8"/>
      <c r="G340" s="8" t="str">
        <f t="shared" si="3"/>
        <v>117</v>
      </c>
      <c r="H340" s="9">
        <f t="shared" si="4"/>
        <v>117</v>
      </c>
      <c r="I340" s="6" t="str">
        <f>IFERROR(__xludf.DUMMYFUNCTION("MAX(FILTER($H:$H,$E:$E=F340))"),"#N/A")</f>
        <v>#N/A</v>
      </c>
    </row>
    <row r="341">
      <c r="A341" s="4"/>
      <c r="C341" s="4" t="s">
        <v>1995</v>
      </c>
      <c r="D341" s="4" t="str">
        <f t="shared" si="1"/>
        <v>{"valorA":"ar condicionado","valorB":110}</v>
      </c>
      <c r="E341" s="8" t="str">
        <f t="shared" si="2"/>
        <v>ar condicionado</v>
      </c>
      <c r="F341" s="8"/>
      <c r="G341" s="8" t="str">
        <f t="shared" si="3"/>
        <v>110</v>
      </c>
      <c r="H341" s="9">
        <f t="shared" si="4"/>
        <v>110</v>
      </c>
      <c r="I341" s="6" t="str">
        <f>IFERROR(__xludf.DUMMYFUNCTION("MAX(FILTER($H:$H,$E:$E=F341))"),"#N/A")</f>
        <v>#N/A</v>
      </c>
    </row>
    <row r="342">
      <c r="A342" s="4"/>
      <c r="C342" s="4" t="s">
        <v>1998</v>
      </c>
      <c r="D342" s="4" t="str">
        <f t="shared" si="1"/>
        <v>{"valorA":"freezer","valorB":118}</v>
      </c>
      <c r="E342" s="8" t="str">
        <f t="shared" si="2"/>
        <v>freezer</v>
      </c>
      <c r="F342" s="8"/>
      <c r="G342" s="8" t="str">
        <f t="shared" si="3"/>
        <v>118</v>
      </c>
      <c r="H342" s="9">
        <f t="shared" si="4"/>
        <v>118</v>
      </c>
      <c r="I342" s="6" t="str">
        <f>IFERROR(__xludf.DUMMYFUNCTION("MAX(FILTER($H:$H,$E:$E=F342))"),"#N/A")</f>
        <v>#N/A</v>
      </c>
    </row>
    <row r="343">
      <c r="A343" s="4"/>
      <c r="C343" s="4" t="s">
        <v>1997</v>
      </c>
      <c r="D343" s="4" t="str">
        <f t="shared" si="1"/>
        <v>{"valorA":"ar condicionado","valorB":111}</v>
      </c>
      <c r="E343" s="8" t="str">
        <f t="shared" si="2"/>
        <v>ar condicionado</v>
      </c>
      <c r="F343" s="8"/>
      <c r="G343" s="8" t="str">
        <f t="shared" si="3"/>
        <v>111</v>
      </c>
      <c r="H343" s="9">
        <f t="shared" si="4"/>
        <v>111</v>
      </c>
      <c r="I343" s="6" t="str">
        <f>IFERROR(__xludf.DUMMYFUNCTION("MAX(FILTER($H:$H,$E:$E=F343))"),"#N/A")</f>
        <v>#N/A</v>
      </c>
    </row>
    <row r="344">
      <c r="A344" s="4"/>
      <c r="C344" s="4" t="s">
        <v>2001</v>
      </c>
      <c r="D344" s="4" t="str">
        <f t="shared" si="1"/>
        <v>{"valorA":"freezer","valorB":119}</v>
      </c>
      <c r="E344" s="8" t="str">
        <f t="shared" si="2"/>
        <v>freezer</v>
      </c>
      <c r="F344" s="8"/>
      <c r="G344" s="8" t="str">
        <f t="shared" si="3"/>
        <v>119</v>
      </c>
      <c r="H344" s="9">
        <f t="shared" si="4"/>
        <v>119</v>
      </c>
      <c r="I344" s="6" t="str">
        <f>IFERROR(__xludf.DUMMYFUNCTION("MAX(FILTER($H:$H,$E:$E=F344))"),"#N/A")</f>
        <v>#N/A</v>
      </c>
    </row>
    <row r="345">
      <c r="A345" s="4"/>
      <c r="C345" s="4" t="s">
        <v>2002</v>
      </c>
      <c r="D345" s="4" t="str">
        <f t="shared" si="1"/>
        <v>{"valorA":"microondas","valorB":114}</v>
      </c>
      <c r="E345" s="8" t="str">
        <f t="shared" si="2"/>
        <v>microondas</v>
      </c>
      <c r="F345" s="8"/>
      <c r="G345" s="8" t="str">
        <f t="shared" si="3"/>
        <v>114</v>
      </c>
      <c r="H345" s="9">
        <f t="shared" si="4"/>
        <v>114</v>
      </c>
      <c r="I345" s="6" t="str">
        <f>IFERROR(__xludf.DUMMYFUNCTION("MAX(FILTER($H:$H,$E:$E=F345))"),"#N/A")</f>
        <v>#N/A</v>
      </c>
    </row>
    <row r="346">
      <c r="A346" s="4"/>
      <c r="C346" s="4" t="s">
        <v>1999</v>
      </c>
      <c r="D346" s="4" t="str">
        <f t="shared" si="1"/>
        <v>{"valorA":"ar condicionado","valorB":112}</v>
      </c>
      <c r="E346" s="8" t="str">
        <f t="shared" si="2"/>
        <v>ar condicionado</v>
      </c>
      <c r="F346" s="8"/>
      <c r="G346" s="8" t="str">
        <f t="shared" si="3"/>
        <v>112</v>
      </c>
      <c r="H346" s="9">
        <f t="shared" si="4"/>
        <v>112</v>
      </c>
      <c r="I346" s="6" t="str">
        <f>IFERROR(__xludf.DUMMYFUNCTION("MAX(FILTER($H:$H,$E:$E=F346))"),"#N/A")</f>
        <v>#N/A</v>
      </c>
    </row>
    <row r="347">
      <c r="A347" s="4"/>
      <c r="C347" s="4" t="s">
        <v>2011</v>
      </c>
      <c r="D347" s="4" t="str">
        <f t="shared" si="1"/>
        <v>{"valorA":"freezer","valorB":120}</v>
      </c>
      <c r="E347" s="8" t="str">
        <f t="shared" si="2"/>
        <v>freezer</v>
      </c>
      <c r="F347" s="8"/>
      <c r="G347" s="8" t="str">
        <f t="shared" si="3"/>
        <v>120</v>
      </c>
      <c r="H347" s="9">
        <f t="shared" si="4"/>
        <v>120</v>
      </c>
      <c r="I347" s="6" t="str">
        <f>IFERROR(__xludf.DUMMYFUNCTION("MAX(FILTER($H:$H,$E:$E=F347))"),"#N/A")</f>
        <v>#N/A</v>
      </c>
    </row>
    <row r="348">
      <c r="A348" s="4"/>
      <c r="C348" s="4" t="s">
        <v>2007</v>
      </c>
      <c r="D348" s="4" t="str">
        <f t="shared" si="1"/>
        <v>{"valorA":"microondas","valorB":115}</v>
      </c>
      <c r="E348" s="8" t="str">
        <f t="shared" si="2"/>
        <v>microondas</v>
      </c>
      <c r="F348" s="8"/>
      <c r="G348" s="8" t="str">
        <f t="shared" si="3"/>
        <v>115</v>
      </c>
      <c r="H348" s="9">
        <f t="shared" si="4"/>
        <v>115</v>
      </c>
      <c r="I348" s="6" t="str">
        <f>IFERROR(__xludf.DUMMYFUNCTION("MAX(FILTER($H:$H,$E:$E=F348))"),"#N/A")</f>
        <v>#N/A</v>
      </c>
    </row>
    <row r="349">
      <c r="A349" s="4"/>
      <c r="C349" s="4" t="s">
        <v>2012</v>
      </c>
      <c r="D349" s="4" t="str">
        <f t="shared" si="1"/>
        <v>{"valorA":"freezer","valorB":121}</v>
      </c>
      <c r="E349" s="8" t="str">
        <f t="shared" si="2"/>
        <v>freezer</v>
      </c>
      <c r="F349" s="8"/>
      <c r="G349" s="8" t="str">
        <f t="shared" si="3"/>
        <v>121</v>
      </c>
      <c r="H349" s="9">
        <f t="shared" si="4"/>
        <v>121</v>
      </c>
      <c r="I349" s="6" t="str">
        <f>IFERROR(__xludf.DUMMYFUNCTION("MAX(FILTER($H:$H,$E:$E=F349))"),"#N/A")</f>
        <v>#N/A</v>
      </c>
    </row>
    <row r="350">
      <c r="A350" s="4"/>
      <c r="C350" s="4" t="s">
        <v>2013</v>
      </c>
      <c r="D350" s="4" t="str">
        <f t="shared" si="1"/>
        <v>{"valorA":"freezer","valorB":122}</v>
      </c>
      <c r="E350" s="8" t="str">
        <f t="shared" si="2"/>
        <v>freezer</v>
      </c>
      <c r="F350" s="8"/>
      <c r="G350" s="8" t="str">
        <f t="shared" si="3"/>
        <v>122</v>
      </c>
      <c r="H350" s="9">
        <f t="shared" si="4"/>
        <v>122</v>
      </c>
      <c r="I350" s="6" t="str">
        <f>IFERROR(__xludf.DUMMYFUNCTION("MAX(FILTER($H:$H,$E:$E=F350))"),"#N/A")</f>
        <v>#N/A</v>
      </c>
    </row>
    <row r="351">
      <c r="A351" s="4"/>
      <c r="C351" s="4" t="s">
        <v>2003</v>
      </c>
      <c r="D351" s="4" t="str">
        <f t="shared" si="1"/>
        <v>{"valorA":"ar condicionado","valorB":113}</v>
      </c>
      <c r="E351" s="8" t="str">
        <f t="shared" si="2"/>
        <v>ar condicionado</v>
      </c>
      <c r="F351" s="8"/>
      <c r="G351" s="8" t="str">
        <f t="shared" si="3"/>
        <v>113</v>
      </c>
      <c r="H351" s="9">
        <f t="shared" si="4"/>
        <v>113</v>
      </c>
      <c r="I351" s="6" t="str">
        <f>IFERROR(__xludf.DUMMYFUNCTION("MAX(FILTER($H:$H,$E:$E=F351))"),"#N/A")</f>
        <v>#N/A</v>
      </c>
    </row>
    <row r="352">
      <c r="A352" s="4"/>
      <c r="C352" s="4" t="s">
        <v>2014</v>
      </c>
      <c r="D352" s="4" t="str">
        <f t="shared" si="1"/>
        <v>{"valorA":"microondas","valorB":116}</v>
      </c>
      <c r="E352" s="8" t="str">
        <f t="shared" si="2"/>
        <v>microondas</v>
      </c>
      <c r="F352" s="8"/>
      <c r="G352" s="8" t="str">
        <f t="shared" si="3"/>
        <v>116</v>
      </c>
      <c r="H352" s="9">
        <f t="shared" si="4"/>
        <v>116</v>
      </c>
      <c r="I352" s="6" t="str">
        <f>IFERROR(__xludf.DUMMYFUNCTION("MAX(FILTER($H:$H,$E:$E=F352))"),"#N/A")</f>
        <v>#N/A</v>
      </c>
    </row>
    <row r="353">
      <c r="A353" s="4"/>
      <c r="C353" s="4" t="s">
        <v>2017</v>
      </c>
      <c r="D353" s="4" t="str">
        <f t="shared" si="1"/>
        <v>{"valorA":"freezer","valorB":123}</v>
      </c>
      <c r="E353" s="8" t="str">
        <f t="shared" si="2"/>
        <v>freezer</v>
      </c>
      <c r="F353" s="8"/>
      <c r="G353" s="8" t="str">
        <f t="shared" si="3"/>
        <v>123</v>
      </c>
      <c r="H353" s="9">
        <f t="shared" si="4"/>
        <v>123</v>
      </c>
      <c r="I353" s="6" t="str">
        <f>IFERROR(__xludf.DUMMYFUNCTION("MAX(FILTER($H:$H,$E:$E=F353))"),"#N/A")</f>
        <v>#N/A</v>
      </c>
    </row>
    <row r="354">
      <c r="A354" s="4"/>
      <c r="C354" s="4" t="s">
        <v>2018</v>
      </c>
      <c r="D354" s="4" t="str">
        <f t="shared" si="1"/>
        <v>{"valorA":"freezer","valorB":124}</v>
      </c>
      <c r="E354" s="8" t="str">
        <f t="shared" si="2"/>
        <v>freezer</v>
      </c>
      <c r="F354" s="8"/>
      <c r="G354" s="8" t="str">
        <f t="shared" si="3"/>
        <v>124</v>
      </c>
      <c r="H354" s="9">
        <f t="shared" si="4"/>
        <v>124</v>
      </c>
      <c r="I354" s="6" t="str">
        <f>IFERROR(__xludf.DUMMYFUNCTION("MAX(FILTER($H:$H,$E:$E=F354))"),"#N/A")</f>
        <v>#N/A</v>
      </c>
    </row>
    <row r="355">
      <c r="A355" s="4"/>
      <c r="C355" s="4" t="s">
        <v>2020</v>
      </c>
      <c r="D355" s="4" t="str">
        <f t="shared" si="1"/>
        <v>{"valorA":"freezer","valorB":125}</v>
      </c>
      <c r="E355" s="8" t="str">
        <f t="shared" si="2"/>
        <v>freezer</v>
      </c>
      <c r="F355" s="8"/>
      <c r="G355" s="8" t="str">
        <f t="shared" si="3"/>
        <v>125</v>
      </c>
      <c r="H355" s="9">
        <f t="shared" si="4"/>
        <v>125</v>
      </c>
      <c r="I355" s="6" t="str">
        <f>IFERROR(__xludf.DUMMYFUNCTION("MAX(FILTER($H:$H,$E:$E=F355))"),"#N/A")</f>
        <v>#N/A</v>
      </c>
    </row>
    <row r="356">
      <c r="A356" s="4"/>
      <c r="C356" s="4" t="s">
        <v>2015</v>
      </c>
      <c r="D356" s="4" t="str">
        <f t="shared" si="1"/>
        <v>{"valorA":"microondas","valorB":117}</v>
      </c>
      <c r="E356" s="8" t="str">
        <f t="shared" si="2"/>
        <v>microondas</v>
      </c>
      <c r="F356" s="8"/>
      <c r="G356" s="8" t="str">
        <f t="shared" si="3"/>
        <v>117</v>
      </c>
      <c r="H356" s="9">
        <f t="shared" si="4"/>
        <v>117</v>
      </c>
      <c r="I356" s="6" t="str">
        <f>IFERROR(__xludf.DUMMYFUNCTION("MAX(FILTER($H:$H,$E:$E=F356))"),"#N/A")</f>
        <v>#N/A</v>
      </c>
    </row>
    <row r="357">
      <c r="A357" s="4"/>
      <c r="C357" s="4" t="s">
        <v>2019</v>
      </c>
      <c r="D357" s="4" t="str">
        <f t="shared" si="1"/>
        <v>{"valorA":"microondas","valorB":118}</v>
      </c>
      <c r="E357" s="8" t="str">
        <f t="shared" si="2"/>
        <v>microondas</v>
      </c>
      <c r="F357" s="8"/>
      <c r="G357" s="8" t="str">
        <f t="shared" si="3"/>
        <v>118</v>
      </c>
      <c r="H357" s="9">
        <f t="shared" si="4"/>
        <v>118</v>
      </c>
      <c r="I357" s="6" t="str">
        <f>IFERROR(__xludf.DUMMYFUNCTION("MAX(FILTER($H:$H,$E:$E=F357))"),"#N/A")</f>
        <v>#N/A</v>
      </c>
    </row>
    <row r="358">
      <c r="A358" s="4"/>
      <c r="C358" s="4" t="s">
        <v>2004</v>
      </c>
      <c r="D358" s="4" t="str">
        <f t="shared" si="1"/>
        <v>{"valorA":"ar condicionado","valorB":114}</v>
      </c>
      <c r="E358" s="8" t="str">
        <f t="shared" si="2"/>
        <v>ar condicionado</v>
      </c>
      <c r="F358" s="8"/>
      <c r="G358" s="8" t="str">
        <f t="shared" si="3"/>
        <v>114</v>
      </c>
      <c r="H358" s="9">
        <f t="shared" si="4"/>
        <v>114</v>
      </c>
      <c r="I358" s="6" t="str">
        <f>IFERROR(__xludf.DUMMYFUNCTION("MAX(FILTER($H:$H,$E:$E=F358))"),"#N/A")</f>
        <v>#N/A</v>
      </c>
    </row>
    <row r="359">
      <c r="A359" s="4"/>
      <c r="C359" s="4" t="s">
        <v>2005</v>
      </c>
      <c r="D359" s="4" t="str">
        <f t="shared" si="1"/>
        <v>{"valorA":"ar condicionado","valorB":115}</v>
      </c>
      <c r="E359" s="8" t="str">
        <f t="shared" si="2"/>
        <v>ar condicionado</v>
      </c>
      <c r="F359" s="8"/>
      <c r="G359" s="8" t="str">
        <f t="shared" si="3"/>
        <v>115</v>
      </c>
      <c r="H359" s="9">
        <f t="shared" si="4"/>
        <v>115</v>
      </c>
      <c r="I359" s="6" t="str">
        <f>IFERROR(__xludf.DUMMYFUNCTION("MAX(FILTER($H:$H,$E:$E=F359))"),"#N/A")</f>
        <v>#N/A</v>
      </c>
    </row>
    <row r="360">
      <c r="A360" s="4"/>
      <c r="C360" s="4" t="s">
        <v>2026</v>
      </c>
      <c r="D360" s="4" t="str">
        <f t="shared" si="1"/>
        <v>{"valorA":"microondas","valorB":119}</v>
      </c>
      <c r="E360" s="8" t="str">
        <f t="shared" si="2"/>
        <v>microondas</v>
      </c>
      <c r="F360" s="8"/>
      <c r="G360" s="8" t="str">
        <f t="shared" si="3"/>
        <v>119</v>
      </c>
      <c r="H360" s="9">
        <f t="shared" si="4"/>
        <v>119</v>
      </c>
      <c r="I360" s="6" t="str">
        <f>IFERROR(__xludf.DUMMYFUNCTION("MAX(FILTER($H:$H,$E:$E=F360))"),"#N/A")</f>
        <v>#N/A</v>
      </c>
    </row>
    <row r="361">
      <c r="A361" s="4"/>
      <c r="C361" s="4" t="s">
        <v>2021</v>
      </c>
      <c r="D361" s="4" t="str">
        <f t="shared" si="1"/>
        <v>{"valorA":"freezer","valorB":126}</v>
      </c>
      <c r="E361" s="8" t="str">
        <f t="shared" si="2"/>
        <v>freezer</v>
      </c>
      <c r="F361" s="8"/>
      <c r="G361" s="8" t="str">
        <f t="shared" si="3"/>
        <v>126</v>
      </c>
      <c r="H361" s="9">
        <f t="shared" si="4"/>
        <v>126</v>
      </c>
      <c r="I361" s="6" t="str">
        <f>IFERROR(__xludf.DUMMYFUNCTION("MAX(FILTER($H:$H,$E:$E=F361))"),"#N/A")</f>
        <v>#N/A</v>
      </c>
    </row>
    <row r="362">
      <c r="A362" s="4"/>
      <c r="C362" s="4" t="s">
        <v>2006</v>
      </c>
      <c r="D362" s="4" t="str">
        <f t="shared" si="1"/>
        <v>{"valorA":"ar condicionado","valorB":116}</v>
      </c>
      <c r="E362" s="8" t="str">
        <f t="shared" si="2"/>
        <v>ar condicionado</v>
      </c>
      <c r="F362" s="8"/>
      <c r="G362" s="8" t="str">
        <f t="shared" si="3"/>
        <v>116</v>
      </c>
      <c r="H362" s="9">
        <f t="shared" si="4"/>
        <v>116</v>
      </c>
      <c r="I362" s="6" t="str">
        <f>IFERROR(__xludf.DUMMYFUNCTION("MAX(FILTER($H:$H,$E:$E=F362))"),"#N/A")</f>
        <v>#N/A</v>
      </c>
    </row>
    <row r="363">
      <c r="A363" s="4"/>
      <c r="C363" s="4" t="s">
        <v>2022</v>
      </c>
      <c r="D363" s="4" t="str">
        <f t="shared" si="1"/>
        <v>{"valorA":"freezer","valorB":127}</v>
      </c>
      <c r="E363" s="8" t="str">
        <f t="shared" si="2"/>
        <v>freezer</v>
      </c>
      <c r="F363" s="8"/>
      <c r="G363" s="8" t="str">
        <f t="shared" si="3"/>
        <v>127</v>
      </c>
      <c r="H363" s="9">
        <f t="shared" si="4"/>
        <v>127</v>
      </c>
      <c r="I363" s="6" t="str">
        <f>IFERROR(__xludf.DUMMYFUNCTION("MAX(FILTER($H:$H,$E:$E=F363))"),"#N/A")</f>
        <v>#N/A</v>
      </c>
    </row>
    <row r="364">
      <c r="A364" s="4"/>
      <c r="C364" s="4" t="s">
        <v>2023</v>
      </c>
      <c r="D364" s="4" t="str">
        <f t="shared" si="1"/>
        <v>{"valorA":"freezer","valorB":128}</v>
      </c>
      <c r="E364" s="8" t="str">
        <f t="shared" si="2"/>
        <v>freezer</v>
      </c>
      <c r="F364" s="8"/>
      <c r="G364" s="8" t="str">
        <f t="shared" si="3"/>
        <v>128</v>
      </c>
      <c r="H364" s="9">
        <f t="shared" si="4"/>
        <v>128</v>
      </c>
      <c r="I364" s="6" t="str">
        <f>IFERROR(__xludf.DUMMYFUNCTION("MAX(FILTER($H:$H,$E:$E=F364))"),"#N/A")</f>
        <v>#N/A</v>
      </c>
    </row>
    <row r="365">
      <c r="A365" s="4"/>
      <c r="C365" s="4" t="s">
        <v>2008</v>
      </c>
      <c r="D365" s="4" t="str">
        <f t="shared" si="1"/>
        <v>{"valorA":"ar condicionado","valorB":117}</v>
      </c>
      <c r="E365" s="8" t="str">
        <f t="shared" si="2"/>
        <v>ar condicionado</v>
      </c>
      <c r="F365" s="8"/>
      <c r="G365" s="8" t="str">
        <f t="shared" si="3"/>
        <v>117</v>
      </c>
      <c r="H365" s="9">
        <f t="shared" si="4"/>
        <v>117</v>
      </c>
      <c r="I365" s="6" t="str">
        <f>IFERROR(__xludf.DUMMYFUNCTION("MAX(FILTER($H:$H,$E:$E=F365))"),"#N/A")</f>
        <v>#N/A</v>
      </c>
    </row>
    <row r="366">
      <c r="A366" s="4"/>
      <c r="C366" s="4" t="s">
        <v>2032</v>
      </c>
      <c r="D366" s="4" t="str">
        <f t="shared" si="1"/>
        <v>{"valorA":"microondas","valorB":120}</v>
      </c>
      <c r="E366" s="8" t="str">
        <f t="shared" si="2"/>
        <v>microondas</v>
      </c>
      <c r="F366" s="8"/>
      <c r="G366" s="8" t="str">
        <f t="shared" si="3"/>
        <v>120</v>
      </c>
      <c r="H366" s="9">
        <f t="shared" si="4"/>
        <v>120</v>
      </c>
      <c r="I366" s="6" t="str">
        <f>IFERROR(__xludf.DUMMYFUNCTION("MAX(FILTER($H:$H,$E:$E=F366))"),"#N/A")</f>
        <v>#N/A</v>
      </c>
    </row>
    <row r="367">
      <c r="A367" s="4"/>
      <c r="C367" s="4" t="s">
        <v>2033</v>
      </c>
      <c r="D367" s="4" t="str">
        <f t="shared" si="1"/>
        <v>{"valorA":"microondas","valorB":121}</v>
      </c>
      <c r="E367" s="8" t="str">
        <f t="shared" si="2"/>
        <v>microondas</v>
      </c>
      <c r="F367" s="8"/>
      <c r="G367" s="8" t="str">
        <f t="shared" si="3"/>
        <v>121</v>
      </c>
      <c r="H367" s="9">
        <f t="shared" si="4"/>
        <v>121</v>
      </c>
      <c r="I367" s="6" t="str">
        <f>IFERROR(__xludf.DUMMYFUNCTION("MAX(FILTER($H:$H,$E:$E=F367))"),"#N/A")</f>
        <v>#N/A</v>
      </c>
    </row>
    <row r="368">
      <c r="A368" s="4"/>
      <c r="C368" s="4" t="s">
        <v>2009</v>
      </c>
      <c r="D368" s="4" t="str">
        <f t="shared" si="1"/>
        <v>{"valorA":"ar condicionado","valorB":118}</v>
      </c>
      <c r="E368" s="8" t="str">
        <f t="shared" si="2"/>
        <v>ar condicionado</v>
      </c>
      <c r="F368" s="8"/>
      <c r="G368" s="8" t="str">
        <f t="shared" si="3"/>
        <v>118</v>
      </c>
      <c r="H368" s="9">
        <f t="shared" si="4"/>
        <v>118</v>
      </c>
      <c r="I368" s="6" t="str">
        <f>IFERROR(__xludf.DUMMYFUNCTION("MAX(FILTER($H:$H,$E:$E=F368))"),"#N/A")</f>
        <v>#N/A</v>
      </c>
    </row>
    <row r="369">
      <c r="A369" s="4"/>
      <c r="C369" s="4" t="s">
        <v>2010</v>
      </c>
      <c r="D369" s="4" t="str">
        <f t="shared" si="1"/>
        <v>{"valorA":"ar condicionado","valorB":119}</v>
      </c>
      <c r="E369" s="8" t="str">
        <f t="shared" si="2"/>
        <v>ar condicionado</v>
      </c>
      <c r="F369" s="8"/>
      <c r="G369" s="8" t="str">
        <f t="shared" si="3"/>
        <v>119</v>
      </c>
      <c r="H369" s="9">
        <f t="shared" si="4"/>
        <v>119</v>
      </c>
      <c r="I369" s="6" t="str">
        <f>IFERROR(__xludf.DUMMYFUNCTION("MAX(FILTER($H:$H,$E:$E=F369))"),"#N/A")</f>
        <v>#N/A</v>
      </c>
    </row>
    <row r="370">
      <c r="A370" s="4"/>
      <c r="C370" s="4" t="s">
        <v>2016</v>
      </c>
      <c r="D370" s="4" t="str">
        <f t="shared" si="1"/>
        <v>{"valorA":"ar condicionado","valorB":120}</v>
      </c>
      <c r="E370" s="8" t="str">
        <f t="shared" si="2"/>
        <v>ar condicionado</v>
      </c>
      <c r="F370" s="8"/>
      <c r="G370" s="8" t="str">
        <f t="shared" si="3"/>
        <v>120</v>
      </c>
      <c r="H370" s="9">
        <f t="shared" si="4"/>
        <v>120</v>
      </c>
      <c r="I370" s="6" t="str">
        <f>IFERROR(__xludf.DUMMYFUNCTION("MAX(FILTER($H:$H,$E:$E=F370))"),"#N/A")</f>
        <v>#N/A</v>
      </c>
    </row>
    <row r="371">
      <c r="A371" s="4"/>
      <c r="C371" s="4" t="s">
        <v>2036</v>
      </c>
      <c r="D371" s="4" t="str">
        <f t="shared" si="1"/>
        <v>{"valorA":"microondas","valorB":122}</v>
      </c>
      <c r="E371" s="8" t="str">
        <f t="shared" si="2"/>
        <v>microondas</v>
      </c>
      <c r="F371" s="8"/>
      <c r="G371" s="8" t="str">
        <f t="shared" si="3"/>
        <v>122</v>
      </c>
      <c r="H371" s="9">
        <f t="shared" si="4"/>
        <v>122</v>
      </c>
      <c r="I371" s="6" t="str">
        <f>IFERROR(__xludf.DUMMYFUNCTION("MAX(FILTER($H:$H,$E:$E=F371))"),"#N/A")</f>
        <v>#N/A</v>
      </c>
    </row>
    <row r="372">
      <c r="A372" s="4"/>
      <c r="C372" s="4" t="s">
        <v>2038</v>
      </c>
      <c r="D372" s="4" t="str">
        <f t="shared" si="1"/>
        <v>{"valorA":"microondas","valorB":123}</v>
      </c>
      <c r="E372" s="8" t="str">
        <f t="shared" si="2"/>
        <v>microondas</v>
      </c>
      <c r="F372" s="8"/>
      <c r="G372" s="8" t="str">
        <f t="shared" si="3"/>
        <v>123</v>
      </c>
      <c r="H372" s="9">
        <f t="shared" si="4"/>
        <v>123</v>
      </c>
      <c r="I372" s="6" t="str">
        <f>IFERROR(__xludf.DUMMYFUNCTION("MAX(FILTER($H:$H,$E:$E=F372))"),"#N/A")</f>
        <v>#N/A</v>
      </c>
    </row>
    <row r="373">
      <c r="A373" s="4"/>
      <c r="C373" s="4" t="s">
        <v>2024</v>
      </c>
      <c r="D373" s="4" t="str">
        <f t="shared" si="1"/>
        <v>{"valorA":"ar condicionado","valorB":121}</v>
      </c>
      <c r="E373" s="8" t="str">
        <f t="shared" si="2"/>
        <v>ar condicionado</v>
      </c>
      <c r="F373" s="8"/>
      <c r="G373" s="8" t="str">
        <f t="shared" si="3"/>
        <v>121</v>
      </c>
      <c r="H373" s="9">
        <f t="shared" si="4"/>
        <v>121</v>
      </c>
      <c r="I373" s="6" t="str">
        <f>IFERROR(__xludf.DUMMYFUNCTION("MAX(FILTER($H:$H,$E:$E=F373))"),"#N/A")</f>
        <v>#N/A</v>
      </c>
    </row>
    <row r="374">
      <c r="A374" s="4"/>
      <c r="C374" s="4" t="s">
        <v>2025</v>
      </c>
      <c r="D374" s="4" t="str">
        <f t="shared" si="1"/>
        <v>{"valorA":"ar condicionado","valorB":122}</v>
      </c>
      <c r="E374" s="8" t="str">
        <f t="shared" si="2"/>
        <v>ar condicionado</v>
      </c>
      <c r="F374" s="8"/>
      <c r="G374" s="8" t="str">
        <f t="shared" si="3"/>
        <v>122</v>
      </c>
      <c r="H374" s="9">
        <f t="shared" si="4"/>
        <v>122</v>
      </c>
      <c r="I374" s="6" t="str">
        <f>IFERROR(__xludf.DUMMYFUNCTION("MAX(FILTER($H:$H,$E:$E=F374))"),"#N/A")</f>
        <v>#N/A</v>
      </c>
    </row>
    <row r="375">
      <c r="A375" s="4"/>
      <c r="C375" s="4" t="s">
        <v>2029</v>
      </c>
      <c r="D375" s="4" t="str">
        <f t="shared" si="1"/>
        <v>{"valorA":"freezer","valorB":129}</v>
      </c>
      <c r="E375" s="8" t="str">
        <f t="shared" si="2"/>
        <v>freezer</v>
      </c>
      <c r="F375" s="8"/>
      <c r="G375" s="8" t="str">
        <f t="shared" si="3"/>
        <v>129</v>
      </c>
      <c r="H375" s="9">
        <f t="shared" si="4"/>
        <v>129</v>
      </c>
      <c r="I375" s="6" t="str">
        <f>IFERROR(__xludf.DUMMYFUNCTION("MAX(FILTER($H:$H,$E:$E=F375))"),"#N/A")</f>
        <v>#N/A</v>
      </c>
    </row>
    <row r="376">
      <c r="A376" s="4"/>
      <c r="C376" s="4" t="s">
        <v>2027</v>
      </c>
      <c r="D376" s="4" t="str">
        <f t="shared" si="1"/>
        <v>{"valorA":"ar condicionado","valorB":123}</v>
      </c>
      <c r="E376" s="8" t="str">
        <f t="shared" si="2"/>
        <v>ar condicionado</v>
      </c>
      <c r="F376" s="8"/>
      <c r="G376" s="8" t="str">
        <f t="shared" si="3"/>
        <v>123</v>
      </c>
      <c r="H376" s="9">
        <f t="shared" si="4"/>
        <v>123</v>
      </c>
      <c r="I376" s="6" t="str">
        <f>IFERROR(__xludf.DUMMYFUNCTION("MAX(FILTER($H:$H,$E:$E=F376))"),"#N/A")</f>
        <v>#N/A</v>
      </c>
    </row>
    <row r="377">
      <c r="A377" s="4"/>
      <c r="C377" s="4" t="s">
        <v>2031</v>
      </c>
      <c r="D377" s="4" t="str">
        <f t="shared" si="1"/>
        <v>{"valorA":"freezer","valorB":130}</v>
      </c>
      <c r="E377" s="8" t="str">
        <f t="shared" si="2"/>
        <v>freezer</v>
      </c>
      <c r="F377" s="8"/>
      <c r="G377" s="8" t="str">
        <f t="shared" si="3"/>
        <v>130</v>
      </c>
      <c r="H377" s="9">
        <f t="shared" si="4"/>
        <v>130</v>
      </c>
      <c r="I377" s="6" t="str">
        <f>IFERROR(__xludf.DUMMYFUNCTION("MAX(FILTER($H:$H,$E:$E=F377))"),"#N/A")</f>
        <v>#N/A</v>
      </c>
    </row>
    <row r="378">
      <c r="A378" s="4"/>
      <c r="C378" s="4" t="s">
        <v>2028</v>
      </c>
      <c r="D378" s="4" t="str">
        <f t="shared" si="1"/>
        <v>{"valorA":"ar condicionado","valorB":124}</v>
      </c>
      <c r="E378" s="8" t="str">
        <f t="shared" si="2"/>
        <v>ar condicionado</v>
      </c>
      <c r="F378" s="8"/>
      <c r="G378" s="8" t="str">
        <f t="shared" si="3"/>
        <v>124</v>
      </c>
      <c r="H378" s="9">
        <f t="shared" si="4"/>
        <v>124</v>
      </c>
      <c r="I378" s="6" t="str">
        <f>IFERROR(__xludf.DUMMYFUNCTION("MAX(FILTER($H:$H,$E:$E=F378))"),"#N/A")</f>
        <v>#N/A</v>
      </c>
    </row>
    <row r="379">
      <c r="A379" s="4"/>
      <c r="C379" s="4" t="s">
        <v>2035</v>
      </c>
      <c r="D379" s="4" t="str">
        <f t="shared" si="1"/>
        <v>{"valorA":"freezer","valorB":131}</v>
      </c>
      <c r="E379" s="8" t="str">
        <f t="shared" si="2"/>
        <v>freezer</v>
      </c>
      <c r="F379" s="8"/>
      <c r="G379" s="8" t="str">
        <f t="shared" si="3"/>
        <v>131</v>
      </c>
      <c r="H379" s="9">
        <f t="shared" si="4"/>
        <v>131</v>
      </c>
      <c r="I379" s="6" t="str">
        <f>IFERROR(__xludf.DUMMYFUNCTION("MAX(FILTER($H:$H,$E:$E=F379))"),"#N/A")</f>
        <v>#N/A</v>
      </c>
    </row>
    <row r="380">
      <c r="A380" s="4"/>
      <c r="C380" s="4" t="s">
        <v>2041</v>
      </c>
      <c r="D380" s="4" t="str">
        <f t="shared" si="1"/>
        <v>{"valorA":"freezer","valorB":132}</v>
      </c>
      <c r="E380" s="8" t="str">
        <f t="shared" si="2"/>
        <v>freezer</v>
      </c>
      <c r="F380" s="8"/>
      <c r="G380" s="8" t="str">
        <f t="shared" si="3"/>
        <v>132</v>
      </c>
      <c r="H380" s="9">
        <f t="shared" si="4"/>
        <v>132</v>
      </c>
      <c r="I380" s="6" t="str">
        <f>IFERROR(__xludf.DUMMYFUNCTION("MAX(FILTER($H:$H,$E:$E=F380))"),"#N/A")</f>
        <v>#N/A</v>
      </c>
    </row>
    <row r="381">
      <c r="A381" s="4"/>
      <c r="C381" s="4" t="s">
        <v>2045</v>
      </c>
      <c r="D381" s="4" t="str">
        <f t="shared" si="1"/>
        <v>{"valorA":"freezer","valorB":133}</v>
      </c>
      <c r="E381" s="8" t="str">
        <f t="shared" si="2"/>
        <v>freezer</v>
      </c>
      <c r="F381" s="8"/>
      <c r="G381" s="8" t="str">
        <f t="shared" si="3"/>
        <v>133</v>
      </c>
      <c r="H381" s="9">
        <f t="shared" si="4"/>
        <v>133</v>
      </c>
      <c r="I381" s="6" t="str">
        <f>IFERROR(__xludf.DUMMYFUNCTION("MAX(FILTER($H:$H,$E:$E=F381))"),"#N/A")</f>
        <v>#N/A</v>
      </c>
    </row>
    <row r="382">
      <c r="A382" s="4"/>
      <c r="C382" s="4" t="s">
        <v>2040</v>
      </c>
      <c r="D382" s="4" t="str">
        <f t="shared" si="1"/>
        <v>{"valorA":"microondas","valorB":124}</v>
      </c>
      <c r="E382" s="8" t="str">
        <f t="shared" si="2"/>
        <v>microondas</v>
      </c>
      <c r="F382" s="8"/>
      <c r="G382" s="8" t="str">
        <f t="shared" si="3"/>
        <v>124</v>
      </c>
      <c r="H382" s="9">
        <f t="shared" si="4"/>
        <v>124</v>
      </c>
      <c r="I382" s="6" t="str">
        <f>IFERROR(__xludf.DUMMYFUNCTION("MAX(FILTER($H:$H,$E:$E=F382))"),"#N/A")</f>
        <v>#N/A</v>
      </c>
    </row>
    <row r="383">
      <c r="A383" s="4"/>
      <c r="C383" s="4" t="s">
        <v>2049</v>
      </c>
      <c r="D383" s="4" t="str">
        <f t="shared" si="1"/>
        <v>{"valorA":"freezer","valorB":134}</v>
      </c>
      <c r="E383" s="8" t="str">
        <f t="shared" si="2"/>
        <v>freezer</v>
      </c>
      <c r="F383" s="8"/>
      <c r="G383" s="8" t="str">
        <f t="shared" si="3"/>
        <v>134</v>
      </c>
      <c r="H383" s="9">
        <f t="shared" si="4"/>
        <v>134</v>
      </c>
      <c r="I383" s="6" t="str">
        <f>IFERROR(__xludf.DUMMYFUNCTION("MAX(FILTER($H:$H,$E:$E=F383))"),"#N/A")</f>
        <v>#N/A</v>
      </c>
    </row>
    <row r="384">
      <c r="A384" s="4"/>
      <c r="C384" s="4" t="s">
        <v>2030</v>
      </c>
      <c r="D384" s="4" t="str">
        <f t="shared" si="1"/>
        <v>{"valorA":"ar condicionado","valorB":125}</v>
      </c>
      <c r="E384" s="8" t="str">
        <f t="shared" si="2"/>
        <v>ar condicionado</v>
      </c>
      <c r="F384" s="8"/>
      <c r="G384" s="8" t="str">
        <f t="shared" si="3"/>
        <v>125</v>
      </c>
      <c r="H384" s="9">
        <f t="shared" si="4"/>
        <v>125</v>
      </c>
      <c r="I384" s="6" t="str">
        <f>IFERROR(__xludf.DUMMYFUNCTION("MAX(FILTER($H:$H,$E:$E=F384))"),"#N/A")</f>
        <v>#N/A</v>
      </c>
    </row>
    <row r="385">
      <c r="A385" s="4"/>
      <c r="C385" s="4" t="s">
        <v>2034</v>
      </c>
      <c r="D385" s="4" t="str">
        <f t="shared" si="1"/>
        <v>{"valorA":"ar condicionado","valorB":126}</v>
      </c>
      <c r="E385" s="8" t="str">
        <f t="shared" si="2"/>
        <v>ar condicionado</v>
      </c>
      <c r="F385" s="8"/>
      <c r="G385" s="8" t="str">
        <f t="shared" si="3"/>
        <v>126</v>
      </c>
      <c r="H385" s="9">
        <f t="shared" si="4"/>
        <v>126</v>
      </c>
      <c r="I385" s="6" t="str">
        <f>IFERROR(__xludf.DUMMYFUNCTION("MAX(FILTER($H:$H,$E:$E=F385))"),"#N/A")</f>
        <v>#N/A</v>
      </c>
    </row>
    <row r="386">
      <c r="A386" s="4"/>
      <c r="C386" s="4" t="s">
        <v>2052</v>
      </c>
      <c r="D386" s="4" t="str">
        <f t="shared" si="1"/>
        <v>{"valorA":"freezer","valorB":135}</v>
      </c>
      <c r="E386" s="8" t="str">
        <f t="shared" si="2"/>
        <v>freezer</v>
      </c>
      <c r="F386" s="8"/>
      <c r="G386" s="8" t="str">
        <f t="shared" si="3"/>
        <v>135</v>
      </c>
      <c r="H386" s="9">
        <f t="shared" si="4"/>
        <v>135</v>
      </c>
      <c r="I386" s="6" t="str">
        <f>IFERROR(__xludf.DUMMYFUNCTION("MAX(FILTER($H:$H,$E:$E=F386))"),"#N/A")</f>
        <v>#N/A</v>
      </c>
    </row>
    <row r="387">
      <c r="A387" s="4"/>
      <c r="C387" s="4" t="s">
        <v>2037</v>
      </c>
      <c r="D387" s="4" t="str">
        <f t="shared" si="1"/>
        <v>{"valorA":"ar condicionado","valorB":127}</v>
      </c>
      <c r="E387" s="8" t="str">
        <f t="shared" si="2"/>
        <v>ar condicionado</v>
      </c>
      <c r="F387" s="8"/>
      <c r="G387" s="8" t="str">
        <f t="shared" si="3"/>
        <v>127</v>
      </c>
      <c r="H387" s="9">
        <f t="shared" si="4"/>
        <v>127</v>
      </c>
      <c r="I387" s="6" t="str">
        <f>IFERROR(__xludf.DUMMYFUNCTION("MAX(FILTER($H:$H,$E:$E=F387))"),"#N/A")</f>
        <v>#N/A</v>
      </c>
    </row>
    <row r="388">
      <c r="A388" s="4"/>
      <c r="C388" s="4" t="s">
        <v>2055</v>
      </c>
      <c r="D388" s="4" t="str">
        <f t="shared" si="1"/>
        <v>{"valorA":"freezer","valorB":136}</v>
      </c>
      <c r="E388" s="8" t="str">
        <f t="shared" si="2"/>
        <v>freezer</v>
      </c>
      <c r="F388" s="8"/>
      <c r="G388" s="8" t="str">
        <f t="shared" si="3"/>
        <v>136</v>
      </c>
      <c r="H388" s="9">
        <f t="shared" si="4"/>
        <v>136</v>
      </c>
      <c r="I388" s="6" t="str">
        <f>IFERROR(__xludf.DUMMYFUNCTION("MAX(FILTER($H:$H,$E:$E=F388))"),"#N/A")</f>
        <v>#N/A</v>
      </c>
    </row>
    <row r="389">
      <c r="A389" s="4"/>
      <c r="C389" s="4" t="s">
        <v>2039</v>
      </c>
      <c r="D389" s="4" t="str">
        <f t="shared" si="1"/>
        <v>{"valorA":"ar condicionado","valorB":128}</v>
      </c>
      <c r="E389" s="8" t="str">
        <f t="shared" si="2"/>
        <v>ar condicionado</v>
      </c>
      <c r="F389" s="8"/>
      <c r="G389" s="8" t="str">
        <f t="shared" si="3"/>
        <v>128</v>
      </c>
      <c r="H389" s="9">
        <f t="shared" si="4"/>
        <v>128</v>
      </c>
      <c r="I389" s="6" t="str">
        <f>IFERROR(__xludf.DUMMYFUNCTION("MAX(FILTER($H:$H,$E:$E=F389))"),"#N/A")</f>
        <v>#N/A</v>
      </c>
    </row>
    <row r="390">
      <c r="A390" s="4"/>
      <c r="C390" s="4" t="s">
        <v>2042</v>
      </c>
      <c r="D390" s="4" t="str">
        <f t="shared" si="1"/>
        <v>{"valorA":"ar condicionado","valorB":129}</v>
      </c>
      <c r="E390" s="8" t="str">
        <f t="shared" si="2"/>
        <v>ar condicionado</v>
      </c>
      <c r="F390" s="8"/>
      <c r="G390" s="8" t="str">
        <f t="shared" si="3"/>
        <v>129</v>
      </c>
      <c r="H390" s="9">
        <f t="shared" si="4"/>
        <v>129</v>
      </c>
      <c r="I390" s="6" t="str">
        <f>IFERROR(__xludf.DUMMYFUNCTION("MAX(FILTER($H:$H,$E:$E=F390))"),"#N/A")</f>
        <v>#N/A</v>
      </c>
    </row>
    <row r="391">
      <c r="A391" s="4"/>
      <c r="C391" s="4" t="s">
        <v>2043</v>
      </c>
      <c r="D391" s="4" t="str">
        <f t="shared" si="1"/>
        <v>{"valorA":"microondas","valorB":125}</v>
      </c>
      <c r="E391" s="8" t="str">
        <f t="shared" si="2"/>
        <v>microondas</v>
      </c>
      <c r="F391" s="8"/>
      <c r="G391" s="8" t="str">
        <f t="shared" si="3"/>
        <v>125</v>
      </c>
      <c r="H391" s="9">
        <f t="shared" si="4"/>
        <v>125</v>
      </c>
      <c r="I391" s="6" t="str">
        <f>IFERROR(__xludf.DUMMYFUNCTION("MAX(FILTER($H:$H,$E:$E=F391))"),"#N/A")</f>
        <v>#N/A</v>
      </c>
    </row>
    <row r="392">
      <c r="A392" s="4"/>
      <c r="C392" s="4" t="s">
        <v>2044</v>
      </c>
      <c r="D392" s="4" t="str">
        <f t="shared" si="1"/>
        <v>{"valorA":"microondas","valorB":126}</v>
      </c>
      <c r="E392" s="8" t="str">
        <f t="shared" si="2"/>
        <v>microondas</v>
      </c>
      <c r="F392" s="8"/>
      <c r="G392" s="8" t="str">
        <f t="shared" si="3"/>
        <v>126</v>
      </c>
      <c r="H392" s="9">
        <f t="shared" si="4"/>
        <v>126</v>
      </c>
      <c r="I392" s="6" t="str">
        <f>IFERROR(__xludf.DUMMYFUNCTION("MAX(FILTER($H:$H,$E:$E=F392))"),"#N/A")</f>
        <v>#N/A</v>
      </c>
    </row>
    <row r="393">
      <c r="A393" s="4"/>
      <c r="C393" s="4" t="s">
        <v>2046</v>
      </c>
      <c r="D393" s="4" t="str">
        <f t="shared" si="1"/>
        <v>{"valorA":"ar condicionado","valorB":130}</v>
      </c>
      <c r="E393" s="8" t="str">
        <f t="shared" si="2"/>
        <v>ar condicionado</v>
      </c>
      <c r="F393" s="8"/>
      <c r="G393" s="8" t="str">
        <f t="shared" si="3"/>
        <v>130</v>
      </c>
      <c r="H393" s="9">
        <f t="shared" si="4"/>
        <v>130</v>
      </c>
      <c r="I393" s="6" t="str">
        <f>IFERROR(__xludf.DUMMYFUNCTION("MAX(FILTER($H:$H,$E:$E=F393))"),"#N/A")</f>
        <v>#N/A</v>
      </c>
    </row>
    <row r="394">
      <c r="A394" s="4"/>
      <c r="C394" s="4" t="s">
        <v>2056</v>
      </c>
      <c r="D394" s="4" t="str">
        <f t="shared" si="1"/>
        <v>{"valorA":"freezer","valorB":137}</v>
      </c>
      <c r="E394" s="8" t="str">
        <f t="shared" si="2"/>
        <v>freezer</v>
      </c>
      <c r="F394" s="8"/>
      <c r="G394" s="8" t="str">
        <f t="shared" si="3"/>
        <v>137</v>
      </c>
      <c r="H394" s="9">
        <f t="shared" si="4"/>
        <v>137</v>
      </c>
      <c r="I394" s="6" t="str">
        <f>IFERROR(__xludf.DUMMYFUNCTION("MAX(FILTER($H:$H,$E:$E=F394))"),"#N/A")</f>
        <v>#N/A</v>
      </c>
    </row>
    <row r="395">
      <c r="A395" s="4"/>
      <c r="C395" s="4" t="s">
        <v>2047</v>
      </c>
      <c r="D395" s="4" t="str">
        <f t="shared" si="1"/>
        <v>{"valorA":"microondas","valorB":127}</v>
      </c>
      <c r="E395" s="8" t="str">
        <f t="shared" si="2"/>
        <v>microondas</v>
      </c>
      <c r="F395" s="8"/>
      <c r="G395" s="8" t="str">
        <f t="shared" si="3"/>
        <v>127</v>
      </c>
      <c r="H395" s="9">
        <f t="shared" si="4"/>
        <v>127</v>
      </c>
      <c r="I395" s="6" t="str">
        <f>IFERROR(__xludf.DUMMYFUNCTION("MAX(FILTER($H:$H,$E:$E=F395))"),"#N/A")</f>
        <v>#N/A</v>
      </c>
    </row>
    <row r="396">
      <c r="A396" s="4"/>
      <c r="C396" s="4" t="s">
        <v>2058</v>
      </c>
      <c r="D396" s="4" t="str">
        <f t="shared" si="1"/>
        <v>{"valorA":"freezer","valorB":138}</v>
      </c>
      <c r="E396" s="8" t="str">
        <f t="shared" si="2"/>
        <v>freezer</v>
      </c>
      <c r="F396" s="8"/>
      <c r="G396" s="8" t="str">
        <f t="shared" si="3"/>
        <v>138</v>
      </c>
      <c r="H396" s="9">
        <f t="shared" si="4"/>
        <v>138</v>
      </c>
      <c r="I396" s="6" t="str">
        <f>IFERROR(__xludf.DUMMYFUNCTION("MAX(FILTER($H:$H,$E:$E=F396))"),"#N/A")</f>
        <v>#N/A</v>
      </c>
    </row>
    <row r="397">
      <c r="A397" s="4"/>
      <c r="C397" s="4" t="s">
        <v>2050</v>
      </c>
      <c r="D397" s="4" t="str">
        <f t="shared" si="1"/>
        <v>{"valorA":"ar condicionado","valorB":131}</v>
      </c>
      <c r="E397" s="8" t="str">
        <f t="shared" si="2"/>
        <v>ar condicionado</v>
      </c>
      <c r="F397" s="8"/>
      <c r="G397" s="8" t="str">
        <f t="shared" si="3"/>
        <v>131</v>
      </c>
      <c r="H397" s="9">
        <f t="shared" si="4"/>
        <v>131</v>
      </c>
      <c r="I397" s="6" t="str">
        <f>IFERROR(__xludf.DUMMYFUNCTION("MAX(FILTER($H:$H,$E:$E=F397))"),"#N/A")</f>
        <v>#N/A</v>
      </c>
    </row>
    <row r="398">
      <c r="A398" s="4"/>
      <c r="C398" s="4" t="s">
        <v>2051</v>
      </c>
      <c r="D398" s="4" t="str">
        <f t="shared" si="1"/>
        <v>{"valorA":"ar condicionado","valorB":132}</v>
      </c>
      <c r="E398" s="8" t="str">
        <f t="shared" si="2"/>
        <v>ar condicionado</v>
      </c>
      <c r="F398" s="8"/>
      <c r="G398" s="8" t="str">
        <f t="shared" si="3"/>
        <v>132</v>
      </c>
      <c r="H398" s="9">
        <f t="shared" si="4"/>
        <v>132</v>
      </c>
      <c r="I398" s="6" t="str">
        <f>IFERROR(__xludf.DUMMYFUNCTION("MAX(FILTER($H:$H,$E:$E=F398))"),"#N/A")</f>
        <v>#N/A</v>
      </c>
    </row>
    <row r="399">
      <c r="A399" s="4"/>
      <c r="C399" s="4" t="s">
        <v>2048</v>
      </c>
      <c r="D399" s="4" t="str">
        <f t="shared" si="1"/>
        <v>{"valorA":"microondas","valorB":128}</v>
      </c>
      <c r="E399" s="8" t="str">
        <f t="shared" si="2"/>
        <v>microondas</v>
      </c>
      <c r="F399" s="8"/>
      <c r="G399" s="8" t="str">
        <f t="shared" si="3"/>
        <v>128</v>
      </c>
      <c r="H399" s="9">
        <f t="shared" si="4"/>
        <v>128</v>
      </c>
      <c r="I399" s="6" t="str">
        <f>IFERROR(__xludf.DUMMYFUNCTION("MAX(FILTER($H:$H,$E:$E=F399))"),"#N/A")</f>
        <v>#N/A</v>
      </c>
    </row>
    <row r="400">
      <c r="A400" s="4"/>
      <c r="C400" s="4" t="s">
        <v>2053</v>
      </c>
      <c r="D400" s="4" t="str">
        <f t="shared" si="1"/>
        <v>{"valorA":"microondas","valorB":129}</v>
      </c>
      <c r="E400" s="8" t="str">
        <f t="shared" si="2"/>
        <v>microondas</v>
      </c>
      <c r="F400" s="8"/>
      <c r="G400" s="8" t="str">
        <f t="shared" si="3"/>
        <v>129</v>
      </c>
      <c r="H400" s="9">
        <f t="shared" si="4"/>
        <v>129</v>
      </c>
      <c r="I400" s="6" t="str">
        <f>IFERROR(__xludf.DUMMYFUNCTION("MAX(FILTER($H:$H,$E:$E=F400))"),"#N/A")</f>
        <v>#N/A</v>
      </c>
    </row>
    <row r="401">
      <c r="A401" s="4"/>
      <c r="C401" s="4" t="s">
        <v>2060</v>
      </c>
      <c r="D401" s="4" t="str">
        <f t="shared" si="1"/>
        <v>{"valorA":"freezer","valorB":139}</v>
      </c>
      <c r="E401" s="8" t="str">
        <f t="shared" si="2"/>
        <v>freezer</v>
      </c>
      <c r="F401" s="8"/>
      <c r="G401" s="8" t="str">
        <f t="shared" si="3"/>
        <v>139</v>
      </c>
      <c r="H401" s="9">
        <f t="shared" si="4"/>
        <v>139</v>
      </c>
      <c r="I401" s="6" t="str">
        <f>IFERROR(__xludf.DUMMYFUNCTION("MAX(FILTER($H:$H,$E:$E=F401))"),"#N/A")</f>
        <v>#N/A</v>
      </c>
    </row>
    <row r="402">
      <c r="A402" s="4"/>
      <c r="C402" s="4" t="s">
        <v>2062</v>
      </c>
      <c r="D402" s="4" t="str">
        <f t="shared" si="1"/>
        <v>{"valorA":"freezer","valorB":140}</v>
      </c>
      <c r="E402" s="8" t="str">
        <f t="shared" si="2"/>
        <v>freezer</v>
      </c>
      <c r="F402" s="8"/>
      <c r="G402" s="8" t="str">
        <f t="shared" si="3"/>
        <v>140</v>
      </c>
      <c r="H402" s="9">
        <f t="shared" si="4"/>
        <v>140</v>
      </c>
      <c r="I402" s="6" t="str">
        <f>IFERROR(__xludf.DUMMYFUNCTION("MAX(FILTER($H:$H,$E:$E=F402))"),"#N/A")</f>
        <v>#N/A</v>
      </c>
    </row>
    <row r="403">
      <c r="A403" s="4"/>
      <c r="C403" s="4" t="s">
        <v>2054</v>
      </c>
      <c r="D403" s="4" t="str">
        <f t="shared" si="1"/>
        <v>{"valorA":"ar condicionado","valorB":133}</v>
      </c>
      <c r="E403" s="8" t="str">
        <f t="shared" si="2"/>
        <v>ar condicionado</v>
      </c>
      <c r="F403" s="8"/>
      <c r="G403" s="8" t="str">
        <f t="shared" si="3"/>
        <v>133</v>
      </c>
      <c r="H403" s="9">
        <f t="shared" si="4"/>
        <v>133</v>
      </c>
      <c r="I403" s="6" t="str">
        <f>IFERROR(__xludf.DUMMYFUNCTION("MAX(FILTER($H:$H,$E:$E=F403))"),"#N/A")</f>
        <v>#N/A</v>
      </c>
    </row>
    <row r="404">
      <c r="A404" s="4"/>
      <c r="C404" s="4" t="s">
        <v>2064</v>
      </c>
      <c r="D404" s="4" t="str">
        <f t="shared" si="1"/>
        <v>{"valorA":"freezer","valorB":141}</v>
      </c>
      <c r="E404" s="8" t="str">
        <f t="shared" si="2"/>
        <v>freezer</v>
      </c>
      <c r="F404" s="8"/>
      <c r="G404" s="8" t="str">
        <f t="shared" si="3"/>
        <v>141</v>
      </c>
      <c r="H404" s="9">
        <f t="shared" si="4"/>
        <v>141</v>
      </c>
      <c r="I404" s="6" t="str">
        <f>IFERROR(__xludf.DUMMYFUNCTION("MAX(FILTER($H:$H,$E:$E=F404))"),"#N/A")</f>
        <v>#N/A</v>
      </c>
    </row>
    <row r="405">
      <c r="A405" s="4"/>
      <c r="C405" s="4" t="s">
        <v>2067</v>
      </c>
      <c r="D405" s="4" t="str">
        <f t="shared" si="1"/>
        <v>{"valorA":"freezer","valorB":142}</v>
      </c>
      <c r="E405" s="8" t="str">
        <f t="shared" si="2"/>
        <v>freezer</v>
      </c>
      <c r="F405" s="8"/>
      <c r="G405" s="8" t="str">
        <f t="shared" si="3"/>
        <v>142</v>
      </c>
      <c r="H405" s="9">
        <f t="shared" si="4"/>
        <v>142</v>
      </c>
      <c r="I405" s="6" t="str">
        <f>IFERROR(__xludf.DUMMYFUNCTION("MAX(FILTER($H:$H,$E:$E=F405))"),"#N/A")</f>
        <v>#N/A</v>
      </c>
    </row>
    <row r="406">
      <c r="A406" s="4"/>
      <c r="C406" s="4" t="s">
        <v>2057</v>
      </c>
      <c r="D406" s="4" t="str">
        <f t="shared" si="1"/>
        <v>{"valorA":"microondas","valorB":130}</v>
      </c>
      <c r="E406" s="8" t="str">
        <f t="shared" si="2"/>
        <v>microondas</v>
      </c>
      <c r="F406" s="8"/>
      <c r="G406" s="8" t="str">
        <f t="shared" si="3"/>
        <v>130</v>
      </c>
      <c r="H406" s="9">
        <f t="shared" si="4"/>
        <v>130</v>
      </c>
      <c r="I406" s="6" t="str">
        <f>IFERROR(__xludf.DUMMYFUNCTION("MAX(FILTER($H:$H,$E:$E=F406))"),"#N/A")</f>
        <v>#N/A</v>
      </c>
    </row>
    <row r="407">
      <c r="A407" s="4"/>
      <c r="C407" s="4" t="s">
        <v>2074</v>
      </c>
      <c r="D407" s="4" t="str">
        <f t="shared" si="1"/>
        <v>{"valorA":"freezer","valorB":143}</v>
      </c>
      <c r="E407" s="8" t="str">
        <f t="shared" si="2"/>
        <v>freezer</v>
      </c>
      <c r="F407" s="8"/>
      <c r="G407" s="8" t="str">
        <f t="shared" si="3"/>
        <v>143</v>
      </c>
      <c r="H407" s="9">
        <f t="shared" si="4"/>
        <v>143</v>
      </c>
      <c r="I407" s="6" t="str">
        <f>IFERROR(__xludf.DUMMYFUNCTION("MAX(FILTER($H:$H,$E:$E=F407))"),"#N/A")</f>
        <v>#N/A</v>
      </c>
    </row>
    <row r="408">
      <c r="A408" s="4"/>
      <c r="C408" s="4" t="s">
        <v>2063</v>
      </c>
      <c r="D408" s="4" t="str">
        <f t="shared" si="1"/>
        <v>{"valorA":"microondas","valorB":131}</v>
      </c>
      <c r="E408" s="8" t="str">
        <f t="shared" si="2"/>
        <v>microondas</v>
      </c>
      <c r="F408" s="8"/>
      <c r="G408" s="8" t="str">
        <f t="shared" si="3"/>
        <v>131</v>
      </c>
      <c r="H408" s="9">
        <f t="shared" si="4"/>
        <v>131</v>
      </c>
      <c r="I408" s="6" t="str">
        <f>IFERROR(__xludf.DUMMYFUNCTION("MAX(FILTER($H:$H,$E:$E=F408))"),"#N/A")</f>
        <v>#N/A</v>
      </c>
    </row>
    <row r="409">
      <c r="A409" s="4"/>
      <c r="C409" s="4" t="s">
        <v>2059</v>
      </c>
      <c r="D409" s="4" t="str">
        <f t="shared" si="1"/>
        <v>{"valorA":"ar condicionado","valorB":134}</v>
      </c>
      <c r="E409" s="8" t="str">
        <f t="shared" si="2"/>
        <v>ar condicionado</v>
      </c>
      <c r="F409" s="8"/>
      <c r="G409" s="8" t="str">
        <f t="shared" si="3"/>
        <v>134</v>
      </c>
      <c r="H409" s="9">
        <f t="shared" si="4"/>
        <v>134</v>
      </c>
      <c r="I409" s="6" t="str">
        <f>IFERROR(__xludf.DUMMYFUNCTION("MAX(FILTER($H:$H,$E:$E=F409))"),"#N/A")</f>
        <v>#N/A</v>
      </c>
    </row>
    <row r="410">
      <c r="A410" s="4"/>
      <c r="C410" s="4" t="s">
        <v>2078</v>
      </c>
      <c r="D410" s="4" t="str">
        <f t="shared" si="1"/>
        <v>{"valorA":"freezer","valorB":144}</v>
      </c>
      <c r="E410" s="8" t="str">
        <f t="shared" si="2"/>
        <v>freezer</v>
      </c>
      <c r="F410" s="8"/>
      <c r="G410" s="8" t="str">
        <f t="shared" si="3"/>
        <v>144</v>
      </c>
      <c r="H410" s="9">
        <f t="shared" si="4"/>
        <v>144</v>
      </c>
      <c r="I410" s="6" t="str">
        <f>IFERROR(__xludf.DUMMYFUNCTION("MAX(FILTER($H:$H,$E:$E=F410))"),"#N/A")</f>
        <v>#N/A</v>
      </c>
    </row>
    <row r="411">
      <c r="A411" s="4"/>
      <c r="C411" s="4" t="s">
        <v>2086</v>
      </c>
      <c r="D411" s="4" t="str">
        <f t="shared" si="1"/>
        <v>{"valorA":"freezer","valorB":145}</v>
      </c>
      <c r="E411" s="8" t="str">
        <f t="shared" si="2"/>
        <v>freezer</v>
      </c>
      <c r="F411" s="8"/>
      <c r="G411" s="8" t="str">
        <f t="shared" si="3"/>
        <v>145</v>
      </c>
      <c r="H411" s="9">
        <f t="shared" si="4"/>
        <v>145</v>
      </c>
      <c r="I411" s="6" t="str">
        <f>IFERROR(__xludf.DUMMYFUNCTION("MAX(FILTER($H:$H,$E:$E=F411))"),"#N/A")</f>
        <v>#N/A</v>
      </c>
    </row>
    <row r="412">
      <c r="A412" s="4"/>
      <c r="C412" s="4" t="s">
        <v>2089</v>
      </c>
      <c r="D412" s="4" t="str">
        <f t="shared" si="1"/>
        <v>{"valorA":"freezer","valorB":146}</v>
      </c>
      <c r="E412" s="8" t="str">
        <f t="shared" si="2"/>
        <v>freezer</v>
      </c>
      <c r="F412" s="8"/>
      <c r="G412" s="8" t="str">
        <f t="shared" si="3"/>
        <v>146</v>
      </c>
      <c r="H412" s="9">
        <f t="shared" si="4"/>
        <v>146</v>
      </c>
      <c r="I412" s="6" t="str">
        <f>IFERROR(__xludf.DUMMYFUNCTION("MAX(FILTER($H:$H,$E:$E=F412))"),"#N/A")</f>
        <v>#N/A</v>
      </c>
    </row>
    <row r="413">
      <c r="A413" s="4"/>
      <c r="C413" s="4" t="s">
        <v>2099</v>
      </c>
      <c r="D413" s="4" t="str">
        <f t="shared" si="1"/>
        <v>{"valorA":"freezer","valorB":147}</v>
      </c>
      <c r="E413" s="8" t="str">
        <f t="shared" si="2"/>
        <v>freezer</v>
      </c>
      <c r="F413" s="8"/>
      <c r="G413" s="8" t="str">
        <f t="shared" si="3"/>
        <v>147</v>
      </c>
      <c r="H413" s="9">
        <f t="shared" si="4"/>
        <v>147</v>
      </c>
      <c r="I413" s="6" t="str">
        <f>IFERROR(__xludf.DUMMYFUNCTION("MAX(FILTER($H:$H,$E:$E=F413))"),"#N/A")</f>
        <v>#N/A</v>
      </c>
    </row>
    <row r="414">
      <c r="A414" s="4"/>
      <c r="C414" s="4" t="s">
        <v>2061</v>
      </c>
      <c r="D414" s="4" t="str">
        <f t="shared" si="1"/>
        <v>{"valorA":"ar condicionado","valorB":135}</v>
      </c>
      <c r="E414" s="8" t="str">
        <f t="shared" si="2"/>
        <v>ar condicionado</v>
      </c>
      <c r="F414" s="8"/>
      <c r="G414" s="8" t="str">
        <f t="shared" si="3"/>
        <v>135</v>
      </c>
      <c r="H414" s="9">
        <f t="shared" si="4"/>
        <v>135</v>
      </c>
      <c r="I414" s="6" t="str">
        <f>IFERROR(__xludf.DUMMYFUNCTION("MAX(FILTER($H:$H,$E:$E=F414))"),"#N/A")</f>
        <v>#N/A</v>
      </c>
    </row>
    <row r="415">
      <c r="A415" s="4"/>
      <c r="C415" s="4" t="s">
        <v>2102</v>
      </c>
      <c r="D415" s="4" t="str">
        <f t="shared" si="1"/>
        <v>{"valorA":"freezer","valorB":148}</v>
      </c>
      <c r="E415" s="8" t="str">
        <f t="shared" si="2"/>
        <v>freezer</v>
      </c>
      <c r="F415" s="8"/>
      <c r="G415" s="8" t="str">
        <f t="shared" si="3"/>
        <v>148</v>
      </c>
      <c r="H415" s="9">
        <f t="shared" si="4"/>
        <v>148</v>
      </c>
      <c r="I415" s="6" t="str">
        <f>IFERROR(__xludf.DUMMYFUNCTION("MAX(FILTER($H:$H,$E:$E=F415))"),"#N/A")</f>
        <v>#N/A</v>
      </c>
    </row>
    <row r="416">
      <c r="A416" s="4"/>
      <c r="C416" s="4" t="s">
        <v>2066</v>
      </c>
      <c r="D416" s="4" t="str">
        <f t="shared" si="1"/>
        <v>{"valorA":"microondas","valorB":132}</v>
      </c>
      <c r="E416" s="8" t="str">
        <f t="shared" si="2"/>
        <v>microondas</v>
      </c>
      <c r="F416" s="8"/>
      <c r="G416" s="8" t="str">
        <f t="shared" si="3"/>
        <v>132</v>
      </c>
      <c r="H416" s="9">
        <f t="shared" si="4"/>
        <v>132</v>
      </c>
      <c r="I416" s="6" t="str">
        <f>IFERROR(__xludf.DUMMYFUNCTION("MAX(FILTER($H:$H,$E:$E=F416))"),"#N/A")</f>
        <v>#N/A</v>
      </c>
    </row>
    <row r="417">
      <c r="A417" s="4"/>
      <c r="C417" s="4" t="s">
        <v>2065</v>
      </c>
      <c r="D417" s="4" t="str">
        <f t="shared" si="1"/>
        <v>{"valorA":"ar condicionado","valorB":136}</v>
      </c>
      <c r="E417" s="8" t="str">
        <f t="shared" si="2"/>
        <v>ar condicionado</v>
      </c>
      <c r="F417" s="8"/>
      <c r="G417" s="8" t="str">
        <f t="shared" si="3"/>
        <v>136</v>
      </c>
      <c r="H417" s="9">
        <f t="shared" si="4"/>
        <v>136</v>
      </c>
      <c r="I417" s="6" t="str">
        <f>IFERROR(__xludf.DUMMYFUNCTION("MAX(FILTER($H:$H,$E:$E=F417))"),"#N/A")</f>
        <v>#N/A</v>
      </c>
    </row>
    <row r="418">
      <c r="A418" s="4"/>
      <c r="C418" s="4" t="s">
        <v>2068</v>
      </c>
      <c r="D418" s="4" t="str">
        <f t="shared" si="1"/>
        <v>{"valorA":"microondas","valorB":133}</v>
      </c>
      <c r="E418" s="8" t="str">
        <f t="shared" si="2"/>
        <v>microondas</v>
      </c>
      <c r="F418" s="8"/>
      <c r="G418" s="8" t="str">
        <f t="shared" si="3"/>
        <v>133</v>
      </c>
      <c r="H418" s="9">
        <f t="shared" si="4"/>
        <v>133</v>
      </c>
      <c r="I418" s="6" t="str">
        <f>IFERROR(__xludf.DUMMYFUNCTION("MAX(FILTER($H:$H,$E:$E=F418))"),"#N/A")</f>
        <v>#N/A</v>
      </c>
    </row>
    <row r="419">
      <c r="A419" s="4"/>
      <c r="C419" s="4" t="s">
        <v>2069</v>
      </c>
      <c r="D419" s="4" t="str">
        <f t="shared" si="1"/>
        <v>{"valorA":"ar condicionado","valorB":137}</v>
      </c>
      <c r="E419" s="8" t="str">
        <f t="shared" si="2"/>
        <v>ar condicionado</v>
      </c>
      <c r="F419" s="8"/>
      <c r="G419" s="8" t="str">
        <f t="shared" si="3"/>
        <v>137</v>
      </c>
      <c r="H419" s="9">
        <f t="shared" si="4"/>
        <v>137</v>
      </c>
      <c r="I419" s="6" t="str">
        <f>IFERROR(__xludf.DUMMYFUNCTION("MAX(FILTER($H:$H,$E:$E=F419))"),"#N/A")</f>
        <v>#N/A</v>
      </c>
    </row>
    <row r="420">
      <c r="A420" s="4"/>
      <c r="C420" s="4" t="s">
        <v>2070</v>
      </c>
      <c r="D420" s="4" t="str">
        <f t="shared" si="1"/>
        <v>{"valorA":"ar condicionado","valorB":138}</v>
      </c>
      <c r="E420" s="8" t="str">
        <f t="shared" si="2"/>
        <v>ar condicionado</v>
      </c>
      <c r="F420" s="8"/>
      <c r="G420" s="8" t="str">
        <f t="shared" si="3"/>
        <v>138</v>
      </c>
      <c r="H420" s="9">
        <f t="shared" si="4"/>
        <v>138</v>
      </c>
      <c r="I420" s="6" t="str">
        <f>IFERROR(__xludf.DUMMYFUNCTION("MAX(FILTER($H:$H,$E:$E=F420))"),"#N/A")</f>
        <v>#N/A</v>
      </c>
    </row>
    <row r="421">
      <c r="A421" s="4"/>
      <c r="C421" s="4" t="s">
        <v>2071</v>
      </c>
      <c r="D421" s="4" t="str">
        <f t="shared" si="1"/>
        <v>{"valorA":"ar condicionado","valorB":139}</v>
      </c>
      <c r="E421" s="8" t="str">
        <f t="shared" si="2"/>
        <v>ar condicionado</v>
      </c>
      <c r="F421" s="8"/>
      <c r="G421" s="8" t="str">
        <f t="shared" si="3"/>
        <v>139</v>
      </c>
      <c r="H421" s="9">
        <f t="shared" si="4"/>
        <v>139</v>
      </c>
      <c r="I421" s="6" t="str">
        <f>IFERROR(__xludf.DUMMYFUNCTION("MAX(FILTER($H:$H,$E:$E=F421))"),"#N/A")</f>
        <v>#N/A</v>
      </c>
    </row>
    <row r="422">
      <c r="A422" s="4"/>
      <c r="C422" s="4" t="s">
        <v>2072</v>
      </c>
      <c r="D422" s="4" t="str">
        <f t="shared" si="1"/>
        <v>{"valorA":"ar condicionado","valorB":140}</v>
      </c>
      <c r="E422" s="8" t="str">
        <f t="shared" si="2"/>
        <v>ar condicionado</v>
      </c>
      <c r="F422" s="8"/>
      <c r="G422" s="8" t="str">
        <f t="shared" si="3"/>
        <v>140</v>
      </c>
      <c r="H422" s="9">
        <f t="shared" si="4"/>
        <v>140</v>
      </c>
      <c r="I422" s="6" t="str">
        <f>IFERROR(__xludf.DUMMYFUNCTION("MAX(FILTER($H:$H,$E:$E=F422))"),"#N/A")</f>
        <v>#N/A</v>
      </c>
    </row>
    <row r="423">
      <c r="A423" s="4"/>
      <c r="C423" s="4" t="s">
        <v>2075</v>
      </c>
      <c r="D423" s="4" t="str">
        <f t="shared" si="1"/>
        <v>{"valorA":"ar condicionado","valorB":141}</v>
      </c>
      <c r="E423" s="8" t="str">
        <f t="shared" si="2"/>
        <v>ar condicionado</v>
      </c>
      <c r="F423" s="8"/>
      <c r="G423" s="8" t="str">
        <f t="shared" si="3"/>
        <v>141</v>
      </c>
      <c r="H423" s="9">
        <f t="shared" si="4"/>
        <v>141</v>
      </c>
      <c r="I423" s="6" t="str">
        <f>IFERROR(__xludf.DUMMYFUNCTION("MAX(FILTER($H:$H,$E:$E=F423))"),"#N/A")</f>
        <v>#N/A</v>
      </c>
    </row>
    <row r="424">
      <c r="A424" s="4"/>
      <c r="C424" s="4" t="s">
        <v>2076</v>
      </c>
      <c r="D424" s="4" t="str">
        <f t="shared" si="1"/>
        <v>{"valorA":"ar condicionado","valorB":142}</v>
      </c>
      <c r="E424" s="8" t="str">
        <f t="shared" si="2"/>
        <v>ar condicionado</v>
      </c>
      <c r="F424" s="8"/>
      <c r="G424" s="8" t="str">
        <f t="shared" si="3"/>
        <v>142</v>
      </c>
      <c r="H424" s="9">
        <f t="shared" si="4"/>
        <v>142</v>
      </c>
      <c r="I424" s="6" t="str">
        <f>IFERROR(__xludf.DUMMYFUNCTION("MAX(FILTER($H:$H,$E:$E=F424))"),"#N/A")</f>
        <v>#N/A</v>
      </c>
    </row>
    <row r="425">
      <c r="A425" s="4"/>
      <c r="C425" s="4" t="s">
        <v>2104</v>
      </c>
      <c r="D425" s="4" t="str">
        <f t="shared" si="1"/>
        <v>{"valorA":"freezer","valorB":149}</v>
      </c>
      <c r="E425" s="8" t="str">
        <f t="shared" si="2"/>
        <v>freezer</v>
      </c>
      <c r="F425" s="8"/>
      <c r="G425" s="8" t="str">
        <f t="shared" si="3"/>
        <v>149</v>
      </c>
      <c r="H425" s="9">
        <f t="shared" si="4"/>
        <v>149</v>
      </c>
      <c r="I425" s="6" t="str">
        <f>IFERROR(__xludf.DUMMYFUNCTION("MAX(FILTER($H:$H,$E:$E=F425))"),"#N/A")</f>
        <v>#N/A</v>
      </c>
    </row>
    <row r="426">
      <c r="A426" s="4"/>
      <c r="C426" s="4" t="s">
        <v>2080</v>
      </c>
      <c r="D426" s="4" t="str">
        <f t="shared" si="1"/>
        <v>{"valorA":"ar condicionado","valorB":143}</v>
      </c>
      <c r="E426" s="8" t="str">
        <f t="shared" si="2"/>
        <v>ar condicionado</v>
      </c>
      <c r="F426" s="8"/>
      <c r="G426" s="8" t="str">
        <f t="shared" si="3"/>
        <v>143</v>
      </c>
      <c r="H426" s="9">
        <f t="shared" si="4"/>
        <v>143</v>
      </c>
      <c r="I426" s="6" t="str">
        <f>IFERROR(__xludf.DUMMYFUNCTION("MAX(FILTER($H:$H,$E:$E=F426))"),"#N/A")</f>
        <v>#N/A</v>
      </c>
    </row>
    <row r="427">
      <c r="A427" s="4"/>
      <c r="C427" s="4" t="s">
        <v>2105</v>
      </c>
      <c r="D427" s="4" t="str">
        <f t="shared" si="1"/>
        <v>{"valorA":"freezer","valorB":150}</v>
      </c>
      <c r="E427" s="8" t="str">
        <f t="shared" si="2"/>
        <v>freezer</v>
      </c>
      <c r="F427" s="8"/>
      <c r="G427" s="8" t="str">
        <f t="shared" si="3"/>
        <v>150</v>
      </c>
      <c r="H427" s="9">
        <f t="shared" si="4"/>
        <v>150</v>
      </c>
      <c r="I427" s="6" t="str">
        <f>IFERROR(__xludf.DUMMYFUNCTION("MAX(FILTER($H:$H,$E:$E=F427))"),"#N/A")</f>
        <v>#N/A</v>
      </c>
    </row>
    <row r="428">
      <c r="A428" s="4"/>
      <c r="C428" s="4" t="s">
        <v>2073</v>
      </c>
      <c r="D428" s="4" t="str">
        <f t="shared" si="1"/>
        <v>{"valorA":"microondas","valorB":134}</v>
      </c>
      <c r="E428" s="8" t="str">
        <f t="shared" si="2"/>
        <v>microondas</v>
      </c>
      <c r="F428" s="8"/>
      <c r="G428" s="8" t="str">
        <f t="shared" si="3"/>
        <v>134</v>
      </c>
      <c r="H428" s="9">
        <f t="shared" si="4"/>
        <v>134</v>
      </c>
      <c r="I428" s="6" t="str">
        <f>IFERROR(__xludf.DUMMYFUNCTION("MAX(FILTER($H:$H,$E:$E=F428))"),"#N/A")</f>
        <v>#N/A</v>
      </c>
    </row>
    <row r="429">
      <c r="A429" s="4"/>
      <c r="C429" s="4" t="s">
        <v>2077</v>
      </c>
      <c r="D429" s="4" t="str">
        <f t="shared" si="1"/>
        <v>{"valorA":"microondas","valorB":135}</v>
      </c>
      <c r="E429" s="8" t="str">
        <f t="shared" si="2"/>
        <v>microondas</v>
      </c>
      <c r="F429" s="8"/>
      <c r="G429" s="8" t="str">
        <f t="shared" si="3"/>
        <v>135</v>
      </c>
      <c r="H429" s="9">
        <f t="shared" si="4"/>
        <v>135</v>
      </c>
      <c r="I429" s="6" t="str">
        <f>IFERROR(__xludf.DUMMYFUNCTION("MAX(FILTER($H:$H,$E:$E=F429))"),"#N/A")</f>
        <v>#N/A</v>
      </c>
    </row>
    <row r="430">
      <c r="A430" s="4"/>
      <c r="C430" s="4" t="s">
        <v>2081</v>
      </c>
      <c r="D430" s="4" t="str">
        <f t="shared" si="1"/>
        <v>{"valorA":"ar condicionado","valorB":144}</v>
      </c>
      <c r="E430" s="8" t="str">
        <f t="shared" si="2"/>
        <v>ar condicionado</v>
      </c>
      <c r="F430" s="8"/>
      <c r="G430" s="8" t="str">
        <f t="shared" si="3"/>
        <v>144</v>
      </c>
      <c r="H430" s="9">
        <f t="shared" si="4"/>
        <v>144</v>
      </c>
      <c r="I430" s="6" t="str">
        <f>IFERROR(__xludf.DUMMYFUNCTION("MAX(FILTER($H:$H,$E:$E=F430))"),"#N/A")</f>
        <v>#N/A</v>
      </c>
    </row>
    <row r="431">
      <c r="A431" s="4"/>
      <c r="C431" s="4" t="s">
        <v>2107</v>
      </c>
      <c r="D431" s="4" t="str">
        <f t="shared" si="1"/>
        <v>{"valorA":"freezer","valorB":151}</v>
      </c>
      <c r="E431" s="8" t="str">
        <f t="shared" si="2"/>
        <v>freezer</v>
      </c>
      <c r="F431" s="8"/>
      <c r="G431" s="8" t="str">
        <f t="shared" si="3"/>
        <v>151</v>
      </c>
      <c r="H431" s="9">
        <f t="shared" si="4"/>
        <v>151</v>
      </c>
      <c r="I431" s="6" t="str">
        <f>IFERROR(__xludf.DUMMYFUNCTION("MAX(FILTER($H:$H,$E:$E=F431))"),"#N/A")</f>
        <v>#N/A</v>
      </c>
    </row>
    <row r="432">
      <c r="A432" s="4"/>
      <c r="C432" s="4" t="s">
        <v>2083</v>
      </c>
      <c r="D432" s="4" t="str">
        <f t="shared" si="1"/>
        <v>{"valorA":"ar condicionado","valorB":145}</v>
      </c>
      <c r="E432" s="8" t="str">
        <f t="shared" si="2"/>
        <v>ar condicionado</v>
      </c>
      <c r="F432" s="8"/>
      <c r="G432" s="8" t="str">
        <f t="shared" si="3"/>
        <v>145</v>
      </c>
      <c r="H432" s="9">
        <f t="shared" si="4"/>
        <v>145</v>
      </c>
      <c r="I432" s="6" t="str">
        <f>IFERROR(__xludf.DUMMYFUNCTION("MAX(FILTER($H:$H,$E:$E=F432))"),"#N/A")</f>
        <v>#N/A</v>
      </c>
    </row>
    <row r="433">
      <c r="A433" s="4"/>
      <c r="C433" s="4" t="s">
        <v>2087</v>
      </c>
      <c r="D433" s="4" t="str">
        <f t="shared" si="1"/>
        <v>{"valorA":"ar condicionado","valorB":146}</v>
      </c>
      <c r="E433" s="8" t="str">
        <f t="shared" si="2"/>
        <v>ar condicionado</v>
      </c>
      <c r="F433" s="8"/>
      <c r="G433" s="8" t="str">
        <f t="shared" si="3"/>
        <v>146</v>
      </c>
      <c r="H433" s="9">
        <f t="shared" si="4"/>
        <v>146</v>
      </c>
      <c r="I433" s="6" t="str">
        <f>IFERROR(__xludf.DUMMYFUNCTION("MAX(FILTER($H:$H,$E:$E=F433))"),"#N/A")</f>
        <v>#N/A</v>
      </c>
    </row>
    <row r="434">
      <c r="A434" s="4"/>
      <c r="C434" s="4" t="s">
        <v>2079</v>
      </c>
      <c r="D434" s="4" t="str">
        <f t="shared" si="1"/>
        <v>{"valorA":"microondas","valorB":136}</v>
      </c>
      <c r="E434" s="8" t="str">
        <f t="shared" si="2"/>
        <v>microondas</v>
      </c>
      <c r="F434" s="8"/>
      <c r="G434" s="8" t="str">
        <f t="shared" si="3"/>
        <v>136</v>
      </c>
      <c r="H434" s="9">
        <f t="shared" si="4"/>
        <v>136</v>
      </c>
      <c r="I434" s="6" t="str">
        <f>IFERROR(__xludf.DUMMYFUNCTION("MAX(FILTER($H:$H,$E:$E=F434))"),"#N/A")</f>
        <v>#N/A</v>
      </c>
    </row>
    <row r="435">
      <c r="A435" s="4"/>
      <c r="C435" s="4" t="s">
        <v>2092</v>
      </c>
      <c r="D435" s="4" t="str">
        <f t="shared" si="1"/>
        <v>{"valorA":"ar condicionado","valorB":147}</v>
      </c>
      <c r="E435" s="8" t="str">
        <f t="shared" si="2"/>
        <v>ar condicionado</v>
      </c>
      <c r="F435" s="8"/>
      <c r="G435" s="8" t="str">
        <f t="shared" si="3"/>
        <v>147</v>
      </c>
      <c r="H435" s="9">
        <f t="shared" si="4"/>
        <v>147</v>
      </c>
      <c r="I435" s="6" t="str">
        <f>IFERROR(__xludf.DUMMYFUNCTION("MAX(FILTER($H:$H,$E:$E=F435))"),"#N/A")</f>
        <v>#N/A</v>
      </c>
    </row>
    <row r="436">
      <c r="A436" s="4"/>
      <c r="C436" s="4" t="s">
        <v>2110</v>
      </c>
      <c r="D436" s="4" t="str">
        <f t="shared" si="1"/>
        <v>{"valorA":"freezer","valorB":152}</v>
      </c>
      <c r="E436" s="8" t="str">
        <f t="shared" si="2"/>
        <v>freezer</v>
      </c>
      <c r="F436" s="8"/>
      <c r="G436" s="8" t="str">
        <f t="shared" si="3"/>
        <v>152</v>
      </c>
      <c r="H436" s="9">
        <f t="shared" si="4"/>
        <v>152</v>
      </c>
      <c r="I436" s="6" t="str">
        <f>IFERROR(__xludf.DUMMYFUNCTION("MAX(FILTER($H:$H,$E:$E=F436))"),"#N/A")</f>
        <v>#N/A</v>
      </c>
    </row>
    <row r="437">
      <c r="A437" s="4"/>
      <c r="C437" s="4" t="s">
        <v>2094</v>
      </c>
      <c r="D437" s="4" t="str">
        <f t="shared" si="1"/>
        <v>{"valorA":"ar condicionado","valorB":148}</v>
      </c>
      <c r="E437" s="8" t="str">
        <f t="shared" si="2"/>
        <v>ar condicionado</v>
      </c>
      <c r="F437" s="8"/>
      <c r="G437" s="8" t="str">
        <f t="shared" si="3"/>
        <v>148</v>
      </c>
      <c r="H437" s="9">
        <f t="shared" si="4"/>
        <v>148</v>
      </c>
      <c r="I437" s="6" t="str">
        <f>IFERROR(__xludf.DUMMYFUNCTION("MAX(FILTER($H:$H,$E:$E=F437))"),"#N/A")</f>
        <v>#N/A</v>
      </c>
    </row>
    <row r="438">
      <c r="A438" s="4"/>
      <c r="C438" s="4" t="s">
        <v>2082</v>
      </c>
      <c r="D438" s="4" t="str">
        <f t="shared" si="1"/>
        <v>{"valorA":"microondas","valorB":137}</v>
      </c>
      <c r="E438" s="8" t="str">
        <f t="shared" si="2"/>
        <v>microondas</v>
      </c>
      <c r="F438" s="8"/>
      <c r="G438" s="8" t="str">
        <f t="shared" si="3"/>
        <v>137</v>
      </c>
      <c r="H438" s="9">
        <f t="shared" si="4"/>
        <v>137</v>
      </c>
      <c r="I438" s="6" t="str">
        <f>IFERROR(__xludf.DUMMYFUNCTION("MAX(FILTER($H:$H,$E:$E=F438))"),"#N/A")</f>
        <v>#N/A</v>
      </c>
    </row>
    <row r="439">
      <c r="A439" s="4"/>
      <c r="C439" s="4" t="s">
        <v>2084</v>
      </c>
      <c r="D439" s="4" t="str">
        <f t="shared" si="1"/>
        <v>{"valorA":"microondas","valorB":138}</v>
      </c>
      <c r="E439" s="8" t="str">
        <f t="shared" si="2"/>
        <v>microondas</v>
      </c>
      <c r="F439" s="8"/>
      <c r="G439" s="8" t="str">
        <f t="shared" si="3"/>
        <v>138</v>
      </c>
      <c r="H439" s="9">
        <f t="shared" si="4"/>
        <v>138</v>
      </c>
      <c r="I439" s="6" t="str">
        <f>IFERROR(__xludf.DUMMYFUNCTION("MAX(FILTER($H:$H,$E:$E=F439))"),"#N/A")</f>
        <v>#N/A</v>
      </c>
    </row>
    <row r="440">
      <c r="A440" s="4"/>
      <c r="C440" s="4" t="s">
        <v>2085</v>
      </c>
      <c r="D440" s="4" t="str">
        <f t="shared" si="1"/>
        <v>{"valorA":"microondas","valorB":139}</v>
      </c>
      <c r="E440" s="8" t="str">
        <f t="shared" si="2"/>
        <v>microondas</v>
      </c>
      <c r="F440" s="8"/>
      <c r="G440" s="8" t="str">
        <f t="shared" si="3"/>
        <v>139</v>
      </c>
      <c r="H440" s="9">
        <f t="shared" si="4"/>
        <v>139</v>
      </c>
      <c r="I440" s="6" t="str">
        <f>IFERROR(__xludf.DUMMYFUNCTION("MAX(FILTER($H:$H,$E:$E=F440))"),"#N/A")</f>
        <v>#N/A</v>
      </c>
    </row>
    <row r="441">
      <c r="A441" s="4"/>
      <c r="C441" s="4" t="s">
        <v>2119</v>
      </c>
      <c r="D441" s="4" t="str">
        <f t="shared" si="1"/>
        <v>{"valorA":"freezer","valorB":153}</v>
      </c>
      <c r="E441" s="8" t="str">
        <f t="shared" si="2"/>
        <v>freezer</v>
      </c>
      <c r="F441" s="8"/>
      <c r="G441" s="8" t="str">
        <f t="shared" si="3"/>
        <v>153</v>
      </c>
      <c r="H441" s="9">
        <f t="shared" si="4"/>
        <v>153</v>
      </c>
      <c r="I441" s="6" t="str">
        <f>IFERROR(__xludf.DUMMYFUNCTION("MAX(FILTER($H:$H,$E:$E=F441))"),"#N/A")</f>
        <v>#N/A</v>
      </c>
    </row>
    <row r="442">
      <c r="A442" s="4"/>
      <c r="C442" s="4" t="s">
        <v>2088</v>
      </c>
      <c r="D442" s="4" t="str">
        <f t="shared" si="1"/>
        <v>{"valorA":"microondas","valorB":140}</v>
      </c>
      <c r="E442" s="8" t="str">
        <f t="shared" si="2"/>
        <v>microondas</v>
      </c>
      <c r="F442" s="8"/>
      <c r="G442" s="8" t="str">
        <f t="shared" si="3"/>
        <v>140</v>
      </c>
      <c r="H442" s="9">
        <f t="shared" si="4"/>
        <v>140</v>
      </c>
      <c r="I442" s="6" t="str">
        <f>IFERROR(__xludf.DUMMYFUNCTION("MAX(FILTER($H:$H,$E:$E=F442))"),"#N/A")</f>
        <v>#N/A</v>
      </c>
    </row>
    <row r="443">
      <c r="A443" s="4"/>
      <c r="C443" s="4" t="s">
        <v>2122</v>
      </c>
      <c r="D443" s="4" t="str">
        <f t="shared" si="1"/>
        <v>{"valorA":"freezer","valorB":154}</v>
      </c>
      <c r="E443" s="8" t="str">
        <f t="shared" si="2"/>
        <v>freezer</v>
      </c>
      <c r="F443" s="8"/>
      <c r="G443" s="8" t="str">
        <f t="shared" si="3"/>
        <v>154</v>
      </c>
      <c r="H443" s="9">
        <f t="shared" si="4"/>
        <v>154</v>
      </c>
      <c r="I443" s="6" t="str">
        <f>IFERROR(__xludf.DUMMYFUNCTION("MAX(FILTER($H:$H,$E:$E=F443))"),"#N/A")</f>
        <v>#N/A</v>
      </c>
    </row>
    <row r="444">
      <c r="A444" s="4"/>
      <c r="C444" s="4" t="s">
        <v>2125</v>
      </c>
      <c r="D444" s="4" t="str">
        <f t="shared" si="1"/>
        <v>{"valorA":"freezer","valorB":155}</v>
      </c>
      <c r="E444" s="8" t="str">
        <f t="shared" si="2"/>
        <v>freezer</v>
      </c>
      <c r="F444" s="8"/>
      <c r="G444" s="8" t="str">
        <f t="shared" si="3"/>
        <v>155</v>
      </c>
      <c r="H444" s="9">
        <f t="shared" si="4"/>
        <v>155</v>
      </c>
      <c r="I444" s="6" t="str">
        <f>IFERROR(__xludf.DUMMYFUNCTION("MAX(FILTER($H:$H,$E:$E=F444))"),"#N/A")</f>
        <v>#N/A</v>
      </c>
    </row>
    <row r="445">
      <c r="A445" s="4"/>
      <c r="C445" s="4" t="s">
        <v>2126</v>
      </c>
      <c r="D445" s="4" t="str">
        <f t="shared" si="1"/>
        <v>{"valorA":"freezer","valorB":156}</v>
      </c>
      <c r="E445" s="8" t="str">
        <f t="shared" si="2"/>
        <v>freezer</v>
      </c>
      <c r="F445" s="8"/>
      <c r="G445" s="8" t="str">
        <f t="shared" si="3"/>
        <v>156</v>
      </c>
      <c r="H445" s="9">
        <f t="shared" si="4"/>
        <v>156</v>
      </c>
      <c r="I445" s="6" t="str">
        <f>IFERROR(__xludf.DUMMYFUNCTION("MAX(FILTER($H:$H,$E:$E=F445))"),"#N/A")</f>
        <v>#N/A</v>
      </c>
    </row>
    <row r="446">
      <c r="A446" s="4"/>
      <c r="C446" s="4" t="s">
        <v>2090</v>
      </c>
      <c r="D446" s="4" t="str">
        <f t="shared" si="1"/>
        <v>{"valorA":"microondas","valorB":141}</v>
      </c>
      <c r="E446" s="8" t="str">
        <f t="shared" si="2"/>
        <v>microondas</v>
      </c>
      <c r="F446" s="8"/>
      <c r="G446" s="8" t="str">
        <f t="shared" si="3"/>
        <v>141</v>
      </c>
      <c r="H446" s="9">
        <f t="shared" si="4"/>
        <v>141</v>
      </c>
      <c r="I446" s="6" t="str">
        <f>IFERROR(__xludf.DUMMYFUNCTION("MAX(FILTER($H:$H,$E:$E=F446))"),"#N/A")</f>
        <v>#N/A</v>
      </c>
    </row>
    <row r="447">
      <c r="A447" s="4"/>
      <c r="C447" s="4" t="s">
        <v>2095</v>
      </c>
      <c r="D447" s="4" t="str">
        <f t="shared" si="1"/>
        <v>{"valorA":"ar condicionado","valorB":149}</v>
      </c>
      <c r="E447" s="8" t="str">
        <f t="shared" si="2"/>
        <v>ar condicionado</v>
      </c>
      <c r="F447" s="8"/>
      <c r="G447" s="8" t="str">
        <f t="shared" si="3"/>
        <v>149</v>
      </c>
      <c r="H447" s="9">
        <f t="shared" si="4"/>
        <v>149</v>
      </c>
      <c r="I447" s="6" t="str">
        <f>IFERROR(__xludf.DUMMYFUNCTION("MAX(FILTER($H:$H,$E:$E=F447))"),"#N/A")</f>
        <v>#N/A</v>
      </c>
    </row>
    <row r="448">
      <c r="A448" s="4"/>
      <c r="C448" s="4" t="s">
        <v>2130</v>
      </c>
      <c r="D448" s="4" t="str">
        <f t="shared" si="1"/>
        <v>{"valorA":"freezer","valorB":157}</v>
      </c>
      <c r="E448" s="8" t="str">
        <f t="shared" si="2"/>
        <v>freezer</v>
      </c>
      <c r="F448" s="8"/>
      <c r="G448" s="8" t="str">
        <f t="shared" si="3"/>
        <v>157</v>
      </c>
      <c r="H448" s="9">
        <f t="shared" si="4"/>
        <v>157</v>
      </c>
      <c r="I448" s="6" t="str">
        <f>IFERROR(__xludf.DUMMYFUNCTION("MAX(FILTER($H:$H,$E:$E=F448))"),"#N/A")</f>
        <v>#N/A</v>
      </c>
    </row>
    <row r="449">
      <c r="A449" s="4"/>
      <c r="C449" s="4" t="s">
        <v>2096</v>
      </c>
      <c r="D449" s="4" t="str">
        <f t="shared" si="1"/>
        <v>{"valorA":"ar condicionado","valorB":150}</v>
      </c>
      <c r="E449" s="8" t="str">
        <f t="shared" si="2"/>
        <v>ar condicionado</v>
      </c>
      <c r="F449" s="8"/>
      <c r="G449" s="8" t="str">
        <f t="shared" si="3"/>
        <v>150</v>
      </c>
      <c r="H449" s="9">
        <f t="shared" si="4"/>
        <v>150</v>
      </c>
      <c r="I449" s="6" t="str">
        <f>IFERROR(__xludf.DUMMYFUNCTION("MAX(FILTER($H:$H,$E:$E=F449))"),"#N/A")</f>
        <v>#N/A</v>
      </c>
    </row>
    <row r="450">
      <c r="A450" s="4"/>
      <c r="C450" s="4" t="s">
        <v>2097</v>
      </c>
      <c r="D450" s="4" t="str">
        <f t="shared" si="1"/>
        <v>{"valorA":"ar condicionado","valorB":151}</v>
      </c>
      <c r="E450" s="8" t="str">
        <f t="shared" si="2"/>
        <v>ar condicionado</v>
      </c>
      <c r="F450" s="8"/>
      <c r="G450" s="8" t="str">
        <f t="shared" si="3"/>
        <v>151</v>
      </c>
      <c r="H450" s="9">
        <f t="shared" si="4"/>
        <v>151</v>
      </c>
      <c r="I450" s="6" t="str">
        <f>IFERROR(__xludf.DUMMYFUNCTION("MAX(FILTER($H:$H,$E:$E=F450))"),"#N/A")</f>
        <v>#N/A</v>
      </c>
    </row>
    <row r="451">
      <c r="A451" s="4"/>
      <c r="C451" s="4" t="s">
        <v>2091</v>
      </c>
      <c r="D451" s="4" t="str">
        <f t="shared" si="1"/>
        <v>{"valorA":"microondas","valorB":142}</v>
      </c>
      <c r="E451" s="8" t="str">
        <f t="shared" si="2"/>
        <v>microondas</v>
      </c>
      <c r="F451" s="8"/>
      <c r="G451" s="8" t="str">
        <f t="shared" si="3"/>
        <v>142</v>
      </c>
      <c r="H451" s="9">
        <f t="shared" si="4"/>
        <v>142</v>
      </c>
      <c r="I451" s="6" t="str">
        <f>IFERROR(__xludf.DUMMYFUNCTION("MAX(FILTER($H:$H,$E:$E=F451))"),"#N/A")</f>
        <v>#N/A</v>
      </c>
    </row>
    <row r="452">
      <c r="A452" s="4"/>
      <c r="C452" s="4" t="s">
        <v>2100</v>
      </c>
      <c r="D452" s="4" t="str">
        <f t="shared" si="1"/>
        <v>{"valorA":"ar condicionado","valorB":152}</v>
      </c>
      <c r="E452" s="8" t="str">
        <f t="shared" si="2"/>
        <v>ar condicionado</v>
      </c>
      <c r="F452" s="8"/>
      <c r="G452" s="8" t="str">
        <f t="shared" si="3"/>
        <v>152</v>
      </c>
      <c r="H452" s="9">
        <f t="shared" si="4"/>
        <v>152</v>
      </c>
      <c r="I452" s="6" t="str">
        <f>IFERROR(__xludf.DUMMYFUNCTION("MAX(FILTER($H:$H,$E:$E=F452))"),"#N/A")</f>
        <v>#N/A</v>
      </c>
    </row>
    <row r="453">
      <c r="A453" s="4"/>
      <c r="C453" s="4" t="s">
        <v>2131</v>
      </c>
      <c r="D453" s="4" t="str">
        <f t="shared" si="1"/>
        <v>{"valorA":"freezer","valorB":158}</v>
      </c>
      <c r="E453" s="8" t="str">
        <f t="shared" si="2"/>
        <v>freezer</v>
      </c>
      <c r="F453" s="8"/>
      <c r="G453" s="8" t="str">
        <f t="shared" si="3"/>
        <v>158</v>
      </c>
      <c r="H453" s="9">
        <f t="shared" si="4"/>
        <v>158</v>
      </c>
      <c r="I453" s="6" t="str">
        <f>IFERROR(__xludf.DUMMYFUNCTION("MAX(FILTER($H:$H,$E:$E=F453))"),"#N/A")</f>
        <v>#N/A</v>
      </c>
    </row>
    <row r="454">
      <c r="A454" s="4"/>
      <c r="C454" s="4" t="s">
        <v>2133</v>
      </c>
      <c r="D454" s="4" t="str">
        <f t="shared" si="1"/>
        <v>{"valorA":"freezer","valorB":159}</v>
      </c>
      <c r="E454" s="8" t="str">
        <f t="shared" si="2"/>
        <v>freezer</v>
      </c>
      <c r="F454" s="8"/>
      <c r="G454" s="8" t="str">
        <f t="shared" si="3"/>
        <v>159</v>
      </c>
      <c r="H454" s="9">
        <f t="shared" si="4"/>
        <v>159</v>
      </c>
      <c r="I454" s="6" t="str">
        <f>IFERROR(__xludf.DUMMYFUNCTION("MAX(FILTER($H:$H,$E:$E=F454))"),"#N/A")</f>
        <v>#N/A</v>
      </c>
    </row>
    <row r="455">
      <c r="A455" s="4"/>
      <c r="C455" s="4" t="s">
        <v>2136</v>
      </c>
      <c r="D455" s="4" t="str">
        <f t="shared" si="1"/>
        <v>{"valorA":"freezer","valorB":160}</v>
      </c>
      <c r="E455" s="8" t="str">
        <f t="shared" si="2"/>
        <v>freezer</v>
      </c>
      <c r="F455" s="8"/>
      <c r="G455" s="8" t="str">
        <f t="shared" si="3"/>
        <v>160</v>
      </c>
      <c r="H455" s="9">
        <f t="shared" si="4"/>
        <v>160</v>
      </c>
      <c r="I455" s="6" t="str">
        <f>IFERROR(__xludf.DUMMYFUNCTION("MAX(FILTER($H:$H,$E:$E=F455))"),"#N/A")</f>
        <v>#N/A</v>
      </c>
    </row>
    <row r="456">
      <c r="A456" s="4"/>
      <c r="C456" s="4" t="s">
        <v>2093</v>
      </c>
      <c r="D456" s="4" t="str">
        <f t="shared" si="1"/>
        <v>{"valorA":"microondas","valorB":143}</v>
      </c>
      <c r="E456" s="8" t="str">
        <f t="shared" si="2"/>
        <v>microondas</v>
      </c>
      <c r="F456" s="8"/>
      <c r="G456" s="8" t="str">
        <f t="shared" si="3"/>
        <v>143</v>
      </c>
      <c r="H456" s="9">
        <f t="shared" si="4"/>
        <v>143</v>
      </c>
      <c r="I456" s="6" t="str">
        <f>IFERROR(__xludf.DUMMYFUNCTION("MAX(FILTER($H:$H,$E:$E=F456))"),"#N/A")</f>
        <v>#N/A</v>
      </c>
    </row>
    <row r="457">
      <c r="A457" s="4"/>
      <c r="C457" s="4" t="s">
        <v>2137</v>
      </c>
      <c r="D457" s="4" t="str">
        <f t="shared" si="1"/>
        <v>{"valorA":"freezer","valorB":161}</v>
      </c>
      <c r="E457" s="8" t="str">
        <f t="shared" si="2"/>
        <v>freezer</v>
      </c>
      <c r="F457" s="8"/>
      <c r="G457" s="8" t="str">
        <f t="shared" si="3"/>
        <v>161</v>
      </c>
      <c r="H457" s="9">
        <f t="shared" si="4"/>
        <v>161</v>
      </c>
      <c r="I457" s="6" t="str">
        <f>IFERROR(__xludf.DUMMYFUNCTION("MAX(FILTER($H:$H,$E:$E=F457))"),"#N/A")</f>
        <v>#N/A</v>
      </c>
    </row>
    <row r="458">
      <c r="A458" s="4"/>
      <c r="C458" s="4" t="s">
        <v>2109</v>
      </c>
      <c r="D458" s="4" t="str">
        <f t="shared" si="1"/>
        <v>{"valorA":"ar condicionado","valorB":153}</v>
      </c>
      <c r="E458" s="8" t="str">
        <f t="shared" si="2"/>
        <v>ar condicionado</v>
      </c>
      <c r="F458" s="8"/>
      <c r="G458" s="8" t="str">
        <f t="shared" si="3"/>
        <v>153</v>
      </c>
      <c r="H458" s="9">
        <f t="shared" si="4"/>
        <v>153</v>
      </c>
      <c r="I458" s="6" t="str">
        <f>IFERROR(__xludf.DUMMYFUNCTION("MAX(FILTER($H:$H,$E:$E=F458))"),"#N/A")</f>
        <v>#N/A</v>
      </c>
    </row>
    <row r="459">
      <c r="A459" s="4"/>
      <c r="C459" s="4" t="s">
        <v>2138</v>
      </c>
      <c r="D459" s="4" t="str">
        <f t="shared" si="1"/>
        <v>{"valorA":"freezer","valorB":162}</v>
      </c>
      <c r="E459" s="8" t="str">
        <f t="shared" si="2"/>
        <v>freezer</v>
      </c>
      <c r="F459" s="8"/>
      <c r="G459" s="8" t="str">
        <f t="shared" si="3"/>
        <v>162</v>
      </c>
      <c r="H459" s="9">
        <f t="shared" si="4"/>
        <v>162</v>
      </c>
      <c r="I459" s="6" t="str">
        <f>IFERROR(__xludf.DUMMYFUNCTION("MAX(FILTER($H:$H,$E:$E=F459))"),"#N/A")</f>
        <v>#N/A</v>
      </c>
    </row>
    <row r="460">
      <c r="A460" s="4"/>
      <c r="C460" s="4" t="s">
        <v>2098</v>
      </c>
      <c r="D460" s="4" t="str">
        <f t="shared" si="1"/>
        <v>{"valorA":"microondas","valorB":144}</v>
      </c>
      <c r="E460" s="8" t="str">
        <f t="shared" si="2"/>
        <v>microondas</v>
      </c>
      <c r="F460" s="8"/>
      <c r="G460" s="8" t="str">
        <f t="shared" si="3"/>
        <v>144</v>
      </c>
      <c r="H460" s="9">
        <f t="shared" si="4"/>
        <v>144</v>
      </c>
      <c r="I460" s="6" t="str">
        <f>IFERROR(__xludf.DUMMYFUNCTION("MAX(FILTER($H:$H,$E:$E=F460))"),"#N/A")</f>
        <v>#N/A</v>
      </c>
    </row>
    <row r="461">
      <c r="A461" s="4"/>
      <c r="C461" s="4" t="s">
        <v>2101</v>
      </c>
      <c r="D461" s="4" t="str">
        <f t="shared" si="1"/>
        <v>{"valorA":"microondas","valorB":145}</v>
      </c>
      <c r="E461" s="8" t="str">
        <f t="shared" si="2"/>
        <v>microondas</v>
      </c>
      <c r="F461" s="8"/>
      <c r="G461" s="8" t="str">
        <f t="shared" si="3"/>
        <v>145</v>
      </c>
      <c r="H461" s="9">
        <f t="shared" si="4"/>
        <v>145</v>
      </c>
      <c r="I461" s="6" t="str">
        <f>IFERROR(__xludf.DUMMYFUNCTION("MAX(FILTER($H:$H,$E:$E=F461))"),"#N/A")</f>
        <v>#N/A</v>
      </c>
    </row>
    <row r="462">
      <c r="A462" s="4"/>
      <c r="C462" s="4" t="s">
        <v>2139</v>
      </c>
      <c r="D462" s="4" t="str">
        <f t="shared" si="1"/>
        <v>{"valorA":"freezer","valorB":163}</v>
      </c>
      <c r="E462" s="8" t="str">
        <f t="shared" si="2"/>
        <v>freezer</v>
      </c>
      <c r="F462" s="8"/>
      <c r="G462" s="8" t="str">
        <f t="shared" si="3"/>
        <v>163</v>
      </c>
      <c r="H462" s="9">
        <f t="shared" si="4"/>
        <v>163</v>
      </c>
      <c r="I462" s="6" t="str">
        <f>IFERROR(__xludf.DUMMYFUNCTION("MAX(FILTER($H:$H,$E:$E=F462))"),"#N/A")</f>
        <v>#N/A</v>
      </c>
    </row>
    <row r="463">
      <c r="A463" s="4"/>
      <c r="C463" s="4" t="s">
        <v>2103</v>
      </c>
      <c r="D463" s="4" t="str">
        <f t="shared" si="1"/>
        <v>{"valorA":"microondas","valorB":146}</v>
      </c>
      <c r="E463" s="8" t="str">
        <f t="shared" si="2"/>
        <v>microondas</v>
      </c>
      <c r="F463" s="8"/>
      <c r="G463" s="8" t="str">
        <f t="shared" si="3"/>
        <v>146</v>
      </c>
      <c r="H463" s="9">
        <f t="shared" si="4"/>
        <v>146</v>
      </c>
      <c r="I463" s="6" t="str">
        <f>IFERROR(__xludf.DUMMYFUNCTION("MAX(FILTER($H:$H,$E:$E=F463))"),"#N/A")</f>
        <v>#N/A</v>
      </c>
    </row>
    <row r="464">
      <c r="A464" s="4"/>
      <c r="C464" s="4" t="s">
        <v>2106</v>
      </c>
      <c r="D464" s="4" t="str">
        <f t="shared" si="1"/>
        <v>{"valorA":"microondas","valorB":147}</v>
      </c>
      <c r="E464" s="8" t="str">
        <f t="shared" si="2"/>
        <v>microondas</v>
      </c>
      <c r="F464" s="8"/>
      <c r="G464" s="8" t="str">
        <f t="shared" si="3"/>
        <v>147</v>
      </c>
      <c r="H464" s="9">
        <f t="shared" si="4"/>
        <v>147</v>
      </c>
      <c r="I464" s="6" t="str">
        <f>IFERROR(__xludf.DUMMYFUNCTION("MAX(FILTER($H:$H,$E:$E=F464))"),"#N/A")</f>
        <v>#N/A</v>
      </c>
    </row>
    <row r="465">
      <c r="A465" s="4"/>
      <c r="C465" s="4" t="s">
        <v>2113</v>
      </c>
      <c r="D465" s="4" t="str">
        <f t="shared" si="1"/>
        <v>{"valorA":"ar condicionado","valorB":154}</v>
      </c>
      <c r="E465" s="8" t="str">
        <f t="shared" si="2"/>
        <v>ar condicionado</v>
      </c>
      <c r="F465" s="8"/>
      <c r="G465" s="8" t="str">
        <f t="shared" si="3"/>
        <v>154</v>
      </c>
      <c r="H465" s="9">
        <f t="shared" si="4"/>
        <v>154</v>
      </c>
      <c r="I465" s="6" t="str">
        <f>IFERROR(__xludf.DUMMYFUNCTION("MAX(FILTER($H:$H,$E:$E=F465))"),"#N/A")</f>
        <v>#N/A</v>
      </c>
    </row>
    <row r="466">
      <c r="A466" s="4"/>
      <c r="C466" s="4" t="s">
        <v>2144</v>
      </c>
      <c r="D466" s="4" t="str">
        <f t="shared" si="1"/>
        <v>{"valorA":"freezer","valorB":164}</v>
      </c>
      <c r="E466" s="8" t="str">
        <f t="shared" si="2"/>
        <v>freezer</v>
      </c>
      <c r="F466" s="8"/>
      <c r="G466" s="8" t="str">
        <f t="shared" si="3"/>
        <v>164</v>
      </c>
      <c r="H466" s="9">
        <f t="shared" si="4"/>
        <v>164</v>
      </c>
      <c r="I466" s="6" t="str">
        <f>IFERROR(__xludf.DUMMYFUNCTION("MAX(FILTER($H:$H,$E:$E=F466))"),"#N/A")</f>
        <v>#N/A</v>
      </c>
    </row>
    <row r="467">
      <c r="A467" s="4"/>
      <c r="C467" s="4" t="s">
        <v>2108</v>
      </c>
      <c r="D467" s="4" t="str">
        <f t="shared" si="1"/>
        <v>{"valorA":"microondas","valorB":148}</v>
      </c>
      <c r="E467" s="8" t="str">
        <f t="shared" si="2"/>
        <v>microondas</v>
      </c>
      <c r="F467" s="8"/>
      <c r="G467" s="8" t="str">
        <f t="shared" si="3"/>
        <v>148</v>
      </c>
      <c r="H467" s="9">
        <f t="shared" si="4"/>
        <v>148</v>
      </c>
      <c r="I467" s="6" t="str">
        <f>IFERROR(__xludf.DUMMYFUNCTION("MAX(FILTER($H:$H,$E:$E=F467))"),"#N/A")</f>
        <v>#N/A</v>
      </c>
    </row>
    <row r="468">
      <c r="A468" s="4"/>
      <c r="C468" s="4" t="s">
        <v>2111</v>
      </c>
      <c r="D468" s="4" t="str">
        <f t="shared" si="1"/>
        <v>{"valorA":"microondas","valorB":149}</v>
      </c>
      <c r="E468" s="8" t="str">
        <f t="shared" si="2"/>
        <v>microondas</v>
      </c>
      <c r="F468" s="8"/>
      <c r="G468" s="8" t="str">
        <f t="shared" si="3"/>
        <v>149</v>
      </c>
      <c r="H468" s="9">
        <f t="shared" si="4"/>
        <v>149</v>
      </c>
      <c r="I468" s="6" t="str">
        <f>IFERROR(__xludf.DUMMYFUNCTION("MAX(FILTER($H:$H,$E:$E=F468))"),"#N/A")</f>
        <v>#N/A</v>
      </c>
    </row>
    <row r="469">
      <c r="A469" s="4"/>
      <c r="C469" s="4" t="s">
        <v>2112</v>
      </c>
      <c r="D469" s="4" t="str">
        <f t="shared" si="1"/>
        <v>{"valorA":"microondas","valorB":150}</v>
      </c>
      <c r="E469" s="8" t="str">
        <f t="shared" si="2"/>
        <v>microondas</v>
      </c>
      <c r="F469" s="8"/>
      <c r="G469" s="8" t="str">
        <f t="shared" si="3"/>
        <v>150</v>
      </c>
      <c r="H469" s="9">
        <f t="shared" si="4"/>
        <v>150</v>
      </c>
      <c r="I469" s="6" t="str">
        <f>IFERROR(__xludf.DUMMYFUNCTION("MAX(FILTER($H:$H,$E:$E=F469))"),"#N/A")</f>
        <v>#N/A</v>
      </c>
    </row>
    <row r="470">
      <c r="A470" s="4"/>
      <c r="C470" s="4" t="s">
        <v>2115</v>
      </c>
      <c r="D470" s="4" t="str">
        <f t="shared" si="1"/>
        <v>{"valorA":"microondas","valorB":151}</v>
      </c>
      <c r="E470" s="8" t="str">
        <f t="shared" si="2"/>
        <v>microondas</v>
      </c>
      <c r="F470" s="8"/>
      <c r="G470" s="8" t="str">
        <f t="shared" si="3"/>
        <v>151</v>
      </c>
      <c r="H470" s="9">
        <f t="shared" si="4"/>
        <v>151</v>
      </c>
      <c r="I470" s="6" t="str">
        <f>IFERROR(__xludf.DUMMYFUNCTION("MAX(FILTER($H:$H,$E:$E=F470))"),"#N/A")</f>
        <v>#N/A</v>
      </c>
    </row>
    <row r="471">
      <c r="A471" s="4"/>
      <c r="C471" s="4" t="s">
        <v>2116</v>
      </c>
      <c r="D471" s="4" t="str">
        <f t="shared" si="1"/>
        <v>{"valorA":"microondas","valorB":152}</v>
      </c>
      <c r="E471" s="8" t="str">
        <f t="shared" si="2"/>
        <v>microondas</v>
      </c>
      <c r="F471" s="8"/>
      <c r="G471" s="8" t="str">
        <f t="shared" si="3"/>
        <v>152</v>
      </c>
      <c r="H471" s="9">
        <f t="shared" si="4"/>
        <v>152</v>
      </c>
      <c r="I471" s="6" t="str">
        <f>IFERROR(__xludf.DUMMYFUNCTION("MAX(FILTER($H:$H,$E:$E=F471))"),"#N/A")</f>
        <v>#N/A</v>
      </c>
    </row>
    <row r="472">
      <c r="A472" s="4"/>
      <c r="C472" s="4" t="s">
        <v>2145</v>
      </c>
      <c r="D472" s="4" t="str">
        <f t="shared" si="1"/>
        <v>{"valorA":"freezer","valorB":165}</v>
      </c>
      <c r="E472" s="8" t="str">
        <f t="shared" si="2"/>
        <v>freezer</v>
      </c>
      <c r="F472" s="8"/>
      <c r="G472" s="8" t="str">
        <f t="shared" si="3"/>
        <v>165</v>
      </c>
      <c r="H472" s="9">
        <f t="shared" si="4"/>
        <v>165</v>
      </c>
      <c r="I472" s="6" t="str">
        <f>IFERROR(__xludf.DUMMYFUNCTION("MAX(FILTER($H:$H,$E:$E=F472))"),"#N/A")</f>
        <v>#N/A</v>
      </c>
    </row>
    <row r="473">
      <c r="A473" s="4"/>
      <c r="C473" s="4" t="s">
        <v>2117</v>
      </c>
      <c r="D473" s="4" t="str">
        <f t="shared" si="1"/>
        <v>{"valorA":"microondas","valorB":153}</v>
      </c>
      <c r="E473" s="8" t="str">
        <f t="shared" si="2"/>
        <v>microondas</v>
      </c>
      <c r="F473" s="8"/>
      <c r="G473" s="8" t="str">
        <f t="shared" si="3"/>
        <v>153</v>
      </c>
      <c r="H473" s="9">
        <f t="shared" si="4"/>
        <v>153</v>
      </c>
      <c r="I473" s="6" t="str">
        <f>IFERROR(__xludf.DUMMYFUNCTION("MAX(FILTER($H:$H,$E:$E=F473))"),"#N/A")</f>
        <v>#N/A</v>
      </c>
    </row>
    <row r="474">
      <c r="A474" s="4"/>
      <c r="C474" s="4" t="s">
        <v>2155</v>
      </c>
      <c r="D474" s="4" t="str">
        <f t="shared" si="1"/>
        <v>{"valorA":"freezer","valorB":166}</v>
      </c>
      <c r="E474" s="8" t="str">
        <f t="shared" si="2"/>
        <v>freezer</v>
      </c>
      <c r="F474" s="8"/>
      <c r="G474" s="8" t="str">
        <f t="shared" si="3"/>
        <v>166</v>
      </c>
      <c r="H474" s="9">
        <f t="shared" si="4"/>
        <v>166</v>
      </c>
      <c r="I474" s="6" t="str">
        <f>IFERROR(__xludf.DUMMYFUNCTION("MAX(FILTER($H:$H,$E:$E=F474))"),"#N/A")</f>
        <v>#N/A</v>
      </c>
    </row>
    <row r="475">
      <c r="A475" s="4"/>
      <c r="C475" s="4" t="s">
        <v>3508</v>
      </c>
      <c r="D475" s="4" t="str">
        <f t="shared" si="1"/>
        <v>{"valorA":"freezer","valorB":167}</v>
      </c>
      <c r="E475" s="8" t="str">
        <f t="shared" si="2"/>
        <v>freezer</v>
      </c>
      <c r="F475" s="8"/>
      <c r="G475" s="8" t="str">
        <f t="shared" si="3"/>
        <v>167</v>
      </c>
      <c r="H475" s="9">
        <f t="shared" si="4"/>
        <v>167</v>
      </c>
      <c r="I475" s="6" t="str">
        <f>IFERROR(__xludf.DUMMYFUNCTION("MAX(FILTER($H:$H,$E:$E=F475))"),"#N/A")</f>
        <v>#N/A</v>
      </c>
    </row>
    <row r="476">
      <c r="A476" s="4"/>
      <c r="C476" s="4" t="s">
        <v>2120</v>
      </c>
      <c r="D476" s="4" t="str">
        <f t="shared" si="1"/>
        <v>{"valorA":"microondas","valorB":154}</v>
      </c>
      <c r="E476" s="8" t="str">
        <f t="shared" si="2"/>
        <v>microondas</v>
      </c>
      <c r="F476" s="8"/>
      <c r="G476" s="8" t="str">
        <f t="shared" si="3"/>
        <v>154</v>
      </c>
      <c r="H476" s="9">
        <f t="shared" si="4"/>
        <v>154</v>
      </c>
      <c r="I476" s="6" t="str">
        <f>IFERROR(__xludf.DUMMYFUNCTION("MAX(FILTER($H:$H,$E:$E=F476))"),"#N/A")</f>
        <v>#N/A</v>
      </c>
    </row>
    <row r="477">
      <c r="A477" s="4"/>
      <c r="C477" s="4" t="s">
        <v>2121</v>
      </c>
      <c r="D477" s="4" t="str">
        <f t="shared" si="1"/>
        <v>{"valorA":"microondas","valorB":155}</v>
      </c>
      <c r="E477" s="8" t="str">
        <f t="shared" si="2"/>
        <v>microondas</v>
      </c>
      <c r="F477" s="8"/>
      <c r="G477" s="8" t="str">
        <f t="shared" si="3"/>
        <v>155</v>
      </c>
      <c r="H477" s="9">
        <f t="shared" si="4"/>
        <v>155</v>
      </c>
      <c r="I477" s="6" t="str">
        <f>IFERROR(__xludf.DUMMYFUNCTION("MAX(FILTER($H:$H,$E:$E=F477))"),"#N/A")</f>
        <v>#N/A</v>
      </c>
    </row>
    <row r="478">
      <c r="A478" s="4"/>
      <c r="C478" s="4" t="s">
        <v>2124</v>
      </c>
      <c r="D478" s="4" t="str">
        <f t="shared" si="1"/>
        <v>{"valorA":"microondas","valorB":156}</v>
      </c>
      <c r="E478" s="8" t="str">
        <f t="shared" si="2"/>
        <v>microondas</v>
      </c>
      <c r="F478" s="8"/>
      <c r="G478" s="8" t="str">
        <f t="shared" si="3"/>
        <v>156</v>
      </c>
      <c r="H478" s="9">
        <f t="shared" si="4"/>
        <v>156</v>
      </c>
      <c r="I478" s="6" t="str">
        <f>IFERROR(__xludf.DUMMYFUNCTION("MAX(FILTER($H:$H,$E:$E=F478))"),"#N/A")</f>
        <v>#N/A</v>
      </c>
    </row>
    <row r="479">
      <c r="A479" s="4"/>
      <c r="C479" s="4" t="s">
        <v>2128</v>
      </c>
      <c r="D479" s="4" t="str">
        <f t="shared" si="1"/>
        <v>{"valorA":"microondas","valorB":157}</v>
      </c>
      <c r="E479" s="8" t="str">
        <f t="shared" si="2"/>
        <v>microondas</v>
      </c>
      <c r="F479" s="8"/>
      <c r="G479" s="8" t="str">
        <f t="shared" si="3"/>
        <v>157</v>
      </c>
      <c r="H479" s="9">
        <f t="shared" si="4"/>
        <v>157</v>
      </c>
      <c r="I479" s="6" t="str">
        <f>IFERROR(__xludf.DUMMYFUNCTION("MAX(FILTER($H:$H,$E:$E=F479))"),"#N/A")</f>
        <v>#N/A</v>
      </c>
    </row>
    <row r="480">
      <c r="A480" s="4"/>
      <c r="C480" s="4" t="s">
        <v>2114</v>
      </c>
      <c r="D480" s="4" t="str">
        <f t="shared" si="1"/>
        <v>{"valorA":"ar condicionado","valorB":155}</v>
      </c>
      <c r="E480" s="8" t="str">
        <f t="shared" si="2"/>
        <v>ar condicionado</v>
      </c>
      <c r="F480" s="8"/>
      <c r="G480" s="8" t="str">
        <f t="shared" si="3"/>
        <v>155</v>
      </c>
      <c r="H480" s="9">
        <f t="shared" si="4"/>
        <v>155</v>
      </c>
      <c r="I480" s="6" t="str">
        <f>IFERROR(__xludf.DUMMYFUNCTION("MAX(FILTER($H:$H,$E:$E=F480))"),"#N/A")</f>
        <v>#N/A</v>
      </c>
    </row>
    <row r="481">
      <c r="A481" s="4"/>
      <c r="C481" s="4" t="s">
        <v>2118</v>
      </c>
      <c r="D481" s="4" t="str">
        <f t="shared" si="1"/>
        <v>{"valorA":"ar condicionado","valorB":156}</v>
      </c>
      <c r="E481" s="8" t="str">
        <f t="shared" si="2"/>
        <v>ar condicionado</v>
      </c>
      <c r="F481" s="8"/>
      <c r="G481" s="8" t="str">
        <f t="shared" si="3"/>
        <v>156</v>
      </c>
      <c r="H481" s="9">
        <f t="shared" si="4"/>
        <v>156</v>
      </c>
      <c r="I481" s="6" t="str">
        <f>IFERROR(__xludf.DUMMYFUNCTION("MAX(FILTER($H:$H,$E:$E=F481))"),"#N/A")</f>
        <v>#N/A</v>
      </c>
    </row>
    <row r="482">
      <c r="A482" s="4"/>
      <c r="C482" s="4" t="s">
        <v>3509</v>
      </c>
      <c r="D482" s="4" t="str">
        <f t="shared" si="1"/>
        <v>{"valorA":"freezer","valorB":168}</v>
      </c>
      <c r="E482" s="8" t="str">
        <f t="shared" si="2"/>
        <v>freezer</v>
      </c>
      <c r="F482" s="8"/>
      <c r="G482" s="8" t="str">
        <f t="shared" si="3"/>
        <v>168</v>
      </c>
      <c r="H482" s="9">
        <f t="shared" si="4"/>
        <v>168</v>
      </c>
      <c r="I482" s="6" t="str">
        <f>IFERROR(__xludf.DUMMYFUNCTION("MAX(FILTER($H:$H,$E:$E=F482))"),"#N/A")</f>
        <v>#N/A</v>
      </c>
    </row>
    <row r="483">
      <c r="A483" s="4"/>
      <c r="C483" s="4" t="s">
        <v>3510</v>
      </c>
      <c r="D483" s="4" t="str">
        <f t="shared" si="1"/>
        <v>{"valorA":"freezer","valorB":169}</v>
      </c>
      <c r="E483" s="8" t="str">
        <f t="shared" si="2"/>
        <v>freezer</v>
      </c>
      <c r="F483" s="8"/>
      <c r="G483" s="8" t="str">
        <f t="shared" si="3"/>
        <v>169</v>
      </c>
      <c r="H483" s="9">
        <f t="shared" si="4"/>
        <v>169</v>
      </c>
      <c r="I483" s="6" t="str">
        <f>IFERROR(__xludf.DUMMYFUNCTION("MAX(FILTER($H:$H,$E:$E=F483))"),"#N/A")</f>
        <v>#N/A</v>
      </c>
    </row>
    <row r="484">
      <c r="A484" s="4"/>
      <c r="C484" s="4" t="s">
        <v>3511</v>
      </c>
      <c r="D484" s="4" t="str">
        <f t="shared" si="1"/>
        <v>{"valorA":"freezer","valorB":170}</v>
      </c>
      <c r="E484" s="8" t="str">
        <f t="shared" si="2"/>
        <v>freezer</v>
      </c>
      <c r="F484" s="8"/>
      <c r="G484" s="8" t="str">
        <f t="shared" si="3"/>
        <v>170</v>
      </c>
      <c r="H484" s="9">
        <f t="shared" si="4"/>
        <v>170</v>
      </c>
      <c r="I484" s="6" t="str">
        <f>IFERROR(__xludf.DUMMYFUNCTION("MAX(FILTER($H:$H,$E:$E=F484))"),"#N/A")</f>
        <v>#N/A</v>
      </c>
    </row>
    <row r="485">
      <c r="A485" s="4"/>
      <c r="C485" s="4" t="s">
        <v>2135</v>
      </c>
      <c r="D485" s="4" t="str">
        <f t="shared" si="1"/>
        <v>{"valorA":"microondas","valorB":158}</v>
      </c>
      <c r="E485" s="8" t="str">
        <f t="shared" si="2"/>
        <v>microondas</v>
      </c>
      <c r="F485" s="8"/>
      <c r="G485" s="8" t="str">
        <f t="shared" si="3"/>
        <v>158</v>
      </c>
      <c r="H485" s="9">
        <f t="shared" si="4"/>
        <v>158</v>
      </c>
      <c r="I485" s="6" t="str">
        <f>IFERROR(__xludf.DUMMYFUNCTION("MAX(FILTER($H:$H,$E:$E=F485))"),"#N/A")</f>
        <v>#N/A</v>
      </c>
    </row>
    <row r="486">
      <c r="A486" s="4"/>
      <c r="C486" s="4" t="s">
        <v>2140</v>
      </c>
      <c r="D486" s="4" t="str">
        <f t="shared" si="1"/>
        <v>{"valorA":"microondas","valorB":159}</v>
      </c>
      <c r="E486" s="8" t="str">
        <f t="shared" si="2"/>
        <v>microondas</v>
      </c>
      <c r="F486" s="8"/>
      <c r="G486" s="8" t="str">
        <f t="shared" si="3"/>
        <v>159</v>
      </c>
      <c r="H486" s="9">
        <f t="shared" si="4"/>
        <v>159</v>
      </c>
      <c r="I486" s="6" t="str">
        <f>IFERROR(__xludf.DUMMYFUNCTION("MAX(FILTER($H:$H,$E:$E=F486))"),"#N/A")</f>
        <v>#N/A</v>
      </c>
    </row>
    <row r="487">
      <c r="A487" s="4"/>
      <c r="C487" s="4" t="s">
        <v>3512</v>
      </c>
      <c r="D487" s="4" t="str">
        <f t="shared" si="1"/>
        <v>{"valorA":"freezer","valorB":171}</v>
      </c>
      <c r="E487" s="8" t="str">
        <f t="shared" si="2"/>
        <v>freezer</v>
      </c>
      <c r="F487" s="8"/>
      <c r="G487" s="8" t="str">
        <f t="shared" si="3"/>
        <v>171</v>
      </c>
      <c r="H487" s="9">
        <f t="shared" si="4"/>
        <v>171</v>
      </c>
      <c r="I487" s="6" t="str">
        <f>IFERROR(__xludf.DUMMYFUNCTION("MAX(FILTER($H:$H,$E:$E=F487))"),"#N/A")</f>
        <v>#N/A</v>
      </c>
    </row>
    <row r="488">
      <c r="A488" s="4"/>
      <c r="C488" s="4" t="s">
        <v>2142</v>
      </c>
      <c r="D488" s="4" t="str">
        <f t="shared" si="1"/>
        <v>{"valorA":"microondas","valorB":160}</v>
      </c>
      <c r="E488" s="8" t="str">
        <f t="shared" si="2"/>
        <v>microondas</v>
      </c>
      <c r="F488" s="8"/>
      <c r="G488" s="8" t="str">
        <f t="shared" si="3"/>
        <v>160</v>
      </c>
      <c r="H488" s="9">
        <f t="shared" si="4"/>
        <v>160</v>
      </c>
      <c r="I488" s="6" t="str">
        <f>IFERROR(__xludf.DUMMYFUNCTION("MAX(FILTER($H:$H,$E:$E=F488))"),"#N/A")</f>
        <v>#N/A</v>
      </c>
    </row>
    <row r="489">
      <c r="A489" s="4"/>
      <c r="C489" s="4" t="s">
        <v>2143</v>
      </c>
      <c r="D489" s="4" t="str">
        <f t="shared" si="1"/>
        <v>{"valorA":"microondas","valorB":161}</v>
      </c>
      <c r="E489" s="8" t="str">
        <f t="shared" si="2"/>
        <v>microondas</v>
      </c>
      <c r="F489" s="8"/>
      <c r="G489" s="8" t="str">
        <f t="shared" si="3"/>
        <v>161</v>
      </c>
      <c r="H489" s="9">
        <f t="shared" si="4"/>
        <v>161</v>
      </c>
      <c r="I489" s="6" t="str">
        <f>IFERROR(__xludf.DUMMYFUNCTION("MAX(FILTER($H:$H,$E:$E=F489))"),"#N/A")</f>
        <v>#N/A</v>
      </c>
    </row>
    <row r="490">
      <c r="A490" s="4"/>
      <c r="C490" s="4" t="s">
        <v>2123</v>
      </c>
      <c r="D490" s="4" t="str">
        <f t="shared" si="1"/>
        <v>{"valorA":"ar condicionado","valorB":157}</v>
      </c>
      <c r="E490" s="8" t="str">
        <f t="shared" si="2"/>
        <v>ar condicionado</v>
      </c>
      <c r="F490" s="8"/>
      <c r="G490" s="8" t="str">
        <f t="shared" si="3"/>
        <v>157</v>
      </c>
      <c r="H490" s="9">
        <f t="shared" si="4"/>
        <v>157</v>
      </c>
      <c r="I490" s="6" t="str">
        <f>IFERROR(__xludf.DUMMYFUNCTION("MAX(FILTER($H:$H,$E:$E=F490))"),"#N/A")</f>
        <v>#N/A</v>
      </c>
    </row>
    <row r="491">
      <c r="A491" s="4"/>
      <c r="C491" s="4" t="s">
        <v>2127</v>
      </c>
      <c r="D491" s="4" t="str">
        <f t="shared" si="1"/>
        <v>{"valorA":"ar condicionado","valorB":158}</v>
      </c>
      <c r="E491" s="8" t="str">
        <f t="shared" si="2"/>
        <v>ar condicionado</v>
      </c>
      <c r="F491" s="8"/>
      <c r="G491" s="8" t="str">
        <f t="shared" si="3"/>
        <v>158</v>
      </c>
      <c r="H491" s="9">
        <f t="shared" si="4"/>
        <v>158</v>
      </c>
      <c r="I491" s="6" t="str">
        <f>IFERROR(__xludf.DUMMYFUNCTION("MAX(FILTER($H:$H,$E:$E=F491))"),"#N/A")</f>
        <v>#N/A</v>
      </c>
    </row>
    <row r="492">
      <c r="A492" s="4"/>
      <c r="C492" s="4" t="s">
        <v>2149</v>
      </c>
      <c r="D492" s="4" t="str">
        <f t="shared" si="1"/>
        <v>{"valorA":"microondas","valorB":162}</v>
      </c>
      <c r="E492" s="8" t="str">
        <f t="shared" si="2"/>
        <v>microondas</v>
      </c>
      <c r="F492" s="8"/>
      <c r="G492" s="8" t="str">
        <f t="shared" si="3"/>
        <v>162</v>
      </c>
      <c r="H492" s="9">
        <f t="shared" si="4"/>
        <v>162</v>
      </c>
      <c r="I492" s="6" t="str">
        <f>IFERROR(__xludf.DUMMYFUNCTION("MAX(FILTER($H:$H,$E:$E=F492))"),"#N/A")</f>
        <v>#N/A</v>
      </c>
    </row>
    <row r="493">
      <c r="A493" s="4"/>
      <c r="C493" s="4" t="s">
        <v>2151</v>
      </c>
      <c r="D493" s="4" t="str">
        <f t="shared" si="1"/>
        <v>{"valorA":"microondas","valorB":163}</v>
      </c>
      <c r="E493" s="8" t="str">
        <f t="shared" si="2"/>
        <v>microondas</v>
      </c>
      <c r="F493" s="8"/>
      <c r="G493" s="8" t="str">
        <f t="shared" si="3"/>
        <v>163</v>
      </c>
      <c r="H493" s="9">
        <f t="shared" si="4"/>
        <v>163</v>
      </c>
      <c r="I493" s="6" t="str">
        <f>IFERROR(__xludf.DUMMYFUNCTION("MAX(FILTER($H:$H,$E:$E=F493))"),"#N/A")</f>
        <v>#N/A</v>
      </c>
    </row>
    <row r="494">
      <c r="A494" s="4"/>
      <c r="C494" s="4" t="s">
        <v>5997</v>
      </c>
      <c r="D494" s="4" t="str">
        <f t="shared" si="1"/>
        <v>{"valorA":"microondas","valorB":164}</v>
      </c>
      <c r="E494" s="8" t="str">
        <f t="shared" si="2"/>
        <v>microondas</v>
      </c>
      <c r="F494" s="8"/>
      <c r="G494" s="8" t="str">
        <f t="shared" si="3"/>
        <v>164</v>
      </c>
      <c r="H494" s="9">
        <f t="shared" si="4"/>
        <v>164</v>
      </c>
      <c r="I494" s="6" t="str">
        <f>IFERROR(__xludf.DUMMYFUNCTION("MAX(FILTER($H:$H,$E:$E=F494))"),"#N/A")</f>
        <v>#N/A</v>
      </c>
    </row>
    <row r="495">
      <c r="A495" s="4"/>
      <c r="C495" s="4" t="s">
        <v>2129</v>
      </c>
      <c r="D495" s="4" t="str">
        <f t="shared" si="1"/>
        <v>{"valorA":"ar condicionado","valorB":159}</v>
      </c>
      <c r="E495" s="8" t="str">
        <f t="shared" si="2"/>
        <v>ar condicionado</v>
      </c>
      <c r="F495" s="8"/>
      <c r="G495" s="8" t="str">
        <f t="shared" si="3"/>
        <v>159</v>
      </c>
      <c r="H495" s="9">
        <f t="shared" si="4"/>
        <v>159</v>
      </c>
      <c r="I495" s="6" t="str">
        <f>IFERROR(__xludf.DUMMYFUNCTION("MAX(FILTER($H:$H,$E:$E=F495))"),"#N/A")</f>
        <v>#N/A</v>
      </c>
    </row>
    <row r="496">
      <c r="A496" s="4"/>
      <c r="C496" s="4" t="s">
        <v>2132</v>
      </c>
      <c r="D496" s="4" t="str">
        <f t="shared" si="1"/>
        <v>{"valorA":"ar condicionado","valorB":160}</v>
      </c>
      <c r="E496" s="8" t="str">
        <f t="shared" si="2"/>
        <v>ar condicionado</v>
      </c>
      <c r="F496" s="8"/>
      <c r="G496" s="8" t="str">
        <f t="shared" si="3"/>
        <v>160</v>
      </c>
      <c r="H496" s="9">
        <f t="shared" si="4"/>
        <v>160</v>
      </c>
      <c r="I496" s="6" t="str">
        <f>IFERROR(__xludf.DUMMYFUNCTION("MAX(FILTER($H:$H,$E:$E=F496))"),"#N/A")</f>
        <v>#N/A</v>
      </c>
    </row>
    <row r="497">
      <c r="A497" s="4"/>
      <c r="C497" s="4" t="s">
        <v>3513</v>
      </c>
      <c r="D497" s="4" t="str">
        <f t="shared" si="1"/>
        <v>{"valorA":"freezer","valorB":172}</v>
      </c>
      <c r="E497" s="8" t="str">
        <f t="shared" si="2"/>
        <v>freezer</v>
      </c>
      <c r="F497" s="8"/>
      <c r="G497" s="8" t="str">
        <f t="shared" si="3"/>
        <v>172</v>
      </c>
      <c r="H497" s="9">
        <f t="shared" si="4"/>
        <v>172</v>
      </c>
      <c r="I497" s="6" t="str">
        <f>IFERROR(__xludf.DUMMYFUNCTION("MAX(FILTER($H:$H,$E:$E=F497))"),"#N/A")</f>
        <v>#N/A</v>
      </c>
    </row>
    <row r="498">
      <c r="A498" s="4"/>
      <c r="C498" s="4" t="s">
        <v>3514</v>
      </c>
      <c r="D498" s="4" t="str">
        <f t="shared" si="1"/>
        <v>{"valorA":"freezer","valorB":173}</v>
      </c>
      <c r="E498" s="8" t="str">
        <f t="shared" si="2"/>
        <v>freezer</v>
      </c>
      <c r="F498" s="8"/>
      <c r="G498" s="8" t="str">
        <f t="shared" si="3"/>
        <v>173</v>
      </c>
      <c r="H498" s="9">
        <f t="shared" si="4"/>
        <v>173</v>
      </c>
      <c r="I498" s="6" t="str">
        <f>IFERROR(__xludf.DUMMYFUNCTION("MAX(FILTER($H:$H,$E:$E=F498))"),"#N/A")</f>
        <v>#N/A</v>
      </c>
    </row>
    <row r="499">
      <c r="A499" s="4"/>
      <c r="C499" s="4" t="s">
        <v>2134</v>
      </c>
      <c r="D499" s="4" t="str">
        <f t="shared" si="1"/>
        <v>{"valorA":"ar condicionado","valorB":161}</v>
      </c>
      <c r="E499" s="8" t="str">
        <f t="shared" si="2"/>
        <v>ar condicionado</v>
      </c>
      <c r="F499" s="8"/>
      <c r="G499" s="8" t="str">
        <f t="shared" si="3"/>
        <v>161</v>
      </c>
      <c r="H499" s="9">
        <f t="shared" si="4"/>
        <v>161</v>
      </c>
      <c r="I499" s="6" t="str">
        <f>IFERROR(__xludf.DUMMYFUNCTION("MAX(FILTER($H:$H,$E:$E=F499))"),"#N/A")</f>
        <v>#N/A</v>
      </c>
    </row>
    <row r="500">
      <c r="A500" s="4"/>
      <c r="C500" s="4" t="s">
        <v>3515</v>
      </c>
      <c r="D500" s="4" t="str">
        <f t="shared" si="1"/>
        <v>{"valorA":"freezer","valorB":174}</v>
      </c>
      <c r="E500" s="8" t="str">
        <f t="shared" si="2"/>
        <v>freezer</v>
      </c>
      <c r="F500" s="8"/>
      <c r="G500" s="8" t="str">
        <f t="shared" si="3"/>
        <v>174</v>
      </c>
      <c r="H500" s="9">
        <f t="shared" si="4"/>
        <v>174</v>
      </c>
      <c r="I500" s="6" t="str">
        <f>IFERROR(__xludf.DUMMYFUNCTION("MAX(FILTER($H:$H,$E:$E=F500))"),"#N/A")</f>
        <v>#N/A</v>
      </c>
    </row>
    <row r="501">
      <c r="A501" s="4"/>
      <c r="C501" s="4" t="s">
        <v>10454</v>
      </c>
      <c r="D501" s="4" t="str">
        <f t="shared" si="1"/>
        <v>{"valorA":"freezer","valorB":175}</v>
      </c>
      <c r="E501" s="8" t="str">
        <f t="shared" si="2"/>
        <v>freezer</v>
      </c>
      <c r="F501" s="8"/>
      <c r="G501" s="8" t="str">
        <f t="shared" si="3"/>
        <v>175</v>
      </c>
      <c r="H501" s="9">
        <f t="shared" si="4"/>
        <v>175</v>
      </c>
      <c r="I501" s="6" t="str">
        <f>IFERROR(__xludf.DUMMYFUNCTION("MAX(FILTER($H:$H,$E:$E=F501))"),"#N/A")</f>
        <v>#N/A</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13.25"/>
    <col customWidth="1" min="11" max="11" width="13.25"/>
    <col customWidth="1" min="14" max="14" width="13.25"/>
  </cols>
  <sheetData>
    <row r="1">
      <c r="A1" s="5" t="s">
        <v>32</v>
      </c>
      <c r="B1" s="7" t="s">
        <v>8667</v>
      </c>
      <c r="C1" s="5" t="s">
        <v>8668</v>
      </c>
      <c r="D1" s="5" t="s">
        <v>8669</v>
      </c>
      <c r="F1" s="29"/>
      <c r="G1" s="22" t="s">
        <v>8670</v>
      </c>
      <c r="H1" s="23"/>
      <c r="J1" s="22" t="s">
        <v>8671</v>
      </c>
      <c r="K1" s="23"/>
      <c r="M1" s="22" t="s">
        <v>8672</v>
      </c>
      <c r="N1" s="23"/>
    </row>
    <row r="2">
      <c r="A2" s="4" t="s">
        <v>10455</v>
      </c>
      <c r="B2" s="10">
        <f t="shared" ref="B2:B501" si="1">VALUE(SUBSTITUTE(MID(A2,FIND("CPU usage is:",A2)+13,FIND("RAM memory",A2)-FIND("CPU usage is:",A2)-13),".",","))</f>
        <v>0</v>
      </c>
      <c r="C2" s="6">
        <f t="shared" ref="C2:C501" si="2">VALUE(SUBSTITUTE(SUBSTITUTE(MID(A2,FIND("RAM memory % used:",A2)+18,9),"RAM",""),".",","))</f>
        <v>85.7</v>
      </c>
      <c r="D2" s="6">
        <f t="shared" ref="D2:D501" si="3">VALUE(SUBSTITUTE(SUBSTITUTE(MID(A2,FIND("RAM Used (GB):",A2)+14,9),"RAM",""),".",","))</f>
        <v>14.604165</v>
      </c>
      <c r="F2" s="5"/>
      <c r="G2" s="25" t="s">
        <v>4013</v>
      </c>
      <c r="H2" s="25" t="s">
        <v>4247</v>
      </c>
      <c r="J2" s="25" t="s">
        <v>4013</v>
      </c>
      <c r="K2" s="25" t="s">
        <v>4247</v>
      </c>
      <c r="M2" s="25" t="s">
        <v>4013</v>
      </c>
      <c r="N2" s="25" t="s">
        <v>4247</v>
      </c>
    </row>
    <row r="3">
      <c r="A3" s="4" t="s">
        <v>10456</v>
      </c>
      <c r="B3" s="10">
        <f t="shared" si="1"/>
        <v>50</v>
      </c>
      <c r="C3" s="6">
        <f t="shared" si="2"/>
        <v>85.7</v>
      </c>
      <c r="D3" s="6">
        <f t="shared" si="3"/>
        <v>14.610841</v>
      </c>
      <c r="G3" s="28">
        <f>AVERAGE(B2:B501)</f>
        <v>3.9758</v>
      </c>
      <c r="H3" s="20">
        <f>STDEV(B2:B501)</f>
        <v>16.59059402</v>
      </c>
      <c r="J3" s="20">
        <f>AVERAGE(C2:C501)</f>
        <v>85.1794</v>
      </c>
      <c r="K3" s="20">
        <f>STDEV(C2:C501)</f>
        <v>0.5695299542</v>
      </c>
      <c r="M3" s="20">
        <f>AVERAGE(D2:D501)</f>
        <v>14.51485974</v>
      </c>
      <c r="N3" s="20">
        <f>STDEV(D2:D501)</f>
        <v>0.09658451747</v>
      </c>
    </row>
    <row r="4">
      <c r="A4" s="4" t="s">
        <v>10457</v>
      </c>
      <c r="B4" s="10">
        <f t="shared" si="1"/>
        <v>0</v>
      </c>
      <c r="C4" s="6">
        <f t="shared" si="2"/>
        <v>85.7</v>
      </c>
      <c r="D4" s="6">
        <f t="shared" si="3"/>
        <v>14.611144</v>
      </c>
    </row>
    <row r="5">
      <c r="A5" s="4" t="s">
        <v>10458</v>
      </c>
      <c r="B5" s="10">
        <f t="shared" si="1"/>
        <v>0</v>
      </c>
      <c r="C5" s="6">
        <f t="shared" si="2"/>
        <v>85.7</v>
      </c>
      <c r="D5" s="6">
        <f t="shared" si="3"/>
        <v>14.612467</v>
      </c>
    </row>
    <row r="6">
      <c r="A6" s="4" t="s">
        <v>10459</v>
      </c>
      <c r="B6" s="10">
        <f t="shared" si="1"/>
        <v>0</v>
      </c>
      <c r="C6" s="6">
        <f t="shared" si="2"/>
        <v>85.8</v>
      </c>
      <c r="D6" s="6">
        <f t="shared" si="3"/>
        <v>14.613409</v>
      </c>
    </row>
    <row r="7">
      <c r="A7" s="4" t="s">
        <v>10460</v>
      </c>
      <c r="B7" s="10">
        <f t="shared" si="1"/>
        <v>0</v>
      </c>
      <c r="C7" s="6">
        <f t="shared" si="2"/>
        <v>85.7</v>
      </c>
      <c r="D7" s="6">
        <f t="shared" si="3"/>
        <v>14.612131</v>
      </c>
    </row>
    <row r="8">
      <c r="A8" s="4" t="s">
        <v>10461</v>
      </c>
      <c r="B8" s="10">
        <f t="shared" si="1"/>
        <v>0</v>
      </c>
      <c r="C8" s="6">
        <f t="shared" si="2"/>
        <v>85.7</v>
      </c>
      <c r="D8" s="6">
        <f t="shared" si="3"/>
        <v>14.611128</v>
      </c>
    </row>
    <row r="9">
      <c r="A9" s="4" t="s">
        <v>10462</v>
      </c>
      <c r="B9" s="10">
        <f t="shared" si="1"/>
        <v>0</v>
      </c>
      <c r="C9" s="6">
        <f t="shared" si="2"/>
        <v>85.8</v>
      </c>
      <c r="D9" s="6">
        <f t="shared" si="3"/>
        <v>14.613037</v>
      </c>
    </row>
    <row r="10">
      <c r="A10" s="4" t="s">
        <v>10463</v>
      </c>
      <c r="B10" s="10">
        <f t="shared" si="1"/>
        <v>10</v>
      </c>
      <c r="C10" s="6">
        <f t="shared" si="2"/>
        <v>85.7</v>
      </c>
      <c r="D10" s="6">
        <f t="shared" si="3"/>
        <v>14.612639</v>
      </c>
    </row>
    <row r="11">
      <c r="A11" s="4" t="s">
        <v>10464</v>
      </c>
      <c r="B11" s="10">
        <f t="shared" si="1"/>
        <v>0</v>
      </c>
      <c r="C11" s="6">
        <f t="shared" si="2"/>
        <v>85.8</v>
      </c>
      <c r="D11" s="6">
        <f t="shared" si="3"/>
        <v>14.613401</v>
      </c>
    </row>
    <row r="12">
      <c r="A12" s="4" t="s">
        <v>10465</v>
      </c>
      <c r="B12" s="10">
        <f t="shared" si="1"/>
        <v>0</v>
      </c>
      <c r="C12" s="6">
        <f t="shared" si="2"/>
        <v>85.8</v>
      </c>
      <c r="D12" s="6">
        <f t="shared" si="3"/>
        <v>14.614716</v>
      </c>
    </row>
    <row r="13">
      <c r="A13" s="4" t="s">
        <v>10466</v>
      </c>
      <c r="B13" s="10">
        <f t="shared" si="1"/>
        <v>0</v>
      </c>
      <c r="C13" s="6">
        <f t="shared" si="2"/>
        <v>85.7</v>
      </c>
      <c r="D13" s="6">
        <f t="shared" si="3"/>
        <v>14.606311</v>
      </c>
    </row>
    <row r="14">
      <c r="A14" s="4" t="s">
        <v>10467</v>
      </c>
      <c r="B14" s="10">
        <f t="shared" si="1"/>
        <v>0</v>
      </c>
      <c r="C14" s="6">
        <f t="shared" si="2"/>
        <v>85.7</v>
      </c>
      <c r="D14" s="6">
        <f t="shared" si="3"/>
        <v>14.608842</v>
      </c>
    </row>
    <row r="15">
      <c r="A15" s="4" t="s">
        <v>10468</v>
      </c>
      <c r="B15" s="10">
        <f t="shared" si="1"/>
        <v>0</v>
      </c>
      <c r="C15" s="6">
        <f t="shared" si="2"/>
        <v>85.7</v>
      </c>
      <c r="D15" s="6">
        <f t="shared" si="3"/>
        <v>14.607609</v>
      </c>
    </row>
    <row r="16">
      <c r="A16" s="4" t="s">
        <v>10469</v>
      </c>
      <c r="B16" s="10">
        <f t="shared" si="1"/>
        <v>0</v>
      </c>
      <c r="C16" s="6">
        <f t="shared" si="2"/>
        <v>85.7</v>
      </c>
      <c r="D16" s="6">
        <f t="shared" si="3"/>
        <v>14.609149</v>
      </c>
    </row>
    <row r="17">
      <c r="A17" s="4" t="s">
        <v>10470</v>
      </c>
      <c r="B17" s="10">
        <f t="shared" si="1"/>
        <v>0</v>
      </c>
      <c r="C17" s="6">
        <f t="shared" si="2"/>
        <v>85.6</v>
      </c>
      <c r="D17" s="6">
        <f t="shared" si="3"/>
        <v>14.584459</v>
      </c>
    </row>
    <row r="18">
      <c r="A18" s="4" t="s">
        <v>10471</v>
      </c>
      <c r="B18" s="10">
        <f t="shared" si="1"/>
        <v>0</v>
      </c>
      <c r="C18" s="6">
        <f t="shared" si="2"/>
        <v>85.6</v>
      </c>
      <c r="D18" s="6">
        <f t="shared" si="3"/>
        <v>14.580817</v>
      </c>
    </row>
    <row r="19">
      <c r="A19" s="4" t="s">
        <v>10472</v>
      </c>
      <c r="B19" s="10">
        <f t="shared" si="1"/>
        <v>0</v>
      </c>
      <c r="C19" s="6">
        <f t="shared" si="2"/>
        <v>85.4</v>
      </c>
      <c r="D19" s="6">
        <f t="shared" si="3"/>
        <v>14.549204</v>
      </c>
    </row>
    <row r="20">
      <c r="A20" s="4" t="s">
        <v>10473</v>
      </c>
      <c r="B20" s="10">
        <f t="shared" si="1"/>
        <v>0</v>
      </c>
      <c r="C20" s="6">
        <f t="shared" si="2"/>
        <v>85.4</v>
      </c>
      <c r="D20" s="6">
        <f t="shared" si="3"/>
        <v>14.548176</v>
      </c>
    </row>
    <row r="21">
      <c r="A21" s="4" t="s">
        <v>10474</v>
      </c>
      <c r="B21" s="10">
        <f t="shared" si="1"/>
        <v>0</v>
      </c>
      <c r="C21" s="6">
        <f t="shared" si="2"/>
        <v>85.4</v>
      </c>
      <c r="D21" s="6">
        <f t="shared" si="3"/>
        <v>14.557065</v>
      </c>
    </row>
    <row r="22">
      <c r="A22" s="4" t="s">
        <v>10475</v>
      </c>
      <c r="B22" s="10">
        <f t="shared" si="1"/>
        <v>0</v>
      </c>
      <c r="C22" s="6">
        <f t="shared" si="2"/>
        <v>85.4</v>
      </c>
      <c r="D22" s="6">
        <f t="shared" si="3"/>
        <v>14.55124</v>
      </c>
    </row>
    <row r="23">
      <c r="A23" s="4" t="s">
        <v>10476</v>
      </c>
      <c r="B23" s="10">
        <f t="shared" si="1"/>
        <v>0</v>
      </c>
      <c r="C23" s="6">
        <f t="shared" si="2"/>
        <v>85.4</v>
      </c>
      <c r="D23" s="6">
        <f t="shared" si="3"/>
        <v>14.549946</v>
      </c>
    </row>
    <row r="24">
      <c r="A24" s="4" t="s">
        <v>10477</v>
      </c>
      <c r="B24" s="10">
        <f t="shared" si="1"/>
        <v>0</v>
      </c>
      <c r="C24" s="6">
        <f t="shared" si="2"/>
        <v>85.4</v>
      </c>
      <c r="D24" s="6">
        <f t="shared" si="3"/>
        <v>14.550003</v>
      </c>
    </row>
    <row r="25">
      <c r="A25" s="4" t="s">
        <v>10478</v>
      </c>
      <c r="B25" s="10">
        <f t="shared" si="1"/>
        <v>0</v>
      </c>
      <c r="C25" s="6">
        <f t="shared" si="2"/>
        <v>85.4</v>
      </c>
      <c r="D25" s="6">
        <f t="shared" si="3"/>
        <v>14.546239</v>
      </c>
    </row>
    <row r="26">
      <c r="A26" s="4" t="s">
        <v>10479</v>
      </c>
      <c r="B26" s="10">
        <f t="shared" si="1"/>
        <v>0</v>
      </c>
      <c r="C26" s="6">
        <f t="shared" si="2"/>
        <v>85.3</v>
      </c>
      <c r="D26" s="6">
        <f t="shared" si="3"/>
        <v>14.540972</v>
      </c>
    </row>
    <row r="27">
      <c r="A27" s="4" t="s">
        <v>10480</v>
      </c>
      <c r="B27" s="10">
        <f t="shared" si="1"/>
        <v>0</v>
      </c>
      <c r="C27" s="6">
        <f t="shared" si="2"/>
        <v>85.3</v>
      </c>
      <c r="D27" s="6">
        <f t="shared" si="3"/>
        <v>14.543814</v>
      </c>
    </row>
    <row r="28">
      <c r="A28" s="4" t="s">
        <v>10481</v>
      </c>
      <c r="B28" s="10">
        <f t="shared" si="1"/>
        <v>0</v>
      </c>
      <c r="C28" s="6">
        <f t="shared" si="2"/>
        <v>85.3</v>
      </c>
      <c r="D28" s="6">
        <f t="shared" si="3"/>
        <v>14.540804</v>
      </c>
    </row>
    <row r="29">
      <c r="A29" s="4" t="s">
        <v>10482</v>
      </c>
      <c r="B29" s="10">
        <f t="shared" si="1"/>
        <v>0</v>
      </c>
      <c r="C29" s="6">
        <f t="shared" si="2"/>
        <v>85.4</v>
      </c>
      <c r="D29" s="6">
        <f t="shared" si="3"/>
        <v>14.550814</v>
      </c>
    </row>
    <row r="30">
      <c r="A30" s="4" t="s">
        <v>10483</v>
      </c>
      <c r="B30" s="10">
        <f t="shared" si="1"/>
        <v>0</v>
      </c>
      <c r="C30" s="6">
        <f t="shared" si="2"/>
        <v>85.4</v>
      </c>
      <c r="D30" s="6">
        <f t="shared" si="3"/>
        <v>14.550573</v>
      </c>
    </row>
    <row r="31">
      <c r="A31" s="4" t="s">
        <v>10484</v>
      </c>
      <c r="B31" s="10">
        <f t="shared" si="1"/>
        <v>0</v>
      </c>
      <c r="C31" s="6">
        <f t="shared" si="2"/>
        <v>85.9</v>
      </c>
      <c r="D31" s="6">
        <f t="shared" si="3"/>
        <v>14.635696</v>
      </c>
    </row>
    <row r="32">
      <c r="A32" s="4" t="s">
        <v>10485</v>
      </c>
      <c r="B32" s="10">
        <f t="shared" si="1"/>
        <v>0</v>
      </c>
      <c r="C32" s="6">
        <f t="shared" si="2"/>
        <v>87.9</v>
      </c>
      <c r="D32" s="6">
        <f t="shared" si="3"/>
        <v>14.972616</v>
      </c>
    </row>
    <row r="33">
      <c r="A33" s="4" t="s">
        <v>10486</v>
      </c>
      <c r="B33" s="10">
        <f t="shared" si="1"/>
        <v>0</v>
      </c>
      <c r="C33" s="6">
        <f t="shared" si="2"/>
        <v>85.4</v>
      </c>
      <c r="D33" s="6">
        <f t="shared" si="3"/>
        <v>14.560362</v>
      </c>
    </row>
    <row r="34">
      <c r="A34" s="4" t="s">
        <v>10487</v>
      </c>
      <c r="B34" s="10">
        <f t="shared" si="1"/>
        <v>0</v>
      </c>
      <c r="C34" s="6">
        <f t="shared" si="2"/>
        <v>85.4</v>
      </c>
      <c r="D34" s="6">
        <f t="shared" si="3"/>
        <v>14.546919</v>
      </c>
    </row>
    <row r="35">
      <c r="A35" s="4" t="s">
        <v>10488</v>
      </c>
      <c r="B35" s="10">
        <f t="shared" si="1"/>
        <v>0</v>
      </c>
      <c r="C35" s="6">
        <f t="shared" si="2"/>
        <v>85.4</v>
      </c>
      <c r="D35" s="6">
        <f t="shared" si="3"/>
        <v>14.545604</v>
      </c>
    </row>
    <row r="36">
      <c r="A36" s="4" t="s">
        <v>10489</v>
      </c>
      <c r="B36" s="10">
        <f t="shared" si="1"/>
        <v>33.3</v>
      </c>
      <c r="C36" s="6">
        <f t="shared" si="2"/>
        <v>85.4</v>
      </c>
      <c r="D36" s="6">
        <f t="shared" si="3"/>
        <v>14.546104</v>
      </c>
    </row>
    <row r="37">
      <c r="A37" s="4" t="s">
        <v>10490</v>
      </c>
      <c r="B37" s="10">
        <f t="shared" si="1"/>
        <v>0</v>
      </c>
      <c r="C37" s="6">
        <f t="shared" si="2"/>
        <v>85.3</v>
      </c>
      <c r="D37" s="6">
        <f t="shared" si="3"/>
        <v>14.543982</v>
      </c>
    </row>
    <row r="38">
      <c r="A38" s="4" t="s">
        <v>10491</v>
      </c>
      <c r="B38" s="10">
        <f t="shared" si="1"/>
        <v>0</v>
      </c>
      <c r="C38" s="6">
        <f t="shared" si="2"/>
        <v>85.3</v>
      </c>
      <c r="D38" s="6">
        <f t="shared" si="3"/>
        <v>14.528622</v>
      </c>
    </row>
    <row r="39">
      <c r="A39" s="4" t="s">
        <v>10492</v>
      </c>
      <c r="B39" s="10">
        <f t="shared" si="1"/>
        <v>0</v>
      </c>
      <c r="C39" s="6">
        <f t="shared" si="2"/>
        <v>85.2</v>
      </c>
      <c r="D39" s="6">
        <f t="shared" si="3"/>
        <v>14.52621</v>
      </c>
    </row>
    <row r="40">
      <c r="A40" s="4" t="s">
        <v>10493</v>
      </c>
      <c r="B40" s="10">
        <f t="shared" si="1"/>
        <v>25</v>
      </c>
      <c r="C40" s="6">
        <f t="shared" si="2"/>
        <v>85.2</v>
      </c>
      <c r="D40" s="6">
        <f t="shared" si="3"/>
        <v>14.52632</v>
      </c>
    </row>
    <row r="41">
      <c r="A41" s="4" t="s">
        <v>10494</v>
      </c>
      <c r="B41" s="10">
        <f t="shared" si="1"/>
        <v>0</v>
      </c>
      <c r="C41" s="6">
        <f t="shared" si="2"/>
        <v>85.2</v>
      </c>
      <c r="D41" s="6">
        <f t="shared" si="3"/>
        <v>14.526033</v>
      </c>
    </row>
    <row r="42">
      <c r="A42" s="4" t="s">
        <v>10495</v>
      </c>
      <c r="B42" s="10">
        <f t="shared" si="1"/>
        <v>0</v>
      </c>
      <c r="C42" s="6">
        <f t="shared" si="2"/>
        <v>85.2</v>
      </c>
      <c r="D42" s="6">
        <f t="shared" si="3"/>
        <v>14.523224</v>
      </c>
    </row>
    <row r="43">
      <c r="A43" s="4" t="s">
        <v>10496</v>
      </c>
      <c r="B43" s="10">
        <f t="shared" si="1"/>
        <v>0</v>
      </c>
      <c r="C43" s="6">
        <f t="shared" si="2"/>
        <v>85.2</v>
      </c>
      <c r="D43" s="6">
        <f t="shared" si="3"/>
        <v>14.525001</v>
      </c>
    </row>
    <row r="44">
      <c r="A44" s="4" t="s">
        <v>10497</v>
      </c>
      <c r="B44" s="10">
        <f t="shared" si="1"/>
        <v>0</v>
      </c>
      <c r="C44" s="6">
        <f t="shared" si="2"/>
        <v>85.2</v>
      </c>
      <c r="D44" s="6">
        <f t="shared" si="3"/>
        <v>14.523703</v>
      </c>
    </row>
    <row r="45">
      <c r="A45" s="4" t="s">
        <v>10498</v>
      </c>
      <c r="B45" s="10">
        <f t="shared" si="1"/>
        <v>0</v>
      </c>
      <c r="C45" s="6">
        <f t="shared" si="2"/>
        <v>85.2</v>
      </c>
      <c r="D45" s="6">
        <f t="shared" si="3"/>
        <v>14.5224</v>
      </c>
    </row>
    <row r="46">
      <c r="A46" s="4" t="s">
        <v>10499</v>
      </c>
      <c r="B46" s="10">
        <f t="shared" si="1"/>
        <v>0</v>
      </c>
      <c r="C46" s="6">
        <f t="shared" si="2"/>
        <v>85.2</v>
      </c>
      <c r="D46" s="6">
        <f t="shared" si="3"/>
        <v>14.522994</v>
      </c>
    </row>
    <row r="47">
      <c r="A47" s="4" t="s">
        <v>10500</v>
      </c>
      <c r="B47" s="10">
        <f t="shared" si="1"/>
        <v>0</v>
      </c>
      <c r="C47" s="6">
        <f t="shared" si="2"/>
        <v>85.2</v>
      </c>
      <c r="D47" s="6">
        <f t="shared" si="3"/>
        <v>14.522073</v>
      </c>
    </row>
    <row r="48">
      <c r="A48" s="4" t="s">
        <v>10501</v>
      </c>
      <c r="B48" s="10">
        <f t="shared" si="1"/>
        <v>0</v>
      </c>
      <c r="C48" s="6">
        <f t="shared" si="2"/>
        <v>85.4</v>
      </c>
      <c r="D48" s="6">
        <f t="shared" si="3"/>
        <v>14.553944</v>
      </c>
    </row>
    <row r="49">
      <c r="A49" s="4" t="s">
        <v>10502</v>
      </c>
      <c r="B49" s="10">
        <f t="shared" si="1"/>
        <v>0</v>
      </c>
      <c r="C49" s="6">
        <f t="shared" si="2"/>
        <v>85.4</v>
      </c>
      <c r="D49" s="6">
        <f t="shared" si="3"/>
        <v>14.547685</v>
      </c>
    </row>
    <row r="50">
      <c r="A50" s="4" t="s">
        <v>10503</v>
      </c>
      <c r="B50" s="10">
        <f t="shared" si="1"/>
        <v>0</v>
      </c>
      <c r="C50" s="6">
        <f t="shared" si="2"/>
        <v>85.4</v>
      </c>
      <c r="D50" s="6">
        <f t="shared" si="3"/>
        <v>14.547177</v>
      </c>
    </row>
    <row r="51">
      <c r="A51" s="4" t="s">
        <v>10504</v>
      </c>
      <c r="B51" s="10">
        <f t="shared" si="1"/>
        <v>0</v>
      </c>
      <c r="C51" s="6">
        <f t="shared" si="2"/>
        <v>85.4</v>
      </c>
      <c r="D51" s="6">
        <f t="shared" si="3"/>
        <v>14.54628</v>
      </c>
    </row>
    <row r="52">
      <c r="A52" s="4" t="s">
        <v>10505</v>
      </c>
      <c r="B52" s="10">
        <f t="shared" si="1"/>
        <v>0</v>
      </c>
      <c r="C52" s="6">
        <f t="shared" si="2"/>
        <v>85.4</v>
      </c>
      <c r="D52" s="6">
        <f t="shared" si="3"/>
        <v>14.550376</v>
      </c>
    </row>
    <row r="53">
      <c r="A53" s="4" t="s">
        <v>10506</v>
      </c>
      <c r="B53" s="10">
        <f t="shared" si="1"/>
        <v>0</v>
      </c>
      <c r="C53" s="6">
        <f t="shared" si="2"/>
        <v>85.5</v>
      </c>
      <c r="D53" s="6">
        <f t="shared" si="3"/>
        <v>14.562553</v>
      </c>
    </row>
    <row r="54">
      <c r="A54" s="4" t="s">
        <v>10507</v>
      </c>
      <c r="B54" s="10">
        <f t="shared" si="1"/>
        <v>0</v>
      </c>
      <c r="C54" s="6">
        <f t="shared" si="2"/>
        <v>85.4</v>
      </c>
      <c r="D54" s="6">
        <f t="shared" si="3"/>
        <v>14.54696</v>
      </c>
    </row>
    <row r="55">
      <c r="A55" s="4" t="s">
        <v>10508</v>
      </c>
      <c r="B55" s="10">
        <f t="shared" si="1"/>
        <v>0</v>
      </c>
      <c r="C55" s="6">
        <f t="shared" si="2"/>
        <v>85.4</v>
      </c>
      <c r="D55" s="6">
        <f t="shared" si="3"/>
        <v>14.544977</v>
      </c>
    </row>
    <row r="56">
      <c r="A56" s="4" t="s">
        <v>10509</v>
      </c>
      <c r="B56" s="10">
        <f t="shared" si="1"/>
        <v>0</v>
      </c>
      <c r="C56" s="6">
        <f t="shared" si="2"/>
        <v>85.3</v>
      </c>
      <c r="D56" s="6">
        <f t="shared" si="3"/>
        <v>14.538981</v>
      </c>
    </row>
    <row r="57">
      <c r="A57" s="4" t="s">
        <v>10510</v>
      </c>
      <c r="B57" s="10">
        <f t="shared" si="1"/>
        <v>0</v>
      </c>
      <c r="C57" s="6">
        <f t="shared" si="2"/>
        <v>85.4</v>
      </c>
      <c r="D57" s="6">
        <f t="shared" si="3"/>
        <v>14.545076</v>
      </c>
    </row>
    <row r="58">
      <c r="A58" s="4" t="s">
        <v>10511</v>
      </c>
      <c r="B58" s="10">
        <f t="shared" si="1"/>
        <v>0</v>
      </c>
      <c r="C58" s="6">
        <f t="shared" si="2"/>
        <v>85.2</v>
      </c>
      <c r="D58" s="6">
        <f t="shared" si="3"/>
        <v>14.517952</v>
      </c>
    </row>
    <row r="59">
      <c r="A59" s="4" t="s">
        <v>10512</v>
      </c>
      <c r="B59" s="10">
        <f t="shared" si="1"/>
        <v>0</v>
      </c>
      <c r="C59" s="6">
        <f t="shared" si="2"/>
        <v>85.2</v>
      </c>
      <c r="D59" s="6">
        <f t="shared" si="3"/>
        <v>14.51882</v>
      </c>
    </row>
    <row r="60">
      <c r="A60" s="4" t="s">
        <v>10513</v>
      </c>
      <c r="B60" s="10">
        <f t="shared" si="1"/>
        <v>0</v>
      </c>
      <c r="C60" s="6">
        <f t="shared" si="2"/>
        <v>85.2</v>
      </c>
      <c r="D60" s="6">
        <f t="shared" si="3"/>
        <v>14.519803</v>
      </c>
    </row>
    <row r="61">
      <c r="A61" s="4" t="s">
        <v>10514</v>
      </c>
      <c r="B61" s="10">
        <f t="shared" si="1"/>
        <v>0</v>
      </c>
      <c r="C61" s="6">
        <f t="shared" si="2"/>
        <v>85.2</v>
      </c>
      <c r="D61" s="6">
        <f t="shared" si="3"/>
        <v>14.51959</v>
      </c>
    </row>
    <row r="62">
      <c r="A62" s="4" t="s">
        <v>10515</v>
      </c>
      <c r="B62" s="10">
        <f t="shared" si="1"/>
        <v>0</v>
      </c>
      <c r="C62" s="6">
        <f t="shared" si="2"/>
        <v>85.2</v>
      </c>
      <c r="D62" s="6">
        <f t="shared" si="3"/>
        <v>14.519664</v>
      </c>
    </row>
    <row r="63">
      <c r="A63" s="4" t="s">
        <v>10516</v>
      </c>
      <c r="B63" s="10">
        <f t="shared" si="1"/>
        <v>0</v>
      </c>
      <c r="C63" s="6">
        <f t="shared" si="2"/>
        <v>85.2</v>
      </c>
      <c r="D63" s="6">
        <f t="shared" si="3"/>
        <v>14.518198</v>
      </c>
    </row>
    <row r="64">
      <c r="A64" s="4" t="s">
        <v>10517</v>
      </c>
      <c r="B64" s="10">
        <f t="shared" si="1"/>
        <v>33.3</v>
      </c>
      <c r="C64" s="6">
        <f t="shared" si="2"/>
        <v>85.2</v>
      </c>
      <c r="D64" s="6">
        <f t="shared" si="3"/>
        <v>14.51728</v>
      </c>
    </row>
    <row r="65">
      <c r="A65" s="4" t="s">
        <v>10518</v>
      </c>
      <c r="B65" s="10">
        <f t="shared" si="1"/>
        <v>0</v>
      </c>
      <c r="C65" s="6">
        <f t="shared" si="2"/>
        <v>85.2</v>
      </c>
      <c r="D65" s="6">
        <f t="shared" si="3"/>
        <v>14.515785</v>
      </c>
    </row>
    <row r="66">
      <c r="A66" s="4" t="s">
        <v>10519</v>
      </c>
      <c r="B66" s="10">
        <f t="shared" si="1"/>
        <v>0</v>
      </c>
      <c r="C66" s="6">
        <f t="shared" si="2"/>
        <v>85.2</v>
      </c>
      <c r="D66" s="6">
        <f t="shared" si="3"/>
        <v>14.514761</v>
      </c>
    </row>
    <row r="67">
      <c r="A67" s="4" t="s">
        <v>10520</v>
      </c>
      <c r="B67" s="10">
        <f t="shared" si="1"/>
        <v>0</v>
      </c>
      <c r="C67" s="6">
        <f t="shared" si="2"/>
        <v>85.2</v>
      </c>
      <c r="D67" s="6">
        <f t="shared" si="3"/>
        <v>14.514409</v>
      </c>
    </row>
    <row r="68">
      <c r="A68" s="4" t="s">
        <v>10521</v>
      </c>
      <c r="B68" s="10">
        <f t="shared" si="1"/>
        <v>0</v>
      </c>
      <c r="C68" s="6">
        <f t="shared" si="2"/>
        <v>85.2</v>
      </c>
      <c r="D68" s="6">
        <f t="shared" si="3"/>
        <v>14.517248</v>
      </c>
    </row>
    <row r="69">
      <c r="A69" s="4" t="s">
        <v>10522</v>
      </c>
      <c r="B69" s="10">
        <f t="shared" si="1"/>
        <v>0</v>
      </c>
      <c r="C69" s="6">
        <f t="shared" si="2"/>
        <v>85.2</v>
      </c>
      <c r="D69" s="6">
        <f t="shared" si="3"/>
        <v>14.514851</v>
      </c>
    </row>
    <row r="70">
      <c r="A70" s="4" t="s">
        <v>10523</v>
      </c>
      <c r="B70" s="10">
        <f t="shared" si="1"/>
        <v>0</v>
      </c>
      <c r="C70" s="6">
        <f t="shared" si="2"/>
        <v>85.2</v>
      </c>
      <c r="D70" s="6">
        <f t="shared" si="3"/>
        <v>14.525612</v>
      </c>
    </row>
    <row r="71">
      <c r="A71" s="4" t="s">
        <v>10524</v>
      </c>
      <c r="B71" s="10">
        <f t="shared" si="1"/>
        <v>0</v>
      </c>
      <c r="C71" s="6">
        <f t="shared" si="2"/>
        <v>85.2</v>
      </c>
      <c r="D71" s="6">
        <f t="shared" si="3"/>
        <v>14.518558</v>
      </c>
    </row>
    <row r="72">
      <c r="A72" s="4" t="s">
        <v>10525</v>
      </c>
      <c r="B72" s="10">
        <f t="shared" si="1"/>
        <v>0</v>
      </c>
      <c r="C72" s="6">
        <f t="shared" si="2"/>
        <v>85.1</v>
      </c>
      <c r="D72" s="6">
        <f t="shared" si="3"/>
        <v>14.498996</v>
      </c>
    </row>
    <row r="73">
      <c r="A73" s="4" t="s">
        <v>10526</v>
      </c>
      <c r="B73" s="10">
        <f t="shared" si="1"/>
        <v>0</v>
      </c>
      <c r="C73" s="6">
        <f t="shared" si="2"/>
        <v>85.1</v>
      </c>
      <c r="D73" s="6">
        <f t="shared" si="3"/>
        <v>14.496624</v>
      </c>
    </row>
    <row r="74">
      <c r="A74" s="4" t="s">
        <v>10527</v>
      </c>
      <c r="B74" s="10">
        <f t="shared" si="1"/>
        <v>0</v>
      </c>
      <c r="C74" s="6">
        <f t="shared" si="2"/>
        <v>85</v>
      </c>
      <c r="D74" s="6">
        <f t="shared" si="3"/>
        <v>14.492909</v>
      </c>
    </row>
    <row r="75">
      <c r="A75" s="4" t="s">
        <v>10528</v>
      </c>
      <c r="B75" s="10">
        <f t="shared" si="1"/>
        <v>0</v>
      </c>
      <c r="C75" s="6">
        <f t="shared" si="2"/>
        <v>85</v>
      </c>
      <c r="D75" s="6">
        <f t="shared" si="3"/>
        <v>14.4922</v>
      </c>
    </row>
    <row r="76">
      <c r="A76" s="4" t="s">
        <v>10529</v>
      </c>
      <c r="B76" s="10">
        <f t="shared" si="1"/>
        <v>10</v>
      </c>
      <c r="C76" s="6">
        <f t="shared" si="2"/>
        <v>85.2</v>
      </c>
      <c r="D76" s="6">
        <f t="shared" si="3"/>
        <v>14.514696</v>
      </c>
    </row>
    <row r="77">
      <c r="A77" s="4" t="s">
        <v>10530</v>
      </c>
      <c r="B77" s="10">
        <f t="shared" si="1"/>
        <v>0</v>
      </c>
      <c r="C77" s="6">
        <f t="shared" si="2"/>
        <v>85.2</v>
      </c>
      <c r="D77" s="6">
        <f t="shared" si="3"/>
        <v>14.515625</v>
      </c>
    </row>
    <row r="78">
      <c r="A78" s="4" t="s">
        <v>10531</v>
      </c>
      <c r="B78" s="10">
        <f t="shared" si="1"/>
        <v>0</v>
      </c>
      <c r="C78" s="6">
        <f t="shared" si="2"/>
        <v>85.2</v>
      </c>
      <c r="D78" s="6">
        <f t="shared" si="3"/>
        <v>14.515507</v>
      </c>
    </row>
    <row r="79">
      <c r="A79" s="4" t="s">
        <v>10532</v>
      </c>
      <c r="B79" s="10">
        <f t="shared" si="1"/>
        <v>0</v>
      </c>
      <c r="C79" s="6">
        <f t="shared" si="2"/>
        <v>85.2</v>
      </c>
      <c r="D79" s="6">
        <f t="shared" si="3"/>
        <v>14.523473</v>
      </c>
    </row>
    <row r="80">
      <c r="A80" s="4" t="s">
        <v>10533</v>
      </c>
      <c r="B80" s="10">
        <f t="shared" si="1"/>
        <v>0</v>
      </c>
      <c r="C80" s="6">
        <f t="shared" si="2"/>
        <v>85.4</v>
      </c>
      <c r="D80" s="6">
        <f t="shared" si="3"/>
        <v>14.553452</v>
      </c>
    </row>
    <row r="81">
      <c r="A81" s="4" t="s">
        <v>10534</v>
      </c>
      <c r="B81" s="10">
        <f t="shared" si="1"/>
        <v>100</v>
      </c>
      <c r="C81" s="6">
        <f t="shared" si="2"/>
        <v>86.6</v>
      </c>
      <c r="D81" s="6">
        <f t="shared" si="3"/>
        <v>14.753259</v>
      </c>
    </row>
    <row r="82">
      <c r="A82" s="4" t="s">
        <v>10535</v>
      </c>
      <c r="B82" s="10">
        <f t="shared" si="1"/>
        <v>0</v>
      </c>
      <c r="C82" s="6">
        <f t="shared" si="2"/>
        <v>86.8</v>
      </c>
      <c r="D82" s="6">
        <f t="shared" si="3"/>
        <v>14.796603</v>
      </c>
    </row>
    <row r="83">
      <c r="A83" s="4" t="s">
        <v>10536</v>
      </c>
      <c r="B83" s="10">
        <f t="shared" si="1"/>
        <v>0</v>
      </c>
      <c r="C83" s="6">
        <f t="shared" si="2"/>
        <v>85.2</v>
      </c>
      <c r="D83" s="6">
        <f t="shared" si="3"/>
        <v>14.521253</v>
      </c>
    </row>
    <row r="84">
      <c r="A84" s="4" t="s">
        <v>10537</v>
      </c>
      <c r="B84" s="10">
        <f t="shared" si="1"/>
        <v>0</v>
      </c>
      <c r="C84" s="6">
        <f t="shared" si="2"/>
        <v>87.4</v>
      </c>
      <c r="D84" s="6">
        <f t="shared" si="3"/>
        <v>14.888976</v>
      </c>
    </row>
    <row r="85">
      <c r="A85" s="4" t="s">
        <v>10538</v>
      </c>
      <c r="B85" s="10">
        <f t="shared" si="1"/>
        <v>0</v>
      </c>
      <c r="C85" s="6">
        <f t="shared" si="2"/>
        <v>85.2</v>
      </c>
      <c r="D85" s="6">
        <f t="shared" si="3"/>
        <v>14.5212</v>
      </c>
    </row>
    <row r="86">
      <c r="A86" s="4" t="s">
        <v>10539</v>
      </c>
      <c r="B86" s="10">
        <f t="shared" si="1"/>
        <v>0</v>
      </c>
      <c r="C86" s="6">
        <f t="shared" si="2"/>
        <v>85.2</v>
      </c>
      <c r="D86" s="6">
        <f t="shared" si="3"/>
        <v>14.518292</v>
      </c>
    </row>
    <row r="87">
      <c r="A87" s="4" t="s">
        <v>10540</v>
      </c>
      <c r="B87" s="10">
        <f t="shared" si="1"/>
        <v>0</v>
      </c>
      <c r="C87" s="6">
        <f t="shared" si="2"/>
        <v>85.2</v>
      </c>
      <c r="D87" s="6">
        <f t="shared" si="3"/>
        <v>14.520492</v>
      </c>
    </row>
    <row r="88">
      <c r="A88" s="4" t="s">
        <v>10541</v>
      </c>
      <c r="B88" s="10">
        <f t="shared" si="1"/>
        <v>0</v>
      </c>
      <c r="C88" s="6">
        <f t="shared" si="2"/>
        <v>85.2</v>
      </c>
      <c r="D88" s="6">
        <f t="shared" si="3"/>
        <v>14.519889</v>
      </c>
    </row>
    <row r="89">
      <c r="A89" s="4" t="s">
        <v>10542</v>
      </c>
      <c r="B89" s="10">
        <f t="shared" si="1"/>
        <v>0</v>
      </c>
      <c r="C89" s="6">
        <f t="shared" si="2"/>
        <v>85.2</v>
      </c>
      <c r="D89" s="6">
        <f t="shared" si="3"/>
        <v>14.520172</v>
      </c>
    </row>
    <row r="90">
      <c r="A90" s="4" t="s">
        <v>10543</v>
      </c>
      <c r="B90" s="10">
        <f t="shared" si="1"/>
        <v>0</v>
      </c>
      <c r="C90" s="6">
        <f t="shared" si="2"/>
        <v>85.2</v>
      </c>
      <c r="D90" s="6">
        <f t="shared" si="3"/>
        <v>14.520553</v>
      </c>
    </row>
    <row r="91">
      <c r="A91" s="4" t="s">
        <v>10544</v>
      </c>
      <c r="B91" s="10">
        <f t="shared" si="1"/>
        <v>0</v>
      </c>
      <c r="C91" s="6">
        <f t="shared" si="2"/>
        <v>85.7</v>
      </c>
      <c r="D91" s="6">
        <f t="shared" si="3"/>
        <v>14.601969</v>
      </c>
    </row>
    <row r="92">
      <c r="A92" s="4" t="s">
        <v>10545</v>
      </c>
      <c r="B92" s="10">
        <f t="shared" si="1"/>
        <v>0</v>
      </c>
      <c r="C92" s="6">
        <f t="shared" si="2"/>
        <v>86.1</v>
      </c>
      <c r="D92" s="6">
        <f t="shared" si="3"/>
        <v>14.672039</v>
      </c>
    </row>
    <row r="93">
      <c r="A93" s="4" t="s">
        <v>10546</v>
      </c>
      <c r="B93" s="10">
        <f t="shared" si="1"/>
        <v>0</v>
      </c>
      <c r="C93" s="6">
        <f t="shared" si="2"/>
        <v>85.2</v>
      </c>
      <c r="D93" s="6">
        <f t="shared" si="3"/>
        <v>14.516781</v>
      </c>
    </row>
    <row r="94">
      <c r="A94" s="4" t="s">
        <v>10547</v>
      </c>
      <c r="B94" s="10">
        <f t="shared" si="1"/>
        <v>0</v>
      </c>
      <c r="C94" s="6">
        <f t="shared" si="2"/>
        <v>85.2</v>
      </c>
      <c r="D94" s="6">
        <f t="shared" si="3"/>
        <v>14.513623</v>
      </c>
    </row>
    <row r="95">
      <c r="A95" s="4" t="s">
        <v>10548</v>
      </c>
      <c r="B95" s="10">
        <f t="shared" si="1"/>
        <v>0</v>
      </c>
      <c r="C95" s="6">
        <f t="shared" si="2"/>
        <v>85.2</v>
      </c>
      <c r="D95" s="6">
        <f t="shared" si="3"/>
        <v>14.514585</v>
      </c>
    </row>
    <row r="96">
      <c r="A96" s="4" t="s">
        <v>10549</v>
      </c>
      <c r="B96" s="10">
        <f t="shared" si="1"/>
        <v>0</v>
      </c>
      <c r="C96" s="6">
        <f t="shared" si="2"/>
        <v>85.1</v>
      </c>
      <c r="D96" s="6">
        <f t="shared" si="3"/>
        <v>14.500503</v>
      </c>
    </row>
    <row r="97">
      <c r="A97" s="4" t="s">
        <v>10550</v>
      </c>
      <c r="B97" s="10">
        <f t="shared" si="1"/>
        <v>0</v>
      </c>
      <c r="C97" s="6">
        <f t="shared" si="2"/>
        <v>85.1</v>
      </c>
      <c r="D97" s="6">
        <f t="shared" si="3"/>
        <v>14.497722</v>
      </c>
    </row>
    <row r="98">
      <c r="A98" s="4" t="s">
        <v>10551</v>
      </c>
      <c r="B98" s="10">
        <f t="shared" si="1"/>
        <v>0</v>
      </c>
      <c r="C98" s="6">
        <f t="shared" si="2"/>
        <v>85.1</v>
      </c>
      <c r="D98" s="6">
        <f t="shared" si="3"/>
        <v>14.499811</v>
      </c>
    </row>
    <row r="99">
      <c r="A99" s="4" t="s">
        <v>10552</v>
      </c>
      <c r="B99" s="10">
        <f t="shared" si="1"/>
        <v>100</v>
      </c>
      <c r="C99" s="6">
        <f t="shared" si="2"/>
        <v>85.1</v>
      </c>
      <c r="D99" s="6">
        <f t="shared" si="3"/>
        <v>14.501486</v>
      </c>
    </row>
    <row r="100">
      <c r="A100" s="4" t="s">
        <v>10553</v>
      </c>
      <c r="B100" s="10">
        <f t="shared" si="1"/>
        <v>0</v>
      </c>
      <c r="C100" s="6">
        <f t="shared" si="2"/>
        <v>85.1</v>
      </c>
      <c r="D100" s="6">
        <f t="shared" si="3"/>
        <v>14.500519</v>
      </c>
    </row>
    <row r="101">
      <c r="A101" s="4" t="s">
        <v>10554</v>
      </c>
      <c r="B101" s="10">
        <f t="shared" si="1"/>
        <v>0</v>
      </c>
      <c r="C101" s="6">
        <f t="shared" si="2"/>
        <v>85.1</v>
      </c>
      <c r="D101" s="6">
        <f t="shared" si="3"/>
        <v>14.501715</v>
      </c>
    </row>
    <row r="102">
      <c r="A102" s="4" t="s">
        <v>10555</v>
      </c>
      <c r="B102" s="10">
        <f t="shared" si="1"/>
        <v>0</v>
      </c>
      <c r="C102" s="6">
        <f t="shared" si="2"/>
        <v>85.1</v>
      </c>
      <c r="D102" s="6">
        <f t="shared" si="3"/>
        <v>14.500061</v>
      </c>
    </row>
    <row r="103">
      <c r="A103" s="4" t="s">
        <v>10556</v>
      </c>
      <c r="B103" s="10">
        <f t="shared" si="1"/>
        <v>0</v>
      </c>
      <c r="C103" s="6">
        <f t="shared" si="2"/>
        <v>85.1</v>
      </c>
      <c r="D103" s="6">
        <f t="shared" si="3"/>
        <v>14.500007</v>
      </c>
    </row>
    <row r="104">
      <c r="A104" s="4" t="s">
        <v>10557</v>
      </c>
      <c r="B104" s="10">
        <f t="shared" si="1"/>
        <v>0</v>
      </c>
      <c r="C104" s="6">
        <f t="shared" si="2"/>
        <v>85.2</v>
      </c>
      <c r="D104" s="6">
        <f t="shared" si="3"/>
        <v>14.514937</v>
      </c>
    </row>
    <row r="105">
      <c r="A105" s="4" t="s">
        <v>10558</v>
      </c>
      <c r="B105" s="10">
        <f t="shared" si="1"/>
        <v>0</v>
      </c>
      <c r="C105" s="6">
        <f t="shared" si="2"/>
        <v>85.3</v>
      </c>
      <c r="D105" s="6">
        <f t="shared" si="3"/>
        <v>14.54313</v>
      </c>
    </row>
    <row r="106">
      <c r="A106" s="4" t="s">
        <v>10559</v>
      </c>
      <c r="B106" s="10">
        <f t="shared" si="1"/>
        <v>0</v>
      </c>
      <c r="C106" s="6">
        <f t="shared" si="2"/>
        <v>85.3</v>
      </c>
      <c r="D106" s="6">
        <f t="shared" si="3"/>
        <v>14.541475</v>
      </c>
    </row>
    <row r="107">
      <c r="A107" s="4" t="s">
        <v>10488</v>
      </c>
      <c r="B107" s="10">
        <f t="shared" si="1"/>
        <v>0</v>
      </c>
      <c r="C107" s="6">
        <f t="shared" si="2"/>
        <v>85.4</v>
      </c>
      <c r="D107" s="6">
        <f t="shared" si="3"/>
        <v>14.545604</v>
      </c>
    </row>
    <row r="108">
      <c r="A108" s="4" t="s">
        <v>10560</v>
      </c>
      <c r="B108" s="10">
        <f t="shared" si="1"/>
        <v>0</v>
      </c>
      <c r="C108" s="6">
        <f t="shared" si="2"/>
        <v>85.4</v>
      </c>
      <c r="D108" s="6">
        <f t="shared" si="3"/>
        <v>14.547898</v>
      </c>
    </row>
    <row r="109">
      <c r="A109" s="4" t="s">
        <v>10561</v>
      </c>
      <c r="B109" s="10">
        <f t="shared" si="1"/>
        <v>0</v>
      </c>
      <c r="C109" s="6">
        <f t="shared" si="2"/>
        <v>85.4</v>
      </c>
      <c r="D109" s="6">
        <f t="shared" si="3"/>
        <v>14.547488</v>
      </c>
    </row>
    <row r="110">
      <c r="A110" s="4" t="s">
        <v>10562</v>
      </c>
      <c r="B110" s="10">
        <f t="shared" si="1"/>
        <v>0</v>
      </c>
      <c r="C110" s="6">
        <f t="shared" si="2"/>
        <v>85.4</v>
      </c>
      <c r="D110" s="6">
        <f t="shared" si="3"/>
        <v>14.552899</v>
      </c>
    </row>
    <row r="111">
      <c r="A111" s="4" t="s">
        <v>10563</v>
      </c>
      <c r="B111" s="10">
        <f t="shared" si="1"/>
        <v>0</v>
      </c>
      <c r="C111" s="6">
        <f t="shared" si="2"/>
        <v>85.4</v>
      </c>
      <c r="D111" s="6">
        <f t="shared" si="3"/>
        <v>14.552371</v>
      </c>
    </row>
    <row r="112">
      <c r="A112" s="4" t="s">
        <v>10564</v>
      </c>
      <c r="B112" s="10">
        <f t="shared" si="1"/>
        <v>0</v>
      </c>
      <c r="C112" s="6">
        <f t="shared" si="2"/>
        <v>85.4</v>
      </c>
      <c r="D112" s="6">
        <f t="shared" si="3"/>
        <v>14.551707</v>
      </c>
    </row>
    <row r="113">
      <c r="A113" s="4" t="s">
        <v>10565</v>
      </c>
      <c r="B113" s="10">
        <f t="shared" si="1"/>
        <v>0</v>
      </c>
      <c r="C113" s="6">
        <f t="shared" si="2"/>
        <v>85.4</v>
      </c>
      <c r="D113" s="6">
        <f t="shared" si="3"/>
        <v>14.55199</v>
      </c>
    </row>
    <row r="114">
      <c r="A114" s="4" t="s">
        <v>10566</v>
      </c>
      <c r="B114" s="10">
        <f t="shared" si="1"/>
        <v>0</v>
      </c>
      <c r="C114" s="6">
        <f t="shared" si="2"/>
        <v>85.4</v>
      </c>
      <c r="D114" s="6">
        <f t="shared" si="3"/>
        <v>14.550007</v>
      </c>
    </row>
    <row r="115">
      <c r="A115" s="4" t="s">
        <v>10567</v>
      </c>
      <c r="B115" s="10">
        <f t="shared" si="1"/>
        <v>0</v>
      </c>
      <c r="C115" s="6">
        <f t="shared" si="2"/>
        <v>85.4</v>
      </c>
      <c r="D115" s="6">
        <f t="shared" si="3"/>
        <v>14.55201</v>
      </c>
    </row>
    <row r="116">
      <c r="A116" s="4" t="s">
        <v>10568</v>
      </c>
      <c r="B116" s="10">
        <f t="shared" si="1"/>
        <v>0</v>
      </c>
      <c r="C116" s="6">
        <f t="shared" si="2"/>
        <v>85.4</v>
      </c>
      <c r="D116" s="6">
        <f t="shared" si="3"/>
        <v>14.559055</v>
      </c>
    </row>
    <row r="117">
      <c r="A117" s="4" t="s">
        <v>10569</v>
      </c>
      <c r="B117" s="10">
        <f t="shared" si="1"/>
        <v>0</v>
      </c>
      <c r="C117" s="6">
        <f t="shared" si="2"/>
        <v>85.4</v>
      </c>
      <c r="D117" s="6">
        <f t="shared" si="3"/>
        <v>14.55514</v>
      </c>
    </row>
    <row r="118">
      <c r="A118" s="4" t="s">
        <v>10570</v>
      </c>
      <c r="B118" s="10">
        <f t="shared" si="1"/>
        <v>0</v>
      </c>
      <c r="C118" s="6">
        <f t="shared" si="2"/>
        <v>85.4</v>
      </c>
      <c r="D118" s="6">
        <f t="shared" si="3"/>
        <v>14.547783</v>
      </c>
    </row>
    <row r="119">
      <c r="A119" s="4" t="s">
        <v>10571</v>
      </c>
      <c r="B119" s="10">
        <f t="shared" si="1"/>
        <v>0</v>
      </c>
      <c r="C119" s="6">
        <f t="shared" si="2"/>
        <v>85.4</v>
      </c>
      <c r="D119" s="6">
        <f t="shared" si="3"/>
        <v>14.548516</v>
      </c>
    </row>
    <row r="120">
      <c r="A120" s="4" t="s">
        <v>10572</v>
      </c>
      <c r="B120" s="10">
        <f t="shared" si="1"/>
        <v>0</v>
      </c>
      <c r="C120" s="6">
        <f t="shared" si="2"/>
        <v>85.4</v>
      </c>
      <c r="D120" s="6">
        <f t="shared" si="3"/>
        <v>14.551773</v>
      </c>
    </row>
    <row r="121">
      <c r="A121" s="4" t="s">
        <v>10573</v>
      </c>
      <c r="B121" s="10">
        <f t="shared" si="1"/>
        <v>25</v>
      </c>
      <c r="C121" s="6">
        <f t="shared" si="2"/>
        <v>85.6</v>
      </c>
      <c r="D121" s="6">
        <f t="shared" si="3"/>
        <v>14.58595</v>
      </c>
    </row>
    <row r="122">
      <c r="A122" s="4" t="s">
        <v>10574</v>
      </c>
      <c r="B122" s="10">
        <f t="shared" si="1"/>
        <v>0</v>
      </c>
      <c r="C122" s="6">
        <f t="shared" si="2"/>
        <v>85.7</v>
      </c>
      <c r="D122" s="6">
        <f t="shared" si="3"/>
        <v>14.600048</v>
      </c>
    </row>
    <row r="123">
      <c r="A123" s="4" t="s">
        <v>10575</v>
      </c>
      <c r="B123" s="10">
        <f t="shared" si="1"/>
        <v>0</v>
      </c>
      <c r="C123" s="6">
        <f t="shared" si="2"/>
        <v>85.9</v>
      </c>
      <c r="D123" s="6">
        <f t="shared" si="3"/>
        <v>14.63425</v>
      </c>
    </row>
    <row r="124">
      <c r="A124" s="4" t="s">
        <v>10576</v>
      </c>
      <c r="B124" s="10">
        <f t="shared" si="1"/>
        <v>0</v>
      </c>
      <c r="C124" s="6">
        <f t="shared" si="2"/>
        <v>85.7</v>
      </c>
      <c r="D124" s="6">
        <f t="shared" si="3"/>
        <v>14.603276</v>
      </c>
    </row>
    <row r="125">
      <c r="A125" s="4" t="s">
        <v>10577</v>
      </c>
      <c r="B125" s="10">
        <f t="shared" si="1"/>
        <v>0</v>
      </c>
      <c r="C125" s="6">
        <f t="shared" si="2"/>
        <v>85.6</v>
      </c>
      <c r="D125" s="6">
        <f t="shared" si="3"/>
        <v>14.59553</v>
      </c>
    </row>
    <row r="126">
      <c r="A126" s="4" t="s">
        <v>10578</v>
      </c>
      <c r="B126" s="10">
        <f t="shared" si="1"/>
        <v>0</v>
      </c>
      <c r="C126" s="6">
        <f t="shared" si="2"/>
        <v>85.7</v>
      </c>
      <c r="D126" s="6">
        <f t="shared" si="3"/>
        <v>14.598152</v>
      </c>
    </row>
    <row r="127">
      <c r="A127" s="4" t="s">
        <v>10579</v>
      </c>
      <c r="B127" s="10">
        <f t="shared" si="1"/>
        <v>50</v>
      </c>
      <c r="C127" s="6">
        <f t="shared" si="2"/>
        <v>85.7</v>
      </c>
      <c r="D127" s="6">
        <f t="shared" si="3"/>
        <v>14.606196</v>
      </c>
    </row>
    <row r="128">
      <c r="A128" s="4" t="s">
        <v>10580</v>
      </c>
      <c r="B128" s="10">
        <f t="shared" si="1"/>
        <v>0</v>
      </c>
      <c r="C128" s="6">
        <f t="shared" si="2"/>
        <v>87.6</v>
      </c>
      <c r="D128" s="6">
        <f t="shared" si="3"/>
        <v>14.929997</v>
      </c>
    </row>
    <row r="129">
      <c r="A129" s="4" t="s">
        <v>10581</v>
      </c>
      <c r="B129" s="10">
        <f t="shared" si="1"/>
        <v>0</v>
      </c>
      <c r="C129" s="6">
        <f t="shared" si="2"/>
        <v>85.8</v>
      </c>
      <c r="D129" s="6">
        <f t="shared" si="3"/>
        <v>14.617956</v>
      </c>
    </row>
    <row r="130">
      <c r="A130" s="4" t="s">
        <v>10582</v>
      </c>
      <c r="B130" s="10">
        <f t="shared" si="1"/>
        <v>0</v>
      </c>
      <c r="C130" s="6">
        <f t="shared" si="2"/>
        <v>85.8</v>
      </c>
      <c r="D130" s="6">
        <f t="shared" si="3"/>
        <v>14.620729</v>
      </c>
    </row>
    <row r="131">
      <c r="A131" s="4" t="s">
        <v>10583</v>
      </c>
      <c r="B131" s="10">
        <f t="shared" si="1"/>
        <v>11.1</v>
      </c>
      <c r="C131" s="6">
        <f t="shared" si="2"/>
        <v>85.8</v>
      </c>
      <c r="D131" s="6">
        <f t="shared" si="3"/>
        <v>14.613102</v>
      </c>
    </row>
    <row r="132">
      <c r="A132" s="4" t="s">
        <v>10584</v>
      </c>
      <c r="B132" s="10">
        <f t="shared" si="1"/>
        <v>0</v>
      </c>
      <c r="C132" s="6">
        <f t="shared" si="2"/>
        <v>85.7</v>
      </c>
      <c r="D132" s="6">
        <f t="shared" si="3"/>
        <v>14.596411</v>
      </c>
    </row>
    <row r="133">
      <c r="A133" s="4" t="s">
        <v>10585</v>
      </c>
      <c r="B133" s="10">
        <f t="shared" si="1"/>
        <v>0</v>
      </c>
      <c r="C133" s="6">
        <f t="shared" si="2"/>
        <v>85.7</v>
      </c>
      <c r="D133" s="6">
        <f t="shared" si="3"/>
        <v>14.596083</v>
      </c>
    </row>
    <row r="134">
      <c r="A134" s="4" t="s">
        <v>10586</v>
      </c>
      <c r="B134" s="10">
        <f t="shared" si="1"/>
        <v>100</v>
      </c>
      <c r="C134" s="6">
        <f t="shared" si="2"/>
        <v>85.7</v>
      </c>
      <c r="D134" s="6">
        <f t="shared" si="3"/>
        <v>14.597746</v>
      </c>
    </row>
    <row r="135">
      <c r="A135" s="4" t="s">
        <v>10587</v>
      </c>
      <c r="B135" s="10">
        <f t="shared" si="1"/>
        <v>0</v>
      </c>
      <c r="C135" s="6">
        <f t="shared" si="2"/>
        <v>85.7</v>
      </c>
      <c r="D135" s="6">
        <f t="shared" si="3"/>
        <v>14.597898</v>
      </c>
    </row>
    <row r="136">
      <c r="A136" s="4" t="s">
        <v>10588</v>
      </c>
      <c r="B136" s="10">
        <f t="shared" si="1"/>
        <v>0</v>
      </c>
      <c r="C136" s="6">
        <f t="shared" si="2"/>
        <v>85.7</v>
      </c>
      <c r="D136" s="6">
        <f t="shared" si="3"/>
        <v>14.612287</v>
      </c>
    </row>
    <row r="137">
      <c r="A137" s="4" t="s">
        <v>10589</v>
      </c>
      <c r="B137" s="10">
        <f t="shared" si="1"/>
        <v>0</v>
      </c>
      <c r="C137" s="6">
        <f t="shared" si="2"/>
        <v>85.7</v>
      </c>
      <c r="D137" s="6">
        <f t="shared" si="3"/>
        <v>14.596128</v>
      </c>
    </row>
    <row r="138">
      <c r="A138" s="4" t="s">
        <v>10590</v>
      </c>
      <c r="B138" s="10">
        <f t="shared" si="1"/>
        <v>12.5</v>
      </c>
      <c r="C138" s="6">
        <f t="shared" si="2"/>
        <v>85.6</v>
      </c>
      <c r="D138" s="6">
        <f t="shared" si="3"/>
        <v>14.593597</v>
      </c>
    </row>
    <row r="139">
      <c r="A139" s="4" t="s">
        <v>10591</v>
      </c>
      <c r="B139" s="10">
        <f t="shared" si="1"/>
        <v>0</v>
      </c>
      <c r="C139" s="6">
        <f t="shared" si="2"/>
        <v>85.8</v>
      </c>
      <c r="D139" s="6">
        <f t="shared" si="3"/>
        <v>14.62274</v>
      </c>
    </row>
    <row r="140">
      <c r="A140" s="4" t="s">
        <v>10592</v>
      </c>
      <c r="B140" s="10">
        <f t="shared" si="1"/>
        <v>0</v>
      </c>
      <c r="C140" s="6">
        <f t="shared" si="2"/>
        <v>85.6</v>
      </c>
      <c r="D140" s="6">
        <f t="shared" si="3"/>
        <v>14.586556</v>
      </c>
    </row>
    <row r="141">
      <c r="A141" s="4" t="s">
        <v>10593</v>
      </c>
      <c r="B141" s="10">
        <f t="shared" si="1"/>
        <v>0</v>
      </c>
      <c r="C141" s="6">
        <f t="shared" si="2"/>
        <v>85.6</v>
      </c>
      <c r="D141" s="6">
        <f t="shared" si="3"/>
        <v>14.593114</v>
      </c>
    </row>
    <row r="142">
      <c r="A142" s="4" t="s">
        <v>10594</v>
      </c>
      <c r="B142" s="10">
        <f t="shared" si="1"/>
        <v>0</v>
      </c>
      <c r="C142" s="6">
        <f t="shared" si="2"/>
        <v>85.7</v>
      </c>
      <c r="D142" s="6">
        <f t="shared" si="3"/>
        <v>14.598938</v>
      </c>
    </row>
    <row r="143">
      <c r="A143" s="4" t="s">
        <v>10595</v>
      </c>
      <c r="B143" s="10">
        <f t="shared" si="1"/>
        <v>0</v>
      </c>
      <c r="C143" s="6">
        <f t="shared" si="2"/>
        <v>85.7</v>
      </c>
      <c r="D143" s="6">
        <f t="shared" si="3"/>
        <v>14.598811</v>
      </c>
    </row>
    <row r="144">
      <c r="A144" s="4" t="s">
        <v>10596</v>
      </c>
      <c r="B144" s="10">
        <f t="shared" si="1"/>
        <v>0</v>
      </c>
      <c r="C144" s="6">
        <f t="shared" si="2"/>
        <v>85.7</v>
      </c>
      <c r="D144" s="6">
        <f t="shared" si="3"/>
        <v>14.598066</v>
      </c>
    </row>
    <row r="145">
      <c r="A145" s="4" t="s">
        <v>10597</v>
      </c>
      <c r="B145" s="10">
        <f t="shared" si="1"/>
        <v>0</v>
      </c>
      <c r="C145" s="6">
        <f t="shared" si="2"/>
        <v>85.7</v>
      </c>
      <c r="D145" s="6">
        <f t="shared" si="3"/>
        <v>14.602915</v>
      </c>
    </row>
    <row r="146">
      <c r="A146" s="4" t="s">
        <v>10598</v>
      </c>
      <c r="B146" s="10">
        <f t="shared" si="1"/>
        <v>0</v>
      </c>
      <c r="C146" s="6">
        <f t="shared" si="2"/>
        <v>85.7</v>
      </c>
      <c r="D146" s="6">
        <f t="shared" si="3"/>
        <v>14.605135</v>
      </c>
    </row>
    <row r="147">
      <c r="A147" s="4" t="s">
        <v>10599</v>
      </c>
      <c r="B147" s="10">
        <f t="shared" si="1"/>
        <v>0</v>
      </c>
      <c r="C147" s="6">
        <f t="shared" si="2"/>
        <v>85.5</v>
      </c>
      <c r="D147" s="6">
        <f t="shared" si="3"/>
        <v>14.562881</v>
      </c>
    </row>
    <row r="148">
      <c r="A148" s="4" t="s">
        <v>10600</v>
      </c>
      <c r="B148" s="10">
        <f t="shared" si="1"/>
        <v>0</v>
      </c>
      <c r="C148" s="6">
        <f t="shared" si="2"/>
        <v>85.5</v>
      </c>
      <c r="D148" s="6">
        <f t="shared" si="3"/>
        <v>14.563696</v>
      </c>
    </row>
    <row r="149">
      <c r="A149" s="4" t="s">
        <v>10601</v>
      </c>
      <c r="B149" s="10">
        <f t="shared" si="1"/>
        <v>0</v>
      </c>
      <c r="C149" s="6">
        <f t="shared" si="2"/>
        <v>87.5</v>
      </c>
      <c r="D149" s="6">
        <f t="shared" si="3"/>
        <v>14.917222</v>
      </c>
    </row>
    <row r="150">
      <c r="A150" s="4" t="s">
        <v>10602</v>
      </c>
      <c r="B150" s="10">
        <f t="shared" si="1"/>
        <v>0</v>
      </c>
      <c r="C150" s="6">
        <f t="shared" si="2"/>
        <v>85.5</v>
      </c>
      <c r="D150" s="6">
        <f t="shared" si="3"/>
        <v>14.566899</v>
      </c>
    </row>
    <row r="151">
      <c r="A151" s="4" t="s">
        <v>10603</v>
      </c>
      <c r="B151" s="10">
        <f t="shared" si="1"/>
        <v>0</v>
      </c>
      <c r="C151" s="6">
        <f t="shared" si="2"/>
        <v>85.5</v>
      </c>
      <c r="D151" s="6">
        <f t="shared" si="3"/>
        <v>14.564888</v>
      </c>
    </row>
    <row r="152">
      <c r="A152" s="4" t="s">
        <v>10604</v>
      </c>
      <c r="B152" s="10">
        <f t="shared" si="1"/>
        <v>0</v>
      </c>
      <c r="C152" s="6">
        <f t="shared" si="2"/>
        <v>85.5</v>
      </c>
      <c r="D152" s="6">
        <f t="shared" si="3"/>
        <v>14.564052</v>
      </c>
    </row>
    <row r="153">
      <c r="A153" s="4" t="s">
        <v>10605</v>
      </c>
      <c r="B153" s="10">
        <f t="shared" si="1"/>
        <v>0</v>
      </c>
      <c r="C153" s="6">
        <f t="shared" si="2"/>
        <v>85.5</v>
      </c>
      <c r="D153" s="6">
        <f t="shared" si="3"/>
        <v>14.562902</v>
      </c>
    </row>
    <row r="154">
      <c r="A154" s="4" t="s">
        <v>10606</v>
      </c>
      <c r="B154" s="10">
        <f t="shared" si="1"/>
        <v>0</v>
      </c>
      <c r="C154" s="6">
        <f t="shared" si="2"/>
        <v>85.4</v>
      </c>
      <c r="D154" s="6">
        <f t="shared" si="3"/>
        <v>14.56069</v>
      </c>
    </row>
    <row r="155">
      <c r="A155" s="4" t="s">
        <v>10607</v>
      </c>
      <c r="B155" s="10">
        <f t="shared" si="1"/>
        <v>0</v>
      </c>
      <c r="C155" s="6">
        <f t="shared" si="2"/>
        <v>85.5</v>
      </c>
      <c r="D155" s="6">
        <f t="shared" si="3"/>
        <v>14.564478</v>
      </c>
    </row>
    <row r="156">
      <c r="A156" s="4" t="s">
        <v>10608</v>
      </c>
      <c r="B156" s="10">
        <f t="shared" si="1"/>
        <v>0</v>
      </c>
      <c r="C156" s="6">
        <f t="shared" si="2"/>
        <v>85.5</v>
      </c>
      <c r="D156" s="6">
        <f t="shared" si="3"/>
        <v>14.56402</v>
      </c>
    </row>
    <row r="157">
      <c r="A157" s="4" t="s">
        <v>10609</v>
      </c>
      <c r="B157" s="10">
        <f t="shared" si="1"/>
        <v>0</v>
      </c>
      <c r="C157" s="6">
        <f t="shared" si="2"/>
        <v>85.5</v>
      </c>
      <c r="D157" s="6">
        <f t="shared" si="3"/>
        <v>14.563823</v>
      </c>
    </row>
    <row r="158">
      <c r="A158" s="4" t="s">
        <v>10610</v>
      </c>
      <c r="B158" s="10">
        <f t="shared" si="1"/>
        <v>0</v>
      </c>
      <c r="C158" s="6">
        <f t="shared" si="2"/>
        <v>85.4</v>
      </c>
      <c r="D158" s="6">
        <f t="shared" si="3"/>
        <v>14.561624</v>
      </c>
    </row>
    <row r="159">
      <c r="A159" s="4" t="s">
        <v>10611</v>
      </c>
      <c r="B159" s="10">
        <f t="shared" si="1"/>
        <v>0</v>
      </c>
      <c r="C159" s="6">
        <f t="shared" si="2"/>
        <v>85.4</v>
      </c>
      <c r="D159" s="6">
        <f t="shared" si="3"/>
        <v>14.561394</v>
      </c>
    </row>
    <row r="160">
      <c r="A160" s="4" t="s">
        <v>10612</v>
      </c>
      <c r="B160" s="10">
        <f t="shared" si="1"/>
        <v>0</v>
      </c>
      <c r="C160" s="6">
        <f t="shared" si="2"/>
        <v>85.4</v>
      </c>
      <c r="D160" s="6">
        <f t="shared" si="3"/>
        <v>14.560452</v>
      </c>
    </row>
    <row r="161">
      <c r="A161" s="4" t="s">
        <v>10613</v>
      </c>
      <c r="B161" s="10">
        <f t="shared" si="1"/>
        <v>0</v>
      </c>
      <c r="C161" s="6">
        <f t="shared" si="2"/>
        <v>85.4</v>
      </c>
      <c r="D161" s="6">
        <f t="shared" si="3"/>
        <v>14.561112</v>
      </c>
    </row>
    <row r="162">
      <c r="A162" s="4" t="s">
        <v>10614</v>
      </c>
      <c r="B162" s="10">
        <f t="shared" si="1"/>
        <v>0</v>
      </c>
      <c r="C162" s="6">
        <f t="shared" si="2"/>
        <v>85.4</v>
      </c>
      <c r="D162" s="6">
        <f t="shared" si="3"/>
        <v>14.561153</v>
      </c>
    </row>
    <row r="163">
      <c r="A163" s="4" t="s">
        <v>10615</v>
      </c>
      <c r="B163" s="10">
        <f t="shared" si="1"/>
        <v>0</v>
      </c>
      <c r="C163" s="6">
        <f t="shared" si="2"/>
        <v>85.5</v>
      </c>
      <c r="D163" s="6">
        <f t="shared" si="3"/>
        <v>14.563303</v>
      </c>
    </row>
    <row r="164">
      <c r="A164" s="4" t="s">
        <v>10616</v>
      </c>
      <c r="B164" s="10">
        <f t="shared" si="1"/>
        <v>0</v>
      </c>
      <c r="C164" s="6">
        <f t="shared" si="2"/>
        <v>85.5</v>
      </c>
      <c r="D164" s="6">
        <f t="shared" si="3"/>
        <v>14.562873</v>
      </c>
    </row>
    <row r="165">
      <c r="A165" s="4" t="s">
        <v>10617</v>
      </c>
      <c r="B165" s="10">
        <f t="shared" si="1"/>
        <v>0</v>
      </c>
      <c r="C165" s="6">
        <f t="shared" si="2"/>
        <v>85.5</v>
      </c>
      <c r="D165" s="6">
        <f t="shared" si="3"/>
        <v>14.563753</v>
      </c>
    </row>
    <row r="166">
      <c r="A166" s="4" t="s">
        <v>10618</v>
      </c>
      <c r="B166" s="10">
        <f t="shared" si="1"/>
        <v>0</v>
      </c>
      <c r="C166" s="6">
        <f t="shared" si="2"/>
        <v>85.5</v>
      </c>
      <c r="D166" s="6">
        <f t="shared" si="3"/>
        <v>14.564106</v>
      </c>
    </row>
    <row r="167">
      <c r="A167" s="4" t="s">
        <v>10619</v>
      </c>
      <c r="B167" s="10">
        <f t="shared" si="1"/>
        <v>100</v>
      </c>
      <c r="C167" s="6">
        <f t="shared" si="2"/>
        <v>85.5</v>
      </c>
      <c r="D167" s="6">
        <f t="shared" si="3"/>
        <v>14.562521</v>
      </c>
    </row>
    <row r="168">
      <c r="A168" s="4" t="s">
        <v>10620</v>
      </c>
      <c r="B168" s="10">
        <f t="shared" si="1"/>
        <v>0</v>
      </c>
      <c r="C168" s="6">
        <f t="shared" si="2"/>
        <v>85.5</v>
      </c>
      <c r="D168" s="6">
        <f t="shared" si="3"/>
        <v>14.563532</v>
      </c>
    </row>
    <row r="169">
      <c r="A169" s="4" t="s">
        <v>10621</v>
      </c>
      <c r="B169" s="10">
        <f t="shared" si="1"/>
        <v>0</v>
      </c>
      <c r="C169" s="6">
        <f t="shared" si="2"/>
        <v>85.5</v>
      </c>
      <c r="D169" s="6">
        <f t="shared" si="3"/>
        <v>14.563405</v>
      </c>
    </row>
    <row r="170">
      <c r="A170" s="4" t="s">
        <v>10622</v>
      </c>
      <c r="B170" s="10">
        <f t="shared" si="1"/>
        <v>0</v>
      </c>
      <c r="C170" s="6">
        <f t="shared" si="2"/>
        <v>85.5</v>
      </c>
      <c r="D170" s="6">
        <f t="shared" si="3"/>
        <v>14.564335</v>
      </c>
    </row>
    <row r="171">
      <c r="A171" s="4" t="s">
        <v>10623</v>
      </c>
      <c r="B171" s="10">
        <f t="shared" si="1"/>
        <v>0</v>
      </c>
      <c r="C171" s="6">
        <f t="shared" si="2"/>
        <v>85.5</v>
      </c>
      <c r="D171" s="6">
        <f t="shared" si="3"/>
        <v>14.564024</v>
      </c>
    </row>
    <row r="172">
      <c r="A172" s="4" t="s">
        <v>10624</v>
      </c>
      <c r="B172" s="10">
        <f t="shared" si="1"/>
        <v>0</v>
      </c>
      <c r="C172" s="6">
        <f t="shared" si="2"/>
        <v>85.5</v>
      </c>
      <c r="D172" s="6">
        <f t="shared" si="3"/>
        <v>14.563037</v>
      </c>
    </row>
    <row r="173">
      <c r="A173" s="4" t="s">
        <v>10625</v>
      </c>
      <c r="B173" s="10">
        <f t="shared" si="1"/>
        <v>0</v>
      </c>
      <c r="C173" s="6">
        <f t="shared" si="2"/>
        <v>85.5</v>
      </c>
      <c r="D173" s="6">
        <f t="shared" si="3"/>
        <v>14.564048</v>
      </c>
    </row>
    <row r="174">
      <c r="A174" s="4" t="s">
        <v>10626</v>
      </c>
      <c r="B174" s="10">
        <f t="shared" si="1"/>
        <v>0</v>
      </c>
      <c r="C174" s="6">
        <f t="shared" si="2"/>
        <v>87.9</v>
      </c>
      <c r="D174" s="6">
        <f t="shared" si="3"/>
        <v>14.973292</v>
      </c>
    </row>
    <row r="175">
      <c r="A175" s="4" t="s">
        <v>10627</v>
      </c>
      <c r="B175" s="10">
        <f t="shared" si="1"/>
        <v>0</v>
      </c>
      <c r="C175" s="6">
        <f t="shared" si="2"/>
        <v>86.7</v>
      </c>
      <c r="D175" s="6">
        <f t="shared" si="3"/>
        <v>14.780387</v>
      </c>
    </row>
    <row r="176">
      <c r="A176" s="4" t="s">
        <v>10628</v>
      </c>
      <c r="B176" s="10">
        <f t="shared" si="1"/>
        <v>0</v>
      </c>
      <c r="C176" s="6">
        <f t="shared" si="2"/>
        <v>88</v>
      </c>
      <c r="D176" s="6">
        <f t="shared" si="3"/>
        <v>15.001952</v>
      </c>
    </row>
    <row r="177">
      <c r="A177" s="4" t="s">
        <v>10629</v>
      </c>
      <c r="B177" s="10">
        <f t="shared" si="1"/>
        <v>0</v>
      </c>
      <c r="C177" s="6">
        <f t="shared" si="2"/>
        <v>85.5</v>
      </c>
      <c r="D177" s="6">
        <f t="shared" si="3"/>
        <v>14.563946</v>
      </c>
    </row>
    <row r="178">
      <c r="A178" s="4" t="s">
        <v>10630</v>
      </c>
      <c r="B178" s="10">
        <f t="shared" si="1"/>
        <v>0</v>
      </c>
      <c r="C178" s="6">
        <f t="shared" si="2"/>
        <v>85.5</v>
      </c>
      <c r="D178" s="6">
        <f t="shared" si="3"/>
        <v>14.563098</v>
      </c>
    </row>
    <row r="179">
      <c r="A179" s="4" t="s">
        <v>10631</v>
      </c>
      <c r="B179" s="10">
        <f t="shared" si="1"/>
        <v>0</v>
      </c>
      <c r="C179" s="6">
        <f t="shared" si="2"/>
        <v>85.5</v>
      </c>
      <c r="D179" s="6">
        <f t="shared" si="3"/>
        <v>14.563811</v>
      </c>
    </row>
    <row r="180">
      <c r="A180" s="4" t="s">
        <v>10632</v>
      </c>
      <c r="B180" s="10">
        <f t="shared" si="1"/>
        <v>0</v>
      </c>
      <c r="C180" s="6">
        <f t="shared" si="2"/>
        <v>85.5</v>
      </c>
      <c r="D180" s="6">
        <f t="shared" si="3"/>
        <v>14.563602</v>
      </c>
    </row>
    <row r="181">
      <c r="A181" s="4" t="s">
        <v>10633</v>
      </c>
      <c r="B181" s="10">
        <f t="shared" si="1"/>
        <v>0</v>
      </c>
      <c r="C181" s="6">
        <f t="shared" si="2"/>
        <v>85.5</v>
      </c>
      <c r="D181" s="6">
        <f t="shared" si="3"/>
        <v>14.578618</v>
      </c>
    </row>
    <row r="182">
      <c r="A182" s="4" t="s">
        <v>10634</v>
      </c>
      <c r="B182" s="10">
        <f t="shared" si="1"/>
        <v>0</v>
      </c>
      <c r="C182" s="6">
        <f t="shared" si="2"/>
        <v>85.5</v>
      </c>
      <c r="D182" s="6">
        <f t="shared" si="3"/>
        <v>14.564786</v>
      </c>
    </row>
    <row r="183">
      <c r="A183" s="4" t="s">
        <v>10635</v>
      </c>
      <c r="B183" s="10">
        <f t="shared" si="1"/>
        <v>0</v>
      </c>
      <c r="C183" s="6">
        <f t="shared" si="2"/>
        <v>85.5</v>
      </c>
      <c r="D183" s="6">
        <f t="shared" si="3"/>
        <v>14.56284</v>
      </c>
    </row>
    <row r="184">
      <c r="A184" s="4" t="s">
        <v>10636</v>
      </c>
      <c r="B184" s="10">
        <f t="shared" si="1"/>
        <v>0</v>
      </c>
      <c r="C184" s="6">
        <f t="shared" si="2"/>
        <v>85.5</v>
      </c>
      <c r="D184" s="6">
        <f t="shared" si="3"/>
        <v>14.564966</v>
      </c>
    </row>
    <row r="185">
      <c r="A185" s="4" t="s">
        <v>10637</v>
      </c>
      <c r="B185" s="10">
        <f t="shared" si="1"/>
        <v>0</v>
      </c>
      <c r="C185" s="6">
        <f t="shared" si="2"/>
        <v>85.5</v>
      </c>
      <c r="D185" s="6">
        <f t="shared" si="3"/>
        <v>14.563495</v>
      </c>
    </row>
    <row r="186">
      <c r="A186" s="4" t="s">
        <v>10638</v>
      </c>
      <c r="B186" s="10">
        <f t="shared" si="1"/>
        <v>0</v>
      </c>
      <c r="C186" s="6">
        <f t="shared" si="2"/>
        <v>85.5</v>
      </c>
      <c r="D186" s="6">
        <f t="shared" si="3"/>
        <v>14.565761</v>
      </c>
    </row>
    <row r="187">
      <c r="A187" s="4" t="s">
        <v>10639</v>
      </c>
      <c r="B187" s="10">
        <f t="shared" si="1"/>
        <v>0</v>
      </c>
      <c r="C187" s="6">
        <f t="shared" si="2"/>
        <v>85.5</v>
      </c>
      <c r="D187" s="6">
        <f t="shared" si="3"/>
        <v>14.563041</v>
      </c>
    </row>
    <row r="188">
      <c r="A188" s="4" t="s">
        <v>10640</v>
      </c>
      <c r="B188" s="10">
        <f t="shared" si="1"/>
        <v>0</v>
      </c>
      <c r="C188" s="6">
        <f t="shared" si="2"/>
        <v>85.5</v>
      </c>
      <c r="D188" s="6">
        <f t="shared" si="3"/>
        <v>14.5649</v>
      </c>
    </row>
    <row r="189">
      <c r="A189" s="4" t="s">
        <v>10641</v>
      </c>
      <c r="B189" s="10">
        <f t="shared" si="1"/>
        <v>50</v>
      </c>
      <c r="C189" s="6">
        <f t="shared" si="2"/>
        <v>85.5</v>
      </c>
      <c r="D189" s="6">
        <f t="shared" si="3"/>
        <v>14.565535</v>
      </c>
    </row>
    <row r="190">
      <c r="A190" s="4" t="s">
        <v>10642</v>
      </c>
      <c r="B190" s="10">
        <f t="shared" si="1"/>
        <v>0</v>
      </c>
      <c r="C190" s="6">
        <f t="shared" si="2"/>
        <v>85.5</v>
      </c>
      <c r="D190" s="6">
        <f t="shared" si="3"/>
        <v>14.56506</v>
      </c>
    </row>
    <row r="191">
      <c r="A191" s="4" t="s">
        <v>10643</v>
      </c>
      <c r="B191" s="10">
        <f t="shared" si="1"/>
        <v>0</v>
      </c>
      <c r="C191" s="6">
        <f t="shared" si="2"/>
        <v>85.5</v>
      </c>
      <c r="D191" s="6">
        <f t="shared" si="3"/>
        <v>14.570639</v>
      </c>
    </row>
    <row r="192">
      <c r="A192" s="4" t="s">
        <v>10644</v>
      </c>
      <c r="B192" s="10">
        <f t="shared" si="1"/>
        <v>0</v>
      </c>
      <c r="C192" s="6">
        <f t="shared" si="2"/>
        <v>86.3</v>
      </c>
      <c r="D192" s="6">
        <f t="shared" si="3"/>
        <v>14.703149</v>
      </c>
    </row>
    <row r="193">
      <c r="A193" s="4" t="s">
        <v>10645</v>
      </c>
      <c r="B193" s="10">
        <f t="shared" si="1"/>
        <v>0</v>
      </c>
      <c r="C193" s="6">
        <f t="shared" si="2"/>
        <v>85.5</v>
      </c>
      <c r="D193" s="6">
        <f t="shared" si="3"/>
        <v>14.565658</v>
      </c>
    </row>
    <row r="194">
      <c r="A194" s="4" t="s">
        <v>10646</v>
      </c>
      <c r="B194" s="10">
        <f t="shared" si="1"/>
        <v>0</v>
      </c>
      <c r="C194" s="6">
        <f t="shared" si="2"/>
        <v>87.5</v>
      </c>
      <c r="D194" s="6">
        <f t="shared" si="3"/>
        <v>14.916665</v>
      </c>
    </row>
    <row r="195">
      <c r="A195" s="4" t="s">
        <v>10647</v>
      </c>
      <c r="B195" s="10">
        <f t="shared" si="1"/>
        <v>0</v>
      </c>
      <c r="C195" s="6">
        <f t="shared" si="2"/>
        <v>85.5</v>
      </c>
      <c r="D195" s="6">
        <f t="shared" si="3"/>
        <v>14.565523</v>
      </c>
    </row>
    <row r="196">
      <c r="A196" s="4" t="s">
        <v>10648</v>
      </c>
      <c r="B196" s="10">
        <f t="shared" si="1"/>
        <v>0</v>
      </c>
      <c r="C196" s="6">
        <f t="shared" si="2"/>
        <v>85.4</v>
      </c>
      <c r="D196" s="6">
        <f t="shared" si="3"/>
        <v>14.546837</v>
      </c>
    </row>
    <row r="197">
      <c r="A197" s="4" t="s">
        <v>10649</v>
      </c>
      <c r="B197" s="10">
        <f t="shared" si="1"/>
        <v>0</v>
      </c>
      <c r="C197" s="6">
        <f t="shared" si="2"/>
        <v>85.5</v>
      </c>
      <c r="D197" s="6">
        <f t="shared" si="3"/>
        <v>14.56472</v>
      </c>
    </row>
    <row r="198">
      <c r="A198" s="4" t="s">
        <v>10650</v>
      </c>
      <c r="B198" s="10">
        <f t="shared" si="1"/>
        <v>0</v>
      </c>
      <c r="C198" s="6">
        <f t="shared" si="2"/>
        <v>85.5</v>
      </c>
      <c r="D198" s="6">
        <f t="shared" si="3"/>
        <v>14.563196</v>
      </c>
    </row>
    <row r="199">
      <c r="A199" s="4" t="s">
        <v>10651</v>
      </c>
      <c r="B199" s="10">
        <f t="shared" si="1"/>
        <v>0</v>
      </c>
      <c r="C199" s="6">
        <f t="shared" si="2"/>
        <v>85.5</v>
      </c>
      <c r="D199" s="6">
        <f t="shared" si="3"/>
        <v>14.567178</v>
      </c>
    </row>
    <row r="200">
      <c r="A200" s="4" t="s">
        <v>10652</v>
      </c>
      <c r="B200" s="10">
        <f t="shared" si="1"/>
        <v>0</v>
      </c>
      <c r="C200" s="6">
        <f t="shared" si="2"/>
        <v>85.5</v>
      </c>
      <c r="D200" s="6">
        <f t="shared" si="3"/>
        <v>14.564831</v>
      </c>
    </row>
    <row r="201">
      <c r="A201" s="4" t="s">
        <v>10653</v>
      </c>
      <c r="B201" s="10">
        <f t="shared" si="1"/>
        <v>0</v>
      </c>
      <c r="C201" s="6">
        <f t="shared" si="2"/>
        <v>85.5</v>
      </c>
      <c r="D201" s="6">
        <f t="shared" si="3"/>
        <v>14.564016</v>
      </c>
    </row>
    <row r="202">
      <c r="A202" s="4" t="s">
        <v>10654</v>
      </c>
      <c r="B202" s="10">
        <f t="shared" si="1"/>
        <v>0</v>
      </c>
      <c r="C202" s="6">
        <f t="shared" si="2"/>
        <v>85.5</v>
      </c>
      <c r="D202" s="6">
        <f t="shared" si="3"/>
        <v>14.563917</v>
      </c>
    </row>
    <row r="203">
      <c r="A203" s="4" t="s">
        <v>10655</v>
      </c>
      <c r="B203" s="10">
        <f t="shared" si="1"/>
        <v>0</v>
      </c>
      <c r="C203" s="6">
        <f t="shared" si="2"/>
        <v>85.5</v>
      </c>
      <c r="D203" s="6">
        <f t="shared" si="3"/>
        <v>14.566518</v>
      </c>
    </row>
    <row r="204">
      <c r="A204" s="4" t="s">
        <v>10656</v>
      </c>
      <c r="B204" s="10">
        <f t="shared" si="1"/>
        <v>0</v>
      </c>
      <c r="C204" s="6">
        <f t="shared" si="2"/>
        <v>85.5</v>
      </c>
      <c r="D204" s="6">
        <f t="shared" si="3"/>
        <v>14.562897</v>
      </c>
    </row>
    <row r="205">
      <c r="A205" s="4" t="s">
        <v>10657</v>
      </c>
      <c r="B205" s="10">
        <f t="shared" si="1"/>
        <v>0</v>
      </c>
      <c r="C205" s="6">
        <f t="shared" si="2"/>
        <v>85.5</v>
      </c>
      <c r="D205" s="6">
        <f t="shared" si="3"/>
        <v>14.563082</v>
      </c>
    </row>
    <row r="206">
      <c r="A206" s="4" t="s">
        <v>10658</v>
      </c>
      <c r="B206" s="10">
        <f t="shared" si="1"/>
        <v>0</v>
      </c>
      <c r="C206" s="6">
        <f t="shared" si="2"/>
        <v>85.6</v>
      </c>
      <c r="D206" s="6">
        <f t="shared" si="3"/>
        <v>14.57922</v>
      </c>
    </row>
    <row r="207">
      <c r="A207" s="4" t="s">
        <v>10659</v>
      </c>
      <c r="B207" s="10">
        <f t="shared" si="1"/>
        <v>100</v>
      </c>
      <c r="C207" s="6">
        <f t="shared" si="2"/>
        <v>85.5</v>
      </c>
      <c r="D207" s="6">
        <f t="shared" si="3"/>
        <v>14.568325</v>
      </c>
    </row>
    <row r="208">
      <c r="A208" s="4" t="s">
        <v>10660</v>
      </c>
      <c r="B208" s="10">
        <f t="shared" si="1"/>
        <v>0</v>
      </c>
      <c r="C208" s="6">
        <f t="shared" si="2"/>
        <v>85.5</v>
      </c>
      <c r="D208" s="6">
        <f t="shared" si="3"/>
        <v>14.573379</v>
      </c>
    </row>
    <row r="209">
      <c r="A209" s="4" t="s">
        <v>10661</v>
      </c>
      <c r="B209" s="10">
        <f t="shared" si="1"/>
        <v>0</v>
      </c>
      <c r="C209" s="6">
        <f t="shared" si="2"/>
        <v>85.5</v>
      </c>
      <c r="D209" s="6">
        <f t="shared" si="3"/>
        <v>14.568927</v>
      </c>
    </row>
    <row r="210">
      <c r="A210" s="4" t="s">
        <v>10662</v>
      </c>
      <c r="B210" s="10">
        <f t="shared" si="1"/>
        <v>0</v>
      </c>
      <c r="C210" s="6">
        <f t="shared" si="2"/>
        <v>85.5</v>
      </c>
      <c r="D210" s="6">
        <f t="shared" si="3"/>
        <v>14.568501</v>
      </c>
    </row>
    <row r="211">
      <c r="A211" s="4" t="s">
        <v>10663</v>
      </c>
      <c r="B211" s="10">
        <f t="shared" si="1"/>
        <v>0</v>
      </c>
      <c r="C211" s="6">
        <f t="shared" si="2"/>
        <v>85.5</v>
      </c>
      <c r="D211" s="6">
        <f t="shared" si="3"/>
        <v>14.56839</v>
      </c>
    </row>
    <row r="212">
      <c r="A212" s="4" t="s">
        <v>10664</v>
      </c>
      <c r="B212" s="10">
        <f t="shared" si="1"/>
        <v>0</v>
      </c>
      <c r="C212" s="6">
        <f t="shared" si="2"/>
        <v>85.5</v>
      </c>
      <c r="D212" s="6">
        <f t="shared" si="3"/>
        <v>14.57188</v>
      </c>
    </row>
    <row r="213">
      <c r="A213" s="4" t="s">
        <v>10665</v>
      </c>
      <c r="B213" s="10">
        <f t="shared" si="1"/>
        <v>0</v>
      </c>
      <c r="C213" s="6">
        <f t="shared" si="2"/>
        <v>85.5</v>
      </c>
      <c r="D213" s="6">
        <f t="shared" si="3"/>
        <v>14.572408</v>
      </c>
    </row>
    <row r="214">
      <c r="A214" s="4" t="s">
        <v>10666</v>
      </c>
      <c r="B214" s="10">
        <f t="shared" si="1"/>
        <v>0</v>
      </c>
      <c r="C214" s="6">
        <f t="shared" si="2"/>
        <v>85.5</v>
      </c>
      <c r="D214" s="6">
        <f t="shared" si="3"/>
        <v>14.573551</v>
      </c>
    </row>
    <row r="215">
      <c r="A215" s="4" t="s">
        <v>10667</v>
      </c>
      <c r="B215" s="10">
        <f t="shared" si="1"/>
        <v>100</v>
      </c>
      <c r="C215" s="6">
        <f t="shared" si="2"/>
        <v>85.5</v>
      </c>
      <c r="D215" s="6">
        <f t="shared" si="3"/>
        <v>14.566912</v>
      </c>
    </row>
    <row r="216">
      <c r="A216" s="4" t="s">
        <v>10668</v>
      </c>
      <c r="B216" s="10">
        <f t="shared" si="1"/>
        <v>0</v>
      </c>
      <c r="C216" s="6">
        <f t="shared" si="2"/>
        <v>85.5</v>
      </c>
      <c r="D216" s="6">
        <f t="shared" si="3"/>
        <v>14.572605</v>
      </c>
    </row>
    <row r="217">
      <c r="A217" s="4" t="s">
        <v>10669</v>
      </c>
      <c r="B217" s="10">
        <f t="shared" si="1"/>
        <v>12.5</v>
      </c>
      <c r="C217" s="6">
        <f t="shared" si="2"/>
        <v>85.8</v>
      </c>
      <c r="D217" s="6">
        <f t="shared" si="3"/>
        <v>14.622744</v>
      </c>
    </row>
    <row r="218">
      <c r="A218" s="4" t="s">
        <v>10670</v>
      </c>
      <c r="B218" s="10">
        <f t="shared" si="1"/>
        <v>0</v>
      </c>
      <c r="C218" s="6">
        <f t="shared" si="2"/>
        <v>88</v>
      </c>
      <c r="D218" s="6">
        <f t="shared" si="3"/>
        <v>14.989369</v>
      </c>
    </row>
    <row r="219">
      <c r="A219" s="4" t="s">
        <v>10671</v>
      </c>
      <c r="B219" s="10">
        <f t="shared" si="1"/>
        <v>0</v>
      </c>
      <c r="C219" s="6">
        <f t="shared" si="2"/>
        <v>85.5</v>
      </c>
      <c r="D219" s="6">
        <f t="shared" si="3"/>
        <v>14.56984</v>
      </c>
    </row>
    <row r="220">
      <c r="A220" s="4" t="s">
        <v>10672</v>
      </c>
      <c r="B220" s="10">
        <f t="shared" si="1"/>
        <v>0</v>
      </c>
      <c r="C220" s="6">
        <f t="shared" si="2"/>
        <v>85.5</v>
      </c>
      <c r="D220" s="6">
        <f t="shared" si="3"/>
        <v>14.568562</v>
      </c>
    </row>
    <row r="221">
      <c r="A221" s="4" t="s">
        <v>10673</v>
      </c>
      <c r="B221" s="10">
        <f t="shared" si="1"/>
        <v>0</v>
      </c>
      <c r="C221" s="6">
        <f t="shared" si="2"/>
        <v>85.5</v>
      </c>
      <c r="D221" s="6">
        <f t="shared" si="3"/>
        <v>14.564491</v>
      </c>
    </row>
    <row r="222">
      <c r="A222" s="4" t="s">
        <v>10674</v>
      </c>
      <c r="B222" s="10">
        <f t="shared" si="1"/>
        <v>0</v>
      </c>
      <c r="C222" s="6">
        <f t="shared" si="2"/>
        <v>85.5</v>
      </c>
      <c r="D222" s="6">
        <f t="shared" si="3"/>
        <v>14.56678</v>
      </c>
    </row>
    <row r="223">
      <c r="A223" s="4" t="s">
        <v>10675</v>
      </c>
      <c r="B223" s="10">
        <f t="shared" si="1"/>
        <v>12.5</v>
      </c>
      <c r="C223" s="6">
        <f t="shared" si="2"/>
        <v>85.5</v>
      </c>
      <c r="D223" s="6">
        <f t="shared" si="3"/>
        <v>14.562013</v>
      </c>
    </row>
    <row r="224">
      <c r="A224" s="4" t="s">
        <v>10676</v>
      </c>
      <c r="B224" s="10">
        <f t="shared" si="1"/>
        <v>0</v>
      </c>
      <c r="C224" s="6">
        <f t="shared" si="2"/>
        <v>85.3</v>
      </c>
      <c r="D224" s="6">
        <f t="shared" si="3"/>
        <v>14.542667</v>
      </c>
    </row>
    <row r="225">
      <c r="A225" s="4" t="s">
        <v>10677</v>
      </c>
      <c r="B225" s="10">
        <f t="shared" si="1"/>
        <v>0</v>
      </c>
      <c r="C225" s="6">
        <f t="shared" si="2"/>
        <v>85.6</v>
      </c>
      <c r="D225" s="6">
        <f t="shared" si="3"/>
        <v>14.587764</v>
      </c>
    </row>
    <row r="226">
      <c r="A226" s="4" t="s">
        <v>10678</v>
      </c>
      <c r="B226" s="10">
        <f t="shared" si="1"/>
        <v>0</v>
      </c>
      <c r="C226" s="6">
        <f t="shared" si="2"/>
        <v>85.3</v>
      </c>
      <c r="D226" s="6">
        <f t="shared" si="3"/>
        <v>14.543822</v>
      </c>
    </row>
    <row r="227">
      <c r="A227" s="4" t="s">
        <v>10679</v>
      </c>
      <c r="B227" s="10">
        <f t="shared" si="1"/>
        <v>0</v>
      </c>
      <c r="C227" s="6">
        <f t="shared" si="2"/>
        <v>85.3</v>
      </c>
      <c r="D227" s="6">
        <f t="shared" si="3"/>
        <v>14.543003</v>
      </c>
    </row>
    <row r="228">
      <c r="A228" s="4" t="s">
        <v>10680</v>
      </c>
      <c r="B228" s="10">
        <f t="shared" si="1"/>
        <v>0</v>
      </c>
      <c r="C228" s="6">
        <f t="shared" si="2"/>
        <v>85.3</v>
      </c>
      <c r="D228" s="6">
        <f t="shared" si="3"/>
        <v>14.542565</v>
      </c>
    </row>
    <row r="229">
      <c r="A229" s="4" t="s">
        <v>10681</v>
      </c>
      <c r="B229" s="10">
        <f t="shared" si="1"/>
        <v>0</v>
      </c>
      <c r="C229" s="6">
        <f t="shared" si="2"/>
        <v>85.3</v>
      </c>
      <c r="D229" s="6">
        <f t="shared" si="3"/>
        <v>14.541709</v>
      </c>
    </row>
    <row r="230">
      <c r="A230" s="4" t="s">
        <v>10682</v>
      </c>
      <c r="B230" s="10">
        <f t="shared" si="1"/>
        <v>0</v>
      </c>
      <c r="C230" s="6">
        <f t="shared" si="2"/>
        <v>85.3</v>
      </c>
      <c r="D230" s="6">
        <f t="shared" si="3"/>
        <v>14.54227</v>
      </c>
    </row>
    <row r="231">
      <c r="A231" s="4" t="s">
        <v>10683</v>
      </c>
      <c r="B231" s="10">
        <f t="shared" si="1"/>
        <v>0</v>
      </c>
      <c r="C231" s="6">
        <f t="shared" si="2"/>
        <v>85.4</v>
      </c>
      <c r="D231" s="6">
        <f t="shared" si="3"/>
        <v>14.555713</v>
      </c>
    </row>
    <row r="232">
      <c r="A232" s="4" t="s">
        <v>10684</v>
      </c>
      <c r="B232" s="10">
        <f t="shared" si="1"/>
        <v>0</v>
      </c>
      <c r="C232" s="6">
        <f t="shared" si="2"/>
        <v>85.3</v>
      </c>
      <c r="D232" s="6">
        <f t="shared" si="3"/>
        <v>14.538637</v>
      </c>
    </row>
    <row r="233">
      <c r="A233" s="4" t="s">
        <v>10685</v>
      </c>
      <c r="B233" s="10">
        <f t="shared" si="1"/>
        <v>0</v>
      </c>
      <c r="C233" s="6">
        <f t="shared" si="2"/>
        <v>85.4</v>
      </c>
      <c r="D233" s="6">
        <f t="shared" si="3"/>
        <v>14.545174</v>
      </c>
    </row>
    <row r="234">
      <c r="A234" s="4" t="s">
        <v>10686</v>
      </c>
      <c r="B234" s="10">
        <f t="shared" si="1"/>
        <v>0</v>
      </c>
      <c r="C234" s="6">
        <f t="shared" si="2"/>
        <v>84.8</v>
      </c>
      <c r="D234" s="6">
        <f t="shared" si="3"/>
        <v>14.451699</v>
      </c>
    </row>
    <row r="235">
      <c r="A235" s="4" t="s">
        <v>10687</v>
      </c>
      <c r="B235" s="10">
        <f t="shared" si="1"/>
        <v>0</v>
      </c>
      <c r="C235" s="6">
        <f t="shared" si="2"/>
        <v>84.8</v>
      </c>
      <c r="D235" s="6">
        <f t="shared" si="3"/>
        <v>14.453657</v>
      </c>
    </row>
    <row r="236">
      <c r="A236" s="4" t="s">
        <v>10688</v>
      </c>
      <c r="B236" s="10">
        <f t="shared" si="1"/>
        <v>0</v>
      </c>
      <c r="C236" s="6">
        <f t="shared" si="2"/>
        <v>84.8</v>
      </c>
      <c r="D236" s="6">
        <f t="shared" si="3"/>
        <v>14.450929</v>
      </c>
    </row>
    <row r="237">
      <c r="A237" s="4" t="s">
        <v>10689</v>
      </c>
      <c r="B237" s="10">
        <f t="shared" si="1"/>
        <v>0</v>
      </c>
      <c r="C237" s="6">
        <f t="shared" si="2"/>
        <v>84.8</v>
      </c>
      <c r="D237" s="6">
        <f t="shared" si="3"/>
        <v>14.454611</v>
      </c>
    </row>
    <row r="238">
      <c r="A238" s="4" t="s">
        <v>10690</v>
      </c>
      <c r="B238" s="10">
        <f t="shared" si="1"/>
        <v>0</v>
      </c>
      <c r="C238" s="6">
        <f t="shared" si="2"/>
        <v>85.1</v>
      </c>
      <c r="D238" s="6">
        <f t="shared" si="3"/>
        <v>14.507073</v>
      </c>
    </row>
    <row r="239">
      <c r="A239" s="4" t="s">
        <v>10691</v>
      </c>
      <c r="B239" s="10">
        <f t="shared" si="1"/>
        <v>0</v>
      </c>
      <c r="C239" s="6">
        <f t="shared" si="2"/>
        <v>84.8</v>
      </c>
      <c r="D239" s="6">
        <f t="shared" si="3"/>
        <v>14.455652</v>
      </c>
    </row>
    <row r="240">
      <c r="A240" s="4" t="s">
        <v>10692</v>
      </c>
      <c r="B240" s="10">
        <f t="shared" si="1"/>
        <v>20</v>
      </c>
      <c r="C240" s="6">
        <f t="shared" si="2"/>
        <v>84.8</v>
      </c>
      <c r="D240" s="6">
        <f t="shared" si="3"/>
        <v>14.455635</v>
      </c>
    </row>
    <row r="241">
      <c r="A241" s="4" t="s">
        <v>10693</v>
      </c>
      <c r="B241" s="10">
        <f t="shared" si="1"/>
        <v>0</v>
      </c>
      <c r="C241" s="6">
        <f t="shared" si="2"/>
        <v>86.2</v>
      </c>
      <c r="D241" s="6">
        <f t="shared" si="3"/>
        <v>14.690271</v>
      </c>
    </row>
    <row r="242">
      <c r="A242" s="4" t="s">
        <v>10694</v>
      </c>
      <c r="B242" s="10">
        <f t="shared" si="1"/>
        <v>0</v>
      </c>
      <c r="C242" s="6">
        <f t="shared" si="2"/>
        <v>85</v>
      </c>
      <c r="D242" s="6">
        <f t="shared" si="3"/>
        <v>14.48586</v>
      </c>
    </row>
    <row r="243">
      <c r="A243" s="4" t="s">
        <v>10695</v>
      </c>
      <c r="B243" s="10">
        <f t="shared" si="1"/>
        <v>0</v>
      </c>
      <c r="C243" s="6">
        <f t="shared" si="2"/>
        <v>87.1</v>
      </c>
      <c r="D243" s="6">
        <f t="shared" si="3"/>
        <v>14.836895</v>
      </c>
    </row>
    <row r="244">
      <c r="A244" s="4" t="s">
        <v>10696</v>
      </c>
      <c r="B244" s="10">
        <f t="shared" si="1"/>
        <v>0</v>
      </c>
      <c r="C244" s="6">
        <f t="shared" si="2"/>
        <v>85.3</v>
      </c>
      <c r="D244" s="6">
        <f t="shared" si="3"/>
        <v>14.541901</v>
      </c>
    </row>
    <row r="245">
      <c r="A245" s="4" t="s">
        <v>10697</v>
      </c>
      <c r="B245" s="10">
        <f t="shared" si="1"/>
        <v>0</v>
      </c>
      <c r="C245" s="6">
        <f t="shared" si="2"/>
        <v>84.8</v>
      </c>
      <c r="D245" s="6">
        <f t="shared" si="3"/>
        <v>14.452551</v>
      </c>
    </row>
    <row r="246">
      <c r="A246" s="4" t="s">
        <v>10698</v>
      </c>
      <c r="B246" s="10">
        <f t="shared" si="1"/>
        <v>0</v>
      </c>
      <c r="C246" s="6">
        <f t="shared" si="2"/>
        <v>84.8</v>
      </c>
      <c r="D246" s="6">
        <f t="shared" si="3"/>
        <v>14.450208</v>
      </c>
    </row>
    <row r="247">
      <c r="A247" s="4" t="s">
        <v>10699</v>
      </c>
      <c r="B247" s="10">
        <f t="shared" si="1"/>
        <v>0</v>
      </c>
      <c r="C247" s="6">
        <f t="shared" si="2"/>
        <v>84.8</v>
      </c>
      <c r="D247" s="6">
        <f t="shared" si="3"/>
        <v>14.450184</v>
      </c>
    </row>
    <row r="248">
      <c r="A248" s="4" t="s">
        <v>10700</v>
      </c>
      <c r="B248" s="10">
        <f t="shared" si="1"/>
        <v>0</v>
      </c>
      <c r="C248" s="6">
        <f t="shared" si="2"/>
        <v>84.8</v>
      </c>
      <c r="D248" s="6">
        <f t="shared" si="3"/>
        <v>14.45149</v>
      </c>
    </row>
    <row r="249">
      <c r="A249" s="4" t="s">
        <v>10701</v>
      </c>
      <c r="B249" s="10">
        <f t="shared" si="1"/>
        <v>0</v>
      </c>
      <c r="C249" s="6">
        <f t="shared" si="2"/>
        <v>84.8</v>
      </c>
      <c r="D249" s="6">
        <f t="shared" si="3"/>
        <v>14.450802</v>
      </c>
    </row>
    <row r="250">
      <c r="A250" s="4" t="s">
        <v>10702</v>
      </c>
      <c r="B250" s="10">
        <f t="shared" si="1"/>
        <v>0</v>
      </c>
      <c r="C250" s="6">
        <f t="shared" si="2"/>
        <v>84.8</v>
      </c>
      <c r="D250" s="6">
        <f t="shared" si="3"/>
        <v>14.450044</v>
      </c>
    </row>
    <row r="251">
      <c r="A251" s="4" t="s">
        <v>10703</v>
      </c>
      <c r="B251" s="10">
        <f t="shared" si="1"/>
        <v>0</v>
      </c>
      <c r="C251" s="6">
        <f t="shared" si="2"/>
        <v>84.8</v>
      </c>
      <c r="D251" s="6">
        <f t="shared" si="3"/>
        <v>14.451277</v>
      </c>
    </row>
    <row r="252">
      <c r="A252" s="4" t="s">
        <v>10704</v>
      </c>
      <c r="B252" s="10">
        <f t="shared" si="1"/>
        <v>0</v>
      </c>
      <c r="C252" s="6">
        <f t="shared" si="2"/>
        <v>84.8</v>
      </c>
      <c r="D252" s="6">
        <f t="shared" si="3"/>
        <v>14.451974</v>
      </c>
    </row>
    <row r="253">
      <c r="A253" s="4" t="s">
        <v>10705</v>
      </c>
      <c r="B253" s="10">
        <f t="shared" si="1"/>
        <v>0</v>
      </c>
      <c r="C253" s="6">
        <f t="shared" si="2"/>
        <v>84.8</v>
      </c>
      <c r="D253" s="6">
        <f t="shared" si="3"/>
        <v>14.453043</v>
      </c>
    </row>
    <row r="254">
      <c r="A254" s="4" t="s">
        <v>10706</v>
      </c>
      <c r="B254" s="10">
        <f t="shared" si="1"/>
        <v>0</v>
      </c>
      <c r="C254" s="6">
        <f t="shared" si="2"/>
        <v>84.8</v>
      </c>
      <c r="D254" s="6">
        <f t="shared" si="3"/>
        <v>14.449516</v>
      </c>
    </row>
    <row r="255">
      <c r="A255" s="4" t="s">
        <v>10707</v>
      </c>
      <c r="B255" s="10">
        <f t="shared" si="1"/>
        <v>50</v>
      </c>
      <c r="C255" s="6">
        <f t="shared" si="2"/>
        <v>84.8</v>
      </c>
      <c r="D255" s="6">
        <f t="shared" si="3"/>
        <v>14.448033</v>
      </c>
    </row>
    <row r="256">
      <c r="A256" s="4" t="s">
        <v>10708</v>
      </c>
      <c r="B256" s="10">
        <f t="shared" si="1"/>
        <v>0</v>
      </c>
      <c r="C256" s="6">
        <f t="shared" si="2"/>
        <v>84.9</v>
      </c>
      <c r="D256" s="6">
        <f t="shared" si="3"/>
        <v>14.47573</v>
      </c>
    </row>
    <row r="257">
      <c r="A257" s="4" t="s">
        <v>10709</v>
      </c>
      <c r="B257" s="10">
        <f t="shared" si="1"/>
        <v>0</v>
      </c>
      <c r="C257" s="6">
        <f t="shared" si="2"/>
        <v>84.8</v>
      </c>
      <c r="D257" s="6">
        <f t="shared" si="3"/>
        <v>14.449709</v>
      </c>
    </row>
    <row r="258">
      <c r="A258" s="4" t="s">
        <v>10698</v>
      </c>
      <c r="B258" s="10">
        <f t="shared" si="1"/>
        <v>0</v>
      </c>
      <c r="C258" s="6">
        <f t="shared" si="2"/>
        <v>84.8</v>
      </c>
      <c r="D258" s="6">
        <f t="shared" si="3"/>
        <v>14.450208</v>
      </c>
    </row>
    <row r="259">
      <c r="A259" s="4" t="s">
        <v>10710</v>
      </c>
      <c r="B259" s="10">
        <f t="shared" si="1"/>
        <v>0</v>
      </c>
      <c r="C259" s="6">
        <f t="shared" si="2"/>
        <v>84.8</v>
      </c>
      <c r="D259" s="6">
        <f t="shared" si="3"/>
        <v>14.448111</v>
      </c>
    </row>
    <row r="260">
      <c r="A260" s="4" t="s">
        <v>10711</v>
      </c>
      <c r="B260" s="10">
        <f t="shared" si="1"/>
        <v>0</v>
      </c>
      <c r="C260" s="6">
        <f t="shared" si="2"/>
        <v>84.8</v>
      </c>
      <c r="D260" s="6">
        <f t="shared" si="3"/>
        <v>14.452154</v>
      </c>
    </row>
    <row r="261">
      <c r="A261" s="4" t="s">
        <v>10712</v>
      </c>
      <c r="B261" s="10">
        <f t="shared" si="1"/>
        <v>0</v>
      </c>
      <c r="C261" s="6">
        <f t="shared" si="2"/>
        <v>84.8</v>
      </c>
      <c r="D261" s="6">
        <f t="shared" si="3"/>
        <v>14.451073</v>
      </c>
    </row>
    <row r="262">
      <c r="A262" s="4" t="s">
        <v>10713</v>
      </c>
      <c r="B262" s="10">
        <f t="shared" si="1"/>
        <v>0</v>
      </c>
      <c r="C262" s="6">
        <f t="shared" si="2"/>
        <v>84.8</v>
      </c>
      <c r="D262" s="6">
        <f t="shared" si="3"/>
        <v>14.451924</v>
      </c>
    </row>
    <row r="263">
      <c r="A263" s="4" t="s">
        <v>10714</v>
      </c>
      <c r="B263" s="10">
        <f t="shared" si="1"/>
        <v>16.7</v>
      </c>
      <c r="C263" s="6">
        <f t="shared" si="2"/>
        <v>84.8</v>
      </c>
      <c r="D263" s="6">
        <f t="shared" si="3"/>
        <v>14.449856</v>
      </c>
    </row>
    <row r="264">
      <c r="A264" s="4" t="s">
        <v>10715</v>
      </c>
      <c r="B264" s="10">
        <f t="shared" si="1"/>
        <v>0</v>
      </c>
      <c r="C264" s="6">
        <f t="shared" si="2"/>
        <v>84.8</v>
      </c>
      <c r="D264" s="6">
        <f t="shared" si="3"/>
        <v>14.447738</v>
      </c>
    </row>
    <row r="265">
      <c r="A265" s="4" t="s">
        <v>10716</v>
      </c>
      <c r="B265" s="10">
        <f t="shared" si="1"/>
        <v>0</v>
      </c>
      <c r="C265" s="6">
        <f t="shared" si="2"/>
        <v>84.8</v>
      </c>
      <c r="D265" s="6">
        <f t="shared" si="3"/>
        <v>14.449135</v>
      </c>
    </row>
    <row r="266">
      <c r="A266" s="4" t="s">
        <v>10717</v>
      </c>
      <c r="B266" s="10">
        <f t="shared" si="1"/>
        <v>0</v>
      </c>
      <c r="C266" s="6">
        <f t="shared" si="2"/>
        <v>84.8</v>
      </c>
      <c r="D266" s="6">
        <f t="shared" si="3"/>
        <v>14.447276</v>
      </c>
    </row>
    <row r="267">
      <c r="A267" s="4" t="s">
        <v>10718</v>
      </c>
      <c r="B267" s="10">
        <f t="shared" si="1"/>
        <v>0</v>
      </c>
      <c r="C267" s="6">
        <f t="shared" si="2"/>
        <v>84.8</v>
      </c>
      <c r="D267" s="6">
        <f t="shared" si="3"/>
        <v>14.450106</v>
      </c>
    </row>
    <row r="268">
      <c r="A268" s="4" t="s">
        <v>10719</v>
      </c>
      <c r="B268" s="10">
        <f t="shared" si="1"/>
        <v>0</v>
      </c>
      <c r="C268" s="6">
        <f t="shared" si="2"/>
        <v>84.8</v>
      </c>
      <c r="D268" s="6">
        <f t="shared" si="3"/>
        <v>14.448185</v>
      </c>
    </row>
    <row r="269">
      <c r="A269" s="4" t="s">
        <v>10720</v>
      </c>
      <c r="B269" s="10">
        <f t="shared" si="1"/>
        <v>0</v>
      </c>
      <c r="C269" s="6">
        <f t="shared" si="2"/>
        <v>84.8</v>
      </c>
      <c r="D269" s="6">
        <f t="shared" si="3"/>
        <v>14.445006</v>
      </c>
    </row>
    <row r="270">
      <c r="A270" s="4" t="s">
        <v>10721</v>
      </c>
      <c r="B270" s="10">
        <f t="shared" si="1"/>
        <v>0</v>
      </c>
      <c r="C270" s="6">
        <f t="shared" si="2"/>
        <v>84.8</v>
      </c>
      <c r="D270" s="6">
        <f t="shared" si="3"/>
        <v>14.443974</v>
      </c>
    </row>
    <row r="271">
      <c r="A271" s="4" t="s">
        <v>10722</v>
      </c>
      <c r="B271" s="10">
        <f t="shared" si="1"/>
        <v>100</v>
      </c>
      <c r="C271" s="6">
        <f t="shared" si="2"/>
        <v>84.8</v>
      </c>
      <c r="D271" s="6">
        <f t="shared" si="3"/>
        <v>14.446579</v>
      </c>
    </row>
    <row r="272">
      <c r="A272" s="4" t="s">
        <v>10723</v>
      </c>
      <c r="B272" s="10">
        <f t="shared" si="1"/>
        <v>0</v>
      </c>
      <c r="C272" s="6">
        <f t="shared" si="2"/>
        <v>84.8</v>
      </c>
      <c r="D272" s="6">
        <f t="shared" si="3"/>
        <v>14.445789</v>
      </c>
    </row>
    <row r="273">
      <c r="A273" s="4" t="s">
        <v>10724</v>
      </c>
      <c r="B273" s="10">
        <f t="shared" si="1"/>
        <v>14.3</v>
      </c>
      <c r="C273" s="6">
        <f t="shared" si="2"/>
        <v>84.8</v>
      </c>
      <c r="D273" s="6">
        <f t="shared" si="3"/>
        <v>14.444163</v>
      </c>
    </row>
    <row r="274">
      <c r="A274" s="4" t="s">
        <v>10725</v>
      </c>
      <c r="B274" s="10">
        <f t="shared" si="1"/>
        <v>0</v>
      </c>
      <c r="C274" s="6">
        <f t="shared" si="2"/>
        <v>84.8</v>
      </c>
      <c r="D274" s="6">
        <f t="shared" si="3"/>
        <v>14.446206</v>
      </c>
    </row>
    <row r="275">
      <c r="A275" s="4" t="s">
        <v>10726</v>
      </c>
      <c r="B275" s="10">
        <f t="shared" si="1"/>
        <v>0</v>
      </c>
      <c r="C275" s="6">
        <f t="shared" si="2"/>
        <v>84.8</v>
      </c>
      <c r="D275" s="6">
        <f t="shared" si="3"/>
        <v>14.443335</v>
      </c>
    </row>
    <row r="276">
      <c r="A276" s="4" t="s">
        <v>10727</v>
      </c>
      <c r="B276" s="10">
        <f t="shared" si="1"/>
        <v>0</v>
      </c>
      <c r="C276" s="6">
        <f t="shared" si="2"/>
        <v>84.8</v>
      </c>
      <c r="D276" s="6">
        <f t="shared" si="3"/>
        <v>14.445445</v>
      </c>
    </row>
    <row r="277">
      <c r="A277" s="4" t="s">
        <v>10728</v>
      </c>
      <c r="B277" s="10">
        <f t="shared" si="1"/>
        <v>0</v>
      </c>
      <c r="C277" s="6">
        <f t="shared" si="2"/>
        <v>84.8</v>
      </c>
      <c r="D277" s="6">
        <f t="shared" si="3"/>
        <v>14.44653</v>
      </c>
    </row>
    <row r="278">
      <c r="A278" s="4" t="s">
        <v>10729</v>
      </c>
      <c r="B278" s="10">
        <f t="shared" si="1"/>
        <v>0</v>
      </c>
      <c r="C278" s="6">
        <f t="shared" si="2"/>
        <v>84.8</v>
      </c>
      <c r="D278" s="6">
        <f t="shared" si="3"/>
        <v>14.4439</v>
      </c>
    </row>
    <row r="279">
      <c r="A279" s="4" t="s">
        <v>10730</v>
      </c>
      <c r="B279" s="10">
        <f t="shared" si="1"/>
        <v>0</v>
      </c>
      <c r="C279" s="6">
        <f t="shared" si="2"/>
        <v>84.8</v>
      </c>
      <c r="D279" s="6">
        <f t="shared" si="3"/>
        <v>14.442725</v>
      </c>
    </row>
    <row r="280">
      <c r="A280" s="4" t="s">
        <v>10731</v>
      </c>
      <c r="B280" s="10">
        <f t="shared" si="1"/>
        <v>0</v>
      </c>
      <c r="C280" s="6">
        <f t="shared" si="2"/>
        <v>84.8</v>
      </c>
      <c r="D280" s="6">
        <f t="shared" si="3"/>
        <v>14.444949</v>
      </c>
    </row>
    <row r="281">
      <c r="A281" s="4" t="s">
        <v>10732</v>
      </c>
      <c r="B281" s="10">
        <f t="shared" si="1"/>
        <v>0</v>
      </c>
      <c r="C281" s="6">
        <f t="shared" si="2"/>
        <v>84.9</v>
      </c>
      <c r="D281" s="6">
        <f t="shared" si="3"/>
        <v>14.468198</v>
      </c>
    </row>
    <row r="282">
      <c r="A282" s="4" t="s">
        <v>10733</v>
      </c>
      <c r="B282" s="10">
        <f t="shared" si="1"/>
        <v>0</v>
      </c>
      <c r="C282" s="6">
        <f t="shared" si="2"/>
        <v>84.8</v>
      </c>
      <c r="D282" s="6">
        <f t="shared" si="3"/>
        <v>14.449303</v>
      </c>
    </row>
    <row r="283">
      <c r="A283" s="4" t="s">
        <v>10734</v>
      </c>
      <c r="B283" s="10">
        <f t="shared" si="1"/>
        <v>0</v>
      </c>
      <c r="C283" s="6">
        <f t="shared" si="2"/>
        <v>84.8</v>
      </c>
      <c r="D283" s="6">
        <f t="shared" si="3"/>
        <v>14.443229</v>
      </c>
    </row>
    <row r="284">
      <c r="A284" s="4" t="s">
        <v>10735</v>
      </c>
      <c r="B284" s="10">
        <f t="shared" si="1"/>
        <v>0</v>
      </c>
      <c r="C284" s="6">
        <f t="shared" si="2"/>
        <v>84.8</v>
      </c>
      <c r="D284" s="6">
        <f t="shared" si="3"/>
        <v>14.443323</v>
      </c>
    </row>
    <row r="285">
      <c r="A285" s="4" t="s">
        <v>10736</v>
      </c>
      <c r="B285" s="10">
        <f t="shared" si="1"/>
        <v>0</v>
      </c>
      <c r="C285" s="6">
        <f t="shared" si="2"/>
        <v>84.8</v>
      </c>
      <c r="D285" s="6">
        <f t="shared" si="3"/>
        <v>14.444277</v>
      </c>
    </row>
    <row r="286">
      <c r="A286" s="4" t="s">
        <v>10737</v>
      </c>
      <c r="B286" s="10">
        <f t="shared" si="1"/>
        <v>0</v>
      </c>
      <c r="C286" s="6">
        <f t="shared" si="2"/>
        <v>84.8</v>
      </c>
      <c r="D286" s="6">
        <f t="shared" si="3"/>
        <v>14.444388</v>
      </c>
    </row>
    <row r="287">
      <c r="A287" s="4" t="s">
        <v>10738</v>
      </c>
      <c r="B287" s="10">
        <f t="shared" si="1"/>
        <v>0</v>
      </c>
      <c r="C287" s="6">
        <f t="shared" si="2"/>
        <v>84.8</v>
      </c>
      <c r="D287" s="6">
        <f t="shared" si="3"/>
        <v>14.443413</v>
      </c>
    </row>
    <row r="288">
      <c r="A288" s="4" t="s">
        <v>10739</v>
      </c>
      <c r="B288" s="10">
        <f t="shared" si="1"/>
        <v>10</v>
      </c>
      <c r="C288" s="6">
        <f t="shared" si="2"/>
        <v>84.8</v>
      </c>
      <c r="D288" s="6">
        <f t="shared" si="3"/>
        <v>14.446346</v>
      </c>
    </row>
    <row r="289">
      <c r="A289" s="4" t="s">
        <v>10740</v>
      </c>
      <c r="B289" s="10">
        <f t="shared" si="1"/>
        <v>0</v>
      </c>
      <c r="C289" s="6">
        <f t="shared" si="2"/>
        <v>84.8</v>
      </c>
      <c r="D289" s="6">
        <f t="shared" si="3"/>
        <v>14.446587</v>
      </c>
    </row>
    <row r="290">
      <c r="A290" s="4" t="s">
        <v>10741</v>
      </c>
      <c r="B290" s="10">
        <f t="shared" si="1"/>
        <v>0</v>
      </c>
      <c r="C290" s="6">
        <f t="shared" si="2"/>
        <v>84.8</v>
      </c>
      <c r="D290" s="6">
        <f t="shared" si="3"/>
        <v>14.445109</v>
      </c>
    </row>
    <row r="291">
      <c r="A291" s="4" t="s">
        <v>10742</v>
      </c>
      <c r="B291" s="10">
        <f t="shared" si="1"/>
        <v>0</v>
      </c>
      <c r="C291" s="6">
        <f t="shared" si="2"/>
        <v>84.8</v>
      </c>
      <c r="D291" s="6">
        <f t="shared" si="3"/>
        <v>14.446792</v>
      </c>
    </row>
    <row r="292">
      <c r="A292" s="4" t="s">
        <v>10743</v>
      </c>
      <c r="B292" s="10">
        <f t="shared" si="1"/>
        <v>0</v>
      </c>
      <c r="C292" s="6">
        <f t="shared" si="2"/>
        <v>84.8</v>
      </c>
      <c r="D292" s="6">
        <f t="shared" si="3"/>
        <v>14.444441</v>
      </c>
    </row>
    <row r="293">
      <c r="A293" s="4" t="s">
        <v>10744</v>
      </c>
      <c r="B293" s="10">
        <f t="shared" si="1"/>
        <v>0</v>
      </c>
      <c r="C293" s="6">
        <f t="shared" si="2"/>
        <v>84.8</v>
      </c>
      <c r="D293" s="6">
        <f t="shared" si="3"/>
        <v>14.446202</v>
      </c>
    </row>
    <row r="294">
      <c r="A294" s="4" t="s">
        <v>10745</v>
      </c>
      <c r="B294" s="10">
        <f t="shared" si="1"/>
        <v>0</v>
      </c>
      <c r="C294" s="6">
        <f t="shared" si="2"/>
        <v>84.8</v>
      </c>
      <c r="D294" s="6">
        <f t="shared" si="3"/>
        <v>14.448291</v>
      </c>
    </row>
    <row r="295">
      <c r="A295" s="4" t="s">
        <v>10746</v>
      </c>
      <c r="B295" s="10">
        <f t="shared" si="1"/>
        <v>0</v>
      </c>
      <c r="C295" s="6">
        <f t="shared" si="2"/>
        <v>84.8</v>
      </c>
      <c r="D295" s="6">
        <f t="shared" si="3"/>
        <v>14.446657</v>
      </c>
    </row>
    <row r="296">
      <c r="A296" s="4" t="s">
        <v>10747</v>
      </c>
      <c r="B296" s="10">
        <f t="shared" si="1"/>
        <v>12.5</v>
      </c>
      <c r="C296" s="6">
        <f t="shared" si="2"/>
        <v>84.8</v>
      </c>
      <c r="D296" s="6">
        <f t="shared" si="3"/>
        <v>14.448263</v>
      </c>
    </row>
    <row r="297">
      <c r="A297" s="4" t="s">
        <v>10748</v>
      </c>
      <c r="B297" s="10">
        <f t="shared" si="1"/>
        <v>12.5</v>
      </c>
      <c r="C297" s="6">
        <f t="shared" si="2"/>
        <v>84.8</v>
      </c>
      <c r="D297" s="6">
        <f t="shared" si="3"/>
        <v>14.447554</v>
      </c>
    </row>
    <row r="298">
      <c r="A298" s="4" t="s">
        <v>10749</v>
      </c>
      <c r="B298" s="10">
        <f t="shared" si="1"/>
        <v>0</v>
      </c>
      <c r="C298" s="6">
        <f t="shared" si="2"/>
        <v>84.8</v>
      </c>
      <c r="D298" s="6">
        <f t="shared" si="3"/>
        <v>14.445228</v>
      </c>
    </row>
    <row r="299">
      <c r="A299" s="4" t="s">
        <v>10750</v>
      </c>
      <c r="B299" s="10">
        <f t="shared" si="1"/>
        <v>100</v>
      </c>
      <c r="C299" s="6">
        <f t="shared" si="2"/>
        <v>84.8</v>
      </c>
      <c r="D299" s="6">
        <f t="shared" si="3"/>
        <v>14.443589</v>
      </c>
    </row>
    <row r="300">
      <c r="A300" s="4" t="s">
        <v>10751</v>
      </c>
      <c r="B300" s="10">
        <f t="shared" si="1"/>
        <v>0</v>
      </c>
      <c r="C300" s="6">
        <f t="shared" si="2"/>
        <v>84.8</v>
      </c>
      <c r="D300" s="6">
        <f t="shared" si="3"/>
        <v>14.446342</v>
      </c>
    </row>
    <row r="301">
      <c r="A301" s="4" t="s">
        <v>10752</v>
      </c>
      <c r="B301" s="10">
        <f t="shared" si="1"/>
        <v>0</v>
      </c>
      <c r="C301" s="6">
        <f t="shared" si="2"/>
        <v>86.1</v>
      </c>
      <c r="D301" s="6">
        <f t="shared" si="3"/>
        <v>14.676283</v>
      </c>
    </row>
    <row r="302">
      <c r="A302" s="4" t="s">
        <v>10753</v>
      </c>
      <c r="B302" s="10">
        <f t="shared" si="1"/>
        <v>0</v>
      </c>
      <c r="C302" s="6">
        <f t="shared" si="2"/>
        <v>85.7</v>
      </c>
      <c r="D302" s="6">
        <f t="shared" si="3"/>
        <v>14.606946</v>
      </c>
    </row>
    <row r="303">
      <c r="A303" s="4" t="s">
        <v>10754</v>
      </c>
      <c r="B303" s="10">
        <f t="shared" si="1"/>
        <v>0</v>
      </c>
      <c r="C303" s="6">
        <f t="shared" si="2"/>
        <v>85.1</v>
      </c>
      <c r="D303" s="6">
        <f t="shared" si="3"/>
        <v>14.507188</v>
      </c>
    </row>
    <row r="304">
      <c r="A304" s="4" t="s">
        <v>10755</v>
      </c>
      <c r="B304" s="10">
        <f t="shared" si="1"/>
        <v>0</v>
      </c>
      <c r="C304" s="6">
        <f t="shared" si="2"/>
        <v>84.8</v>
      </c>
      <c r="D304" s="6">
        <f t="shared" si="3"/>
        <v>14.455558</v>
      </c>
    </row>
    <row r="305">
      <c r="A305" s="4" t="s">
        <v>10756</v>
      </c>
      <c r="B305" s="10">
        <f t="shared" si="1"/>
        <v>0</v>
      </c>
      <c r="C305" s="6">
        <f t="shared" si="2"/>
        <v>84.8</v>
      </c>
      <c r="D305" s="6">
        <f t="shared" si="3"/>
        <v>14.453755</v>
      </c>
    </row>
    <row r="306">
      <c r="A306" s="4" t="s">
        <v>10757</v>
      </c>
      <c r="B306" s="10">
        <f t="shared" si="1"/>
        <v>0</v>
      </c>
      <c r="C306" s="6">
        <f t="shared" si="2"/>
        <v>84.8</v>
      </c>
      <c r="D306" s="6">
        <f t="shared" si="3"/>
        <v>14.455037</v>
      </c>
    </row>
    <row r="307">
      <c r="A307" s="4" t="s">
        <v>10758</v>
      </c>
      <c r="B307" s="10">
        <f t="shared" si="1"/>
        <v>0</v>
      </c>
      <c r="C307" s="6">
        <f t="shared" si="2"/>
        <v>84.8</v>
      </c>
      <c r="D307" s="6">
        <f t="shared" si="3"/>
        <v>14.453444</v>
      </c>
    </row>
    <row r="308">
      <c r="A308" s="4" t="s">
        <v>10759</v>
      </c>
      <c r="B308" s="10">
        <f t="shared" si="1"/>
        <v>0</v>
      </c>
      <c r="C308" s="6">
        <f t="shared" si="2"/>
        <v>85.7</v>
      </c>
      <c r="D308" s="6">
        <f t="shared" si="3"/>
        <v>14.597959</v>
      </c>
    </row>
    <row r="309">
      <c r="A309" s="4" t="s">
        <v>10760</v>
      </c>
      <c r="B309" s="10">
        <f t="shared" si="1"/>
        <v>0</v>
      </c>
      <c r="C309" s="6">
        <f t="shared" si="2"/>
        <v>86</v>
      </c>
      <c r="D309" s="6">
        <f t="shared" si="3"/>
        <v>14.654513</v>
      </c>
    </row>
    <row r="310">
      <c r="A310" s="4" t="s">
        <v>10761</v>
      </c>
      <c r="B310" s="10">
        <f t="shared" si="1"/>
        <v>25</v>
      </c>
      <c r="C310" s="6">
        <f t="shared" si="2"/>
        <v>85.3</v>
      </c>
      <c r="D310" s="6">
        <f t="shared" si="3"/>
        <v>14.527778</v>
      </c>
    </row>
    <row r="311">
      <c r="A311" s="4" t="s">
        <v>10762</v>
      </c>
      <c r="B311" s="10">
        <f t="shared" si="1"/>
        <v>0</v>
      </c>
      <c r="C311" s="6">
        <f t="shared" si="2"/>
        <v>84.8</v>
      </c>
      <c r="D311" s="6">
        <f t="shared" si="3"/>
        <v>14.454153</v>
      </c>
    </row>
    <row r="312">
      <c r="A312" s="4" t="s">
        <v>10763</v>
      </c>
      <c r="B312" s="10">
        <f t="shared" si="1"/>
        <v>0</v>
      </c>
      <c r="C312" s="6">
        <f t="shared" si="2"/>
        <v>84.8</v>
      </c>
      <c r="D312" s="6">
        <f t="shared" si="3"/>
        <v>14.451761</v>
      </c>
    </row>
    <row r="313">
      <c r="A313" s="4" t="s">
        <v>10764</v>
      </c>
      <c r="B313" s="10">
        <f t="shared" si="1"/>
        <v>0</v>
      </c>
      <c r="C313" s="6">
        <f t="shared" si="2"/>
        <v>84.7</v>
      </c>
      <c r="D313" s="6">
        <f t="shared" si="3"/>
        <v>14.439034</v>
      </c>
    </row>
    <row r="314">
      <c r="A314" s="4" t="s">
        <v>10765</v>
      </c>
      <c r="B314" s="10">
        <f t="shared" si="1"/>
        <v>0</v>
      </c>
      <c r="C314" s="6">
        <f t="shared" si="2"/>
        <v>84.7</v>
      </c>
      <c r="D314" s="6">
        <f t="shared" si="3"/>
        <v>14.437974</v>
      </c>
    </row>
    <row r="315">
      <c r="A315" s="4" t="s">
        <v>10766</v>
      </c>
      <c r="B315" s="10">
        <f t="shared" si="1"/>
        <v>0</v>
      </c>
      <c r="C315" s="6">
        <f t="shared" si="2"/>
        <v>84.7</v>
      </c>
      <c r="D315" s="6">
        <f t="shared" si="3"/>
        <v>14.438699</v>
      </c>
    </row>
    <row r="316">
      <c r="A316" s="4" t="s">
        <v>10767</v>
      </c>
      <c r="B316" s="10">
        <f t="shared" si="1"/>
        <v>0</v>
      </c>
      <c r="C316" s="6">
        <f t="shared" si="2"/>
        <v>84.7</v>
      </c>
      <c r="D316" s="6">
        <f t="shared" si="3"/>
        <v>14.435983</v>
      </c>
    </row>
    <row r="317">
      <c r="A317" s="4" t="s">
        <v>10768</v>
      </c>
      <c r="B317" s="10">
        <f t="shared" si="1"/>
        <v>0</v>
      </c>
      <c r="C317" s="6">
        <f t="shared" si="2"/>
        <v>84.7</v>
      </c>
      <c r="D317" s="6">
        <f t="shared" si="3"/>
        <v>14.438109</v>
      </c>
    </row>
    <row r="318">
      <c r="A318" s="4" t="s">
        <v>10769</v>
      </c>
      <c r="B318" s="10">
        <f t="shared" si="1"/>
        <v>0</v>
      </c>
      <c r="C318" s="6">
        <f t="shared" si="2"/>
        <v>84.7</v>
      </c>
      <c r="D318" s="6">
        <f t="shared" si="3"/>
        <v>14.437834</v>
      </c>
    </row>
    <row r="319">
      <c r="A319" s="4" t="s">
        <v>10770</v>
      </c>
      <c r="B319" s="10">
        <f t="shared" si="1"/>
        <v>7.7</v>
      </c>
      <c r="C319" s="6">
        <f t="shared" si="2"/>
        <v>84.7</v>
      </c>
      <c r="D319" s="6">
        <f t="shared" si="3"/>
        <v>14.433611</v>
      </c>
    </row>
    <row r="320">
      <c r="A320" s="4" t="s">
        <v>10771</v>
      </c>
      <c r="B320" s="10">
        <f t="shared" si="1"/>
        <v>0</v>
      </c>
      <c r="C320" s="6">
        <f t="shared" si="2"/>
        <v>84.7</v>
      </c>
      <c r="D320" s="6">
        <f t="shared" si="3"/>
        <v>14.435233</v>
      </c>
    </row>
    <row r="321">
      <c r="A321" s="4" t="s">
        <v>10772</v>
      </c>
      <c r="B321" s="10">
        <f t="shared" si="1"/>
        <v>0</v>
      </c>
      <c r="C321" s="6">
        <f t="shared" si="2"/>
        <v>84.7</v>
      </c>
      <c r="D321" s="6">
        <f t="shared" si="3"/>
        <v>14.433005</v>
      </c>
    </row>
    <row r="322">
      <c r="A322" s="4" t="s">
        <v>10773</v>
      </c>
      <c r="B322" s="10">
        <f t="shared" si="1"/>
        <v>0</v>
      </c>
      <c r="C322" s="6">
        <f t="shared" si="2"/>
        <v>84.7</v>
      </c>
      <c r="D322" s="6">
        <f t="shared" si="3"/>
        <v>14.4355</v>
      </c>
    </row>
    <row r="323">
      <c r="A323" s="4" t="s">
        <v>10774</v>
      </c>
      <c r="B323" s="10">
        <f t="shared" si="1"/>
        <v>0</v>
      </c>
      <c r="C323" s="6">
        <f t="shared" si="2"/>
        <v>84.7</v>
      </c>
      <c r="D323" s="6">
        <f t="shared" si="3"/>
        <v>14.434463</v>
      </c>
    </row>
    <row r="324">
      <c r="A324" s="4" t="s">
        <v>10775</v>
      </c>
      <c r="B324" s="10">
        <f t="shared" si="1"/>
        <v>0</v>
      </c>
      <c r="C324" s="6">
        <f t="shared" si="2"/>
        <v>84.7</v>
      </c>
      <c r="D324" s="6">
        <f t="shared" si="3"/>
        <v>14.431457</v>
      </c>
    </row>
    <row r="325">
      <c r="A325" s="4" t="s">
        <v>10776</v>
      </c>
      <c r="B325" s="10">
        <f t="shared" si="1"/>
        <v>0</v>
      </c>
      <c r="C325" s="6">
        <f t="shared" si="2"/>
        <v>84.7</v>
      </c>
      <c r="D325" s="6">
        <f t="shared" si="3"/>
        <v>14.430588</v>
      </c>
    </row>
    <row r="326">
      <c r="A326" s="4" t="s">
        <v>10777</v>
      </c>
      <c r="B326" s="10">
        <f t="shared" si="1"/>
        <v>0</v>
      </c>
      <c r="C326" s="6">
        <f t="shared" si="2"/>
        <v>84.7</v>
      </c>
      <c r="D326" s="6">
        <f t="shared" si="3"/>
        <v>14.431084</v>
      </c>
    </row>
    <row r="327">
      <c r="A327" s="4" t="s">
        <v>10778</v>
      </c>
      <c r="B327" s="10">
        <f t="shared" si="1"/>
        <v>14.3</v>
      </c>
      <c r="C327" s="6">
        <f t="shared" si="2"/>
        <v>84.7</v>
      </c>
      <c r="D327" s="6">
        <f t="shared" si="3"/>
        <v>14.427176</v>
      </c>
    </row>
    <row r="328">
      <c r="A328" s="4" t="s">
        <v>10779</v>
      </c>
      <c r="B328" s="10">
        <f t="shared" si="1"/>
        <v>0</v>
      </c>
      <c r="C328" s="6">
        <f t="shared" si="2"/>
        <v>84.7</v>
      </c>
      <c r="D328" s="6">
        <f t="shared" si="3"/>
        <v>14.433009</v>
      </c>
    </row>
    <row r="329">
      <c r="A329" s="4" t="s">
        <v>10780</v>
      </c>
      <c r="B329" s="10">
        <f t="shared" si="1"/>
        <v>100</v>
      </c>
      <c r="C329" s="6">
        <f t="shared" si="2"/>
        <v>84.7</v>
      </c>
      <c r="D329" s="6">
        <f t="shared" si="3"/>
        <v>14.430453</v>
      </c>
    </row>
    <row r="330">
      <c r="A330" s="4" t="s">
        <v>10781</v>
      </c>
      <c r="B330" s="10">
        <f t="shared" si="1"/>
        <v>0</v>
      </c>
      <c r="C330" s="6">
        <f t="shared" si="2"/>
        <v>86.9</v>
      </c>
      <c r="D330" s="6">
        <f t="shared" si="3"/>
        <v>14.804074</v>
      </c>
    </row>
    <row r="331">
      <c r="A331" s="4" t="s">
        <v>10782</v>
      </c>
      <c r="B331" s="10">
        <f t="shared" si="1"/>
        <v>0</v>
      </c>
      <c r="C331" s="6">
        <f t="shared" si="2"/>
        <v>84.8</v>
      </c>
      <c r="D331" s="6">
        <f t="shared" si="3"/>
        <v>14.445264</v>
      </c>
    </row>
    <row r="332">
      <c r="A332" s="4" t="s">
        <v>10783</v>
      </c>
      <c r="B332" s="10">
        <f t="shared" si="1"/>
        <v>0</v>
      </c>
      <c r="C332" s="6">
        <f t="shared" si="2"/>
        <v>84.8</v>
      </c>
      <c r="D332" s="6">
        <f t="shared" si="3"/>
        <v>14.445846</v>
      </c>
    </row>
    <row r="333">
      <c r="A333" s="4" t="s">
        <v>10784</v>
      </c>
      <c r="B333" s="10">
        <f t="shared" si="1"/>
        <v>0</v>
      </c>
      <c r="C333" s="6">
        <f t="shared" si="2"/>
        <v>84.8</v>
      </c>
      <c r="D333" s="6">
        <f t="shared" si="3"/>
        <v>14.445232</v>
      </c>
    </row>
    <row r="334">
      <c r="A334" s="4" t="s">
        <v>10785</v>
      </c>
      <c r="B334" s="10">
        <f t="shared" si="1"/>
        <v>0</v>
      </c>
      <c r="C334" s="6">
        <f t="shared" si="2"/>
        <v>86.1</v>
      </c>
      <c r="D334" s="6">
        <f t="shared" si="3"/>
        <v>14.676398</v>
      </c>
    </row>
    <row r="335">
      <c r="A335" s="4" t="s">
        <v>10786</v>
      </c>
      <c r="B335" s="10">
        <f t="shared" si="1"/>
        <v>0</v>
      </c>
      <c r="C335" s="6">
        <f t="shared" si="2"/>
        <v>84.8</v>
      </c>
      <c r="D335" s="6">
        <f t="shared" si="3"/>
        <v>14.455672</v>
      </c>
    </row>
    <row r="336">
      <c r="A336" s="4" t="s">
        <v>10787</v>
      </c>
      <c r="B336" s="10">
        <f t="shared" si="1"/>
        <v>0</v>
      </c>
      <c r="C336" s="6">
        <f t="shared" si="2"/>
        <v>84.8</v>
      </c>
      <c r="D336" s="6">
        <f t="shared" si="3"/>
        <v>14.44748</v>
      </c>
    </row>
    <row r="337">
      <c r="A337" s="4" t="s">
        <v>10788</v>
      </c>
      <c r="B337" s="10">
        <f t="shared" si="1"/>
        <v>0</v>
      </c>
      <c r="C337" s="6">
        <f t="shared" si="2"/>
        <v>84.8</v>
      </c>
      <c r="D337" s="6">
        <f t="shared" si="3"/>
        <v>14.446465</v>
      </c>
    </row>
    <row r="338">
      <c r="A338" s="4" t="s">
        <v>10789</v>
      </c>
      <c r="B338" s="10">
        <f t="shared" si="1"/>
        <v>0</v>
      </c>
      <c r="C338" s="6">
        <f t="shared" si="2"/>
        <v>84.7</v>
      </c>
      <c r="D338" s="6">
        <f t="shared" si="3"/>
        <v>14.435311</v>
      </c>
    </row>
    <row r="339">
      <c r="A339" s="4" t="s">
        <v>10790</v>
      </c>
      <c r="B339" s="10">
        <f t="shared" si="1"/>
        <v>0</v>
      </c>
      <c r="C339" s="6">
        <f t="shared" si="2"/>
        <v>84.7</v>
      </c>
      <c r="D339" s="6">
        <f t="shared" si="3"/>
        <v>14.433181</v>
      </c>
    </row>
    <row r="340">
      <c r="A340" s="4" t="s">
        <v>10791</v>
      </c>
      <c r="B340" s="10">
        <f t="shared" si="1"/>
        <v>0</v>
      </c>
      <c r="C340" s="6">
        <f t="shared" si="2"/>
        <v>84.7</v>
      </c>
      <c r="D340" s="6">
        <f t="shared" si="3"/>
        <v>14.436052</v>
      </c>
    </row>
    <row r="341">
      <c r="A341" s="4" t="s">
        <v>10792</v>
      </c>
      <c r="B341" s="10">
        <f t="shared" si="1"/>
        <v>16.7</v>
      </c>
      <c r="C341" s="6">
        <f t="shared" si="2"/>
        <v>84.7</v>
      </c>
      <c r="D341" s="6">
        <f t="shared" si="3"/>
        <v>14.435758</v>
      </c>
    </row>
    <row r="342">
      <c r="A342" s="4" t="s">
        <v>10793</v>
      </c>
      <c r="B342" s="10">
        <f t="shared" si="1"/>
        <v>0</v>
      </c>
      <c r="C342" s="6">
        <f t="shared" si="2"/>
        <v>84.7</v>
      </c>
      <c r="D342" s="6">
        <f t="shared" si="3"/>
        <v>14.430789</v>
      </c>
    </row>
    <row r="343">
      <c r="A343" s="4" t="s">
        <v>10794</v>
      </c>
      <c r="B343" s="10">
        <f t="shared" si="1"/>
        <v>0</v>
      </c>
      <c r="C343" s="6">
        <f t="shared" si="2"/>
        <v>84.7</v>
      </c>
      <c r="D343" s="6">
        <f t="shared" si="3"/>
        <v>14.437597</v>
      </c>
    </row>
    <row r="344">
      <c r="A344" s="4" t="s">
        <v>10795</v>
      </c>
      <c r="B344" s="10">
        <f t="shared" si="1"/>
        <v>0</v>
      </c>
      <c r="C344" s="6">
        <f t="shared" si="2"/>
        <v>84.7</v>
      </c>
      <c r="D344" s="6">
        <f t="shared" si="3"/>
        <v>14.433636</v>
      </c>
    </row>
    <row r="345">
      <c r="A345" s="4" t="s">
        <v>10796</v>
      </c>
      <c r="B345" s="10">
        <f t="shared" si="1"/>
        <v>0</v>
      </c>
      <c r="C345" s="6">
        <f t="shared" si="2"/>
        <v>84.7</v>
      </c>
      <c r="D345" s="6">
        <f t="shared" si="3"/>
        <v>14.43457</v>
      </c>
    </row>
    <row r="346">
      <c r="A346" s="4" t="s">
        <v>10797</v>
      </c>
      <c r="B346" s="10">
        <f t="shared" si="1"/>
        <v>0</v>
      </c>
      <c r="C346" s="6">
        <f t="shared" si="2"/>
        <v>84.7</v>
      </c>
      <c r="D346" s="6">
        <f t="shared" si="3"/>
        <v>14.437433</v>
      </c>
    </row>
    <row r="347">
      <c r="A347" s="4" t="s">
        <v>10798</v>
      </c>
      <c r="B347" s="10">
        <f t="shared" si="1"/>
        <v>0</v>
      </c>
      <c r="C347" s="6">
        <f t="shared" si="2"/>
        <v>84.7</v>
      </c>
      <c r="D347" s="6">
        <f t="shared" si="3"/>
        <v>14.436278</v>
      </c>
    </row>
    <row r="348">
      <c r="A348" s="4" t="s">
        <v>10799</v>
      </c>
      <c r="B348" s="10">
        <f t="shared" si="1"/>
        <v>14.3</v>
      </c>
      <c r="C348" s="6">
        <f t="shared" si="2"/>
        <v>84.7</v>
      </c>
      <c r="D348" s="6">
        <f t="shared" si="3"/>
        <v>14.432808</v>
      </c>
    </row>
    <row r="349">
      <c r="A349" s="4" t="s">
        <v>10800</v>
      </c>
      <c r="B349" s="10">
        <f t="shared" si="1"/>
        <v>0</v>
      </c>
      <c r="C349" s="6">
        <f t="shared" si="2"/>
        <v>84.7</v>
      </c>
      <c r="D349" s="6">
        <f t="shared" si="3"/>
        <v>14.435692</v>
      </c>
    </row>
    <row r="350">
      <c r="A350" s="4" t="s">
        <v>10801</v>
      </c>
      <c r="B350" s="10">
        <f t="shared" si="1"/>
        <v>0</v>
      </c>
      <c r="C350" s="6">
        <f t="shared" si="2"/>
        <v>84.7</v>
      </c>
      <c r="D350" s="6">
        <f t="shared" si="3"/>
        <v>14.437642</v>
      </c>
    </row>
    <row r="351">
      <c r="A351" s="4" t="s">
        <v>10741</v>
      </c>
      <c r="B351" s="10">
        <f t="shared" si="1"/>
        <v>0</v>
      </c>
      <c r="C351" s="6">
        <f t="shared" si="2"/>
        <v>84.8</v>
      </c>
      <c r="D351" s="6">
        <f t="shared" si="3"/>
        <v>14.445109</v>
      </c>
    </row>
    <row r="352">
      <c r="A352" s="4" t="s">
        <v>10802</v>
      </c>
      <c r="B352" s="10">
        <f t="shared" si="1"/>
        <v>0</v>
      </c>
      <c r="C352" s="6">
        <f t="shared" si="2"/>
        <v>84.7</v>
      </c>
      <c r="D352" s="6">
        <f t="shared" si="3"/>
        <v>14.436474</v>
      </c>
    </row>
    <row r="353">
      <c r="A353" s="4" t="s">
        <v>10803</v>
      </c>
      <c r="B353" s="10">
        <f t="shared" si="1"/>
        <v>0</v>
      </c>
      <c r="C353" s="6">
        <f t="shared" si="2"/>
        <v>84.7</v>
      </c>
      <c r="D353" s="6">
        <f t="shared" si="3"/>
        <v>14.428983</v>
      </c>
    </row>
    <row r="354">
      <c r="A354" s="4" t="s">
        <v>10804</v>
      </c>
      <c r="B354" s="10">
        <f t="shared" si="1"/>
        <v>0</v>
      </c>
      <c r="C354" s="6">
        <f t="shared" si="2"/>
        <v>84.8</v>
      </c>
      <c r="D354" s="6">
        <f t="shared" si="3"/>
        <v>14.446772</v>
      </c>
    </row>
    <row r="355">
      <c r="A355" s="4" t="s">
        <v>10805</v>
      </c>
      <c r="B355" s="10">
        <f t="shared" si="1"/>
        <v>0</v>
      </c>
      <c r="C355" s="6">
        <f t="shared" si="2"/>
        <v>84.7</v>
      </c>
      <c r="D355" s="6">
        <f t="shared" si="3"/>
        <v>14.437376</v>
      </c>
    </row>
    <row r="356">
      <c r="A356" s="4" t="s">
        <v>10806</v>
      </c>
      <c r="B356" s="10">
        <f t="shared" si="1"/>
        <v>0</v>
      </c>
      <c r="C356" s="6">
        <f t="shared" si="2"/>
        <v>84.7</v>
      </c>
      <c r="D356" s="6">
        <f t="shared" si="3"/>
        <v>14.438395</v>
      </c>
    </row>
    <row r="357">
      <c r="A357" s="4" t="s">
        <v>10807</v>
      </c>
      <c r="B357" s="10">
        <f t="shared" si="1"/>
        <v>0</v>
      </c>
      <c r="C357" s="6">
        <f t="shared" si="2"/>
        <v>84.7</v>
      </c>
      <c r="D357" s="6">
        <f t="shared" si="3"/>
        <v>14.437048</v>
      </c>
    </row>
    <row r="358">
      <c r="A358" s="4" t="s">
        <v>10808</v>
      </c>
      <c r="B358" s="10">
        <f t="shared" si="1"/>
        <v>0</v>
      </c>
      <c r="C358" s="6">
        <f t="shared" si="2"/>
        <v>86.6</v>
      </c>
      <c r="D358" s="6">
        <f t="shared" si="3"/>
        <v>14.758608</v>
      </c>
    </row>
    <row r="359">
      <c r="A359" s="4" t="s">
        <v>10809</v>
      </c>
      <c r="B359" s="10">
        <f t="shared" si="1"/>
        <v>0</v>
      </c>
      <c r="C359" s="6">
        <f t="shared" si="2"/>
        <v>86</v>
      </c>
      <c r="D359" s="6">
        <f t="shared" si="3"/>
        <v>14.663778</v>
      </c>
    </row>
    <row r="360">
      <c r="A360" s="4" t="s">
        <v>10810</v>
      </c>
      <c r="B360" s="10">
        <f t="shared" si="1"/>
        <v>0</v>
      </c>
      <c r="C360" s="6">
        <f t="shared" si="2"/>
        <v>86.7</v>
      </c>
      <c r="D360" s="6">
        <f t="shared" si="3"/>
        <v>14.774235</v>
      </c>
    </row>
    <row r="361">
      <c r="A361" s="4" t="s">
        <v>10811</v>
      </c>
      <c r="B361" s="10">
        <f t="shared" si="1"/>
        <v>14.3</v>
      </c>
      <c r="C361" s="6">
        <f t="shared" si="2"/>
        <v>84.7</v>
      </c>
      <c r="D361" s="6">
        <f t="shared" si="3"/>
        <v>14.437416</v>
      </c>
    </row>
    <row r="362">
      <c r="A362" s="4" t="s">
        <v>10812</v>
      </c>
      <c r="B362" s="10">
        <f t="shared" si="1"/>
        <v>0</v>
      </c>
      <c r="C362" s="6">
        <f t="shared" si="2"/>
        <v>84.7</v>
      </c>
      <c r="D362" s="6">
        <f t="shared" si="3"/>
        <v>14.442233</v>
      </c>
    </row>
    <row r="363">
      <c r="A363" s="4" t="s">
        <v>10813</v>
      </c>
      <c r="B363" s="10">
        <f t="shared" si="1"/>
        <v>0</v>
      </c>
      <c r="C363" s="6">
        <f t="shared" si="2"/>
        <v>84.7</v>
      </c>
      <c r="D363" s="6">
        <f t="shared" si="3"/>
        <v>14.442299</v>
      </c>
    </row>
    <row r="364">
      <c r="A364" s="4" t="s">
        <v>10814</v>
      </c>
      <c r="B364" s="10">
        <f t="shared" si="1"/>
        <v>0</v>
      </c>
      <c r="C364" s="6">
        <f t="shared" si="2"/>
        <v>84.8</v>
      </c>
      <c r="D364" s="6">
        <f t="shared" si="3"/>
        <v>14.443048</v>
      </c>
    </row>
    <row r="365">
      <c r="A365" s="4" t="s">
        <v>10815</v>
      </c>
      <c r="B365" s="10">
        <f t="shared" si="1"/>
        <v>0</v>
      </c>
      <c r="C365" s="6">
        <f t="shared" si="2"/>
        <v>84.8</v>
      </c>
      <c r="D365" s="6">
        <f t="shared" si="3"/>
        <v>14.444048</v>
      </c>
    </row>
    <row r="366">
      <c r="A366" s="4" t="s">
        <v>10816</v>
      </c>
      <c r="B366" s="10">
        <f t="shared" si="1"/>
        <v>0</v>
      </c>
      <c r="C366" s="6">
        <f t="shared" si="2"/>
        <v>84.8</v>
      </c>
      <c r="D366" s="6">
        <f t="shared" si="3"/>
        <v>14.444093</v>
      </c>
    </row>
    <row r="367">
      <c r="A367" s="4" t="s">
        <v>10817</v>
      </c>
      <c r="B367" s="10">
        <f t="shared" si="1"/>
        <v>0</v>
      </c>
      <c r="C367" s="6">
        <f t="shared" si="2"/>
        <v>84.7</v>
      </c>
      <c r="D367" s="6">
        <f t="shared" si="3"/>
        <v>14.442373</v>
      </c>
    </row>
    <row r="368">
      <c r="A368" s="4" t="s">
        <v>10818</v>
      </c>
      <c r="B368" s="10">
        <f t="shared" si="1"/>
        <v>0</v>
      </c>
      <c r="C368" s="6">
        <f t="shared" si="2"/>
        <v>84.7</v>
      </c>
      <c r="D368" s="6">
        <f t="shared" si="3"/>
        <v>14.439215</v>
      </c>
    </row>
    <row r="369">
      <c r="A369" s="4" t="s">
        <v>10819</v>
      </c>
      <c r="B369" s="10">
        <f t="shared" si="1"/>
        <v>50</v>
      </c>
      <c r="C369" s="6">
        <f t="shared" si="2"/>
        <v>84.7</v>
      </c>
      <c r="D369" s="6">
        <f t="shared" si="3"/>
        <v>14.433566</v>
      </c>
    </row>
    <row r="370">
      <c r="A370" s="4" t="s">
        <v>10820</v>
      </c>
      <c r="B370" s="10">
        <f t="shared" si="1"/>
        <v>100</v>
      </c>
      <c r="C370" s="6">
        <f t="shared" si="2"/>
        <v>84.7</v>
      </c>
      <c r="D370" s="6">
        <f t="shared" si="3"/>
        <v>14.437212</v>
      </c>
    </row>
    <row r="371">
      <c r="A371" s="4" t="s">
        <v>10821</v>
      </c>
      <c r="B371" s="10">
        <f t="shared" si="1"/>
        <v>0</v>
      </c>
      <c r="C371" s="6">
        <f t="shared" si="2"/>
        <v>84.7</v>
      </c>
      <c r="D371" s="6">
        <f t="shared" si="3"/>
        <v>14.43885</v>
      </c>
    </row>
    <row r="372">
      <c r="A372" s="4" t="s">
        <v>10822</v>
      </c>
      <c r="B372" s="10">
        <f t="shared" si="1"/>
        <v>0</v>
      </c>
      <c r="C372" s="6">
        <f t="shared" si="2"/>
        <v>84.7</v>
      </c>
      <c r="D372" s="6">
        <f t="shared" si="3"/>
        <v>14.433378</v>
      </c>
    </row>
    <row r="373">
      <c r="A373" s="4" t="s">
        <v>10823</v>
      </c>
      <c r="B373" s="10">
        <f t="shared" si="1"/>
        <v>0</v>
      </c>
      <c r="C373" s="6">
        <f t="shared" si="2"/>
        <v>84.7</v>
      </c>
      <c r="D373" s="6">
        <f t="shared" si="3"/>
        <v>14.441897</v>
      </c>
    </row>
    <row r="374">
      <c r="A374" s="4" t="s">
        <v>10824</v>
      </c>
      <c r="B374" s="10">
        <f t="shared" si="1"/>
        <v>0</v>
      </c>
      <c r="C374" s="6">
        <f t="shared" si="2"/>
        <v>84.7</v>
      </c>
      <c r="D374" s="6">
        <f t="shared" si="3"/>
        <v>14.441943</v>
      </c>
    </row>
    <row r="375">
      <c r="A375" s="4" t="s">
        <v>10825</v>
      </c>
      <c r="B375" s="10">
        <f t="shared" si="1"/>
        <v>0</v>
      </c>
      <c r="C375" s="6">
        <f t="shared" si="2"/>
        <v>84.7</v>
      </c>
      <c r="D375" s="6">
        <f t="shared" si="3"/>
        <v>14.434652</v>
      </c>
    </row>
    <row r="376">
      <c r="A376" s="4" t="s">
        <v>10826</v>
      </c>
      <c r="B376" s="10">
        <f t="shared" si="1"/>
        <v>0</v>
      </c>
      <c r="C376" s="6">
        <f t="shared" si="2"/>
        <v>84.7</v>
      </c>
      <c r="D376" s="6">
        <f t="shared" si="3"/>
        <v>14.432628</v>
      </c>
    </row>
    <row r="377">
      <c r="A377" s="4" t="s">
        <v>10827</v>
      </c>
      <c r="B377" s="10">
        <f t="shared" si="1"/>
        <v>0</v>
      </c>
      <c r="C377" s="6">
        <f t="shared" si="2"/>
        <v>84.7</v>
      </c>
      <c r="D377" s="6">
        <f t="shared" si="3"/>
        <v>14.436134</v>
      </c>
    </row>
    <row r="378">
      <c r="A378" s="4" t="s">
        <v>10828</v>
      </c>
      <c r="B378" s="10">
        <f t="shared" si="1"/>
        <v>0</v>
      </c>
      <c r="C378" s="6">
        <f t="shared" si="2"/>
        <v>84.7</v>
      </c>
      <c r="D378" s="6">
        <f t="shared" si="3"/>
        <v>14.433935</v>
      </c>
    </row>
    <row r="379">
      <c r="A379" s="4" t="s">
        <v>10829</v>
      </c>
      <c r="B379" s="10">
        <f t="shared" si="1"/>
        <v>0</v>
      </c>
      <c r="C379" s="6">
        <f t="shared" si="2"/>
        <v>84.7</v>
      </c>
      <c r="D379" s="6">
        <f t="shared" si="3"/>
        <v>14.433423</v>
      </c>
    </row>
    <row r="380">
      <c r="A380" s="4" t="s">
        <v>10830</v>
      </c>
      <c r="B380" s="10">
        <f t="shared" si="1"/>
        <v>0</v>
      </c>
      <c r="C380" s="6">
        <f t="shared" si="2"/>
        <v>84.7</v>
      </c>
      <c r="D380" s="6">
        <f t="shared" si="3"/>
        <v>14.429736</v>
      </c>
    </row>
    <row r="381">
      <c r="A381" s="4" t="s">
        <v>10831</v>
      </c>
      <c r="B381" s="10">
        <f t="shared" si="1"/>
        <v>33.3</v>
      </c>
      <c r="C381" s="6">
        <f t="shared" si="2"/>
        <v>84.7</v>
      </c>
      <c r="D381" s="6">
        <f t="shared" si="3"/>
        <v>14.435442</v>
      </c>
    </row>
    <row r="382">
      <c r="A382" s="4" t="s">
        <v>10832</v>
      </c>
      <c r="B382" s="10">
        <f t="shared" si="1"/>
        <v>0</v>
      </c>
      <c r="C382" s="6">
        <f t="shared" si="2"/>
        <v>84.7</v>
      </c>
      <c r="D382" s="6">
        <f t="shared" si="3"/>
        <v>14.433959</v>
      </c>
    </row>
    <row r="383">
      <c r="A383" s="4" t="s">
        <v>10833</v>
      </c>
      <c r="B383" s="10">
        <f t="shared" si="1"/>
        <v>0</v>
      </c>
      <c r="C383" s="6">
        <f t="shared" si="2"/>
        <v>84.7</v>
      </c>
      <c r="D383" s="6">
        <f t="shared" si="3"/>
        <v>14.434471</v>
      </c>
    </row>
    <row r="384">
      <c r="A384" s="4" t="s">
        <v>10834</v>
      </c>
      <c r="B384" s="10">
        <f t="shared" si="1"/>
        <v>0</v>
      </c>
      <c r="C384" s="6">
        <f t="shared" si="2"/>
        <v>84.7</v>
      </c>
      <c r="D384" s="6">
        <f t="shared" si="3"/>
        <v>14.435733</v>
      </c>
    </row>
    <row r="385">
      <c r="A385" s="4" t="s">
        <v>10835</v>
      </c>
      <c r="B385" s="10">
        <f t="shared" si="1"/>
        <v>0</v>
      </c>
      <c r="C385" s="6">
        <f t="shared" si="2"/>
        <v>84.7</v>
      </c>
      <c r="D385" s="6">
        <f t="shared" si="3"/>
        <v>14.435459</v>
      </c>
    </row>
    <row r="386">
      <c r="A386" s="4" t="s">
        <v>10836</v>
      </c>
      <c r="B386" s="10">
        <f t="shared" si="1"/>
        <v>0</v>
      </c>
      <c r="C386" s="6">
        <f t="shared" si="2"/>
        <v>84.7</v>
      </c>
      <c r="D386" s="6">
        <f t="shared" si="3"/>
        <v>14.437179</v>
      </c>
    </row>
    <row r="387">
      <c r="A387" s="4" t="s">
        <v>10837</v>
      </c>
      <c r="B387" s="10">
        <f t="shared" si="1"/>
        <v>0</v>
      </c>
      <c r="C387" s="6">
        <f t="shared" si="2"/>
        <v>86.1</v>
      </c>
      <c r="D387" s="6">
        <f t="shared" si="3"/>
        <v>14.666141</v>
      </c>
    </row>
    <row r="388">
      <c r="A388" s="4" t="s">
        <v>10838</v>
      </c>
      <c r="B388" s="10">
        <f t="shared" si="1"/>
        <v>0</v>
      </c>
      <c r="C388" s="6">
        <f t="shared" si="2"/>
        <v>84.7</v>
      </c>
      <c r="D388" s="6">
        <f t="shared" si="3"/>
        <v>14.436442</v>
      </c>
    </row>
    <row r="389">
      <c r="A389" s="4" t="s">
        <v>10839</v>
      </c>
      <c r="B389" s="10">
        <f t="shared" si="1"/>
        <v>0</v>
      </c>
      <c r="C389" s="6">
        <f t="shared" si="2"/>
        <v>84.7</v>
      </c>
      <c r="D389" s="6">
        <f t="shared" si="3"/>
        <v>14.434709</v>
      </c>
    </row>
    <row r="390">
      <c r="A390" s="4" t="s">
        <v>10840</v>
      </c>
      <c r="B390" s="10">
        <f t="shared" si="1"/>
        <v>0</v>
      </c>
      <c r="C390" s="6">
        <f t="shared" si="2"/>
        <v>84.7</v>
      </c>
      <c r="D390" s="6">
        <f t="shared" si="3"/>
        <v>14.434779</v>
      </c>
    </row>
    <row r="391">
      <c r="A391" s="4" t="s">
        <v>10841</v>
      </c>
      <c r="B391" s="10">
        <f t="shared" si="1"/>
        <v>0</v>
      </c>
      <c r="C391" s="6">
        <f t="shared" si="2"/>
        <v>84.7</v>
      </c>
      <c r="D391" s="6">
        <f t="shared" si="3"/>
        <v>14.435315</v>
      </c>
    </row>
    <row r="392">
      <c r="A392" s="4" t="s">
        <v>10842</v>
      </c>
      <c r="B392" s="10">
        <f t="shared" si="1"/>
        <v>0</v>
      </c>
      <c r="C392" s="6">
        <f t="shared" si="2"/>
        <v>84.7</v>
      </c>
      <c r="D392" s="6">
        <f t="shared" si="3"/>
        <v>14.437314</v>
      </c>
    </row>
    <row r="393">
      <c r="A393" s="4" t="s">
        <v>10843</v>
      </c>
      <c r="B393" s="10">
        <f t="shared" si="1"/>
        <v>0</v>
      </c>
      <c r="C393" s="6">
        <f t="shared" si="2"/>
        <v>84.7</v>
      </c>
      <c r="D393" s="6">
        <f t="shared" si="3"/>
        <v>14.432948</v>
      </c>
    </row>
    <row r="394">
      <c r="A394" s="4" t="s">
        <v>10791</v>
      </c>
      <c r="B394" s="10">
        <f t="shared" si="1"/>
        <v>0</v>
      </c>
      <c r="C394" s="6">
        <f t="shared" si="2"/>
        <v>84.7</v>
      </c>
      <c r="D394" s="6">
        <f t="shared" si="3"/>
        <v>14.436052</v>
      </c>
    </row>
    <row r="395">
      <c r="A395" s="4" t="s">
        <v>10844</v>
      </c>
      <c r="B395" s="10">
        <f t="shared" si="1"/>
        <v>0</v>
      </c>
      <c r="C395" s="6">
        <f t="shared" si="2"/>
        <v>84.8</v>
      </c>
      <c r="D395" s="6">
        <f t="shared" si="3"/>
        <v>14.444199</v>
      </c>
    </row>
    <row r="396">
      <c r="A396" s="4" t="s">
        <v>10845</v>
      </c>
      <c r="B396" s="10">
        <f t="shared" si="1"/>
        <v>0</v>
      </c>
      <c r="C396" s="6">
        <f t="shared" si="2"/>
        <v>84.7</v>
      </c>
      <c r="D396" s="6">
        <f t="shared" si="3"/>
        <v>14.438273</v>
      </c>
    </row>
    <row r="397">
      <c r="A397" s="4" t="s">
        <v>10846</v>
      </c>
      <c r="B397" s="10">
        <f t="shared" si="1"/>
        <v>0</v>
      </c>
      <c r="C397" s="6">
        <f t="shared" si="2"/>
        <v>84.7</v>
      </c>
      <c r="D397" s="6">
        <f t="shared" si="3"/>
        <v>14.435033</v>
      </c>
    </row>
    <row r="398">
      <c r="A398" s="4" t="s">
        <v>10847</v>
      </c>
      <c r="B398" s="10">
        <f t="shared" si="1"/>
        <v>0</v>
      </c>
      <c r="C398" s="6">
        <f t="shared" si="2"/>
        <v>84.7</v>
      </c>
      <c r="D398" s="6">
        <f t="shared" si="3"/>
        <v>14.433488</v>
      </c>
    </row>
    <row r="399">
      <c r="A399" s="4" t="s">
        <v>10848</v>
      </c>
      <c r="B399" s="10">
        <f t="shared" si="1"/>
        <v>10</v>
      </c>
      <c r="C399" s="6">
        <f t="shared" si="2"/>
        <v>84.7</v>
      </c>
      <c r="D399" s="6">
        <f t="shared" si="3"/>
        <v>14.43568</v>
      </c>
    </row>
    <row r="400">
      <c r="A400" s="4" t="s">
        <v>10849</v>
      </c>
      <c r="B400" s="10">
        <f t="shared" si="1"/>
        <v>0</v>
      </c>
      <c r="C400" s="6">
        <f t="shared" si="2"/>
        <v>84.7</v>
      </c>
      <c r="D400" s="6">
        <f t="shared" si="3"/>
        <v>14.431989</v>
      </c>
    </row>
    <row r="401">
      <c r="A401" s="4" t="s">
        <v>10850</v>
      </c>
      <c r="B401" s="10">
        <f t="shared" si="1"/>
        <v>0</v>
      </c>
      <c r="C401" s="6">
        <f t="shared" si="2"/>
        <v>84.7</v>
      </c>
      <c r="D401" s="6">
        <f t="shared" si="3"/>
        <v>14.434811</v>
      </c>
    </row>
    <row r="402">
      <c r="A402" s="4" t="s">
        <v>10851</v>
      </c>
      <c r="B402" s="10">
        <f t="shared" si="1"/>
        <v>0</v>
      </c>
      <c r="C402" s="6">
        <f t="shared" si="2"/>
        <v>84.7</v>
      </c>
      <c r="D402" s="6">
        <f t="shared" si="3"/>
        <v>14.429593</v>
      </c>
    </row>
    <row r="403">
      <c r="A403" s="4" t="s">
        <v>10852</v>
      </c>
      <c r="B403" s="10">
        <f t="shared" si="1"/>
        <v>0</v>
      </c>
      <c r="C403" s="6">
        <f t="shared" si="2"/>
        <v>84.7</v>
      </c>
      <c r="D403" s="6">
        <f t="shared" si="3"/>
        <v>14.436986</v>
      </c>
    </row>
    <row r="404">
      <c r="A404" s="4" t="s">
        <v>10853</v>
      </c>
      <c r="B404" s="10">
        <f t="shared" si="1"/>
        <v>0</v>
      </c>
      <c r="C404" s="6">
        <f t="shared" si="2"/>
        <v>84.7</v>
      </c>
      <c r="D404" s="6">
        <f t="shared" si="3"/>
        <v>14.432641</v>
      </c>
    </row>
    <row r="405">
      <c r="A405" s="4" t="s">
        <v>10854</v>
      </c>
      <c r="B405" s="10">
        <f t="shared" si="1"/>
        <v>0</v>
      </c>
      <c r="C405" s="6">
        <f t="shared" si="2"/>
        <v>84.7</v>
      </c>
      <c r="D405" s="6">
        <f t="shared" si="3"/>
        <v>14.435803</v>
      </c>
    </row>
    <row r="406">
      <c r="A406" s="4" t="s">
        <v>10855</v>
      </c>
      <c r="B406" s="10">
        <f t="shared" si="1"/>
        <v>0</v>
      </c>
      <c r="C406" s="6">
        <f t="shared" si="2"/>
        <v>84.7</v>
      </c>
      <c r="D406" s="6">
        <f t="shared" si="3"/>
        <v>14.437011</v>
      </c>
    </row>
    <row r="407">
      <c r="A407" s="4" t="s">
        <v>10856</v>
      </c>
      <c r="B407" s="10">
        <f t="shared" si="1"/>
        <v>0</v>
      </c>
      <c r="C407" s="6">
        <f t="shared" si="2"/>
        <v>84.7</v>
      </c>
      <c r="D407" s="6">
        <f t="shared" si="3"/>
        <v>14.43595</v>
      </c>
    </row>
    <row r="408">
      <c r="A408" s="4" t="s">
        <v>10857</v>
      </c>
      <c r="B408" s="10">
        <f t="shared" si="1"/>
        <v>0</v>
      </c>
      <c r="C408" s="6">
        <f t="shared" si="2"/>
        <v>84.7</v>
      </c>
      <c r="D408" s="6">
        <f t="shared" si="3"/>
        <v>14.436405</v>
      </c>
    </row>
    <row r="409">
      <c r="A409" s="4" t="s">
        <v>10858</v>
      </c>
      <c r="B409" s="10">
        <f t="shared" si="1"/>
        <v>0</v>
      </c>
      <c r="C409" s="6">
        <f t="shared" si="2"/>
        <v>84.6</v>
      </c>
      <c r="D409" s="6">
        <f t="shared" si="3"/>
        <v>14.424162</v>
      </c>
    </row>
    <row r="410">
      <c r="A410" s="4" t="s">
        <v>10859</v>
      </c>
      <c r="B410" s="10">
        <f t="shared" si="1"/>
        <v>0</v>
      </c>
      <c r="C410" s="6">
        <f t="shared" si="2"/>
        <v>86.1</v>
      </c>
      <c r="D410" s="6">
        <f t="shared" si="3"/>
        <v>14.666645</v>
      </c>
    </row>
    <row r="411">
      <c r="A411" s="4" t="s">
        <v>10860</v>
      </c>
      <c r="B411" s="10">
        <f t="shared" si="1"/>
        <v>0</v>
      </c>
      <c r="C411" s="6">
        <f t="shared" si="2"/>
        <v>87</v>
      </c>
      <c r="D411" s="6">
        <f t="shared" si="3"/>
        <v>14.818271</v>
      </c>
    </row>
    <row r="412">
      <c r="A412" s="4" t="s">
        <v>10861</v>
      </c>
      <c r="B412" s="10">
        <f t="shared" si="1"/>
        <v>33.3</v>
      </c>
      <c r="C412" s="6">
        <f t="shared" si="2"/>
        <v>84.7</v>
      </c>
      <c r="D412" s="6">
        <f t="shared" si="3"/>
        <v>14.43253</v>
      </c>
    </row>
    <row r="413">
      <c r="A413" s="4" t="s">
        <v>10862</v>
      </c>
      <c r="B413" s="10">
        <f t="shared" si="1"/>
        <v>0</v>
      </c>
      <c r="C413" s="6">
        <f t="shared" si="2"/>
        <v>84.7</v>
      </c>
      <c r="D413" s="6">
        <f t="shared" si="3"/>
        <v>14.435598</v>
      </c>
    </row>
    <row r="414">
      <c r="A414" s="4" t="s">
        <v>10863</v>
      </c>
      <c r="B414" s="10">
        <f t="shared" si="1"/>
        <v>0</v>
      </c>
      <c r="C414" s="6">
        <f t="shared" si="2"/>
        <v>84.7</v>
      </c>
      <c r="D414" s="6">
        <f t="shared" si="3"/>
        <v>14.435766</v>
      </c>
    </row>
    <row r="415">
      <c r="A415" s="4" t="s">
        <v>10864</v>
      </c>
      <c r="B415" s="10">
        <f t="shared" si="1"/>
        <v>20</v>
      </c>
      <c r="C415" s="6">
        <f t="shared" si="2"/>
        <v>84.7</v>
      </c>
      <c r="D415" s="6">
        <f t="shared" si="3"/>
        <v>14.435053</v>
      </c>
    </row>
    <row r="416">
      <c r="A416" s="4" t="s">
        <v>10865</v>
      </c>
      <c r="B416" s="10">
        <f t="shared" si="1"/>
        <v>0</v>
      </c>
      <c r="C416" s="6">
        <f t="shared" si="2"/>
        <v>84.7</v>
      </c>
      <c r="D416" s="6">
        <f t="shared" si="3"/>
        <v>14.433329</v>
      </c>
    </row>
    <row r="417">
      <c r="A417" s="4" t="s">
        <v>10866</v>
      </c>
      <c r="B417" s="10">
        <f t="shared" si="1"/>
        <v>0</v>
      </c>
      <c r="C417" s="6">
        <f t="shared" si="2"/>
        <v>84.7</v>
      </c>
      <c r="D417" s="6">
        <f t="shared" si="3"/>
        <v>14.432022</v>
      </c>
    </row>
    <row r="418">
      <c r="A418" s="4" t="s">
        <v>10867</v>
      </c>
      <c r="B418" s="10">
        <f t="shared" si="1"/>
        <v>0</v>
      </c>
      <c r="C418" s="6">
        <f t="shared" si="2"/>
        <v>85.4</v>
      </c>
      <c r="D418" s="6">
        <f t="shared" si="3"/>
        <v>14.561046</v>
      </c>
    </row>
    <row r="419">
      <c r="A419" s="4" t="s">
        <v>10868</v>
      </c>
      <c r="B419" s="10">
        <f t="shared" si="1"/>
        <v>0</v>
      </c>
      <c r="C419" s="6">
        <f t="shared" si="2"/>
        <v>86.5</v>
      </c>
      <c r="D419" s="6">
        <f t="shared" si="3"/>
        <v>14.737879</v>
      </c>
    </row>
    <row r="420">
      <c r="A420" s="4" t="s">
        <v>10869</v>
      </c>
      <c r="B420" s="10">
        <f t="shared" si="1"/>
        <v>0</v>
      </c>
      <c r="C420" s="6">
        <f t="shared" si="2"/>
        <v>86.4</v>
      </c>
      <c r="D420" s="6">
        <f t="shared" si="3"/>
        <v>14.724861</v>
      </c>
    </row>
    <row r="421">
      <c r="A421" s="4" t="s">
        <v>10870</v>
      </c>
      <c r="B421" s="10">
        <f t="shared" si="1"/>
        <v>0</v>
      </c>
      <c r="C421" s="6">
        <f t="shared" si="2"/>
        <v>84.7</v>
      </c>
      <c r="D421" s="6">
        <f t="shared" si="3"/>
        <v>14.428205</v>
      </c>
    </row>
    <row r="422">
      <c r="A422" s="4" t="s">
        <v>10871</v>
      </c>
      <c r="B422" s="10">
        <f t="shared" si="1"/>
        <v>0</v>
      </c>
      <c r="C422" s="6">
        <f t="shared" si="2"/>
        <v>84.7</v>
      </c>
      <c r="D422" s="6">
        <f t="shared" si="3"/>
        <v>14.43371</v>
      </c>
    </row>
    <row r="423">
      <c r="A423" s="4" t="s">
        <v>10872</v>
      </c>
      <c r="B423" s="10">
        <f t="shared" si="1"/>
        <v>0</v>
      </c>
      <c r="C423" s="6">
        <f t="shared" si="2"/>
        <v>84.7</v>
      </c>
      <c r="D423" s="6">
        <f t="shared" si="3"/>
        <v>14.433357</v>
      </c>
    </row>
    <row r="424">
      <c r="A424" s="4" t="s">
        <v>10873</v>
      </c>
      <c r="B424" s="10">
        <f t="shared" si="1"/>
        <v>0</v>
      </c>
      <c r="C424" s="6">
        <f t="shared" si="2"/>
        <v>84.7</v>
      </c>
      <c r="D424" s="6">
        <f t="shared" si="3"/>
        <v>14.431883</v>
      </c>
    </row>
    <row r="425">
      <c r="A425" s="4" t="s">
        <v>10874</v>
      </c>
      <c r="B425" s="10">
        <f t="shared" si="1"/>
        <v>0</v>
      </c>
      <c r="C425" s="6">
        <f t="shared" si="2"/>
        <v>84.7</v>
      </c>
      <c r="D425" s="6">
        <f t="shared" si="3"/>
        <v>14.432927</v>
      </c>
    </row>
    <row r="426">
      <c r="A426" s="4" t="s">
        <v>10875</v>
      </c>
      <c r="B426" s="10">
        <f t="shared" si="1"/>
        <v>0</v>
      </c>
      <c r="C426" s="6">
        <f t="shared" si="2"/>
        <v>84.7</v>
      </c>
      <c r="D426" s="6">
        <f t="shared" si="3"/>
        <v>14.431002</v>
      </c>
    </row>
    <row r="427">
      <c r="A427" s="4" t="s">
        <v>10876</v>
      </c>
      <c r="B427" s="10">
        <f t="shared" si="1"/>
        <v>0</v>
      </c>
      <c r="C427" s="6">
        <f t="shared" si="2"/>
        <v>84.7</v>
      </c>
      <c r="D427" s="6">
        <f t="shared" si="3"/>
        <v>14.43672</v>
      </c>
    </row>
    <row r="428">
      <c r="A428" s="4" t="s">
        <v>10877</v>
      </c>
      <c r="B428" s="10">
        <f t="shared" si="1"/>
        <v>0</v>
      </c>
      <c r="C428" s="6">
        <f t="shared" si="2"/>
        <v>84.7</v>
      </c>
      <c r="D428" s="6">
        <f t="shared" si="3"/>
        <v>14.434549</v>
      </c>
    </row>
    <row r="429">
      <c r="A429" s="4" t="s">
        <v>10878</v>
      </c>
      <c r="B429" s="10">
        <f t="shared" si="1"/>
        <v>0</v>
      </c>
      <c r="C429" s="6">
        <f t="shared" si="2"/>
        <v>84.7</v>
      </c>
      <c r="D429" s="6">
        <f t="shared" si="3"/>
        <v>14.433218</v>
      </c>
    </row>
    <row r="430">
      <c r="A430" s="4" t="s">
        <v>10879</v>
      </c>
      <c r="B430" s="10">
        <f t="shared" si="1"/>
        <v>0</v>
      </c>
      <c r="C430" s="6">
        <f t="shared" si="2"/>
        <v>84.7</v>
      </c>
      <c r="D430" s="6">
        <f t="shared" si="3"/>
        <v>14.435135</v>
      </c>
    </row>
    <row r="431">
      <c r="A431" s="4" t="s">
        <v>10880</v>
      </c>
      <c r="B431" s="10">
        <f t="shared" si="1"/>
        <v>0</v>
      </c>
      <c r="C431" s="6">
        <f t="shared" si="2"/>
        <v>84.7</v>
      </c>
      <c r="D431" s="6">
        <f t="shared" si="3"/>
        <v>14.433071</v>
      </c>
    </row>
    <row r="432">
      <c r="A432" s="4" t="s">
        <v>10881</v>
      </c>
      <c r="B432" s="10">
        <f t="shared" si="1"/>
        <v>0</v>
      </c>
      <c r="C432" s="6">
        <f t="shared" si="2"/>
        <v>84.7</v>
      </c>
      <c r="D432" s="6">
        <f t="shared" si="3"/>
        <v>14.434091</v>
      </c>
    </row>
    <row r="433">
      <c r="A433" s="4" t="s">
        <v>10882</v>
      </c>
      <c r="B433" s="10">
        <f t="shared" si="1"/>
        <v>0</v>
      </c>
      <c r="C433" s="6">
        <f t="shared" si="2"/>
        <v>84.7</v>
      </c>
      <c r="D433" s="6">
        <f t="shared" si="3"/>
        <v>14.429401</v>
      </c>
    </row>
    <row r="434">
      <c r="A434" s="4" t="s">
        <v>10883</v>
      </c>
      <c r="B434" s="10">
        <f t="shared" si="1"/>
        <v>0</v>
      </c>
      <c r="C434" s="6">
        <f t="shared" si="2"/>
        <v>84.7</v>
      </c>
      <c r="D434" s="6">
        <f t="shared" si="3"/>
        <v>14.440714</v>
      </c>
    </row>
    <row r="435">
      <c r="A435" s="4" t="s">
        <v>10884</v>
      </c>
      <c r="B435" s="10">
        <f t="shared" si="1"/>
        <v>0</v>
      </c>
      <c r="C435" s="6">
        <f t="shared" si="2"/>
        <v>84.8</v>
      </c>
      <c r="D435" s="6">
        <f t="shared" si="3"/>
        <v>14.442795</v>
      </c>
    </row>
    <row r="436">
      <c r="A436" s="4" t="s">
        <v>10885</v>
      </c>
      <c r="B436" s="10">
        <f t="shared" si="1"/>
        <v>0</v>
      </c>
      <c r="C436" s="6">
        <f t="shared" si="2"/>
        <v>84.7</v>
      </c>
      <c r="D436" s="6">
        <f t="shared" si="3"/>
        <v>14.442389</v>
      </c>
    </row>
    <row r="437">
      <c r="A437" s="4" t="s">
        <v>10886</v>
      </c>
      <c r="B437" s="10">
        <f t="shared" si="1"/>
        <v>0</v>
      </c>
      <c r="C437" s="6">
        <f t="shared" si="2"/>
        <v>84.7</v>
      </c>
      <c r="D437" s="6">
        <f t="shared" si="3"/>
        <v>14.438944</v>
      </c>
    </row>
    <row r="438">
      <c r="A438" s="4" t="s">
        <v>10887</v>
      </c>
      <c r="B438" s="10">
        <f t="shared" si="1"/>
        <v>0</v>
      </c>
      <c r="C438" s="6">
        <f t="shared" si="2"/>
        <v>84.8</v>
      </c>
      <c r="D438" s="6">
        <f t="shared" si="3"/>
        <v>14.444429</v>
      </c>
    </row>
    <row r="439">
      <c r="A439" s="4" t="s">
        <v>10888</v>
      </c>
      <c r="B439" s="10">
        <f t="shared" si="1"/>
        <v>0</v>
      </c>
      <c r="C439" s="6">
        <f t="shared" si="2"/>
        <v>84.8</v>
      </c>
      <c r="D439" s="6">
        <f t="shared" si="3"/>
        <v>14.443397</v>
      </c>
    </row>
    <row r="440">
      <c r="A440" s="4" t="s">
        <v>10889</v>
      </c>
      <c r="B440" s="10">
        <f t="shared" si="1"/>
        <v>0</v>
      </c>
      <c r="C440" s="6">
        <f t="shared" si="2"/>
        <v>84.8</v>
      </c>
      <c r="D440" s="6">
        <f t="shared" si="3"/>
        <v>14.443003</v>
      </c>
    </row>
    <row r="441">
      <c r="A441" s="4" t="s">
        <v>10890</v>
      </c>
      <c r="B441" s="10">
        <f t="shared" si="1"/>
        <v>0</v>
      </c>
      <c r="C441" s="6">
        <f t="shared" si="2"/>
        <v>84.8</v>
      </c>
      <c r="D441" s="6">
        <f t="shared" si="3"/>
        <v>14.443778</v>
      </c>
    </row>
    <row r="442">
      <c r="A442" s="4" t="s">
        <v>10891</v>
      </c>
      <c r="B442" s="10">
        <f t="shared" si="1"/>
        <v>0</v>
      </c>
      <c r="C442" s="6">
        <f t="shared" si="2"/>
        <v>84.7</v>
      </c>
      <c r="D442" s="6">
        <f t="shared" si="3"/>
        <v>14.43849</v>
      </c>
    </row>
    <row r="443">
      <c r="A443" s="4" t="s">
        <v>10892</v>
      </c>
      <c r="B443" s="10">
        <f t="shared" si="1"/>
        <v>0</v>
      </c>
      <c r="C443" s="6">
        <f t="shared" si="2"/>
        <v>84.7</v>
      </c>
      <c r="D443" s="6">
        <f t="shared" si="3"/>
        <v>14.430654</v>
      </c>
    </row>
    <row r="444">
      <c r="A444" s="4" t="s">
        <v>10893</v>
      </c>
      <c r="B444" s="10">
        <f t="shared" si="1"/>
        <v>0</v>
      </c>
      <c r="C444" s="6">
        <f t="shared" si="2"/>
        <v>84.8</v>
      </c>
      <c r="D444" s="6">
        <f t="shared" si="3"/>
        <v>14.443507</v>
      </c>
    </row>
    <row r="445">
      <c r="A445" s="4" t="s">
        <v>10894</v>
      </c>
      <c r="B445" s="10">
        <f t="shared" si="1"/>
        <v>0</v>
      </c>
      <c r="C445" s="6">
        <f t="shared" si="2"/>
        <v>84.7</v>
      </c>
      <c r="D445" s="6">
        <f t="shared" si="3"/>
        <v>14.432768</v>
      </c>
    </row>
    <row r="446">
      <c r="A446" s="4" t="s">
        <v>10895</v>
      </c>
      <c r="B446" s="10">
        <f t="shared" si="1"/>
        <v>0</v>
      </c>
      <c r="C446" s="6">
        <f t="shared" si="2"/>
        <v>84.7</v>
      </c>
      <c r="D446" s="6">
        <f t="shared" si="3"/>
        <v>14.435852</v>
      </c>
    </row>
    <row r="447">
      <c r="A447" s="4" t="s">
        <v>10896</v>
      </c>
      <c r="B447" s="10">
        <f t="shared" si="1"/>
        <v>0</v>
      </c>
      <c r="C447" s="6">
        <f t="shared" si="2"/>
        <v>84.7</v>
      </c>
      <c r="D447" s="6">
        <f t="shared" si="3"/>
        <v>14.435422</v>
      </c>
    </row>
    <row r="448">
      <c r="A448" s="4" t="s">
        <v>10897</v>
      </c>
      <c r="B448" s="10">
        <f t="shared" si="1"/>
        <v>0</v>
      </c>
      <c r="C448" s="6">
        <f t="shared" si="2"/>
        <v>84.7</v>
      </c>
      <c r="D448" s="6">
        <f t="shared" si="3"/>
        <v>14.435856</v>
      </c>
    </row>
    <row r="449">
      <c r="A449" s="4" t="s">
        <v>10898</v>
      </c>
      <c r="B449" s="10">
        <f t="shared" si="1"/>
        <v>0</v>
      </c>
      <c r="C449" s="6">
        <f t="shared" si="2"/>
        <v>84.7</v>
      </c>
      <c r="D449" s="6">
        <f t="shared" si="3"/>
        <v>14.436569</v>
      </c>
    </row>
    <row r="450">
      <c r="A450" s="4" t="s">
        <v>10899</v>
      </c>
      <c r="B450" s="10">
        <f t="shared" si="1"/>
        <v>0</v>
      </c>
      <c r="C450" s="6">
        <f t="shared" si="2"/>
        <v>84.7</v>
      </c>
      <c r="D450" s="6">
        <f t="shared" si="3"/>
        <v>14.436909</v>
      </c>
    </row>
    <row r="451">
      <c r="A451" s="4" t="s">
        <v>10900</v>
      </c>
      <c r="B451" s="10">
        <f t="shared" si="1"/>
        <v>0</v>
      </c>
      <c r="C451" s="6">
        <f t="shared" si="2"/>
        <v>84.7</v>
      </c>
      <c r="D451" s="6">
        <f t="shared" si="3"/>
        <v>14.43484</v>
      </c>
    </row>
    <row r="452">
      <c r="A452" s="4" t="s">
        <v>10901</v>
      </c>
      <c r="B452" s="10">
        <f t="shared" si="1"/>
        <v>0</v>
      </c>
      <c r="C452" s="6">
        <f t="shared" si="2"/>
        <v>84.7</v>
      </c>
      <c r="D452" s="6">
        <f t="shared" si="3"/>
        <v>14.436864</v>
      </c>
    </row>
    <row r="453">
      <c r="A453" s="4" t="s">
        <v>10902</v>
      </c>
      <c r="B453" s="10">
        <f t="shared" si="1"/>
        <v>0</v>
      </c>
      <c r="C453" s="6">
        <f t="shared" si="2"/>
        <v>84.7</v>
      </c>
      <c r="D453" s="6">
        <f t="shared" si="3"/>
        <v>14.43577</v>
      </c>
    </row>
    <row r="454">
      <c r="A454" s="4" t="s">
        <v>10903</v>
      </c>
      <c r="B454" s="10">
        <f t="shared" si="1"/>
        <v>0</v>
      </c>
      <c r="C454" s="6">
        <f t="shared" si="2"/>
        <v>84.8</v>
      </c>
      <c r="D454" s="6">
        <f t="shared" si="3"/>
        <v>14.443089</v>
      </c>
    </row>
    <row r="455">
      <c r="A455" s="4" t="s">
        <v>10904</v>
      </c>
      <c r="B455" s="10">
        <f t="shared" si="1"/>
        <v>0</v>
      </c>
      <c r="C455" s="6">
        <f t="shared" si="2"/>
        <v>84.7</v>
      </c>
      <c r="D455" s="6">
        <f t="shared" si="3"/>
        <v>14.439235</v>
      </c>
    </row>
    <row r="456">
      <c r="A456" s="4" t="s">
        <v>10905</v>
      </c>
      <c r="B456" s="10">
        <f t="shared" si="1"/>
        <v>0</v>
      </c>
      <c r="C456" s="6">
        <f t="shared" si="2"/>
        <v>84.7</v>
      </c>
      <c r="D456" s="6">
        <f t="shared" si="3"/>
        <v>14.437904</v>
      </c>
    </row>
    <row r="457">
      <c r="A457" s="4" t="s">
        <v>10906</v>
      </c>
      <c r="B457" s="10">
        <f t="shared" si="1"/>
        <v>0</v>
      </c>
      <c r="C457" s="6">
        <f t="shared" si="2"/>
        <v>84.8</v>
      </c>
      <c r="D457" s="6">
        <f t="shared" si="3"/>
        <v>14.450765</v>
      </c>
    </row>
    <row r="458">
      <c r="A458" s="4" t="s">
        <v>10907</v>
      </c>
      <c r="B458" s="10">
        <f t="shared" si="1"/>
        <v>0</v>
      </c>
      <c r="C458" s="6">
        <f t="shared" si="2"/>
        <v>84.7</v>
      </c>
      <c r="D458" s="6">
        <f t="shared" si="3"/>
        <v>14.435921</v>
      </c>
    </row>
    <row r="459">
      <c r="A459" s="4" t="s">
        <v>10908</v>
      </c>
      <c r="B459" s="10">
        <f t="shared" si="1"/>
        <v>0</v>
      </c>
      <c r="C459" s="6">
        <f t="shared" si="2"/>
        <v>84.7</v>
      </c>
      <c r="D459" s="6">
        <f t="shared" si="3"/>
        <v>14.440067</v>
      </c>
    </row>
    <row r="460">
      <c r="A460" s="4" t="s">
        <v>10765</v>
      </c>
      <c r="B460" s="10">
        <f t="shared" si="1"/>
        <v>0</v>
      </c>
      <c r="C460" s="6">
        <f t="shared" si="2"/>
        <v>84.7</v>
      </c>
      <c r="D460" s="6">
        <f t="shared" si="3"/>
        <v>14.437974</v>
      </c>
    </row>
    <row r="461">
      <c r="A461" s="4" t="s">
        <v>10909</v>
      </c>
      <c r="B461" s="10">
        <f t="shared" si="1"/>
        <v>0</v>
      </c>
      <c r="C461" s="6">
        <f t="shared" si="2"/>
        <v>84.7</v>
      </c>
      <c r="D461" s="6">
        <f t="shared" si="3"/>
        <v>14.439051</v>
      </c>
    </row>
    <row r="462">
      <c r="A462" s="4" t="s">
        <v>10910</v>
      </c>
      <c r="B462" s="10">
        <f t="shared" si="1"/>
        <v>0</v>
      </c>
      <c r="C462" s="6">
        <f t="shared" si="2"/>
        <v>84.7</v>
      </c>
      <c r="D462" s="6">
        <f t="shared" si="3"/>
        <v>14.437457</v>
      </c>
    </row>
    <row r="463">
      <c r="A463" s="4" t="s">
        <v>10911</v>
      </c>
      <c r="B463" s="10">
        <f t="shared" si="1"/>
        <v>0</v>
      </c>
      <c r="C463" s="6">
        <f t="shared" si="2"/>
        <v>84.7</v>
      </c>
      <c r="D463" s="6">
        <f t="shared" si="3"/>
        <v>14.435639</v>
      </c>
    </row>
    <row r="464">
      <c r="A464" s="4" t="s">
        <v>10912</v>
      </c>
      <c r="B464" s="10">
        <f t="shared" si="1"/>
        <v>100</v>
      </c>
      <c r="C464" s="6">
        <f t="shared" si="2"/>
        <v>84.7</v>
      </c>
      <c r="D464" s="6">
        <f t="shared" si="3"/>
        <v>14.440562</v>
      </c>
    </row>
    <row r="465">
      <c r="A465" s="4" t="s">
        <v>10913</v>
      </c>
      <c r="B465" s="10">
        <f t="shared" si="1"/>
        <v>0</v>
      </c>
      <c r="C465" s="6">
        <f t="shared" si="2"/>
        <v>84.7</v>
      </c>
      <c r="D465" s="6">
        <f t="shared" si="3"/>
        <v>14.437228</v>
      </c>
    </row>
    <row r="466">
      <c r="A466" s="4" t="s">
        <v>10914</v>
      </c>
      <c r="B466" s="10">
        <f t="shared" si="1"/>
        <v>0</v>
      </c>
      <c r="C466" s="6">
        <f t="shared" si="2"/>
        <v>84.7</v>
      </c>
      <c r="D466" s="6">
        <f t="shared" si="3"/>
        <v>14.442102</v>
      </c>
    </row>
    <row r="467">
      <c r="A467" s="4" t="s">
        <v>10915</v>
      </c>
      <c r="B467" s="10">
        <f t="shared" si="1"/>
        <v>0</v>
      </c>
      <c r="C467" s="6">
        <f t="shared" si="2"/>
        <v>84.7</v>
      </c>
      <c r="D467" s="6">
        <f t="shared" si="3"/>
        <v>14.441873</v>
      </c>
    </row>
    <row r="468">
      <c r="A468" s="4" t="s">
        <v>10916</v>
      </c>
      <c r="B468" s="10">
        <f t="shared" si="1"/>
        <v>50</v>
      </c>
      <c r="C468" s="6">
        <f t="shared" si="2"/>
        <v>84.7</v>
      </c>
      <c r="D468" s="6">
        <f t="shared" si="3"/>
        <v>14.440771</v>
      </c>
    </row>
    <row r="469">
      <c r="A469" s="4" t="s">
        <v>10917</v>
      </c>
      <c r="B469" s="10">
        <f t="shared" si="1"/>
        <v>16.7</v>
      </c>
      <c r="C469" s="6">
        <f t="shared" si="2"/>
        <v>84.7</v>
      </c>
      <c r="D469" s="6">
        <f t="shared" si="3"/>
        <v>14.436769</v>
      </c>
    </row>
    <row r="470">
      <c r="A470" s="4" t="s">
        <v>10918</v>
      </c>
      <c r="B470" s="10">
        <f t="shared" si="1"/>
        <v>0</v>
      </c>
      <c r="C470" s="6">
        <f t="shared" si="2"/>
        <v>84.7</v>
      </c>
      <c r="D470" s="6">
        <f t="shared" si="3"/>
        <v>14.437036</v>
      </c>
    </row>
    <row r="471">
      <c r="A471" s="4" t="s">
        <v>10919</v>
      </c>
      <c r="B471" s="10">
        <f t="shared" si="1"/>
        <v>0</v>
      </c>
      <c r="C471" s="6">
        <f t="shared" si="2"/>
        <v>85.7</v>
      </c>
      <c r="D471" s="6">
        <f t="shared" si="3"/>
        <v>14.597308</v>
      </c>
    </row>
    <row r="472">
      <c r="A472" s="4" t="s">
        <v>10920</v>
      </c>
      <c r="B472" s="10">
        <f t="shared" si="1"/>
        <v>0</v>
      </c>
      <c r="C472" s="6">
        <f t="shared" si="2"/>
        <v>84.7</v>
      </c>
      <c r="D472" s="6">
        <f t="shared" si="3"/>
        <v>14.434791</v>
      </c>
    </row>
    <row r="473">
      <c r="A473" s="4" t="s">
        <v>10921</v>
      </c>
      <c r="B473" s="10">
        <f t="shared" si="1"/>
        <v>0</v>
      </c>
      <c r="C473" s="6">
        <f t="shared" si="2"/>
        <v>84.7</v>
      </c>
      <c r="D473" s="6">
        <f t="shared" si="3"/>
        <v>14.43602</v>
      </c>
    </row>
    <row r="474">
      <c r="A474" s="4" t="s">
        <v>10922</v>
      </c>
      <c r="B474" s="10">
        <f t="shared" si="1"/>
        <v>0</v>
      </c>
      <c r="C474" s="6">
        <f t="shared" si="2"/>
        <v>84.7</v>
      </c>
      <c r="D474" s="6">
        <f t="shared" si="3"/>
        <v>14.437703</v>
      </c>
    </row>
    <row r="475">
      <c r="A475" s="4" t="s">
        <v>10923</v>
      </c>
      <c r="B475" s="10">
        <f t="shared" si="1"/>
        <v>0</v>
      </c>
      <c r="C475" s="6">
        <f t="shared" si="2"/>
        <v>84.7</v>
      </c>
      <c r="D475" s="6">
        <f t="shared" si="3"/>
        <v>14.435942</v>
      </c>
    </row>
    <row r="476">
      <c r="A476" s="4" t="s">
        <v>10924</v>
      </c>
      <c r="B476" s="10">
        <f t="shared" si="1"/>
        <v>0</v>
      </c>
      <c r="C476" s="6">
        <f t="shared" si="2"/>
        <v>84.7</v>
      </c>
      <c r="D476" s="6">
        <f t="shared" si="3"/>
        <v>14.435229</v>
      </c>
    </row>
    <row r="477">
      <c r="A477" s="4" t="s">
        <v>10925</v>
      </c>
      <c r="B477" s="10">
        <f t="shared" si="1"/>
        <v>0</v>
      </c>
      <c r="C477" s="6">
        <f t="shared" si="2"/>
        <v>84.7</v>
      </c>
      <c r="D477" s="6">
        <f t="shared" si="3"/>
        <v>14.435184</v>
      </c>
    </row>
    <row r="478">
      <c r="A478" s="4" t="s">
        <v>10926</v>
      </c>
      <c r="B478" s="10">
        <f t="shared" si="1"/>
        <v>0</v>
      </c>
      <c r="C478" s="6">
        <f t="shared" si="2"/>
        <v>84.7</v>
      </c>
      <c r="D478" s="6">
        <f t="shared" si="3"/>
        <v>14.433341</v>
      </c>
    </row>
    <row r="479">
      <c r="A479" s="4" t="s">
        <v>10927</v>
      </c>
      <c r="B479" s="10">
        <f t="shared" si="1"/>
        <v>0</v>
      </c>
      <c r="C479" s="6">
        <f t="shared" si="2"/>
        <v>84.7</v>
      </c>
      <c r="D479" s="6">
        <f t="shared" si="3"/>
        <v>14.429855</v>
      </c>
    </row>
    <row r="480">
      <c r="A480" s="4" t="s">
        <v>10928</v>
      </c>
      <c r="B480" s="10">
        <f t="shared" si="1"/>
        <v>0</v>
      </c>
      <c r="C480" s="6">
        <f t="shared" si="2"/>
        <v>84.7</v>
      </c>
      <c r="D480" s="6">
        <f t="shared" si="3"/>
        <v>14.434504</v>
      </c>
    </row>
    <row r="481">
      <c r="A481" s="4" t="s">
        <v>10929</v>
      </c>
      <c r="B481" s="10">
        <f t="shared" si="1"/>
        <v>0</v>
      </c>
      <c r="C481" s="6">
        <f t="shared" si="2"/>
        <v>84.7</v>
      </c>
      <c r="D481" s="6">
        <f t="shared" si="3"/>
        <v>14.43389</v>
      </c>
    </row>
    <row r="482">
      <c r="A482" s="4" t="s">
        <v>10930</v>
      </c>
      <c r="B482" s="10">
        <f t="shared" si="1"/>
        <v>0</v>
      </c>
      <c r="C482" s="6">
        <f t="shared" si="2"/>
        <v>84.7</v>
      </c>
      <c r="D482" s="6">
        <f t="shared" si="3"/>
        <v>14.432985</v>
      </c>
    </row>
    <row r="483">
      <c r="A483" s="4" t="s">
        <v>10931</v>
      </c>
      <c r="B483" s="10">
        <f t="shared" si="1"/>
        <v>0</v>
      </c>
      <c r="C483" s="6">
        <f t="shared" si="2"/>
        <v>84.7</v>
      </c>
      <c r="D483" s="6">
        <f t="shared" si="3"/>
        <v>14.434017</v>
      </c>
    </row>
    <row r="484">
      <c r="A484" s="4" t="s">
        <v>10932</v>
      </c>
      <c r="B484" s="10">
        <f t="shared" si="1"/>
        <v>0</v>
      </c>
      <c r="C484" s="6">
        <f t="shared" si="2"/>
        <v>84.7</v>
      </c>
      <c r="D484" s="6">
        <f t="shared" si="3"/>
        <v>14.435954</v>
      </c>
    </row>
    <row r="485">
      <c r="A485" s="4" t="s">
        <v>10933</v>
      </c>
      <c r="B485" s="10">
        <f t="shared" si="1"/>
        <v>0</v>
      </c>
      <c r="C485" s="6">
        <f t="shared" si="2"/>
        <v>84.7</v>
      </c>
      <c r="D485" s="6">
        <f t="shared" si="3"/>
        <v>14.434775</v>
      </c>
    </row>
    <row r="486">
      <c r="A486" s="4" t="s">
        <v>10934</v>
      </c>
      <c r="B486" s="10">
        <f t="shared" si="1"/>
        <v>0</v>
      </c>
      <c r="C486" s="6">
        <f t="shared" si="2"/>
        <v>84.7</v>
      </c>
      <c r="D486" s="6">
        <f t="shared" si="3"/>
        <v>14.434762</v>
      </c>
    </row>
    <row r="487">
      <c r="A487" s="4" t="s">
        <v>10935</v>
      </c>
      <c r="B487" s="10">
        <f t="shared" si="1"/>
        <v>0</v>
      </c>
      <c r="C487" s="6">
        <f t="shared" si="2"/>
        <v>84.8</v>
      </c>
      <c r="D487" s="6">
        <f t="shared" si="3"/>
        <v>14.457884</v>
      </c>
    </row>
    <row r="488">
      <c r="A488" s="4" t="s">
        <v>10936</v>
      </c>
      <c r="B488" s="10">
        <f t="shared" si="1"/>
        <v>11.1</v>
      </c>
      <c r="C488" s="6">
        <f t="shared" si="2"/>
        <v>84.9</v>
      </c>
      <c r="D488" s="6">
        <f t="shared" si="3"/>
        <v>14.460039</v>
      </c>
    </row>
    <row r="489">
      <c r="A489" s="4" t="s">
        <v>10937</v>
      </c>
      <c r="B489" s="10">
        <f t="shared" si="1"/>
        <v>0</v>
      </c>
      <c r="C489" s="6">
        <f t="shared" si="2"/>
        <v>84.8</v>
      </c>
      <c r="D489" s="6">
        <f t="shared" si="3"/>
        <v>14.454095</v>
      </c>
    </row>
    <row r="490">
      <c r="A490" s="4" t="s">
        <v>10938</v>
      </c>
      <c r="B490" s="10">
        <f t="shared" si="1"/>
        <v>0</v>
      </c>
      <c r="C490" s="6">
        <f t="shared" si="2"/>
        <v>84.9</v>
      </c>
      <c r="D490" s="6">
        <f t="shared" si="3"/>
        <v>14.460309</v>
      </c>
    </row>
    <row r="491">
      <c r="A491" s="4" t="s">
        <v>10939</v>
      </c>
      <c r="B491" s="10">
        <f t="shared" si="1"/>
        <v>0</v>
      </c>
      <c r="C491" s="6">
        <f t="shared" si="2"/>
        <v>85.1</v>
      </c>
      <c r="D491" s="6">
        <f t="shared" si="3"/>
        <v>14.500155</v>
      </c>
    </row>
    <row r="492">
      <c r="A492" s="4" t="s">
        <v>10940</v>
      </c>
      <c r="B492" s="10">
        <f t="shared" si="1"/>
        <v>100</v>
      </c>
      <c r="C492" s="6">
        <f t="shared" si="2"/>
        <v>84.8</v>
      </c>
      <c r="D492" s="6">
        <f t="shared" si="3"/>
        <v>14.446936</v>
      </c>
    </row>
    <row r="493">
      <c r="A493" s="4" t="s">
        <v>10941</v>
      </c>
      <c r="B493" s="10">
        <f t="shared" si="1"/>
        <v>0</v>
      </c>
      <c r="C493" s="6">
        <f t="shared" si="2"/>
        <v>84.8</v>
      </c>
      <c r="D493" s="6">
        <f t="shared" si="3"/>
        <v>14.450241</v>
      </c>
    </row>
    <row r="494">
      <c r="A494" s="4" t="s">
        <v>10942</v>
      </c>
      <c r="B494" s="10">
        <f t="shared" si="1"/>
        <v>0</v>
      </c>
      <c r="C494" s="6">
        <f t="shared" si="2"/>
        <v>84.9</v>
      </c>
      <c r="D494" s="6">
        <f t="shared" si="3"/>
        <v>14.465916</v>
      </c>
    </row>
    <row r="495">
      <c r="A495" s="4" t="s">
        <v>10943</v>
      </c>
      <c r="B495" s="10">
        <f t="shared" si="1"/>
        <v>0</v>
      </c>
      <c r="C495" s="6">
        <f t="shared" si="2"/>
        <v>84.8</v>
      </c>
      <c r="D495" s="6">
        <f t="shared" si="3"/>
        <v>14.449852</v>
      </c>
    </row>
    <row r="496">
      <c r="A496" s="4" t="s">
        <v>10944</v>
      </c>
      <c r="B496" s="10">
        <f t="shared" si="1"/>
        <v>0</v>
      </c>
      <c r="C496" s="6">
        <f t="shared" si="2"/>
        <v>84.7</v>
      </c>
      <c r="D496" s="6">
        <f t="shared" si="3"/>
        <v>14.440681</v>
      </c>
    </row>
    <row r="497">
      <c r="A497" s="4" t="s">
        <v>10945</v>
      </c>
      <c r="B497" s="10">
        <f t="shared" si="1"/>
        <v>0</v>
      </c>
      <c r="C497" s="6">
        <f t="shared" si="2"/>
        <v>84.8</v>
      </c>
      <c r="D497" s="6">
        <f t="shared" si="3"/>
        <v>14.445047</v>
      </c>
    </row>
    <row r="498">
      <c r="A498" s="4" t="s">
        <v>10946</v>
      </c>
      <c r="B498" s="10">
        <f t="shared" si="1"/>
        <v>0</v>
      </c>
      <c r="C498" s="6">
        <f t="shared" si="2"/>
        <v>84.8</v>
      </c>
      <c r="D498" s="6">
        <f t="shared" si="3"/>
        <v>14.449569</v>
      </c>
    </row>
    <row r="499">
      <c r="A499" s="4" t="s">
        <v>10947</v>
      </c>
      <c r="B499" s="10">
        <f t="shared" si="1"/>
        <v>0</v>
      </c>
      <c r="C499" s="6">
        <f t="shared" si="2"/>
        <v>84.8</v>
      </c>
      <c r="D499" s="6">
        <f t="shared" si="3"/>
        <v>14.448353</v>
      </c>
    </row>
    <row r="500">
      <c r="A500" s="4" t="s">
        <v>10948</v>
      </c>
      <c r="B500" s="10">
        <f t="shared" si="1"/>
        <v>0</v>
      </c>
      <c r="C500" s="6">
        <f t="shared" si="2"/>
        <v>86.9</v>
      </c>
      <c r="D500" s="6">
        <f t="shared" si="3"/>
        <v>14.817173</v>
      </c>
    </row>
    <row r="501">
      <c r="A501" s="4" t="s">
        <v>10949</v>
      </c>
      <c r="B501" s="10">
        <f t="shared" si="1"/>
        <v>0</v>
      </c>
      <c r="C501" s="6">
        <f t="shared" si="2"/>
        <v>87.2</v>
      </c>
      <c r="D501" s="6">
        <f t="shared" si="3"/>
        <v>14.863204</v>
      </c>
    </row>
  </sheetData>
  <mergeCells count="3">
    <mergeCell ref="G1:H1"/>
    <mergeCell ref="J1:K1"/>
    <mergeCell ref="M1:N1"/>
  </mergeCells>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2164</v>
      </c>
    </row>
    <row r="3">
      <c r="A3" s="4" t="s">
        <v>2168</v>
      </c>
    </row>
    <row r="4">
      <c r="A4" s="4" t="s">
        <v>2163</v>
      </c>
    </row>
    <row r="5">
      <c r="A5" s="4" t="s">
        <v>105</v>
      </c>
    </row>
    <row r="6">
      <c r="A6" s="4" t="s">
        <v>2163</v>
      </c>
    </row>
    <row r="7">
      <c r="A7" s="4" t="s">
        <v>2160</v>
      </c>
    </row>
    <row r="8">
      <c r="A8" s="4" t="s">
        <v>2159</v>
      </c>
    </row>
    <row r="9">
      <c r="A9" s="4" t="s">
        <v>2164</v>
      </c>
    </row>
    <row r="10">
      <c r="A10" s="4" t="s">
        <v>2168</v>
      </c>
    </row>
    <row r="11">
      <c r="A11" s="4" t="s">
        <v>952</v>
      </c>
    </row>
    <row r="12">
      <c r="A12" s="4" t="s">
        <v>2161</v>
      </c>
    </row>
    <row r="13">
      <c r="A13" s="4" t="s">
        <v>2158</v>
      </c>
    </row>
    <row r="14">
      <c r="A14" s="4" t="s">
        <v>1657</v>
      </c>
    </row>
    <row r="15">
      <c r="A15" s="4" t="s">
        <v>1657</v>
      </c>
    </row>
    <row r="16">
      <c r="A16" s="4" t="s">
        <v>1656</v>
      </c>
    </row>
    <row r="17">
      <c r="A17" s="4" t="s">
        <v>2163</v>
      </c>
    </row>
    <row r="18">
      <c r="A18" s="4" t="s">
        <v>2161</v>
      </c>
    </row>
    <row r="19">
      <c r="A19" s="4" t="s">
        <v>2165</v>
      </c>
    </row>
    <row r="20">
      <c r="A20" s="4" t="s">
        <v>2169</v>
      </c>
    </row>
    <row r="21">
      <c r="A21" s="4" t="s">
        <v>1352</v>
      </c>
    </row>
    <row r="22">
      <c r="A22" s="4" t="s">
        <v>2161</v>
      </c>
    </row>
    <row r="23">
      <c r="A23" s="4" t="s">
        <v>952</v>
      </c>
    </row>
    <row r="24">
      <c r="A24" s="4" t="s">
        <v>2166</v>
      </c>
    </row>
    <row r="25">
      <c r="A25" s="4" t="s">
        <v>1352</v>
      </c>
    </row>
    <row r="26">
      <c r="A26" s="4" t="s">
        <v>1657</v>
      </c>
    </row>
    <row r="27">
      <c r="A27" s="4" t="s">
        <v>2167</v>
      </c>
    </row>
    <row r="28">
      <c r="A28" s="4" t="s">
        <v>1352</v>
      </c>
    </row>
    <row r="29">
      <c r="A29" s="4" t="s">
        <v>2167</v>
      </c>
    </row>
    <row r="30">
      <c r="A30" s="4" t="s">
        <v>2162</v>
      </c>
    </row>
    <row r="31">
      <c r="A31" s="4" t="s">
        <v>2163</v>
      </c>
    </row>
    <row r="32">
      <c r="A32" s="4" t="s">
        <v>1655</v>
      </c>
    </row>
    <row r="33">
      <c r="A33" s="4" t="s">
        <v>2158</v>
      </c>
    </row>
    <row r="34">
      <c r="A34" s="4" t="s">
        <v>2165</v>
      </c>
    </row>
    <row r="35">
      <c r="A35" s="4" t="s">
        <v>2161</v>
      </c>
    </row>
    <row r="36">
      <c r="A36" s="4" t="s">
        <v>2169</v>
      </c>
    </row>
    <row r="37">
      <c r="A37" s="4" t="s">
        <v>2169</v>
      </c>
    </row>
    <row r="38">
      <c r="A38" s="4" t="s">
        <v>2165</v>
      </c>
    </row>
    <row r="39">
      <c r="A39" s="4" t="s">
        <v>1655</v>
      </c>
    </row>
    <row r="40">
      <c r="A40" s="4" t="s">
        <v>2164</v>
      </c>
    </row>
    <row r="41">
      <c r="A41" s="4" t="s">
        <v>2163</v>
      </c>
    </row>
    <row r="42">
      <c r="A42" s="4" t="s">
        <v>2167</v>
      </c>
    </row>
    <row r="43">
      <c r="A43" s="4" t="s">
        <v>2164</v>
      </c>
    </row>
    <row r="44">
      <c r="A44" s="4" t="s">
        <v>2167</v>
      </c>
    </row>
    <row r="45">
      <c r="A45" s="4" t="s">
        <v>105</v>
      </c>
    </row>
    <row r="46">
      <c r="A46" s="4" t="s">
        <v>869</v>
      </c>
    </row>
    <row r="47">
      <c r="A47" s="4" t="s">
        <v>1657</v>
      </c>
    </row>
    <row r="48">
      <c r="A48" s="4" t="s">
        <v>2158</v>
      </c>
    </row>
    <row r="49">
      <c r="A49" s="4" t="s">
        <v>2160</v>
      </c>
    </row>
    <row r="50">
      <c r="A50" s="4" t="s">
        <v>1352</v>
      </c>
    </row>
    <row r="51">
      <c r="A51" s="4" t="s">
        <v>2158</v>
      </c>
    </row>
    <row r="52">
      <c r="A52" s="4" t="s">
        <v>952</v>
      </c>
    </row>
    <row r="53">
      <c r="A53" s="4" t="s">
        <v>2168</v>
      </c>
    </row>
    <row r="54">
      <c r="A54" s="4" t="s">
        <v>1657</v>
      </c>
    </row>
    <row r="55">
      <c r="A55" s="4" t="s">
        <v>105</v>
      </c>
    </row>
    <row r="56">
      <c r="A56" s="4" t="s">
        <v>2166</v>
      </c>
    </row>
    <row r="57">
      <c r="A57" s="4" t="s">
        <v>2166</v>
      </c>
    </row>
    <row r="58">
      <c r="A58" s="4" t="s">
        <v>2165</v>
      </c>
    </row>
    <row r="59">
      <c r="A59" s="4" t="s">
        <v>2165</v>
      </c>
    </row>
    <row r="60">
      <c r="A60" s="4" t="s">
        <v>2163</v>
      </c>
    </row>
    <row r="61">
      <c r="A61" s="4" t="s">
        <v>2166</v>
      </c>
    </row>
    <row r="62">
      <c r="A62" s="4" t="s">
        <v>2158</v>
      </c>
    </row>
    <row r="63">
      <c r="A63" s="4" t="s">
        <v>952</v>
      </c>
    </row>
    <row r="64">
      <c r="A64" s="4" t="s">
        <v>1657</v>
      </c>
    </row>
    <row r="65">
      <c r="A65" s="4" t="s">
        <v>2166</v>
      </c>
    </row>
    <row r="66">
      <c r="A66" s="4" t="s">
        <v>869</v>
      </c>
    </row>
    <row r="67">
      <c r="A67" s="4" t="s">
        <v>2160</v>
      </c>
    </row>
    <row r="68">
      <c r="A68" s="4" t="s">
        <v>2168</v>
      </c>
    </row>
    <row r="69">
      <c r="A69" s="4" t="s">
        <v>2164</v>
      </c>
    </row>
    <row r="70">
      <c r="A70" s="4" t="s">
        <v>2168</v>
      </c>
    </row>
    <row r="71">
      <c r="A71" s="4" t="s">
        <v>2160</v>
      </c>
    </row>
    <row r="72">
      <c r="A72" s="4" t="s">
        <v>2163</v>
      </c>
    </row>
    <row r="73">
      <c r="A73" s="4" t="s">
        <v>2166</v>
      </c>
    </row>
    <row r="74">
      <c r="A74" s="4" t="s">
        <v>869</v>
      </c>
    </row>
    <row r="75">
      <c r="A75" s="4" t="s">
        <v>2161</v>
      </c>
    </row>
    <row r="76">
      <c r="A76" s="4" t="s">
        <v>1657</v>
      </c>
    </row>
    <row r="77">
      <c r="A77" s="4" t="s">
        <v>2162</v>
      </c>
    </row>
    <row r="78">
      <c r="A78" s="4" t="s">
        <v>105</v>
      </c>
    </row>
    <row r="79">
      <c r="A79" s="4" t="s">
        <v>1655</v>
      </c>
    </row>
    <row r="80">
      <c r="A80" s="4" t="s">
        <v>2169</v>
      </c>
    </row>
    <row r="81">
      <c r="A81" s="4" t="s">
        <v>1657</v>
      </c>
    </row>
    <row r="82">
      <c r="A82" s="4" t="s">
        <v>2163</v>
      </c>
    </row>
    <row r="83">
      <c r="A83" s="4" t="s">
        <v>2159</v>
      </c>
    </row>
    <row r="84">
      <c r="A84" s="4" t="s">
        <v>1656</v>
      </c>
    </row>
    <row r="85">
      <c r="A85" s="4" t="s">
        <v>1656</v>
      </c>
    </row>
    <row r="86">
      <c r="A86" s="4" t="s">
        <v>952</v>
      </c>
    </row>
    <row r="87">
      <c r="A87" s="4" t="s">
        <v>1657</v>
      </c>
    </row>
    <row r="88">
      <c r="A88" s="4" t="s">
        <v>2160</v>
      </c>
    </row>
    <row r="89">
      <c r="A89" s="4" t="s">
        <v>2158</v>
      </c>
    </row>
    <row r="90">
      <c r="A90" s="4" t="s">
        <v>2160</v>
      </c>
    </row>
    <row r="91">
      <c r="A91" s="4" t="s">
        <v>1352</v>
      </c>
    </row>
    <row r="92">
      <c r="A92" s="4" t="s">
        <v>2161</v>
      </c>
    </row>
    <row r="93">
      <c r="A93" s="4" t="s">
        <v>2169</v>
      </c>
    </row>
    <row r="94">
      <c r="A94" s="4" t="s">
        <v>952</v>
      </c>
    </row>
    <row r="95">
      <c r="A95" s="4" t="s">
        <v>2162</v>
      </c>
    </row>
    <row r="96">
      <c r="A96" s="4" t="s">
        <v>2168</v>
      </c>
    </row>
    <row r="97">
      <c r="A97" s="4" t="s">
        <v>1656</v>
      </c>
    </row>
    <row r="98">
      <c r="A98" s="4" t="s">
        <v>2161</v>
      </c>
    </row>
    <row r="99">
      <c r="A99" s="4" t="s">
        <v>2164</v>
      </c>
    </row>
    <row r="100">
      <c r="A100" s="4" t="s">
        <v>952</v>
      </c>
    </row>
    <row r="101">
      <c r="A101" s="4" t="s">
        <v>2164</v>
      </c>
    </row>
    <row r="102">
      <c r="A102" s="4" t="s">
        <v>939</v>
      </c>
    </row>
    <row r="103">
      <c r="A103" s="4" t="s">
        <v>952</v>
      </c>
    </row>
    <row r="104">
      <c r="A104" s="4" t="s">
        <v>2163</v>
      </c>
    </row>
    <row r="105">
      <c r="A105" s="4" t="s">
        <v>1656</v>
      </c>
    </row>
    <row r="106">
      <c r="A106" s="4" t="s">
        <v>2162</v>
      </c>
    </row>
    <row r="107">
      <c r="A107" s="4" t="s">
        <v>1655</v>
      </c>
    </row>
    <row r="108">
      <c r="A108" s="4" t="s">
        <v>2160</v>
      </c>
    </row>
    <row r="109">
      <c r="A109" s="4" t="s">
        <v>2166</v>
      </c>
    </row>
    <row r="110">
      <c r="A110" s="4" t="s">
        <v>2163</v>
      </c>
    </row>
    <row r="111">
      <c r="A111" s="4" t="s">
        <v>1655</v>
      </c>
    </row>
    <row r="112">
      <c r="A112" s="4" t="s">
        <v>2159</v>
      </c>
    </row>
    <row r="113">
      <c r="A113" s="4" t="s">
        <v>105</v>
      </c>
    </row>
    <row r="114">
      <c r="A114" s="4" t="s">
        <v>2161</v>
      </c>
    </row>
    <row r="115">
      <c r="A115" s="4" t="s">
        <v>1656</v>
      </c>
    </row>
    <row r="116">
      <c r="A116" s="4" t="s">
        <v>2163</v>
      </c>
    </row>
    <row r="117">
      <c r="A117" s="4" t="s">
        <v>2164</v>
      </c>
    </row>
    <row r="118">
      <c r="A118" s="4" t="s">
        <v>105</v>
      </c>
    </row>
    <row r="119">
      <c r="A119" s="4" t="s">
        <v>939</v>
      </c>
    </row>
    <row r="120">
      <c r="A120" s="4" t="s">
        <v>952</v>
      </c>
    </row>
    <row r="121">
      <c r="A121" s="4" t="s">
        <v>2163</v>
      </c>
    </row>
    <row r="122">
      <c r="A122" s="4" t="s">
        <v>105</v>
      </c>
    </row>
    <row r="123">
      <c r="A123" s="4" t="s">
        <v>2164</v>
      </c>
    </row>
    <row r="124">
      <c r="A124" s="4" t="s">
        <v>2159</v>
      </c>
    </row>
    <row r="125">
      <c r="A125" s="4" t="s">
        <v>1352</v>
      </c>
    </row>
    <row r="126">
      <c r="A126" s="4" t="s">
        <v>1657</v>
      </c>
    </row>
    <row r="127">
      <c r="A127" s="4" t="s">
        <v>2169</v>
      </c>
    </row>
    <row r="128">
      <c r="A128" s="4" t="s">
        <v>2168</v>
      </c>
    </row>
    <row r="129">
      <c r="A129" s="4" t="s">
        <v>2166</v>
      </c>
    </row>
    <row r="130">
      <c r="A130" s="4" t="s">
        <v>2165</v>
      </c>
    </row>
    <row r="131">
      <c r="A131" s="4" t="s">
        <v>2167</v>
      </c>
    </row>
    <row r="132">
      <c r="A132" s="4" t="s">
        <v>105</v>
      </c>
    </row>
    <row r="133">
      <c r="A133" s="4" t="s">
        <v>2162</v>
      </c>
    </row>
    <row r="134">
      <c r="A134" s="4" t="s">
        <v>2159</v>
      </c>
    </row>
    <row r="135">
      <c r="A135" s="4" t="s">
        <v>2165</v>
      </c>
    </row>
    <row r="136">
      <c r="A136" s="4" t="s">
        <v>2158</v>
      </c>
    </row>
    <row r="137">
      <c r="A137" s="4" t="s">
        <v>2166</v>
      </c>
    </row>
    <row r="138">
      <c r="A138" s="4" t="s">
        <v>2168</v>
      </c>
    </row>
    <row r="139">
      <c r="A139" s="4" t="s">
        <v>2168</v>
      </c>
    </row>
    <row r="140">
      <c r="A140" s="4" t="s">
        <v>1657</v>
      </c>
    </row>
    <row r="141">
      <c r="A141" s="4" t="s">
        <v>105</v>
      </c>
    </row>
    <row r="142">
      <c r="A142" s="4" t="s">
        <v>1656</v>
      </c>
    </row>
    <row r="143">
      <c r="A143" s="4" t="s">
        <v>2161</v>
      </c>
    </row>
    <row r="144">
      <c r="A144" s="4" t="s">
        <v>2158</v>
      </c>
    </row>
    <row r="145">
      <c r="A145" s="4" t="s">
        <v>105</v>
      </c>
    </row>
    <row r="146">
      <c r="A146" s="4" t="s">
        <v>952</v>
      </c>
    </row>
    <row r="147">
      <c r="A147" s="4" t="s">
        <v>1657</v>
      </c>
    </row>
    <row r="148">
      <c r="A148" s="4" t="s">
        <v>1352</v>
      </c>
    </row>
    <row r="149">
      <c r="A149" s="4" t="s">
        <v>105</v>
      </c>
    </row>
    <row r="150">
      <c r="A150" s="4" t="s">
        <v>2161</v>
      </c>
    </row>
    <row r="151">
      <c r="A151" s="4" t="s">
        <v>1352</v>
      </c>
    </row>
    <row r="152">
      <c r="A152" s="4" t="s">
        <v>2159</v>
      </c>
    </row>
    <row r="153">
      <c r="A153" s="4" t="s">
        <v>2163</v>
      </c>
    </row>
    <row r="154">
      <c r="A154" s="4" t="s">
        <v>2160</v>
      </c>
    </row>
    <row r="155">
      <c r="A155" s="4" t="s">
        <v>2169</v>
      </c>
    </row>
    <row r="156">
      <c r="A156" s="4" t="s">
        <v>2160</v>
      </c>
    </row>
    <row r="157">
      <c r="A157" s="4" t="s">
        <v>2164</v>
      </c>
    </row>
    <row r="158">
      <c r="A158" s="4" t="s">
        <v>952</v>
      </c>
    </row>
    <row r="159">
      <c r="A159" s="4" t="s">
        <v>2158</v>
      </c>
    </row>
    <row r="160">
      <c r="A160" s="4" t="s">
        <v>2160</v>
      </c>
    </row>
    <row r="161">
      <c r="A161" s="4" t="s">
        <v>1352</v>
      </c>
    </row>
    <row r="162">
      <c r="A162" s="4" t="s">
        <v>1657</v>
      </c>
    </row>
    <row r="163">
      <c r="A163" s="4" t="s">
        <v>2162</v>
      </c>
    </row>
    <row r="164">
      <c r="A164" s="4" t="s">
        <v>1657</v>
      </c>
    </row>
    <row r="165">
      <c r="A165" s="4" t="s">
        <v>1657</v>
      </c>
    </row>
    <row r="166">
      <c r="A166" s="4" t="s">
        <v>1657</v>
      </c>
    </row>
    <row r="167">
      <c r="A167" s="4" t="s">
        <v>1655</v>
      </c>
    </row>
    <row r="168">
      <c r="A168" s="4" t="s">
        <v>952</v>
      </c>
    </row>
    <row r="169">
      <c r="A169" s="4" t="s">
        <v>2167</v>
      </c>
    </row>
    <row r="170">
      <c r="A170" s="4" t="s">
        <v>2160</v>
      </c>
    </row>
    <row r="171">
      <c r="A171" s="4" t="s">
        <v>952</v>
      </c>
    </row>
    <row r="172">
      <c r="A172" s="4" t="s">
        <v>2168</v>
      </c>
    </row>
    <row r="173">
      <c r="A173" s="4" t="s">
        <v>2163</v>
      </c>
    </row>
    <row r="174">
      <c r="A174" s="4" t="s">
        <v>2163</v>
      </c>
    </row>
    <row r="175">
      <c r="A175" s="4" t="s">
        <v>2164</v>
      </c>
    </row>
    <row r="176">
      <c r="A176" s="4" t="s">
        <v>869</v>
      </c>
    </row>
    <row r="177">
      <c r="A177" s="4" t="s">
        <v>952</v>
      </c>
    </row>
    <row r="178">
      <c r="A178" s="4" t="s">
        <v>2159</v>
      </c>
    </row>
    <row r="179">
      <c r="A179" s="4" t="s">
        <v>2166</v>
      </c>
    </row>
    <row r="180">
      <c r="A180" s="4" t="s">
        <v>2159</v>
      </c>
    </row>
    <row r="181">
      <c r="A181" s="4" t="s">
        <v>2162</v>
      </c>
    </row>
    <row r="182">
      <c r="A182" s="4" t="s">
        <v>2163</v>
      </c>
    </row>
    <row r="183">
      <c r="A183" s="4" t="s">
        <v>2169</v>
      </c>
    </row>
    <row r="184">
      <c r="A184" s="4" t="s">
        <v>2167</v>
      </c>
    </row>
    <row r="185">
      <c r="A185" s="4" t="s">
        <v>2161</v>
      </c>
    </row>
    <row r="186">
      <c r="A186" s="4" t="s">
        <v>939</v>
      </c>
    </row>
    <row r="187">
      <c r="A187" s="4" t="s">
        <v>105</v>
      </c>
    </row>
    <row r="188">
      <c r="A188" s="4" t="s">
        <v>2160</v>
      </c>
    </row>
    <row r="189">
      <c r="A189" s="4" t="s">
        <v>2160</v>
      </c>
    </row>
    <row r="190">
      <c r="A190" s="4" t="s">
        <v>2169</v>
      </c>
    </row>
    <row r="191">
      <c r="A191" s="4" t="s">
        <v>2166</v>
      </c>
    </row>
    <row r="192">
      <c r="A192" s="4" t="s">
        <v>2159</v>
      </c>
    </row>
    <row r="193">
      <c r="A193" s="4" t="s">
        <v>1352</v>
      </c>
    </row>
    <row r="194">
      <c r="A194" s="4" t="s">
        <v>2164</v>
      </c>
    </row>
    <row r="195">
      <c r="A195" s="4" t="s">
        <v>1657</v>
      </c>
    </row>
    <row r="196">
      <c r="A196" s="4" t="s">
        <v>2165</v>
      </c>
    </row>
    <row r="197">
      <c r="A197" s="4" t="s">
        <v>105</v>
      </c>
    </row>
    <row r="198">
      <c r="A198" s="4" t="s">
        <v>1657</v>
      </c>
    </row>
    <row r="199">
      <c r="A199" s="4" t="s">
        <v>2158</v>
      </c>
    </row>
    <row r="200">
      <c r="A200" s="4" t="s">
        <v>939</v>
      </c>
    </row>
    <row r="201">
      <c r="A201" s="4" t="s">
        <v>2159</v>
      </c>
    </row>
    <row r="202">
      <c r="A202" s="4" t="s">
        <v>2159</v>
      </c>
    </row>
    <row r="203">
      <c r="A203" s="4" t="s">
        <v>2168</v>
      </c>
    </row>
    <row r="204">
      <c r="A204" s="4" t="s">
        <v>939</v>
      </c>
    </row>
    <row r="205">
      <c r="A205" s="4" t="s">
        <v>105</v>
      </c>
    </row>
    <row r="206">
      <c r="A206" s="4" t="s">
        <v>2166</v>
      </c>
    </row>
    <row r="207">
      <c r="A207" s="4" t="s">
        <v>2164</v>
      </c>
    </row>
    <row r="208">
      <c r="A208" s="4" t="s">
        <v>2158</v>
      </c>
    </row>
    <row r="209">
      <c r="A209" s="4" t="s">
        <v>1657</v>
      </c>
    </row>
    <row r="210">
      <c r="A210" s="4" t="s">
        <v>2160</v>
      </c>
    </row>
    <row r="211">
      <c r="A211" s="4" t="s">
        <v>939</v>
      </c>
    </row>
    <row r="212">
      <c r="A212" s="4" t="s">
        <v>939</v>
      </c>
    </row>
    <row r="213">
      <c r="A213" s="4" t="s">
        <v>2165</v>
      </c>
    </row>
    <row r="214">
      <c r="A214" s="4" t="s">
        <v>2167</v>
      </c>
    </row>
    <row r="215">
      <c r="A215" s="4" t="s">
        <v>1352</v>
      </c>
    </row>
    <row r="216">
      <c r="A216" s="4" t="s">
        <v>2167</v>
      </c>
    </row>
    <row r="217">
      <c r="A217" s="4" t="s">
        <v>2158</v>
      </c>
    </row>
    <row r="218">
      <c r="A218" s="4" t="s">
        <v>2168</v>
      </c>
    </row>
    <row r="219">
      <c r="A219" s="4" t="s">
        <v>1352</v>
      </c>
    </row>
    <row r="220">
      <c r="A220" s="4" t="s">
        <v>2166</v>
      </c>
    </row>
    <row r="221">
      <c r="A221" s="4" t="s">
        <v>1655</v>
      </c>
    </row>
    <row r="222">
      <c r="A222" s="4" t="s">
        <v>869</v>
      </c>
    </row>
    <row r="223">
      <c r="A223" s="4" t="s">
        <v>1655</v>
      </c>
    </row>
    <row r="224">
      <c r="A224" s="4" t="s">
        <v>952</v>
      </c>
    </row>
    <row r="225">
      <c r="A225" s="4" t="s">
        <v>939</v>
      </c>
    </row>
    <row r="226">
      <c r="A226" s="4" t="s">
        <v>939</v>
      </c>
    </row>
    <row r="227">
      <c r="A227" s="4" t="s">
        <v>2159</v>
      </c>
    </row>
    <row r="228">
      <c r="A228" s="4" t="s">
        <v>2163</v>
      </c>
    </row>
    <row r="229">
      <c r="A229" s="4" t="s">
        <v>1656</v>
      </c>
    </row>
    <row r="230">
      <c r="A230" s="4" t="s">
        <v>952</v>
      </c>
    </row>
    <row r="231">
      <c r="A231" s="4" t="s">
        <v>1656</v>
      </c>
    </row>
    <row r="232">
      <c r="A232" s="4" t="s">
        <v>952</v>
      </c>
    </row>
    <row r="233">
      <c r="A233" s="4" t="s">
        <v>2163</v>
      </c>
    </row>
    <row r="234">
      <c r="A234" s="4" t="s">
        <v>2166</v>
      </c>
    </row>
    <row r="235">
      <c r="A235" s="4" t="s">
        <v>2158</v>
      </c>
    </row>
    <row r="236">
      <c r="A236" s="4" t="s">
        <v>105</v>
      </c>
    </row>
    <row r="237">
      <c r="A237" s="4" t="s">
        <v>2164</v>
      </c>
    </row>
    <row r="238">
      <c r="A238" s="4" t="s">
        <v>2159</v>
      </c>
    </row>
    <row r="239">
      <c r="A239" s="4" t="s">
        <v>952</v>
      </c>
    </row>
    <row r="240">
      <c r="A240" s="4" t="s">
        <v>2162</v>
      </c>
    </row>
    <row r="241">
      <c r="A241" s="4" t="s">
        <v>1655</v>
      </c>
    </row>
    <row r="242">
      <c r="A242" s="4" t="s">
        <v>2166</v>
      </c>
    </row>
    <row r="243">
      <c r="A243" s="4" t="s">
        <v>1657</v>
      </c>
    </row>
    <row r="244">
      <c r="A244" s="4" t="s">
        <v>2159</v>
      </c>
    </row>
    <row r="245">
      <c r="A245" s="4" t="s">
        <v>105</v>
      </c>
    </row>
    <row r="246">
      <c r="A246" s="4" t="s">
        <v>2159</v>
      </c>
    </row>
    <row r="247">
      <c r="A247" s="4" t="s">
        <v>869</v>
      </c>
    </row>
    <row r="248">
      <c r="A248" s="4" t="s">
        <v>2160</v>
      </c>
    </row>
    <row r="249">
      <c r="A249" s="4" t="s">
        <v>2159</v>
      </c>
    </row>
    <row r="250">
      <c r="A250" s="4" t="s">
        <v>2165</v>
      </c>
    </row>
    <row r="251">
      <c r="A251" s="4" t="s">
        <v>952</v>
      </c>
    </row>
    <row r="252">
      <c r="A252" s="4" t="s">
        <v>2164</v>
      </c>
    </row>
    <row r="253">
      <c r="A253" s="4" t="s">
        <v>105</v>
      </c>
    </row>
    <row r="254">
      <c r="A254" s="4" t="s">
        <v>1657</v>
      </c>
    </row>
    <row r="255">
      <c r="A255" s="4" t="s">
        <v>2163</v>
      </c>
    </row>
    <row r="256">
      <c r="A256" s="4" t="s">
        <v>2162</v>
      </c>
    </row>
    <row r="257">
      <c r="A257" s="4" t="s">
        <v>2161</v>
      </c>
    </row>
    <row r="258">
      <c r="A258" s="4" t="s">
        <v>2159</v>
      </c>
    </row>
    <row r="259">
      <c r="A259" s="4" t="s">
        <v>2161</v>
      </c>
    </row>
    <row r="260">
      <c r="A260" s="4" t="s">
        <v>1352</v>
      </c>
    </row>
    <row r="261">
      <c r="A261" s="4" t="s">
        <v>1655</v>
      </c>
    </row>
    <row r="262">
      <c r="A262" s="4" t="s">
        <v>2164</v>
      </c>
    </row>
    <row r="263">
      <c r="A263" s="4" t="s">
        <v>1352</v>
      </c>
    </row>
    <row r="264">
      <c r="A264" s="4" t="s">
        <v>2167</v>
      </c>
    </row>
    <row r="265">
      <c r="A265" s="4" t="s">
        <v>2161</v>
      </c>
    </row>
    <row r="266">
      <c r="A266" s="4" t="s">
        <v>2163</v>
      </c>
    </row>
    <row r="267">
      <c r="A267" s="4" t="s">
        <v>2164</v>
      </c>
    </row>
    <row r="268">
      <c r="A268" s="4" t="s">
        <v>939</v>
      </c>
    </row>
    <row r="269">
      <c r="A269" s="4" t="s">
        <v>952</v>
      </c>
    </row>
    <row r="270">
      <c r="A270" s="4" t="s">
        <v>2168</v>
      </c>
    </row>
    <row r="271">
      <c r="A271" s="4" t="s">
        <v>105</v>
      </c>
    </row>
    <row r="272">
      <c r="A272" s="4" t="s">
        <v>2168</v>
      </c>
    </row>
    <row r="273">
      <c r="A273" s="4" t="s">
        <v>1656</v>
      </c>
    </row>
    <row r="274">
      <c r="A274" s="4" t="s">
        <v>105</v>
      </c>
    </row>
    <row r="275">
      <c r="A275" s="4" t="s">
        <v>2168</v>
      </c>
    </row>
    <row r="276">
      <c r="A276" s="4" t="s">
        <v>1657</v>
      </c>
    </row>
    <row r="277">
      <c r="A277" s="4" t="s">
        <v>1655</v>
      </c>
    </row>
    <row r="278">
      <c r="A278" s="4" t="s">
        <v>2162</v>
      </c>
    </row>
    <row r="279">
      <c r="A279" s="4" t="s">
        <v>2166</v>
      </c>
    </row>
    <row r="280">
      <c r="A280" s="4" t="s">
        <v>2168</v>
      </c>
    </row>
    <row r="281">
      <c r="A281" s="4" t="s">
        <v>1657</v>
      </c>
    </row>
    <row r="282">
      <c r="A282" s="4" t="s">
        <v>1655</v>
      </c>
    </row>
    <row r="283">
      <c r="A283" s="4" t="s">
        <v>952</v>
      </c>
    </row>
    <row r="284">
      <c r="A284" s="4" t="s">
        <v>2162</v>
      </c>
    </row>
    <row r="285">
      <c r="A285" s="4" t="s">
        <v>952</v>
      </c>
    </row>
    <row r="286">
      <c r="A286" s="4" t="s">
        <v>1352</v>
      </c>
    </row>
    <row r="287">
      <c r="A287" s="4" t="s">
        <v>2158</v>
      </c>
    </row>
    <row r="288">
      <c r="A288" s="4" t="s">
        <v>2166</v>
      </c>
    </row>
    <row r="289">
      <c r="A289" s="4" t="s">
        <v>952</v>
      </c>
    </row>
    <row r="290">
      <c r="A290" s="4" t="s">
        <v>2166</v>
      </c>
    </row>
    <row r="291">
      <c r="A291" s="4" t="s">
        <v>2166</v>
      </c>
    </row>
    <row r="292">
      <c r="A292" s="4" t="s">
        <v>2161</v>
      </c>
    </row>
    <row r="293">
      <c r="A293" s="4" t="s">
        <v>952</v>
      </c>
    </row>
    <row r="294">
      <c r="A294" s="4" t="s">
        <v>939</v>
      </c>
    </row>
    <row r="295">
      <c r="A295" s="4" t="s">
        <v>939</v>
      </c>
    </row>
    <row r="296">
      <c r="A296" s="4" t="s">
        <v>1656</v>
      </c>
    </row>
    <row r="297">
      <c r="A297" s="4" t="s">
        <v>939</v>
      </c>
    </row>
    <row r="298">
      <c r="A298" s="4" t="s">
        <v>2166</v>
      </c>
    </row>
    <row r="299">
      <c r="A299" s="4" t="s">
        <v>2164</v>
      </c>
    </row>
    <row r="300">
      <c r="A300" s="4" t="s">
        <v>1352</v>
      </c>
    </row>
    <row r="301">
      <c r="A301" s="4" t="s">
        <v>2163</v>
      </c>
    </row>
    <row r="302">
      <c r="A302" s="4" t="s">
        <v>869</v>
      </c>
    </row>
    <row r="303">
      <c r="A303" s="4" t="s">
        <v>2158</v>
      </c>
    </row>
    <row r="304">
      <c r="A304" s="4" t="s">
        <v>2164</v>
      </c>
    </row>
    <row r="305">
      <c r="A305" s="4" t="s">
        <v>869</v>
      </c>
    </row>
    <row r="306">
      <c r="A306" s="4" t="s">
        <v>2160</v>
      </c>
    </row>
    <row r="307">
      <c r="A307" s="4" t="s">
        <v>1656</v>
      </c>
    </row>
    <row r="308">
      <c r="A308" s="4" t="s">
        <v>105</v>
      </c>
    </row>
    <row r="309">
      <c r="A309" s="4" t="s">
        <v>1655</v>
      </c>
    </row>
    <row r="310">
      <c r="A310" s="4" t="s">
        <v>2158</v>
      </c>
    </row>
    <row r="311">
      <c r="A311" s="4" t="s">
        <v>1656</v>
      </c>
    </row>
    <row r="312">
      <c r="A312" s="4" t="s">
        <v>952</v>
      </c>
    </row>
    <row r="313">
      <c r="A313" s="4" t="s">
        <v>2163</v>
      </c>
    </row>
    <row r="314">
      <c r="A314" s="4" t="s">
        <v>2169</v>
      </c>
    </row>
    <row r="315">
      <c r="A315" s="4" t="s">
        <v>2161</v>
      </c>
    </row>
    <row r="316">
      <c r="A316" s="4" t="s">
        <v>1657</v>
      </c>
    </row>
    <row r="317">
      <c r="A317" s="4" t="s">
        <v>2167</v>
      </c>
    </row>
    <row r="318">
      <c r="A318" s="4" t="s">
        <v>2164</v>
      </c>
    </row>
    <row r="319">
      <c r="A319" s="4" t="s">
        <v>2159</v>
      </c>
    </row>
    <row r="320">
      <c r="A320" s="4" t="s">
        <v>2163</v>
      </c>
    </row>
    <row r="321">
      <c r="A321" s="4" t="s">
        <v>2168</v>
      </c>
    </row>
    <row r="322">
      <c r="A322" s="4" t="s">
        <v>2160</v>
      </c>
    </row>
    <row r="323">
      <c r="A323" s="4" t="s">
        <v>1657</v>
      </c>
    </row>
    <row r="324">
      <c r="A324" s="4" t="s">
        <v>2162</v>
      </c>
    </row>
    <row r="325">
      <c r="A325" s="4" t="s">
        <v>2164</v>
      </c>
    </row>
    <row r="326">
      <c r="A326" s="4" t="s">
        <v>2164</v>
      </c>
    </row>
    <row r="327">
      <c r="A327" s="4" t="s">
        <v>105</v>
      </c>
    </row>
    <row r="328">
      <c r="A328" s="4" t="s">
        <v>105</v>
      </c>
    </row>
    <row r="329">
      <c r="A329" s="4" t="s">
        <v>2160</v>
      </c>
    </row>
    <row r="330">
      <c r="A330" s="4" t="s">
        <v>2162</v>
      </c>
    </row>
    <row r="331">
      <c r="A331" s="4" t="s">
        <v>2160</v>
      </c>
    </row>
    <row r="332">
      <c r="A332" s="4" t="s">
        <v>2160</v>
      </c>
    </row>
    <row r="333">
      <c r="A333" s="4" t="s">
        <v>1655</v>
      </c>
    </row>
    <row r="334">
      <c r="A334" s="4" t="s">
        <v>1655</v>
      </c>
    </row>
    <row r="335">
      <c r="A335" s="4" t="s">
        <v>1656</v>
      </c>
    </row>
    <row r="336">
      <c r="A336" s="4" t="s">
        <v>2159</v>
      </c>
    </row>
    <row r="337">
      <c r="A337" s="4" t="s">
        <v>1657</v>
      </c>
    </row>
    <row r="338">
      <c r="A338" s="4" t="s">
        <v>1657</v>
      </c>
    </row>
    <row r="339">
      <c r="A339" s="4" t="s">
        <v>2160</v>
      </c>
    </row>
    <row r="340">
      <c r="A340" s="4" t="s">
        <v>2169</v>
      </c>
    </row>
    <row r="341">
      <c r="A341" s="4" t="s">
        <v>2158</v>
      </c>
    </row>
    <row r="342">
      <c r="A342" s="4" t="s">
        <v>869</v>
      </c>
    </row>
    <row r="343">
      <c r="A343" s="4" t="s">
        <v>2167</v>
      </c>
    </row>
    <row r="344">
      <c r="A344" s="4" t="s">
        <v>2161</v>
      </c>
    </row>
    <row r="345">
      <c r="A345" s="4" t="s">
        <v>2160</v>
      </c>
    </row>
    <row r="346">
      <c r="A346" s="4" t="s">
        <v>2160</v>
      </c>
    </row>
    <row r="347">
      <c r="A347" s="4" t="s">
        <v>2168</v>
      </c>
    </row>
    <row r="348">
      <c r="A348" s="4" t="s">
        <v>1656</v>
      </c>
    </row>
    <row r="349">
      <c r="A349" s="4" t="s">
        <v>1352</v>
      </c>
    </row>
    <row r="350">
      <c r="A350" s="4" t="s">
        <v>1655</v>
      </c>
    </row>
    <row r="351">
      <c r="A351" s="4" t="s">
        <v>2159</v>
      </c>
    </row>
    <row r="352">
      <c r="A352" s="4" t="s">
        <v>2166</v>
      </c>
    </row>
    <row r="353">
      <c r="A353" s="4" t="s">
        <v>952</v>
      </c>
    </row>
    <row r="354">
      <c r="A354" s="4" t="s">
        <v>2167</v>
      </c>
    </row>
    <row r="355">
      <c r="A355" s="4" t="s">
        <v>2168</v>
      </c>
    </row>
    <row r="356">
      <c r="A356" s="4" t="s">
        <v>869</v>
      </c>
    </row>
    <row r="357">
      <c r="A357" s="4" t="s">
        <v>2167</v>
      </c>
    </row>
    <row r="358">
      <c r="A358" s="4" t="s">
        <v>1352</v>
      </c>
    </row>
    <row r="359">
      <c r="A359" s="4" t="s">
        <v>939</v>
      </c>
    </row>
    <row r="360">
      <c r="A360" s="4" t="s">
        <v>2163</v>
      </c>
    </row>
    <row r="361">
      <c r="A361" s="4" t="s">
        <v>2162</v>
      </c>
    </row>
    <row r="362">
      <c r="A362" s="4" t="s">
        <v>2164</v>
      </c>
    </row>
    <row r="363">
      <c r="A363" s="4" t="s">
        <v>2163</v>
      </c>
    </row>
    <row r="364">
      <c r="A364" s="4" t="s">
        <v>105</v>
      </c>
    </row>
    <row r="365">
      <c r="A365" s="4" t="s">
        <v>2163</v>
      </c>
    </row>
    <row r="366">
      <c r="A366" s="4" t="s">
        <v>2164</v>
      </c>
    </row>
    <row r="367">
      <c r="A367" s="4" t="s">
        <v>2163</v>
      </c>
    </row>
    <row r="368">
      <c r="A368" s="4" t="s">
        <v>939</v>
      </c>
    </row>
    <row r="369">
      <c r="A369" s="4" t="s">
        <v>2166</v>
      </c>
    </row>
    <row r="370">
      <c r="A370" s="4" t="s">
        <v>1352</v>
      </c>
    </row>
    <row r="371">
      <c r="A371" s="4" t="s">
        <v>2160</v>
      </c>
    </row>
    <row r="372">
      <c r="A372" s="4" t="s">
        <v>2164</v>
      </c>
    </row>
    <row r="373">
      <c r="A373" s="4" t="s">
        <v>2168</v>
      </c>
    </row>
    <row r="374">
      <c r="A374" s="4" t="s">
        <v>952</v>
      </c>
    </row>
    <row r="375">
      <c r="A375" s="4" t="s">
        <v>1655</v>
      </c>
    </row>
    <row r="376">
      <c r="A376" s="4" t="s">
        <v>2163</v>
      </c>
    </row>
    <row r="377">
      <c r="A377" s="4" t="s">
        <v>2165</v>
      </c>
    </row>
    <row r="378">
      <c r="A378" s="4" t="s">
        <v>2163</v>
      </c>
    </row>
    <row r="379">
      <c r="A379" s="4" t="s">
        <v>2168</v>
      </c>
    </row>
    <row r="380">
      <c r="A380" s="4" t="s">
        <v>2159</v>
      </c>
    </row>
    <row r="381">
      <c r="A381" s="4" t="s">
        <v>2167</v>
      </c>
    </row>
    <row r="382">
      <c r="A382" s="4" t="s">
        <v>105</v>
      </c>
    </row>
    <row r="383">
      <c r="A383" s="4" t="s">
        <v>2159</v>
      </c>
    </row>
    <row r="384">
      <c r="A384" s="4" t="s">
        <v>939</v>
      </c>
    </row>
    <row r="385">
      <c r="A385" s="4" t="s">
        <v>2159</v>
      </c>
    </row>
    <row r="386">
      <c r="A386" s="4" t="s">
        <v>2162</v>
      </c>
    </row>
    <row r="387">
      <c r="A387" s="4" t="s">
        <v>2164</v>
      </c>
    </row>
    <row r="388">
      <c r="A388" s="4" t="s">
        <v>2169</v>
      </c>
    </row>
    <row r="389">
      <c r="A389" s="4" t="s">
        <v>2159</v>
      </c>
    </row>
    <row r="390">
      <c r="A390" s="4" t="s">
        <v>1657</v>
      </c>
    </row>
    <row r="391">
      <c r="A391" s="4" t="s">
        <v>2161</v>
      </c>
    </row>
    <row r="392">
      <c r="A392" s="4" t="s">
        <v>2166</v>
      </c>
    </row>
    <row r="393">
      <c r="A393" s="4" t="s">
        <v>1352</v>
      </c>
    </row>
    <row r="394">
      <c r="A394" s="4" t="s">
        <v>105</v>
      </c>
    </row>
    <row r="395">
      <c r="A395" s="4" t="s">
        <v>2158</v>
      </c>
    </row>
    <row r="396">
      <c r="A396" s="4" t="s">
        <v>1656</v>
      </c>
    </row>
    <row r="397">
      <c r="A397" s="4" t="s">
        <v>2164</v>
      </c>
    </row>
    <row r="398">
      <c r="A398" s="4" t="s">
        <v>2159</v>
      </c>
    </row>
    <row r="399">
      <c r="A399" s="4" t="s">
        <v>2160</v>
      </c>
    </row>
    <row r="400">
      <c r="A400" s="4" t="s">
        <v>869</v>
      </c>
    </row>
    <row r="401">
      <c r="A401" s="4" t="s">
        <v>2167</v>
      </c>
    </row>
    <row r="402">
      <c r="A402" s="4" t="s">
        <v>2159</v>
      </c>
    </row>
    <row r="403">
      <c r="A403" s="4" t="s">
        <v>952</v>
      </c>
    </row>
    <row r="404">
      <c r="A404" s="4" t="s">
        <v>1352</v>
      </c>
    </row>
    <row r="405">
      <c r="A405" s="4" t="s">
        <v>1656</v>
      </c>
    </row>
    <row r="406">
      <c r="A406" s="4" t="s">
        <v>869</v>
      </c>
    </row>
    <row r="407">
      <c r="A407" s="4" t="s">
        <v>2167</v>
      </c>
    </row>
    <row r="408">
      <c r="A408" s="4" t="s">
        <v>2168</v>
      </c>
    </row>
    <row r="409">
      <c r="A409" s="4" t="s">
        <v>1656</v>
      </c>
    </row>
    <row r="410">
      <c r="A410" s="4" t="s">
        <v>869</v>
      </c>
    </row>
    <row r="411">
      <c r="A411" s="4" t="s">
        <v>939</v>
      </c>
    </row>
    <row r="412">
      <c r="A412" s="4" t="s">
        <v>2158</v>
      </c>
    </row>
    <row r="413">
      <c r="A413" s="4" t="s">
        <v>2164</v>
      </c>
    </row>
    <row r="414">
      <c r="A414" s="4" t="s">
        <v>105</v>
      </c>
    </row>
    <row r="415">
      <c r="A415" s="4" t="s">
        <v>2161</v>
      </c>
    </row>
    <row r="416">
      <c r="A416" s="4" t="s">
        <v>952</v>
      </c>
    </row>
    <row r="417">
      <c r="A417" s="4" t="s">
        <v>2163</v>
      </c>
    </row>
    <row r="418">
      <c r="A418" s="4" t="s">
        <v>1655</v>
      </c>
    </row>
    <row r="419">
      <c r="A419" s="4" t="s">
        <v>105</v>
      </c>
    </row>
    <row r="420">
      <c r="A420" s="4" t="s">
        <v>2161</v>
      </c>
    </row>
    <row r="421">
      <c r="A421" s="4" t="s">
        <v>2160</v>
      </c>
    </row>
    <row r="422">
      <c r="A422" s="4" t="s">
        <v>2163</v>
      </c>
    </row>
    <row r="423">
      <c r="A423" s="4" t="s">
        <v>2161</v>
      </c>
    </row>
    <row r="424">
      <c r="A424" s="4" t="s">
        <v>869</v>
      </c>
    </row>
    <row r="425">
      <c r="A425" s="4" t="s">
        <v>869</v>
      </c>
    </row>
    <row r="426">
      <c r="A426" s="4" t="s">
        <v>1352</v>
      </c>
    </row>
    <row r="427">
      <c r="A427" s="4" t="s">
        <v>869</v>
      </c>
    </row>
    <row r="428">
      <c r="A428" s="4" t="s">
        <v>939</v>
      </c>
    </row>
    <row r="429">
      <c r="A429" s="4" t="s">
        <v>2169</v>
      </c>
    </row>
    <row r="430">
      <c r="A430" s="4" t="s">
        <v>1656</v>
      </c>
    </row>
    <row r="431">
      <c r="A431" s="4" t="s">
        <v>2158</v>
      </c>
    </row>
    <row r="432">
      <c r="A432" s="4" t="s">
        <v>105</v>
      </c>
    </row>
    <row r="433">
      <c r="A433" s="4" t="s">
        <v>2158</v>
      </c>
    </row>
    <row r="434">
      <c r="A434" s="4" t="s">
        <v>105</v>
      </c>
    </row>
    <row r="435">
      <c r="A435" s="4" t="s">
        <v>105</v>
      </c>
    </row>
    <row r="436">
      <c r="A436" s="4" t="s">
        <v>2162</v>
      </c>
    </row>
    <row r="437">
      <c r="A437" s="4" t="s">
        <v>1352</v>
      </c>
    </row>
    <row r="438">
      <c r="A438" s="4" t="s">
        <v>2167</v>
      </c>
    </row>
    <row r="439">
      <c r="A439" s="4" t="s">
        <v>2163</v>
      </c>
    </row>
    <row r="440">
      <c r="A440" s="4" t="s">
        <v>2159</v>
      </c>
    </row>
    <row r="441">
      <c r="A441" s="4" t="s">
        <v>105</v>
      </c>
    </row>
    <row r="442">
      <c r="A442" s="4" t="s">
        <v>1656</v>
      </c>
    </row>
    <row r="443">
      <c r="A443" s="4" t="s">
        <v>869</v>
      </c>
    </row>
    <row r="444">
      <c r="A444" s="4" t="s">
        <v>2159</v>
      </c>
    </row>
    <row r="445">
      <c r="A445" s="4" t="s">
        <v>1352</v>
      </c>
    </row>
    <row r="446">
      <c r="A446" s="4" t="s">
        <v>2166</v>
      </c>
    </row>
    <row r="447">
      <c r="A447" s="4" t="s">
        <v>2166</v>
      </c>
    </row>
    <row r="448">
      <c r="A448" s="4" t="s">
        <v>869</v>
      </c>
    </row>
    <row r="449">
      <c r="A449" s="4" t="s">
        <v>2168</v>
      </c>
    </row>
    <row r="450">
      <c r="A450" s="4" t="s">
        <v>2159</v>
      </c>
    </row>
    <row r="451">
      <c r="A451" s="4" t="s">
        <v>1656</v>
      </c>
    </row>
    <row r="452">
      <c r="A452" s="4" t="s">
        <v>2166</v>
      </c>
    </row>
    <row r="453">
      <c r="A453" s="4" t="s">
        <v>939</v>
      </c>
    </row>
    <row r="454">
      <c r="A454" s="4" t="s">
        <v>939</v>
      </c>
    </row>
    <row r="455">
      <c r="A455" s="4" t="s">
        <v>1655</v>
      </c>
    </row>
    <row r="456">
      <c r="A456" s="4" t="s">
        <v>2160</v>
      </c>
    </row>
    <row r="457">
      <c r="A457" s="4" t="s">
        <v>2162</v>
      </c>
    </row>
    <row r="458">
      <c r="A458" s="4" t="s">
        <v>2162</v>
      </c>
    </row>
    <row r="459">
      <c r="A459" s="4" t="s">
        <v>2167</v>
      </c>
    </row>
    <row r="460">
      <c r="A460" s="4" t="s">
        <v>2166</v>
      </c>
    </row>
    <row r="461">
      <c r="A461" s="4" t="s">
        <v>2159</v>
      </c>
    </row>
    <row r="462">
      <c r="A462" s="4" t="s">
        <v>1657</v>
      </c>
    </row>
    <row r="463">
      <c r="A463" s="4" t="s">
        <v>2165</v>
      </c>
    </row>
    <row r="464">
      <c r="A464" s="4" t="s">
        <v>952</v>
      </c>
    </row>
    <row r="465">
      <c r="A465" s="4" t="s">
        <v>1352</v>
      </c>
    </row>
    <row r="466">
      <c r="A466" s="4" t="s">
        <v>1352</v>
      </c>
    </row>
    <row r="467">
      <c r="A467" s="4" t="s">
        <v>2162</v>
      </c>
    </row>
    <row r="468">
      <c r="A468" s="4" t="s">
        <v>1352</v>
      </c>
    </row>
    <row r="469">
      <c r="A469" s="4" t="s">
        <v>2168</v>
      </c>
    </row>
    <row r="470">
      <c r="A470" s="4" t="s">
        <v>2163</v>
      </c>
    </row>
    <row r="471">
      <c r="A471" s="4" t="s">
        <v>2167</v>
      </c>
    </row>
    <row r="472">
      <c r="A472" s="4" t="s">
        <v>2169</v>
      </c>
    </row>
    <row r="473">
      <c r="A473" s="4" t="s">
        <v>1352</v>
      </c>
    </row>
    <row r="474">
      <c r="A474" s="4" t="s">
        <v>2162</v>
      </c>
    </row>
    <row r="475">
      <c r="A475" s="4" t="s">
        <v>2161</v>
      </c>
    </row>
    <row r="476">
      <c r="A476" s="4" t="s">
        <v>2169</v>
      </c>
    </row>
    <row r="477">
      <c r="A477" s="4" t="s">
        <v>869</v>
      </c>
    </row>
    <row r="478">
      <c r="A478" s="4" t="s">
        <v>105</v>
      </c>
    </row>
    <row r="479">
      <c r="A479" s="4" t="s">
        <v>2164</v>
      </c>
    </row>
    <row r="480">
      <c r="A480" s="4" t="s">
        <v>1655</v>
      </c>
    </row>
    <row r="481">
      <c r="A481" s="4" t="s">
        <v>1657</v>
      </c>
    </row>
    <row r="482">
      <c r="A482" s="4" t="s">
        <v>1656</v>
      </c>
    </row>
    <row r="483">
      <c r="A483" s="4" t="s">
        <v>939</v>
      </c>
    </row>
    <row r="484">
      <c r="A484" s="4" t="s">
        <v>2169</v>
      </c>
    </row>
    <row r="485">
      <c r="A485" s="4" t="s">
        <v>2165</v>
      </c>
    </row>
    <row r="486">
      <c r="A486" s="4" t="s">
        <v>939</v>
      </c>
    </row>
    <row r="487">
      <c r="A487" s="4" t="s">
        <v>2158</v>
      </c>
    </row>
    <row r="488">
      <c r="A488" s="4" t="s">
        <v>2166</v>
      </c>
    </row>
    <row r="489">
      <c r="A489" s="4" t="s">
        <v>2161</v>
      </c>
    </row>
    <row r="490">
      <c r="A490" s="4" t="s">
        <v>952</v>
      </c>
    </row>
    <row r="491">
      <c r="A491" s="4" t="s">
        <v>1352</v>
      </c>
    </row>
    <row r="492">
      <c r="A492" s="4" t="s">
        <v>2164</v>
      </c>
    </row>
    <row r="493">
      <c r="A493" s="4" t="s">
        <v>2166</v>
      </c>
    </row>
    <row r="494">
      <c r="A494" s="4" t="s">
        <v>1352</v>
      </c>
    </row>
    <row r="495">
      <c r="A495" s="4" t="s">
        <v>869</v>
      </c>
    </row>
    <row r="496">
      <c r="A496" s="4" t="s">
        <v>2159</v>
      </c>
    </row>
    <row r="497">
      <c r="A497" s="4" t="s">
        <v>2165</v>
      </c>
    </row>
    <row r="498">
      <c r="A498" s="4" t="s">
        <v>939</v>
      </c>
    </row>
    <row r="499">
      <c r="A499" s="4" t="s">
        <v>2166</v>
      </c>
    </row>
    <row r="500">
      <c r="A500" s="4" t="s">
        <v>2158</v>
      </c>
    </row>
    <row r="501">
      <c r="A501" s="4" t="s">
        <v>2163</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2189</v>
      </c>
      <c r="D2" s="4" t="str">
        <f t="shared" ref="D2:D501" si="1">C2</f>
        <v>{"valorA":"purificador de água","valorB":1}</v>
      </c>
      <c r="E2" s="8" t="str">
        <f t="shared" ref="E2:E501" si="2">SUBSTITUTE(MID(C2,FIND(":",C2)+1,FIND(",",C2)-FIND(":",C2)-1),"""","")</f>
        <v>purificador de água</v>
      </c>
      <c r="F2" s="8" t="str">
        <f>IFERROR(__xludf.DUMMYFUNCTION("UNIQUE(E2:E501)"),"purificador de água")</f>
        <v>purificador de água</v>
      </c>
      <c r="G2" s="8" t="str">
        <f t="shared" ref="G2:G501" si="3">MID(C2,FIND("valorB",C2)+8,FIND("}",C2)-FIND("valorB",C2)-8)</f>
        <v>1</v>
      </c>
      <c r="H2" s="9">
        <f t="shared" ref="H2:H501" si="4">VALUE(SUBSTITUTE(G2,".",","))</f>
        <v>1</v>
      </c>
      <c r="I2" s="10">
        <f>IFERROR(__xludf.DUMMYFUNCTION("MAX(FILTER($H:$H,$E:$E=F2))"),34.0)</f>
        <v>34</v>
      </c>
    </row>
    <row r="3">
      <c r="A3" s="4"/>
      <c r="C3" s="4" t="s">
        <v>2177</v>
      </c>
      <c r="D3" s="4" t="str">
        <f t="shared" si="1"/>
        <v>{"valorA":"relógio","valorB":1}</v>
      </c>
      <c r="E3" s="8" t="str">
        <f t="shared" si="2"/>
        <v>relógio</v>
      </c>
      <c r="F3" s="8" t="str">
        <f>IFERROR(__xludf.DUMMYFUNCTION("""COMPUTED_VALUE"""),"relógio")</f>
        <v>relógio</v>
      </c>
      <c r="G3" s="8" t="str">
        <f t="shared" si="3"/>
        <v>1</v>
      </c>
      <c r="H3" s="9">
        <f t="shared" si="4"/>
        <v>1</v>
      </c>
      <c r="I3" s="10">
        <f>IFERROR(__xludf.DUMMYFUNCTION("MAX(FILTER($H:$H,$E:$E=F3))"),32.0)</f>
        <v>32</v>
      </c>
    </row>
    <row r="4">
      <c r="A4" s="4"/>
      <c r="C4" s="4" t="s">
        <v>2191</v>
      </c>
      <c r="D4" s="4" t="str">
        <f t="shared" si="1"/>
        <v>{"valorA":"carregador de computador","valorB":1}</v>
      </c>
      <c r="E4" s="8" t="str">
        <f t="shared" si="2"/>
        <v>carregador de computador</v>
      </c>
      <c r="F4" s="8" t="str">
        <f>IFERROR(__xludf.DUMMYFUNCTION("""COMPUTED_VALUE"""),"carregador de computador")</f>
        <v>carregador de computador</v>
      </c>
      <c r="G4" s="8" t="str">
        <f t="shared" si="3"/>
        <v>1</v>
      </c>
      <c r="H4" s="9">
        <f t="shared" si="4"/>
        <v>1</v>
      </c>
      <c r="I4" s="10">
        <f>IFERROR(__xludf.DUMMYFUNCTION("MAX(FILTER($H:$H,$E:$E=F4))"),30.0)</f>
        <v>30</v>
      </c>
    </row>
    <row r="5">
      <c r="A5" s="4"/>
      <c r="C5" s="4" t="s">
        <v>2203</v>
      </c>
      <c r="D5" s="4" t="str">
        <f t="shared" si="1"/>
        <v>{"valorA":"lustre","valorB":1}</v>
      </c>
      <c r="E5" s="8" t="str">
        <f t="shared" si="2"/>
        <v>lustre</v>
      </c>
      <c r="F5" s="8" t="str">
        <f>IFERROR(__xludf.DUMMYFUNCTION("""COMPUTED_VALUE"""),"lustre")</f>
        <v>lustre</v>
      </c>
      <c r="G5" s="8" t="str">
        <f t="shared" si="3"/>
        <v>1</v>
      </c>
      <c r="H5" s="9">
        <f t="shared" si="4"/>
        <v>1</v>
      </c>
      <c r="I5" s="10">
        <f>IFERROR(__xludf.DUMMYFUNCTION("MAX(FILTER($H:$H,$E:$E=F5))"),24.0)</f>
        <v>24</v>
      </c>
    </row>
    <row r="6">
      <c r="A6" s="4"/>
      <c r="C6" s="4" t="s">
        <v>2192</v>
      </c>
      <c r="D6" s="4" t="str">
        <f t="shared" si="1"/>
        <v>{"valorA":"purificador de água","valorB":2}</v>
      </c>
      <c r="E6" s="8" t="str">
        <f t="shared" si="2"/>
        <v>purificador de água</v>
      </c>
      <c r="F6" s="8" t="str">
        <f>IFERROR(__xludf.DUMMYFUNCTION("""COMPUTED_VALUE"""),"liquidificador")</f>
        <v>liquidificador</v>
      </c>
      <c r="G6" s="8" t="str">
        <f t="shared" si="3"/>
        <v>2</v>
      </c>
      <c r="H6" s="9">
        <f t="shared" si="4"/>
        <v>2</v>
      </c>
      <c r="I6" s="10">
        <f>IFERROR(__xludf.DUMMYFUNCTION("MAX(FILTER($H:$H,$E:$E=F6))"),27.0)</f>
        <v>27</v>
      </c>
    </row>
    <row r="7">
      <c r="A7" s="4"/>
      <c r="C7" s="4" t="s">
        <v>2178</v>
      </c>
      <c r="D7" s="4" t="str">
        <f t="shared" si="1"/>
        <v>{"valorA":"liquidificador","valorB":1}</v>
      </c>
      <c r="E7" s="8" t="str">
        <f t="shared" si="2"/>
        <v>liquidificador</v>
      </c>
      <c r="F7" s="8" t="str">
        <f>IFERROR(__xludf.DUMMYFUNCTION("""COMPUTED_VALUE"""),"ventilador")</f>
        <v>ventilador</v>
      </c>
      <c r="G7" s="8" t="str">
        <f t="shared" si="3"/>
        <v>1</v>
      </c>
      <c r="H7" s="9">
        <f t="shared" si="4"/>
        <v>1</v>
      </c>
      <c r="I7" s="10">
        <f>IFERROR(__xludf.DUMMYFUNCTION("MAX(FILTER($H:$H,$E:$E=F7))"),31.0)</f>
        <v>31</v>
      </c>
    </row>
    <row r="8">
      <c r="A8" s="4"/>
      <c r="C8" s="4" t="s">
        <v>2172</v>
      </c>
      <c r="D8" s="4" t="str">
        <f t="shared" si="1"/>
        <v>{"valorA":"ventilador","valorB":1}</v>
      </c>
      <c r="E8" s="8" t="str">
        <f t="shared" si="2"/>
        <v>ventilador</v>
      </c>
      <c r="F8" s="8" t="str">
        <f>IFERROR(__xludf.DUMMYFUNCTION("""COMPUTED_VALUE"""),"fogão")</f>
        <v>fogão</v>
      </c>
      <c r="G8" s="8" t="str">
        <f t="shared" si="3"/>
        <v>1</v>
      </c>
      <c r="H8" s="9">
        <f t="shared" si="4"/>
        <v>1</v>
      </c>
      <c r="I8" s="10">
        <f>IFERROR(__xludf.DUMMYFUNCTION("MAX(FILTER($H:$H,$E:$E=F8))"),31.0)</f>
        <v>31</v>
      </c>
    </row>
    <row r="9">
      <c r="A9" s="4"/>
      <c r="C9" s="4" t="s">
        <v>2196</v>
      </c>
      <c r="D9" s="4" t="str">
        <f t="shared" si="1"/>
        <v>{"valorA":"carregador de computador","valorB":2}</v>
      </c>
      <c r="E9" s="8" t="str">
        <f t="shared" si="2"/>
        <v>carregador de computador</v>
      </c>
      <c r="F9" s="8" t="str">
        <f>IFERROR(__xludf.DUMMYFUNCTION("""COMPUTED_VALUE"""),"fone de ouvido")</f>
        <v>fone de ouvido</v>
      </c>
      <c r="G9" s="8" t="str">
        <f t="shared" si="3"/>
        <v>2</v>
      </c>
      <c r="H9" s="9">
        <f t="shared" si="4"/>
        <v>2</v>
      </c>
      <c r="I9" s="10">
        <f>IFERROR(__xludf.DUMMYFUNCTION("MAX(FILTER($H:$H,$E:$E=F9))"),23.0)</f>
        <v>23</v>
      </c>
    </row>
    <row r="10">
      <c r="A10" s="4"/>
      <c r="C10" s="4" t="s">
        <v>2210</v>
      </c>
      <c r="D10" s="4" t="str">
        <f t="shared" si="1"/>
        <v>{"valorA":"lustre","valorB":2}</v>
      </c>
      <c r="E10" s="8" t="str">
        <f t="shared" si="2"/>
        <v>lustre</v>
      </c>
      <c r="F10" s="8" t="str">
        <f>IFERROR(__xludf.DUMMYFUNCTION("""COMPUTED_VALUE"""),"chuveiro elétrico")</f>
        <v>chuveiro elétrico</v>
      </c>
      <c r="G10" s="8" t="str">
        <f t="shared" si="3"/>
        <v>2</v>
      </c>
      <c r="H10" s="9">
        <f t="shared" si="4"/>
        <v>2</v>
      </c>
      <c r="I10" s="10">
        <f>IFERROR(__xludf.DUMMYFUNCTION("MAX(FILTER($H:$H,$E:$E=F10))"),23.0)</f>
        <v>23</v>
      </c>
    </row>
    <row r="11">
      <c r="A11" s="4"/>
      <c r="C11" s="4" t="s">
        <v>2175</v>
      </c>
      <c r="D11" s="4" t="str">
        <f t="shared" si="1"/>
        <v>{"valorA":"fogão","valorB":1}</v>
      </c>
      <c r="E11" s="8" t="str">
        <f t="shared" si="2"/>
        <v>fogão</v>
      </c>
      <c r="F11" s="8" t="str">
        <f>IFERROR(__xludf.DUMMYFUNCTION("""COMPUTED_VALUE"""),"freezer")</f>
        <v>freezer</v>
      </c>
      <c r="G11" s="8" t="str">
        <f t="shared" si="3"/>
        <v>1</v>
      </c>
      <c r="H11" s="9">
        <f t="shared" si="4"/>
        <v>1</v>
      </c>
      <c r="I11" s="10">
        <f>IFERROR(__xludf.DUMMYFUNCTION("MAX(FILTER($H:$H,$E:$E=F11))"),30.0)</f>
        <v>30</v>
      </c>
    </row>
    <row r="12">
      <c r="A12" s="4"/>
      <c r="C12" s="4" t="s">
        <v>2176</v>
      </c>
      <c r="D12" s="4" t="str">
        <f t="shared" si="1"/>
        <v>{"valorA":"fone de ouvido","valorB":1}</v>
      </c>
      <c r="E12" s="8" t="str">
        <f t="shared" si="2"/>
        <v>fone de ouvido</v>
      </c>
      <c r="F12" s="8" t="str">
        <f>IFERROR(__xludf.DUMMYFUNCTION("""COMPUTED_VALUE"""),"microondas")</f>
        <v>microondas</v>
      </c>
      <c r="G12" s="8" t="str">
        <f t="shared" si="3"/>
        <v>1</v>
      </c>
      <c r="H12" s="9">
        <f t="shared" si="4"/>
        <v>1</v>
      </c>
      <c r="I12" s="10">
        <f>IFERROR(__xludf.DUMMYFUNCTION("MAX(FILTER($H:$H,$E:$E=F12))"),22.0)</f>
        <v>22</v>
      </c>
    </row>
    <row r="13">
      <c r="A13" s="4"/>
      <c r="C13" s="4" t="s">
        <v>2174</v>
      </c>
      <c r="D13" s="4" t="str">
        <f t="shared" si="1"/>
        <v>{"valorA":"chuveiro elétrico","valorB":1}</v>
      </c>
      <c r="E13" s="8" t="str">
        <f t="shared" si="2"/>
        <v>chuveiro elétrico</v>
      </c>
      <c r="F13" s="8" t="str">
        <f>IFERROR(__xludf.DUMMYFUNCTION("""COMPUTED_VALUE"""),"filtro de linha")</f>
        <v>filtro de linha</v>
      </c>
      <c r="G13" s="8" t="str">
        <f t="shared" si="3"/>
        <v>1</v>
      </c>
      <c r="H13" s="9">
        <f t="shared" si="4"/>
        <v>1</v>
      </c>
      <c r="I13" s="10">
        <f>IFERROR(__xludf.DUMMYFUNCTION("MAX(FILTER($H:$H,$E:$E=F13))"),14.0)</f>
        <v>14</v>
      </c>
    </row>
    <row r="14">
      <c r="A14" s="4"/>
      <c r="C14" s="4" t="s">
        <v>1659</v>
      </c>
      <c r="D14" s="4" t="str">
        <f t="shared" si="1"/>
        <v>{"valorA":"freezer","valorB":1}</v>
      </c>
      <c r="E14" s="8" t="str">
        <f t="shared" si="2"/>
        <v>freezer</v>
      </c>
      <c r="F14" s="8" t="str">
        <f>IFERROR(__xludf.DUMMYFUNCTION("""COMPUTED_VALUE"""),"mouse de computador")</f>
        <v>mouse de computador</v>
      </c>
      <c r="G14" s="8" t="str">
        <f t="shared" si="3"/>
        <v>1</v>
      </c>
      <c r="H14" s="9">
        <f t="shared" si="4"/>
        <v>1</v>
      </c>
      <c r="I14" s="10">
        <f>IFERROR(__xludf.DUMMYFUNCTION("MAX(FILTER($H:$H,$E:$E=F14))"),16.0)</f>
        <v>16</v>
      </c>
    </row>
    <row r="15">
      <c r="A15" s="4"/>
      <c r="C15" s="4" t="s">
        <v>1660</v>
      </c>
      <c r="D15" s="4" t="str">
        <f t="shared" si="1"/>
        <v>{"valorA":"freezer","valorB":2}</v>
      </c>
      <c r="E15" s="8" t="str">
        <f t="shared" si="2"/>
        <v>freezer</v>
      </c>
      <c r="F15" s="8" t="str">
        <f>IFERROR(__xludf.DUMMYFUNCTION("""COMPUTED_VALUE"""),"aspirador")</f>
        <v>aspirador</v>
      </c>
      <c r="G15" s="8" t="str">
        <f t="shared" si="3"/>
        <v>2</v>
      </c>
      <c r="H15" s="9">
        <f t="shared" si="4"/>
        <v>2</v>
      </c>
      <c r="I15" s="10">
        <f>IFERROR(__xludf.DUMMYFUNCTION("MAX(FILTER($H:$H,$E:$E=F15))"),30.0)</f>
        <v>30</v>
      </c>
    </row>
    <row r="16">
      <c r="A16" s="4"/>
      <c r="C16" s="4" t="s">
        <v>1693</v>
      </c>
      <c r="D16" s="4" t="str">
        <f t="shared" si="1"/>
        <v>{"valorA":"microondas","valorB":1}</v>
      </c>
      <c r="E16" s="8" t="str">
        <f t="shared" si="2"/>
        <v>microondas</v>
      </c>
      <c r="F16" s="8" t="str">
        <f>IFERROR(__xludf.DUMMYFUNCTION("""COMPUTED_VALUE"""),"teclado de computador")</f>
        <v>teclado de computador</v>
      </c>
      <c r="G16" s="8" t="str">
        <f t="shared" si="3"/>
        <v>1</v>
      </c>
      <c r="H16" s="9">
        <f t="shared" si="4"/>
        <v>1</v>
      </c>
      <c r="I16" s="10">
        <f>IFERROR(__xludf.DUMMYFUNCTION("MAX(FILTER($H:$H,$E:$E=F16))"),30.0)</f>
        <v>30</v>
      </c>
    </row>
    <row r="17">
      <c r="A17" s="4"/>
      <c r="C17" s="4" t="s">
        <v>2201</v>
      </c>
      <c r="D17" s="4" t="str">
        <f t="shared" si="1"/>
        <v>{"valorA":"purificador de água","valorB":3}</v>
      </c>
      <c r="E17" s="8" t="str">
        <f t="shared" si="2"/>
        <v>purificador de água</v>
      </c>
      <c r="F17" s="8" t="str">
        <f>IFERROR(__xludf.DUMMYFUNCTION("""COMPUTED_VALUE"""),"roteador")</f>
        <v>roteador</v>
      </c>
      <c r="G17" s="8" t="str">
        <f t="shared" si="3"/>
        <v>3</v>
      </c>
      <c r="H17" s="9">
        <f t="shared" si="4"/>
        <v>3</v>
      </c>
      <c r="I17" s="10">
        <f>IFERROR(__xludf.DUMMYFUNCTION("MAX(FILTER($H:$H,$E:$E=F17))"),20.0)</f>
        <v>20</v>
      </c>
    </row>
    <row r="18">
      <c r="A18" s="4"/>
      <c r="C18" s="4" t="s">
        <v>2186</v>
      </c>
      <c r="D18" s="4" t="str">
        <f t="shared" si="1"/>
        <v>{"valorA":"fone de ouvido","valorB":2}</v>
      </c>
      <c r="E18" s="8" t="str">
        <f t="shared" si="2"/>
        <v>fone de ouvido</v>
      </c>
      <c r="F18" s="8" t="str">
        <f>IFERROR(__xludf.DUMMYFUNCTION("""COMPUTED_VALUE"""),"carregador de celular")</f>
        <v>carregador de celular</v>
      </c>
      <c r="G18" s="8" t="str">
        <f t="shared" si="3"/>
        <v>2</v>
      </c>
      <c r="H18" s="9">
        <f t="shared" si="4"/>
        <v>2</v>
      </c>
      <c r="I18" s="10">
        <f>IFERROR(__xludf.DUMMYFUNCTION("MAX(FILTER($H:$H,$E:$E=F18))"),20.0)</f>
        <v>20</v>
      </c>
    </row>
    <row r="19">
      <c r="A19" s="4"/>
      <c r="C19" s="4" t="s">
        <v>2193</v>
      </c>
      <c r="D19" s="4" t="str">
        <f t="shared" si="1"/>
        <v>{"valorA":"filtro de linha","valorB":1}</v>
      </c>
      <c r="E19" s="8" t="str">
        <f t="shared" si="2"/>
        <v>filtro de linha</v>
      </c>
      <c r="F19" s="8" t="str">
        <f>IFERROR(__xludf.DUMMYFUNCTION("""COMPUTED_VALUE"""),"ar condicionado")</f>
        <v>ar condicionado</v>
      </c>
      <c r="G19" s="8" t="str">
        <f t="shared" si="3"/>
        <v>1</v>
      </c>
      <c r="H19" s="9">
        <f t="shared" si="4"/>
        <v>1</v>
      </c>
      <c r="I19" s="10">
        <f>IFERROR(__xludf.DUMMYFUNCTION("MAX(FILTER($H:$H,$E:$E=F19))"),20.0)</f>
        <v>20</v>
      </c>
    </row>
    <row r="20">
      <c r="A20" s="4"/>
      <c r="C20" s="4" t="s">
        <v>2222</v>
      </c>
      <c r="D20" s="4" t="str">
        <f t="shared" si="1"/>
        <v>{"valorA":"mouse de computador","valorB":1}</v>
      </c>
      <c r="E20" s="8" t="str">
        <f t="shared" si="2"/>
        <v>mouse de computador</v>
      </c>
      <c r="F20" s="8" t="str">
        <f>IFERROR(__xludf.DUMMYFUNCTION("""COMPUTED_VALUE"""),"celular")</f>
        <v>celular</v>
      </c>
      <c r="G20" s="8" t="str">
        <f t="shared" si="3"/>
        <v>1</v>
      </c>
      <c r="H20" s="9">
        <f t="shared" si="4"/>
        <v>1</v>
      </c>
      <c r="I20" s="10">
        <f>IFERROR(__xludf.DUMMYFUNCTION("MAX(FILTER($H:$H,$E:$E=F20))"),20.0)</f>
        <v>20</v>
      </c>
    </row>
    <row r="21">
      <c r="A21" s="4"/>
      <c r="C21" s="4" t="s">
        <v>2217</v>
      </c>
      <c r="D21" s="4" t="str">
        <f t="shared" si="1"/>
        <v>{"valorA":"aspirador","valorB":1}</v>
      </c>
      <c r="E21" s="8" t="str">
        <f t="shared" si="2"/>
        <v>aspirador</v>
      </c>
      <c r="F21" s="8" t="str">
        <f>IFERROR(__xludf.DUMMYFUNCTION("""COMPUTED_VALUE"""),"computador")</f>
        <v>computador</v>
      </c>
      <c r="G21" s="8" t="str">
        <f t="shared" si="3"/>
        <v>1</v>
      </c>
      <c r="H21" s="9">
        <f t="shared" si="4"/>
        <v>1</v>
      </c>
      <c r="I21" s="10">
        <f>IFERROR(__xludf.DUMMYFUNCTION("MAX(FILTER($H:$H,$E:$E=F21))"),23.0)</f>
        <v>23</v>
      </c>
    </row>
    <row r="22">
      <c r="A22" s="4"/>
      <c r="C22" s="4" t="s">
        <v>2205</v>
      </c>
      <c r="D22" s="4" t="str">
        <f t="shared" si="1"/>
        <v>{"valorA":"fone de ouvido","valorB":3}</v>
      </c>
      <c r="E22" s="8" t="str">
        <f t="shared" si="2"/>
        <v>fone de ouvido</v>
      </c>
      <c r="F22" s="8"/>
      <c r="G22" s="8" t="str">
        <f t="shared" si="3"/>
        <v>3</v>
      </c>
      <c r="H22" s="9">
        <f t="shared" si="4"/>
        <v>3</v>
      </c>
      <c r="I22" s="6" t="str">
        <f>IFERROR(__xludf.DUMMYFUNCTION("MAX(FILTER($H:$H,$E:$E=F22))"),"#N/A")</f>
        <v>#N/A</v>
      </c>
    </row>
    <row r="23">
      <c r="A23" s="4"/>
      <c r="C23" s="4" t="s">
        <v>2208</v>
      </c>
      <c r="D23" s="4" t="str">
        <f t="shared" si="1"/>
        <v>{"valorA":"fogão","valorB":2}</v>
      </c>
      <c r="E23" s="8" t="str">
        <f t="shared" si="2"/>
        <v>fogão</v>
      </c>
      <c r="F23" s="8"/>
      <c r="G23" s="8" t="str">
        <f t="shared" si="3"/>
        <v>2</v>
      </c>
      <c r="H23" s="9">
        <f t="shared" si="4"/>
        <v>2</v>
      </c>
      <c r="I23" s="6" t="str">
        <f>IFERROR(__xludf.DUMMYFUNCTION("MAX(FILTER($H:$H,$E:$E=F23))"),"#N/A")</f>
        <v>#N/A</v>
      </c>
    </row>
    <row r="24">
      <c r="A24" s="4"/>
      <c r="C24" s="4" t="s">
        <v>2195</v>
      </c>
      <c r="D24" s="4" t="str">
        <f t="shared" si="1"/>
        <v>{"valorA":"teclado de computador","valorB":1}</v>
      </c>
      <c r="E24" s="8" t="str">
        <f t="shared" si="2"/>
        <v>teclado de computador</v>
      </c>
      <c r="F24" s="8"/>
      <c r="G24" s="8" t="str">
        <f t="shared" si="3"/>
        <v>1</v>
      </c>
      <c r="H24" s="9">
        <f t="shared" si="4"/>
        <v>1</v>
      </c>
      <c r="I24" s="6" t="str">
        <f>IFERROR(__xludf.DUMMYFUNCTION("MAX(FILTER($H:$H,$E:$E=F24))"),"#N/A")</f>
        <v>#N/A</v>
      </c>
    </row>
    <row r="25">
      <c r="A25" s="4"/>
      <c r="C25" s="4" t="s">
        <v>2218</v>
      </c>
      <c r="D25" s="4" t="str">
        <f t="shared" si="1"/>
        <v>{"valorA":"aspirador","valorB":2}</v>
      </c>
      <c r="E25" s="8" t="str">
        <f t="shared" si="2"/>
        <v>aspirador</v>
      </c>
      <c r="F25" s="8"/>
      <c r="G25" s="8" t="str">
        <f t="shared" si="3"/>
        <v>2</v>
      </c>
      <c r="H25" s="9">
        <f t="shared" si="4"/>
        <v>2</v>
      </c>
      <c r="I25" s="6" t="str">
        <f>IFERROR(__xludf.DUMMYFUNCTION("MAX(FILTER($H:$H,$E:$E=F25))"),"#N/A")</f>
        <v>#N/A</v>
      </c>
    </row>
    <row r="26">
      <c r="A26" s="4"/>
      <c r="C26" s="4" t="s">
        <v>1661</v>
      </c>
      <c r="D26" s="4" t="str">
        <f t="shared" si="1"/>
        <v>{"valorA":"freezer","valorB":3}</v>
      </c>
      <c r="E26" s="8" t="str">
        <f t="shared" si="2"/>
        <v>freezer</v>
      </c>
      <c r="F26" s="8"/>
      <c r="G26" s="8" t="str">
        <f t="shared" si="3"/>
        <v>3</v>
      </c>
      <c r="H26" s="9">
        <f t="shared" si="4"/>
        <v>3</v>
      </c>
      <c r="I26" s="6" t="str">
        <f>IFERROR(__xludf.DUMMYFUNCTION("MAX(FILTER($H:$H,$E:$E=F26))"),"#N/A")</f>
        <v>#N/A</v>
      </c>
    </row>
    <row r="27">
      <c r="A27" s="4"/>
      <c r="C27" s="4" t="s">
        <v>2200</v>
      </c>
      <c r="D27" s="4" t="str">
        <f t="shared" si="1"/>
        <v>{"valorA":"roteador","valorB":1}</v>
      </c>
      <c r="E27" s="8" t="str">
        <f t="shared" si="2"/>
        <v>roteador</v>
      </c>
      <c r="F27" s="8"/>
      <c r="G27" s="8" t="str">
        <f t="shared" si="3"/>
        <v>1</v>
      </c>
      <c r="H27" s="9">
        <f t="shared" si="4"/>
        <v>1</v>
      </c>
      <c r="I27" s="6" t="str">
        <f>IFERROR(__xludf.DUMMYFUNCTION("MAX(FILTER($H:$H,$E:$E=F27))"),"#N/A")</f>
        <v>#N/A</v>
      </c>
    </row>
    <row r="28">
      <c r="A28" s="4"/>
      <c r="C28" s="4" t="s">
        <v>2221</v>
      </c>
      <c r="D28" s="4" t="str">
        <f t="shared" si="1"/>
        <v>{"valorA":"aspirador","valorB":3}</v>
      </c>
      <c r="E28" s="8" t="str">
        <f t="shared" si="2"/>
        <v>aspirador</v>
      </c>
      <c r="F28" s="8"/>
      <c r="G28" s="8" t="str">
        <f t="shared" si="3"/>
        <v>3</v>
      </c>
      <c r="H28" s="9">
        <f t="shared" si="4"/>
        <v>3</v>
      </c>
      <c r="I28" s="6" t="str">
        <f>IFERROR(__xludf.DUMMYFUNCTION("MAX(FILTER($H:$H,$E:$E=F28))"),"#N/A")</f>
        <v>#N/A</v>
      </c>
    </row>
    <row r="29">
      <c r="A29" s="4"/>
      <c r="C29" s="4" t="s">
        <v>2223</v>
      </c>
      <c r="D29" s="4" t="str">
        <f t="shared" si="1"/>
        <v>{"valorA":"roteador","valorB":2}</v>
      </c>
      <c r="E29" s="8" t="str">
        <f t="shared" si="2"/>
        <v>roteador</v>
      </c>
      <c r="F29" s="8"/>
      <c r="G29" s="8" t="str">
        <f t="shared" si="3"/>
        <v>2</v>
      </c>
      <c r="H29" s="9">
        <f t="shared" si="4"/>
        <v>2</v>
      </c>
      <c r="I29" s="6" t="str">
        <f>IFERROR(__xludf.DUMMYFUNCTION("MAX(FILTER($H:$H,$E:$E=F29))"),"#N/A")</f>
        <v>#N/A</v>
      </c>
    </row>
    <row r="30">
      <c r="A30" s="4"/>
      <c r="C30" s="4" t="s">
        <v>2185</v>
      </c>
      <c r="D30" s="4" t="str">
        <f t="shared" si="1"/>
        <v>{"valorA":"carregador de celular","valorB":1}</v>
      </c>
      <c r="E30" s="8" t="str">
        <f t="shared" si="2"/>
        <v>carregador de celular</v>
      </c>
      <c r="F30" s="8"/>
      <c r="G30" s="8" t="str">
        <f t="shared" si="3"/>
        <v>1</v>
      </c>
      <c r="H30" s="9">
        <f t="shared" si="4"/>
        <v>1</v>
      </c>
      <c r="I30" s="6" t="str">
        <f>IFERROR(__xludf.DUMMYFUNCTION("MAX(FILTER($H:$H,$E:$E=F30))"),"#N/A")</f>
        <v>#N/A</v>
      </c>
    </row>
    <row r="31">
      <c r="A31" s="4"/>
      <c r="C31" s="4" t="s">
        <v>2216</v>
      </c>
      <c r="D31" s="4" t="str">
        <f t="shared" si="1"/>
        <v>{"valorA":"purificador de água","valorB":4}</v>
      </c>
      <c r="E31" s="8" t="str">
        <f t="shared" si="2"/>
        <v>purificador de água</v>
      </c>
      <c r="F31" s="8"/>
      <c r="G31" s="8" t="str">
        <f t="shared" si="3"/>
        <v>4</v>
      </c>
      <c r="H31" s="9">
        <f t="shared" si="4"/>
        <v>4</v>
      </c>
      <c r="I31" s="6" t="str">
        <f>IFERROR(__xludf.DUMMYFUNCTION("MAX(FILTER($H:$H,$E:$E=F31))"),"#N/A")</f>
        <v>#N/A</v>
      </c>
    </row>
    <row r="32">
      <c r="A32" s="4"/>
      <c r="C32" s="4" t="s">
        <v>1658</v>
      </c>
      <c r="D32" s="4" t="str">
        <f t="shared" si="1"/>
        <v>{"valorA":"ar condicionado","valorB":1}</v>
      </c>
      <c r="E32" s="8" t="str">
        <f t="shared" si="2"/>
        <v>ar condicionado</v>
      </c>
      <c r="F32" s="8"/>
      <c r="G32" s="8" t="str">
        <f t="shared" si="3"/>
        <v>1</v>
      </c>
      <c r="H32" s="9">
        <f t="shared" si="4"/>
        <v>1</v>
      </c>
      <c r="I32" s="6" t="str">
        <f>IFERROR(__xludf.DUMMYFUNCTION("MAX(FILTER($H:$H,$E:$E=F32))"),"#N/A")</f>
        <v>#N/A</v>
      </c>
    </row>
    <row r="33">
      <c r="A33" s="4"/>
      <c r="C33" s="4" t="s">
        <v>2179</v>
      </c>
      <c r="D33" s="4" t="str">
        <f t="shared" si="1"/>
        <v>{"valorA":"chuveiro elétrico","valorB":2}</v>
      </c>
      <c r="E33" s="8" t="str">
        <f t="shared" si="2"/>
        <v>chuveiro elétrico</v>
      </c>
      <c r="F33" s="8"/>
      <c r="G33" s="8" t="str">
        <f t="shared" si="3"/>
        <v>2</v>
      </c>
      <c r="H33" s="9">
        <f t="shared" si="4"/>
        <v>2</v>
      </c>
      <c r="I33" s="6" t="str">
        <f>IFERROR(__xludf.DUMMYFUNCTION("MAX(FILTER($H:$H,$E:$E=F33))"),"#N/A")</f>
        <v>#N/A</v>
      </c>
    </row>
    <row r="34">
      <c r="A34" s="4"/>
      <c r="C34" s="4" t="s">
        <v>2236</v>
      </c>
      <c r="D34" s="4" t="str">
        <f t="shared" si="1"/>
        <v>{"valorA":"filtro de linha","valorB":2}</v>
      </c>
      <c r="E34" s="8" t="str">
        <f t="shared" si="2"/>
        <v>filtro de linha</v>
      </c>
      <c r="F34" s="8"/>
      <c r="G34" s="8" t="str">
        <f t="shared" si="3"/>
        <v>2</v>
      </c>
      <c r="H34" s="9">
        <f t="shared" si="4"/>
        <v>2</v>
      </c>
      <c r="I34" s="6" t="str">
        <f>IFERROR(__xludf.DUMMYFUNCTION("MAX(FILTER($H:$H,$E:$E=F34))"),"#N/A")</f>
        <v>#N/A</v>
      </c>
    </row>
    <row r="35">
      <c r="A35" s="4"/>
      <c r="C35" s="4" t="s">
        <v>2213</v>
      </c>
      <c r="D35" s="4" t="str">
        <f t="shared" si="1"/>
        <v>{"valorA":"fone de ouvido","valorB":4}</v>
      </c>
      <c r="E35" s="8" t="str">
        <f t="shared" si="2"/>
        <v>fone de ouvido</v>
      </c>
      <c r="F35" s="8"/>
      <c r="G35" s="8" t="str">
        <f t="shared" si="3"/>
        <v>4</v>
      </c>
      <c r="H35" s="9">
        <f t="shared" si="4"/>
        <v>4</v>
      </c>
      <c r="I35" s="6" t="str">
        <f>IFERROR(__xludf.DUMMYFUNCTION("MAX(FILTER($H:$H,$E:$E=F35))"),"#N/A")</f>
        <v>#N/A</v>
      </c>
    </row>
    <row r="36">
      <c r="A36" s="4"/>
      <c r="C36" s="4" t="s">
        <v>2226</v>
      </c>
      <c r="D36" s="4" t="str">
        <f t="shared" si="1"/>
        <v>{"valorA":"mouse de computador","valorB":2}</v>
      </c>
      <c r="E36" s="8" t="str">
        <f t="shared" si="2"/>
        <v>mouse de computador</v>
      </c>
      <c r="F36" s="8"/>
      <c r="G36" s="8" t="str">
        <f t="shared" si="3"/>
        <v>2</v>
      </c>
      <c r="H36" s="9">
        <f t="shared" si="4"/>
        <v>2</v>
      </c>
      <c r="I36" s="6" t="str">
        <f>IFERROR(__xludf.DUMMYFUNCTION("MAX(FILTER($H:$H,$E:$E=F36))"),"#N/A")</f>
        <v>#N/A</v>
      </c>
    </row>
    <row r="37">
      <c r="A37" s="4"/>
      <c r="C37" s="4" t="s">
        <v>2235</v>
      </c>
      <c r="D37" s="4" t="str">
        <f t="shared" si="1"/>
        <v>{"valorA":"mouse de computador","valorB":3}</v>
      </c>
      <c r="E37" s="8" t="str">
        <f t="shared" si="2"/>
        <v>mouse de computador</v>
      </c>
      <c r="F37" s="8"/>
      <c r="G37" s="8" t="str">
        <f t="shared" si="3"/>
        <v>3</v>
      </c>
      <c r="H37" s="9">
        <f t="shared" si="4"/>
        <v>3</v>
      </c>
      <c r="I37" s="6" t="str">
        <f>IFERROR(__xludf.DUMMYFUNCTION("MAX(FILTER($H:$H,$E:$E=F37))"),"#N/A")</f>
        <v>#N/A</v>
      </c>
    </row>
    <row r="38">
      <c r="A38" s="4"/>
      <c r="C38" s="4" t="s">
        <v>2265</v>
      </c>
      <c r="D38" s="4" t="str">
        <f t="shared" si="1"/>
        <v>{"valorA":"filtro de linha","valorB":3}</v>
      </c>
      <c r="E38" s="8" t="str">
        <f t="shared" si="2"/>
        <v>filtro de linha</v>
      </c>
      <c r="F38" s="8"/>
      <c r="G38" s="8" t="str">
        <f t="shared" si="3"/>
        <v>3</v>
      </c>
      <c r="H38" s="9">
        <f t="shared" si="4"/>
        <v>3</v>
      </c>
      <c r="I38" s="6" t="str">
        <f>IFERROR(__xludf.DUMMYFUNCTION("MAX(FILTER($H:$H,$E:$E=F38))"),"#N/A")</f>
        <v>#N/A</v>
      </c>
    </row>
    <row r="39">
      <c r="A39" s="4"/>
      <c r="C39" s="4" t="s">
        <v>1695</v>
      </c>
      <c r="D39" s="4" t="str">
        <f t="shared" si="1"/>
        <v>{"valorA":"ar condicionado","valorB":2}</v>
      </c>
      <c r="E39" s="8" t="str">
        <f t="shared" si="2"/>
        <v>ar condicionado</v>
      </c>
      <c r="F39" s="8"/>
      <c r="G39" s="8" t="str">
        <f t="shared" si="3"/>
        <v>2</v>
      </c>
      <c r="H39" s="9">
        <f t="shared" si="4"/>
        <v>2</v>
      </c>
      <c r="I39" s="6" t="str">
        <f>IFERROR(__xludf.DUMMYFUNCTION("MAX(FILTER($H:$H,$E:$E=F39))"),"#N/A")</f>
        <v>#N/A</v>
      </c>
    </row>
    <row r="40">
      <c r="A40" s="4"/>
      <c r="C40" s="4" t="s">
        <v>2241</v>
      </c>
      <c r="D40" s="4" t="str">
        <f t="shared" si="1"/>
        <v>{"valorA":"carregador de computador","valorB":3}</v>
      </c>
      <c r="E40" s="8" t="str">
        <f t="shared" si="2"/>
        <v>carregador de computador</v>
      </c>
      <c r="F40" s="8"/>
      <c r="G40" s="8" t="str">
        <f t="shared" si="3"/>
        <v>3</v>
      </c>
      <c r="H40" s="9">
        <f t="shared" si="4"/>
        <v>3</v>
      </c>
      <c r="I40" s="6" t="str">
        <f>IFERROR(__xludf.DUMMYFUNCTION("MAX(FILTER($H:$H,$E:$E=F40))"),"#N/A")</f>
        <v>#N/A</v>
      </c>
    </row>
    <row r="41">
      <c r="A41" s="4"/>
      <c r="C41" s="4" t="s">
        <v>2239</v>
      </c>
      <c r="D41" s="4" t="str">
        <f t="shared" si="1"/>
        <v>{"valorA":"purificador de água","valorB":5}</v>
      </c>
      <c r="E41" s="8" t="str">
        <f t="shared" si="2"/>
        <v>purificador de água</v>
      </c>
      <c r="F41" s="8"/>
      <c r="G41" s="8" t="str">
        <f t="shared" si="3"/>
        <v>5</v>
      </c>
      <c r="H41" s="9">
        <f t="shared" si="4"/>
        <v>5</v>
      </c>
      <c r="I41" s="6" t="str">
        <f>IFERROR(__xludf.DUMMYFUNCTION("MAX(FILTER($H:$H,$E:$E=F41))"),"#N/A")</f>
        <v>#N/A</v>
      </c>
    </row>
    <row r="42">
      <c r="A42" s="4"/>
      <c r="C42" s="4" t="s">
        <v>2243</v>
      </c>
      <c r="D42" s="4" t="str">
        <f t="shared" si="1"/>
        <v>{"valorA":"roteador","valorB":3}</v>
      </c>
      <c r="E42" s="8" t="str">
        <f t="shared" si="2"/>
        <v>roteador</v>
      </c>
      <c r="F42" s="8"/>
      <c r="G42" s="8" t="str">
        <f t="shared" si="3"/>
        <v>3</v>
      </c>
      <c r="H42" s="9">
        <f t="shared" si="4"/>
        <v>3</v>
      </c>
      <c r="I42" s="6" t="str">
        <f>IFERROR(__xludf.DUMMYFUNCTION("MAX(FILTER($H:$H,$E:$E=F42))"),"#N/A")</f>
        <v>#N/A</v>
      </c>
    </row>
    <row r="43">
      <c r="A43" s="4"/>
      <c r="C43" s="4" t="s">
        <v>2256</v>
      </c>
      <c r="D43" s="4" t="str">
        <f t="shared" si="1"/>
        <v>{"valorA":"carregador de computador","valorB":4}</v>
      </c>
      <c r="E43" s="8" t="str">
        <f t="shared" si="2"/>
        <v>carregador de computador</v>
      </c>
      <c r="F43" s="8"/>
      <c r="G43" s="8" t="str">
        <f t="shared" si="3"/>
        <v>4</v>
      </c>
      <c r="H43" s="9">
        <f t="shared" si="4"/>
        <v>4</v>
      </c>
      <c r="I43" s="6" t="str">
        <f>IFERROR(__xludf.DUMMYFUNCTION("MAX(FILTER($H:$H,$E:$E=F43))"),"#N/A")</f>
        <v>#N/A</v>
      </c>
    </row>
    <row r="44">
      <c r="A44" s="4"/>
      <c r="C44" s="4" t="s">
        <v>2248</v>
      </c>
      <c r="D44" s="4" t="str">
        <f t="shared" si="1"/>
        <v>{"valorA":"roteador","valorB":4}</v>
      </c>
      <c r="E44" s="8" t="str">
        <f t="shared" si="2"/>
        <v>roteador</v>
      </c>
      <c r="F44" s="8"/>
      <c r="G44" s="8" t="str">
        <f t="shared" si="3"/>
        <v>4</v>
      </c>
      <c r="H44" s="9">
        <f t="shared" si="4"/>
        <v>4</v>
      </c>
      <c r="I44" s="6" t="str">
        <f>IFERROR(__xludf.DUMMYFUNCTION("MAX(FILTER($H:$H,$E:$E=F44))"),"#N/A")</f>
        <v>#N/A</v>
      </c>
    </row>
    <row r="45">
      <c r="A45" s="4"/>
      <c r="C45" s="4" t="s">
        <v>2182</v>
      </c>
      <c r="D45" s="4" t="str">
        <f t="shared" si="1"/>
        <v>{"valorA":"relógio","valorB":2}</v>
      </c>
      <c r="E45" s="8" t="str">
        <f t="shared" si="2"/>
        <v>relógio</v>
      </c>
      <c r="F45" s="8"/>
      <c r="G45" s="8" t="str">
        <f t="shared" si="3"/>
        <v>2</v>
      </c>
      <c r="H45" s="9">
        <f t="shared" si="4"/>
        <v>2</v>
      </c>
      <c r="I45" s="6" t="str">
        <f>IFERROR(__xludf.DUMMYFUNCTION("MAX(FILTER($H:$H,$E:$E=F45))"),"#N/A")</f>
        <v>#N/A</v>
      </c>
    </row>
    <row r="46">
      <c r="A46" s="4"/>
      <c r="C46" s="4" t="s">
        <v>2171</v>
      </c>
      <c r="D46" s="4" t="str">
        <f t="shared" si="1"/>
        <v>{"valorA":"celular","valorB":1}</v>
      </c>
      <c r="E46" s="8" t="str">
        <f t="shared" si="2"/>
        <v>celular</v>
      </c>
      <c r="F46" s="8"/>
      <c r="G46" s="8" t="str">
        <f t="shared" si="3"/>
        <v>1</v>
      </c>
      <c r="H46" s="9">
        <f t="shared" si="4"/>
        <v>1</v>
      </c>
      <c r="I46" s="6" t="str">
        <f>IFERROR(__xludf.DUMMYFUNCTION("MAX(FILTER($H:$H,$E:$E=F46))"),"#N/A")</f>
        <v>#N/A</v>
      </c>
    </row>
    <row r="47">
      <c r="A47" s="4"/>
      <c r="C47" s="4" t="s">
        <v>1662</v>
      </c>
      <c r="D47" s="4" t="str">
        <f t="shared" si="1"/>
        <v>{"valorA":"freezer","valorB":4}</v>
      </c>
      <c r="E47" s="8" t="str">
        <f t="shared" si="2"/>
        <v>freezer</v>
      </c>
      <c r="F47" s="8"/>
      <c r="G47" s="8" t="str">
        <f t="shared" si="3"/>
        <v>4</v>
      </c>
      <c r="H47" s="9">
        <f t="shared" si="4"/>
        <v>4</v>
      </c>
      <c r="I47" s="6" t="str">
        <f>IFERROR(__xludf.DUMMYFUNCTION("MAX(FILTER($H:$H,$E:$E=F47))"),"#N/A")</f>
        <v>#N/A</v>
      </c>
    </row>
    <row r="48">
      <c r="A48" s="4"/>
      <c r="C48" s="4" t="s">
        <v>2183</v>
      </c>
      <c r="D48" s="4" t="str">
        <f t="shared" si="1"/>
        <v>{"valorA":"chuveiro elétrico","valorB":3}</v>
      </c>
      <c r="E48" s="8" t="str">
        <f t="shared" si="2"/>
        <v>chuveiro elétrico</v>
      </c>
      <c r="F48" s="8"/>
      <c r="G48" s="8" t="str">
        <f t="shared" si="3"/>
        <v>3</v>
      </c>
      <c r="H48" s="9">
        <f t="shared" si="4"/>
        <v>3</v>
      </c>
      <c r="I48" s="6" t="str">
        <f>IFERROR(__xludf.DUMMYFUNCTION("MAX(FILTER($H:$H,$E:$E=F48))"),"#N/A")</f>
        <v>#N/A</v>
      </c>
    </row>
    <row r="49">
      <c r="A49" s="4"/>
      <c r="C49" s="4" t="s">
        <v>2181</v>
      </c>
      <c r="D49" s="4" t="str">
        <f t="shared" si="1"/>
        <v>{"valorA":"liquidificador","valorB":2}</v>
      </c>
      <c r="E49" s="8" t="str">
        <f t="shared" si="2"/>
        <v>liquidificador</v>
      </c>
      <c r="F49" s="8"/>
      <c r="G49" s="8" t="str">
        <f t="shared" si="3"/>
        <v>2</v>
      </c>
      <c r="H49" s="9">
        <f t="shared" si="4"/>
        <v>2</v>
      </c>
      <c r="I49" s="6" t="str">
        <f>IFERROR(__xludf.DUMMYFUNCTION("MAX(FILTER($H:$H,$E:$E=F49))"),"#N/A")</f>
        <v>#N/A</v>
      </c>
    </row>
    <row r="50">
      <c r="A50" s="4"/>
      <c r="C50" s="4" t="s">
        <v>2228</v>
      </c>
      <c r="D50" s="4" t="str">
        <f t="shared" si="1"/>
        <v>{"valorA":"aspirador","valorB":4}</v>
      </c>
      <c r="E50" s="8" t="str">
        <f t="shared" si="2"/>
        <v>aspirador</v>
      </c>
      <c r="F50" s="8"/>
      <c r="G50" s="8" t="str">
        <f t="shared" si="3"/>
        <v>4</v>
      </c>
      <c r="H50" s="9">
        <f t="shared" si="4"/>
        <v>4</v>
      </c>
      <c r="I50" s="6" t="str">
        <f>IFERROR(__xludf.DUMMYFUNCTION("MAX(FILTER($H:$H,$E:$E=F50))"),"#N/A")</f>
        <v>#N/A</v>
      </c>
    </row>
    <row r="51">
      <c r="A51" s="4"/>
      <c r="C51" s="4" t="s">
        <v>2184</v>
      </c>
      <c r="D51" s="4" t="str">
        <f t="shared" si="1"/>
        <v>{"valorA":"chuveiro elétrico","valorB":4}</v>
      </c>
      <c r="E51" s="8" t="str">
        <f t="shared" si="2"/>
        <v>chuveiro elétrico</v>
      </c>
      <c r="F51" s="8"/>
      <c r="G51" s="8" t="str">
        <f t="shared" si="3"/>
        <v>4</v>
      </c>
      <c r="H51" s="9">
        <f t="shared" si="4"/>
        <v>4</v>
      </c>
      <c r="I51" s="6" t="str">
        <f>IFERROR(__xludf.DUMMYFUNCTION("MAX(FILTER($H:$H,$E:$E=F51))"),"#N/A")</f>
        <v>#N/A</v>
      </c>
    </row>
    <row r="52">
      <c r="A52" s="4"/>
      <c r="C52" s="4" t="s">
        <v>2212</v>
      </c>
      <c r="D52" s="4" t="str">
        <f t="shared" si="1"/>
        <v>{"valorA":"fogão","valorB":3}</v>
      </c>
      <c r="E52" s="8" t="str">
        <f t="shared" si="2"/>
        <v>fogão</v>
      </c>
      <c r="F52" s="8"/>
      <c r="G52" s="8" t="str">
        <f t="shared" si="3"/>
        <v>3</v>
      </c>
      <c r="H52" s="9">
        <f t="shared" si="4"/>
        <v>3</v>
      </c>
      <c r="I52" s="6" t="str">
        <f>IFERROR(__xludf.DUMMYFUNCTION("MAX(FILTER($H:$H,$E:$E=F52))"),"#N/A")</f>
        <v>#N/A</v>
      </c>
    </row>
    <row r="53">
      <c r="A53" s="4"/>
      <c r="C53" s="4" t="s">
        <v>2215</v>
      </c>
      <c r="D53" s="4" t="str">
        <f t="shared" si="1"/>
        <v>{"valorA":"lustre","valorB":3}</v>
      </c>
      <c r="E53" s="8" t="str">
        <f t="shared" si="2"/>
        <v>lustre</v>
      </c>
      <c r="F53" s="8"/>
      <c r="G53" s="8" t="str">
        <f t="shared" si="3"/>
        <v>3</v>
      </c>
      <c r="H53" s="9">
        <f t="shared" si="4"/>
        <v>3</v>
      </c>
      <c r="I53" s="6" t="str">
        <f>IFERROR(__xludf.DUMMYFUNCTION("MAX(FILTER($H:$H,$E:$E=F53))"),"#N/A")</f>
        <v>#N/A</v>
      </c>
    </row>
    <row r="54">
      <c r="A54" s="4"/>
      <c r="C54" s="4" t="s">
        <v>1663</v>
      </c>
      <c r="D54" s="4" t="str">
        <f t="shared" si="1"/>
        <v>{"valorA":"freezer","valorB":5}</v>
      </c>
      <c r="E54" s="8" t="str">
        <f t="shared" si="2"/>
        <v>freezer</v>
      </c>
      <c r="F54" s="8"/>
      <c r="G54" s="8" t="str">
        <f t="shared" si="3"/>
        <v>5</v>
      </c>
      <c r="H54" s="9">
        <f t="shared" si="4"/>
        <v>5</v>
      </c>
      <c r="I54" s="6" t="str">
        <f>IFERROR(__xludf.DUMMYFUNCTION("MAX(FILTER($H:$H,$E:$E=F54))"),"#N/A")</f>
        <v>#N/A</v>
      </c>
    </row>
    <row r="55">
      <c r="A55" s="4"/>
      <c r="C55" s="4" t="s">
        <v>2187</v>
      </c>
      <c r="D55" s="4" t="str">
        <f t="shared" si="1"/>
        <v>{"valorA":"relógio","valorB":3}</v>
      </c>
      <c r="E55" s="8" t="str">
        <f t="shared" si="2"/>
        <v>relógio</v>
      </c>
      <c r="F55" s="8"/>
      <c r="G55" s="8" t="str">
        <f t="shared" si="3"/>
        <v>3</v>
      </c>
      <c r="H55" s="9">
        <f t="shared" si="4"/>
        <v>3</v>
      </c>
      <c r="I55" s="6" t="str">
        <f>IFERROR(__xludf.DUMMYFUNCTION("MAX(FILTER($H:$H,$E:$E=F55))"),"#N/A")</f>
        <v>#N/A</v>
      </c>
    </row>
    <row r="56">
      <c r="A56" s="4"/>
      <c r="C56" s="4" t="s">
        <v>2209</v>
      </c>
      <c r="D56" s="4" t="str">
        <f t="shared" si="1"/>
        <v>{"valorA":"teclado de computador","valorB":2}</v>
      </c>
      <c r="E56" s="8" t="str">
        <f t="shared" si="2"/>
        <v>teclado de computador</v>
      </c>
      <c r="F56" s="8"/>
      <c r="G56" s="8" t="str">
        <f t="shared" si="3"/>
        <v>2</v>
      </c>
      <c r="H56" s="9">
        <f t="shared" si="4"/>
        <v>2</v>
      </c>
      <c r="I56" s="6" t="str">
        <f>IFERROR(__xludf.DUMMYFUNCTION("MAX(FILTER($H:$H,$E:$E=F56))"),"#N/A")</f>
        <v>#N/A</v>
      </c>
    </row>
    <row r="57">
      <c r="A57" s="4"/>
      <c r="C57" s="4" t="s">
        <v>2214</v>
      </c>
      <c r="D57" s="4" t="str">
        <f t="shared" si="1"/>
        <v>{"valorA":"teclado de computador","valorB":3}</v>
      </c>
      <c r="E57" s="8" t="str">
        <f t="shared" si="2"/>
        <v>teclado de computador</v>
      </c>
      <c r="F57" s="8"/>
      <c r="G57" s="8" t="str">
        <f t="shared" si="3"/>
        <v>3</v>
      </c>
      <c r="H57" s="9">
        <f t="shared" si="4"/>
        <v>3</v>
      </c>
      <c r="I57" s="6" t="str">
        <f>IFERROR(__xludf.DUMMYFUNCTION("MAX(FILTER($H:$H,$E:$E=F57))"),"#N/A")</f>
        <v>#N/A</v>
      </c>
    </row>
    <row r="58">
      <c r="A58" s="4"/>
      <c r="C58" s="4" t="s">
        <v>2267</v>
      </c>
      <c r="D58" s="4" t="str">
        <f t="shared" si="1"/>
        <v>{"valorA":"filtro de linha","valorB":4}</v>
      </c>
      <c r="E58" s="8" t="str">
        <f t="shared" si="2"/>
        <v>filtro de linha</v>
      </c>
      <c r="F58" s="8"/>
      <c r="G58" s="8" t="str">
        <f t="shared" si="3"/>
        <v>4</v>
      </c>
      <c r="H58" s="9">
        <f t="shared" si="4"/>
        <v>4</v>
      </c>
      <c r="I58" s="6" t="str">
        <f>IFERROR(__xludf.DUMMYFUNCTION("MAX(FILTER($H:$H,$E:$E=F58))"),"#N/A")</f>
        <v>#N/A</v>
      </c>
    </row>
    <row r="59">
      <c r="A59" s="4"/>
      <c r="C59" s="4" t="s">
        <v>2273</v>
      </c>
      <c r="D59" s="4" t="str">
        <f t="shared" si="1"/>
        <v>{"valorA":"filtro de linha","valorB":5}</v>
      </c>
      <c r="E59" s="8" t="str">
        <f t="shared" si="2"/>
        <v>filtro de linha</v>
      </c>
      <c r="F59" s="8"/>
      <c r="G59" s="8" t="str">
        <f t="shared" si="3"/>
        <v>5</v>
      </c>
      <c r="H59" s="9">
        <f t="shared" si="4"/>
        <v>5</v>
      </c>
      <c r="I59" s="6" t="str">
        <f>IFERROR(__xludf.DUMMYFUNCTION("MAX(FILTER($H:$H,$E:$E=F59))"),"#N/A")</f>
        <v>#N/A</v>
      </c>
    </row>
    <row r="60">
      <c r="A60" s="4"/>
      <c r="C60" s="4" t="s">
        <v>2253</v>
      </c>
      <c r="D60" s="4" t="str">
        <f t="shared" si="1"/>
        <v>{"valorA":"purificador de água","valorB":6}</v>
      </c>
      <c r="E60" s="8" t="str">
        <f t="shared" si="2"/>
        <v>purificador de água</v>
      </c>
      <c r="F60" s="8"/>
      <c r="G60" s="8" t="str">
        <f t="shared" si="3"/>
        <v>6</v>
      </c>
      <c r="H60" s="9">
        <f t="shared" si="4"/>
        <v>6</v>
      </c>
      <c r="I60" s="6" t="str">
        <f>IFERROR(__xludf.DUMMYFUNCTION("MAX(FILTER($H:$H,$E:$E=F60))"),"#N/A")</f>
        <v>#N/A</v>
      </c>
    </row>
    <row r="61">
      <c r="A61" s="4"/>
      <c r="C61" s="4" t="s">
        <v>2251</v>
      </c>
      <c r="D61" s="4" t="str">
        <f t="shared" si="1"/>
        <v>{"valorA":"teclado de computador","valorB":4}</v>
      </c>
      <c r="E61" s="8" t="str">
        <f t="shared" si="2"/>
        <v>teclado de computador</v>
      </c>
      <c r="F61" s="8"/>
      <c r="G61" s="8" t="str">
        <f t="shared" si="3"/>
        <v>4</v>
      </c>
      <c r="H61" s="9">
        <f t="shared" si="4"/>
        <v>4</v>
      </c>
      <c r="I61" s="6" t="str">
        <f>IFERROR(__xludf.DUMMYFUNCTION("MAX(FILTER($H:$H,$E:$E=F61))"),"#N/A")</f>
        <v>#N/A</v>
      </c>
    </row>
    <row r="62">
      <c r="A62" s="4"/>
      <c r="C62" s="4" t="s">
        <v>2197</v>
      </c>
      <c r="D62" s="4" t="str">
        <f t="shared" si="1"/>
        <v>{"valorA":"chuveiro elétrico","valorB":5}</v>
      </c>
      <c r="E62" s="8" t="str">
        <f t="shared" si="2"/>
        <v>chuveiro elétrico</v>
      </c>
      <c r="F62" s="8"/>
      <c r="G62" s="8" t="str">
        <f t="shared" si="3"/>
        <v>5</v>
      </c>
      <c r="H62" s="9">
        <f t="shared" si="4"/>
        <v>5</v>
      </c>
      <c r="I62" s="6" t="str">
        <f>IFERROR(__xludf.DUMMYFUNCTION("MAX(FILTER($H:$H,$E:$E=F62))"),"#N/A")</f>
        <v>#N/A</v>
      </c>
    </row>
    <row r="63">
      <c r="A63" s="4"/>
      <c r="C63" s="4" t="s">
        <v>2234</v>
      </c>
      <c r="D63" s="4" t="str">
        <f t="shared" si="1"/>
        <v>{"valorA":"fogão","valorB":4}</v>
      </c>
      <c r="E63" s="8" t="str">
        <f t="shared" si="2"/>
        <v>fogão</v>
      </c>
      <c r="F63" s="8"/>
      <c r="G63" s="8" t="str">
        <f t="shared" si="3"/>
        <v>4</v>
      </c>
      <c r="H63" s="9">
        <f t="shared" si="4"/>
        <v>4</v>
      </c>
      <c r="I63" s="6" t="str">
        <f>IFERROR(__xludf.DUMMYFUNCTION("MAX(FILTER($H:$H,$E:$E=F63))"),"#N/A")</f>
        <v>#N/A</v>
      </c>
    </row>
    <row r="64">
      <c r="A64" s="4"/>
      <c r="C64" s="4" t="s">
        <v>1664</v>
      </c>
      <c r="D64" s="4" t="str">
        <f t="shared" si="1"/>
        <v>{"valorA":"freezer","valorB":6}</v>
      </c>
      <c r="E64" s="8" t="str">
        <f t="shared" si="2"/>
        <v>freezer</v>
      </c>
      <c r="F64" s="8"/>
      <c r="G64" s="8" t="str">
        <f t="shared" si="3"/>
        <v>6</v>
      </c>
      <c r="H64" s="9">
        <f t="shared" si="4"/>
        <v>6</v>
      </c>
      <c r="I64" s="6" t="str">
        <f>IFERROR(__xludf.DUMMYFUNCTION("MAX(FILTER($H:$H,$E:$E=F64))"),"#N/A")</f>
        <v>#N/A</v>
      </c>
    </row>
    <row r="65">
      <c r="A65" s="4"/>
      <c r="C65" s="4" t="s">
        <v>2275</v>
      </c>
      <c r="D65" s="4" t="str">
        <f t="shared" si="1"/>
        <v>{"valorA":"teclado de computador","valorB":5}</v>
      </c>
      <c r="E65" s="8" t="str">
        <f t="shared" si="2"/>
        <v>teclado de computador</v>
      </c>
      <c r="F65" s="8"/>
      <c r="G65" s="8" t="str">
        <f t="shared" si="3"/>
        <v>5</v>
      </c>
      <c r="H65" s="9">
        <f t="shared" si="4"/>
        <v>5</v>
      </c>
      <c r="I65" s="6" t="str">
        <f>IFERROR(__xludf.DUMMYFUNCTION("MAX(FILTER($H:$H,$E:$E=F65))"),"#N/A")</f>
        <v>#N/A</v>
      </c>
    </row>
    <row r="66">
      <c r="A66" s="4"/>
      <c r="C66" s="4" t="s">
        <v>2233</v>
      </c>
      <c r="D66" s="4" t="str">
        <f t="shared" si="1"/>
        <v>{"valorA":"celular","valorB":2}</v>
      </c>
      <c r="E66" s="8" t="str">
        <f t="shared" si="2"/>
        <v>celular</v>
      </c>
      <c r="F66" s="8"/>
      <c r="G66" s="8" t="str">
        <f t="shared" si="3"/>
        <v>2</v>
      </c>
      <c r="H66" s="9">
        <f t="shared" si="4"/>
        <v>2</v>
      </c>
      <c r="I66" s="6" t="str">
        <f>IFERROR(__xludf.DUMMYFUNCTION("MAX(FILTER($H:$H,$E:$E=F66))"),"#N/A")</f>
        <v>#N/A</v>
      </c>
    </row>
    <row r="67">
      <c r="A67" s="4"/>
      <c r="C67" s="4" t="s">
        <v>2202</v>
      </c>
      <c r="D67" s="4" t="str">
        <f t="shared" si="1"/>
        <v>{"valorA":"liquidificador","valorB":3}</v>
      </c>
      <c r="E67" s="8" t="str">
        <f t="shared" si="2"/>
        <v>liquidificador</v>
      </c>
      <c r="F67" s="8"/>
      <c r="G67" s="8" t="str">
        <f t="shared" si="3"/>
        <v>3</v>
      </c>
      <c r="H67" s="9">
        <f t="shared" si="4"/>
        <v>3</v>
      </c>
      <c r="I67" s="6" t="str">
        <f>IFERROR(__xludf.DUMMYFUNCTION("MAX(FILTER($H:$H,$E:$E=F67))"),"#N/A")</f>
        <v>#N/A</v>
      </c>
    </row>
    <row r="68">
      <c r="A68" s="4"/>
      <c r="C68" s="4" t="s">
        <v>2238</v>
      </c>
      <c r="D68" s="4" t="str">
        <f t="shared" si="1"/>
        <v>{"valorA":"lustre","valorB":4}</v>
      </c>
      <c r="E68" s="8" t="str">
        <f t="shared" si="2"/>
        <v>lustre</v>
      </c>
      <c r="F68" s="8"/>
      <c r="G68" s="8" t="str">
        <f t="shared" si="3"/>
        <v>4</v>
      </c>
      <c r="H68" s="9">
        <f t="shared" si="4"/>
        <v>4</v>
      </c>
      <c r="I68" s="6" t="str">
        <f>IFERROR(__xludf.DUMMYFUNCTION("MAX(FILTER($H:$H,$E:$E=F68))"),"#N/A")</f>
        <v>#N/A</v>
      </c>
    </row>
    <row r="69">
      <c r="A69" s="4"/>
      <c r="C69" s="4" t="s">
        <v>2260</v>
      </c>
      <c r="D69" s="4" t="str">
        <f t="shared" si="1"/>
        <v>{"valorA":"carregador de computador","valorB":5}</v>
      </c>
      <c r="E69" s="8" t="str">
        <f t="shared" si="2"/>
        <v>carregador de computador</v>
      </c>
      <c r="F69" s="8"/>
      <c r="G69" s="8" t="str">
        <f t="shared" si="3"/>
        <v>5</v>
      </c>
      <c r="H69" s="9">
        <f t="shared" si="4"/>
        <v>5</v>
      </c>
      <c r="I69" s="6" t="str">
        <f>IFERROR(__xludf.DUMMYFUNCTION("MAX(FILTER($H:$H,$E:$E=F69))"),"#N/A")</f>
        <v>#N/A</v>
      </c>
    </row>
    <row r="70">
      <c r="A70" s="4"/>
      <c r="C70" s="4" t="s">
        <v>2264</v>
      </c>
      <c r="D70" s="4" t="str">
        <f t="shared" si="1"/>
        <v>{"valorA":"lustre","valorB":5}</v>
      </c>
      <c r="E70" s="8" t="str">
        <f t="shared" si="2"/>
        <v>lustre</v>
      </c>
      <c r="F70" s="8"/>
      <c r="G70" s="8" t="str">
        <f t="shared" si="3"/>
        <v>5</v>
      </c>
      <c r="H70" s="9">
        <f t="shared" si="4"/>
        <v>5</v>
      </c>
      <c r="I70" s="6" t="str">
        <f>IFERROR(__xludf.DUMMYFUNCTION("MAX(FILTER($H:$H,$E:$E=F70))"),"#N/A")</f>
        <v>#N/A</v>
      </c>
    </row>
    <row r="71">
      <c r="A71" s="4"/>
      <c r="C71" s="4" t="s">
        <v>2211</v>
      </c>
      <c r="D71" s="4" t="str">
        <f t="shared" si="1"/>
        <v>{"valorA":"liquidificador","valorB":4}</v>
      </c>
      <c r="E71" s="8" t="str">
        <f t="shared" si="2"/>
        <v>liquidificador</v>
      </c>
      <c r="F71" s="8"/>
      <c r="G71" s="8" t="str">
        <f t="shared" si="3"/>
        <v>4</v>
      </c>
      <c r="H71" s="9">
        <f t="shared" si="4"/>
        <v>4</v>
      </c>
      <c r="I71" s="6" t="str">
        <f>IFERROR(__xludf.DUMMYFUNCTION("MAX(FILTER($H:$H,$E:$E=F71))"),"#N/A")</f>
        <v>#N/A</v>
      </c>
    </row>
    <row r="72">
      <c r="A72" s="4"/>
      <c r="C72" s="4" t="s">
        <v>2284</v>
      </c>
      <c r="D72" s="4" t="str">
        <f t="shared" si="1"/>
        <v>{"valorA":"purificador de água","valorB":7}</v>
      </c>
      <c r="E72" s="8" t="str">
        <f t="shared" si="2"/>
        <v>purificador de água</v>
      </c>
      <c r="F72" s="8"/>
      <c r="G72" s="8" t="str">
        <f t="shared" si="3"/>
        <v>7</v>
      </c>
      <c r="H72" s="9">
        <f t="shared" si="4"/>
        <v>7</v>
      </c>
      <c r="I72" s="6" t="str">
        <f>IFERROR(__xludf.DUMMYFUNCTION("MAX(FILTER($H:$H,$E:$E=F72))"),"#N/A")</f>
        <v>#N/A</v>
      </c>
    </row>
    <row r="73">
      <c r="A73" s="4"/>
      <c r="C73" s="4" t="s">
        <v>2295</v>
      </c>
      <c r="D73" s="4" t="str">
        <f t="shared" si="1"/>
        <v>{"valorA":"teclado de computador","valorB":6}</v>
      </c>
      <c r="E73" s="8" t="str">
        <f t="shared" si="2"/>
        <v>teclado de computador</v>
      </c>
      <c r="F73" s="8"/>
      <c r="G73" s="8" t="str">
        <f t="shared" si="3"/>
        <v>6</v>
      </c>
      <c r="H73" s="9">
        <f t="shared" si="4"/>
        <v>6</v>
      </c>
      <c r="I73" s="6" t="str">
        <f>IFERROR(__xludf.DUMMYFUNCTION("MAX(FILTER($H:$H,$E:$E=F73))"),"#N/A")</f>
        <v>#N/A</v>
      </c>
    </row>
    <row r="74">
      <c r="A74" s="4"/>
      <c r="C74" s="4" t="s">
        <v>2257</v>
      </c>
      <c r="D74" s="4" t="str">
        <f t="shared" si="1"/>
        <v>{"valorA":"celular","valorB":3}</v>
      </c>
      <c r="E74" s="8" t="str">
        <f t="shared" si="2"/>
        <v>celular</v>
      </c>
      <c r="F74" s="8"/>
      <c r="G74" s="8" t="str">
        <f t="shared" si="3"/>
        <v>3</v>
      </c>
      <c r="H74" s="9">
        <f t="shared" si="4"/>
        <v>3</v>
      </c>
      <c r="I74" s="6" t="str">
        <f>IFERROR(__xludf.DUMMYFUNCTION("MAX(FILTER($H:$H,$E:$E=F74))"),"#N/A")</f>
        <v>#N/A</v>
      </c>
    </row>
    <row r="75">
      <c r="A75" s="4"/>
      <c r="C75" s="4" t="s">
        <v>2230</v>
      </c>
      <c r="D75" s="4" t="str">
        <f t="shared" si="1"/>
        <v>{"valorA":"fone de ouvido","valorB":5}</v>
      </c>
      <c r="E75" s="8" t="str">
        <f t="shared" si="2"/>
        <v>fone de ouvido</v>
      </c>
      <c r="F75" s="8"/>
      <c r="G75" s="8" t="str">
        <f t="shared" si="3"/>
        <v>5</v>
      </c>
      <c r="H75" s="9">
        <f t="shared" si="4"/>
        <v>5</v>
      </c>
      <c r="I75" s="6" t="str">
        <f>IFERROR(__xludf.DUMMYFUNCTION("MAX(FILTER($H:$H,$E:$E=F75))"),"#N/A")</f>
        <v>#N/A</v>
      </c>
    </row>
    <row r="76">
      <c r="A76" s="4"/>
      <c r="C76" s="4" t="s">
        <v>1665</v>
      </c>
      <c r="D76" s="4" t="str">
        <f t="shared" si="1"/>
        <v>{"valorA":"freezer","valorB":7}</v>
      </c>
      <c r="E76" s="8" t="str">
        <f t="shared" si="2"/>
        <v>freezer</v>
      </c>
      <c r="F76" s="8"/>
      <c r="G76" s="8" t="str">
        <f t="shared" si="3"/>
        <v>7</v>
      </c>
      <c r="H76" s="9">
        <f t="shared" si="4"/>
        <v>7</v>
      </c>
      <c r="I76" s="6" t="str">
        <f>IFERROR(__xludf.DUMMYFUNCTION("MAX(FILTER($H:$H,$E:$E=F76))"),"#N/A")</f>
        <v>#N/A</v>
      </c>
    </row>
    <row r="77">
      <c r="A77" s="4"/>
      <c r="C77" s="4" t="s">
        <v>2227</v>
      </c>
      <c r="D77" s="4" t="str">
        <f t="shared" si="1"/>
        <v>{"valorA":"carregador de celular","valorB":2}</v>
      </c>
      <c r="E77" s="8" t="str">
        <f t="shared" si="2"/>
        <v>carregador de celular</v>
      </c>
      <c r="F77" s="8"/>
      <c r="G77" s="8" t="str">
        <f t="shared" si="3"/>
        <v>2</v>
      </c>
      <c r="H77" s="9">
        <f t="shared" si="4"/>
        <v>2</v>
      </c>
      <c r="I77" s="6" t="str">
        <f>IFERROR(__xludf.DUMMYFUNCTION("MAX(FILTER($H:$H,$E:$E=F77))"),"#N/A")</f>
        <v>#N/A</v>
      </c>
    </row>
    <row r="78">
      <c r="A78" s="4"/>
      <c r="C78" s="4" t="s">
        <v>2188</v>
      </c>
      <c r="D78" s="4" t="str">
        <f t="shared" si="1"/>
        <v>{"valorA":"relógio","valorB":4}</v>
      </c>
      <c r="E78" s="8" t="str">
        <f t="shared" si="2"/>
        <v>relógio</v>
      </c>
      <c r="F78" s="8"/>
      <c r="G78" s="8" t="str">
        <f t="shared" si="3"/>
        <v>4</v>
      </c>
      <c r="H78" s="9">
        <f t="shared" si="4"/>
        <v>4</v>
      </c>
      <c r="I78" s="6" t="str">
        <f>IFERROR(__xludf.DUMMYFUNCTION("MAX(FILTER($H:$H,$E:$E=F78))"),"#N/A")</f>
        <v>#N/A</v>
      </c>
    </row>
    <row r="79">
      <c r="A79" s="4"/>
      <c r="C79" s="4" t="s">
        <v>1697</v>
      </c>
      <c r="D79" s="4" t="str">
        <f t="shared" si="1"/>
        <v>{"valorA":"ar condicionado","valorB":3}</v>
      </c>
      <c r="E79" s="8" t="str">
        <f t="shared" si="2"/>
        <v>ar condicionado</v>
      </c>
      <c r="F79" s="8"/>
      <c r="G79" s="8" t="str">
        <f t="shared" si="3"/>
        <v>3</v>
      </c>
      <c r="H79" s="9">
        <f t="shared" si="4"/>
        <v>3</v>
      </c>
      <c r="I79" s="6" t="str">
        <f>IFERROR(__xludf.DUMMYFUNCTION("MAX(FILTER($H:$H,$E:$E=F79))"),"#N/A")</f>
        <v>#N/A</v>
      </c>
    </row>
    <row r="80">
      <c r="A80" s="4"/>
      <c r="C80" s="4" t="s">
        <v>2277</v>
      </c>
      <c r="D80" s="4" t="str">
        <f t="shared" si="1"/>
        <v>{"valorA":"mouse de computador","valorB":4}</v>
      </c>
      <c r="E80" s="8" t="str">
        <f t="shared" si="2"/>
        <v>mouse de computador</v>
      </c>
      <c r="F80" s="8"/>
      <c r="G80" s="8" t="str">
        <f t="shared" si="3"/>
        <v>4</v>
      </c>
      <c r="H80" s="9">
        <f t="shared" si="4"/>
        <v>4</v>
      </c>
      <c r="I80" s="6" t="str">
        <f>IFERROR(__xludf.DUMMYFUNCTION("MAX(FILTER($H:$H,$E:$E=F80))"),"#N/A")</f>
        <v>#N/A</v>
      </c>
    </row>
    <row r="81">
      <c r="A81" s="4"/>
      <c r="C81" s="4" t="s">
        <v>1666</v>
      </c>
      <c r="D81" s="4" t="str">
        <f t="shared" si="1"/>
        <v>{"valorA":"freezer","valorB":8}</v>
      </c>
      <c r="E81" s="8" t="str">
        <f t="shared" si="2"/>
        <v>freezer</v>
      </c>
      <c r="F81" s="8"/>
      <c r="G81" s="8" t="str">
        <f t="shared" si="3"/>
        <v>8</v>
      </c>
      <c r="H81" s="9">
        <f t="shared" si="4"/>
        <v>8</v>
      </c>
      <c r="I81" s="6" t="str">
        <f>IFERROR(__xludf.DUMMYFUNCTION("MAX(FILTER($H:$H,$E:$E=F81))"),"#N/A")</f>
        <v>#N/A</v>
      </c>
    </row>
    <row r="82">
      <c r="A82" s="4"/>
      <c r="C82" s="4" t="s">
        <v>2326</v>
      </c>
      <c r="D82" s="4" t="str">
        <f t="shared" si="1"/>
        <v>{"valorA":"purificador de água","valorB":8}</v>
      </c>
      <c r="E82" s="8" t="str">
        <f t="shared" si="2"/>
        <v>purificador de água</v>
      </c>
      <c r="F82" s="8"/>
      <c r="G82" s="8" t="str">
        <f t="shared" si="3"/>
        <v>8</v>
      </c>
      <c r="H82" s="9">
        <f t="shared" si="4"/>
        <v>8</v>
      </c>
      <c r="I82" s="6" t="str">
        <f>IFERROR(__xludf.DUMMYFUNCTION("MAX(FILTER($H:$H,$E:$E=F82))"),"#N/A")</f>
        <v>#N/A</v>
      </c>
    </row>
    <row r="83">
      <c r="A83" s="4"/>
      <c r="C83" s="4" t="s">
        <v>2173</v>
      </c>
      <c r="D83" s="4" t="str">
        <f t="shared" si="1"/>
        <v>{"valorA":"ventilador","valorB":2}</v>
      </c>
      <c r="E83" s="8" t="str">
        <f t="shared" si="2"/>
        <v>ventilador</v>
      </c>
      <c r="F83" s="8"/>
      <c r="G83" s="8" t="str">
        <f t="shared" si="3"/>
        <v>2</v>
      </c>
      <c r="H83" s="9">
        <f t="shared" si="4"/>
        <v>2</v>
      </c>
      <c r="I83" s="6" t="str">
        <f>IFERROR(__xludf.DUMMYFUNCTION("MAX(FILTER($H:$H,$E:$E=F83))"),"#N/A")</f>
        <v>#N/A</v>
      </c>
    </row>
    <row r="84">
      <c r="A84" s="4"/>
      <c r="C84" s="4" t="s">
        <v>1694</v>
      </c>
      <c r="D84" s="4" t="str">
        <f t="shared" si="1"/>
        <v>{"valorA":"microondas","valorB":2}</v>
      </c>
      <c r="E84" s="8" t="str">
        <f t="shared" si="2"/>
        <v>microondas</v>
      </c>
      <c r="F84" s="8"/>
      <c r="G84" s="8" t="str">
        <f t="shared" si="3"/>
        <v>2</v>
      </c>
      <c r="H84" s="9">
        <f t="shared" si="4"/>
        <v>2</v>
      </c>
      <c r="I84" s="6" t="str">
        <f>IFERROR(__xludf.DUMMYFUNCTION("MAX(FILTER($H:$H,$E:$E=F84))"),"#N/A")</f>
        <v>#N/A</v>
      </c>
    </row>
    <row r="85">
      <c r="A85" s="4"/>
      <c r="C85" s="4" t="s">
        <v>1696</v>
      </c>
      <c r="D85" s="4" t="str">
        <f t="shared" si="1"/>
        <v>{"valorA":"microondas","valorB":3}</v>
      </c>
      <c r="E85" s="8" t="str">
        <f t="shared" si="2"/>
        <v>microondas</v>
      </c>
      <c r="F85" s="8"/>
      <c r="G85" s="8" t="str">
        <f t="shared" si="3"/>
        <v>3</v>
      </c>
      <c r="H85" s="9">
        <f t="shared" si="4"/>
        <v>3</v>
      </c>
      <c r="I85" s="6" t="str">
        <f>IFERROR(__xludf.DUMMYFUNCTION("MAX(FILTER($H:$H,$E:$E=F85))"),"#N/A")</f>
        <v>#N/A</v>
      </c>
    </row>
    <row r="86">
      <c r="A86" s="4"/>
      <c r="C86" s="4" t="s">
        <v>2254</v>
      </c>
      <c r="D86" s="4" t="str">
        <f t="shared" si="1"/>
        <v>{"valorA":"fogão","valorB":5}</v>
      </c>
      <c r="E86" s="8" t="str">
        <f t="shared" si="2"/>
        <v>fogão</v>
      </c>
      <c r="F86" s="8"/>
      <c r="G86" s="8" t="str">
        <f t="shared" si="3"/>
        <v>5</v>
      </c>
      <c r="H86" s="9">
        <f t="shared" si="4"/>
        <v>5</v>
      </c>
      <c r="I86" s="6" t="str">
        <f>IFERROR(__xludf.DUMMYFUNCTION("MAX(FILTER($H:$H,$E:$E=F86))"),"#N/A")</f>
        <v>#N/A</v>
      </c>
    </row>
    <row r="87">
      <c r="A87" s="4"/>
      <c r="C87" s="4" t="s">
        <v>1667</v>
      </c>
      <c r="D87" s="4" t="str">
        <f t="shared" si="1"/>
        <v>{"valorA":"freezer","valorB":9}</v>
      </c>
      <c r="E87" s="8" t="str">
        <f t="shared" si="2"/>
        <v>freezer</v>
      </c>
      <c r="F87" s="8"/>
      <c r="G87" s="8" t="str">
        <f t="shared" si="3"/>
        <v>9</v>
      </c>
      <c r="H87" s="9">
        <f t="shared" si="4"/>
        <v>9</v>
      </c>
      <c r="I87" s="6" t="str">
        <f>IFERROR(__xludf.DUMMYFUNCTION("MAX(FILTER($H:$H,$E:$E=F87))"),"#N/A")</f>
        <v>#N/A</v>
      </c>
    </row>
    <row r="88">
      <c r="A88" s="4"/>
      <c r="C88" s="4" t="s">
        <v>2224</v>
      </c>
      <c r="D88" s="4" t="str">
        <f t="shared" si="1"/>
        <v>{"valorA":"liquidificador","valorB":5}</v>
      </c>
      <c r="E88" s="8" t="str">
        <f t="shared" si="2"/>
        <v>liquidificador</v>
      </c>
      <c r="F88" s="8"/>
      <c r="G88" s="8" t="str">
        <f t="shared" si="3"/>
        <v>5</v>
      </c>
      <c r="H88" s="9">
        <f t="shared" si="4"/>
        <v>5</v>
      </c>
      <c r="I88" s="6" t="str">
        <f>IFERROR(__xludf.DUMMYFUNCTION("MAX(FILTER($H:$H,$E:$E=F88))"),"#N/A")</f>
        <v>#N/A</v>
      </c>
    </row>
    <row r="89">
      <c r="A89" s="4"/>
      <c r="C89" s="4" t="s">
        <v>2204</v>
      </c>
      <c r="D89" s="4" t="str">
        <f t="shared" si="1"/>
        <v>{"valorA":"chuveiro elétrico","valorB":6}</v>
      </c>
      <c r="E89" s="8" t="str">
        <f t="shared" si="2"/>
        <v>chuveiro elétrico</v>
      </c>
      <c r="F89" s="8"/>
      <c r="G89" s="8" t="str">
        <f t="shared" si="3"/>
        <v>6</v>
      </c>
      <c r="H89" s="9">
        <f t="shared" si="4"/>
        <v>6</v>
      </c>
      <c r="I89" s="6" t="str">
        <f>IFERROR(__xludf.DUMMYFUNCTION("MAX(FILTER($H:$H,$E:$E=F89))"),"#N/A")</f>
        <v>#N/A</v>
      </c>
    </row>
    <row r="90">
      <c r="A90" s="4"/>
      <c r="C90" s="4" t="s">
        <v>2229</v>
      </c>
      <c r="D90" s="4" t="str">
        <f t="shared" si="1"/>
        <v>{"valorA":"liquidificador","valorB":6}</v>
      </c>
      <c r="E90" s="8" t="str">
        <f t="shared" si="2"/>
        <v>liquidificador</v>
      </c>
      <c r="F90" s="8"/>
      <c r="G90" s="8" t="str">
        <f t="shared" si="3"/>
        <v>6</v>
      </c>
      <c r="H90" s="9">
        <f t="shared" si="4"/>
        <v>6</v>
      </c>
      <c r="I90" s="6" t="str">
        <f>IFERROR(__xludf.DUMMYFUNCTION("MAX(FILTER($H:$H,$E:$E=F90))"),"#N/A")</f>
        <v>#N/A</v>
      </c>
    </row>
    <row r="91">
      <c r="A91" s="4"/>
      <c r="C91" s="4" t="s">
        <v>2249</v>
      </c>
      <c r="D91" s="4" t="str">
        <f t="shared" si="1"/>
        <v>{"valorA":"aspirador","valorB":5}</v>
      </c>
      <c r="E91" s="8" t="str">
        <f t="shared" si="2"/>
        <v>aspirador</v>
      </c>
      <c r="F91" s="8"/>
      <c r="G91" s="8" t="str">
        <f t="shared" si="3"/>
        <v>5</v>
      </c>
      <c r="H91" s="9">
        <f t="shared" si="4"/>
        <v>5</v>
      </c>
      <c r="I91" s="6" t="str">
        <f>IFERROR(__xludf.DUMMYFUNCTION("MAX(FILTER($H:$H,$E:$E=F91))"),"#N/A")</f>
        <v>#N/A</v>
      </c>
    </row>
    <row r="92">
      <c r="A92" s="4"/>
      <c r="C92" s="4" t="s">
        <v>2252</v>
      </c>
      <c r="D92" s="4" t="str">
        <f t="shared" si="1"/>
        <v>{"valorA":"fone de ouvido","valorB":6}</v>
      </c>
      <c r="E92" s="8" t="str">
        <f t="shared" si="2"/>
        <v>fone de ouvido</v>
      </c>
      <c r="F92" s="8"/>
      <c r="G92" s="8" t="str">
        <f t="shared" si="3"/>
        <v>6</v>
      </c>
      <c r="H92" s="9">
        <f t="shared" si="4"/>
        <v>6</v>
      </c>
      <c r="I92" s="6" t="str">
        <f>IFERROR(__xludf.DUMMYFUNCTION("MAX(FILTER($H:$H,$E:$E=F92))"),"#N/A")</f>
        <v>#N/A</v>
      </c>
    </row>
    <row r="93">
      <c r="A93" s="4"/>
      <c r="C93" s="4" t="s">
        <v>2281</v>
      </c>
      <c r="D93" s="4" t="str">
        <f t="shared" si="1"/>
        <v>{"valorA":"mouse de computador","valorB":5}</v>
      </c>
      <c r="E93" s="8" t="str">
        <f t="shared" si="2"/>
        <v>mouse de computador</v>
      </c>
      <c r="F93" s="8"/>
      <c r="G93" s="8" t="str">
        <f t="shared" si="3"/>
        <v>5</v>
      </c>
      <c r="H93" s="9">
        <f t="shared" si="4"/>
        <v>5</v>
      </c>
      <c r="I93" s="6" t="str">
        <f>IFERROR(__xludf.DUMMYFUNCTION("MAX(FILTER($H:$H,$E:$E=F93))"),"#N/A")</f>
        <v>#N/A</v>
      </c>
    </row>
    <row r="94">
      <c r="A94" s="4"/>
      <c r="C94" s="4" t="s">
        <v>2261</v>
      </c>
      <c r="D94" s="4" t="str">
        <f t="shared" si="1"/>
        <v>{"valorA":"fogão","valorB":6}</v>
      </c>
      <c r="E94" s="8" t="str">
        <f t="shared" si="2"/>
        <v>fogão</v>
      </c>
      <c r="F94" s="8"/>
      <c r="G94" s="8" t="str">
        <f t="shared" si="3"/>
        <v>6</v>
      </c>
      <c r="H94" s="9">
        <f t="shared" si="4"/>
        <v>6</v>
      </c>
      <c r="I94" s="6" t="str">
        <f>IFERROR(__xludf.DUMMYFUNCTION("MAX(FILTER($H:$H,$E:$E=F94))"),"#N/A")</f>
        <v>#N/A</v>
      </c>
    </row>
    <row r="95">
      <c r="A95" s="4"/>
      <c r="C95" s="4" t="s">
        <v>2266</v>
      </c>
      <c r="D95" s="4" t="str">
        <f t="shared" si="1"/>
        <v>{"valorA":"carregador de celular","valorB":3}</v>
      </c>
      <c r="E95" s="8" t="str">
        <f t="shared" si="2"/>
        <v>carregador de celular</v>
      </c>
      <c r="F95" s="8"/>
      <c r="G95" s="8" t="str">
        <f t="shared" si="3"/>
        <v>3</v>
      </c>
      <c r="H95" s="9">
        <f t="shared" si="4"/>
        <v>3</v>
      </c>
      <c r="I95" s="6" t="str">
        <f>IFERROR(__xludf.DUMMYFUNCTION("MAX(FILTER($H:$H,$E:$E=F95))"),"#N/A")</f>
        <v>#N/A</v>
      </c>
    </row>
    <row r="96">
      <c r="A96" s="4"/>
      <c r="C96" s="4" t="s">
        <v>2316</v>
      </c>
      <c r="D96" s="4" t="str">
        <f t="shared" si="1"/>
        <v>{"valorA":"lustre","valorB":6}</v>
      </c>
      <c r="E96" s="8" t="str">
        <f t="shared" si="2"/>
        <v>lustre</v>
      </c>
      <c r="F96" s="8"/>
      <c r="G96" s="8" t="str">
        <f t="shared" si="3"/>
        <v>6</v>
      </c>
      <c r="H96" s="9">
        <f t="shared" si="4"/>
        <v>6</v>
      </c>
      <c r="I96" s="6" t="str">
        <f>IFERROR(__xludf.DUMMYFUNCTION("MAX(FILTER($H:$H,$E:$E=F96))"),"#N/A")</f>
        <v>#N/A</v>
      </c>
    </row>
    <row r="97">
      <c r="A97" s="4"/>
      <c r="C97" s="4" t="s">
        <v>1699</v>
      </c>
      <c r="D97" s="4" t="str">
        <f t="shared" si="1"/>
        <v>{"valorA":"microondas","valorB":4}</v>
      </c>
      <c r="E97" s="8" t="str">
        <f t="shared" si="2"/>
        <v>microondas</v>
      </c>
      <c r="F97" s="8"/>
      <c r="G97" s="8" t="str">
        <f t="shared" si="3"/>
        <v>4</v>
      </c>
      <c r="H97" s="9">
        <f t="shared" si="4"/>
        <v>4</v>
      </c>
      <c r="I97" s="6" t="str">
        <f>IFERROR(__xludf.DUMMYFUNCTION("MAX(FILTER($H:$H,$E:$E=F97))"),"#N/A")</f>
        <v>#N/A</v>
      </c>
    </row>
    <row r="98">
      <c r="A98" s="4"/>
      <c r="C98" s="4" t="s">
        <v>2262</v>
      </c>
      <c r="D98" s="4" t="str">
        <f t="shared" si="1"/>
        <v>{"valorA":"fone de ouvido","valorB":7}</v>
      </c>
      <c r="E98" s="8" t="str">
        <f t="shared" si="2"/>
        <v>fone de ouvido</v>
      </c>
      <c r="F98" s="8"/>
      <c r="G98" s="8" t="str">
        <f t="shared" si="3"/>
        <v>7</v>
      </c>
      <c r="H98" s="9">
        <f t="shared" si="4"/>
        <v>7</v>
      </c>
      <c r="I98" s="6" t="str">
        <f>IFERROR(__xludf.DUMMYFUNCTION("MAX(FILTER($H:$H,$E:$E=F98))"),"#N/A")</f>
        <v>#N/A</v>
      </c>
    </row>
    <row r="99">
      <c r="A99" s="4"/>
      <c r="C99" s="4" t="s">
        <v>2285</v>
      </c>
      <c r="D99" s="4" t="str">
        <f t="shared" si="1"/>
        <v>{"valorA":"carregador de computador","valorB":6}</v>
      </c>
      <c r="E99" s="8" t="str">
        <f t="shared" si="2"/>
        <v>carregador de computador</v>
      </c>
      <c r="F99" s="8"/>
      <c r="G99" s="8" t="str">
        <f t="shared" si="3"/>
        <v>6</v>
      </c>
      <c r="H99" s="9">
        <f t="shared" si="4"/>
        <v>6</v>
      </c>
      <c r="I99" s="6" t="str">
        <f>IFERROR(__xludf.DUMMYFUNCTION("MAX(FILTER($H:$H,$E:$E=F99))"),"#N/A")</f>
        <v>#N/A</v>
      </c>
    </row>
    <row r="100">
      <c r="A100" s="4"/>
      <c r="C100" s="4" t="s">
        <v>2291</v>
      </c>
      <c r="D100" s="4" t="str">
        <f t="shared" si="1"/>
        <v>{"valorA":"fogão","valorB":7}</v>
      </c>
      <c r="E100" s="8" t="str">
        <f t="shared" si="2"/>
        <v>fogão</v>
      </c>
      <c r="F100" s="8"/>
      <c r="G100" s="8" t="str">
        <f t="shared" si="3"/>
        <v>7</v>
      </c>
      <c r="H100" s="9">
        <f t="shared" si="4"/>
        <v>7</v>
      </c>
      <c r="I100" s="6" t="str">
        <f>IFERROR(__xludf.DUMMYFUNCTION("MAX(FILTER($H:$H,$E:$E=F100))"),"#N/A")</f>
        <v>#N/A</v>
      </c>
    </row>
    <row r="101">
      <c r="A101" s="4"/>
      <c r="C101" s="4" t="s">
        <v>2286</v>
      </c>
      <c r="D101" s="4" t="str">
        <f t="shared" si="1"/>
        <v>{"valorA":"carregador de computador","valorB":7}</v>
      </c>
      <c r="E101" s="8" t="str">
        <f t="shared" si="2"/>
        <v>carregador de computador</v>
      </c>
      <c r="F101" s="8"/>
      <c r="G101" s="8" t="str">
        <f t="shared" si="3"/>
        <v>7</v>
      </c>
      <c r="H101" s="9">
        <f t="shared" si="4"/>
        <v>7</v>
      </c>
      <c r="I101" s="6" t="str">
        <f>IFERROR(__xludf.DUMMYFUNCTION("MAX(FILTER($H:$H,$E:$E=F101))"),"#N/A")</f>
        <v>#N/A</v>
      </c>
    </row>
    <row r="102">
      <c r="A102" s="4"/>
      <c r="C102" s="4" t="s">
        <v>2180</v>
      </c>
      <c r="D102" s="4" t="str">
        <f t="shared" si="1"/>
        <v>{"valorA":"computador","valorB":1}</v>
      </c>
      <c r="E102" s="8" t="str">
        <f t="shared" si="2"/>
        <v>computador</v>
      </c>
      <c r="F102" s="8"/>
      <c r="G102" s="8" t="str">
        <f t="shared" si="3"/>
        <v>1</v>
      </c>
      <c r="H102" s="9">
        <f t="shared" si="4"/>
        <v>1</v>
      </c>
      <c r="I102" s="6" t="str">
        <f>IFERROR(__xludf.DUMMYFUNCTION("MAX(FILTER($H:$H,$E:$E=F102))"),"#N/A")</f>
        <v>#N/A</v>
      </c>
    </row>
    <row r="103">
      <c r="A103" s="4"/>
      <c r="C103" s="4" t="s">
        <v>2307</v>
      </c>
      <c r="D103" s="4" t="str">
        <f t="shared" si="1"/>
        <v>{"valorA":"fogão","valorB":8}</v>
      </c>
      <c r="E103" s="8" t="str">
        <f t="shared" si="2"/>
        <v>fogão</v>
      </c>
      <c r="F103" s="8"/>
      <c r="G103" s="8" t="str">
        <f t="shared" si="3"/>
        <v>8</v>
      </c>
      <c r="H103" s="9">
        <f t="shared" si="4"/>
        <v>8</v>
      </c>
      <c r="I103" s="6" t="str">
        <f>IFERROR(__xludf.DUMMYFUNCTION("MAX(FILTER($H:$H,$E:$E=F103))"),"#N/A")</f>
        <v>#N/A</v>
      </c>
    </row>
    <row r="104">
      <c r="A104" s="4"/>
      <c r="C104" s="4" t="s">
        <v>2341</v>
      </c>
      <c r="D104" s="4" t="str">
        <f t="shared" si="1"/>
        <v>{"valorA":"purificador de água","valorB":9}</v>
      </c>
      <c r="E104" s="8" t="str">
        <f t="shared" si="2"/>
        <v>purificador de água</v>
      </c>
      <c r="F104" s="8"/>
      <c r="G104" s="8" t="str">
        <f t="shared" si="3"/>
        <v>9</v>
      </c>
      <c r="H104" s="9">
        <f t="shared" si="4"/>
        <v>9</v>
      </c>
      <c r="I104" s="6" t="str">
        <f>IFERROR(__xludf.DUMMYFUNCTION("MAX(FILTER($H:$H,$E:$E=F104))"),"#N/A")</f>
        <v>#N/A</v>
      </c>
    </row>
    <row r="105">
      <c r="A105" s="4"/>
      <c r="C105" s="4" t="s">
        <v>1701</v>
      </c>
      <c r="D105" s="4" t="str">
        <f t="shared" si="1"/>
        <v>{"valorA":"microondas","valorB":5}</v>
      </c>
      <c r="E105" s="8" t="str">
        <f t="shared" si="2"/>
        <v>microondas</v>
      </c>
      <c r="F105" s="8"/>
      <c r="G105" s="8" t="str">
        <f t="shared" si="3"/>
        <v>5</v>
      </c>
      <c r="H105" s="9">
        <f t="shared" si="4"/>
        <v>5</v>
      </c>
      <c r="I105" s="6" t="str">
        <f>IFERROR(__xludf.DUMMYFUNCTION("MAX(FILTER($H:$H,$E:$E=F105))"),"#N/A")</f>
        <v>#N/A</v>
      </c>
    </row>
    <row r="106">
      <c r="A106" s="4"/>
      <c r="C106" s="4" t="s">
        <v>2270</v>
      </c>
      <c r="D106" s="4" t="str">
        <f t="shared" si="1"/>
        <v>{"valorA":"carregador de celular","valorB":4}</v>
      </c>
      <c r="E106" s="8" t="str">
        <f t="shared" si="2"/>
        <v>carregador de celular</v>
      </c>
      <c r="F106" s="8"/>
      <c r="G106" s="8" t="str">
        <f t="shared" si="3"/>
        <v>4</v>
      </c>
      <c r="H106" s="9">
        <f t="shared" si="4"/>
        <v>4</v>
      </c>
      <c r="I106" s="6" t="str">
        <f>IFERROR(__xludf.DUMMYFUNCTION("MAX(FILTER($H:$H,$E:$E=F106))"),"#N/A")</f>
        <v>#N/A</v>
      </c>
    </row>
    <row r="107">
      <c r="A107" s="4"/>
      <c r="C107" s="4" t="s">
        <v>1698</v>
      </c>
      <c r="D107" s="4" t="str">
        <f t="shared" si="1"/>
        <v>{"valorA":"ar condicionado","valorB":4}</v>
      </c>
      <c r="E107" s="8" t="str">
        <f t="shared" si="2"/>
        <v>ar condicionado</v>
      </c>
      <c r="F107" s="8"/>
      <c r="G107" s="8" t="str">
        <f t="shared" si="3"/>
        <v>4</v>
      </c>
      <c r="H107" s="9">
        <f t="shared" si="4"/>
        <v>4</v>
      </c>
      <c r="I107" s="6" t="str">
        <f>IFERROR(__xludf.DUMMYFUNCTION("MAX(FILTER($H:$H,$E:$E=F107))"),"#N/A")</f>
        <v>#N/A</v>
      </c>
    </row>
    <row r="108">
      <c r="A108" s="4"/>
      <c r="C108" s="4" t="s">
        <v>2231</v>
      </c>
      <c r="D108" s="4" t="str">
        <f t="shared" si="1"/>
        <v>{"valorA":"liquidificador","valorB":7}</v>
      </c>
      <c r="E108" s="8" t="str">
        <f t="shared" si="2"/>
        <v>liquidificador</v>
      </c>
      <c r="F108" s="8"/>
      <c r="G108" s="8" t="str">
        <f t="shared" si="3"/>
        <v>7</v>
      </c>
      <c r="H108" s="9">
        <f t="shared" si="4"/>
        <v>7</v>
      </c>
      <c r="I108" s="6" t="str">
        <f>IFERROR(__xludf.DUMMYFUNCTION("MAX(FILTER($H:$H,$E:$E=F108))"),"#N/A")</f>
        <v>#N/A</v>
      </c>
    </row>
    <row r="109">
      <c r="A109" s="4"/>
      <c r="C109" s="4" t="s">
        <v>2299</v>
      </c>
      <c r="D109" s="4" t="str">
        <f t="shared" si="1"/>
        <v>{"valorA":"teclado de computador","valorB":7}</v>
      </c>
      <c r="E109" s="8" t="str">
        <f t="shared" si="2"/>
        <v>teclado de computador</v>
      </c>
      <c r="F109" s="8"/>
      <c r="G109" s="8" t="str">
        <f t="shared" si="3"/>
        <v>7</v>
      </c>
      <c r="H109" s="9">
        <f t="shared" si="4"/>
        <v>7</v>
      </c>
      <c r="I109" s="6" t="str">
        <f>IFERROR(__xludf.DUMMYFUNCTION("MAX(FILTER($H:$H,$E:$E=F109))"),"#N/A")</f>
        <v>#N/A</v>
      </c>
    </row>
    <row r="110">
      <c r="A110" s="4"/>
      <c r="C110" s="4" t="s">
        <v>2374</v>
      </c>
      <c r="D110" s="4" t="str">
        <f t="shared" si="1"/>
        <v>{"valorA":"purificador de água","valorB":10}</v>
      </c>
      <c r="E110" s="8" t="str">
        <f t="shared" si="2"/>
        <v>purificador de água</v>
      </c>
      <c r="F110" s="8"/>
      <c r="G110" s="8" t="str">
        <f t="shared" si="3"/>
        <v>10</v>
      </c>
      <c r="H110" s="9">
        <f t="shared" si="4"/>
        <v>10</v>
      </c>
      <c r="I110" s="6" t="str">
        <f>IFERROR(__xludf.DUMMYFUNCTION("MAX(FILTER($H:$H,$E:$E=F110))"),"#N/A")</f>
        <v>#N/A</v>
      </c>
    </row>
    <row r="111">
      <c r="A111" s="4"/>
      <c r="C111" s="4" t="s">
        <v>1700</v>
      </c>
      <c r="D111" s="4" t="str">
        <f t="shared" si="1"/>
        <v>{"valorA":"ar condicionado","valorB":5}</v>
      </c>
      <c r="E111" s="8" t="str">
        <f t="shared" si="2"/>
        <v>ar condicionado</v>
      </c>
      <c r="F111" s="8"/>
      <c r="G111" s="8" t="str">
        <f t="shared" si="3"/>
        <v>5</v>
      </c>
      <c r="H111" s="9">
        <f t="shared" si="4"/>
        <v>5</v>
      </c>
      <c r="I111" s="6" t="str">
        <f>IFERROR(__xludf.DUMMYFUNCTION("MAX(FILTER($H:$H,$E:$E=F111))"),"#N/A")</f>
        <v>#N/A</v>
      </c>
    </row>
    <row r="112">
      <c r="A112" s="4"/>
      <c r="C112" s="4" t="s">
        <v>2199</v>
      </c>
      <c r="D112" s="4" t="str">
        <f t="shared" si="1"/>
        <v>{"valorA":"ventilador","valorB":3}</v>
      </c>
      <c r="E112" s="8" t="str">
        <f t="shared" si="2"/>
        <v>ventilador</v>
      </c>
      <c r="F112" s="8"/>
      <c r="G112" s="8" t="str">
        <f t="shared" si="3"/>
        <v>3</v>
      </c>
      <c r="H112" s="9">
        <f t="shared" si="4"/>
        <v>3</v>
      </c>
      <c r="I112" s="6" t="str">
        <f>IFERROR(__xludf.DUMMYFUNCTION("MAX(FILTER($H:$H,$E:$E=F112))"),"#N/A")</f>
        <v>#N/A</v>
      </c>
    </row>
    <row r="113">
      <c r="A113" s="4"/>
      <c r="C113" s="4" t="s">
        <v>2190</v>
      </c>
      <c r="D113" s="4" t="str">
        <f t="shared" si="1"/>
        <v>{"valorA":"relógio","valorB":5}</v>
      </c>
      <c r="E113" s="8" t="str">
        <f t="shared" si="2"/>
        <v>relógio</v>
      </c>
      <c r="F113" s="8"/>
      <c r="G113" s="8" t="str">
        <f t="shared" si="3"/>
        <v>5</v>
      </c>
      <c r="H113" s="9">
        <f t="shared" si="4"/>
        <v>5</v>
      </c>
      <c r="I113" s="6" t="str">
        <f>IFERROR(__xludf.DUMMYFUNCTION("MAX(FILTER($H:$H,$E:$E=F113))"),"#N/A")</f>
        <v>#N/A</v>
      </c>
    </row>
    <row r="114">
      <c r="A114" s="4"/>
      <c r="C114" s="4" t="s">
        <v>2263</v>
      </c>
      <c r="D114" s="4" t="str">
        <f t="shared" si="1"/>
        <v>{"valorA":"fone de ouvido","valorB":8}</v>
      </c>
      <c r="E114" s="8" t="str">
        <f t="shared" si="2"/>
        <v>fone de ouvido</v>
      </c>
      <c r="F114" s="8"/>
      <c r="G114" s="8" t="str">
        <f t="shared" si="3"/>
        <v>8</v>
      </c>
      <c r="H114" s="9">
        <f t="shared" si="4"/>
        <v>8</v>
      </c>
      <c r="I114" s="6" t="str">
        <f>IFERROR(__xludf.DUMMYFUNCTION("MAX(FILTER($H:$H,$E:$E=F114))"),"#N/A")</f>
        <v>#N/A</v>
      </c>
    </row>
    <row r="115">
      <c r="A115" s="4"/>
      <c r="C115" s="4" t="s">
        <v>1703</v>
      </c>
      <c r="D115" s="4" t="str">
        <f t="shared" si="1"/>
        <v>{"valorA":"microondas","valorB":6}</v>
      </c>
      <c r="E115" s="8" t="str">
        <f t="shared" si="2"/>
        <v>microondas</v>
      </c>
      <c r="F115" s="8"/>
      <c r="G115" s="8" t="str">
        <f t="shared" si="3"/>
        <v>6</v>
      </c>
      <c r="H115" s="9">
        <f t="shared" si="4"/>
        <v>6</v>
      </c>
      <c r="I115" s="6" t="str">
        <f>IFERROR(__xludf.DUMMYFUNCTION("MAX(FILTER($H:$H,$E:$E=F115))"),"#N/A")</f>
        <v>#N/A</v>
      </c>
    </row>
    <row r="116">
      <c r="A116" s="4"/>
      <c r="C116" s="4" t="s">
        <v>2386</v>
      </c>
      <c r="D116" s="4" t="str">
        <f t="shared" si="1"/>
        <v>{"valorA":"purificador de água","valorB":11}</v>
      </c>
      <c r="E116" s="8" t="str">
        <f t="shared" si="2"/>
        <v>purificador de água</v>
      </c>
      <c r="F116" s="8"/>
      <c r="G116" s="8" t="str">
        <f t="shared" si="3"/>
        <v>11</v>
      </c>
      <c r="H116" s="9">
        <f t="shared" si="4"/>
        <v>11</v>
      </c>
      <c r="I116" s="6" t="str">
        <f>IFERROR(__xludf.DUMMYFUNCTION("MAX(FILTER($H:$H,$E:$E=F116))"),"#N/A")</f>
        <v>#N/A</v>
      </c>
    </row>
    <row r="117">
      <c r="A117" s="4"/>
      <c r="C117" s="4" t="s">
        <v>2310</v>
      </c>
      <c r="D117" s="4" t="str">
        <f t="shared" si="1"/>
        <v>{"valorA":"carregador de computador","valorB":8}</v>
      </c>
      <c r="E117" s="8" t="str">
        <f t="shared" si="2"/>
        <v>carregador de computador</v>
      </c>
      <c r="F117" s="8"/>
      <c r="G117" s="8" t="str">
        <f t="shared" si="3"/>
        <v>8</v>
      </c>
      <c r="H117" s="9">
        <f t="shared" si="4"/>
        <v>8</v>
      </c>
      <c r="I117" s="6" t="str">
        <f>IFERROR(__xludf.DUMMYFUNCTION("MAX(FILTER($H:$H,$E:$E=F117))"),"#N/A")</f>
        <v>#N/A</v>
      </c>
    </row>
    <row r="118">
      <c r="A118" s="4"/>
      <c r="C118" s="4" t="s">
        <v>2194</v>
      </c>
      <c r="D118" s="4" t="str">
        <f t="shared" si="1"/>
        <v>{"valorA":"relógio","valorB":6}</v>
      </c>
      <c r="E118" s="8" t="str">
        <f t="shared" si="2"/>
        <v>relógio</v>
      </c>
      <c r="F118" s="8"/>
      <c r="G118" s="8" t="str">
        <f t="shared" si="3"/>
        <v>6</v>
      </c>
      <c r="H118" s="9">
        <f t="shared" si="4"/>
        <v>6</v>
      </c>
      <c r="I118" s="6" t="str">
        <f>IFERROR(__xludf.DUMMYFUNCTION("MAX(FILTER($H:$H,$E:$E=F118))"),"#N/A")</f>
        <v>#N/A</v>
      </c>
    </row>
    <row r="119">
      <c r="A119" s="4"/>
      <c r="C119" s="4" t="s">
        <v>2198</v>
      </c>
      <c r="D119" s="4" t="str">
        <f t="shared" si="1"/>
        <v>{"valorA":"computador","valorB":2}</v>
      </c>
      <c r="E119" s="8" t="str">
        <f t="shared" si="2"/>
        <v>computador</v>
      </c>
      <c r="F119" s="8"/>
      <c r="G119" s="8" t="str">
        <f t="shared" si="3"/>
        <v>2</v>
      </c>
      <c r="H119" s="9">
        <f t="shared" si="4"/>
        <v>2</v>
      </c>
      <c r="I119" s="6" t="str">
        <f>IFERROR(__xludf.DUMMYFUNCTION("MAX(FILTER($H:$H,$E:$E=F119))"),"#N/A")</f>
        <v>#N/A</v>
      </c>
    </row>
    <row r="120">
      <c r="A120" s="4"/>
      <c r="C120" s="4" t="s">
        <v>2312</v>
      </c>
      <c r="D120" s="4" t="str">
        <f t="shared" si="1"/>
        <v>{"valorA":"fogão","valorB":9}</v>
      </c>
      <c r="E120" s="8" t="str">
        <f t="shared" si="2"/>
        <v>fogão</v>
      </c>
      <c r="F120" s="8"/>
      <c r="G120" s="8" t="str">
        <f t="shared" si="3"/>
        <v>9</v>
      </c>
      <c r="H120" s="9">
        <f t="shared" si="4"/>
        <v>9</v>
      </c>
      <c r="I120" s="6" t="str">
        <f>IFERROR(__xludf.DUMMYFUNCTION("MAX(FILTER($H:$H,$E:$E=F120))"),"#N/A")</f>
        <v>#N/A</v>
      </c>
    </row>
    <row r="121">
      <c r="A121" s="4"/>
      <c r="C121" s="4" t="s">
        <v>2407</v>
      </c>
      <c r="D121" s="4" t="str">
        <f t="shared" si="1"/>
        <v>{"valorA":"purificador de água","valorB":12}</v>
      </c>
      <c r="E121" s="8" t="str">
        <f t="shared" si="2"/>
        <v>purificador de água</v>
      </c>
      <c r="F121" s="8"/>
      <c r="G121" s="8" t="str">
        <f t="shared" si="3"/>
        <v>12</v>
      </c>
      <c r="H121" s="9">
        <f t="shared" si="4"/>
        <v>12</v>
      </c>
      <c r="I121" s="6" t="str">
        <f>IFERROR(__xludf.DUMMYFUNCTION("MAX(FILTER($H:$H,$E:$E=F121))"),"#N/A")</f>
        <v>#N/A</v>
      </c>
    </row>
    <row r="122">
      <c r="A122" s="4"/>
      <c r="C122" s="4" t="s">
        <v>2244</v>
      </c>
      <c r="D122" s="4" t="str">
        <f t="shared" si="1"/>
        <v>{"valorA":"relógio","valorB":7}</v>
      </c>
      <c r="E122" s="8" t="str">
        <f t="shared" si="2"/>
        <v>relógio</v>
      </c>
      <c r="F122" s="8"/>
      <c r="G122" s="8" t="str">
        <f t="shared" si="3"/>
        <v>7</v>
      </c>
      <c r="H122" s="9">
        <f t="shared" si="4"/>
        <v>7</v>
      </c>
      <c r="I122" s="6" t="str">
        <f>IFERROR(__xludf.DUMMYFUNCTION("MAX(FILTER($H:$H,$E:$E=F122))"),"#N/A")</f>
        <v>#N/A</v>
      </c>
    </row>
    <row r="123">
      <c r="A123" s="4"/>
      <c r="C123" s="4" t="s">
        <v>2339</v>
      </c>
      <c r="D123" s="4" t="str">
        <f t="shared" si="1"/>
        <v>{"valorA":"carregador de computador","valorB":9}</v>
      </c>
      <c r="E123" s="8" t="str">
        <f t="shared" si="2"/>
        <v>carregador de computador</v>
      </c>
      <c r="F123" s="8"/>
      <c r="G123" s="8" t="str">
        <f t="shared" si="3"/>
        <v>9</v>
      </c>
      <c r="H123" s="9">
        <f t="shared" si="4"/>
        <v>9</v>
      </c>
      <c r="I123" s="6" t="str">
        <f>IFERROR(__xludf.DUMMYFUNCTION("MAX(FILTER($H:$H,$E:$E=F123))"),"#N/A")</f>
        <v>#N/A</v>
      </c>
    </row>
    <row r="124">
      <c r="A124" s="4"/>
      <c r="C124" s="4" t="s">
        <v>2207</v>
      </c>
      <c r="D124" s="4" t="str">
        <f t="shared" si="1"/>
        <v>{"valorA":"ventilador","valorB":4}</v>
      </c>
      <c r="E124" s="8" t="str">
        <f t="shared" si="2"/>
        <v>ventilador</v>
      </c>
      <c r="F124" s="8"/>
      <c r="G124" s="8" t="str">
        <f t="shared" si="3"/>
        <v>4</v>
      </c>
      <c r="H124" s="9">
        <f t="shared" si="4"/>
        <v>4</v>
      </c>
      <c r="I124" s="6" t="str">
        <f>IFERROR(__xludf.DUMMYFUNCTION("MAX(FILTER($H:$H,$E:$E=F124))"),"#N/A")</f>
        <v>#N/A</v>
      </c>
    </row>
    <row r="125">
      <c r="A125" s="4"/>
      <c r="C125" s="4" t="s">
        <v>2268</v>
      </c>
      <c r="D125" s="4" t="str">
        <f t="shared" si="1"/>
        <v>{"valorA":"aspirador","valorB":6}</v>
      </c>
      <c r="E125" s="8" t="str">
        <f t="shared" si="2"/>
        <v>aspirador</v>
      </c>
      <c r="F125" s="8"/>
      <c r="G125" s="8" t="str">
        <f t="shared" si="3"/>
        <v>6</v>
      </c>
      <c r="H125" s="9">
        <f t="shared" si="4"/>
        <v>6</v>
      </c>
      <c r="I125" s="6" t="str">
        <f>IFERROR(__xludf.DUMMYFUNCTION("MAX(FILTER($H:$H,$E:$E=F125))"),"#N/A")</f>
        <v>#N/A</v>
      </c>
    </row>
    <row r="126">
      <c r="A126" s="4"/>
      <c r="C126" s="4" t="s">
        <v>1668</v>
      </c>
      <c r="D126" s="4" t="str">
        <f t="shared" si="1"/>
        <v>{"valorA":"freezer","valorB":10}</v>
      </c>
      <c r="E126" s="8" t="str">
        <f t="shared" si="2"/>
        <v>freezer</v>
      </c>
      <c r="F126" s="8"/>
      <c r="G126" s="8" t="str">
        <f t="shared" si="3"/>
        <v>10</v>
      </c>
      <c r="H126" s="9">
        <f t="shared" si="4"/>
        <v>10</v>
      </c>
      <c r="I126" s="6" t="str">
        <f>IFERROR(__xludf.DUMMYFUNCTION("MAX(FILTER($H:$H,$E:$E=F126))"),"#N/A")</f>
        <v>#N/A</v>
      </c>
    </row>
    <row r="127">
      <c r="A127" s="4"/>
      <c r="C127" s="4" t="s">
        <v>2309</v>
      </c>
      <c r="D127" s="4" t="str">
        <f t="shared" si="1"/>
        <v>{"valorA":"mouse de computador","valorB":6}</v>
      </c>
      <c r="E127" s="8" t="str">
        <f t="shared" si="2"/>
        <v>mouse de computador</v>
      </c>
      <c r="F127" s="8"/>
      <c r="G127" s="8" t="str">
        <f t="shared" si="3"/>
        <v>6</v>
      </c>
      <c r="H127" s="9">
        <f t="shared" si="4"/>
        <v>6</v>
      </c>
      <c r="I127" s="6" t="str">
        <f>IFERROR(__xludf.DUMMYFUNCTION("MAX(FILTER($H:$H,$E:$E=F127))"),"#N/A")</f>
        <v>#N/A</v>
      </c>
    </row>
    <row r="128">
      <c r="A128" s="4"/>
      <c r="C128" s="4" t="s">
        <v>2352</v>
      </c>
      <c r="D128" s="4" t="str">
        <f t="shared" si="1"/>
        <v>{"valorA":"lustre","valorB":7}</v>
      </c>
      <c r="E128" s="8" t="str">
        <f t="shared" si="2"/>
        <v>lustre</v>
      </c>
      <c r="F128" s="8"/>
      <c r="G128" s="8" t="str">
        <f t="shared" si="3"/>
        <v>7</v>
      </c>
      <c r="H128" s="9">
        <f t="shared" si="4"/>
        <v>7</v>
      </c>
      <c r="I128" s="6" t="str">
        <f>IFERROR(__xludf.DUMMYFUNCTION("MAX(FILTER($H:$H,$E:$E=F128))"),"#N/A")</f>
        <v>#N/A</v>
      </c>
    </row>
    <row r="129">
      <c r="A129" s="4"/>
      <c r="C129" s="4" t="s">
        <v>2308</v>
      </c>
      <c r="D129" s="4" t="str">
        <f t="shared" si="1"/>
        <v>{"valorA":"teclado de computador","valorB":8}</v>
      </c>
      <c r="E129" s="8" t="str">
        <f t="shared" si="2"/>
        <v>teclado de computador</v>
      </c>
      <c r="F129" s="8"/>
      <c r="G129" s="8" t="str">
        <f t="shared" si="3"/>
        <v>8</v>
      </c>
      <c r="H129" s="9">
        <f t="shared" si="4"/>
        <v>8</v>
      </c>
      <c r="I129" s="6" t="str">
        <f>IFERROR(__xludf.DUMMYFUNCTION("MAX(FILTER($H:$H,$E:$E=F129))"),"#N/A")</f>
        <v>#N/A</v>
      </c>
    </row>
    <row r="130">
      <c r="A130" s="4"/>
      <c r="C130" s="4" t="s">
        <v>2296</v>
      </c>
      <c r="D130" s="4" t="str">
        <f t="shared" si="1"/>
        <v>{"valorA":"filtro de linha","valorB":6}</v>
      </c>
      <c r="E130" s="8" t="str">
        <f t="shared" si="2"/>
        <v>filtro de linha</v>
      </c>
      <c r="F130" s="8"/>
      <c r="G130" s="8" t="str">
        <f t="shared" si="3"/>
        <v>6</v>
      </c>
      <c r="H130" s="9">
        <f t="shared" si="4"/>
        <v>6</v>
      </c>
      <c r="I130" s="6" t="str">
        <f>IFERROR(__xludf.DUMMYFUNCTION("MAX(FILTER($H:$H,$E:$E=F130))"),"#N/A")</f>
        <v>#N/A</v>
      </c>
    </row>
    <row r="131">
      <c r="A131" s="4"/>
      <c r="C131" s="4" t="s">
        <v>2301</v>
      </c>
      <c r="D131" s="4" t="str">
        <f t="shared" si="1"/>
        <v>{"valorA":"roteador","valorB":5}</v>
      </c>
      <c r="E131" s="8" t="str">
        <f t="shared" si="2"/>
        <v>roteador</v>
      </c>
      <c r="F131" s="8"/>
      <c r="G131" s="8" t="str">
        <f t="shared" si="3"/>
        <v>5</v>
      </c>
      <c r="H131" s="9">
        <f t="shared" si="4"/>
        <v>5</v>
      </c>
      <c r="I131" s="6" t="str">
        <f>IFERROR(__xludf.DUMMYFUNCTION("MAX(FILTER($H:$H,$E:$E=F131))"),"#N/A")</f>
        <v>#N/A</v>
      </c>
    </row>
    <row r="132">
      <c r="A132" s="4"/>
      <c r="C132" s="4" t="s">
        <v>2245</v>
      </c>
      <c r="D132" s="4" t="str">
        <f t="shared" si="1"/>
        <v>{"valorA":"relógio","valorB":8}</v>
      </c>
      <c r="E132" s="8" t="str">
        <f t="shared" si="2"/>
        <v>relógio</v>
      </c>
      <c r="F132" s="8"/>
      <c r="G132" s="8" t="str">
        <f t="shared" si="3"/>
        <v>8</v>
      </c>
      <c r="H132" s="9">
        <f t="shared" si="4"/>
        <v>8</v>
      </c>
      <c r="I132" s="6" t="str">
        <f>IFERROR(__xludf.DUMMYFUNCTION("MAX(FILTER($H:$H,$E:$E=F132))"),"#N/A")</f>
        <v>#N/A</v>
      </c>
    </row>
    <row r="133">
      <c r="A133" s="4"/>
      <c r="C133" s="4" t="s">
        <v>2274</v>
      </c>
      <c r="D133" s="4" t="str">
        <f t="shared" si="1"/>
        <v>{"valorA":"carregador de celular","valorB":5}</v>
      </c>
      <c r="E133" s="8" t="str">
        <f t="shared" si="2"/>
        <v>carregador de celular</v>
      </c>
      <c r="F133" s="8"/>
      <c r="G133" s="8" t="str">
        <f t="shared" si="3"/>
        <v>5</v>
      </c>
      <c r="H133" s="9">
        <f t="shared" si="4"/>
        <v>5</v>
      </c>
      <c r="I133" s="6" t="str">
        <f>IFERROR(__xludf.DUMMYFUNCTION("MAX(FILTER($H:$H,$E:$E=F133))"),"#N/A")</f>
        <v>#N/A</v>
      </c>
    </row>
    <row r="134">
      <c r="A134" s="4"/>
      <c r="C134" s="4" t="s">
        <v>2225</v>
      </c>
      <c r="D134" s="4" t="str">
        <f t="shared" si="1"/>
        <v>{"valorA":"ventilador","valorB":5}</v>
      </c>
      <c r="E134" s="8" t="str">
        <f t="shared" si="2"/>
        <v>ventilador</v>
      </c>
      <c r="F134" s="8"/>
      <c r="G134" s="8" t="str">
        <f t="shared" si="3"/>
        <v>5</v>
      </c>
      <c r="H134" s="9">
        <f t="shared" si="4"/>
        <v>5</v>
      </c>
      <c r="I134" s="6" t="str">
        <f>IFERROR(__xludf.DUMMYFUNCTION("MAX(FILTER($H:$H,$E:$E=F134))"),"#N/A")</f>
        <v>#N/A</v>
      </c>
    </row>
    <row r="135">
      <c r="A135" s="4"/>
      <c r="C135" s="4" t="s">
        <v>2298</v>
      </c>
      <c r="D135" s="4" t="str">
        <f t="shared" si="1"/>
        <v>{"valorA":"filtro de linha","valorB":7}</v>
      </c>
      <c r="E135" s="8" t="str">
        <f t="shared" si="2"/>
        <v>filtro de linha</v>
      </c>
      <c r="F135" s="8"/>
      <c r="G135" s="8" t="str">
        <f t="shared" si="3"/>
        <v>7</v>
      </c>
      <c r="H135" s="9">
        <f t="shared" si="4"/>
        <v>7</v>
      </c>
      <c r="I135" s="6" t="str">
        <f>IFERROR(__xludf.DUMMYFUNCTION("MAX(FILTER($H:$H,$E:$E=F135))"),"#N/A")</f>
        <v>#N/A</v>
      </c>
    </row>
    <row r="136">
      <c r="A136" s="4"/>
      <c r="C136" s="4" t="s">
        <v>2219</v>
      </c>
      <c r="D136" s="4" t="str">
        <f t="shared" si="1"/>
        <v>{"valorA":"chuveiro elétrico","valorB":7}</v>
      </c>
      <c r="E136" s="8" t="str">
        <f t="shared" si="2"/>
        <v>chuveiro elétrico</v>
      </c>
      <c r="F136" s="8"/>
      <c r="G136" s="8" t="str">
        <f t="shared" si="3"/>
        <v>7</v>
      </c>
      <c r="H136" s="9">
        <f t="shared" si="4"/>
        <v>7</v>
      </c>
      <c r="I136" s="6" t="str">
        <f>IFERROR(__xludf.DUMMYFUNCTION("MAX(FILTER($H:$H,$E:$E=F136))"),"#N/A")</f>
        <v>#N/A</v>
      </c>
    </row>
    <row r="137">
      <c r="A137" s="4"/>
      <c r="C137" s="4" t="s">
        <v>2321</v>
      </c>
      <c r="D137" s="4" t="str">
        <f t="shared" si="1"/>
        <v>{"valorA":"teclado de computador","valorB":9}</v>
      </c>
      <c r="E137" s="8" t="str">
        <f t="shared" si="2"/>
        <v>teclado de computador</v>
      </c>
      <c r="F137" s="8"/>
      <c r="G137" s="8" t="str">
        <f t="shared" si="3"/>
        <v>9</v>
      </c>
      <c r="H137" s="9">
        <f t="shared" si="4"/>
        <v>9</v>
      </c>
      <c r="I137" s="6" t="str">
        <f>IFERROR(__xludf.DUMMYFUNCTION("MAX(FILTER($H:$H,$E:$E=F137))"),"#N/A")</f>
        <v>#N/A</v>
      </c>
    </row>
    <row r="138">
      <c r="A138" s="4"/>
      <c r="C138" s="4" t="s">
        <v>2381</v>
      </c>
      <c r="D138" s="4" t="str">
        <f t="shared" si="1"/>
        <v>{"valorA":"lustre","valorB":8}</v>
      </c>
      <c r="E138" s="8" t="str">
        <f t="shared" si="2"/>
        <v>lustre</v>
      </c>
      <c r="F138" s="8"/>
      <c r="G138" s="8" t="str">
        <f t="shared" si="3"/>
        <v>8</v>
      </c>
      <c r="H138" s="9">
        <f t="shared" si="4"/>
        <v>8</v>
      </c>
      <c r="I138" s="6" t="str">
        <f>IFERROR(__xludf.DUMMYFUNCTION("MAX(FILTER($H:$H,$E:$E=F138))"),"#N/A")</f>
        <v>#N/A</v>
      </c>
    </row>
    <row r="139">
      <c r="A139" s="4"/>
      <c r="C139" s="4" t="s">
        <v>2387</v>
      </c>
      <c r="D139" s="4" t="str">
        <f t="shared" si="1"/>
        <v>{"valorA":"lustre","valorB":9}</v>
      </c>
      <c r="E139" s="8" t="str">
        <f t="shared" si="2"/>
        <v>lustre</v>
      </c>
      <c r="F139" s="8"/>
      <c r="G139" s="8" t="str">
        <f t="shared" si="3"/>
        <v>9</v>
      </c>
      <c r="H139" s="9">
        <f t="shared" si="4"/>
        <v>9</v>
      </c>
      <c r="I139" s="6" t="str">
        <f>IFERROR(__xludf.DUMMYFUNCTION("MAX(FILTER($H:$H,$E:$E=F139))"),"#N/A")</f>
        <v>#N/A</v>
      </c>
    </row>
    <row r="140">
      <c r="A140" s="4"/>
      <c r="C140" s="4" t="s">
        <v>1669</v>
      </c>
      <c r="D140" s="4" t="str">
        <f t="shared" si="1"/>
        <v>{"valorA":"freezer","valorB":11}</v>
      </c>
      <c r="E140" s="8" t="str">
        <f t="shared" si="2"/>
        <v>freezer</v>
      </c>
      <c r="F140" s="8"/>
      <c r="G140" s="8" t="str">
        <f t="shared" si="3"/>
        <v>11</v>
      </c>
      <c r="H140" s="9">
        <f t="shared" si="4"/>
        <v>11</v>
      </c>
      <c r="I140" s="6" t="str">
        <f>IFERROR(__xludf.DUMMYFUNCTION("MAX(FILTER($H:$H,$E:$E=F140))"),"#N/A")</f>
        <v>#N/A</v>
      </c>
    </row>
    <row r="141">
      <c r="A141" s="4"/>
      <c r="C141" s="4" t="s">
        <v>2283</v>
      </c>
      <c r="D141" s="4" t="str">
        <f t="shared" si="1"/>
        <v>{"valorA":"relógio","valorB":9}</v>
      </c>
      <c r="E141" s="8" t="str">
        <f t="shared" si="2"/>
        <v>relógio</v>
      </c>
      <c r="F141" s="8"/>
      <c r="G141" s="8" t="str">
        <f t="shared" si="3"/>
        <v>9</v>
      </c>
      <c r="H141" s="9">
        <f t="shared" si="4"/>
        <v>9</v>
      </c>
      <c r="I141" s="6" t="str">
        <f>IFERROR(__xludf.DUMMYFUNCTION("MAX(FILTER($H:$H,$E:$E=F141))"),"#N/A")</f>
        <v>#N/A</v>
      </c>
    </row>
    <row r="142">
      <c r="A142" s="4"/>
      <c r="C142" s="4" t="s">
        <v>1704</v>
      </c>
      <c r="D142" s="4" t="str">
        <f t="shared" si="1"/>
        <v>{"valorA":"microondas","valorB":7}</v>
      </c>
      <c r="E142" s="8" t="str">
        <f t="shared" si="2"/>
        <v>microondas</v>
      </c>
      <c r="F142" s="8"/>
      <c r="G142" s="8" t="str">
        <f t="shared" si="3"/>
        <v>7</v>
      </c>
      <c r="H142" s="9">
        <f t="shared" si="4"/>
        <v>7</v>
      </c>
      <c r="I142" s="6" t="str">
        <f>IFERROR(__xludf.DUMMYFUNCTION("MAX(FILTER($H:$H,$E:$E=F142))"),"#N/A")</f>
        <v>#N/A</v>
      </c>
    </row>
    <row r="143">
      <c r="A143" s="4"/>
      <c r="C143" s="4" t="s">
        <v>2303</v>
      </c>
      <c r="D143" s="4" t="str">
        <f t="shared" si="1"/>
        <v>{"valorA":"fone de ouvido","valorB":9}</v>
      </c>
      <c r="E143" s="8" t="str">
        <f t="shared" si="2"/>
        <v>fone de ouvido</v>
      </c>
      <c r="F143" s="8"/>
      <c r="G143" s="8" t="str">
        <f t="shared" si="3"/>
        <v>9</v>
      </c>
      <c r="H143" s="9">
        <f t="shared" si="4"/>
        <v>9</v>
      </c>
      <c r="I143" s="6" t="str">
        <f>IFERROR(__xludf.DUMMYFUNCTION("MAX(FILTER($H:$H,$E:$E=F143))"),"#N/A")</f>
        <v>#N/A</v>
      </c>
    </row>
    <row r="144">
      <c r="A144" s="4"/>
      <c r="C144" s="4" t="s">
        <v>2232</v>
      </c>
      <c r="D144" s="4" t="str">
        <f t="shared" si="1"/>
        <v>{"valorA":"chuveiro elétrico","valorB":8}</v>
      </c>
      <c r="E144" s="8" t="str">
        <f t="shared" si="2"/>
        <v>chuveiro elétrico</v>
      </c>
      <c r="F144" s="8"/>
      <c r="G144" s="8" t="str">
        <f t="shared" si="3"/>
        <v>8</v>
      </c>
      <c r="H144" s="9">
        <f t="shared" si="4"/>
        <v>8</v>
      </c>
      <c r="I144" s="6" t="str">
        <f>IFERROR(__xludf.DUMMYFUNCTION("MAX(FILTER($H:$H,$E:$E=F144))"),"#N/A")</f>
        <v>#N/A</v>
      </c>
    </row>
    <row r="145">
      <c r="A145" s="4"/>
      <c r="C145" s="4" t="s">
        <v>2314</v>
      </c>
      <c r="D145" s="4" t="str">
        <f t="shared" si="1"/>
        <v>{"valorA":"relógio","valorB":10}</v>
      </c>
      <c r="E145" s="8" t="str">
        <f t="shared" si="2"/>
        <v>relógio</v>
      </c>
      <c r="F145" s="8"/>
      <c r="G145" s="8" t="str">
        <f t="shared" si="3"/>
        <v>10</v>
      </c>
      <c r="H145" s="9">
        <f t="shared" si="4"/>
        <v>10</v>
      </c>
      <c r="I145" s="6" t="str">
        <f>IFERROR(__xludf.DUMMYFUNCTION("MAX(FILTER($H:$H,$E:$E=F145))"),"#N/A")</f>
        <v>#N/A</v>
      </c>
    </row>
    <row r="146">
      <c r="A146" s="4"/>
      <c r="C146" s="4" t="s">
        <v>2319</v>
      </c>
      <c r="D146" s="4" t="str">
        <f t="shared" si="1"/>
        <v>{"valorA":"fogão","valorB":10}</v>
      </c>
      <c r="E146" s="8" t="str">
        <f t="shared" si="2"/>
        <v>fogão</v>
      </c>
      <c r="F146" s="8"/>
      <c r="G146" s="8" t="str">
        <f t="shared" si="3"/>
        <v>10</v>
      </c>
      <c r="H146" s="9">
        <f t="shared" si="4"/>
        <v>10</v>
      </c>
      <c r="I146" s="6" t="str">
        <f>IFERROR(__xludf.DUMMYFUNCTION("MAX(FILTER($H:$H,$E:$E=F146))"),"#N/A")</f>
        <v>#N/A</v>
      </c>
    </row>
    <row r="147">
      <c r="A147" s="4"/>
      <c r="C147" s="4" t="s">
        <v>1670</v>
      </c>
      <c r="D147" s="4" t="str">
        <f t="shared" si="1"/>
        <v>{"valorA":"freezer","valorB":12}</v>
      </c>
      <c r="E147" s="8" t="str">
        <f t="shared" si="2"/>
        <v>freezer</v>
      </c>
      <c r="F147" s="8"/>
      <c r="G147" s="8" t="str">
        <f t="shared" si="3"/>
        <v>12</v>
      </c>
      <c r="H147" s="9">
        <f t="shared" si="4"/>
        <v>12</v>
      </c>
      <c r="I147" s="6" t="str">
        <f>IFERROR(__xludf.DUMMYFUNCTION("MAX(FILTER($H:$H,$E:$E=F147))"),"#N/A")</f>
        <v>#N/A</v>
      </c>
    </row>
    <row r="148">
      <c r="A148" s="4"/>
      <c r="C148" s="4" t="s">
        <v>2280</v>
      </c>
      <c r="D148" s="4" t="str">
        <f t="shared" si="1"/>
        <v>{"valorA":"aspirador","valorB":7}</v>
      </c>
      <c r="E148" s="8" t="str">
        <f t="shared" si="2"/>
        <v>aspirador</v>
      </c>
      <c r="F148" s="8"/>
      <c r="G148" s="8" t="str">
        <f t="shared" si="3"/>
        <v>7</v>
      </c>
      <c r="H148" s="9">
        <f t="shared" si="4"/>
        <v>7</v>
      </c>
      <c r="I148" s="6" t="str">
        <f>IFERROR(__xludf.DUMMYFUNCTION("MAX(FILTER($H:$H,$E:$E=F148))"),"#N/A")</f>
        <v>#N/A</v>
      </c>
    </row>
    <row r="149">
      <c r="A149" s="4"/>
      <c r="C149" s="4" t="s">
        <v>2317</v>
      </c>
      <c r="D149" s="4" t="str">
        <f t="shared" si="1"/>
        <v>{"valorA":"relógio","valorB":11}</v>
      </c>
      <c r="E149" s="8" t="str">
        <f t="shared" si="2"/>
        <v>relógio</v>
      </c>
      <c r="F149" s="8"/>
      <c r="G149" s="8" t="str">
        <f t="shared" si="3"/>
        <v>11</v>
      </c>
      <c r="H149" s="9">
        <f t="shared" si="4"/>
        <v>11</v>
      </c>
      <c r="I149" s="6" t="str">
        <f>IFERROR(__xludf.DUMMYFUNCTION("MAX(FILTER($H:$H,$E:$E=F149))"),"#N/A")</f>
        <v>#N/A</v>
      </c>
    </row>
    <row r="150">
      <c r="A150" s="4"/>
      <c r="C150" s="4" t="s">
        <v>2379</v>
      </c>
      <c r="D150" s="4" t="str">
        <f t="shared" si="1"/>
        <v>{"valorA":"fone de ouvido","valorB":10}</v>
      </c>
      <c r="E150" s="8" t="str">
        <f t="shared" si="2"/>
        <v>fone de ouvido</v>
      </c>
      <c r="F150" s="8"/>
      <c r="G150" s="8" t="str">
        <f t="shared" si="3"/>
        <v>10</v>
      </c>
      <c r="H150" s="9">
        <f t="shared" si="4"/>
        <v>10</v>
      </c>
      <c r="I150" s="6" t="str">
        <f>IFERROR(__xludf.DUMMYFUNCTION("MAX(FILTER($H:$H,$E:$E=F150))"),"#N/A")</f>
        <v>#N/A</v>
      </c>
    </row>
    <row r="151">
      <c r="A151" s="4"/>
      <c r="C151" s="4" t="s">
        <v>2288</v>
      </c>
      <c r="D151" s="4" t="str">
        <f t="shared" si="1"/>
        <v>{"valorA":"aspirador","valorB":8}</v>
      </c>
      <c r="E151" s="8" t="str">
        <f t="shared" si="2"/>
        <v>aspirador</v>
      </c>
      <c r="F151" s="8"/>
      <c r="G151" s="8" t="str">
        <f t="shared" si="3"/>
        <v>8</v>
      </c>
      <c r="H151" s="9">
        <f t="shared" si="4"/>
        <v>8</v>
      </c>
      <c r="I151" s="6" t="str">
        <f>IFERROR(__xludf.DUMMYFUNCTION("MAX(FILTER($H:$H,$E:$E=F151))"),"#N/A")</f>
        <v>#N/A</v>
      </c>
    </row>
    <row r="152">
      <c r="A152" s="4"/>
      <c r="C152" s="4" t="s">
        <v>2240</v>
      </c>
      <c r="D152" s="4" t="str">
        <f t="shared" si="1"/>
        <v>{"valorA":"ventilador","valorB":6}</v>
      </c>
      <c r="E152" s="8" t="str">
        <f t="shared" si="2"/>
        <v>ventilador</v>
      </c>
      <c r="F152" s="8"/>
      <c r="G152" s="8" t="str">
        <f t="shared" si="3"/>
        <v>6</v>
      </c>
      <c r="H152" s="9">
        <f t="shared" si="4"/>
        <v>6</v>
      </c>
      <c r="I152" s="6" t="str">
        <f>IFERROR(__xludf.DUMMYFUNCTION("MAX(FILTER($H:$H,$E:$E=F152))"),"#N/A")</f>
        <v>#N/A</v>
      </c>
    </row>
    <row r="153">
      <c r="A153" s="4"/>
      <c r="C153" s="4" t="s">
        <v>2417</v>
      </c>
      <c r="D153" s="4" t="str">
        <f t="shared" si="1"/>
        <v>{"valorA":"purificador de água","valorB":13}</v>
      </c>
      <c r="E153" s="8" t="str">
        <f t="shared" si="2"/>
        <v>purificador de água</v>
      </c>
      <c r="F153" s="8"/>
      <c r="G153" s="8" t="str">
        <f t="shared" si="3"/>
        <v>13</v>
      </c>
      <c r="H153" s="9">
        <f t="shared" si="4"/>
        <v>13</v>
      </c>
      <c r="I153" s="6" t="str">
        <f>IFERROR(__xludf.DUMMYFUNCTION("MAX(FILTER($H:$H,$E:$E=F153))"),"#N/A")</f>
        <v>#N/A</v>
      </c>
    </row>
    <row r="154">
      <c r="A154" s="4"/>
      <c r="C154" s="4" t="s">
        <v>2237</v>
      </c>
      <c r="D154" s="4" t="str">
        <f t="shared" si="1"/>
        <v>{"valorA":"liquidificador","valorB":8}</v>
      </c>
      <c r="E154" s="8" t="str">
        <f t="shared" si="2"/>
        <v>liquidificador</v>
      </c>
      <c r="F154" s="8"/>
      <c r="G154" s="8" t="str">
        <f t="shared" si="3"/>
        <v>8</v>
      </c>
      <c r="H154" s="9">
        <f t="shared" si="4"/>
        <v>8</v>
      </c>
      <c r="I154" s="6" t="str">
        <f>IFERROR(__xludf.DUMMYFUNCTION("MAX(FILTER($H:$H,$E:$E=F154))"),"#N/A")</f>
        <v>#N/A</v>
      </c>
    </row>
    <row r="155">
      <c r="A155" s="4"/>
      <c r="C155" s="4" t="s">
        <v>2353</v>
      </c>
      <c r="D155" s="4" t="str">
        <f t="shared" si="1"/>
        <v>{"valorA":"mouse de computador","valorB":7}</v>
      </c>
      <c r="E155" s="8" t="str">
        <f t="shared" si="2"/>
        <v>mouse de computador</v>
      </c>
      <c r="F155" s="8"/>
      <c r="G155" s="8" t="str">
        <f t="shared" si="3"/>
        <v>7</v>
      </c>
      <c r="H155" s="9">
        <f t="shared" si="4"/>
        <v>7</v>
      </c>
      <c r="I155" s="6" t="str">
        <f>IFERROR(__xludf.DUMMYFUNCTION("MAX(FILTER($H:$H,$E:$E=F155))"),"#N/A")</f>
        <v>#N/A</v>
      </c>
    </row>
    <row r="156">
      <c r="A156" s="4"/>
      <c r="C156" s="4" t="s">
        <v>2250</v>
      </c>
      <c r="D156" s="4" t="str">
        <f t="shared" si="1"/>
        <v>{"valorA":"liquidificador","valorB":9}</v>
      </c>
      <c r="E156" s="8" t="str">
        <f t="shared" si="2"/>
        <v>liquidificador</v>
      </c>
      <c r="F156" s="8"/>
      <c r="G156" s="8" t="str">
        <f t="shared" si="3"/>
        <v>9</v>
      </c>
      <c r="H156" s="9">
        <f t="shared" si="4"/>
        <v>9</v>
      </c>
      <c r="I156" s="6" t="str">
        <f>IFERROR(__xludf.DUMMYFUNCTION("MAX(FILTER($H:$H,$E:$E=F156))"),"#N/A")</f>
        <v>#N/A</v>
      </c>
    </row>
    <row r="157">
      <c r="A157" s="4"/>
      <c r="C157" s="4" t="s">
        <v>2345</v>
      </c>
      <c r="D157" s="4" t="str">
        <f t="shared" si="1"/>
        <v>{"valorA":"carregador de computador","valorB":10}</v>
      </c>
      <c r="E157" s="8" t="str">
        <f t="shared" si="2"/>
        <v>carregador de computador</v>
      </c>
      <c r="F157" s="8"/>
      <c r="G157" s="8" t="str">
        <f t="shared" si="3"/>
        <v>10</v>
      </c>
      <c r="H157" s="9">
        <f t="shared" si="4"/>
        <v>10</v>
      </c>
      <c r="I157" s="6" t="str">
        <f>IFERROR(__xludf.DUMMYFUNCTION("MAX(FILTER($H:$H,$E:$E=F157))"),"#N/A")</f>
        <v>#N/A</v>
      </c>
    </row>
    <row r="158">
      <c r="A158" s="4"/>
      <c r="C158" s="4" t="s">
        <v>2323</v>
      </c>
      <c r="D158" s="4" t="str">
        <f t="shared" si="1"/>
        <v>{"valorA":"fogão","valorB":11}</v>
      </c>
      <c r="E158" s="8" t="str">
        <f t="shared" si="2"/>
        <v>fogão</v>
      </c>
      <c r="F158" s="8"/>
      <c r="G158" s="8" t="str">
        <f t="shared" si="3"/>
        <v>11</v>
      </c>
      <c r="H158" s="9">
        <f t="shared" si="4"/>
        <v>11</v>
      </c>
      <c r="I158" s="6" t="str">
        <f>IFERROR(__xludf.DUMMYFUNCTION("MAX(FILTER($H:$H,$E:$E=F158))"),"#N/A")</f>
        <v>#N/A</v>
      </c>
    </row>
    <row r="159">
      <c r="A159" s="4"/>
      <c r="C159" s="4" t="s">
        <v>2255</v>
      </c>
      <c r="D159" s="4" t="str">
        <f t="shared" si="1"/>
        <v>{"valorA":"chuveiro elétrico","valorB":9}</v>
      </c>
      <c r="E159" s="8" t="str">
        <f t="shared" si="2"/>
        <v>chuveiro elétrico</v>
      </c>
      <c r="F159" s="8"/>
      <c r="G159" s="8" t="str">
        <f t="shared" si="3"/>
        <v>9</v>
      </c>
      <c r="H159" s="9">
        <f t="shared" si="4"/>
        <v>9</v>
      </c>
      <c r="I159" s="6" t="str">
        <f>IFERROR(__xludf.DUMMYFUNCTION("MAX(FILTER($H:$H,$E:$E=F159))"),"#N/A")</f>
        <v>#N/A</v>
      </c>
    </row>
    <row r="160">
      <c r="A160" s="4"/>
      <c r="C160" s="4" t="s">
        <v>2259</v>
      </c>
      <c r="D160" s="4" t="str">
        <f t="shared" si="1"/>
        <v>{"valorA":"liquidificador","valorB":10}</v>
      </c>
      <c r="E160" s="8" t="str">
        <f t="shared" si="2"/>
        <v>liquidificador</v>
      </c>
      <c r="F160" s="8"/>
      <c r="G160" s="8" t="str">
        <f t="shared" si="3"/>
        <v>10</v>
      </c>
      <c r="H160" s="9">
        <f t="shared" si="4"/>
        <v>10</v>
      </c>
      <c r="I160" s="6" t="str">
        <f>IFERROR(__xludf.DUMMYFUNCTION("MAX(FILTER($H:$H,$E:$E=F160))"),"#N/A")</f>
        <v>#N/A</v>
      </c>
    </row>
    <row r="161">
      <c r="A161" s="4"/>
      <c r="C161" s="4" t="s">
        <v>2289</v>
      </c>
      <c r="D161" s="4" t="str">
        <f t="shared" si="1"/>
        <v>{"valorA":"aspirador","valorB":9}</v>
      </c>
      <c r="E161" s="8" t="str">
        <f t="shared" si="2"/>
        <v>aspirador</v>
      </c>
      <c r="F161" s="8"/>
      <c r="G161" s="8" t="str">
        <f t="shared" si="3"/>
        <v>9</v>
      </c>
      <c r="H161" s="9">
        <f t="shared" si="4"/>
        <v>9</v>
      </c>
      <c r="I161" s="6" t="str">
        <f>IFERROR(__xludf.DUMMYFUNCTION("MAX(FILTER($H:$H,$E:$E=F161))"),"#N/A")</f>
        <v>#N/A</v>
      </c>
    </row>
    <row r="162">
      <c r="A162" s="4"/>
      <c r="C162" s="4" t="s">
        <v>1671</v>
      </c>
      <c r="D162" s="4" t="str">
        <f t="shared" si="1"/>
        <v>{"valorA":"freezer","valorB":13}</v>
      </c>
      <c r="E162" s="8" t="str">
        <f t="shared" si="2"/>
        <v>freezer</v>
      </c>
      <c r="F162" s="8"/>
      <c r="G162" s="8" t="str">
        <f t="shared" si="3"/>
        <v>13</v>
      </c>
      <c r="H162" s="9">
        <f t="shared" si="4"/>
        <v>13</v>
      </c>
      <c r="I162" s="6" t="str">
        <f>IFERROR(__xludf.DUMMYFUNCTION("MAX(FILTER($H:$H,$E:$E=F162))"),"#N/A")</f>
        <v>#N/A</v>
      </c>
    </row>
    <row r="163">
      <c r="A163" s="4"/>
      <c r="C163" s="4" t="s">
        <v>2276</v>
      </c>
      <c r="D163" s="4" t="str">
        <f t="shared" si="1"/>
        <v>{"valorA":"carregador de celular","valorB":6}</v>
      </c>
      <c r="E163" s="8" t="str">
        <f t="shared" si="2"/>
        <v>carregador de celular</v>
      </c>
      <c r="F163" s="8"/>
      <c r="G163" s="8" t="str">
        <f t="shared" si="3"/>
        <v>6</v>
      </c>
      <c r="H163" s="9">
        <f t="shared" si="4"/>
        <v>6</v>
      </c>
      <c r="I163" s="6" t="str">
        <f>IFERROR(__xludf.DUMMYFUNCTION("MAX(FILTER($H:$H,$E:$E=F163))"),"#N/A")</f>
        <v>#N/A</v>
      </c>
    </row>
    <row r="164">
      <c r="A164" s="4"/>
      <c r="C164" s="4" t="s">
        <v>1672</v>
      </c>
      <c r="D164" s="4" t="str">
        <f t="shared" si="1"/>
        <v>{"valorA":"freezer","valorB":14}</v>
      </c>
      <c r="E164" s="8" t="str">
        <f t="shared" si="2"/>
        <v>freezer</v>
      </c>
      <c r="F164" s="8"/>
      <c r="G164" s="8" t="str">
        <f t="shared" si="3"/>
        <v>14</v>
      </c>
      <c r="H164" s="9">
        <f t="shared" si="4"/>
        <v>14</v>
      </c>
      <c r="I164" s="6" t="str">
        <f>IFERROR(__xludf.DUMMYFUNCTION("MAX(FILTER($H:$H,$E:$E=F164))"),"#N/A")</f>
        <v>#N/A</v>
      </c>
    </row>
    <row r="165">
      <c r="A165" s="4"/>
      <c r="C165" s="4" t="s">
        <v>1673</v>
      </c>
      <c r="D165" s="4" t="str">
        <f t="shared" si="1"/>
        <v>{"valorA":"freezer","valorB":15}</v>
      </c>
      <c r="E165" s="8" t="str">
        <f t="shared" si="2"/>
        <v>freezer</v>
      </c>
      <c r="F165" s="8"/>
      <c r="G165" s="8" t="str">
        <f t="shared" si="3"/>
        <v>15</v>
      </c>
      <c r="H165" s="9">
        <f t="shared" si="4"/>
        <v>15</v>
      </c>
      <c r="I165" s="6" t="str">
        <f>IFERROR(__xludf.DUMMYFUNCTION("MAX(FILTER($H:$H,$E:$E=F165))"),"#N/A")</f>
        <v>#N/A</v>
      </c>
    </row>
    <row r="166">
      <c r="A166" s="4"/>
      <c r="C166" s="4" t="s">
        <v>1674</v>
      </c>
      <c r="D166" s="4" t="str">
        <f t="shared" si="1"/>
        <v>{"valorA":"freezer","valorB":16}</v>
      </c>
      <c r="E166" s="8" t="str">
        <f t="shared" si="2"/>
        <v>freezer</v>
      </c>
      <c r="F166" s="8"/>
      <c r="G166" s="8" t="str">
        <f t="shared" si="3"/>
        <v>16</v>
      </c>
      <c r="H166" s="9">
        <f t="shared" si="4"/>
        <v>16</v>
      </c>
      <c r="I166" s="6" t="str">
        <f>IFERROR(__xludf.DUMMYFUNCTION("MAX(FILTER($H:$H,$E:$E=F166))"),"#N/A")</f>
        <v>#N/A</v>
      </c>
    </row>
    <row r="167">
      <c r="A167" s="4"/>
      <c r="C167" s="4" t="s">
        <v>1702</v>
      </c>
      <c r="D167" s="4" t="str">
        <f t="shared" si="1"/>
        <v>{"valorA":"ar condicionado","valorB":6}</v>
      </c>
      <c r="E167" s="8" t="str">
        <f t="shared" si="2"/>
        <v>ar condicionado</v>
      </c>
      <c r="F167" s="8"/>
      <c r="G167" s="8" t="str">
        <f t="shared" si="3"/>
        <v>6</v>
      </c>
      <c r="H167" s="9">
        <f t="shared" si="4"/>
        <v>6</v>
      </c>
      <c r="I167" s="6" t="str">
        <f>IFERROR(__xludf.DUMMYFUNCTION("MAX(FILTER($H:$H,$E:$E=F167))"),"#N/A")</f>
        <v>#N/A</v>
      </c>
    </row>
    <row r="168">
      <c r="A168" s="4"/>
      <c r="C168" s="4" t="s">
        <v>2328</v>
      </c>
      <c r="D168" s="4" t="str">
        <f t="shared" si="1"/>
        <v>{"valorA":"fogão","valorB":12}</v>
      </c>
      <c r="E168" s="8" t="str">
        <f t="shared" si="2"/>
        <v>fogão</v>
      </c>
      <c r="F168" s="8"/>
      <c r="G168" s="8" t="str">
        <f t="shared" si="3"/>
        <v>12</v>
      </c>
      <c r="H168" s="9">
        <f t="shared" si="4"/>
        <v>12</v>
      </c>
      <c r="I168" s="6" t="str">
        <f>IFERROR(__xludf.DUMMYFUNCTION("MAX(FILTER($H:$H,$E:$E=F168))"),"#N/A")</f>
        <v>#N/A</v>
      </c>
    </row>
    <row r="169">
      <c r="A169" s="4"/>
      <c r="C169" s="4" t="s">
        <v>2304</v>
      </c>
      <c r="D169" s="4" t="str">
        <f t="shared" si="1"/>
        <v>{"valorA":"roteador","valorB":6}</v>
      </c>
      <c r="E169" s="8" t="str">
        <f t="shared" si="2"/>
        <v>roteador</v>
      </c>
      <c r="F169" s="8"/>
      <c r="G169" s="8" t="str">
        <f t="shared" si="3"/>
        <v>6</v>
      </c>
      <c r="H169" s="9">
        <f t="shared" si="4"/>
        <v>6</v>
      </c>
      <c r="I169" s="6" t="str">
        <f>IFERROR(__xludf.DUMMYFUNCTION("MAX(FILTER($H:$H,$E:$E=F169))"),"#N/A")</f>
        <v>#N/A</v>
      </c>
    </row>
    <row r="170">
      <c r="A170" s="4"/>
      <c r="C170" s="4" t="s">
        <v>2287</v>
      </c>
      <c r="D170" s="4" t="str">
        <f t="shared" si="1"/>
        <v>{"valorA":"liquidificador","valorB":11}</v>
      </c>
      <c r="E170" s="8" t="str">
        <f t="shared" si="2"/>
        <v>liquidificador</v>
      </c>
      <c r="F170" s="8"/>
      <c r="G170" s="8" t="str">
        <f t="shared" si="3"/>
        <v>11</v>
      </c>
      <c r="H170" s="9">
        <f t="shared" si="4"/>
        <v>11</v>
      </c>
      <c r="I170" s="6" t="str">
        <f>IFERROR(__xludf.DUMMYFUNCTION("MAX(FILTER($H:$H,$E:$E=F170))"),"#N/A")</f>
        <v>#N/A</v>
      </c>
    </row>
    <row r="171">
      <c r="A171" s="4"/>
      <c r="C171" s="4" t="s">
        <v>2356</v>
      </c>
      <c r="D171" s="4" t="str">
        <f t="shared" si="1"/>
        <v>{"valorA":"fogão","valorB":13}</v>
      </c>
      <c r="E171" s="8" t="str">
        <f t="shared" si="2"/>
        <v>fogão</v>
      </c>
      <c r="F171" s="8"/>
      <c r="G171" s="8" t="str">
        <f t="shared" si="3"/>
        <v>13</v>
      </c>
      <c r="H171" s="9">
        <f t="shared" si="4"/>
        <v>13</v>
      </c>
      <c r="I171" s="6" t="str">
        <f>IFERROR(__xludf.DUMMYFUNCTION("MAX(FILTER($H:$H,$E:$E=F171))"),"#N/A")</f>
        <v>#N/A</v>
      </c>
    </row>
    <row r="172">
      <c r="A172" s="4"/>
      <c r="C172" s="4" t="s">
        <v>2389</v>
      </c>
      <c r="D172" s="4" t="str">
        <f t="shared" si="1"/>
        <v>{"valorA":"lustre","valorB":10}</v>
      </c>
      <c r="E172" s="8" t="str">
        <f t="shared" si="2"/>
        <v>lustre</v>
      </c>
      <c r="F172" s="8"/>
      <c r="G172" s="8" t="str">
        <f t="shared" si="3"/>
        <v>10</v>
      </c>
      <c r="H172" s="9">
        <f t="shared" si="4"/>
        <v>10</v>
      </c>
      <c r="I172" s="6" t="str">
        <f>IFERROR(__xludf.DUMMYFUNCTION("MAX(FILTER($H:$H,$E:$E=F172))"),"#N/A")</f>
        <v>#N/A</v>
      </c>
    </row>
    <row r="173">
      <c r="A173" s="4"/>
      <c r="C173" s="4" t="s">
        <v>2469</v>
      </c>
      <c r="D173" s="4" t="str">
        <f t="shared" si="1"/>
        <v>{"valorA":"purificador de água","valorB":14}</v>
      </c>
      <c r="E173" s="8" t="str">
        <f t="shared" si="2"/>
        <v>purificador de água</v>
      </c>
      <c r="F173" s="8"/>
      <c r="G173" s="8" t="str">
        <f t="shared" si="3"/>
        <v>14</v>
      </c>
      <c r="H173" s="9">
        <f t="shared" si="4"/>
        <v>14</v>
      </c>
      <c r="I173" s="6" t="str">
        <f>IFERROR(__xludf.DUMMYFUNCTION("MAX(FILTER($H:$H,$E:$E=F173))"),"#N/A")</f>
        <v>#N/A</v>
      </c>
    </row>
    <row r="174">
      <c r="A174" s="4"/>
      <c r="C174" s="4" t="s">
        <v>2492</v>
      </c>
      <c r="D174" s="4" t="str">
        <f t="shared" si="1"/>
        <v>{"valorA":"purificador de água","valorB":15}</v>
      </c>
      <c r="E174" s="8" t="str">
        <f t="shared" si="2"/>
        <v>purificador de água</v>
      </c>
      <c r="F174" s="8"/>
      <c r="G174" s="8" t="str">
        <f t="shared" si="3"/>
        <v>15</v>
      </c>
      <c r="H174" s="9">
        <f t="shared" si="4"/>
        <v>15</v>
      </c>
      <c r="I174" s="6" t="str">
        <f>IFERROR(__xludf.DUMMYFUNCTION("MAX(FILTER($H:$H,$E:$E=F174))"),"#N/A")</f>
        <v>#N/A</v>
      </c>
    </row>
    <row r="175">
      <c r="A175" s="4"/>
      <c r="C175" s="4" t="s">
        <v>2349</v>
      </c>
      <c r="D175" s="4" t="str">
        <f t="shared" si="1"/>
        <v>{"valorA":"carregador de computador","valorB":11}</v>
      </c>
      <c r="E175" s="8" t="str">
        <f t="shared" si="2"/>
        <v>carregador de computador</v>
      </c>
      <c r="F175" s="8"/>
      <c r="G175" s="8" t="str">
        <f t="shared" si="3"/>
        <v>11</v>
      </c>
      <c r="H175" s="9">
        <f t="shared" si="4"/>
        <v>11</v>
      </c>
      <c r="I175" s="6" t="str">
        <f>IFERROR(__xludf.DUMMYFUNCTION("MAX(FILTER($H:$H,$E:$E=F175))"),"#N/A")</f>
        <v>#N/A</v>
      </c>
    </row>
    <row r="176">
      <c r="A176" s="4"/>
      <c r="C176" s="4" t="s">
        <v>2271</v>
      </c>
      <c r="D176" s="4" t="str">
        <f t="shared" si="1"/>
        <v>{"valorA":"celular","valorB":4}</v>
      </c>
      <c r="E176" s="8" t="str">
        <f t="shared" si="2"/>
        <v>celular</v>
      </c>
      <c r="F176" s="8"/>
      <c r="G176" s="8" t="str">
        <f t="shared" si="3"/>
        <v>4</v>
      </c>
      <c r="H176" s="9">
        <f t="shared" si="4"/>
        <v>4</v>
      </c>
      <c r="I176" s="6" t="str">
        <f>IFERROR(__xludf.DUMMYFUNCTION("MAX(FILTER($H:$H,$E:$E=F176))"),"#N/A")</f>
        <v>#N/A</v>
      </c>
    </row>
    <row r="177">
      <c r="A177" s="4"/>
      <c r="C177" s="4" t="s">
        <v>2416</v>
      </c>
      <c r="D177" s="4" t="str">
        <f t="shared" si="1"/>
        <v>{"valorA":"fogão","valorB":14}</v>
      </c>
      <c r="E177" s="8" t="str">
        <f t="shared" si="2"/>
        <v>fogão</v>
      </c>
      <c r="F177" s="8"/>
      <c r="G177" s="8" t="str">
        <f t="shared" si="3"/>
        <v>14</v>
      </c>
      <c r="H177" s="9">
        <f t="shared" si="4"/>
        <v>14</v>
      </c>
      <c r="I177" s="6" t="str">
        <f>IFERROR(__xludf.DUMMYFUNCTION("MAX(FILTER($H:$H,$E:$E=F177))"),"#N/A")</f>
        <v>#N/A</v>
      </c>
    </row>
    <row r="178">
      <c r="A178" s="4"/>
      <c r="C178" s="4" t="s">
        <v>2246</v>
      </c>
      <c r="D178" s="4" t="str">
        <f t="shared" si="1"/>
        <v>{"valorA":"ventilador","valorB":7}</v>
      </c>
      <c r="E178" s="8" t="str">
        <f t="shared" si="2"/>
        <v>ventilador</v>
      </c>
      <c r="F178" s="8"/>
      <c r="G178" s="8" t="str">
        <f t="shared" si="3"/>
        <v>7</v>
      </c>
      <c r="H178" s="9">
        <f t="shared" si="4"/>
        <v>7</v>
      </c>
      <c r="I178" s="6" t="str">
        <f>IFERROR(__xludf.DUMMYFUNCTION("MAX(FILTER($H:$H,$E:$E=F178))"),"#N/A")</f>
        <v>#N/A</v>
      </c>
    </row>
    <row r="179">
      <c r="A179" s="4"/>
      <c r="C179" s="4" t="s">
        <v>2327</v>
      </c>
      <c r="D179" s="4" t="str">
        <f t="shared" si="1"/>
        <v>{"valorA":"teclado de computador","valorB":10}</v>
      </c>
      <c r="E179" s="8" t="str">
        <f t="shared" si="2"/>
        <v>teclado de computador</v>
      </c>
      <c r="F179" s="8"/>
      <c r="G179" s="8" t="str">
        <f t="shared" si="3"/>
        <v>10</v>
      </c>
      <c r="H179" s="9">
        <f t="shared" si="4"/>
        <v>10</v>
      </c>
      <c r="I179" s="6" t="str">
        <f>IFERROR(__xludf.DUMMYFUNCTION("MAX(FILTER($H:$H,$E:$E=F179))"),"#N/A")</f>
        <v>#N/A</v>
      </c>
    </row>
    <row r="180">
      <c r="A180" s="4"/>
      <c r="C180" s="4" t="s">
        <v>2292</v>
      </c>
      <c r="D180" s="4" t="str">
        <f t="shared" si="1"/>
        <v>{"valorA":"ventilador","valorB":8}</v>
      </c>
      <c r="E180" s="8" t="str">
        <f t="shared" si="2"/>
        <v>ventilador</v>
      </c>
      <c r="F180" s="8"/>
      <c r="G180" s="8" t="str">
        <f t="shared" si="3"/>
        <v>8</v>
      </c>
      <c r="H180" s="9">
        <f t="shared" si="4"/>
        <v>8</v>
      </c>
      <c r="I180" s="6" t="str">
        <f>IFERROR(__xludf.DUMMYFUNCTION("MAX(FILTER($H:$H,$E:$E=F180))"),"#N/A")</f>
        <v>#N/A</v>
      </c>
    </row>
    <row r="181">
      <c r="A181" s="4"/>
      <c r="C181" s="4" t="s">
        <v>2300</v>
      </c>
      <c r="D181" s="4" t="str">
        <f t="shared" si="1"/>
        <v>{"valorA":"carregador de celular","valorB":7}</v>
      </c>
      <c r="E181" s="8" t="str">
        <f t="shared" si="2"/>
        <v>carregador de celular</v>
      </c>
      <c r="F181" s="8"/>
      <c r="G181" s="8" t="str">
        <f t="shared" si="3"/>
        <v>7</v>
      </c>
      <c r="H181" s="9">
        <f t="shared" si="4"/>
        <v>7</v>
      </c>
      <c r="I181" s="6" t="str">
        <f>IFERROR(__xludf.DUMMYFUNCTION("MAX(FILTER($H:$H,$E:$E=F181))"),"#N/A")</f>
        <v>#N/A</v>
      </c>
    </row>
    <row r="182">
      <c r="A182" s="4"/>
      <c r="C182" s="4" t="s">
        <v>2500</v>
      </c>
      <c r="D182" s="4" t="str">
        <f t="shared" si="1"/>
        <v>{"valorA":"purificador de água","valorB":16}</v>
      </c>
      <c r="E182" s="8" t="str">
        <f t="shared" si="2"/>
        <v>purificador de água</v>
      </c>
      <c r="F182" s="8"/>
      <c r="G182" s="8" t="str">
        <f t="shared" si="3"/>
        <v>16</v>
      </c>
      <c r="H182" s="9">
        <f t="shared" si="4"/>
        <v>16</v>
      </c>
      <c r="I182" s="6" t="str">
        <f>IFERROR(__xludf.DUMMYFUNCTION("MAX(FILTER($H:$H,$E:$E=F182))"),"#N/A")</f>
        <v>#N/A</v>
      </c>
    </row>
    <row r="183">
      <c r="A183" s="4"/>
      <c r="C183" s="4" t="s">
        <v>2372</v>
      </c>
      <c r="D183" s="4" t="str">
        <f t="shared" si="1"/>
        <v>{"valorA":"mouse de computador","valorB":8}</v>
      </c>
      <c r="E183" s="8" t="str">
        <f t="shared" si="2"/>
        <v>mouse de computador</v>
      </c>
      <c r="F183" s="8"/>
      <c r="G183" s="8" t="str">
        <f t="shared" si="3"/>
        <v>8</v>
      </c>
      <c r="H183" s="9">
        <f t="shared" si="4"/>
        <v>8</v>
      </c>
      <c r="I183" s="6" t="str">
        <f>IFERROR(__xludf.DUMMYFUNCTION("MAX(FILTER($H:$H,$E:$E=F183))"),"#N/A")</f>
        <v>#N/A</v>
      </c>
    </row>
    <row r="184">
      <c r="A184" s="4"/>
      <c r="C184" s="4" t="s">
        <v>2318</v>
      </c>
      <c r="D184" s="4" t="str">
        <f t="shared" si="1"/>
        <v>{"valorA":"roteador","valorB":7}</v>
      </c>
      <c r="E184" s="8" t="str">
        <f t="shared" si="2"/>
        <v>roteador</v>
      </c>
      <c r="F184" s="8"/>
      <c r="G184" s="8" t="str">
        <f t="shared" si="3"/>
        <v>7</v>
      </c>
      <c r="H184" s="9">
        <f t="shared" si="4"/>
        <v>7</v>
      </c>
      <c r="I184" s="6" t="str">
        <f>IFERROR(__xludf.DUMMYFUNCTION("MAX(FILTER($H:$H,$E:$E=F184))"),"#N/A")</f>
        <v>#N/A</v>
      </c>
    </row>
    <row r="185">
      <c r="A185" s="4"/>
      <c r="C185" s="4" t="s">
        <v>2383</v>
      </c>
      <c r="D185" s="4" t="str">
        <f t="shared" si="1"/>
        <v>{"valorA":"fone de ouvido","valorB":11}</v>
      </c>
      <c r="E185" s="8" t="str">
        <f t="shared" si="2"/>
        <v>fone de ouvido</v>
      </c>
      <c r="F185" s="8"/>
      <c r="G185" s="8" t="str">
        <f t="shared" si="3"/>
        <v>11</v>
      </c>
      <c r="H185" s="9">
        <f t="shared" si="4"/>
        <v>11</v>
      </c>
      <c r="I185" s="6" t="str">
        <f>IFERROR(__xludf.DUMMYFUNCTION("MAX(FILTER($H:$H,$E:$E=F185))"),"#N/A")</f>
        <v>#N/A</v>
      </c>
    </row>
    <row r="186">
      <c r="A186" s="4"/>
      <c r="C186" s="4" t="s">
        <v>2206</v>
      </c>
      <c r="D186" s="4" t="str">
        <f t="shared" si="1"/>
        <v>{"valorA":"computador","valorB":3}</v>
      </c>
      <c r="E186" s="8" t="str">
        <f t="shared" si="2"/>
        <v>computador</v>
      </c>
      <c r="F186" s="8"/>
      <c r="G186" s="8" t="str">
        <f t="shared" si="3"/>
        <v>3</v>
      </c>
      <c r="H186" s="9">
        <f t="shared" si="4"/>
        <v>3</v>
      </c>
      <c r="I186" s="6" t="str">
        <f>IFERROR(__xludf.DUMMYFUNCTION("MAX(FILTER($H:$H,$E:$E=F186))"),"#N/A")</f>
        <v>#N/A</v>
      </c>
    </row>
    <row r="187">
      <c r="A187" s="4"/>
      <c r="C187" s="4" t="s">
        <v>2325</v>
      </c>
      <c r="D187" s="4" t="str">
        <f t="shared" si="1"/>
        <v>{"valorA":"relógio","valorB":12}</v>
      </c>
      <c r="E187" s="8" t="str">
        <f t="shared" si="2"/>
        <v>relógio</v>
      </c>
      <c r="F187" s="8"/>
      <c r="G187" s="8" t="str">
        <f t="shared" si="3"/>
        <v>12</v>
      </c>
      <c r="H187" s="9">
        <f t="shared" si="4"/>
        <v>12</v>
      </c>
      <c r="I187" s="6" t="str">
        <f>IFERROR(__xludf.DUMMYFUNCTION("MAX(FILTER($H:$H,$E:$E=F187))"),"#N/A")</f>
        <v>#N/A</v>
      </c>
    </row>
    <row r="188">
      <c r="A188" s="4"/>
      <c r="C188" s="4" t="s">
        <v>2320</v>
      </c>
      <c r="D188" s="4" t="str">
        <f t="shared" si="1"/>
        <v>{"valorA":"liquidificador","valorB":12}</v>
      </c>
      <c r="E188" s="8" t="str">
        <f t="shared" si="2"/>
        <v>liquidificador</v>
      </c>
      <c r="F188" s="8"/>
      <c r="G188" s="8" t="str">
        <f t="shared" si="3"/>
        <v>12</v>
      </c>
      <c r="H188" s="9">
        <f t="shared" si="4"/>
        <v>12</v>
      </c>
      <c r="I188" s="6" t="str">
        <f>IFERROR(__xludf.DUMMYFUNCTION("MAX(FILTER($H:$H,$E:$E=F188))"),"#N/A")</f>
        <v>#N/A</v>
      </c>
    </row>
    <row r="189">
      <c r="A189" s="4"/>
      <c r="C189" s="4" t="s">
        <v>2324</v>
      </c>
      <c r="D189" s="4" t="str">
        <f t="shared" si="1"/>
        <v>{"valorA":"liquidificador","valorB":13}</v>
      </c>
      <c r="E189" s="8" t="str">
        <f t="shared" si="2"/>
        <v>liquidificador</v>
      </c>
      <c r="F189" s="8"/>
      <c r="G189" s="8" t="str">
        <f t="shared" si="3"/>
        <v>13</v>
      </c>
      <c r="H189" s="9">
        <f t="shared" si="4"/>
        <v>13</v>
      </c>
      <c r="I189" s="6" t="str">
        <f>IFERROR(__xludf.DUMMYFUNCTION("MAX(FILTER($H:$H,$E:$E=F189))"),"#N/A")</f>
        <v>#N/A</v>
      </c>
    </row>
    <row r="190">
      <c r="A190" s="4"/>
      <c r="C190" s="4" t="s">
        <v>2373</v>
      </c>
      <c r="D190" s="4" t="str">
        <f t="shared" si="1"/>
        <v>{"valorA":"mouse de computador","valorB":9}</v>
      </c>
      <c r="E190" s="8" t="str">
        <f t="shared" si="2"/>
        <v>mouse de computador</v>
      </c>
      <c r="F190" s="8"/>
      <c r="G190" s="8" t="str">
        <f t="shared" si="3"/>
        <v>9</v>
      </c>
      <c r="H190" s="9">
        <f t="shared" si="4"/>
        <v>9</v>
      </c>
      <c r="I190" s="6" t="str">
        <f>IFERROR(__xludf.DUMMYFUNCTION("MAX(FILTER($H:$H,$E:$E=F190))"),"#N/A")</f>
        <v>#N/A</v>
      </c>
    </row>
    <row r="191">
      <c r="A191" s="4"/>
      <c r="C191" s="4" t="s">
        <v>2334</v>
      </c>
      <c r="D191" s="4" t="str">
        <f t="shared" si="1"/>
        <v>{"valorA":"teclado de computador","valorB":11}</v>
      </c>
      <c r="E191" s="8" t="str">
        <f t="shared" si="2"/>
        <v>teclado de computador</v>
      </c>
      <c r="F191" s="8"/>
      <c r="G191" s="8" t="str">
        <f t="shared" si="3"/>
        <v>11</v>
      </c>
      <c r="H191" s="9">
        <f t="shared" si="4"/>
        <v>11</v>
      </c>
      <c r="I191" s="6" t="str">
        <f>IFERROR(__xludf.DUMMYFUNCTION("MAX(FILTER($H:$H,$E:$E=F191))"),"#N/A")</f>
        <v>#N/A</v>
      </c>
    </row>
    <row r="192">
      <c r="A192" s="4"/>
      <c r="C192" s="4" t="s">
        <v>2330</v>
      </c>
      <c r="D192" s="4" t="str">
        <f t="shared" si="1"/>
        <v>{"valorA":"ventilador","valorB":9}</v>
      </c>
      <c r="E192" s="8" t="str">
        <f t="shared" si="2"/>
        <v>ventilador</v>
      </c>
      <c r="F192" s="8"/>
      <c r="G192" s="8" t="str">
        <f t="shared" si="3"/>
        <v>9</v>
      </c>
      <c r="H192" s="9">
        <f t="shared" si="4"/>
        <v>9</v>
      </c>
      <c r="I192" s="6" t="str">
        <f>IFERROR(__xludf.DUMMYFUNCTION("MAX(FILTER($H:$H,$E:$E=F192))"),"#N/A")</f>
        <v>#N/A</v>
      </c>
    </row>
    <row r="193">
      <c r="A193" s="4"/>
      <c r="C193" s="4" t="s">
        <v>2290</v>
      </c>
      <c r="D193" s="4" t="str">
        <f t="shared" si="1"/>
        <v>{"valorA":"aspirador","valorB":10}</v>
      </c>
      <c r="E193" s="8" t="str">
        <f t="shared" si="2"/>
        <v>aspirador</v>
      </c>
      <c r="F193" s="8"/>
      <c r="G193" s="8" t="str">
        <f t="shared" si="3"/>
        <v>10</v>
      </c>
      <c r="H193" s="9">
        <f t="shared" si="4"/>
        <v>10</v>
      </c>
      <c r="I193" s="6" t="str">
        <f>IFERROR(__xludf.DUMMYFUNCTION("MAX(FILTER($H:$H,$E:$E=F193))"),"#N/A")</f>
        <v>#N/A</v>
      </c>
    </row>
    <row r="194">
      <c r="A194" s="4"/>
      <c r="C194" s="4" t="s">
        <v>2366</v>
      </c>
      <c r="D194" s="4" t="str">
        <f t="shared" si="1"/>
        <v>{"valorA":"carregador de computador","valorB":12}</v>
      </c>
      <c r="E194" s="8" t="str">
        <f t="shared" si="2"/>
        <v>carregador de computador</v>
      </c>
      <c r="F194" s="8"/>
      <c r="G194" s="8" t="str">
        <f t="shared" si="3"/>
        <v>12</v>
      </c>
      <c r="H194" s="9">
        <f t="shared" si="4"/>
        <v>12</v>
      </c>
      <c r="I194" s="6" t="str">
        <f>IFERROR(__xludf.DUMMYFUNCTION("MAX(FILTER($H:$H,$E:$E=F194))"),"#N/A")</f>
        <v>#N/A</v>
      </c>
    </row>
    <row r="195">
      <c r="A195" s="4"/>
      <c r="C195" s="4" t="s">
        <v>1675</v>
      </c>
      <c r="D195" s="4" t="str">
        <f t="shared" si="1"/>
        <v>{"valorA":"freezer","valorB":17}</v>
      </c>
      <c r="E195" s="8" t="str">
        <f t="shared" si="2"/>
        <v>freezer</v>
      </c>
      <c r="F195" s="8"/>
      <c r="G195" s="8" t="str">
        <f t="shared" si="3"/>
        <v>17</v>
      </c>
      <c r="H195" s="9">
        <f t="shared" si="4"/>
        <v>17</v>
      </c>
      <c r="I195" s="6" t="str">
        <f>IFERROR(__xludf.DUMMYFUNCTION("MAX(FILTER($H:$H,$E:$E=F195))"),"#N/A")</f>
        <v>#N/A</v>
      </c>
    </row>
    <row r="196">
      <c r="A196" s="4"/>
      <c r="C196" s="4" t="s">
        <v>2306</v>
      </c>
      <c r="D196" s="4" t="str">
        <f t="shared" si="1"/>
        <v>{"valorA":"filtro de linha","valorB":8}</v>
      </c>
      <c r="E196" s="8" t="str">
        <f t="shared" si="2"/>
        <v>filtro de linha</v>
      </c>
      <c r="F196" s="8"/>
      <c r="G196" s="8" t="str">
        <f t="shared" si="3"/>
        <v>8</v>
      </c>
      <c r="H196" s="9">
        <f t="shared" si="4"/>
        <v>8</v>
      </c>
      <c r="I196" s="6" t="str">
        <f>IFERROR(__xludf.DUMMYFUNCTION("MAX(FILTER($H:$H,$E:$E=F196))"),"#N/A")</f>
        <v>#N/A</v>
      </c>
    </row>
    <row r="197">
      <c r="A197" s="4"/>
      <c r="C197" s="4" t="s">
        <v>2399</v>
      </c>
      <c r="D197" s="4" t="str">
        <f t="shared" si="1"/>
        <v>{"valorA":"relógio","valorB":13}</v>
      </c>
      <c r="E197" s="8" t="str">
        <f t="shared" si="2"/>
        <v>relógio</v>
      </c>
      <c r="F197" s="8"/>
      <c r="G197" s="8" t="str">
        <f t="shared" si="3"/>
        <v>13</v>
      </c>
      <c r="H197" s="9">
        <f t="shared" si="4"/>
        <v>13</v>
      </c>
      <c r="I197" s="6" t="str">
        <f>IFERROR(__xludf.DUMMYFUNCTION("MAX(FILTER($H:$H,$E:$E=F197))"),"#N/A")</f>
        <v>#N/A</v>
      </c>
    </row>
    <row r="198">
      <c r="A198" s="4"/>
      <c r="C198" s="4" t="s">
        <v>1676</v>
      </c>
      <c r="D198" s="4" t="str">
        <f t="shared" si="1"/>
        <v>{"valorA":"freezer","valorB":18}</v>
      </c>
      <c r="E198" s="8" t="str">
        <f t="shared" si="2"/>
        <v>freezer</v>
      </c>
      <c r="F198" s="8"/>
      <c r="G198" s="8" t="str">
        <f t="shared" si="3"/>
        <v>18</v>
      </c>
      <c r="H198" s="9">
        <f t="shared" si="4"/>
        <v>18</v>
      </c>
      <c r="I198" s="6" t="str">
        <f>IFERROR(__xludf.DUMMYFUNCTION("MAX(FILTER($H:$H,$E:$E=F198))"),"#N/A")</f>
        <v>#N/A</v>
      </c>
    </row>
    <row r="199">
      <c r="A199" s="4"/>
      <c r="C199" s="4" t="s">
        <v>2258</v>
      </c>
      <c r="D199" s="4" t="str">
        <f t="shared" si="1"/>
        <v>{"valorA":"chuveiro elétrico","valorB":10}</v>
      </c>
      <c r="E199" s="8" t="str">
        <f t="shared" si="2"/>
        <v>chuveiro elétrico</v>
      </c>
      <c r="F199" s="8"/>
      <c r="G199" s="8" t="str">
        <f t="shared" si="3"/>
        <v>10</v>
      </c>
      <c r="H199" s="9">
        <f t="shared" si="4"/>
        <v>10</v>
      </c>
      <c r="I199" s="6" t="str">
        <f>IFERROR(__xludf.DUMMYFUNCTION("MAX(FILTER($H:$H,$E:$E=F199))"),"#N/A")</f>
        <v>#N/A</v>
      </c>
    </row>
    <row r="200">
      <c r="A200" s="4"/>
      <c r="C200" s="4" t="s">
        <v>2220</v>
      </c>
      <c r="D200" s="4" t="str">
        <f t="shared" si="1"/>
        <v>{"valorA":"computador","valorB":4}</v>
      </c>
      <c r="E200" s="8" t="str">
        <f t="shared" si="2"/>
        <v>computador</v>
      </c>
      <c r="F200" s="8"/>
      <c r="G200" s="8" t="str">
        <f t="shared" si="3"/>
        <v>4</v>
      </c>
      <c r="H200" s="9">
        <f t="shared" si="4"/>
        <v>4</v>
      </c>
      <c r="I200" s="6" t="str">
        <f>IFERROR(__xludf.DUMMYFUNCTION("MAX(FILTER($H:$H,$E:$E=F200))"),"#N/A")</f>
        <v>#N/A</v>
      </c>
    </row>
    <row r="201">
      <c r="A201" s="4"/>
      <c r="C201" s="4" t="s">
        <v>2351</v>
      </c>
      <c r="D201" s="4" t="str">
        <f t="shared" si="1"/>
        <v>{"valorA":"ventilador","valorB":10}</v>
      </c>
      <c r="E201" s="8" t="str">
        <f t="shared" si="2"/>
        <v>ventilador</v>
      </c>
      <c r="F201" s="8"/>
      <c r="G201" s="8" t="str">
        <f t="shared" si="3"/>
        <v>10</v>
      </c>
      <c r="H201" s="9">
        <f t="shared" si="4"/>
        <v>10</v>
      </c>
      <c r="I201" s="6" t="str">
        <f>IFERROR(__xludf.DUMMYFUNCTION("MAX(FILTER($H:$H,$E:$E=F201))"),"#N/A")</f>
        <v>#N/A</v>
      </c>
    </row>
    <row r="202">
      <c r="A202" s="4"/>
      <c r="C202" s="4" t="s">
        <v>2355</v>
      </c>
      <c r="D202" s="4" t="str">
        <f t="shared" si="1"/>
        <v>{"valorA":"ventilador","valorB":11}</v>
      </c>
      <c r="E202" s="8" t="str">
        <f t="shared" si="2"/>
        <v>ventilador</v>
      </c>
      <c r="F202" s="8"/>
      <c r="G202" s="8" t="str">
        <f t="shared" si="3"/>
        <v>11</v>
      </c>
      <c r="H202" s="9">
        <f t="shared" si="4"/>
        <v>11</v>
      </c>
      <c r="I202" s="6" t="str">
        <f>IFERROR(__xludf.DUMMYFUNCTION("MAX(FILTER($H:$H,$E:$E=F202))"),"#N/A")</f>
        <v>#N/A</v>
      </c>
    </row>
    <row r="203">
      <c r="A203" s="4"/>
      <c r="C203" s="4" t="s">
        <v>2406</v>
      </c>
      <c r="D203" s="4" t="str">
        <f t="shared" si="1"/>
        <v>{"valorA":"lustre","valorB":11}</v>
      </c>
      <c r="E203" s="8" t="str">
        <f t="shared" si="2"/>
        <v>lustre</v>
      </c>
      <c r="F203" s="8"/>
      <c r="G203" s="8" t="str">
        <f t="shared" si="3"/>
        <v>11</v>
      </c>
      <c r="H203" s="9">
        <f t="shared" si="4"/>
        <v>11</v>
      </c>
      <c r="I203" s="6" t="str">
        <f>IFERROR(__xludf.DUMMYFUNCTION("MAX(FILTER($H:$H,$E:$E=F203))"),"#N/A")</f>
        <v>#N/A</v>
      </c>
    </row>
    <row r="204">
      <c r="A204" s="4"/>
      <c r="C204" s="4" t="s">
        <v>2242</v>
      </c>
      <c r="D204" s="4" t="str">
        <f t="shared" si="1"/>
        <v>{"valorA":"computador","valorB":5}</v>
      </c>
      <c r="E204" s="8" t="str">
        <f t="shared" si="2"/>
        <v>computador</v>
      </c>
      <c r="F204" s="8"/>
      <c r="G204" s="8" t="str">
        <f t="shared" si="3"/>
        <v>5</v>
      </c>
      <c r="H204" s="9">
        <f t="shared" si="4"/>
        <v>5</v>
      </c>
      <c r="I204" s="6" t="str">
        <f>IFERROR(__xludf.DUMMYFUNCTION("MAX(FILTER($H:$H,$E:$E=F204))"),"#N/A")</f>
        <v>#N/A</v>
      </c>
    </row>
    <row r="205">
      <c r="A205" s="4"/>
      <c r="C205" s="4" t="s">
        <v>2402</v>
      </c>
      <c r="D205" s="4" t="str">
        <f t="shared" si="1"/>
        <v>{"valorA":"relógio","valorB":14}</v>
      </c>
      <c r="E205" s="8" t="str">
        <f t="shared" si="2"/>
        <v>relógio</v>
      </c>
      <c r="F205" s="8"/>
      <c r="G205" s="8" t="str">
        <f t="shared" si="3"/>
        <v>14</v>
      </c>
      <c r="H205" s="9">
        <f t="shared" si="4"/>
        <v>14</v>
      </c>
      <c r="I205" s="6" t="str">
        <f>IFERROR(__xludf.DUMMYFUNCTION("MAX(FILTER($H:$H,$E:$E=F205))"),"#N/A")</f>
        <v>#N/A</v>
      </c>
    </row>
    <row r="206">
      <c r="A206" s="4"/>
      <c r="C206" s="4" t="s">
        <v>2336</v>
      </c>
      <c r="D206" s="4" t="str">
        <f t="shared" si="1"/>
        <v>{"valorA":"teclado de computador","valorB":12}</v>
      </c>
      <c r="E206" s="8" t="str">
        <f t="shared" si="2"/>
        <v>teclado de computador</v>
      </c>
      <c r="F206" s="8"/>
      <c r="G206" s="8" t="str">
        <f t="shared" si="3"/>
        <v>12</v>
      </c>
      <c r="H206" s="9">
        <f t="shared" si="4"/>
        <v>12</v>
      </c>
      <c r="I206" s="6" t="str">
        <f>IFERROR(__xludf.DUMMYFUNCTION("MAX(FILTER($H:$H,$E:$E=F206))"),"#N/A")</f>
        <v>#N/A</v>
      </c>
    </row>
    <row r="207">
      <c r="A207" s="4"/>
      <c r="C207" s="4" t="s">
        <v>2405</v>
      </c>
      <c r="D207" s="4" t="str">
        <f t="shared" si="1"/>
        <v>{"valorA":"carregador de computador","valorB":13}</v>
      </c>
      <c r="E207" s="8" t="str">
        <f t="shared" si="2"/>
        <v>carregador de computador</v>
      </c>
      <c r="F207" s="8"/>
      <c r="G207" s="8" t="str">
        <f t="shared" si="3"/>
        <v>13</v>
      </c>
      <c r="H207" s="9">
        <f t="shared" si="4"/>
        <v>13</v>
      </c>
      <c r="I207" s="6" t="str">
        <f>IFERROR(__xludf.DUMMYFUNCTION("MAX(FILTER($H:$H,$E:$E=F207))"),"#N/A")</f>
        <v>#N/A</v>
      </c>
    </row>
    <row r="208">
      <c r="A208" s="4"/>
      <c r="C208" s="4" t="s">
        <v>2278</v>
      </c>
      <c r="D208" s="4" t="str">
        <f t="shared" si="1"/>
        <v>{"valorA":"chuveiro elétrico","valorB":11}</v>
      </c>
      <c r="E208" s="8" t="str">
        <f t="shared" si="2"/>
        <v>chuveiro elétrico</v>
      </c>
      <c r="F208" s="8"/>
      <c r="G208" s="8" t="str">
        <f t="shared" si="3"/>
        <v>11</v>
      </c>
      <c r="H208" s="9">
        <f t="shared" si="4"/>
        <v>11</v>
      </c>
      <c r="I208" s="6" t="str">
        <f>IFERROR(__xludf.DUMMYFUNCTION("MAX(FILTER($H:$H,$E:$E=F208))"),"#N/A")</f>
        <v>#N/A</v>
      </c>
    </row>
    <row r="209">
      <c r="A209" s="4"/>
      <c r="C209" s="4" t="s">
        <v>1677</v>
      </c>
      <c r="D209" s="4" t="str">
        <f t="shared" si="1"/>
        <v>{"valorA":"freezer","valorB":19}</v>
      </c>
      <c r="E209" s="8" t="str">
        <f t="shared" si="2"/>
        <v>freezer</v>
      </c>
      <c r="F209" s="8"/>
      <c r="G209" s="8" t="str">
        <f t="shared" si="3"/>
        <v>19</v>
      </c>
      <c r="H209" s="9">
        <f t="shared" si="4"/>
        <v>19</v>
      </c>
      <c r="I209" s="6" t="str">
        <f>IFERROR(__xludf.DUMMYFUNCTION("MAX(FILTER($H:$H,$E:$E=F209))"),"#N/A")</f>
        <v>#N/A</v>
      </c>
    </row>
    <row r="210">
      <c r="A210" s="4"/>
      <c r="C210" s="4" t="s">
        <v>2333</v>
      </c>
      <c r="D210" s="4" t="str">
        <f t="shared" si="1"/>
        <v>{"valorA":"liquidificador","valorB":14}</v>
      </c>
      <c r="E210" s="8" t="str">
        <f t="shared" si="2"/>
        <v>liquidificador</v>
      </c>
      <c r="F210" s="8"/>
      <c r="G210" s="8" t="str">
        <f t="shared" si="3"/>
        <v>14</v>
      </c>
      <c r="H210" s="9">
        <f t="shared" si="4"/>
        <v>14</v>
      </c>
      <c r="I210" s="6" t="str">
        <f>IFERROR(__xludf.DUMMYFUNCTION("MAX(FILTER($H:$H,$E:$E=F210))"),"#N/A")</f>
        <v>#N/A</v>
      </c>
    </row>
    <row r="211">
      <c r="A211" s="4"/>
      <c r="C211" s="4" t="s">
        <v>2247</v>
      </c>
      <c r="D211" s="4" t="str">
        <f t="shared" si="1"/>
        <v>{"valorA":"computador","valorB":6}</v>
      </c>
      <c r="E211" s="8" t="str">
        <f t="shared" si="2"/>
        <v>computador</v>
      </c>
      <c r="F211" s="8"/>
      <c r="G211" s="8" t="str">
        <f t="shared" si="3"/>
        <v>6</v>
      </c>
      <c r="H211" s="9">
        <f t="shared" si="4"/>
        <v>6</v>
      </c>
      <c r="I211" s="6" t="str">
        <f>IFERROR(__xludf.DUMMYFUNCTION("MAX(FILTER($H:$H,$E:$E=F211))"),"#N/A")</f>
        <v>#N/A</v>
      </c>
    </row>
    <row r="212">
      <c r="A212" s="4"/>
      <c r="C212" s="4" t="s">
        <v>2269</v>
      </c>
      <c r="D212" s="4" t="str">
        <f t="shared" si="1"/>
        <v>{"valorA":"computador","valorB":7}</v>
      </c>
      <c r="E212" s="8" t="str">
        <f t="shared" si="2"/>
        <v>computador</v>
      </c>
      <c r="F212" s="8"/>
      <c r="G212" s="8" t="str">
        <f t="shared" si="3"/>
        <v>7</v>
      </c>
      <c r="H212" s="9">
        <f t="shared" si="4"/>
        <v>7</v>
      </c>
      <c r="I212" s="6" t="str">
        <f>IFERROR(__xludf.DUMMYFUNCTION("MAX(FILTER($H:$H,$E:$E=F212))"),"#N/A")</f>
        <v>#N/A</v>
      </c>
    </row>
    <row r="213">
      <c r="A213" s="4"/>
      <c r="C213" s="4" t="s">
        <v>2313</v>
      </c>
      <c r="D213" s="4" t="str">
        <f t="shared" si="1"/>
        <v>{"valorA":"filtro de linha","valorB":9}</v>
      </c>
      <c r="E213" s="8" t="str">
        <f t="shared" si="2"/>
        <v>filtro de linha</v>
      </c>
      <c r="F213" s="8"/>
      <c r="G213" s="8" t="str">
        <f t="shared" si="3"/>
        <v>9</v>
      </c>
      <c r="H213" s="9">
        <f t="shared" si="4"/>
        <v>9</v>
      </c>
      <c r="I213" s="6" t="str">
        <f>IFERROR(__xludf.DUMMYFUNCTION("MAX(FILTER($H:$H,$E:$E=F213))"),"#N/A")</f>
        <v>#N/A</v>
      </c>
    </row>
    <row r="214">
      <c r="A214" s="4"/>
      <c r="C214" s="4" t="s">
        <v>2329</v>
      </c>
      <c r="D214" s="4" t="str">
        <f t="shared" si="1"/>
        <v>{"valorA":"roteador","valorB":8}</v>
      </c>
      <c r="E214" s="8" t="str">
        <f t="shared" si="2"/>
        <v>roteador</v>
      </c>
      <c r="F214" s="8"/>
      <c r="G214" s="8" t="str">
        <f t="shared" si="3"/>
        <v>8</v>
      </c>
      <c r="H214" s="9">
        <f t="shared" si="4"/>
        <v>8</v>
      </c>
      <c r="I214" s="6" t="str">
        <f>IFERROR(__xludf.DUMMYFUNCTION("MAX(FILTER($H:$H,$E:$E=F214))"),"#N/A")</f>
        <v>#N/A</v>
      </c>
    </row>
    <row r="215">
      <c r="A215" s="4"/>
      <c r="C215" s="4" t="s">
        <v>2297</v>
      </c>
      <c r="D215" s="4" t="str">
        <f t="shared" si="1"/>
        <v>{"valorA":"aspirador","valorB":11}</v>
      </c>
      <c r="E215" s="8" t="str">
        <f t="shared" si="2"/>
        <v>aspirador</v>
      </c>
      <c r="F215" s="8"/>
      <c r="G215" s="8" t="str">
        <f t="shared" si="3"/>
        <v>11</v>
      </c>
      <c r="H215" s="9">
        <f t="shared" si="4"/>
        <v>11</v>
      </c>
      <c r="I215" s="6" t="str">
        <f>IFERROR(__xludf.DUMMYFUNCTION("MAX(FILTER($H:$H,$E:$E=F215))"),"#N/A")</f>
        <v>#N/A</v>
      </c>
    </row>
    <row r="216">
      <c r="A216" s="4"/>
      <c r="C216" s="4" t="s">
        <v>2332</v>
      </c>
      <c r="D216" s="4" t="str">
        <f t="shared" si="1"/>
        <v>{"valorA":"roteador","valorB":9}</v>
      </c>
      <c r="E216" s="8" t="str">
        <f t="shared" si="2"/>
        <v>roteador</v>
      </c>
      <c r="F216" s="8"/>
      <c r="G216" s="8" t="str">
        <f t="shared" si="3"/>
        <v>9</v>
      </c>
      <c r="H216" s="9">
        <f t="shared" si="4"/>
        <v>9</v>
      </c>
      <c r="I216" s="6" t="str">
        <f>IFERROR(__xludf.DUMMYFUNCTION("MAX(FILTER($H:$H,$E:$E=F216))"),"#N/A")</f>
        <v>#N/A</v>
      </c>
    </row>
    <row r="217">
      <c r="A217" s="4"/>
      <c r="C217" s="4" t="s">
        <v>2282</v>
      </c>
      <c r="D217" s="4" t="str">
        <f t="shared" si="1"/>
        <v>{"valorA":"chuveiro elétrico","valorB":12}</v>
      </c>
      <c r="E217" s="8" t="str">
        <f t="shared" si="2"/>
        <v>chuveiro elétrico</v>
      </c>
      <c r="F217" s="8"/>
      <c r="G217" s="8" t="str">
        <f t="shared" si="3"/>
        <v>12</v>
      </c>
      <c r="H217" s="9">
        <f t="shared" si="4"/>
        <v>12</v>
      </c>
      <c r="I217" s="6" t="str">
        <f>IFERROR(__xludf.DUMMYFUNCTION("MAX(FILTER($H:$H,$E:$E=F217))"),"#N/A")</f>
        <v>#N/A</v>
      </c>
    </row>
    <row r="218">
      <c r="A218" s="4"/>
      <c r="C218" s="4" t="s">
        <v>2447</v>
      </c>
      <c r="D218" s="4" t="str">
        <f t="shared" si="1"/>
        <v>{"valorA":"lustre","valorB":12}</v>
      </c>
      <c r="E218" s="8" t="str">
        <f t="shared" si="2"/>
        <v>lustre</v>
      </c>
      <c r="F218" s="8"/>
      <c r="G218" s="8" t="str">
        <f t="shared" si="3"/>
        <v>12</v>
      </c>
      <c r="H218" s="9">
        <f t="shared" si="4"/>
        <v>12</v>
      </c>
      <c r="I218" s="6" t="str">
        <f>IFERROR(__xludf.DUMMYFUNCTION("MAX(FILTER($H:$H,$E:$E=F218))"),"#N/A")</f>
        <v>#N/A</v>
      </c>
    </row>
    <row r="219">
      <c r="A219" s="4"/>
      <c r="C219" s="4" t="s">
        <v>2305</v>
      </c>
      <c r="D219" s="4" t="str">
        <f t="shared" si="1"/>
        <v>{"valorA":"aspirador","valorB":12}</v>
      </c>
      <c r="E219" s="8" t="str">
        <f t="shared" si="2"/>
        <v>aspirador</v>
      </c>
      <c r="F219" s="8"/>
      <c r="G219" s="8" t="str">
        <f t="shared" si="3"/>
        <v>12</v>
      </c>
      <c r="H219" s="9">
        <f t="shared" si="4"/>
        <v>12</v>
      </c>
      <c r="I219" s="6" t="str">
        <f>IFERROR(__xludf.DUMMYFUNCTION("MAX(FILTER($H:$H,$E:$E=F219))"),"#N/A")</f>
        <v>#N/A</v>
      </c>
    </row>
    <row r="220">
      <c r="A220" s="4"/>
      <c r="C220" s="4" t="s">
        <v>2337</v>
      </c>
      <c r="D220" s="4" t="str">
        <f t="shared" si="1"/>
        <v>{"valorA":"teclado de computador","valorB":13}</v>
      </c>
      <c r="E220" s="8" t="str">
        <f t="shared" si="2"/>
        <v>teclado de computador</v>
      </c>
      <c r="F220" s="8"/>
      <c r="G220" s="8" t="str">
        <f t="shared" si="3"/>
        <v>13</v>
      </c>
      <c r="H220" s="9">
        <f t="shared" si="4"/>
        <v>13</v>
      </c>
      <c r="I220" s="6" t="str">
        <f>IFERROR(__xludf.DUMMYFUNCTION("MAX(FILTER($H:$H,$E:$E=F220))"),"#N/A")</f>
        <v>#N/A</v>
      </c>
    </row>
    <row r="221">
      <c r="A221" s="4"/>
      <c r="C221" s="4" t="s">
        <v>1705</v>
      </c>
      <c r="D221" s="4" t="str">
        <f t="shared" si="1"/>
        <v>{"valorA":"ar condicionado","valorB":7}</v>
      </c>
      <c r="E221" s="8" t="str">
        <f t="shared" si="2"/>
        <v>ar condicionado</v>
      </c>
      <c r="F221" s="8"/>
      <c r="G221" s="8" t="str">
        <f t="shared" si="3"/>
        <v>7</v>
      </c>
      <c r="H221" s="9">
        <f t="shared" si="4"/>
        <v>7</v>
      </c>
      <c r="I221" s="6" t="str">
        <f>IFERROR(__xludf.DUMMYFUNCTION("MAX(FILTER($H:$H,$E:$E=F221))"),"#N/A")</f>
        <v>#N/A</v>
      </c>
    </row>
    <row r="222">
      <c r="A222" s="4"/>
      <c r="C222" s="4" t="s">
        <v>2293</v>
      </c>
      <c r="D222" s="4" t="str">
        <f t="shared" si="1"/>
        <v>{"valorA":"celular","valorB":5}</v>
      </c>
      <c r="E222" s="8" t="str">
        <f t="shared" si="2"/>
        <v>celular</v>
      </c>
      <c r="F222" s="8"/>
      <c r="G222" s="8" t="str">
        <f t="shared" si="3"/>
        <v>5</v>
      </c>
      <c r="H222" s="9">
        <f t="shared" si="4"/>
        <v>5</v>
      </c>
      <c r="I222" s="6" t="str">
        <f>IFERROR(__xludf.DUMMYFUNCTION("MAX(FILTER($H:$H,$E:$E=F222))"),"#N/A")</f>
        <v>#N/A</v>
      </c>
    </row>
    <row r="223">
      <c r="A223" s="4"/>
      <c r="C223" s="4" t="s">
        <v>1706</v>
      </c>
      <c r="D223" s="4" t="str">
        <f t="shared" si="1"/>
        <v>{"valorA":"ar condicionado","valorB":8}</v>
      </c>
      <c r="E223" s="8" t="str">
        <f t="shared" si="2"/>
        <v>ar condicionado</v>
      </c>
      <c r="F223" s="8"/>
      <c r="G223" s="8" t="str">
        <f t="shared" si="3"/>
        <v>8</v>
      </c>
      <c r="H223" s="9">
        <f t="shared" si="4"/>
        <v>8</v>
      </c>
      <c r="I223" s="6" t="str">
        <f>IFERROR(__xludf.DUMMYFUNCTION("MAX(FILTER($H:$H,$E:$E=F223))"),"#N/A")</f>
        <v>#N/A</v>
      </c>
    </row>
    <row r="224">
      <c r="A224" s="4"/>
      <c r="C224" s="4" t="s">
        <v>2419</v>
      </c>
      <c r="D224" s="4" t="str">
        <f t="shared" si="1"/>
        <v>{"valorA":"fogão","valorB":15}</v>
      </c>
      <c r="E224" s="8" t="str">
        <f t="shared" si="2"/>
        <v>fogão</v>
      </c>
      <c r="F224" s="8"/>
      <c r="G224" s="8" t="str">
        <f t="shared" si="3"/>
        <v>15</v>
      </c>
      <c r="H224" s="9">
        <f t="shared" si="4"/>
        <v>15</v>
      </c>
      <c r="I224" s="6" t="str">
        <f>IFERROR(__xludf.DUMMYFUNCTION("MAX(FILTER($H:$H,$E:$E=F224))"),"#N/A")</f>
        <v>#N/A</v>
      </c>
    </row>
    <row r="225">
      <c r="A225" s="4"/>
      <c r="C225" s="4" t="s">
        <v>2272</v>
      </c>
      <c r="D225" s="4" t="str">
        <f t="shared" si="1"/>
        <v>{"valorA":"computador","valorB":8}</v>
      </c>
      <c r="E225" s="8" t="str">
        <f t="shared" si="2"/>
        <v>computador</v>
      </c>
      <c r="F225" s="8"/>
      <c r="G225" s="8" t="str">
        <f t="shared" si="3"/>
        <v>8</v>
      </c>
      <c r="H225" s="9">
        <f t="shared" si="4"/>
        <v>8</v>
      </c>
      <c r="I225" s="6" t="str">
        <f>IFERROR(__xludf.DUMMYFUNCTION("MAX(FILTER($H:$H,$E:$E=F225))"),"#N/A")</f>
        <v>#N/A</v>
      </c>
    </row>
    <row r="226">
      <c r="A226" s="4"/>
      <c r="C226" s="4" t="s">
        <v>2279</v>
      </c>
      <c r="D226" s="4" t="str">
        <f t="shared" si="1"/>
        <v>{"valorA":"computador","valorB":9}</v>
      </c>
      <c r="E226" s="8" t="str">
        <f t="shared" si="2"/>
        <v>computador</v>
      </c>
      <c r="F226" s="8"/>
      <c r="G226" s="8" t="str">
        <f t="shared" si="3"/>
        <v>9</v>
      </c>
      <c r="H226" s="9">
        <f t="shared" si="4"/>
        <v>9</v>
      </c>
      <c r="I226" s="6" t="str">
        <f>IFERROR(__xludf.DUMMYFUNCTION("MAX(FILTER($H:$H,$E:$E=F226))"),"#N/A")</f>
        <v>#N/A</v>
      </c>
    </row>
    <row r="227">
      <c r="A227" s="4"/>
      <c r="C227" s="4" t="s">
        <v>2367</v>
      </c>
      <c r="D227" s="4" t="str">
        <f t="shared" si="1"/>
        <v>{"valorA":"ventilador","valorB":12}</v>
      </c>
      <c r="E227" s="8" t="str">
        <f t="shared" si="2"/>
        <v>ventilador</v>
      </c>
      <c r="F227" s="8"/>
      <c r="G227" s="8" t="str">
        <f t="shared" si="3"/>
        <v>12</v>
      </c>
      <c r="H227" s="9">
        <f t="shared" si="4"/>
        <v>12</v>
      </c>
      <c r="I227" s="6" t="str">
        <f>IFERROR(__xludf.DUMMYFUNCTION("MAX(FILTER($H:$H,$E:$E=F227))"),"#N/A")</f>
        <v>#N/A</v>
      </c>
    </row>
    <row r="228">
      <c r="A228" s="4"/>
      <c r="C228" s="4" t="s">
        <v>2528</v>
      </c>
      <c r="D228" s="4" t="str">
        <f t="shared" si="1"/>
        <v>{"valorA":"purificador de água","valorB":17}</v>
      </c>
      <c r="E228" s="8" t="str">
        <f t="shared" si="2"/>
        <v>purificador de água</v>
      </c>
      <c r="F228" s="8"/>
      <c r="G228" s="8" t="str">
        <f t="shared" si="3"/>
        <v>17</v>
      </c>
      <c r="H228" s="9">
        <f t="shared" si="4"/>
        <v>17</v>
      </c>
      <c r="I228" s="6" t="str">
        <f>IFERROR(__xludf.DUMMYFUNCTION("MAX(FILTER($H:$H,$E:$E=F228))"),"#N/A")</f>
        <v>#N/A</v>
      </c>
    </row>
    <row r="229">
      <c r="A229" s="4"/>
      <c r="C229" s="4" t="s">
        <v>1708</v>
      </c>
      <c r="D229" s="4" t="str">
        <f t="shared" si="1"/>
        <v>{"valorA":"microondas","valorB":8}</v>
      </c>
      <c r="E229" s="8" t="str">
        <f t="shared" si="2"/>
        <v>microondas</v>
      </c>
      <c r="F229" s="8"/>
      <c r="G229" s="8" t="str">
        <f t="shared" si="3"/>
        <v>8</v>
      </c>
      <c r="H229" s="9">
        <f t="shared" si="4"/>
        <v>8</v>
      </c>
      <c r="I229" s="6" t="str">
        <f>IFERROR(__xludf.DUMMYFUNCTION("MAX(FILTER($H:$H,$E:$E=F229))"),"#N/A")</f>
        <v>#N/A</v>
      </c>
    </row>
    <row r="230">
      <c r="A230" s="4"/>
      <c r="C230" s="4" t="s">
        <v>2441</v>
      </c>
      <c r="D230" s="4" t="str">
        <f t="shared" si="1"/>
        <v>{"valorA":"fogão","valorB":16}</v>
      </c>
      <c r="E230" s="8" t="str">
        <f t="shared" si="2"/>
        <v>fogão</v>
      </c>
      <c r="F230" s="8"/>
      <c r="G230" s="8" t="str">
        <f t="shared" si="3"/>
        <v>16</v>
      </c>
      <c r="H230" s="9">
        <f t="shared" si="4"/>
        <v>16</v>
      </c>
      <c r="I230" s="6" t="str">
        <f>IFERROR(__xludf.DUMMYFUNCTION("MAX(FILTER($H:$H,$E:$E=F230))"),"#N/A")</f>
        <v>#N/A</v>
      </c>
    </row>
    <row r="231">
      <c r="A231" s="4"/>
      <c r="C231" s="4" t="s">
        <v>1712</v>
      </c>
      <c r="D231" s="4" t="str">
        <f t="shared" si="1"/>
        <v>{"valorA":"microondas","valorB":9}</v>
      </c>
      <c r="E231" s="8" t="str">
        <f t="shared" si="2"/>
        <v>microondas</v>
      </c>
      <c r="F231" s="8"/>
      <c r="G231" s="8" t="str">
        <f t="shared" si="3"/>
        <v>9</v>
      </c>
      <c r="H231" s="9">
        <f t="shared" si="4"/>
        <v>9</v>
      </c>
      <c r="I231" s="6" t="str">
        <f>IFERROR(__xludf.DUMMYFUNCTION("MAX(FILTER($H:$H,$E:$E=F231))"),"#N/A")</f>
        <v>#N/A</v>
      </c>
    </row>
    <row r="232">
      <c r="A232" s="4"/>
      <c r="C232" s="4" t="s">
        <v>2444</v>
      </c>
      <c r="D232" s="4" t="str">
        <f t="shared" si="1"/>
        <v>{"valorA":"fogão","valorB":17}</v>
      </c>
      <c r="E232" s="8" t="str">
        <f t="shared" si="2"/>
        <v>fogão</v>
      </c>
      <c r="F232" s="8"/>
      <c r="G232" s="8" t="str">
        <f t="shared" si="3"/>
        <v>17</v>
      </c>
      <c r="H232" s="9">
        <f t="shared" si="4"/>
        <v>17</v>
      </c>
      <c r="I232" s="6" t="str">
        <f>IFERROR(__xludf.DUMMYFUNCTION("MAX(FILTER($H:$H,$E:$E=F232))"),"#N/A")</f>
        <v>#N/A</v>
      </c>
    </row>
    <row r="233">
      <c r="A233" s="4"/>
      <c r="C233" s="4" t="s">
        <v>2530</v>
      </c>
      <c r="D233" s="4" t="str">
        <f t="shared" si="1"/>
        <v>{"valorA":"purificador de água","valorB":18}</v>
      </c>
      <c r="E233" s="8" t="str">
        <f t="shared" si="2"/>
        <v>purificador de água</v>
      </c>
      <c r="F233" s="8"/>
      <c r="G233" s="8" t="str">
        <f t="shared" si="3"/>
        <v>18</v>
      </c>
      <c r="H233" s="9">
        <f t="shared" si="4"/>
        <v>18</v>
      </c>
      <c r="I233" s="6" t="str">
        <f>IFERROR(__xludf.DUMMYFUNCTION("MAX(FILTER($H:$H,$E:$E=F233))"),"#N/A")</f>
        <v>#N/A</v>
      </c>
    </row>
    <row r="234">
      <c r="A234" s="4"/>
      <c r="C234" s="4" t="s">
        <v>2340</v>
      </c>
      <c r="D234" s="4" t="str">
        <f t="shared" si="1"/>
        <v>{"valorA":"teclado de computador","valorB":14}</v>
      </c>
      <c r="E234" s="8" t="str">
        <f t="shared" si="2"/>
        <v>teclado de computador</v>
      </c>
      <c r="F234" s="8"/>
      <c r="G234" s="8" t="str">
        <f t="shared" si="3"/>
        <v>14</v>
      </c>
      <c r="H234" s="9">
        <f t="shared" si="4"/>
        <v>14</v>
      </c>
      <c r="I234" s="6" t="str">
        <f>IFERROR(__xludf.DUMMYFUNCTION("MAX(FILTER($H:$H,$E:$E=F234))"),"#N/A")</f>
        <v>#N/A</v>
      </c>
    </row>
    <row r="235">
      <c r="A235" s="4"/>
      <c r="C235" s="4" t="s">
        <v>2294</v>
      </c>
      <c r="D235" s="4" t="str">
        <f t="shared" si="1"/>
        <v>{"valorA":"chuveiro elétrico","valorB":13}</v>
      </c>
      <c r="E235" s="8" t="str">
        <f t="shared" si="2"/>
        <v>chuveiro elétrico</v>
      </c>
      <c r="F235" s="8"/>
      <c r="G235" s="8" t="str">
        <f t="shared" si="3"/>
        <v>13</v>
      </c>
      <c r="H235" s="9">
        <f t="shared" si="4"/>
        <v>13</v>
      </c>
      <c r="I235" s="6" t="str">
        <f>IFERROR(__xludf.DUMMYFUNCTION("MAX(FILTER($H:$H,$E:$E=F235))"),"#N/A")</f>
        <v>#N/A</v>
      </c>
    </row>
    <row r="236">
      <c r="A236" s="4"/>
      <c r="C236" s="4" t="s">
        <v>2404</v>
      </c>
      <c r="D236" s="4" t="str">
        <f t="shared" si="1"/>
        <v>{"valorA":"relógio","valorB":15}</v>
      </c>
      <c r="E236" s="8" t="str">
        <f t="shared" si="2"/>
        <v>relógio</v>
      </c>
      <c r="F236" s="8"/>
      <c r="G236" s="8" t="str">
        <f t="shared" si="3"/>
        <v>15</v>
      </c>
      <c r="H236" s="9">
        <f t="shared" si="4"/>
        <v>15</v>
      </c>
      <c r="I236" s="6" t="str">
        <f>IFERROR(__xludf.DUMMYFUNCTION("MAX(FILTER($H:$H,$E:$E=F236))"),"#N/A")</f>
        <v>#N/A</v>
      </c>
    </row>
    <row r="237">
      <c r="A237" s="4"/>
      <c r="C237" s="4" t="s">
        <v>2408</v>
      </c>
      <c r="D237" s="4" t="str">
        <f t="shared" si="1"/>
        <v>{"valorA":"carregador de computador","valorB":14}</v>
      </c>
      <c r="E237" s="8" t="str">
        <f t="shared" si="2"/>
        <v>carregador de computador</v>
      </c>
      <c r="F237" s="8"/>
      <c r="G237" s="8" t="str">
        <f t="shared" si="3"/>
        <v>14</v>
      </c>
      <c r="H237" s="9">
        <f t="shared" si="4"/>
        <v>14</v>
      </c>
      <c r="I237" s="6" t="str">
        <f>IFERROR(__xludf.DUMMYFUNCTION("MAX(FILTER($H:$H,$E:$E=F237))"),"#N/A")</f>
        <v>#N/A</v>
      </c>
    </row>
    <row r="238">
      <c r="A238" s="4"/>
      <c r="C238" s="4" t="s">
        <v>2371</v>
      </c>
      <c r="D238" s="4" t="str">
        <f t="shared" si="1"/>
        <v>{"valorA":"ventilador","valorB":13}</v>
      </c>
      <c r="E238" s="8" t="str">
        <f t="shared" si="2"/>
        <v>ventilador</v>
      </c>
      <c r="F238" s="8"/>
      <c r="G238" s="8" t="str">
        <f t="shared" si="3"/>
        <v>13</v>
      </c>
      <c r="H238" s="9">
        <f t="shared" si="4"/>
        <v>13</v>
      </c>
      <c r="I238" s="6" t="str">
        <f>IFERROR(__xludf.DUMMYFUNCTION("MAX(FILTER($H:$H,$E:$E=F238))"),"#N/A")</f>
        <v>#N/A</v>
      </c>
    </row>
    <row r="239">
      <c r="A239" s="4"/>
      <c r="C239" s="4" t="s">
        <v>2460</v>
      </c>
      <c r="D239" s="4" t="str">
        <f t="shared" si="1"/>
        <v>{"valorA":"fogão","valorB":18}</v>
      </c>
      <c r="E239" s="8" t="str">
        <f t="shared" si="2"/>
        <v>fogão</v>
      </c>
      <c r="F239" s="8"/>
      <c r="G239" s="8" t="str">
        <f t="shared" si="3"/>
        <v>18</v>
      </c>
      <c r="H239" s="9">
        <f t="shared" si="4"/>
        <v>18</v>
      </c>
      <c r="I239" s="6" t="str">
        <f>IFERROR(__xludf.DUMMYFUNCTION("MAX(FILTER($H:$H,$E:$E=F239))"),"#N/A")</f>
        <v>#N/A</v>
      </c>
    </row>
    <row r="240">
      <c r="A240" s="4"/>
      <c r="C240" s="4" t="s">
        <v>2342</v>
      </c>
      <c r="D240" s="4" t="str">
        <f t="shared" si="1"/>
        <v>{"valorA":"carregador de celular","valorB":8}</v>
      </c>
      <c r="E240" s="8" t="str">
        <f t="shared" si="2"/>
        <v>carregador de celular</v>
      </c>
      <c r="F240" s="8"/>
      <c r="G240" s="8" t="str">
        <f t="shared" si="3"/>
        <v>8</v>
      </c>
      <c r="H240" s="9">
        <f t="shared" si="4"/>
        <v>8</v>
      </c>
      <c r="I240" s="6" t="str">
        <f>IFERROR(__xludf.DUMMYFUNCTION("MAX(FILTER($H:$H,$E:$E=F240))"),"#N/A")</f>
        <v>#N/A</v>
      </c>
    </row>
    <row r="241">
      <c r="A241" s="4"/>
      <c r="C241" s="4" t="s">
        <v>1707</v>
      </c>
      <c r="D241" s="4" t="str">
        <f t="shared" si="1"/>
        <v>{"valorA":"ar condicionado","valorB":9}</v>
      </c>
      <c r="E241" s="8" t="str">
        <f t="shared" si="2"/>
        <v>ar condicionado</v>
      </c>
      <c r="F241" s="8"/>
      <c r="G241" s="8" t="str">
        <f t="shared" si="3"/>
        <v>9</v>
      </c>
      <c r="H241" s="9">
        <f t="shared" si="4"/>
        <v>9</v>
      </c>
      <c r="I241" s="6" t="str">
        <f>IFERROR(__xludf.DUMMYFUNCTION("MAX(FILTER($H:$H,$E:$E=F241))"),"#N/A")</f>
        <v>#N/A</v>
      </c>
    </row>
    <row r="242">
      <c r="A242" s="4"/>
      <c r="C242" s="4" t="s">
        <v>2363</v>
      </c>
      <c r="D242" s="4" t="str">
        <f t="shared" si="1"/>
        <v>{"valorA":"teclado de computador","valorB":15}</v>
      </c>
      <c r="E242" s="8" t="str">
        <f t="shared" si="2"/>
        <v>teclado de computador</v>
      </c>
      <c r="F242" s="8"/>
      <c r="G242" s="8" t="str">
        <f t="shared" si="3"/>
        <v>15</v>
      </c>
      <c r="H242" s="9">
        <f t="shared" si="4"/>
        <v>15</v>
      </c>
      <c r="I242" s="6" t="str">
        <f>IFERROR(__xludf.DUMMYFUNCTION("MAX(FILTER($H:$H,$E:$E=F242))"),"#N/A")</f>
        <v>#N/A</v>
      </c>
    </row>
    <row r="243">
      <c r="A243" s="4"/>
      <c r="C243" s="4" t="s">
        <v>1678</v>
      </c>
      <c r="D243" s="4" t="str">
        <f t="shared" si="1"/>
        <v>{"valorA":"freezer","valorB":20}</v>
      </c>
      <c r="E243" s="8" t="str">
        <f t="shared" si="2"/>
        <v>freezer</v>
      </c>
      <c r="F243" s="8"/>
      <c r="G243" s="8" t="str">
        <f t="shared" si="3"/>
        <v>20</v>
      </c>
      <c r="H243" s="9">
        <f t="shared" si="4"/>
        <v>20</v>
      </c>
      <c r="I243" s="6" t="str">
        <f>IFERROR(__xludf.DUMMYFUNCTION("MAX(FILTER($H:$H,$E:$E=F243))"),"#N/A")</f>
        <v>#N/A</v>
      </c>
    </row>
    <row r="244">
      <c r="A244" s="4"/>
      <c r="C244" s="4" t="s">
        <v>2410</v>
      </c>
      <c r="D244" s="4" t="str">
        <f t="shared" si="1"/>
        <v>{"valorA":"ventilador","valorB":14}</v>
      </c>
      <c r="E244" s="8" t="str">
        <f t="shared" si="2"/>
        <v>ventilador</v>
      </c>
      <c r="F244" s="8"/>
      <c r="G244" s="8" t="str">
        <f t="shared" si="3"/>
        <v>14</v>
      </c>
      <c r="H244" s="9">
        <f t="shared" si="4"/>
        <v>14</v>
      </c>
      <c r="I244" s="6" t="str">
        <f>IFERROR(__xludf.DUMMYFUNCTION("MAX(FILTER($H:$H,$E:$E=F244))"),"#N/A")</f>
        <v>#N/A</v>
      </c>
    </row>
    <row r="245">
      <c r="A245" s="4"/>
      <c r="C245" s="4" t="s">
        <v>2455</v>
      </c>
      <c r="D245" s="4" t="str">
        <f t="shared" si="1"/>
        <v>{"valorA":"relógio","valorB":16}</v>
      </c>
      <c r="E245" s="8" t="str">
        <f t="shared" si="2"/>
        <v>relógio</v>
      </c>
      <c r="F245" s="8"/>
      <c r="G245" s="8" t="str">
        <f t="shared" si="3"/>
        <v>16</v>
      </c>
      <c r="H245" s="9">
        <f t="shared" si="4"/>
        <v>16</v>
      </c>
      <c r="I245" s="6" t="str">
        <f>IFERROR(__xludf.DUMMYFUNCTION("MAX(FILTER($H:$H,$E:$E=F245))"),"#N/A")</f>
        <v>#N/A</v>
      </c>
    </row>
    <row r="246">
      <c r="A246" s="4"/>
      <c r="C246" s="4" t="s">
        <v>2430</v>
      </c>
      <c r="D246" s="4" t="str">
        <f t="shared" si="1"/>
        <v>{"valorA":"ventilador","valorB":15}</v>
      </c>
      <c r="E246" s="8" t="str">
        <f t="shared" si="2"/>
        <v>ventilador</v>
      </c>
      <c r="F246" s="8"/>
      <c r="G246" s="8" t="str">
        <f t="shared" si="3"/>
        <v>15</v>
      </c>
      <c r="H246" s="9">
        <f t="shared" si="4"/>
        <v>15</v>
      </c>
      <c r="I246" s="6" t="str">
        <f>IFERROR(__xludf.DUMMYFUNCTION("MAX(FILTER($H:$H,$E:$E=F246))"),"#N/A")</f>
        <v>#N/A</v>
      </c>
    </row>
    <row r="247">
      <c r="A247" s="4"/>
      <c r="C247" s="4" t="s">
        <v>2315</v>
      </c>
      <c r="D247" s="4" t="str">
        <f t="shared" si="1"/>
        <v>{"valorA":"celular","valorB":6}</v>
      </c>
      <c r="E247" s="8" t="str">
        <f t="shared" si="2"/>
        <v>celular</v>
      </c>
      <c r="F247" s="8"/>
      <c r="G247" s="8" t="str">
        <f t="shared" si="3"/>
        <v>6</v>
      </c>
      <c r="H247" s="9">
        <f t="shared" si="4"/>
        <v>6</v>
      </c>
      <c r="I247" s="6" t="str">
        <f>IFERROR(__xludf.DUMMYFUNCTION("MAX(FILTER($H:$H,$E:$E=F247))"),"#N/A")</f>
        <v>#N/A</v>
      </c>
    </row>
    <row r="248">
      <c r="A248" s="4"/>
      <c r="C248" s="4" t="s">
        <v>2378</v>
      </c>
      <c r="D248" s="4" t="str">
        <f t="shared" si="1"/>
        <v>{"valorA":"liquidificador","valorB":15}</v>
      </c>
      <c r="E248" s="8" t="str">
        <f t="shared" si="2"/>
        <v>liquidificador</v>
      </c>
      <c r="F248" s="8"/>
      <c r="G248" s="8" t="str">
        <f t="shared" si="3"/>
        <v>15</v>
      </c>
      <c r="H248" s="9">
        <f t="shared" si="4"/>
        <v>15</v>
      </c>
      <c r="I248" s="6" t="str">
        <f>IFERROR(__xludf.DUMMYFUNCTION("MAX(FILTER($H:$H,$E:$E=F248))"),"#N/A")</f>
        <v>#N/A</v>
      </c>
    </row>
    <row r="249">
      <c r="A249" s="4"/>
      <c r="C249" s="4" t="s">
        <v>2431</v>
      </c>
      <c r="D249" s="4" t="str">
        <f t="shared" si="1"/>
        <v>{"valorA":"ventilador","valorB":16}</v>
      </c>
      <c r="E249" s="8" t="str">
        <f t="shared" si="2"/>
        <v>ventilador</v>
      </c>
      <c r="F249" s="8"/>
      <c r="G249" s="8" t="str">
        <f t="shared" si="3"/>
        <v>16</v>
      </c>
      <c r="H249" s="9">
        <f t="shared" si="4"/>
        <v>16</v>
      </c>
      <c r="I249" s="6" t="str">
        <f>IFERROR(__xludf.DUMMYFUNCTION("MAX(FILTER($H:$H,$E:$E=F249))"),"#N/A")</f>
        <v>#N/A</v>
      </c>
    </row>
    <row r="250">
      <c r="A250" s="4"/>
      <c r="C250" s="4" t="s">
        <v>2338</v>
      </c>
      <c r="D250" s="4" t="str">
        <f t="shared" si="1"/>
        <v>{"valorA":"filtro de linha","valorB":10}</v>
      </c>
      <c r="E250" s="8" t="str">
        <f t="shared" si="2"/>
        <v>filtro de linha</v>
      </c>
      <c r="F250" s="8"/>
      <c r="G250" s="8" t="str">
        <f t="shared" si="3"/>
        <v>10</v>
      </c>
      <c r="H250" s="9">
        <f t="shared" si="4"/>
        <v>10</v>
      </c>
      <c r="I250" s="6" t="str">
        <f>IFERROR(__xludf.DUMMYFUNCTION("MAX(FILTER($H:$H,$E:$E=F250))"),"#N/A")</f>
        <v>#N/A</v>
      </c>
    </row>
    <row r="251">
      <c r="A251" s="4"/>
      <c r="C251" s="4" t="s">
        <v>2462</v>
      </c>
      <c r="D251" s="4" t="str">
        <f t="shared" si="1"/>
        <v>{"valorA":"fogão","valorB":19}</v>
      </c>
      <c r="E251" s="8" t="str">
        <f t="shared" si="2"/>
        <v>fogão</v>
      </c>
      <c r="F251" s="8"/>
      <c r="G251" s="8" t="str">
        <f t="shared" si="3"/>
        <v>19</v>
      </c>
      <c r="H251" s="9">
        <f t="shared" si="4"/>
        <v>19</v>
      </c>
      <c r="I251" s="6" t="str">
        <f>IFERROR(__xludf.DUMMYFUNCTION("MAX(FILTER($H:$H,$E:$E=F251))"),"#N/A")</f>
        <v>#N/A</v>
      </c>
    </row>
    <row r="252">
      <c r="A252" s="4"/>
      <c r="C252" s="4" t="s">
        <v>2422</v>
      </c>
      <c r="D252" s="4" t="str">
        <f t="shared" si="1"/>
        <v>{"valorA":"carregador de computador","valorB":15}</v>
      </c>
      <c r="E252" s="8" t="str">
        <f t="shared" si="2"/>
        <v>carregador de computador</v>
      </c>
      <c r="F252" s="8"/>
      <c r="G252" s="8" t="str">
        <f t="shared" si="3"/>
        <v>15</v>
      </c>
      <c r="H252" s="9">
        <f t="shared" si="4"/>
        <v>15</v>
      </c>
      <c r="I252" s="6" t="str">
        <f>IFERROR(__xludf.DUMMYFUNCTION("MAX(FILTER($H:$H,$E:$E=F252))"),"#N/A")</f>
        <v>#N/A</v>
      </c>
    </row>
    <row r="253">
      <c r="A253" s="4"/>
      <c r="C253" s="4" t="s">
        <v>2482</v>
      </c>
      <c r="D253" s="4" t="str">
        <f t="shared" si="1"/>
        <v>{"valorA":"relógio","valorB":17}</v>
      </c>
      <c r="E253" s="8" t="str">
        <f t="shared" si="2"/>
        <v>relógio</v>
      </c>
      <c r="F253" s="8"/>
      <c r="G253" s="8" t="str">
        <f t="shared" si="3"/>
        <v>17</v>
      </c>
      <c r="H253" s="9">
        <f t="shared" si="4"/>
        <v>17</v>
      </c>
      <c r="I253" s="6" t="str">
        <f>IFERROR(__xludf.DUMMYFUNCTION("MAX(FILTER($H:$H,$E:$E=F253))"),"#N/A")</f>
        <v>#N/A</v>
      </c>
    </row>
    <row r="254">
      <c r="A254" s="4"/>
      <c r="C254" s="4" t="s">
        <v>1679</v>
      </c>
      <c r="D254" s="4" t="str">
        <f t="shared" si="1"/>
        <v>{"valorA":"freezer","valorB":21}</v>
      </c>
      <c r="E254" s="8" t="str">
        <f t="shared" si="2"/>
        <v>freezer</v>
      </c>
      <c r="F254" s="8"/>
      <c r="G254" s="8" t="str">
        <f t="shared" si="3"/>
        <v>21</v>
      </c>
      <c r="H254" s="9">
        <f t="shared" si="4"/>
        <v>21</v>
      </c>
      <c r="I254" s="6" t="str">
        <f>IFERROR(__xludf.DUMMYFUNCTION("MAX(FILTER($H:$H,$E:$E=F254))"),"#N/A")</f>
        <v>#N/A</v>
      </c>
    </row>
    <row r="255">
      <c r="A255" s="4"/>
      <c r="C255" s="4" t="s">
        <v>2537</v>
      </c>
      <c r="D255" s="4" t="str">
        <f t="shared" si="1"/>
        <v>{"valorA":"purificador de água","valorB":19}</v>
      </c>
      <c r="E255" s="8" t="str">
        <f t="shared" si="2"/>
        <v>purificador de água</v>
      </c>
      <c r="F255" s="8"/>
      <c r="G255" s="8" t="str">
        <f t="shared" si="3"/>
        <v>19</v>
      </c>
      <c r="H255" s="9">
        <f t="shared" si="4"/>
        <v>19</v>
      </c>
      <c r="I255" s="6" t="str">
        <f>IFERROR(__xludf.DUMMYFUNCTION("MAX(FILTER($H:$H,$E:$E=F255))"),"#N/A")</f>
        <v>#N/A</v>
      </c>
    </row>
    <row r="256">
      <c r="A256" s="4"/>
      <c r="C256" s="4" t="s">
        <v>2364</v>
      </c>
      <c r="D256" s="4" t="str">
        <f t="shared" si="1"/>
        <v>{"valorA":"carregador de celular","valorB":9}</v>
      </c>
      <c r="E256" s="8" t="str">
        <f t="shared" si="2"/>
        <v>carregador de celular</v>
      </c>
      <c r="F256" s="8"/>
      <c r="G256" s="8" t="str">
        <f t="shared" si="3"/>
        <v>9</v>
      </c>
      <c r="H256" s="9">
        <f t="shared" si="4"/>
        <v>9</v>
      </c>
      <c r="I256" s="6" t="str">
        <f>IFERROR(__xludf.DUMMYFUNCTION("MAX(FILTER($H:$H,$E:$E=F256))"),"#N/A")</f>
        <v>#N/A</v>
      </c>
    </row>
    <row r="257">
      <c r="A257" s="4"/>
      <c r="C257" s="4" t="s">
        <v>2395</v>
      </c>
      <c r="D257" s="4" t="str">
        <f t="shared" si="1"/>
        <v>{"valorA":"fone de ouvido","valorB":12}</v>
      </c>
      <c r="E257" s="8" t="str">
        <f t="shared" si="2"/>
        <v>fone de ouvido</v>
      </c>
      <c r="F257" s="8"/>
      <c r="G257" s="8" t="str">
        <f t="shared" si="3"/>
        <v>12</v>
      </c>
      <c r="H257" s="9">
        <f t="shared" si="4"/>
        <v>12</v>
      </c>
      <c r="I257" s="6" t="str">
        <f>IFERROR(__xludf.DUMMYFUNCTION("MAX(FILTER($H:$H,$E:$E=F257))"),"#N/A")</f>
        <v>#N/A</v>
      </c>
    </row>
    <row r="258">
      <c r="A258" s="4"/>
      <c r="C258" s="4" t="s">
        <v>2437</v>
      </c>
      <c r="D258" s="4" t="str">
        <f t="shared" si="1"/>
        <v>{"valorA":"ventilador","valorB":17}</v>
      </c>
      <c r="E258" s="8" t="str">
        <f t="shared" si="2"/>
        <v>ventilador</v>
      </c>
      <c r="F258" s="8"/>
      <c r="G258" s="8" t="str">
        <f t="shared" si="3"/>
        <v>17</v>
      </c>
      <c r="H258" s="9">
        <f t="shared" si="4"/>
        <v>17</v>
      </c>
      <c r="I258" s="6" t="str">
        <f>IFERROR(__xludf.DUMMYFUNCTION("MAX(FILTER($H:$H,$E:$E=F258))"),"#N/A")</f>
        <v>#N/A</v>
      </c>
    </row>
    <row r="259">
      <c r="A259" s="4"/>
      <c r="C259" s="4" t="s">
        <v>2403</v>
      </c>
      <c r="D259" s="4" t="str">
        <f t="shared" si="1"/>
        <v>{"valorA":"fone de ouvido","valorB":13}</v>
      </c>
      <c r="E259" s="8" t="str">
        <f t="shared" si="2"/>
        <v>fone de ouvido</v>
      </c>
      <c r="F259" s="8"/>
      <c r="G259" s="8" t="str">
        <f t="shared" si="3"/>
        <v>13</v>
      </c>
      <c r="H259" s="9">
        <f t="shared" si="4"/>
        <v>13</v>
      </c>
      <c r="I259" s="6" t="str">
        <f>IFERROR(__xludf.DUMMYFUNCTION("MAX(FILTER($H:$H,$E:$E=F259))"),"#N/A")</f>
        <v>#N/A</v>
      </c>
    </row>
    <row r="260">
      <c r="A260" s="4"/>
      <c r="C260" s="4" t="s">
        <v>2311</v>
      </c>
      <c r="D260" s="4" t="str">
        <f t="shared" si="1"/>
        <v>{"valorA":"aspirador","valorB":13}</v>
      </c>
      <c r="E260" s="8" t="str">
        <f t="shared" si="2"/>
        <v>aspirador</v>
      </c>
      <c r="F260" s="8"/>
      <c r="G260" s="8" t="str">
        <f t="shared" si="3"/>
        <v>13</v>
      </c>
      <c r="H260" s="9">
        <f t="shared" si="4"/>
        <v>13</v>
      </c>
      <c r="I260" s="6" t="str">
        <f>IFERROR(__xludf.DUMMYFUNCTION("MAX(FILTER($H:$H,$E:$E=F260))"),"#N/A")</f>
        <v>#N/A</v>
      </c>
    </row>
    <row r="261">
      <c r="A261" s="4"/>
      <c r="C261" s="4" t="s">
        <v>1709</v>
      </c>
      <c r="D261" s="4" t="str">
        <f t="shared" si="1"/>
        <v>{"valorA":"ar condicionado","valorB":10}</v>
      </c>
      <c r="E261" s="8" t="str">
        <f t="shared" si="2"/>
        <v>ar condicionado</v>
      </c>
      <c r="F261" s="8"/>
      <c r="G261" s="8" t="str">
        <f t="shared" si="3"/>
        <v>10</v>
      </c>
      <c r="H261" s="9">
        <f t="shared" si="4"/>
        <v>10</v>
      </c>
      <c r="I261" s="6" t="str">
        <f>IFERROR(__xludf.DUMMYFUNCTION("MAX(FILTER($H:$H,$E:$E=F261))"),"#N/A")</f>
        <v>#N/A</v>
      </c>
    </row>
    <row r="262">
      <c r="A262" s="4"/>
      <c r="C262" s="4" t="s">
        <v>2423</v>
      </c>
      <c r="D262" s="4" t="str">
        <f t="shared" si="1"/>
        <v>{"valorA":"carregador de computador","valorB":16}</v>
      </c>
      <c r="E262" s="8" t="str">
        <f t="shared" si="2"/>
        <v>carregador de computador</v>
      </c>
      <c r="F262" s="8"/>
      <c r="G262" s="8" t="str">
        <f t="shared" si="3"/>
        <v>16</v>
      </c>
      <c r="H262" s="9">
        <f t="shared" si="4"/>
        <v>16</v>
      </c>
      <c r="I262" s="6" t="str">
        <f>IFERROR(__xludf.DUMMYFUNCTION("MAX(FILTER($H:$H,$E:$E=F262))"),"#N/A")</f>
        <v>#N/A</v>
      </c>
    </row>
    <row r="263">
      <c r="A263" s="4"/>
      <c r="C263" s="4" t="s">
        <v>2344</v>
      </c>
      <c r="D263" s="4" t="str">
        <f t="shared" si="1"/>
        <v>{"valorA":"aspirador","valorB":14}</v>
      </c>
      <c r="E263" s="8" t="str">
        <f t="shared" si="2"/>
        <v>aspirador</v>
      </c>
      <c r="F263" s="8"/>
      <c r="G263" s="8" t="str">
        <f t="shared" si="3"/>
        <v>14</v>
      </c>
      <c r="H263" s="9">
        <f t="shared" si="4"/>
        <v>14</v>
      </c>
      <c r="I263" s="6" t="str">
        <f>IFERROR(__xludf.DUMMYFUNCTION("MAX(FILTER($H:$H,$E:$E=F263))"),"#N/A")</f>
        <v>#N/A</v>
      </c>
    </row>
    <row r="264">
      <c r="A264" s="4"/>
      <c r="C264" s="4" t="s">
        <v>2350</v>
      </c>
      <c r="D264" s="4" t="str">
        <f t="shared" si="1"/>
        <v>{"valorA":"roteador","valorB":10}</v>
      </c>
      <c r="E264" s="8" t="str">
        <f t="shared" si="2"/>
        <v>roteador</v>
      </c>
      <c r="F264" s="8"/>
      <c r="G264" s="8" t="str">
        <f t="shared" si="3"/>
        <v>10</v>
      </c>
      <c r="H264" s="9">
        <f t="shared" si="4"/>
        <v>10</v>
      </c>
      <c r="I264" s="6" t="str">
        <f>IFERROR(__xludf.DUMMYFUNCTION("MAX(FILTER($H:$H,$E:$E=F264))"),"#N/A")</f>
        <v>#N/A</v>
      </c>
    </row>
    <row r="265">
      <c r="A265" s="4"/>
      <c r="C265" s="4" t="s">
        <v>2411</v>
      </c>
      <c r="D265" s="4" t="str">
        <f t="shared" si="1"/>
        <v>{"valorA":"fone de ouvido","valorB":14}</v>
      </c>
      <c r="E265" s="8" t="str">
        <f t="shared" si="2"/>
        <v>fone de ouvido</v>
      </c>
      <c r="F265" s="8"/>
      <c r="G265" s="8" t="str">
        <f t="shared" si="3"/>
        <v>14</v>
      </c>
      <c r="H265" s="9">
        <f t="shared" si="4"/>
        <v>14</v>
      </c>
      <c r="I265" s="6" t="str">
        <f>IFERROR(__xludf.DUMMYFUNCTION("MAX(FILTER($H:$H,$E:$E=F265))"),"#N/A")</f>
        <v>#N/A</v>
      </c>
    </row>
    <row r="266">
      <c r="A266" s="4"/>
      <c r="C266" s="4" t="s">
        <v>2562</v>
      </c>
      <c r="D266" s="4" t="str">
        <f t="shared" si="1"/>
        <v>{"valorA":"purificador de água","valorB":20}</v>
      </c>
      <c r="E266" s="8" t="str">
        <f t="shared" si="2"/>
        <v>purificador de água</v>
      </c>
      <c r="F266" s="8"/>
      <c r="G266" s="8" t="str">
        <f t="shared" si="3"/>
        <v>20</v>
      </c>
      <c r="H266" s="9">
        <f t="shared" si="4"/>
        <v>20</v>
      </c>
      <c r="I266" s="6" t="str">
        <f>IFERROR(__xludf.DUMMYFUNCTION("MAX(FILTER($H:$H,$E:$E=F266))"),"#N/A")</f>
        <v>#N/A</v>
      </c>
    </row>
    <row r="267">
      <c r="A267" s="4"/>
      <c r="C267" s="4" t="s">
        <v>2439</v>
      </c>
      <c r="D267" s="4" t="str">
        <f t="shared" si="1"/>
        <v>{"valorA":"carregador de computador","valorB":17}</v>
      </c>
      <c r="E267" s="8" t="str">
        <f t="shared" si="2"/>
        <v>carregador de computador</v>
      </c>
      <c r="F267" s="8"/>
      <c r="G267" s="8" t="str">
        <f t="shared" si="3"/>
        <v>17</v>
      </c>
      <c r="H267" s="9">
        <f t="shared" si="4"/>
        <v>17</v>
      </c>
      <c r="I267" s="6" t="str">
        <f>IFERROR(__xludf.DUMMYFUNCTION("MAX(FILTER($H:$H,$E:$E=F267))"),"#N/A")</f>
        <v>#N/A</v>
      </c>
    </row>
    <row r="268">
      <c r="A268" s="4"/>
      <c r="C268" s="4" t="s">
        <v>2302</v>
      </c>
      <c r="D268" s="4" t="str">
        <f t="shared" si="1"/>
        <v>{"valorA":"computador","valorB":10}</v>
      </c>
      <c r="E268" s="8" t="str">
        <f t="shared" si="2"/>
        <v>computador</v>
      </c>
      <c r="F268" s="8"/>
      <c r="G268" s="8" t="str">
        <f t="shared" si="3"/>
        <v>10</v>
      </c>
      <c r="H268" s="9">
        <f t="shared" si="4"/>
        <v>10</v>
      </c>
      <c r="I268" s="6" t="str">
        <f>IFERROR(__xludf.DUMMYFUNCTION("MAX(FILTER($H:$H,$E:$E=F268))"),"#N/A")</f>
        <v>#N/A</v>
      </c>
    </row>
    <row r="269">
      <c r="A269" s="4"/>
      <c r="C269" s="4" t="s">
        <v>2465</v>
      </c>
      <c r="D269" s="4" t="str">
        <f t="shared" si="1"/>
        <v>{"valorA":"fogão","valorB":20}</v>
      </c>
      <c r="E269" s="8" t="str">
        <f t="shared" si="2"/>
        <v>fogão</v>
      </c>
      <c r="F269" s="8"/>
      <c r="G269" s="8" t="str">
        <f t="shared" si="3"/>
        <v>20</v>
      </c>
      <c r="H269" s="9">
        <f t="shared" si="4"/>
        <v>20</v>
      </c>
      <c r="I269" s="6" t="str">
        <f>IFERROR(__xludf.DUMMYFUNCTION("MAX(FILTER($H:$H,$E:$E=F269))"),"#N/A")</f>
        <v>#N/A</v>
      </c>
    </row>
    <row r="270">
      <c r="A270" s="4"/>
      <c r="C270" s="4" t="s">
        <v>2451</v>
      </c>
      <c r="D270" s="4" t="str">
        <f t="shared" si="1"/>
        <v>{"valorA":"lustre","valorB":13}</v>
      </c>
      <c r="E270" s="8" t="str">
        <f t="shared" si="2"/>
        <v>lustre</v>
      </c>
      <c r="F270" s="8"/>
      <c r="G270" s="8" t="str">
        <f t="shared" si="3"/>
        <v>13</v>
      </c>
      <c r="H270" s="9">
        <f t="shared" si="4"/>
        <v>13</v>
      </c>
      <c r="I270" s="6" t="str">
        <f>IFERROR(__xludf.DUMMYFUNCTION("MAX(FILTER($H:$H,$E:$E=F270))"),"#N/A")</f>
        <v>#N/A</v>
      </c>
    </row>
    <row r="271">
      <c r="A271" s="4"/>
      <c r="C271" s="4" t="s">
        <v>2487</v>
      </c>
      <c r="D271" s="4" t="str">
        <f t="shared" si="1"/>
        <v>{"valorA":"relógio","valorB":18}</v>
      </c>
      <c r="E271" s="8" t="str">
        <f t="shared" si="2"/>
        <v>relógio</v>
      </c>
      <c r="F271" s="8"/>
      <c r="G271" s="8" t="str">
        <f t="shared" si="3"/>
        <v>18</v>
      </c>
      <c r="H271" s="9">
        <f t="shared" si="4"/>
        <v>18</v>
      </c>
      <c r="I271" s="6" t="str">
        <f>IFERROR(__xludf.DUMMYFUNCTION("MAX(FILTER($H:$H,$E:$E=F271))"),"#N/A")</f>
        <v>#N/A</v>
      </c>
    </row>
    <row r="272">
      <c r="A272" s="4"/>
      <c r="C272" s="4" t="s">
        <v>2473</v>
      </c>
      <c r="D272" s="4" t="str">
        <f t="shared" si="1"/>
        <v>{"valorA":"lustre","valorB":14}</v>
      </c>
      <c r="E272" s="8" t="str">
        <f t="shared" si="2"/>
        <v>lustre</v>
      </c>
      <c r="F272" s="8"/>
      <c r="G272" s="8" t="str">
        <f t="shared" si="3"/>
        <v>14</v>
      </c>
      <c r="H272" s="9">
        <f t="shared" si="4"/>
        <v>14</v>
      </c>
      <c r="I272" s="6" t="str">
        <f>IFERROR(__xludf.DUMMYFUNCTION("MAX(FILTER($H:$H,$E:$E=F272))"),"#N/A")</f>
        <v>#N/A</v>
      </c>
    </row>
    <row r="273">
      <c r="A273" s="4"/>
      <c r="C273" s="4" t="s">
        <v>1713</v>
      </c>
      <c r="D273" s="4" t="str">
        <f t="shared" si="1"/>
        <v>{"valorA":"microondas","valorB":10}</v>
      </c>
      <c r="E273" s="8" t="str">
        <f t="shared" si="2"/>
        <v>microondas</v>
      </c>
      <c r="F273" s="8"/>
      <c r="G273" s="8" t="str">
        <f t="shared" si="3"/>
        <v>10</v>
      </c>
      <c r="H273" s="9">
        <f t="shared" si="4"/>
        <v>10</v>
      </c>
      <c r="I273" s="6" t="str">
        <f>IFERROR(__xludf.DUMMYFUNCTION("MAX(FILTER($H:$H,$E:$E=F273))"),"#N/A")</f>
        <v>#N/A</v>
      </c>
    </row>
    <row r="274">
      <c r="A274" s="4"/>
      <c r="C274" s="4" t="s">
        <v>2508</v>
      </c>
      <c r="D274" s="4" t="str">
        <f t="shared" si="1"/>
        <v>{"valorA":"relógio","valorB":19}</v>
      </c>
      <c r="E274" s="8" t="str">
        <f t="shared" si="2"/>
        <v>relógio</v>
      </c>
      <c r="F274" s="8"/>
      <c r="G274" s="8" t="str">
        <f t="shared" si="3"/>
        <v>19</v>
      </c>
      <c r="H274" s="9">
        <f t="shared" si="4"/>
        <v>19</v>
      </c>
      <c r="I274" s="6" t="str">
        <f>IFERROR(__xludf.DUMMYFUNCTION("MAX(FILTER($H:$H,$E:$E=F274))"),"#N/A")</f>
        <v>#N/A</v>
      </c>
    </row>
    <row r="275">
      <c r="A275" s="4"/>
      <c r="C275" s="4" t="s">
        <v>2502</v>
      </c>
      <c r="D275" s="4" t="str">
        <f t="shared" si="1"/>
        <v>{"valorA":"lustre","valorB":15}</v>
      </c>
      <c r="E275" s="8" t="str">
        <f t="shared" si="2"/>
        <v>lustre</v>
      </c>
      <c r="F275" s="8"/>
      <c r="G275" s="8" t="str">
        <f t="shared" si="3"/>
        <v>15</v>
      </c>
      <c r="H275" s="9">
        <f t="shared" si="4"/>
        <v>15</v>
      </c>
      <c r="I275" s="6" t="str">
        <f>IFERROR(__xludf.DUMMYFUNCTION("MAX(FILTER($H:$H,$E:$E=F275))"),"#N/A")</f>
        <v>#N/A</v>
      </c>
    </row>
    <row r="276">
      <c r="A276" s="4"/>
      <c r="C276" s="4" t="s">
        <v>1680</v>
      </c>
      <c r="D276" s="4" t="str">
        <f t="shared" si="1"/>
        <v>{"valorA":"freezer","valorB":22}</v>
      </c>
      <c r="E276" s="8" t="str">
        <f t="shared" si="2"/>
        <v>freezer</v>
      </c>
      <c r="F276" s="8"/>
      <c r="G276" s="8" t="str">
        <f t="shared" si="3"/>
        <v>22</v>
      </c>
      <c r="H276" s="9">
        <f t="shared" si="4"/>
        <v>22</v>
      </c>
      <c r="I276" s="6" t="str">
        <f>IFERROR(__xludf.DUMMYFUNCTION("MAX(FILTER($H:$H,$E:$E=F276))"),"#N/A")</f>
        <v>#N/A</v>
      </c>
    </row>
    <row r="277">
      <c r="A277" s="4"/>
      <c r="C277" s="4" t="s">
        <v>1710</v>
      </c>
      <c r="D277" s="4" t="str">
        <f t="shared" si="1"/>
        <v>{"valorA":"ar condicionado","valorB":11}</v>
      </c>
      <c r="E277" s="8" t="str">
        <f t="shared" si="2"/>
        <v>ar condicionado</v>
      </c>
      <c r="F277" s="8"/>
      <c r="G277" s="8" t="str">
        <f t="shared" si="3"/>
        <v>11</v>
      </c>
      <c r="H277" s="9">
        <f t="shared" si="4"/>
        <v>11</v>
      </c>
      <c r="I277" s="6" t="str">
        <f>IFERROR(__xludf.DUMMYFUNCTION("MAX(FILTER($H:$H,$E:$E=F277))"),"#N/A")</f>
        <v>#N/A</v>
      </c>
    </row>
    <row r="278">
      <c r="A278" s="4"/>
      <c r="C278" s="4" t="s">
        <v>2390</v>
      </c>
      <c r="D278" s="4" t="str">
        <f t="shared" si="1"/>
        <v>{"valorA":"carregador de celular","valorB":10}</v>
      </c>
      <c r="E278" s="8" t="str">
        <f t="shared" si="2"/>
        <v>carregador de celular</v>
      </c>
      <c r="F278" s="8"/>
      <c r="G278" s="8" t="str">
        <f t="shared" si="3"/>
        <v>10</v>
      </c>
      <c r="H278" s="9">
        <f t="shared" si="4"/>
        <v>10</v>
      </c>
      <c r="I278" s="6" t="str">
        <f>IFERROR(__xludf.DUMMYFUNCTION("MAX(FILTER($H:$H,$E:$E=F278))"),"#N/A")</f>
        <v>#N/A</v>
      </c>
    </row>
    <row r="279">
      <c r="A279" s="4"/>
      <c r="C279" s="4" t="s">
        <v>2368</v>
      </c>
      <c r="D279" s="4" t="str">
        <f t="shared" si="1"/>
        <v>{"valorA":"teclado de computador","valorB":16}</v>
      </c>
      <c r="E279" s="8" t="str">
        <f t="shared" si="2"/>
        <v>teclado de computador</v>
      </c>
      <c r="F279" s="8"/>
      <c r="G279" s="8" t="str">
        <f t="shared" si="3"/>
        <v>16</v>
      </c>
      <c r="H279" s="9">
        <f t="shared" si="4"/>
        <v>16</v>
      </c>
      <c r="I279" s="6" t="str">
        <f>IFERROR(__xludf.DUMMYFUNCTION("MAX(FILTER($H:$H,$E:$E=F279))"),"#N/A")</f>
        <v>#N/A</v>
      </c>
    </row>
    <row r="280">
      <c r="A280" s="4"/>
      <c r="C280" s="4" t="s">
        <v>2504</v>
      </c>
      <c r="D280" s="4" t="str">
        <f t="shared" si="1"/>
        <v>{"valorA":"lustre","valorB":16}</v>
      </c>
      <c r="E280" s="8" t="str">
        <f t="shared" si="2"/>
        <v>lustre</v>
      </c>
      <c r="F280" s="8"/>
      <c r="G280" s="8" t="str">
        <f t="shared" si="3"/>
        <v>16</v>
      </c>
      <c r="H280" s="9">
        <f t="shared" si="4"/>
        <v>16</v>
      </c>
      <c r="I280" s="6" t="str">
        <f>IFERROR(__xludf.DUMMYFUNCTION("MAX(FILTER($H:$H,$E:$E=F280))"),"#N/A")</f>
        <v>#N/A</v>
      </c>
    </row>
    <row r="281">
      <c r="A281" s="4"/>
      <c r="C281" s="4" t="s">
        <v>1681</v>
      </c>
      <c r="D281" s="4" t="str">
        <f t="shared" si="1"/>
        <v>{"valorA":"freezer","valorB":23}</v>
      </c>
      <c r="E281" s="8" t="str">
        <f t="shared" si="2"/>
        <v>freezer</v>
      </c>
      <c r="F281" s="8"/>
      <c r="G281" s="8" t="str">
        <f t="shared" si="3"/>
        <v>23</v>
      </c>
      <c r="H281" s="9">
        <f t="shared" si="4"/>
        <v>23</v>
      </c>
      <c r="I281" s="6" t="str">
        <f>IFERROR(__xludf.DUMMYFUNCTION("MAX(FILTER($H:$H,$E:$E=F281))"),"#N/A")</f>
        <v>#N/A</v>
      </c>
    </row>
    <row r="282">
      <c r="A282" s="4"/>
      <c r="C282" s="4" t="s">
        <v>1711</v>
      </c>
      <c r="D282" s="4" t="str">
        <f t="shared" si="1"/>
        <v>{"valorA":"ar condicionado","valorB":12}</v>
      </c>
      <c r="E282" s="8" t="str">
        <f t="shared" si="2"/>
        <v>ar condicionado</v>
      </c>
      <c r="F282" s="8"/>
      <c r="G282" s="8" t="str">
        <f t="shared" si="3"/>
        <v>12</v>
      </c>
      <c r="H282" s="9">
        <f t="shared" si="4"/>
        <v>12</v>
      </c>
      <c r="I282" s="6" t="str">
        <f>IFERROR(__xludf.DUMMYFUNCTION("MAX(FILTER($H:$H,$E:$E=F282))"),"#N/A")</f>
        <v>#N/A</v>
      </c>
    </row>
    <row r="283">
      <c r="A283" s="4"/>
      <c r="C283" s="4" t="s">
        <v>2470</v>
      </c>
      <c r="D283" s="4" t="str">
        <f t="shared" si="1"/>
        <v>{"valorA":"fogão","valorB":21}</v>
      </c>
      <c r="E283" s="8" t="str">
        <f t="shared" si="2"/>
        <v>fogão</v>
      </c>
      <c r="F283" s="8"/>
      <c r="G283" s="8" t="str">
        <f t="shared" si="3"/>
        <v>21</v>
      </c>
      <c r="H283" s="9">
        <f t="shared" si="4"/>
        <v>21</v>
      </c>
      <c r="I283" s="6" t="str">
        <f>IFERROR(__xludf.DUMMYFUNCTION("MAX(FILTER($H:$H,$E:$E=F283))"),"#N/A")</f>
        <v>#N/A</v>
      </c>
    </row>
    <row r="284">
      <c r="A284" s="4"/>
      <c r="C284" s="4" t="s">
        <v>2398</v>
      </c>
      <c r="D284" s="4" t="str">
        <f t="shared" si="1"/>
        <v>{"valorA":"carregador de celular","valorB":11}</v>
      </c>
      <c r="E284" s="8" t="str">
        <f t="shared" si="2"/>
        <v>carregador de celular</v>
      </c>
      <c r="F284" s="8"/>
      <c r="G284" s="8" t="str">
        <f t="shared" si="3"/>
        <v>11</v>
      </c>
      <c r="H284" s="9">
        <f t="shared" si="4"/>
        <v>11</v>
      </c>
      <c r="I284" s="6" t="str">
        <f>IFERROR(__xludf.DUMMYFUNCTION("MAX(FILTER($H:$H,$E:$E=F284))"),"#N/A")</f>
        <v>#N/A</v>
      </c>
    </row>
    <row r="285">
      <c r="A285" s="4"/>
      <c r="C285" s="4" t="s">
        <v>2516</v>
      </c>
      <c r="D285" s="4" t="str">
        <f t="shared" si="1"/>
        <v>{"valorA":"fogão","valorB":22}</v>
      </c>
      <c r="E285" s="8" t="str">
        <f t="shared" si="2"/>
        <v>fogão</v>
      </c>
      <c r="F285" s="8"/>
      <c r="G285" s="8" t="str">
        <f t="shared" si="3"/>
        <v>22</v>
      </c>
      <c r="H285" s="9">
        <f t="shared" si="4"/>
        <v>22</v>
      </c>
      <c r="I285" s="6" t="str">
        <f>IFERROR(__xludf.DUMMYFUNCTION("MAX(FILTER($H:$H,$E:$E=F285))"),"#N/A")</f>
        <v>#N/A</v>
      </c>
    </row>
    <row r="286">
      <c r="A286" s="4"/>
      <c r="C286" s="4" t="s">
        <v>2375</v>
      </c>
      <c r="D286" s="4" t="str">
        <f t="shared" si="1"/>
        <v>{"valorA":"aspirador","valorB":15}</v>
      </c>
      <c r="E286" s="8" t="str">
        <f t="shared" si="2"/>
        <v>aspirador</v>
      </c>
      <c r="F286" s="8"/>
      <c r="G286" s="8" t="str">
        <f t="shared" si="3"/>
        <v>15</v>
      </c>
      <c r="H286" s="9">
        <f t="shared" si="4"/>
        <v>15</v>
      </c>
      <c r="I286" s="6" t="str">
        <f>IFERROR(__xludf.DUMMYFUNCTION("MAX(FILTER($H:$H,$E:$E=F286))"),"#N/A")</f>
        <v>#N/A</v>
      </c>
    </row>
    <row r="287">
      <c r="A287" s="4"/>
      <c r="C287" s="4" t="s">
        <v>2331</v>
      </c>
      <c r="D287" s="4" t="str">
        <f t="shared" si="1"/>
        <v>{"valorA":"chuveiro elétrico","valorB":14}</v>
      </c>
      <c r="E287" s="8" t="str">
        <f t="shared" si="2"/>
        <v>chuveiro elétrico</v>
      </c>
      <c r="F287" s="8"/>
      <c r="G287" s="8" t="str">
        <f t="shared" si="3"/>
        <v>14</v>
      </c>
      <c r="H287" s="9">
        <f t="shared" si="4"/>
        <v>14</v>
      </c>
      <c r="I287" s="6" t="str">
        <f>IFERROR(__xludf.DUMMYFUNCTION("MAX(FILTER($H:$H,$E:$E=F287))"),"#N/A")</f>
        <v>#N/A</v>
      </c>
    </row>
    <row r="288">
      <c r="A288" s="4"/>
      <c r="C288" s="4" t="s">
        <v>2369</v>
      </c>
      <c r="D288" s="4" t="str">
        <f t="shared" si="1"/>
        <v>{"valorA":"teclado de computador","valorB":17}</v>
      </c>
      <c r="E288" s="8" t="str">
        <f t="shared" si="2"/>
        <v>teclado de computador</v>
      </c>
      <c r="F288" s="8"/>
      <c r="G288" s="8" t="str">
        <f t="shared" si="3"/>
        <v>17</v>
      </c>
      <c r="H288" s="9">
        <f t="shared" si="4"/>
        <v>17</v>
      </c>
      <c r="I288" s="6" t="str">
        <f>IFERROR(__xludf.DUMMYFUNCTION("MAX(FILTER($H:$H,$E:$E=F288))"),"#N/A")</f>
        <v>#N/A</v>
      </c>
    </row>
    <row r="289">
      <c r="A289" s="4"/>
      <c r="C289" s="4" t="s">
        <v>2524</v>
      </c>
      <c r="D289" s="4" t="str">
        <f t="shared" si="1"/>
        <v>{"valorA":"fogão","valorB":23}</v>
      </c>
      <c r="E289" s="8" t="str">
        <f t="shared" si="2"/>
        <v>fogão</v>
      </c>
      <c r="F289" s="8"/>
      <c r="G289" s="8" t="str">
        <f t="shared" si="3"/>
        <v>23</v>
      </c>
      <c r="H289" s="9">
        <f t="shared" si="4"/>
        <v>23</v>
      </c>
      <c r="I289" s="6" t="str">
        <f>IFERROR(__xludf.DUMMYFUNCTION("MAX(FILTER($H:$H,$E:$E=F289))"),"#N/A")</f>
        <v>#N/A</v>
      </c>
    </row>
    <row r="290">
      <c r="A290" s="4"/>
      <c r="C290" s="4" t="s">
        <v>2396</v>
      </c>
      <c r="D290" s="4" t="str">
        <f t="shared" si="1"/>
        <v>{"valorA":"teclado de computador","valorB":18}</v>
      </c>
      <c r="E290" s="8" t="str">
        <f t="shared" si="2"/>
        <v>teclado de computador</v>
      </c>
      <c r="F290" s="8"/>
      <c r="G290" s="8" t="str">
        <f t="shared" si="3"/>
        <v>18</v>
      </c>
      <c r="H290" s="9">
        <f t="shared" si="4"/>
        <v>18</v>
      </c>
      <c r="I290" s="6" t="str">
        <f>IFERROR(__xludf.DUMMYFUNCTION("MAX(FILTER($H:$H,$E:$E=F290))"),"#N/A")</f>
        <v>#N/A</v>
      </c>
    </row>
    <row r="291">
      <c r="A291" s="4"/>
      <c r="C291" s="4" t="s">
        <v>2401</v>
      </c>
      <c r="D291" s="4" t="str">
        <f t="shared" si="1"/>
        <v>{"valorA":"teclado de computador","valorB":19}</v>
      </c>
      <c r="E291" s="8" t="str">
        <f t="shared" si="2"/>
        <v>teclado de computador</v>
      </c>
      <c r="F291" s="8"/>
      <c r="G291" s="8" t="str">
        <f t="shared" si="3"/>
        <v>19</v>
      </c>
      <c r="H291" s="9">
        <f t="shared" si="4"/>
        <v>19</v>
      </c>
      <c r="I291" s="6" t="str">
        <f>IFERROR(__xludf.DUMMYFUNCTION("MAX(FILTER($H:$H,$E:$E=F291))"),"#N/A")</f>
        <v>#N/A</v>
      </c>
    </row>
    <row r="292">
      <c r="A292" s="4"/>
      <c r="C292" s="4" t="s">
        <v>2435</v>
      </c>
      <c r="D292" s="4" t="str">
        <f t="shared" si="1"/>
        <v>{"valorA":"fone de ouvido","valorB":15}</v>
      </c>
      <c r="E292" s="8" t="str">
        <f t="shared" si="2"/>
        <v>fone de ouvido</v>
      </c>
      <c r="F292" s="8"/>
      <c r="G292" s="8" t="str">
        <f t="shared" si="3"/>
        <v>15</v>
      </c>
      <c r="H292" s="9">
        <f t="shared" si="4"/>
        <v>15</v>
      </c>
      <c r="I292" s="6" t="str">
        <f>IFERROR(__xludf.DUMMYFUNCTION("MAX(FILTER($H:$H,$E:$E=F292))"),"#N/A")</f>
        <v>#N/A</v>
      </c>
    </row>
    <row r="293">
      <c r="A293" s="4"/>
      <c r="C293" s="4" t="s">
        <v>2573</v>
      </c>
      <c r="D293" s="4" t="str">
        <f t="shared" si="1"/>
        <v>{"valorA":"fogão","valorB":24}</v>
      </c>
      <c r="E293" s="8" t="str">
        <f t="shared" si="2"/>
        <v>fogão</v>
      </c>
      <c r="F293" s="8"/>
      <c r="G293" s="8" t="str">
        <f t="shared" si="3"/>
        <v>24</v>
      </c>
      <c r="H293" s="9">
        <f t="shared" si="4"/>
        <v>24</v>
      </c>
      <c r="I293" s="6" t="str">
        <f>IFERROR(__xludf.DUMMYFUNCTION("MAX(FILTER($H:$H,$E:$E=F293))"),"#N/A")</f>
        <v>#N/A</v>
      </c>
    </row>
    <row r="294">
      <c r="A294" s="4"/>
      <c r="C294" s="4" t="s">
        <v>2335</v>
      </c>
      <c r="D294" s="4" t="str">
        <f t="shared" si="1"/>
        <v>{"valorA":"computador","valorB":11}</v>
      </c>
      <c r="E294" s="8" t="str">
        <f t="shared" si="2"/>
        <v>computador</v>
      </c>
      <c r="F294" s="8"/>
      <c r="G294" s="8" t="str">
        <f t="shared" si="3"/>
        <v>11</v>
      </c>
      <c r="H294" s="9">
        <f t="shared" si="4"/>
        <v>11</v>
      </c>
      <c r="I294" s="6" t="str">
        <f>IFERROR(__xludf.DUMMYFUNCTION("MAX(FILTER($H:$H,$E:$E=F294))"),"#N/A")</f>
        <v>#N/A</v>
      </c>
    </row>
    <row r="295">
      <c r="A295" s="4"/>
      <c r="C295" s="4" t="s">
        <v>2343</v>
      </c>
      <c r="D295" s="4" t="str">
        <f t="shared" si="1"/>
        <v>{"valorA":"computador","valorB":12}</v>
      </c>
      <c r="E295" s="8" t="str">
        <f t="shared" si="2"/>
        <v>computador</v>
      </c>
      <c r="F295" s="8"/>
      <c r="G295" s="8" t="str">
        <f t="shared" si="3"/>
        <v>12</v>
      </c>
      <c r="H295" s="9">
        <f t="shared" si="4"/>
        <v>12</v>
      </c>
      <c r="I295" s="6" t="str">
        <f>IFERROR(__xludf.DUMMYFUNCTION("MAX(FILTER($H:$H,$E:$E=F295))"),"#N/A")</f>
        <v>#N/A</v>
      </c>
    </row>
    <row r="296">
      <c r="A296" s="4"/>
      <c r="C296" s="4" t="s">
        <v>1714</v>
      </c>
      <c r="D296" s="4" t="str">
        <f t="shared" si="1"/>
        <v>{"valorA":"microondas","valorB":11}</v>
      </c>
      <c r="E296" s="8" t="str">
        <f t="shared" si="2"/>
        <v>microondas</v>
      </c>
      <c r="F296" s="8"/>
      <c r="G296" s="8" t="str">
        <f t="shared" si="3"/>
        <v>11</v>
      </c>
      <c r="H296" s="9">
        <f t="shared" si="4"/>
        <v>11</v>
      </c>
      <c r="I296" s="6" t="str">
        <f>IFERROR(__xludf.DUMMYFUNCTION("MAX(FILTER($H:$H,$E:$E=F296))"),"#N/A")</f>
        <v>#N/A</v>
      </c>
    </row>
    <row r="297">
      <c r="A297" s="4"/>
      <c r="C297" s="4" t="s">
        <v>2362</v>
      </c>
      <c r="D297" s="4" t="str">
        <f t="shared" si="1"/>
        <v>{"valorA":"computador","valorB":13}</v>
      </c>
      <c r="E297" s="8" t="str">
        <f t="shared" si="2"/>
        <v>computador</v>
      </c>
      <c r="F297" s="8"/>
      <c r="G297" s="8" t="str">
        <f t="shared" si="3"/>
        <v>13</v>
      </c>
      <c r="H297" s="9">
        <f t="shared" si="4"/>
        <v>13</v>
      </c>
      <c r="I297" s="6" t="str">
        <f>IFERROR(__xludf.DUMMYFUNCTION("MAX(FILTER($H:$H,$E:$E=F297))"),"#N/A")</f>
        <v>#N/A</v>
      </c>
    </row>
    <row r="298">
      <c r="A298" s="4"/>
      <c r="C298" s="4" t="s">
        <v>2420</v>
      </c>
      <c r="D298" s="4" t="str">
        <f t="shared" si="1"/>
        <v>{"valorA":"teclado de computador","valorB":20}</v>
      </c>
      <c r="E298" s="8" t="str">
        <f t="shared" si="2"/>
        <v>teclado de computador</v>
      </c>
      <c r="F298" s="8"/>
      <c r="G298" s="8" t="str">
        <f t="shared" si="3"/>
        <v>20</v>
      </c>
      <c r="H298" s="9">
        <f t="shared" si="4"/>
        <v>20</v>
      </c>
      <c r="I298" s="6" t="str">
        <f>IFERROR(__xludf.DUMMYFUNCTION("MAX(FILTER($H:$H,$E:$E=F298))"),"#N/A")</f>
        <v>#N/A</v>
      </c>
    </row>
    <row r="299">
      <c r="A299" s="4"/>
      <c r="C299" s="4" t="s">
        <v>2440</v>
      </c>
      <c r="D299" s="4" t="str">
        <f t="shared" si="1"/>
        <v>{"valorA":"carregador de computador","valorB":18}</v>
      </c>
      <c r="E299" s="8" t="str">
        <f t="shared" si="2"/>
        <v>carregador de computador</v>
      </c>
      <c r="F299" s="8"/>
      <c r="G299" s="8" t="str">
        <f t="shared" si="3"/>
        <v>18</v>
      </c>
      <c r="H299" s="9">
        <f t="shared" si="4"/>
        <v>18</v>
      </c>
      <c r="I299" s="6" t="str">
        <f>IFERROR(__xludf.DUMMYFUNCTION("MAX(FILTER($H:$H,$E:$E=F299))"),"#N/A")</f>
        <v>#N/A</v>
      </c>
    </row>
    <row r="300">
      <c r="A300" s="4"/>
      <c r="C300" s="4" t="s">
        <v>2428</v>
      </c>
      <c r="D300" s="4" t="str">
        <f t="shared" si="1"/>
        <v>{"valorA":"aspirador","valorB":16}</v>
      </c>
      <c r="E300" s="8" t="str">
        <f t="shared" si="2"/>
        <v>aspirador</v>
      </c>
      <c r="F300" s="8"/>
      <c r="G300" s="8" t="str">
        <f t="shared" si="3"/>
        <v>16</v>
      </c>
      <c r="H300" s="9">
        <f t="shared" si="4"/>
        <v>16</v>
      </c>
      <c r="I300" s="6" t="str">
        <f>IFERROR(__xludf.DUMMYFUNCTION("MAX(FILTER($H:$H,$E:$E=F300))"),"#N/A")</f>
        <v>#N/A</v>
      </c>
    </row>
    <row r="301">
      <c r="A301" s="4"/>
      <c r="C301" s="4" t="s">
        <v>2566</v>
      </c>
      <c r="D301" s="4" t="str">
        <f t="shared" si="1"/>
        <v>{"valorA":"purificador de água","valorB":21}</v>
      </c>
      <c r="E301" s="8" t="str">
        <f t="shared" si="2"/>
        <v>purificador de água</v>
      </c>
      <c r="F301" s="8"/>
      <c r="G301" s="8" t="str">
        <f t="shared" si="3"/>
        <v>21</v>
      </c>
      <c r="H301" s="9">
        <f t="shared" si="4"/>
        <v>21</v>
      </c>
      <c r="I301" s="6" t="str">
        <f>IFERROR(__xludf.DUMMYFUNCTION("MAX(FILTER($H:$H,$E:$E=F301))"),"#N/A")</f>
        <v>#N/A</v>
      </c>
    </row>
    <row r="302">
      <c r="A302" s="4"/>
      <c r="C302" s="4" t="s">
        <v>2322</v>
      </c>
      <c r="D302" s="4" t="str">
        <f t="shared" si="1"/>
        <v>{"valorA":"celular","valorB":7}</v>
      </c>
      <c r="E302" s="8" t="str">
        <f t="shared" si="2"/>
        <v>celular</v>
      </c>
      <c r="F302" s="8"/>
      <c r="G302" s="8" t="str">
        <f t="shared" si="3"/>
        <v>7</v>
      </c>
      <c r="H302" s="9">
        <f t="shared" si="4"/>
        <v>7</v>
      </c>
      <c r="I302" s="6" t="str">
        <f>IFERROR(__xludf.DUMMYFUNCTION("MAX(FILTER($H:$H,$E:$E=F302))"),"#N/A")</f>
        <v>#N/A</v>
      </c>
    </row>
    <row r="303">
      <c r="A303" s="4"/>
      <c r="C303" s="4" t="s">
        <v>2359</v>
      </c>
      <c r="D303" s="4" t="str">
        <f t="shared" si="1"/>
        <v>{"valorA":"chuveiro elétrico","valorB":15}</v>
      </c>
      <c r="E303" s="8" t="str">
        <f t="shared" si="2"/>
        <v>chuveiro elétrico</v>
      </c>
      <c r="F303" s="8"/>
      <c r="G303" s="8" t="str">
        <f t="shared" si="3"/>
        <v>15</v>
      </c>
      <c r="H303" s="9">
        <f t="shared" si="4"/>
        <v>15</v>
      </c>
      <c r="I303" s="6" t="str">
        <f>IFERROR(__xludf.DUMMYFUNCTION("MAX(FILTER($H:$H,$E:$E=F303))"),"#N/A")</f>
        <v>#N/A</v>
      </c>
    </row>
    <row r="304">
      <c r="A304" s="4"/>
      <c r="C304" s="4" t="s">
        <v>2443</v>
      </c>
      <c r="D304" s="4" t="str">
        <f t="shared" si="1"/>
        <v>{"valorA":"carregador de computador","valorB":19}</v>
      </c>
      <c r="E304" s="8" t="str">
        <f t="shared" si="2"/>
        <v>carregador de computador</v>
      </c>
      <c r="F304" s="8"/>
      <c r="G304" s="8" t="str">
        <f t="shared" si="3"/>
        <v>19</v>
      </c>
      <c r="H304" s="9">
        <f t="shared" si="4"/>
        <v>19</v>
      </c>
      <c r="I304" s="6" t="str">
        <f>IFERROR(__xludf.DUMMYFUNCTION("MAX(FILTER($H:$H,$E:$E=F304))"),"#N/A")</f>
        <v>#N/A</v>
      </c>
    </row>
    <row r="305">
      <c r="A305" s="4"/>
      <c r="C305" s="4" t="s">
        <v>2346</v>
      </c>
      <c r="D305" s="4" t="str">
        <f t="shared" si="1"/>
        <v>{"valorA":"celular","valorB":8}</v>
      </c>
      <c r="E305" s="8" t="str">
        <f t="shared" si="2"/>
        <v>celular</v>
      </c>
      <c r="F305" s="8"/>
      <c r="G305" s="8" t="str">
        <f t="shared" si="3"/>
        <v>8</v>
      </c>
      <c r="H305" s="9">
        <f t="shared" si="4"/>
        <v>8</v>
      </c>
      <c r="I305" s="6" t="str">
        <f>IFERROR(__xludf.DUMMYFUNCTION("MAX(FILTER($H:$H,$E:$E=F305))"),"#N/A")</f>
        <v>#N/A</v>
      </c>
    </row>
    <row r="306">
      <c r="A306" s="4"/>
      <c r="C306" s="4" t="s">
        <v>2385</v>
      </c>
      <c r="D306" s="4" t="str">
        <f t="shared" si="1"/>
        <v>{"valorA":"liquidificador","valorB":16}</v>
      </c>
      <c r="E306" s="8" t="str">
        <f t="shared" si="2"/>
        <v>liquidificador</v>
      </c>
      <c r="F306" s="8"/>
      <c r="G306" s="8" t="str">
        <f t="shared" si="3"/>
        <v>16</v>
      </c>
      <c r="H306" s="9">
        <f t="shared" si="4"/>
        <v>16</v>
      </c>
      <c r="I306" s="6" t="str">
        <f>IFERROR(__xludf.DUMMYFUNCTION("MAX(FILTER($H:$H,$E:$E=F306))"),"#N/A")</f>
        <v>#N/A</v>
      </c>
    </row>
    <row r="307">
      <c r="A307" s="4"/>
      <c r="C307" s="4" t="s">
        <v>1716</v>
      </c>
      <c r="D307" s="4" t="str">
        <f t="shared" si="1"/>
        <v>{"valorA":"microondas","valorB":12}</v>
      </c>
      <c r="E307" s="8" t="str">
        <f t="shared" si="2"/>
        <v>microondas</v>
      </c>
      <c r="F307" s="8"/>
      <c r="G307" s="8" t="str">
        <f t="shared" si="3"/>
        <v>12</v>
      </c>
      <c r="H307" s="9">
        <f t="shared" si="4"/>
        <v>12</v>
      </c>
      <c r="I307" s="6" t="str">
        <f>IFERROR(__xludf.DUMMYFUNCTION("MAX(FILTER($H:$H,$E:$E=F307))"),"#N/A")</f>
        <v>#N/A</v>
      </c>
    </row>
    <row r="308">
      <c r="A308" s="4"/>
      <c r="C308" s="4" t="s">
        <v>2520</v>
      </c>
      <c r="D308" s="4" t="str">
        <f t="shared" si="1"/>
        <v>{"valorA":"relógio","valorB":20}</v>
      </c>
      <c r="E308" s="8" t="str">
        <f t="shared" si="2"/>
        <v>relógio</v>
      </c>
      <c r="F308" s="8"/>
      <c r="G308" s="8" t="str">
        <f t="shared" si="3"/>
        <v>20</v>
      </c>
      <c r="H308" s="9">
        <f t="shared" si="4"/>
        <v>20</v>
      </c>
      <c r="I308" s="6" t="str">
        <f>IFERROR(__xludf.DUMMYFUNCTION("MAX(FILTER($H:$H,$E:$E=F308))"),"#N/A")</f>
        <v>#N/A</v>
      </c>
    </row>
    <row r="309">
      <c r="A309" s="4"/>
      <c r="C309" s="4" t="s">
        <v>1715</v>
      </c>
      <c r="D309" s="4" t="str">
        <f t="shared" si="1"/>
        <v>{"valorA":"ar condicionado","valorB":13}</v>
      </c>
      <c r="E309" s="8" t="str">
        <f t="shared" si="2"/>
        <v>ar condicionado</v>
      </c>
      <c r="F309" s="8"/>
      <c r="G309" s="8" t="str">
        <f t="shared" si="3"/>
        <v>13</v>
      </c>
      <c r="H309" s="9">
        <f t="shared" si="4"/>
        <v>13</v>
      </c>
      <c r="I309" s="6" t="str">
        <f>IFERROR(__xludf.DUMMYFUNCTION("MAX(FILTER($H:$H,$E:$E=F309))"),"#N/A")</f>
        <v>#N/A</v>
      </c>
    </row>
    <row r="310">
      <c r="A310" s="4"/>
      <c r="C310" s="4" t="s">
        <v>2361</v>
      </c>
      <c r="D310" s="4" t="str">
        <f t="shared" si="1"/>
        <v>{"valorA":"chuveiro elétrico","valorB":16}</v>
      </c>
      <c r="E310" s="8" t="str">
        <f t="shared" si="2"/>
        <v>chuveiro elétrico</v>
      </c>
      <c r="F310" s="8"/>
      <c r="G310" s="8" t="str">
        <f t="shared" si="3"/>
        <v>16</v>
      </c>
      <c r="H310" s="9">
        <f t="shared" si="4"/>
        <v>16</v>
      </c>
      <c r="I310" s="6" t="str">
        <f>IFERROR(__xludf.DUMMYFUNCTION("MAX(FILTER($H:$H,$E:$E=F310))"),"#N/A")</f>
        <v>#N/A</v>
      </c>
    </row>
    <row r="311">
      <c r="A311" s="4"/>
      <c r="C311" s="4" t="s">
        <v>1720</v>
      </c>
      <c r="D311" s="4" t="str">
        <f t="shared" si="1"/>
        <v>{"valorA":"microondas","valorB":13}</v>
      </c>
      <c r="E311" s="8" t="str">
        <f t="shared" si="2"/>
        <v>microondas</v>
      </c>
      <c r="F311" s="8"/>
      <c r="G311" s="8" t="str">
        <f t="shared" si="3"/>
        <v>13</v>
      </c>
      <c r="H311" s="9">
        <f t="shared" si="4"/>
        <v>13</v>
      </c>
      <c r="I311" s="6" t="str">
        <f>IFERROR(__xludf.DUMMYFUNCTION("MAX(FILTER($H:$H,$E:$E=F311))"),"#N/A")</f>
        <v>#N/A</v>
      </c>
    </row>
    <row r="312">
      <c r="A312" s="4"/>
      <c r="C312" s="4" t="s">
        <v>2576</v>
      </c>
      <c r="D312" s="4" t="str">
        <f t="shared" si="1"/>
        <v>{"valorA":"fogão","valorB":25}</v>
      </c>
      <c r="E312" s="8" t="str">
        <f t="shared" si="2"/>
        <v>fogão</v>
      </c>
      <c r="F312" s="8"/>
      <c r="G312" s="8" t="str">
        <f t="shared" si="3"/>
        <v>25</v>
      </c>
      <c r="H312" s="9">
        <f t="shared" si="4"/>
        <v>25</v>
      </c>
      <c r="I312" s="6" t="str">
        <f>IFERROR(__xludf.DUMMYFUNCTION("MAX(FILTER($H:$H,$E:$E=F312))"),"#N/A")</f>
        <v>#N/A</v>
      </c>
    </row>
    <row r="313">
      <c r="A313" s="4"/>
      <c r="C313" s="4" t="s">
        <v>3524</v>
      </c>
      <c r="D313" s="4" t="str">
        <f t="shared" si="1"/>
        <v>{"valorA":"purificador de água","valorB":22}</v>
      </c>
      <c r="E313" s="8" t="str">
        <f t="shared" si="2"/>
        <v>purificador de água</v>
      </c>
      <c r="F313" s="8"/>
      <c r="G313" s="8" t="str">
        <f t="shared" si="3"/>
        <v>22</v>
      </c>
      <c r="H313" s="9">
        <f t="shared" si="4"/>
        <v>22</v>
      </c>
      <c r="I313" s="6" t="str">
        <f>IFERROR(__xludf.DUMMYFUNCTION("MAX(FILTER($H:$H,$E:$E=F313))"),"#N/A")</f>
        <v>#N/A</v>
      </c>
    </row>
    <row r="314">
      <c r="A314" s="4"/>
      <c r="C314" s="4" t="s">
        <v>2384</v>
      </c>
      <c r="D314" s="4" t="str">
        <f t="shared" si="1"/>
        <v>{"valorA":"mouse de computador","valorB":10}</v>
      </c>
      <c r="E314" s="8" t="str">
        <f t="shared" si="2"/>
        <v>mouse de computador</v>
      </c>
      <c r="F314" s="8"/>
      <c r="G314" s="8" t="str">
        <f t="shared" si="3"/>
        <v>10</v>
      </c>
      <c r="H314" s="9">
        <f t="shared" si="4"/>
        <v>10</v>
      </c>
      <c r="I314" s="6" t="str">
        <f>IFERROR(__xludf.DUMMYFUNCTION("MAX(FILTER($H:$H,$E:$E=F314))"),"#N/A")</f>
        <v>#N/A</v>
      </c>
    </row>
    <row r="315">
      <c r="A315" s="4"/>
      <c r="C315" s="4" t="s">
        <v>2464</v>
      </c>
      <c r="D315" s="4" t="str">
        <f t="shared" si="1"/>
        <v>{"valorA":"fone de ouvido","valorB":16}</v>
      </c>
      <c r="E315" s="8" t="str">
        <f t="shared" si="2"/>
        <v>fone de ouvido</v>
      </c>
      <c r="F315" s="8"/>
      <c r="G315" s="8" t="str">
        <f t="shared" si="3"/>
        <v>16</v>
      </c>
      <c r="H315" s="9">
        <f t="shared" si="4"/>
        <v>16</v>
      </c>
      <c r="I315" s="6" t="str">
        <f>IFERROR(__xludf.DUMMYFUNCTION("MAX(FILTER($H:$H,$E:$E=F315))"),"#N/A")</f>
        <v>#N/A</v>
      </c>
    </row>
    <row r="316">
      <c r="A316" s="4"/>
      <c r="C316" s="4" t="s">
        <v>1682</v>
      </c>
      <c r="D316" s="4" t="str">
        <f t="shared" si="1"/>
        <v>{"valorA":"freezer","valorB":24}</v>
      </c>
      <c r="E316" s="8" t="str">
        <f t="shared" si="2"/>
        <v>freezer</v>
      </c>
      <c r="F316" s="8"/>
      <c r="G316" s="8" t="str">
        <f t="shared" si="3"/>
        <v>24</v>
      </c>
      <c r="H316" s="9">
        <f t="shared" si="4"/>
        <v>24</v>
      </c>
      <c r="I316" s="6" t="str">
        <f>IFERROR(__xludf.DUMMYFUNCTION("MAX(FILTER($H:$H,$E:$E=F316))"),"#N/A")</f>
        <v>#N/A</v>
      </c>
    </row>
    <row r="317">
      <c r="A317" s="4"/>
      <c r="C317" s="4" t="s">
        <v>2357</v>
      </c>
      <c r="D317" s="4" t="str">
        <f t="shared" si="1"/>
        <v>{"valorA":"roteador","valorB":11}</v>
      </c>
      <c r="E317" s="8" t="str">
        <f t="shared" si="2"/>
        <v>roteador</v>
      </c>
      <c r="F317" s="8"/>
      <c r="G317" s="8" t="str">
        <f t="shared" si="3"/>
        <v>11</v>
      </c>
      <c r="H317" s="9">
        <f t="shared" si="4"/>
        <v>11</v>
      </c>
      <c r="I317" s="6" t="str">
        <f>IFERROR(__xludf.DUMMYFUNCTION("MAX(FILTER($H:$H,$E:$E=F317))"),"#N/A")</f>
        <v>#N/A</v>
      </c>
    </row>
    <row r="318">
      <c r="A318" s="4"/>
      <c r="C318" s="4" t="s">
        <v>2461</v>
      </c>
      <c r="D318" s="4" t="str">
        <f t="shared" si="1"/>
        <v>{"valorA":"carregador de computador","valorB":20}</v>
      </c>
      <c r="E318" s="8" t="str">
        <f t="shared" si="2"/>
        <v>carregador de computador</v>
      </c>
      <c r="F318" s="8"/>
      <c r="G318" s="8" t="str">
        <f t="shared" si="3"/>
        <v>20</v>
      </c>
      <c r="H318" s="9">
        <f t="shared" si="4"/>
        <v>20</v>
      </c>
      <c r="I318" s="6" t="str">
        <f>IFERROR(__xludf.DUMMYFUNCTION("MAX(FILTER($H:$H,$E:$E=F318))"),"#N/A")</f>
        <v>#N/A</v>
      </c>
    </row>
    <row r="319">
      <c r="A319" s="4"/>
      <c r="C319" s="4" t="s">
        <v>2445</v>
      </c>
      <c r="D319" s="4" t="str">
        <f t="shared" si="1"/>
        <v>{"valorA":"ventilador","valorB":18}</v>
      </c>
      <c r="E319" s="8" t="str">
        <f t="shared" si="2"/>
        <v>ventilador</v>
      </c>
      <c r="F319" s="8"/>
      <c r="G319" s="8" t="str">
        <f t="shared" si="3"/>
        <v>18</v>
      </c>
      <c r="H319" s="9">
        <f t="shared" si="4"/>
        <v>18</v>
      </c>
      <c r="I319" s="6" t="str">
        <f>IFERROR(__xludf.DUMMYFUNCTION("MAX(FILTER($H:$H,$E:$E=F319))"),"#N/A")</f>
        <v>#N/A</v>
      </c>
    </row>
    <row r="320">
      <c r="A320" s="4"/>
      <c r="C320" s="4" t="s">
        <v>3526</v>
      </c>
      <c r="D320" s="4" t="str">
        <f t="shared" si="1"/>
        <v>{"valorA":"purificador de água","valorB":23}</v>
      </c>
      <c r="E320" s="8" t="str">
        <f t="shared" si="2"/>
        <v>purificador de água</v>
      </c>
      <c r="F320" s="8"/>
      <c r="G320" s="8" t="str">
        <f t="shared" si="3"/>
        <v>23</v>
      </c>
      <c r="H320" s="9">
        <f t="shared" si="4"/>
        <v>23</v>
      </c>
      <c r="I320" s="6" t="str">
        <f>IFERROR(__xludf.DUMMYFUNCTION("MAX(FILTER($H:$H,$E:$E=F320))"),"#N/A")</f>
        <v>#N/A</v>
      </c>
    </row>
    <row r="321">
      <c r="A321" s="4"/>
      <c r="C321" s="4" t="s">
        <v>2514</v>
      </c>
      <c r="D321" s="4" t="str">
        <f t="shared" si="1"/>
        <v>{"valorA":"lustre","valorB":17}</v>
      </c>
      <c r="E321" s="8" t="str">
        <f t="shared" si="2"/>
        <v>lustre</v>
      </c>
      <c r="F321" s="8"/>
      <c r="G321" s="8" t="str">
        <f t="shared" si="3"/>
        <v>17</v>
      </c>
      <c r="H321" s="9">
        <f t="shared" si="4"/>
        <v>17</v>
      </c>
      <c r="I321" s="6" t="str">
        <f>IFERROR(__xludf.DUMMYFUNCTION("MAX(FILTER($H:$H,$E:$E=F321))"),"#N/A")</f>
        <v>#N/A</v>
      </c>
    </row>
    <row r="322">
      <c r="A322" s="4"/>
      <c r="C322" s="4" t="s">
        <v>2397</v>
      </c>
      <c r="D322" s="4" t="str">
        <f t="shared" si="1"/>
        <v>{"valorA":"liquidificador","valorB":17}</v>
      </c>
      <c r="E322" s="8" t="str">
        <f t="shared" si="2"/>
        <v>liquidificador</v>
      </c>
      <c r="F322" s="8"/>
      <c r="G322" s="8" t="str">
        <f t="shared" si="3"/>
        <v>17</v>
      </c>
      <c r="H322" s="9">
        <f t="shared" si="4"/>
        <v>17</v>
      </c>
      <c r="I322" s="6" t="str">
        <f>IFERROR(__xludf.DUMMYFUNCTION("MAX(FILTER($H:$H,$E:$E=F322))"),"#N/A")</f>
        <v>#N/A</v>
      </c>
    </row>
    <row r="323">
      <c r="A323" s="4"/>
      <c r="C323" s="4" t="s">
        <v>1683</v>
      </c>
      <c r="D323" s="4" t="str">
        <f t="shared" si="1"/>
        <v>{"valorA":"freezer","valorB":25}</v>
      </c>
      <c r="E323" s="8" t="str">
        <f t="shared" si="2"/>
        <v>freezer</v>
      </c>
      <c r="F323" s="8"/>
      <c r="G323" s="8" t="str">
        <f t="shared" si="3"/>
        <v>25</v>
      </c>
      <c r="H323" s="9">
        <f t="shared" si="4"/>
        <v>25</v>
      </c>
      <c r="I323" s="6" t="str">
        <f>IFERROR(__xludf.DUMMYFUNCTION("MAX(FILTER($H:$H,$E:$E=F323))"),"#N/A")</f>
        <v>#N/A</v>
      </c>
    </row>
    <row r="324">
      <c r="A324" s="4"/>
      <c r="C324" s="4" t="s">
        <v>2412</v>
      </c>
      <c r="D324" s="4" t="str">
        <f t="shared" si="1"/>
        <v>{"valorA":"carregador de celular","valorB":12}</v>
      </c>
      <c r="E324" s="8" t="str">
        <f t="shared" si="2"/>
        <v>carregador de celular</v>
      </c>
      <c r="F324" s="8"/>
      <c r="G324" s="8" t="str">
        <f t="shared" si="3"/>
        <v>12</v>
      </c>
      <c r="H324" s="9">
        <f t="shared" si="4"/>
        <v>12</v>
      </c>
      <c r="I324" s="6" t="str">
        <f>IFERROR(__xludf.DUMMYFUNCTION("MAX(FILTER($H:$H,$E:$E=F324))"),"#N/A")</f>
        <v>#N/A</v>
      </c>
    </row>
    <row r="325">
      <c r="A325" s="4"/>
      <c r="C325" s="4" t="s">
        <v>2468</v>
      </c>
      <c r="D325" s="4" t="str">
        <f t="shared" si="1"/>
        <v>{"valorA":"carregador de computador","valorB":21}</v>
      </c>
      <c r="E325" s="8" t="str">
        <f t="shared" si="2"/>
        <v>carregador de computador</v>
      </c>
      <c r="F325" s="8"/>
      <c r="G325" s="8" t="str">
        <f t="shared" si="3"/>
        <v>21</v>
      </c>
      <c r="H325" s="9">
        <f t="shared" si="4"/>
        <v>21</v>
      </c>
      <c r="I325" s="6" t="str">
        <f>IFERROR(__xludf.DUMMYFUNCTION("MAX(FILTER($H:$H,$E:$E=F325))"),"#N/A")</f>
        <v>#N/A</v>
      </c>
    </row>
    <row r="326">
      <c r="A326" s="4"/>
      <c r="C326" s="4" t="s">
        <v>2507</v>
      </c>
      <c r="D326" s="4" t="str">
        <f t="shared" si="1"/>
        <v>{"valorA":"carregador de computador","valorB":22}</v>
      </c>
      <c r="E326" s="8" t="str">
        <f t="shared" si="2"/>
        <v>carregador de computador</v>
      </c>
      <c r="F326" s="8"/>
      <c r="G326" s="8" t="str">
        <f t="shared" si="3"/>
        <v>22</v>
      </c>
      <c r="H326" s="9">
        <f t="shared" si="4"/>
        <v>22</v>
      </c>
      <c r="I326" s="6" t="str">
        <f>IFERROR(__xludf.DUMMYFUNCTION("MAX(FILTER($H:$H,$E:$E=F326))"),"#N/A")</f>
        <v>#N/A</v>
      </c>
    </row>
    <row r="327">
      <c r="A327" s="4"/>
      <c r="C327" s="4" t="s">
        <v>2523</v>
      </c>
      <c r="D327" s="4" t="str">
        <f t="shared" si="1"/>
        <v>{"valorA":"relógio","valorB":21}</v>
      </c>
      <c r="E327" s="8" t="str">
        <f t="shared" si="2"/>
        <v>relógio</v>
      </c>
      <c r="F327" s="8"/>
      <c r="G327" s="8" t="str">
        <f t="shared" si="3"/>
        <v>21</v>
      </c>
      <c r="H327" s="9">
        <f t="shared" si="4"/>
        <v>21</v>
      </c>
      <c r="I327" s="6" t="str">
        <f>IFERROR(__xludf.DUMMYFUNCTION("MAX(FILTER($H:$H,$E:$E=F327))"),"#N/A")</f>
        <v>#N/A</v>
      </c>
    </row>
    <row r="328">
      <c r="A328" s="4"/>
      <c r="C328" s="4" t="s">
        <v>2540</v>
      </c>
      <c r="D328" s="4" t="str">
        <f t="shared" si="1"/>
        <v>{"valorA":"relógio","valorB":22}</v>
      </c>
      <c r="E328" s="8" t="str">
        <f t="shared" si="2"/>
        <v>relógio</v>
      </c>
      <c r="F328" s="8"/>
      <c r="G328" s="8" t="str">
        <f t="shared" si="3"/>
        <v>22</v>
      </c>
      <c r="H328" s="9">
        <f t="shared" si="4"/>
        <v>22</v>
      </c>
      <c r="I328" s="6" t="str">
        <f>IFERROR(__xludf.DUMMYFUNCTION("MAX(FILTER($H:$H,$E:$E=F328))"),"#N/A")</f>
        <v>#N/A</v>
      </c>
    </row>
    <row r="329">
      <c r="A329" s="4"/>
      <c r="C329" s="4" t="s">
        <v>2415</v>
      </c>
      <c r="D329" s="4" t="str">
        <f t="shared" si="1"/>
        <v>{"valorA":"liquidificador","valorB":18}</v>
      </c>
      <c r="E329" s="8" t="str">
        <f t="shared" si="2"/>
        <v>liquidificador</v>
      </c>
      <c r="F329" s="8"/>
      <c r="G329" s="8" t="str">
        <f t="shared" si="3"/>
        <v>18</v>
      </c>
      <c r="H329" s="9">
        <f t="shared" si="4"/>
        <v>18</v>
      </c>
      <c r="I329" s="6" t="str">
        <f>IFERROR(__xludf.DUMMYFUNCTION("MAX(FILTER($H:$H,$E:$E=F329))"),"#N/A")</f>
        <v>#N/A</v>
      </c>
    </row>
    <row r="330">
      <c r="A330" s="4"/>
      <c r="C330" s="4" t="s">
        <v>2421</v>
      </c>
      <c r="D330" s="4" t="str">
        <f t="shared" si="1"/>
        <v>{"valorA":"carregador de celular","valorB":13}</v>
      </c>
      <c r="E330" s="8" t="str">
        <f t="shared" si="2"/>
        <v>carregador de celular</v>
      </c>
      <c r="F330" s="8"/>
      <c r="G330" s="8" t="str">
        <f t="shared" si="3"/>
        <v>13</v>
      </c>
      <c r="H330" s="9">
        <f t="shared" si="4"/>
        <v>13</v>
      </c>
      <c r="I330" s="6" t="str">
        <f>IFERROR(__xludf.DUMMYFUNCTION("MAX(FILTER($H:$H,$E:$E=F330))"),"#N/A")</f>
        <v>#N/A</v>
      </c>
    </row>
    <row r="331">
      <c r="A331" s="4"/>
      <c r="C331" s="4" t="s">
        <v>2442</v>
      </c>
      <c r="D331" s="4" t="str">
        <f t="shared" si="1"/>
        <v>{"valorA":"liquidificador","valorB":19}</v>
      </c>
      <c r="E331" s="8" t="str">
        <f t="shared" si="2"/>
        <v>liquidificador</v>
      </c>
      <c r="F331" s="8"/>
      <c r="G331" s="8" t="str">
        <f t="shared" si="3"/>
        <v>19</v>
      </c>
      <c r="H331" s="9">
        <f t="shared" si="4"/>
        <v>19</v>
      </c>
      <c r="I331" s="6" t="str">
        <f>IFERROR(__xludf.DUMMYFUNCTION("MAX(FILTER($H:$H,$E:$E=F331))"),"#N/A")</f>
        <v>#N/A</v>
      </c>
    </row>
    <row r="332">
      <c r="A332" s="4"/>
      <c r="C332" s="4" t="s">
        <v>2446</v>
      </c>
      <c r="D332" s="4" t="str">
        <f t="shared" si="1"/>
        <v>{"valorA":"liquidificador","valorB":20}</v>
      </c>
      <c r="E332" s="8" t="str">
        <f t="shared" si="2"/>
        <v>liquidificador</v>
      </c>
      <c r="F332" s="8"/>
      <c r="G332" s="8" t="str">
        <f t="shared" si="3"/>
        <v>20</v>
      </c>
      <c r="H332" s="9">
        <f t="shared" si="4"/>
        <v>20</v>
      </c>
      <c r="I332" s="6" t="str">
        <f>IFERROR(__xludf.DUMMYFUNCTION("MAX(FILTER($H:$H,$E:$E=F332))"),"#N/A")</f>
        <v>#N/A</v>
      </c>
    </row>
    <row r="333">
      <c r="A333" s="4"/>
      <c r="C333" s="4" t="s">
        <v>1717</v>
      </c>
      <c r="D333" s="4" t="str">
        <f t="shared" si="1"/>
        <v>{"valorA":"ar condicionado","valorB":14}</v>
      </c>
      <c r="E333" s="8" t="str">
        <f t="shared" si="2"/>
        <v>ar condicionado</v>
      </c>
      <c r="F333" s="8"/>
      <c r="G333" s="8" t="str">
        <f t="shared" si="3"/>
        <v>14</v>
      </c>
      <c r="H333" s="9">
        <f t="shared" si="4"/>
        <v>14</v>
      </c>
      <c r="I333" s="6" t="str">
        <f>IFERROR(__xludf.DUMMYFUNCTION("MAX(FILTER($H:$H,$E:$E=F333))"),"#N/A")</f>
        <v>#N/A</v>
      </c>
    </row>
    <row r="334">
      <c r="A334" s="4"/>
      <c r="C334" s="4" t="s">
        <v>1718</v>
      </c>
      <c r="D334" s="4" t="str">
        <f t="shared" si="1"/>
        <v>{"valorA":"ar condicionado","valorB":15}</v>
      </c>
      <c r="E334" s="8" t="str">
        <f t="shared" si="2"/>
        <v>ar condicionado</v>
      </c>
      <c r="F334" s="8"/>
      <c r="G334" s="8" t="str">
        <f t="shared" si="3"/>
        <v>15</v>
      </c>
      <c r="H334" s="9">
        <f t="shared" si="4"/>
        <v>15</v>
      </c>
      <c r="I334" s="6" t="str">
        <f>IFERROR(__xludf.DUMMYFUNCTION("MAX(FILTER($H:$H,$E:$E=F334))"),"#N/A")</f>
        <v>#N/A</v>
      </c>
    </row>
    <row r="335">
      <c r="A335" s="4"/>
      <c r="C335" s="4" t="s">
        <v>1721</v>
      </c>
      <c r="D335" s="4" t="str">
        <f t="shared" si="1"/>
        <v>{"valorA":"microondas","valorB":14}</v>
      </c>
      <c r="E335" s="8" t="str">
        <f t="shared" si="2"/>
        <v>microondas</v>
      </c>
      <c r="F335" s="8"/>
      <c r="G335" s="8" t="str">
        <f t="shared" si="3"/>
        <v>14</v>
      </c>
      <c r="H335" s="9">
        <f t="shared" si="4"/>
        <v>14</v>
      </c>
      <c r="I335" s="6" t="str">
        <f>IFERROR(__xludf.DUMMYFUNCTION("MAX(FILTER($H:$H,$E:$E=F335))"),"#N/A")</f>
        <v>#N/A</v>
      </c>
    </row>
    <row r="336">
      <c r="A336" s="4"/>
      <c r="C336" s="4" t="s">
        <v>2456</v>
      </c>
      <c r="D336" s="4" t="str">
        <f t="shared" si="1"/>
        <v>{"valorA":"ventilador","valorB":19}</v>
      </c>
      <c r="E336" s="8" t="str">
        <f t="shared" si="2"/>
        <v>ventilador</v>
      </c>
      <c r="F336" s="8"/>
      <c r="G336" s="8" t="str">
        <f t="shared" si="3"/>
        <v>19</v>
      </c>
      <c r="H336" s="9">
        <f t="shared" si="4"/>
        <v>19</v>
      </c>
      <c r="I336" s="6" t="str">
        <f>IFERROR(__xludf.DUMMYFUNCTION("MAX(FILTER($H:$H,$E:$E=F336))"),"#N/A")</f>
        <v>#N/A</v>
      </c>
    </row>
    <row r="337">
      <c r="A337" s="4"/>
      <c r="C337" s="4" t="s">
        <v>1684</v>
      </c>
      <c r="D337" s="4" t="str">
        <f t="shared" si="1"/>
        <v>{"valorA":"freezer","valorB":26}</v>
      </c>
      <c r="E337" s="8" t="str">
        <f t="shared" si="2"/>
        <v>freezer</v>
      </c>
      <c r="F337" s="8"/>
      <c r="G337" s="8" t="str">
        <f t="shared" si="3"/>
        <v>26</v>
      </c>
      <c r="H337" s="9">
        <f t="shared" si="4"/>
        <v>26</v>
      </c>
      <c r="I337" s="6" t="str">
        <f>IFERROR(__xludf.DUMMYFUNCTION("MAX(FILTER($H:$H,$E:$E=F337))"),"#N/A")</f>
        <v>#N/A</v>
      </c>
    </row>
    <row r="338">
      <c r="A338" s="4"/>
      <c r="C338" s="4" t="s">
        <v>1685</v>
      </c>
      <c r="D338" s="4" t="str">
        <f t="shared" si="1"/>
        <v>{"valorA":"freezer","valorB":27}</v>
      </c>
      <c r="E338" s="8" t="str">
        <f t="shared" si="2"/>
        <v>freezer</v>
      </c>
      <c r="F338" s="8"/>
      <c r="G338" s="8" t="str">
        <f t="shared" si="3"/>
        <v>27</v>
      </c>
      <c r="H338" s="9">
        <f t="shared" si="4"/>
        <v>27</v>
      </c>
      <c r="I338" s="6" t="str">
        <f>IFERROR(__xludf.DUMMYFUNCTION("MAX(FILTER($H:$H,$E:$E=F338))"),"#N/A")</f>
        <v>#N/A</v>
      </c>
    </row>
    <row r="339">
      <c r="A339" s="4"/>
      <c r="C339" s="4" t="s">
        <v>2466</v>
      </c>
      <c r="D339" s="4" t="str">
        <f t="shared" si="1"/>
        <v>{"valorA":"liquidificador","valorB":21}</v>
      </c>
      <c r="E339" s="8" t="str">
        <f t="shared" si="2"/>
        <v>liquidificador</v>
      </c>
      <c r="F339" s="8"/>
      <c r="G339" s="8" t="str">
        <f t="shared" si="3"/>
        <v>21</v>
      </c>
      <c r="H339" s="9">
        <f t="shared" si="4"/>
        <v>21</v>
      </c>
      <c r="I339" s="6" t="str">
        <f>IFERROR(__xludf.DUMMYFUNCTION("MAX(FILTER($H:$H,$E:$E=F339))"),"#N/A")</f>
        <v>#N/A</v>
      </c>
    </row>
    <row r="340">
      <c r="A340" s="4"/>
      <c r="C340" s="4" t="s">
        <v>2388</v>
      </c>
      <c r="D340" s="4" t="str">
        <f t="shared" si="1"/>
        <v>{"valorA":"mouse de computador","valorB":11}</v>
      </c>
      <c r="E340" s="8" t="str">
        <f t="shared" si="2"/>
        <v>mouse de computador</v>
      </c>
      <c r="F340" s="8"/>
      <c r="G340" s="8" t="str">
        <f t="shared" si="3"/>
        <v>11</v>
      </c>
      <c r="H340" s="9">
        <f t="shared" si="4"/>
        <v>11</v>
      </c>
      <c r="I340" s="6" t="str">
        <f>IFERROR(__xludf.DUMMYFUNCTION("MAX(FILTER($H:$H,$E:$E=F340))"),"#N/A")</f>
        <v>#N/A</v>
      </c>
    </row>
    <row r="341">
      <c r="A341" s="4"/>
      <c r="C341" s="4" t="s">
        <v>2380</v>
      </c>
      <c r="D341" s="4" t="str">
        <f t="shared" si="1"/>
        <v>{"valorA":"chuveiro elétrico","valorB":17}</v>
      </c>
      <c r="E341" s="8" t="str">
        <f t="shared" si="2"/>
        <v>chuveiro elétrico</v>
      </c>
      <c r="F341" s="8"/>
      <c r="G341" s="8" t="str">
        <f t="shared" si="3"/>
        <v>17</v>
      </c>
      <c r="H341" s="9">
        <f t="shared" si="4"/>
        <v>17</v>
      </c>
      <c r="I341" s="6" t="str">
        <f>IFERROR(__xludf.DUMMYFUNCTION("MAX(FILTER($H:$H,$E:$E=F341))"),"#N/A")</f>
        <v>#N/A</v>
      </c>
    </row>
    <row r="342">
      <c r="A342" s="4"/>
      <c r="C342" s="4" t="s">
        <v>2347</v>
      </c>
      <c r="D342" s="4" t="str">
        <f t="shared" si="1"/>
        <v>{"valorA":"celular","valorB":9}</v>
      </c>
      <c r="E342" s="8" t="str">
        <f t="shared" si="2"/>
        <v>celular</v>
      </c>
      <c r="F342" s="8"/>
      <c r="G342" s="8" t="str">
        <f t="shared" si="3"/>
        <v>9</v>
      </c>
      <c r="H342" s="9">
        <f t="shared" si="4"/>
        <v>9</v>
      </c>
      <c r="I342" s="6" t="str">
        <f>IFERROR(__xludf.DUMMYFUNCTION("MAX(FILTER($H:$H,$E:$E=F342))"),"#N/A")</f>
        <v>#N/A</v>
      </c>
    </row>
    <row r="343">
      <c r="A343" s="4"/>
      <c r="C343" s="4" t="s">
        <v>2358</v>
      </c>
      <c r="D343" s="4" t="str">
        <f t="shared" si="1"/>
        <v>{"valorA":"roteador","valorB":12}</v>
      </c>
      <c r="E343" s="8" t="str">
        <f t="shared" si="2"/>
        <v>roteador</v>
      </c>
      <c r="F343" s="8"/>
      <c r="G343" s="8" t="str">
        <f t="shared" si="3"/>
        <v>12</v>
      </c>
      <c r="H343" s="9">
        <f t="shared" si="4"/>
        <v>12</v>
      </c>
      <c r="I343" s="6" t="str">
        <f>IFERROR(__xludf.DUMMYFUNCTION("MAX(FILTER($H:$H,$E:$E=F343))"),"#N/A")</f>
        <v>#N/A</v>
      </c>
    </row>
    <row r="344">
      <c r="A344" s="4"/>
      <c r="C344" s="4" t="s">
        <v>2474</v>
      </c>
      <c r="D344" s="4" t="str">
        <f t="shared" si="1"/>
        <v>{"valorA":"fone de ouvido","valorB":17}</v>
      </c>
      <c r="E344" s="8" t="str">
        <f t="shared" si="2"/>
        <v>fone de ouvido</v>
      </c>
      <c r="F344" s="8"/>
      <c r="G344" s="8" t="str">
        <f t="shared" si="3"/>
        <v>17</v>
      </c>
      <c r="H344" s="9">
        <f t="shared" si="4"/>
        <v>17</v>
      </c>
      <c r="I344" s="6" t="str">
        <f>IFERROR(__xludf.DUMMYFUNCTION("MAX(FILTER($H:$H,$E:$E=F344))"),"#N/A")</f>
        <v>#N/A</v>
      </c>
    </row>
    <row r="345">
      <c r="A345" s="4"/>
      <c r="C345" s="4" t="s">
        <v>2494</v>
      </c>
      <c r="D345" s="4" t="str">
        <f t="shared" si="1"/>
        <v>{"valorA":"liquidificador","valorB":22}</v>
      </c>
      <c r="E345" s="8" t="str">
        <f t="shared" si="2"/>
        <v>liquidificador</v>
      </c>
      <c r="F345" s="8"/>
      <c r="G345" s="8" t="str">
        <f t="shared" si="3"/>
        <v>22</v>
      </c>
      <c r="H345" s="9">
        <f t="shared" si="4"/>
        <v>22</v>
      </c>
      <c r="I345" s="6" t="str">
        <f>IFERROR(__xludf.DUMMYFUNCTION("MAX(FILTER($H:$H,$E:$E=F345))"),"#N/A")</f>
        <v>#N/A</v>
      </c>
    </row>
    <row r="346">
      <c r="A346" s="4"/>
      <c r="C346" s="4" t="s">
        <v>2521</v>
      </c>
      <c r="D346" s="4" t="str">
        <f t="shared" si="1"/>
        <v>{"valorA":"liquidificador","valorB":23}</v>
      </c>
      <c r="E346" s="8" t="str">
        <f t="shared" si="2"/>
        <v>liquidificador</v>
      </c>
      <c r="F346" s="8"/>
      <c r="G346" s="8" t="str">
        <f t="shared" si="3"/>
        <v>23</v>
      </c>
      <c r="H346" s="9">
        <f t="shared" si="4"/>
        <v>23</v>
      </c>
      <c r="I346" s="6" t="str">
        <f>IFERROR(__xludf.DUMMYFUNCTION("MAX(FILTER($H:$H,$E:$E=F346))"),"#N/A")</f>
        <v>#N/A</v>
      </c>
    </row>
    <row r="347">
      <c r="A347" s="4"/>
      <c r="C347" s="4" t="s">
        <v>2522</v>
      </c>
      <c r="D347" s="4" t="str">
        <f t="shared" si="1"/>
        <v>{"valorA":"lustre","valorB":18}</v>
      </c>
      <c r="E347" s="8" t="str">
        <f t="shared" si="2"/>
        <v>lustre</v>
      </c>
      <c r="F347" s="8"/>
      <c r="G347" s="8" t="str">
        <f t="shared" si="3"/>
        <v>18</v>
      </c>
      <c r="H347" s="9">
        <f t="shared" si="4"/>
        <v>18</v>
      </c>
      <c r="I347" s="6" t="str">
        <f>IFERROR(__xludf.DUMMYFUNCTION("MAX(FILTER($H:$H,$E:$E=F347))"),"#N/A")</f>
        <v>#N/A</v>
      </c>
    </row>
    <row r="348">
      <c r="A348" s="4"/>
      <c r="C348" s="4" t="s">
        <v>1722</v>
      </c>
      <c r="D348" s="4" t="str">
        <f t="shared" si="1"/>
        <v>{"valorA":"microondas","valorB":15}</v>
      </c>
      <c r="E348" s="8" t="str">
        <f t="shared" si="2"/>
        <v>microondas</v>
      </c>
      <c r="F348" s="8"/>
      <c r="G348" s="8" t="str">
        <f t="shared" si="3"/>
        <v>15</v>
      </c>
      <c r="H348" s="9">
        <f t="shared" si="4"/>
        <v>15</v>
      </c>
      <c r="I348" s="6" t="str">
        <f>IFERROR(__xludf.DUMMYFUNCTION("MAX(FILTER($H:$H,$E:$E=F348))"),"#N/A")</f>
        <v>#N/A</v>
      </c>
    </row>
    <row r="349">
      <c r="A349" s="4"/>
      <c r="C349" s="4" t="s">
        <v>2452</v>
      </c>
      <c r="D349" s="4" t="str">
        <f t="shared" si="1"/>
        <v>{"valorA":"aspirador","valorB":17}</v>
      </c>
      <c r="E349" s="8" t="str">
        <f t="shared" si="2"/>
        <v>aspirador</v>
      </c>
      <c r="F349" s="8"/>
      <c r="G349" s="8" t="str">
        <f t="shared" si="3"/>
        <v>17</v>
      </c>
      <c r="H349" s="9">
        <f t="shared" si="4"/>
        <v>17</v>
      </c>
      <c r="I349" s="6" t="str">
        <f>IFERROR(__xludf.DUMMYFUNCTION("MAX(FILTER($H:$H,$E:$E=F349))"),"#N/A")</f>
        <v>#N/A</v>
      </c>
    </row>
    <row r="350">
      <c r="A350" s="4"/>
      <c r="C350" s="4" t="s">
        <v>1719</v>
      </c>
      <c r="D350" s="4" t="str">
        <f t="shared" si="1"/>
        <v>{"valorA":"ar condicionado","valorB":16}</v>
      </c>
      <c r="E350" s="8" t="str">
        <f t="shared" si="2"/>
        <v>ar condicionado</v>
      </c>
      <c r="F350" s="8"/>
      <c r="G350" s="8" t="str">
        <f t="shared" si="3"/>
        <v>16</v>
      </c>
      <c r="H350" s="9">
        <f t="shared" si="4"/>
        <v>16</v>
      </c>
      <c r="I350" s="6" t="str">
        <f>IFERROR(__xludf.DUMMYFUNCTION("MAX(FILTER($H:$H,$E:$E=F350))"),"#N/A")</f>
        <v>#N/A</v>
      </c>
    </row>
    <row r="351">
      <c r="A351" s="4"/>
      <c r="C351" s="4" t="s">
        <v>2479</v>
      </c>
      <c r="D351" s="4" t="str">
        <f t="shared" si="1"/>
        <v>{"valorA":"ventilador","valorB":20}</v>
      </c>
      <c r="E351" s="8" t="str">
        <f t="shared" si="2"/>
        <v>ventilador</v>
      </c>
      <c r="F351" s="8"/>
      <c r="G351" s="8" t="str">
        <f t="shared" si="3"/>
        <v>20</v>
      </c>
      <c r="H351" s="9">
        <f t="shared" si="4"/>
        <v>20</v>
      </c>
      <c r="I351" s="6" t="str">
        <f>IFERROR(__xludf.DUMMYFUNCTION("MAX(FILTER($H:$H,$E:$E=F351))"),"#N/A")</f>
        <v>#N/A</v>
      </c>
    </row>
    <row r="352">
      <c r="A352" s="4"/>
      <c r="C352" s="4" t="s">
        <v>2449</v>
      </c>
      <c r="D352" s="4" t="str">
        <f t="shared" si="1"/>
        <v>{"valorA":"teclado de computador","valorB":21}</v>
      </c>
      <c r="E352" s="8" t="str">
        <f t="shared" si="2"/>
        <v>teclado de computador</v>
      </c>
      <c r="F352" s="8"/>
      <c r="G352" s="8" t="str">
        <f t="shared" si="3"/>
        <v>21</v>
      </c>
      <c r="H352" s="9">
        <f t="shared" si="4"/>
        <v>21</v>
      </c>
      <c r="I352" s="6" t="str">
        <f>IFERROR(__xludf.DUMMYFUNCTION("MAX(FILTER($H:$H,$E:$E=F352))"),"#N/A")</f>
        <v>#N/A</v>
      </c>
    </row>
    <row r="353">
      <c r="A353" s="4"/>
      <c r="C353" s="4" t="s">
        <v>10950</v>
      </c>
      <c r="D353" s="4" t="str">
        <f t="shared" si="1"/>
        <v>{"valorA":"fogão","valorB":26}</v>
      </c>
      <c r="E353" s="8" t="str">
        <f t="shared" si="2"/>
        <v>fogão</v>
      </c>
      <c r="F353" s="8"/>
      <c r="G353" s="8" t="str">
        <f t="shared" si="3"/>
        <v>26</v>
      </c>
      <c r="H353" s="9">
        <f t="shared" si="4"/>
        <v>26</v>
      </c>
      <c r="I353" s="6" t="str">
        <f>IFERROR(__xludf.DUMMYFUNCTION("MAX(FILTER($H:$H,$E:$E=F353))"),"#N/A")</f>
        <v>#N/A</v>
      </c>
    </row>
    <row r="354">
      <c r="A354" s="4"/>
      <c r="C354" s="4" t="s">
        <v>2360</v>
      </c>
      <c r="D354" s="4" t="str">
        <f t="shared" si="1"/>
        <v>{"valorA":"roteador","valorB":13}</v>
      </c>
      <c r="E354" s="8" t="str">
        <f t="shared" si="2"/>
        <v>roteador</v>
      </c>
      <c r="F354" s="8"/>
      <c r="G354" s="8" t="str">
        <f t="shared" si="3"/>
        <v>13</v>
      </c>
      <c r="H354" s="9">
        <f t="shared" si="4"/>
        <v>13</v>
      </c>
      <c r="I354" s="6" t="str">
        <f>IFERROR(__xludf.DUMMYFUNCTION("MAX(FILTER($H:$H,$E:$E=F354))"),"#N/A")</f>
        <v>#N/A</v>
      </c>
    </row>
    <row r="355">
      <c r="A355" s="4"/>
      <c r="C355" s="4" t="s">
        <v>2551</v>
      </c>
      <c r="D355" s="4" t="str">
        <f t="shared" si="1"/>
        <v>{"valorA":"lustre","valorB":19}</v>
      </c>
      <c r="E355" s="8" t="str">
        <f t="shared" si="2"/>
        <v>lustre</v>
      </c>
      <c r="F355" s="8"/>
      <c r="G355" s="8" t="str">
        <f t="shared" si="3"/>
        <v>19</v>
      </c>
      <c r="H355" s="9">
        <f t="shared" si="4"/>
        <v>19</v>
      </c>
      <c r="I355" s="6" t="str">
        <f>IFERROR(__xludf.DUMMYFUNCTION("MAX(FILTER($H:$H,$E:$E=F355))"),"#N/A")</f>
        <v>#N/A</v>
      </c>
    </row>
    <row r="356">
      <c r="A356" s="4"/>
      <c r="C356" s="4" t="s">
        <v>2370</v>
      </c>
      <c r="D356" s="4" t="str">
        <f t="shared" si="1"/>
        <v>{"valorA":"celular","valorB":10}</v>
      </c>
      <c r="E356" s="8" t="str">
        <f t="shared" si="2"/>
        <v>celular</v>
      </c>
      <c r="F356" s="8"/>
      <c r="G356" s="8" t="str">
        <f t="shared" si="3"/>
        <v>10</v>
      </c>
      <c r="H356" s="9">
        <f t="shared" si="4"/>
        <v>10</v>
      </c>
      <c r="I356" s="6" t="str">
        <f>IFERROR(__xludf.DUMMYFUNCTION("MAX(FILTER($H:$H,$E:$E=F356))"),"#N/A")</f>
        <v>#N/A</v>
      </c>
    </row>
    <row r="357">
      <c r="A357" s="4"/>
      <c r="C357" s="4" t="s">
        <v>2365</v>
      </c>
      <c r="D357" s="4" t="str">
        <f t="shared" si="1"/>
        <v>{"valorA":"roteador","valorB":14}</v>
      </c>
      <c r="E357" s="8" t="str">
        <f t="shared" si="2"/>
        <v>roteador</v>
      </c>
      <c r="F357" s="8"/>
      <c r="G357" s="8" t="str">
        <f t="shared" si="3"/>
        <v>14</v>
      </c>
      <c r="H357" s="9">
        <f t="shared" si="4"/>
        <v>14</v>
      </c>
      <c r="I357" s="6" t="str">
        <f>IFERROR(__xludf.DUMMYFUNCTION("MAX(FILTER($H:$H,$E:$E=F357))"),"#N/A")</f>
        <v>#N/A</v>
      </c>
    </row>
    <row r="358">
      <c r="A358" s="4"/>
      <c r="C358" s="4" t="s">
        <v>2463</v>
      </c>
      <c r="D358" s="4" t="str">
        <f t="shared" si="1"/>
        <v>{"valorA":"aspirador","valorB":18}</v>
      </c>
      <c r="E358" s="8" t="str">
        <f t="shared" si="2"/>
        <v>aspirador</v>
      </c>
      <c r="F358" s="8"/>
      <c r="G358" s="8" t="str">
        <f t="shared" si="3"/>
        <v>18</v>
      </c>
      <c r="H358" s="9">
        <f t="shared" si="4"/>
        <v>18</v>
      </c>
      <c r="I358" s="6" t="str">
        <f>IFERROR(__xludf.DUMMYFUNCTION("MAX(FILTER($H:$H,$E:$E=F358))"),"#N/A")</f>
        <v>#N/A</v>
      </c>
    </row>
    <row r="359">
      <c r="A359" s="4"/>
      <c r="C359" s="4" t="s">
        <v>2409</v>
      </c>
      <c r="D359" s="4" t="str">
        <f t="shared" si="1"/>
        <v>{"valorA":"computador","valorB":14}</v>
      </c>
      <c r="E359" s="8" t="str">
        <f t="shared" si="2"/>
        <v>computador</v>
      </c>
      <c r="F359" s="8"/>
      <c r="G359" s="8" t="str">
        <f t="shared" si="3"/>
        <v>14</v>
      </c>
      <c r="H359" s="9">
        <f t="shared" si="4"/>
        <v>14</v>
      </c>
      <c r="I359" s="6" t="str">
        <f>IFERROR(__xludf.DUMMYFUNCTION("MAX(FILTER($H:$H,$E:$E=F359))"),"#N/A")</f>
        <v>#N/A</v>
      </c>
    </row>
    <row r="360">
      <c r="A360" s="4"/>
      <c r="C360" s="4" t="s">
        <v>3533</v>
      </c>
      <c r="D360" s="4" t="str">
        <f t="shared" si="1"/>
        <v>{"valorA":"purificador de água","valorB":24}</v>
      </c>
      <c r="E360" s="8" t="str">
        <f t="shared" si="2"/>
        <v>purificador de água</v>
      </c>
      <c r="F360" s="8"/>
      <c r="G360" s="8" t="str">
        <f t="shared" si="3"/>
        <v>24</v>
      </c>
      <c r="H360" s="9">
        <f t="shared" si="4"/>
        <v>24</v>
      </c>
      <c r="I360" s="6" t="str">
        <f>IFERROR(__xludf.DUMMYFUNCTION("MAX(FILTER($H:$H,$E:$E=F360))"),"#N/A")</f>
        <v>#N/A</v>
      </c>
    </row>
    <row r="361">
      <c r="A361" s="4"/>
      <c r="C361" s="4" t="s">
        <v>2433</v>
      </c>
      <c r="D361" s="4" t="str">
        <f t="shared" si="1"/>
        <v>{"valorA":"carregador de celular","valorB":14}</v>
      </c>
      <c r="E361" s="8" t="str">
        <f t="shared" si="2"/>
        <v>carregador de celular</v>
      </c>
      <c r="F361" s="8"/>
      <c r="G361" s="8" t="str">
        <f t="shared" si="3"/>
        <v>14</v>
      </c>
      <c r="H361" s="9">
        <f t="shared" si="4"/>
        <v>14</v>
      </c>
      <c r="I361" s="6" t="str">
        <f>IFERROR(__xludf.DUMMYFUNCTION("MAX(FILTER($H:$H,$E:$E=F361))"),"#N/A")</f>
        <v>#N/A</v>
      </c>
    </row>
    <row r="362">
      <c r="A362" s="4"/>
      <c r="C362" s="4" t="s">
        <v>2510</v>
      </c>
      <c r="D362" s="4" t="str">
        <f t="shared" si="1"/>
        <v>{"valorA":"carregador de computador","valorB":23}</v>
      </c>
      <c r="E362" s="8" t="str">
        <f t="shared" si="2"/>
        <v>carregador de computador</v>
      </c>
      <c r="F362" s="8"/>
      <c r="G362" s="8" t="str">
        <f t="shared" si="3"/>
        <v>23</v>
      </c>
      <c r="H362" s="9">
        <f t="shared" si="4"/>
        <v>23</v>
      </c>
      <c r="I362" s="6" t="str">
        <f>IFERROR(__xludf.DUMMYFUNCTION("MAX(FILTER($H:$H,$E:$E=F362))"),"#N/A")</f>
        <v>#N/A</v>
      </c>
    </row>
    <row r="363">
      <c r="A363" s="4"/>
      <c r="C363" s="4" t="s">
        <v>3536</v>
      </c>
      <c r="D363" s="4" t="str">
        <f t="shared" si="1"/>
        <v>{"valorA":"purificador de água","valorB":25}</v>
      </c>
      <c r="E363" s="8" t="str">
        <f t="shared" si="2"/>
        <v>purificador de água</v>
      </c>
      <c r="F363" s="8"/>
      <c r="G363" s="8" t="str">
        <f t="shared" si="3"/>
        <v>25</v>
      </c>
      <c r="H363" s="9">
        <f t="shared" si="4"/>
        <v>25</v>
      </c>
      <c r="I363" s="6" t="str">
        <f>IFERROR(__xludf.DUMMYFUNCTION("MAX(FILTER($H:$H,$E:$E=F363))"),"#N/A")</f>
        <v>#N/A</v>
      </c>
    </row>
    <row r="364">
      <c r="A364" s="4"/>
      <c r="C364" s="4" t="s">
        <v>2549</v>
      </c>
      <c r="D364" s="4" t="str">
        <f t="shared" si="1"/>
        <v>{"valorA":"relógio","valorB":23}</v>
      </c>
      <c r="E364" s="8" t="str">
        <f t="shared" si="2"/>
        <v>relógio</v>
      </c>
      <c r="F364" s="8"/>
      <c r="G364" s="8" t="str">
        <f t="shared" si="3"/>
        <v>23</v>
      </c>
      <c r="H364" s="9">
        <f t="shared" si="4"/>
        <v>23</v>
      </c>
      <c r="I364" s="6" t="str">
        <f>IFERROR(__xludf.DUMMYFUNCTION("MAX(FILTER($H:$H,$E:$E=F364))"),"#N/A")</f>
        <v>#N/A</v>
      </c>
    </row>
    <row r="365">
      <c r="A365" s="4"/>
      <c r="C365" s="4" t="s">
        <v>3540</v>
      </c>
      <c r="D365" s="4" t="str">
        <f t="shared" si="1"/>
        <v>{"valorA":"purificador de água","valorB":26}</v>
      </c>
      <c r="E365" s="8" t="str">
        <f t="shared" si="2"/>
        <v>purificador de água</v>
      </c>
      <c r="F365" s="8"/>
      <c r="G365" s="8" t="str">
        <f t="shared" si="3"/>
        <v>26</v>
      </c>
      <c r="H365" s="9">
        <f t="shared" si="4"/>
        <v>26</v>
      </c>
      <c r="I365" s="6" t="str">
        <f>IFERROR(__xludf.DUMMYFUNCTION("MAX(FILTER($H:$H,$E:$E=F365))"),"#N/A")</f>
        <v>#N/A</v>
      </c>
    </row>
    <row r="366">
      <c r="A366" s="4"/>
      <c r="C366" s="4" t="s">
        <v>2535</v>
      </c>
      <c r="D366" s="4" t="str">
        <f t="shared" si="1"/>
        <v>{"valorA":"carregador de computador","valorB":24}</v>
      </c>
      <c r="E366" s="8" t="str">
        <f t="shared" si="2"/>
        <v>carregador de computador</v>
      </c>
      <c r="F366" s="8"/>
      <c r="G366" s="8" t="str">
        <f t="shared" si="3"/>
        <v>24</v>
      </c>
      <c r="H366" s="9">
        <f t="shared" si="4"/>
        <v>24</v>
      </c>
      <c r="I366" s="6" t="str">
        <f>IFERROR(__xludf.DUMMYFUNCTION("MAX(FILTER($H:$H,$E:$E=F366))"),"#N/A")</f>
        <v>#N/A</v>
      </c>
    </row>
    <row r="367">
      <c r="A367" s="4"/>
      <c r="C367" s="4" t="s">
        <v>10951</v>
      </c>
      <c r="D367" s="4" t="str">
        <f t="shared" si="1"/>
        <v>{"valorA":"purificador de água","valorB":27}</v>
      </c>
      <c r="E367" s="8" t="str">
        <f t="shared" si="2"/>
        <v>purificador de água</v>
      </c>
      <c r="F367" s="8"/>
      <c r="G367" s="8" t="str">
        <f t="shared" si="3"/>
        <v>27</v>
      </c>
      <c r="H367" s="9">
        <f t="shared" si="4"/>
        <v>27</v>
      </c>
      <c r="I367" s="6" t="str">
        <f>IFERROR(__xludf.DUMMYFUNCTION("MAX(FILTER($H:$H,$E:$E=F367))"),"#N/A")</f>
        <v>#N/A</v>
      </c>
    </row>
    <row r="368">
      <c r="A368" s="4"/>
      <c r="C368" s="4" t="s">
        <v>2414</v>
      </c>
      <c r="D368" s="4" t="str">
        <f t="shared" si="1"/>
        <v>{"valorA":"computador","valorB":15}</v>
      </c>
      <c r="E368" s="8" t="str">
        <f t="shared" si="2"/>
        <v>computador</v>
      </c>
      <c r="F368" s="8"/>
      <c r="G368" s="8" t="str">
        <f t="shared" si="3"/>
        <v>15</v>
      </c>
      <c r="H368" s="9">
        <f t="shared" si="4"/>
        <v>15</v>
      </c>
      <c r="I368" s="6" t="str">
        <f>IFERROR(__xludf.DUMMYFUNCTION("MAX(FILTER($H:$H,$E:$E=F368))"),"#N/A")</f>
        <v>#N/A</v>
      </c>
    </row>
    <row r="369">
      <c r="A369" s="4"/>
      <c r="C369" s="4" t="s">
        <v>2453</v>
      </c>
      <c r="D369" s="4" t="str">
        <f t="shared" si="1"/>
        <v>{"valorA":"teclado de computador","valorB":22}</v>
      </c>
      <c r="E369" s="8" t="str">
        <f t="shared" si="2"/>
        <v>teclado de computador</v>
      </c>
      <c r="F369" s="8"/>
      <c r="G369" s="8" t="str">
        <f t="shared" si="3"/>
        <v>22</v>
      </c>
      <c r="H369" s="9">
        <f t="shared" si="4"/>
        <v>22</v>
      </c>
      <c r="I369" s="6" t="str">
        <f>IFERROR(__xludf.DUMMYFUNCTION("MAX(FILTER($H:$H,$E:$E=F369))"),"#N/A")</f>
        <v>#N/A</v>
      </c>
    </row>
    <row r="370">
      <c r="A370" s="4"/>
      <c r="C370" s="4" t="s">
        <v>2476</v>
      </c>
      <c r="D370" s="4" t="str">
        <f t="shared" si="1"/>
        <v>{"valorA":"aspirador","valorB":19}</v>
      </c>
      <c r="E370" s="8" t="str">
        <f t="shared" si="2"/>
        <v>aspirador</v>
      </c>
      <c r="F370" s="8"/>
      <c r="G370" s="8" t="str">
        <f t="shared" si="3"/>
        <v>19</v>
      </c>
      <c r="H370" s="9">
        <f t="shared" si="4"/>
        <v>19</v>
      </c>
      <c r="I370" s="6" t="str">
        <f>IFERROR(__xludf.DUMMYFUNCTION("MAX(FILTER($H:$H,$E:$E=F370))"),"#N/A")</f>
        <v>#N/A</v>
      </c>
    </row>
    <row r="371">
      <c r="A371" s="4"/>
      <c r="C371" s="4" t="s">
        <v>2542</v>
      </c>
      <c r="D371" s="4" t="str">
        <f t="shared" si="1"/>
        <v>{"valorA":"liquidificador","valorB":24}</v>
      </c>
      <c r="E371" s="8" t="str">
        <f t="shared" si="2"/>
        <v>liquidificador</v>
      </c>
      <c r="F371" s="8"/>
      <c r="G371" s="8" t="str">
        <f t="shared" si="3"/>
        <v>24</v>
      </c>
      <c r="H371" s="9">
        <f t="shared" si="4"/>
        <v>24</v>
      </c>
      <c r="I371" s="6" t="str">
        <f>IFERROR(__xludf.DUMMYFUNCTION("MAX(FILTER($H:$H,$E:$E=F371))"),"#N/A")</f>
        <v>#N/A</v>
      </c>
    </row>
    <row r="372">
      <c r="A372" s="4"/>
      <c r="C372" s="4" t="s">
        <v>2568</v>
      </c>
      <c r="D372" s="4" t="str">
        <f t="shared" si="1"/>
        <v>{"valorA":"carregador de computador","valorB":25}</v>
      </c>
      <c r="E372" s="8" t="str">
        <f t="shared" si="2"/>
        <v>carregador de computador</v>
      </c>
      <c r="F372" s="8"/>
      <c r="G372" s="8" t="str">
        <f t="shared" si="3"/>
        <v>25</v>
      </c>
      <c r="H372" s="9">
        <f t="shared" si="4"/>
        <v>25</v>
      </c>
      <c r="I372" s="6" t="str">
        <f>IFERROR(__xludf.DUMMYFUNCTION("MAX(FILTER($H:$H,$E:$E=F372))"),"#N/A")</f>
        <v>#N/A</v>
      </c>
    </row>
    <row r="373">
      <c r="A373" s="4"/>
      <c r="C373" s="4" t="s">
        <v>2578</v>
      </c>
      <c r="D373" s="4" t="str">
        <f t="shared" si="1"/>
        <v>{"valorA":"lustre","valorB":20}</v>
      </c>
      <c r="E373" s="8" t="str">
        <f t="shared" si="2"/>
        <v>lustre</v>
      </c>
      <c r="F373" s="8"/>
      <c r="G373" s="8" t="str">
        <f t="shared" si="3"/>
        <v>20</v>
      </c>
      <c r="H373" s="9">
        <f t="shared" si="4"/>
        <v>20</v>
      </c>
      <c r="I373" s="6" t="str">
        <f>IFERROR(__xludf.DUMMYFUNCTION("MAX(FILTER($H:$H,$E:$E=F373))"),"#N/A")</f>
        <v>#N/A</v>
      </c>
    </row>
    <row r="374">
      <c r="A374" s="4"/>
      <c r="C374" s="4" t="s">
        <v>10952</v>
      </c>
      <c r="D374" s="4" t="str">
        <f t="shared" si="1"/>
        <v>{"valorA":"fogão","valorB":27}</v>
      </c>
      <c r="E374" s="8" t="str">
        <f t="shared" si="2"/>
        <v>fogão</v>
      </c>
      <c r="F374" s="8"/>
      <c r="G374" s="8" t="str">
        <f t="shared" si="3"/>
        <v>27</v>
      </c>
      <c r="H374" s="9">
        <f t="shared" si="4"/>
        <v>27</v>
      </c>
      <c r="I374" s="6" t="str">
        <f>IFERROR(__xludf.DUMMYFUNCTION("MAX(FILTER($H:$H,$E:$E=F374))"),"#N/A")</f>
        <v>#N/A</v>
      </c>
    </row>
    <row r="375">
      <c r="A375" s="4"/>
      <c r="C375" s="4" t="s">
        <v>1723</v>
      </c>
      <c r="D375" s="4" t="str">
        <f t="shared" si="1"/>
        <v>{"valorA":"ar condicionado","valorB":17}</v>
      </c>
      <c r="E375" s="8" t="str">
        <f t="shared" si="2"/>
        <v>ar condicionado</v>
      </c>
      <c r="F375" s="8"/>
      <c r="G375" s="8" t="str">
        <f t="shared" si="3"/>
        <v>17</v>
      </c>
      <c r="H375" s="9">
        <f t="shared" si="4"/>
        <v>17</v>
      </c>
      <c r="I375" s="6" t="str">
        <f>IFERROR(__xludf.DUMMYFUNCTION("MAX(FILTER($H:$H,$E:$E=F375))"),"#N/A")</f>
        <v>#N/A</v>
      </c>
    </row>
    <row r="376">
      <c r="A376" s="4"/>
      <c r="C376" s="4" t="s">
        <v>10953</v>
      </c>
      <c r="D376" s="4" t="str">
        <f t="shared" si="1"/>
        <v>{"valorA":"purificador de água","valorB":28}</v>
      </c>
      <c r="E376" s="8" t="str">
        <f t="shared" si="2"/>
        <v>purificador de água</v>
      </c>
      <c r="F376" s="8"/>
      <c r="G376" s="8" t="str">
        <f t="shared" si="3"/>
        <v>28</v>
      </c>
      <c r="H376" s="9">
        <f t="shared" si="4"/>
        <v>28</v>
      </c>
      <c r="I376" s="6" t="str">
        <f>IFERROR(__xludf.DUMMYFUNCTION("MAX(FILTER($H:$H,$E:$E=F376))"),"#N/A")</f>
        <v>#N/A</v>
      </c>
    </row>
    <row r="377">
      <c r="A377" s="4"/>
      <c r="C377" s="4" t="s">
        <v>2348</v>
      </c>
      <c r="D377" s="4" t="str">
        <f t="shared" si="1"/>
        <v>{"valorA":"filtro de linha","valorB":11}</v>
      </c>
      <c r="E377" s="8" t="str">
        <f t="shared" si="2"/>
        <v>filtro de linha</v>
      </c>
      <c r="F377" s="8"/>
      <c r="G377" s="8" t="str">
        <f t="shared" si="3"/>
        <v>11</v>
      </c>
      <c r="H377" s="9">
        <f t="shared" si="4"/>
        <v>11</v>
      </c>
      <c r="I377" s="6" t="str">
        <f>IFERROR(__xludf.DUMMYFUNCTION("MAX(FILTER($H:$H,$E:$E=F377))"),"#N/A")</f>
        <v>#N/A</v>
      </c>
    </row>
    <row r="378">
      <c r="A378" s="4"/>
      <c r="C378" s="4" t="s">
        <v>10954</v>
      </c>
      <c r="D378" s="4" t="str">
        <f t="shared" si="1"/>
        <v>{"valorA":"purificador de água","valorB":29}</v>
      </c>
      <c r="E378" s="8" t="str">
        <f t="shared" si="2"/>
        <v>purificador de água</v>
      </c>
      <c r="F378" s="8"/>
      <c r="G378" s="8" t="str">
        <f t="shared" si="3"/>
        <v>29</v>
      </c>
      <c r="H378" s="9">
        <f t="shared" si="4"/>
        <v>29</v>
      </c>
      <c r="I378" s="6" t="str">
        <f>IFERROR(__xludf.DUMMYFUNCTION("MAX(FILTER($H:$H,$E:$E=F378))"),"#N/A")</f>
        <v>#N/A</v>
      </c>
    </row>
    <row r="379">
      <c r="A379" s="4"/>
      <c r="C379" s="4" t="s">
        <v>3531</v>
      </c>
      <c r="D379" s="4" t="str">
        <f t="shared" si="1"/>
        <v>{"valorA":"lustre","valorB":21}</v>
      </c>
      <c r="E379" s="8" t="str">
        <f t="shared" si="2"/>
        <v>lustre</v>
      </c>
      <c r="F379" s="8"/>
      <c r="G379" s="8" t="str">
        <f t="shared" si="3"/>
        <v>21</v>
      </c>
      <c r="H379" s="9">
        <f t="shared" si="4"/>
        <v>21</v>
      </c>
      <c r="I379" s="6" t="str">
        <f>IFERROR(__xludf.DUMMYFUNCTION("MAX(FILTER($H:$H,$E:$E=F379))"),"#N/A")</f>
        <v>#N/A</v>
      </c>
    </row>
    <row r="380">
      <c r="A380" s="4"/>
      <c r="C380" s="4" t="s">
        <v>2489</v>
      </c>
      <c r="D380" s="4" t="str">
        <f t="shared" si="1"/>
        <v>{"valorA":"ventilador","valorB":21}</v>
      </c>
      <c r="E380" s="8" t="str">
        <f t="shared" si="2"/>
        <v>ventilador</v>
      </c>
      <c r="F380" s="8"/>
      <c r="G380" s="8" t="str">
        <f t="shared" si="3"/>
        <v>21</v>
      </c>
      <c r="H380" s="9">
        <f t="shared" si="4"/>
        <v>21</v>
      </c>
      <c r="I380" s="6" t="str">
        <f>IFERROR(__xludf.DUMMYFUNCTION("MAX(FILTER($H:$H,$E:$E=F380))"),"#N/A")</f>
        <v>#N/A</v>
      </c>
    </row>
    <row r="381">
      <c r="A381" s="4"/>
      <c r="C381" s="4" t="s">
        <v>2377</v>
      </c>
      <c r="D381" s="4" t="str">
        <f t="shared" si="1"/>
        <v>{"valorA":"roteador","valorB":15}</v>
      </c>
      <c r="E381" s="8" t="str">
        <f t="shared" si="2"/>
        <v>roteador</v>
      </c>
      <c r="F381" s="8"/>
      <c r="G381" s="8" t="str">
        <f t="shared" si="3"/>
        <v>15</v>
      </c>
      <c r="H381" s="9">
        <f t="shared" si="4"/>
        <v>15</v>
      </c>
      <c r="I381" s="6" t="str">
        <f>IFERROR(__xludf.DUMMYFUNCTION("MAX(FILTER($H:$H,$E:$E=F381))"),"#N/A")</f>
        <v>#N/A</v>
      </c>
    </row>
    <row r="382">
      <c r="A382" s="4"/>
      <c r="C382" s="4" t="s">
        <v>2559</v>
      </c>
      <c r="D382" s="4" t="str">
        <f t="shared" si="1"/>
        <v>{"valorA":"relógio","valorB":24}</v>
      </c>
      <c r="E382" s="8" t="str">
        <f t="shared" si="2"/>
        <v>relógio</v>
      </c>
      <c r="F382" s="8"/>
      <c r="G382" s="8" t="str">
        <f t="shared" si="3"/>
        <v>24</v>
      </c>
      <c r="H382" s="9">
        <f t="shared" si="4"/>
        <v>24</v>
      </c>
      <c r="I382" s="6" t="str">
        <f>IFERROR(__xludf.DUMMYFUNCTION("MAX(FILTER($H:$H,$E:$E=F382))"),"#N/A")</f>
        <v>#N/A</v>
      </c>
    </row>
    <row r="383">
      <c r="A383" s="4"/>
      <c r="C383" s="4" t="s">
        <v>2495</v>
      </c>
      <c r="D383" s="4" t="str">
        <f t="shared" si="1"/>
        <v>{"valorA":"ventilador","valorB":22}</v>
      </c>
      <c r="E383" s="8" t="str">
        <f t="shared" si="2"/>
        <v>ventilador</v>
      </c>
      <c r="F383" s="8"/>
      <c r="G383" s="8" t="str">
        <f t="shared" si="3"/>
        <v>22</v>
      </c>
      <c r="H383" s="9">
        <f t="shared" si="4"/>
        <v>22</v>
      </c>
      <c r="I383" s="6" t="str">
        <f>IFERROR(__xludf.DUMMYFUNCTION("MAX(FILTER($H:$H,$E:$E=F383))"),"#N/A")</f>
        <v>#N/A</v>
      </c>
    </row>
    <row r="384">
      <c r="A384" s="4"/>
      <c r="C384" s="4" t="s">
        <v>2418</v>
      </c>
      <c r="D384" s="4" t="str">
        <f t="shared" si="1"/>
        <v>{"valorA":"computador","valorB":16}</v>
      </c>
      <c r="E384" s="8" t="str">
        <f t="shared" si="2"/>
        <v>computador</v>
      </c>
      <c r="F384" s="8"/>
      <c r="G384" s="8" t="str">
        <f t="shared" si="3"/>
        <v>16</v>
      </c>
      <c r="H384" s="9">
        <f t="shared" si="4"/>
        <v>16</v>
      </c>
      <c r="I384" s="6" t="str">
        <f>IFERROR(__xludf.DUMMYFUNCTION("MAX(FILTER($H:$H,$E:$E=F384))"),"#N/A")</f>
        <v>#N/A</v>
      </c>
    </row>
    <row r="385">
      <c r="A385" s="4"/>
      <c r="C385" s="4" t="s">
        <v>2498</v>
      </c>
      <c r="D385" s="4" t="str">
        <f t="shared" si="1"/>
        <v>{"valorA":"ventilador","valorB":23}</v>
      </c>
      <c r="E385" s="8" t="str">
        <f t="shared" si="2"/>
        <v>ventilador</v>
      </c>
      <c r="F385" s="8"/>
      <c r="G385" s="8" t="str">
        <f t="shared" si="3"/>
        <v>23</v>
      </c>
      <c r="H385" s="9">
        <f t="shared" si="4"/>
        <v>23</v>
      </c>
      <c r="I385" s="6" t="str">
        <f>IFERROR(__xludf.DUMMYFUNCTION("MAX(FILTER($H:$H,$E:$E=F385))"),"#N/A")</f>
        <v>#N/A</v>
      </c>
    </row>
    <row r="386">
      <c r="A386" s="4"/>
      <c r="C386" s="4" t="s">
        <v>2458</v>
      </c>
      <c r="D386" s="4" t="str">
        <f t="shared" si="1"/>
        <v>{"valorA":"carregador de celular","valorB":15}</v>
      </c>
      <c r="E386" s="8" t="str">
        <f t="shared" si="2"/>
        <v>carregador de celular</v>
      </c>
      <c r="F386" s="8"/>
      <c r="G386" s="8" t="str">
        <f t="shared" si="3"/>
        <v>15</v>
      </c>
      <c r="H386" s="9">
        <f t="shared" si="4"/>
        <v>15</v>
      </c>
      <c r="I386" s="6" t="str">
        <f>IFERROR(__xludf.DUMMYFUNCTION("MAX(FILTER($H:$H,$E:$E=F386))"),"#N/A")</f>
        <v>#N/A</v>
      </c>
    </row>
    <row r="387">
      <c r="A387" s="4"/>
      <c r="C387" s="4" t="s">
        <v>10955</v>
      </c>
      <c r="D387" s="4" t="str">
        <f t="shared" si="1"/>
        <v>{"valorA":"carregador de computador","valorB":26}</v>
      </c>
      <c r="E387" s="8" t="str">
        <f t="shared" si="2"/>
        <v>carregador de computador</v>
      </c>
      <c r="F387" s="8"/>
      <c r="G387" s="8" t="str">
        <f t="shared" si="3"/>
        <v>26</v>
      </c>
      <c r="H387" s="9">
        <f t="shared" si="4"/>
        <v>26</v>
      </c>
      <c r="I387" s="6" t="str">
        <f>IFERROR(__xludf.DUMMYFUNCTION("MAX(FILTER($H:$H,$E:$E=F387))"),"#N/A")</f>
        <v>#N/A</v>
      </c>
    </row>
    <row r="388">
      <c r="A388" s="4"/>
      <c r="C388" s="4" t="s">
        <v>2413</v>
      </c>
      <c r="D388" s="4" t="str">
        <f t="shared" si="1"/>
        <v>{"valorA":"mouse de computador","valorB":12}</v>
      </c>
      <c r="E388" s="8" t="str">
        <f t="shared" si="2"/>
        <v>mouse de computador</v>
      </c>
      <c r="F388" s="8"/>
      <c r="G388" s="8" t="str">
        <f t="shared" si="3"/>
        <v>12</v>
      </c>
      <c r="H388" s="9">
        <f t="shared" si="4"/>
        <v>12</v>
      </c>
      <c r="I388" s="6" t="str">
        <f>IFERROR(__xludf.DUMMYFUNCTION("MAX(FILTER($H:$H,$E:$E=F388))"),"#N/A")</f>
        <v>#N/A</v>
      </c>
    </row>
    <row r="389">
      <c r="A389" s="4"/>
      <c r="C389" s="4" t="s">
        <v>2511</v>
      </c>
      <c r="D389" s="4" t="str">
        <f t="shared" si="1"/>
        <v>{"valorA":"ventilador","valorB":24}</v>
      </c>
      <c r="E389" s="8" t="str">
        <f t="shared" si="2"/>
        <v>ventilador</v>
      </c>
      <c r="F389" s="8"/>
      <c r="G389" s="8" t="str">
        <f t="shared" si="3"/>
        <v>24</v>
      </c>
      <c r="H389" s="9">
        <f t="shared" si="4"/>
        <v>24</v>
      </c>
      <c r="I389" s="6" t="str">
        <f>IFERROR(__xludf.DUMMYFUNCTION("MAX(FILTER($H:$H,$E:$E=F389))"),"#N/A")</f>
        <v>#N/A</v>
      </c>
    </row>
    <row r="390">
      <c r="A390" s="4"/>
      <c r="C390" s="4" t="s">
        <v>1686</v>
      </c>
      <c r="D390" s="4" t="str">
        <f t="shared" si="1"/>
        <v>{"valorA":"freezer","valorB":28}</v>
      </c>
      <c r="E390" s="8" t="str">
        <f t="shared" si="2"/>
        <v>freezer</v>
      </c>
      <c r="F390" s="8"/>
      <c r="G390" s="8" t="str">
        <f t="shared" si="3"/>
        <v>28</v>
      </c>
      <c r="H390" s="9">
        <f t="shared" si="4"/>
        <v>28</v>
      </c>
      <c r="I390" s="6" t="str">
        <f>IFERROR(__xludf.DUMMYFUNCTION("MAX(FILTER($H:$H,$E:$E=F390))"),"#N/A")</f>
        <v>#N/A</v>
      </c>
    </row>
    <row r="391">
      <c r="A391" s="4"/>
      <c r="C391" s="4" t="s">
        <v>2480</v>
      </c>
      <c r="D391" s="4" t="str">
        <f t="shared" si="1"/>
        <v>{"valorA":"fone de ouvido","valorB":18}</v>
      </c>
      <c r="E391" s="8" t="str">
        <f t="shared" si="2"/>
        <v>fone de ouvido</v>
      </c>
      <c r="F391" s="8"/>
      <c r="G391" s="8" t="str">
        <f t="shared" si="3"/>
        <v>18</v>
      </c>
      <c r="H391" s="9">
        <f t="shared" si="4"/>
        <v>18</v>
      </c>
      <c r="I391" s="6" t="str">
        <f>IFERROR(__xludf.DUMMYFUNCTION("MAX(FILTER($H:$H,$E:$E=F391))"),"#N/A")</f>
        <v>#N/A</v>
      </c>
    </row>
    <row r="392">
      <c r="A392" s="4"/>
      <c r="C392" s="4" t="s">
        <v>2472</v>
      </c>
      <c r="D392" s="4" t="str">
        <f t="shared" si="1"/>
        <v>{"valorA":"teclado de computador","valorB":23}</v>
      </c>
      <c r="E392" s="8" t="str">
        <f t="shared" si="2"/>
        <v>teclado de computador</v>
      </c>
      <c r="F392" s="8"/>
      <c r="G392" s="8" t="str">
        <f t="shared" si="3"/>
        <v>23</v>
      </c>
      <c r="H392" s="9">
        <f t="shared" si="4"/>
        <v>23</v>
      </c>
      <c r="I392" s="6" t="str">
        <f>IFERROR(__xludf.DUMMYFUNCTION("MAX(FILTER($H:$H,$E:$E=F392))"),"#N/A")</f>
        <v>#N/A</v>
      </c>
    </row>
    <row r="393">
      <c r="A393" s="4"/>
      <c r="C393" s="4" t="s">
        <v>2490</v>
      </c>
      <c r="D393" s="4" t="str">
        <f t="shared" si="1"/>
        <v>{"valorA":"aspirador","valorB":20}</v>
      </c>
      <c r="E393" s="8" t="str">
        <f t="shared" si="2"/>
        <v>aspirador</v>
      </c>
      <c r="F393" s="8"/>
      <c r="G393" s="8" t="str">
        <f t="shared" si="3"/>
        <v>20</v>
      </c>
      <c r="H393" s="9">
        <f t="shared" si="4"/>
        <v>20</v>
      </c>
      <c r="I393" s="6" t="str">
        <f>IFERROR(__xludf.DUMMYFUNCTION("MAX(FILTER($H:$H,$E:$E=F393))"),"#N/A")</f>
        <v>#N/A</v>
      </c>
    </row>
    <row r="394">
      <c r="A394" s="4"/>
      <c r="C394" s="4" t="s">
        <v>2569</v>
      </c>
      <c r="D394" s="4" t="str">
        <f t="shared" si="1"/>
        <v>{"valorA":"relógio","valorB":25}</v>
      </c>
      <c r="E394" s="8" t="str">
        <f t="shared" si="2"/>
        <v>relógio</v>
      </c>
      <c r="F394" s="8"/>
      <c r="G394" s="8" t="str">
        <f t="shared" si="3"/>
        <v>25</v>
      </c>
      <c r="H394" s="9">
        <f t="shared" si="4"/>
        <v>25</v>
      </c>
      <c r="I394" s="6" t="str">
        <f>IFERROR(__xludf.DUMMYFUNCTION("MAX(FILTER($H:$H,$E:$E=F394))"),"#N/A")</f>
        <v>#N/A</v>
      </c>
    </row>
    <row r="395">
      <c r="A395" s="4"/>
      <c r="C395" s="4" t="s">
        <v>2393</v>
      </c>
      <c r="D395" s="4" t="str">
        <f t="shared" si="1"/>
        <v>{"valorA":"chuveiro elétrico","valorB":18}</v>
      </c>
      <c r="E395" s="8" t="str">
        <f t="shared" si="2"/>
        <v>chuveiro elétrico</v>
      </c>
      <c r="F395" s="8"/>
      <c r="G395" s="8" t="str">
        <f t="shared" si="3"/>
        <v>18</v>
      </c>
      <c r="H395" s="9">
        <f t="shared" si="4"/>
        <v>18</v>
      </c>
      <c r="I395" s="6" t="str">
        <f>IFERROR(__xludf.DUMMYFUNCTION("MAX(FILTER($H:$H,$E:$E=F395))"),"#N/A")</f>
        <v>#N/A</v>
      </c>
    </row>
    <row r="396">
      <c r="A396" s="4"/>
      <c r="C396" s="4" t="s">
        <v>1725</v>
      </c>
      <c r="D396" s="4" t="str">
        <f t="shared" si="1"/>
        <v>{"valorA":"microondas","valorB":16}</v>
      </c>
      <c r="E396" s="8" t="str">
        <f t="shared" si="2"/>
        <v>microondas</v>
      </c>
      <c r="F396" s="8"/>
      <c r="G396" s="8" t="str">
        <f t="shared" si="3"/>
        <v>16</v>
      </c>
      <c r="H396" s="9">
        <f t="shared" si="4"/>
        <v>16</v>
      </c>
      <c r="I396" s="6" t="str">
        <f>IFERROR(__xludf.DUMMYFUNCTION("MAX(FILTER($H:$H,$E:$E=F396))"),"#N/A")</f>
        <v>#N/A</v>
      </c>
    </row>
    <row r="397">
      <c r="A397" s="4"/>
      <c r="C397" s="4" t="s">
        <v>10956</v>
      </c>
      <c r="D397" s="4" t="str">
        <f t="shared" si="1"/>
        <v>{"valorA":"carregador de computador","valorB":27}</v>
      </c>
      <c r="E397" s="8" t="str">
        <f t="shared" si="2"/>
        <v>carregador de computador</v>
      </c>
      <c r="F397" s="8"/>
      <c r="G397" s="8" t="str">
        <f t="shared" si="3"/>
        <v>27</v>
      </c>
      <c r="H397" s="9">
        <f t="shared" si="4"/>
        <v>27</v>
      </c>
      <c r="I397" s="6" t="str">
        <f>IFERROR(__xludf.DUMMYFUNCTION("MAX(FILTER($H:$H,$E:$E=F397))"),"#N/A")</f>
        <v>#N/A</v>
      </c>
    </row>
    <row r="398">
      <c r="A398" s="4"/>
      <c r="C398" s="4" t="s">
        <v>2517</v>
      </c>
      <c r="D398" s="4" t="str">
        <f t="shared" si="1"/>
        <v>{"valorA":"ventilador","valorB":25}</v>
      </c>
      <c r="E398" s="8" t="str">
        <f t="shared" si="2"/>
        <v>ventilador</v>
      </c>
      <c r="F398" s="8"/>
      <c r="G398" s="8" t="str">
        <f t="shared" si="3"/>
        <v>25</v>
      </c>
      <c r="H398" s="9">
        <f t="shared" si="4"/>
        <v>25</v>
      </c>
      <c r="I398" s="6" t="str">
        <f>IFERROR(__xludf.DUMMYFUNCTION("MAX(FILTER($H:$H,$E:$E=F398))"),"#N/A")</f>
        <v>#N/A</v>
      </c>
    </row>
    <row r="399">
      <c r="A399" s="4"/>
      <c r="C399" s="4" t="s">
        <v>2590</v>
      </c>
      <c r="D399" s="4" t="str">
        <f t="shared" si="1"/>
        <v>{"valorA":"liquidificador","valorB":25}</v>
      </c>
      <c r="E399" s="8" t="str">
        <f t="shared" si="2"/>
        <v>liquidificador</v>
      </c>
      <c r="F399" s="8"/>
      <c r="G399" s="8" t="str">
        <f t="shared" si="3"/>
        <v>25</v>
      </c>
      <c r="H399" s="9">
        <f t="shared" si="4"/>
        <v>25</v>
      </c>
      <c r="I399" s="6" t="str">
        <f>IFERROR(__xludf.DUMMYFUNCTION("MAX(FILTER($H:$H,$E:$E=F399))"),"#N/A")</f>
        <v>#N/A</v>
      </c>
    </row>
    <row r="400">
      <c r="A400" s="4"/>
      <c r="C400" s="4" t="s">
        <v>2382</v>
      </c>
      <c r="D400" s="4" t="str">
        <f t="shared" si="1"/>
        <v>{"valorA":"celular","valorB":11}</v>
      </c>
      <c r="E400" s="8" t="str">
        <f t="shared" si="2"/>
        <v>celular</v>
      </c>
      <c r="F400" s="8"/>
      <c r="G400" s="8" t="str">
        <f t="shared" si="3"/>
        <v>11</v>
      </c>
      <c r="H400" s="9">
        <f t="shared" si="4"/>
        <v>11</v>
      </c>
      <c r="I400" s="6" t="str">
        <f>IFERROR(__xludf.DUMMYFUNCTION("MAX(FILTER($H:$H,$E:$E=F400))"),"#N/A")</f>
        <v>#N/A</v>
      </c>
    </row>
    <row r="401">
      <c r="A401" s="4"/>
      <c r="C401" s="4" t="s">
        <v>2392</v>
      </c>
      <c r="D401" s="4" t="str">
        <f t="shared" si="1"/>
        <v>{"valorA":"roteador","valorB":16}</v>
      </c>
      <c r="E401" s="8" t="str">
        <f t="shared" si="2"/>
        <v>roteador</v>
      </c>
      <c r="F401" s="8"/>
      <c r="G401" s="8" t="str">
        <f t="shared" si="3"/>
        <v>16</v>
      </c>
      <c r="H401" s="9">
        <f t="shared" si="4"/>
        <v>16</v>
      </c>
      <c r="I401" s="6" t="str">
        <f>IFERROR(__xludf.DUMMYFUNCTION("MAX(FILTER($H:$H,$E:$E=F401))"),"#N/A")</f>
        <v>#N/A</v>
      </c>
    </row>
    <row r="402">
      <c r="A402" s="4"/>
      <c r="C402" s="4" t="s">
        <v>2527</v>
      </c>
      <c r="D402" s="4" t="str">
        <f t="shared" si="1"/>
        <v>{"valorA":"ventilador","valorB":26}</v>
      </c>
      <c r="E402" s="8" t="str">
        <f t="shared" si="2"/>
        <v>ventilador</v>
      </c>
      <c r="F402" s="8"/>
      <c r="G402" s="8" t="str">
        <f t="shared" si="3"/>
        <v>26</v>
      </c>
      <c r="H402" s="9">
        <f t="shared" si="4"/>
        <v>26</v>
      </c>
      <c r="I402" s="6" t="str">
        <f>IFERROR(__xludf.DUMMYFUNCTION("MAX(FILTER($H:$H,$E:$E=F402))"),"#N/A")</f>
        <v>#N/A</v>
      </c>
    </row>
    <row r="403">
      <c r="A403" s="4"/>
      <c r="C403" s="4" t="s">
        <v>10957</v>
      </c>
      <c r="D403" s="4" t="str">
        <f t="shared" si="1"/>
        <v>{"valorA":"fogão","valorB":28}</v>
      </c>
      <c r="E403" s="8" t="str">
        <f t="shared" si="2"/>
        <v>fogão</v>
      </c>
      <c r="F403" s="8"/>
      <c r="G403" s="8" t="str">
        <f t="shared" si="3"/>
        <v>28</v>
      </c>
      <c r="H403" s="9">
        <f t="shared" si="4"/>
        <v>28</v>
      </c>
      <c r="I403" s="6" t="str">
        <f>IFERROR(__xludf.DUMMYFUNCTION("MAX(FILTER($H:$H,$E:$E=F403))"),"#N/A")</f>
        <v>#N/A</v>
      </c>
    </row>
    <row r="404">
      <c r="A404" s="4"/>
      <c r="C404" s="4" t="s">
        <v>2496</v>
      </c>
      <c r="D404" s="4" t="str">
        <f t="shared" si="1"/>
        <v>{"valorA":"aspirador","valorB":21}</v>
      </c>
      <c r="E404" s="8" t="str">
        <f t="shared" si="2"/>
        <v>aspirador</v>
      </c>
      <c r="F404" s="8"/>
      <c r="G404" s="8" t="str">
        <f t="shared" si="3"/>
        <v>21</v>
      </c>
      <c r="H404" s="9">
        <f t="shared" si="4"/>
        <v>21</v>
      </c>
      <c r="I404" s="6" t="str">
        <f>IFERROR(__xludf.DUMMYFUNCTION("MAX(FILTER($H:$H,$E:$E=F404))"),"#N/A")</f>
        <v>#N/A</v>
      </c>
    </row>
    <row r="405">
      <c r="A405" s="4"/>
      <c r="C405" s="4" t="s">
        <v>1727</v>
      </c>
      <c r="D405" s="4" t="str">
        <f t="shared" si="1"/>
        <v>{"valorA":"microondas","valorB":17}</v>
      </c>
      <c r="E405" s="8" t="str">
        <f t="shared" si="2"/>
        <v>microondas</v>
      </c>
      <c r="F405" s="8"/>
      <c r="G405" s="8" t="str">
        <f t="shared" si="3"/>
        <v>17</v>
      </c>
      <c r="H405" s="9">
        <f t="shared" si="4"/>
        <v>17</v>
      </c>
      <c r="I405" s="6" t="str">
        <f>IFERROR(__xludf.DUMMYFUNCTION("MAX(FILTER($H:$H,$E:$E=F405))"),"#N/A")</f>
        <v>#N/A</v>
      </c>
    </row>
    <row r="406">
      <c r="A406" s="4"/>
      <c r="C406" s="4" t="s">
        <v>2391</v>
      </c>
      <c r="D406" s="4" t="str">
        <f t="shared" si="1"/>
        <v>{"valorA":"celular","valorB":12}</v>
      </c>
      <c r="E406" s="8" t="str">
        <f t="shared" si="2"/>
        <v>celular</v>
      </c>
      <c r="F406" s="8"/>
      <c r="G406" s="8" t="str">
        <f t="shared" si="3"/>
        <v>12</v>
      </c>
      <c r="H406" s="9">
        <f t="shared" si="4"/>
        <v>12</v>
      </c>
      <c r="I406" s="6" t="str">
        <f>IFERROR(__xludf.DUMMYFUNCTION("MAX(FILTER($H:$H,$E:$E=F406))"),"#N/A")</f>
        <v>#N/A</v>
      </c>
    </row>
    <row r="407">
      <c r="A407" s="4"/>
      <c r="C407" s="4" t="s">
        <v>2429</v>
      </c>
      <c r="D407" s="4" t="str">
        <f t="shared" si="1"/>
        <v>{"valorA":"roteador","valorB":17}</v>
      </c>
      <c r="E407" s="8" t="str">
        <f t="shared" si="2"/>
        <v>roteador</v>
      </c>
      <c r="F407" s="8"/>
      <c r="G407" s="8" t="str">
        <f t="shared" si="3"/>
        <v>17</v>
      </c>
      <c r="H407" s="9">
        <f t="shared" si="4"/>
        <v>17</v>
      </c>
      <c r="I407" s="6" t="str">
        <f>IFERROR(__xludf.DUMMYFUNCTION("MAX(FILTER($H:$H,$E:$E=F407))"),"#N/A")</f>
        <v>#N/A</v>
      </c>
    </row>
    <row r="408">
      <c r="A408" s="4"/>
      <c r="C408" s="4" t="s">
        <v>3532</v>
      </c>
      <c r="D408" s="4" t="str">
        <f t="shared" si="1"/>
        <v>{"valorA":"lustre","valorB":22}</v>
      </c>
      <c r="E408" s="8" t="str">
        <f t="shared" si="2"/>
        <v>lustre</v>
      </c>
      <c r="F408" s="8"/>
      <c r="G408" s="8" t="str">
        <f t="shared" si="3"/>
        <v>22</v>
      </c>
      <c r="H408" s="9">
        <f t="shared" si="4"/>
        <v>22</v>
      </c>
      <c r="I408" s="6" t="str">
        <f>IFERROR(__xludf.DUMMYFUNCTION("MAX(FILTER($H:$H,$E:$E=F408))"),"#N/A")</f>
        <v>#N/A</v>
      </c>
    </row>
    <row r="409">
      <c r="A409" s="4"/>
      <c r="C409" s="4" t="s">
        <v>1728</v>
      </c>
      <c r="D409" s="4" t="str">
        <f t="shared" si="1"/>
        <v>{"valorA":"microondas","valorB":18}</v>
      </c>
      <c r="E409" s="8" t="str">
        <f t="shared" si="2"/>
        <v>microondas</v>
      </c>
      <c r="F409" s="8"/>
      <c r="G409" s="8" t="str">
        <f t="shared" si="3"/>
        <v>18</v>
      </c>
      <c r="H409" s="9">
        <f t="shared" si="4"/>
        <v>18</v>
      </c>
      <c r="I409" s="6" t="str">
        <f>IFERROR(__xludf.DUMMYFUNCTION("MAX(FILTER($H:$H,$E:$E=F409))"),"#N/A")</f>
        <v>#N/A</v>
      </c>
    </row>
    <row r="410">
      <c r="A410" s="4"/>
      <c r="C410" s="4" t="s">
        <v>2432</v>
      </c>
      <c r="D410" s="4" t="str">
        <f t="shared" si="1"/>
        <v>{"valorA":"celular","valorB":13}</v>
      </c>
      <c r="E410" s="8" t="str">
        <f t="shared" si="2"/>
        <v>celular</v>
      </c>
      <c r="F410" s="8"/>
      <c r="G410" s="8" t="str">
        <f t="shared" si="3"/>
        <v>13</v>
      </c>
      <c r="H410" s="9">
        <f t="shared" si="4"/>
        <v>13</v>
      </c>
      <c r="I410" s="6" t="str">
        <f>IFERROR(__xludf.DUMMYFUNCTION("MAX(FILTER($H:$H,$E:$E=F410))"),"#N/A")</f>
        <v>#N/A</v>
      </c>
    </row>
    <row r="411">
      <c r="A411" s="4"/>
      <c r="C411" s="4" t="s">
        <v>2426</v>
      </c>
      <c r="D411" s="4" t="str">
        <f t="shared" si="1"/>
        <v>{"valorA":"computador","valorB":17}</v>
      </c>
      <c r="E411" s="8" t="str">
        <f t="shared" si="2"/>
        <v>computador</v>
      </c>
      <c r="F411" s="8"/>
      <c r="G411" s="8" t="str">
        <f t="shared" si="3"/>
        <v>17</v>
      </c>
      <c r="H411" s="9">
        <f t="shared" si="4"/>
        <v>17</v>
      </c>
      <c r="I411" s="6" t="str">
        <f>IFERROR(__xludf.DUMMYFUNCTION("MAX(FILTER($H:$H,$E:$E=F411))"),"#N/A")</f>
        <v>#N/A</v>
      </c>
    </row>
    <row r="412">
      <c r="A412" s="4"/>
      <c r="C412" s="4" t="s">
        <v>2400</v>
      </c>
      <c r="D412" s="4" t="str">
        <f t="shared" si="1"/>
        <v>{"valorA":"chuveiro elétrico","valorB":19}</v>
      </c>
      <c r="E412" s="8" t="str">
        <f t="shared" si="2"/>
        <v>chuveiro elétrico</v>
      </c>
      <c r="F412" s="8"/>
      <c r="G412" s="8" t="str">
        <f t="shared" si="3"/>
        <v>19</v>
      </c>
      <c r="H412" s="9">
        <f t="shared" si="4"/>
        <v>19</v>
      </c>
      <c r="I412" s="6" t="str">
        <f>IFERROR(__xludf.DUMMYFUNCTION("MAX(FILTER($H:$H,$E:$E=F412))"),"#N/A")</f>
        <v>#N/A</v>
      </c>
    </row>
    <row r="413">
      <c r="A413" s="4"/>
      <c r="C413" s="4" t="s">
        <v>10958</v>
      </c>
      <c r="D413" s="4" t="str">
        <f t="shared" si="1"/>
        <v>{"valorA":"carregador de computador","valorB":28}</v>
      </c>
      <c r="E413" s="8" t="str">
        <f t="shared" si="2"/>
        <v>carregador de computador</v>
      </c>
      <c r="F413" s="8"/>
      <c r="G413" s="8" t="str">
        <f t="shared" si="3"/>
        <v>28</v>
      </c>
      <c r="H413" s="9">
        <f t="shared" si="4"/>
        <v>28</v>
      </c>
      <c r="I413" s="6" t="str">
        <f>IFERROR(__xludf.DUMMYFUNCTION("MAX(FILTER($H:$H,$E:$E=F413))"),"#N/A")</f>
        <v>#N/A</v>
      </c>
    </row>
    <row r="414">
      <c r="A414" s="4"/>
      <c r="C414" s="4" t="s">
        <v>2571</v>
      </c>
      <c r="D414" s="4" t="str">
        <f t="shared" si="1"/>
        <v>{"valorA":"relógio","valorB":26}</v>
      </c>
      <c r="E414" s="8" t="str">
        <f t="shared" si="2"/>
        <v>relógio</v>
      </c>
      <c r="F414" s="8"/>
      <c r="G414" s="8" t="str">
        <f t="shared" si="3"/>
        <v>26</v>
      </c>
      <c r="H414" s="9">
        <f t="shared" si="4"/>
        <v>26</v>
      </c>
      <c r="I414" s="6" t="str">
        <f>IFERROR(__xludf.DUMMYFUNCTION("MAX(FILTER($H:$H,$E:$E=F414))"),"#N/A")</f>
        <v>#N/A</v>
      </c>
    </row>
    <row r="415">
      <c r="A415" s="4"/>
      <c r="C415" s="4" t="s">
        <v>2518</v>
      </c>
      <c r="D415" s="4" t="str">
        <f t="shared" si="1"/>
        <v>{"valorA":"fone de ouvido","valorB":19}</v>
      </c>
      <c r="E415" s="8" t="str">
        <f t="shared" si="2"/>
        <v>fone de ouvido</v>
      </c>
      <c r="F415" s="8"/>
      <c r="G415" s="8" t="str">
        <f t="shared" si="3"/>
        <v>19</v>
      </c>
      <c r="H415" s="9">
        <f t="shared" si="4"/>
        <v>19</v>
      </c>
      <c r="I415" s="6" t="str">
        <f>IFERROR(__xludf.DUMMYFUNCTION("MAX(FILTER($H:$H,$E:$E=F415))"),"#N/A")</f>
        <v>#N/A</v>
      </c>
    </row>
    <row r="416">
      <c r="A416" s="4"/>
      <c r="C416" s="4" t="s">
        <v>10959</v>
      </c>
      <c r="D416" s="4" t="str">
        <f t="shared" si="1"/>
        <v>{"valorA":"fogão","valorB":29}</v>
      </c>
      <c r="E416" s="8" t="str">
        <f t="shared" si="2"/>
        <v>fogão</v>
      </c>
      <c r="F416" s="8"/>
      <c r="G416" s="8" t="str">
        <f t="shared" si="3"/>
        <v>29</v>
      </c>
      <c r="H416" s="9">
        <f t="shared" si="4"/>
        <v>29</v>
      </c>
      <c r="I416" s="6" t="str">
        <f>IFERROR(__xludf.DUMMYFUNCTION("MAX(FILTER($H:$H,$E:$E=F416))"),"#N/A")</f>
        <v>#N/A</v>
      </c>
    </row>
    <row r="417">
      <c r="A417" s="4"/>
      <c r="C417" s="4" t="s">
        <v>10960</v>
      </c>
      <c r="D417" s="4" t="str">
        <f t="shared" si="1"/>
        <v>{"valorA":"purificador de água","valorB":30}</v>
      </c>
      <c r="E417" s="8" t="str">
        <f t="shared" si="2"/>
        <v>purificador de água</v>
      </c>
      <c r="F417" s="8"/>
      <c r="G417" s="8" t="str">
        <f t="shared" si="3"/>
        <v>30</v>
      </c>
      <c r="H417" s="9">
        <f t="shared" si="4"/>
        <v>30</v>
      </c>
      <c r="I417" s="6" t="str">
        <f>IFERROR(__xludf.DUMMYFUNCTION("MAX(FILTER($H:$H,$E:$E=F417))"),"#N/A")</f>
        <v>#N/A</v>
      </c>
    </row>
    <row r="418">
      <c r="A418" s="4"/>
      <c r="C418" s="4" t="s">
        <v>1724</v>
      </c>
      <c r="D418" s="4" t="str">
        <f t="shared" si="1"/>
        <v>{"valorA":"ar condicionado","valorB":18}</v>
      </c>
      <c r="E418" s="8" t="str">
        <f t="shared" si="2"/>
        <v>ar condicionado</v>
      </c>
      <c r="F418" s="8"/>
      <c r="G418" s="8" t="str">
        <f t="shared" si="3"/>
        <v>18</v>
      </c>
      <c r="H418" s="9">
        <f t="shared" si="4"/>
        <v>18</v>
      </c>
      <c r="I418" s="6" t="str">
        <f>IFERROR(__xludf.DUMMYFUNCTION("MAX(FILTER($H:$H,$E:$E=F418))"),"#N/A")</f>
        <v>#N/A</v>
      </c>
    </row>
    <row r="419">
      <c r="A419" s="4"/>
      <c r="C419" s="4" t="s">
        <v>2585</v>
      </c>
      <c r="D419" s="4" t="str">
        <f t="shared" si="1"/>
        <v>{"valorA":"relógio","valorB":27}</v>
      </c>
      <c r="E419" s="8" t="str">
        <f t="shared" si="2"/>
        <v>relógio</v>
      </c>
      <c r="F419" s="8"/>
      <c r="G419" s="8" t="str">
        <f t="shared" si="3"/>
        <v>27</v>
      </c>
      <c r="H419" s="9">
        <f t="shared" si="4"/>
        <v>27</v>
      </c>
      <c r="I419" s="6" t="str">
        <f>IFERROR(__xludf.DUMMYFUNCTION("MAX(FILTER($H:$H,$E:$E=F419))"),"#N/A")</f>
        <v>#N/A</v>
      </c>
    </row>
    <row r="420">
      <c r="A420" s="4"/>
      <c r="C420" s="4" t="s">
        <v>2550</v>
      </c>
      <c r="D420" s="4" t="str">
        <f t="shared" si="1"/>
        <v>{"valorA":"fone de ouvido","valorB":20}</v>
      </c>
      <c r="E420" s="8" t="str">
        <f t="shared" si="2"/>
        <v>fone de ouvido</v>
      </c>
      <c r="F420" s="8"/>
      <c r="G420" s="8" t="str">
        <f t="shared" si="3"/>
        <v>20</v>
      </c>
      <c r="H420" s="9">
        <f t="shared" si="4"/>
        <v>20</v>
      </c>
      <c r="I420" s="6" t="str">
        <f>IFERROR(__xludf.DUMMYFUNCTION("MAX(FILTER($H:$H,$E:$E=F420))"),"#N/A")</f>
        <v>#N/A</v>
      </c>
    </row>
    <row r="421">
      <c r="A421" s="4"/>
      <c r="C421" s="4" t="s">
        <v>3550</v>
      </c>
      <c r="D421" s="4" t="str">
        <f t="shared" si="1"/>
        <v>{"valorA":"liquidificador","valorB":26}</v>
      </c>
      <c r="E421" s="8" t="str">
        <f t="shared" si="2"/>
        <v>liquidificador</v>
      </c>
      <c r="F421" s="8"/>
      <c r="G421" s="8" t="str">
        <f t="shared" si="3"/>
        <v>26</v>
      </c>
      <c r="H421" s="9">
        <f t="shared" si="4"/>
        <v>26</v>
      </c>
      <c r="I421" s="6" t="str">
        <f>IFERROR(__xludf.DUMMYFUNCTION("MAX(FILTER($H:$H,$E:$E=F421))"),"#N/A")</f>
        <v>#N/A</v>
      </c>
    </row>
    <row r="422">
      <c r="A422" s="4"/>
      <c r="C422" s="4" t="s">
        <v>10961</v>
      </c>
      <c r="D422" s="4" t="str">
        <f t="shared" si="1"/>
        <v>{"valorA":"purificador de água","valorB":31}</v>
      </c>
      <c r="E422" s="8" t="str">
        <f t="shared" si="2"/>
        <v>purificador de água</v>
      </c>
      <c r="F422" s="8"/>
      <c r="G422" s="8" t="str">
        <f t="shared" si="3"/>
        <v>31</v>
      </c>
      <c r="H422" s="9">
        <f t="shared" si="4"/>
        <v>31</v>
      </c>
      <c r="I422" s="6" t="str">
        <f>IFERROR(__xludf.DUMMYFUNCTION("MAX(FILTER($H:$H,$E:$E=F422))"),"#N/A")</f>
        <v>#N/A</v>
      </c>
    </row>
    <row r="423">
      <c r="A423" s="4"/>
      <c r="C423" s="4" t="s">
        <v>2565</v>
      </c>
      <c r="D423" s="4" t="str">
        <f t="shared" si="1"/>
        <v>{"valorA":"fone de ouvido","valorB":21}</v>
      </c>
      <c r="E423" s="8" t="str">
        <f t="shared" si="2"/>
        <v>fone de ouvido</v>
      </c>
      <c r="F423" s="8"/>
      <c r="G423" s="8" t="str">
        <f t="shared" si="3"/>
        <v>21</v>
      </c>
      <c r="H423" s="9">
        <f t="shared" si="4"/>
        <v>21</v>
      </c>
      <c r="I423" s="6" t="str">
        <f>IFERROR(__xludf.DUMMYFUNCTION("MAX(FILTER($H:$H,$E:$E=F423))"),"#N/A")</f>
        <v>#N/A</v>
      </c>
    </row>
    <row r="424">
      <c r="A424" s="4"/>
      <c r="C424" s="4" t="s">
        <v>2483</v>
      </c>
      <c r="D424" s="4" t="str">
        <f t="shared" si="1"/>
        <v>{"valorA":"celular","valorB":14}</v>
      </c>
      <c r="E424" s="8" t="str">
        <f t="shared" si="2"/>
        <v>celular</v>
      </c>
      <c r="F424" s="8"/>
      <c r="G424" s="8" t="str">
        <f t="shared" si="3"/>
        <v>14</v>
      </c>
      <c r="H424" s="9">
        <f t="shared" si="4"/>
        <v>14</v>
      </c>
      <c r="I424" s="6" t="str">
        <f>IFERROR(__xludf.DUMMYFUNCTION("MAX(FILTER($H:$H,$E:$E=F424))"),"#N/A")</f>
        <v>#N/A</v>
      </c>
    </row>
    <row r="425">
      <c r="A425" s="4"/>
      <c r="C425" s="4" t="s">
        <v>2493</v>
      </c>
      <c r="D425" s="4" t="str">
        <f t="shared" si="1"/>
        <v>{"valorA":"celular","valorB":15}</v>
      </c>
      <c r="E425" s="8" t="str">
        <f t="shared" si="2"/>
        <v>celular</v>
      </c>
      <c r="F425" s="8"/>
      <c r="G425" s="8" t="str">
        <f t="shared" si="3"/>
        <v>15</v>
      </c>
      <c r="H425" s="9">
        <f t="shared" si="4"/>
        <v>15</v>
      </c>
      <c r="I425" s="6" t="str">
        <f>IFERROR(__xludf.DUMMYFUNCTION("MAX(FILTER($H:$H,$E:$E=F425))"),"#N/A")</f>
        <v>#N/A</v>
      </c>
    </row>
    <row r="426">
      <c r="A426" s="4"/>
      <c r="C426" s="4" t="s">
        <v>2519</v>
      </c>
      <c r="D426" s="4" t="str">
        <f t="shared" si="1"/>
        <v>{"valorA":"aspirador","valorB":22}</v>
      </c>
      <c r="E426" s="8" t="str">
        <f t="shared" si="2"/>
        <v>aspirador</v>
      </c>
      <c r="F426" s="8"/>
      <c r="G426" s="8" t="str">
        <f t="shared" si="3"/>
        <v>22</v>
      </c>
      <c r="H426" s="9">
        <f t="shared" si="4"/>
        <v>22</v>
      </c>
      <c r="I426" s="6" t="str">
        <f>IFERROR(__xludf.DUMMYFUNCTION("MAX(FILTER($H:$H,$E:$E=F426))"),"#N/A")</f>
        <v>#N/A</v>
      </c>
    </row>
    <row r="427">
      <c r="A427" s="4"/>
      <c r="C427" s="4" t="s">
        <v>2512</v>
      </c>
      <c r="D427" s="4" t="str">
        <f t="shared" si="1"/>
        <v>{"valorA":"celular","valorB":16}</v>
      </c>
      <c r="E427" s="8" t="str">
        <f t="shared" si="2"/>
        <v>celular</v>
      </c>
      <c r="F427" s="8"/>
      <c r="G427" s="8" t="str">
        <f t="shared" si="3"/>
        <v>16</v>
      </c>
      <c r="H427" s="9">
        <f t="shared" si="4"/>
        <v>16</v>
      </c>
      <c r="I427" s="6" t="str">
        <f>IFERROR(__xludf.DUMMYFUNCTION("MAX(FILTER($H:$H,$E:$E=F427))"),"#N/A")</f>
        <v>#N/A</v>
      </c>
    </row>
    <row r="428">
      <c r="A428" s="4"/>
      <c r="C428" s="4" t="s">
        <v>2434</v>
      </c>
      <c r="D428" s="4" t="str">
        <f t="shared" si="1"/>
        <v>{"valorA":"computador","valorB":18}</v>
      </c>
      <c r="E428" s="8" t="str">
        <f t="shared" si="2"/>
        <v>computador</v>
      </c>
      <c r="F428" s="8"/>
      <c r="G428" s="8" t="str">
        <f t="shared" si="3"/>
        <v>18</v>
      </c>
      <c r="H428" s="9">
        <f t="shared" si="4"/>
        <v>18</v>
      </c>
      <c r="I428" s="6" t="str">
        <f>IFERROR(__xludf.DUMMYFUNCTION("MAX(FILTER($H:$H,$E:$E=F428))"),"#N/A")</f>
        <v>#N/A</v>
      </c>
    </row>
    <row r="429">
      <c r="A429" s="4"/>
      <c r="C429" s="4" t="s">
        <v>2485</v>
      </c>
      <c r="D429" s="4" t="str">
        <f t="shared" si="1"/>
        <v>{"valorA":"mouse de computador","valorB":13}</v>
      </c>
      <c r="E429" s="8" t="str">
        <f t="shared" si="2"/>
        <v>mouse de computador</v>
      </c>
      <c r="F429" s="8"/>
      <c r="G429" s="8" t="str">
        <f t="shared" si="3"/>
        <v>13</v>
      </c>
      <c r="H429" s="9">
        <f t="shared" si="4"/>
        <v>13</v>
      </c>
      <c r="I429" s="6" t="str">
        <f>IFERROR(__xludf.DUMMYFUNCTION("MAX(FILTER($H:$H,$E:$E=F429))"),"#N/A")</f>
        <v>#N/A</v>
      </c>
    </row>
    <row r="430">
      <c r="A430" s="4"/>
      <c r="C430" s="4" t="s">
        <v>1730</v>
      </c>
      <c r="D430" s="4" t="str">
        <f t="shared" si="1"/>
        <v>{"valorA":"microondas","valorB":19}</v>
      </c>
      <c r="E430" s="8" t="str">
        <f t="shared" si="2"/>
        <v>microondas</v>
      </c>
      <c r="F430" s="8"/>
      <c r="G430" s="8" t="str">
        <f t="shared" si="3"/>
        <v>19</v>
      </c>
      <c r="H430" s="9">
        <f t="shared" si="4"/>
        <v>19</v>
      </c>
      <c r="I430" s="6" t="str">
        <f>IFERROR(__xludf.DUMMYFUNCTION("MAX(FILTER($H:$H,$E:$E=F430))"),"#N/A")</f>
        <v>#N/A</v>
      </c>
    </row>
    <row r="431">
      <c r="A431" s="4"/>
      <c r="C431" s="4" t="s">
        <v>2424</v>
      </c>
      <c r="D431" s="4" t="str">
        <f t="shared" si="1"/>
        <v>{"valorA":"chuveiro elétrico","valorB":20}</v>
      </c>
      <c r="E431" s="8" t="str">
        <f t="shared" si="2"/>
        <v>chuveiro elétrico</v>
      </c>
      <c r="F431" s="8"/>
      <c r="G431" s="8" t="str">
        <f t="shared" si="3"/>
        <v>20</v>
      </c>
      <c r="H431" s="9">
        <f t="shared" si="4"/>
        <v>20</v>
      </c>
      <c r="I431" s="6" t="str">
        <f>IFERROR(__xludf.DUMMYFUNCTION("MAX(FILTER($H:$H,$E:$E=F431))"),"#N/A")</f>
        <v>#N/A</v>
      </c>
    </row>
    <row r="432">
      <c r="A432" s="4"/>
      <c r="C432" s="4" t="s">
        <v>2596</v>
      </c>
      <c r="D432" s="4" t="str">
        <f t="shared" si="1"/>
        <v>{"valorA":"relógio","valorB":28}</v>
      </c>
      <c r="E432" s="8" t="str">
        <f t="shared" si="2"/>
        <v>relógio</v>
      </c>
      <c r="F432" s="8"/>
      <c r="G432" s="8" t="str">
        <f t="shared" si="3"/>
        <v>28</v>
      </c>
      <c r="H432" s="9">
        <f t="shared" si="4"/>
        <v>28</v>
      </c>
      <c r="I432" s="6" t="str">
        <f>IFERROR(__xludf.DUMMYFUNCTION("MAX(FILTER($H:$H,$E:$E=F432))"),"#N/A")</f>
        <v>#N/A</v>
      </c>
    </row>
    <row r="433">
      <c r="A433" s="4"/>
      <c r="C433" s="4" t="s">
        <v>2427</v>
      </c>
      <c r="D433" s="4" t="str">
        <f t="shared" si="1"/>
        <v>{"valorA":"chuveiro elétrico","valorB":21}</v>
      </c>
      <c r="E433" s="8" t="str">
        <f t="shared" si="2"/>
        <v>chuveiro elétrico</v>
      </c>
      <c r="F433" s="8"/>
      <c r="G433" s="8" t="str">
        <f t="shared" si="3"/>
        <v>21</v>
      </c>
      <c r="H433" s="9">
        <f t="shared" si="4"/>
        <v>21</v>
      </c>
      <c r="I433" s="6" t="str">
        <f>IFERROR(__xludf.DUMMYFUNCTION("MAX(FILTER($H:$H,$E:$E=F433))"),"#N/A")</f>
        <v>#N/A</v>
      </c>
    </row>
    <row r="434">
      <c r="A434" s="4"/>
      <c r="C434" s="4" t="s">
        <v>10962</v>
      </c>
      <c r="D434" s="4" t="str">
        <f t="shared" si="1"/>
        <v>{"valorA":"relógio","valorB":29}</v>
      </c>
      <c r="E434" s="8" t="str">
        <f t="shared" si="2"/>
        <v>relógio</v>
      </c>
      <c r="F434" s="8"/>
      <c r="G434" s="8" t="str">
        <f t="shared" si="3"/>
        <v>29</v>
      </c>
      <c r="H434" s="9">
        <f t="shared" si="4"/>
        <v>29</v>
      </c>
      <c r="I434" s="6" t="str">
        <f>IFERROR(__xludf.DUMMYFUNCTION("MAX(FILTER($H:$H,$E:$E=F434))"),"#N/A")</f>
        <v>#N/A</v>
      </c>
    </row>
    <row r="435">
      <c r="A435" s="4"/>
      <c r="C435" s="4" t="s">
        <v>10963</v>
      </c>
      <c r="D435" s="4" t="str">
        <f t="shared" si="1"/>
        <v>{"valorA":"relógio","valorB":30}</v>
      </c>
      <c r="E435" s="8" t="str">
        <f t="shared" si="2"/>
        <v>relógio</v>
      </c>
      <c r="F435" s="8"/>
      <c r="G435" s="8" t="str">
        <f t="shared" si="3"/>
        <v>30</v>
      </c>
      <c r="H435" s="9">
        <f t="shared" si="4"/>
        <v>30</v>
      </c>
      <c r="I435" s="6" t="str">
        <f>IFERROR(__xludf.DUMMYFUNCTION("MAX(FILTER($H:$H,$E:$E=F435))"),"#N/A")</f>
        <v>#N/A</v>
      </c>
    </row>
    <row r="436">
      <c r="A436" s="4"/>
      <c r="C436" s="4" t="s">
        <v>2478</v>
      </c>
      <c r="D436" s="4" t="str">
        <f t="shared" si="1"/>
        <v>{"valorA":"carregador de celular","valorB":16}</v>
      </c>
      <c r="E436" s="8" t="str">
        <f t="shared" si="2"/>
        <v>carregador de celular</v>
      </c>
      <c r="F436" s="8"/>
      <c r="G436" s="8" t="str">
        <f t="shared" si="3"/>
        <v>16</v>
      </c>
      <c r="H436" s="9">
        <f t="shared" si="4"/>
        <v>16</v>
      </c>
      <c r="I436" s="6" t="str">
        <f>IFERROR(__xludf.DUMMYFUNCTION("MAX(FILTER($H:$H,$E:$E=F436))"),"#N/A")</f>
        <v>#N/A</v>
      </c>
    </row>
    <row r="437">
      <c r="A437" s="4"/>
      <c r="C437" s="4" t="s">
        <v>2539</v>
      </c>
      <c r="D437" s="4" t="str">
        <f t="shared" si="1"/>
        <v>{"valorA":"aspirador","valorB":23}</v>
      </c>
      <c r="E437" s="8" t="str">
        <f t="shared" si="2"/>
        <v>aspirador</v>
      </c>
      <c r="F437" s="8"/>
      <c r="G437" s="8" t="str">
        <f t="shared" si="3"/>
        <v>23</v>
      </c>
      <c r="H437" s="9">
        <f t="shared" si="4"/>
        <v>23</v>
      </c>
      <c r="I437" s="6" t="str">
        <f>IFERROR(__xludf.DUMMYFUNCTION("MAX(FILTER($H:$H,$E:$E=F437))"),"#N/A")</f>
        <v>#N/A</v>
      </c>
    </row>
    <row r="438">
      <c r="A438" s="4"/>
      <c r="C438" s="4" t="s">
        <v>2450</v>
      </c>
      <c r="D438" s="4" t="str">
        <f t="shared" si="1"/>
        <v>{"valorA":"roteador","valorB":18}</v>
      </c>
      <c r="E438" s="8" t="str">
        <f t="shared" si="2"/>
        <v>roteador</v>
      </c>
      <c r="F438" s="8"/>
      <c r="G438" s="8" t="str">
        <f t="shared" si="3"/>
        <v>18</v>
      </c>
      <c r="H438" s="9">
        <f t="shared" si="4"/>
        <v>18</v>
      </c>
      <c r="I438" s="6" t="str">
        <f>IFERROR(__xludf.DUMMYFUNCTION("MAX(FILTER($H:$H,$E:$E=F438))"),"#N/A")</f>
        <v>#N/A</v>
      </c>
    </row>
    <row r="439">
      <c r="A439" s="4"/>
      <c r="C439" s="4" t="s">
        <v>10964</v>
      </c>
      <c r="D439" s="4" t="str">
        <f t="shared" si="1"/>
        <v>{"valorA":"purificador de água","valorB":32}</v>
      </c>
      <c r="E439" s="8" t="str">
        <f t="shared" si="2"/>
        <v>purificador de água</v>
      </c>
      <c r="F439" s="8"/>
      <c r="G439" s="8" t="str">
        <f t="shared" si="3"/>
        <v>32</v>
      </c>
      <c r="H439" s="9">
        <f t="shared" si="4"/>
        <v>32</v>
      </c>
      <c r="I439" s="6" t="str">
        <f>IFERROR(__xludf.DUMMYFUNCTION("MAX(FILTER($H:$H,$E:$E=F439))"),"#N/A")</f>
        <v>#N/A</v>
      </c>
    </row>
    <row r="440">
      <c r="A440" s="4"/>
      <c r="C440" s="4" t="s">
        <v>2572</v>
      </c>
      <c r="D440" s="4" t="str">
        <f t="shared" si="1"/>
        <v>{"valorA":"ventilador","valorB":27}</v>
      </c>
      <c r="E440" s="8" t="str">
        <f t="shared" si="2"/>
        <v>ventilador</v>
      </c>
      <c r="F440" s="8"/>
      <c r="G440" s="8" t="str">
        <f t="shared" si="3"/>
        <v>27</v>
      </c>
      <c r="H440" s="9">
        <f t="shared" si="4"/>
        <v>27</v>
      </c>
      <c r="I440" s="6" t="str">
        <f>IFERROR(__xludf.DUMMYFUNCTION("MAX(FILTER($H:$H,$E:$E=F440))"),"#N/A")</f>
        <v>#N/A</v>
      </c>
    </row>
    <row r="441">
      <c r="A441" s="4"/>
      <c r="C441" s="4" t="s">
        <v>10965</v>
      </c>
      <c r="D441" s="4" t="str">
        <f t="shared" si="1"/>
        <v>{"valorA":"relógio","valorB":31}</v>
      </c>
      <c r="E441" s="8" t="str">
        <f t="shared" si="2"/>
        <v>relógio</v>
      </c>
      <c r="F441" s="8"/>
      <c r="G441" s="8" t="str">
        <f t="shared" si="3"/>
        <v>31</v>
      </c>
      <c r="H441" s="9">
        <f t="shared" si="4"/>
        <v>31</v>
      </c>
      <c r="I441" s="6" t="str">
        <f>IFERROR(__xludf.DUMMYFUNCTION("MAX(FILTER($H:$H,$E:$E=F441))"),"#N/A")</f>
        <v>#N/A</v>
      </c>
    </row>
    <row r="442">
      <c r="A442" s="4"/>
      <c r="C442" s="4" t="s">
        <v>1734</v>
      </c>
      <c r="D442" s="4" t="str">
        <f t="shared" si="1"/>
        <v>{"valorA":"microondas","valorB":20}</v>
      </c>
      <c r="E442" s="8" t="str">
        <f t="shared" si="2"/>
        <v>microondas</v>
      </c>
      <c r="F442" s="8"/>
      <c r="G442" s="8" t="str">
        <f t="shared" si="3"/>
        <v>20</v>
      </c>
      <c r="H442" s="9">
        <f t="shared" si="4"/>
        <v>20</v>
      </c>
      <c r="I442" s="6" t="str">
        <f>IFERROR(__xludf.DUMMYFUNCTION("MAX(FILTER($H:$H,$E:$E=F442))"),"#N/A")</f>
        <v>#N/A</v>
      </c>
    </row>
    <row r="443">
      <c r="A443" s="4"/>
      <c r="C443" s="4" t="s">
        <v>2558</v>
      </c>
      <c r="D443" s="4" t="str">
        <f t="shared" si="1"/>
        <v>{"valorA":"celular","valorB":17}</v>
      </c>
      <c r="E443" s="8" t="str">
        <f t="shared" si="2"/>
        <v>celular</v>
      </c>
      <c r="F443" s="8"/>
      <c r="G443" s="8" t="str">
        <f t="shared" si="3"/>
        <v>17</v>
      </c>
      <c r="H443" s="9">
        <f t="shared" si="4"/>
        <v>17</v>
      </c>
      <c r="I443" s="6" t="str">
        <f>IFERROR(__xludf.DUMMYFUNCTION("MAX(FILTER($H:$H,$E:$E=F443))"),"#N/A")</f>
        <v>#N/A</v>
      </c>
    </row>
    <row r="444">
      <c r="A444" s="4"/>
      <c r="C444" s="4" t="s">
        <v>2587</v>
      </c>
      <c r="D444" s="4" t="str">
        <f t="shared" si="1"/>
        <v>{"valorA":"ventilador","valorB":28}</v>
      </c>
      <c r="E444" s="8" t="str">
        <f t="shared" si="2"/>
        <v>ventilador</v>
      </c>
      <c r="F444" s="8"/>
      <c r="G444" s="8" t="str">
        <f t="shared" si="3"/>
        <v>28</v>
      </c>
      <c r="H444" s="9">
        <f t="shared" si="4"/>
        <v>28</v>
      </c>
      <c r="I444" s="6" t="str">
        <f>IFERROR(__xludf.DUMMYFUNCTION("MAX(FILTER($H:$H,$E:$E=F444))"),"#N/A")</f>
        <v>#N/A</v>
      </c>
    </row>
    <row r="445">
      <c r="A445" s="4"/>
      <c r="C445" s="4" t="s">
        <v>2544</v>
      </c>
      <c r="D445" s="4" t="str">
        <f t="shared" si="1"/>
        <v>{"valorA":"aspirador","valorB":24}</v>
      </c>
      <c r="E445" s="8" t="str">
        <f t="shared" si="2"/>
        <v>aspirador</v>
      </c>
      <c r="F445" s="8"/>
      <c r="G445" s="8" t="str">
        <f t="shared" si="3"/>
        <v>24</v>
      </c>
      <c r="H445" s="9">
        <f t="shared" si="4"/>
        <v>24</v>
      </c>
      <c r="I445" s="6" t="str">
        <f>IFERROR(__xludf.DUMMYFUNCTION("MAX(FILTER($H:$H,$E:$E=F445))"),"#N/A")</f>
        <v>#N/A</v>
      </c>
    </row>
    <row r="446">
      <c r="A446" s="4"/>
      <c r="C446" s="4" t="s">
        <v>2484</v>
      </c>
      <c r="D446" s="4" t="str">
        <f t="shared" si="1"/>
        <v>{"valorA":"teclado de computador","valorB":24}</v>
      </c>
      <c r="E446" s="8" t="str">
        <f t="shared" si="2"/>
        <v>teclado de computador</v>
      </c>
      <c r="F446" s="8"/>
      <c r="G446" s="8" t="str">
        <f t="shared" si="3"/>
        <v>24</v>
      </c>
      <c r="H446" s="9">
        <f t="shared" si="4"/>
        <v>24</v>
      </c>
      <c r="I446" s="6" t="str">
        <f>IFERROR(__xludf.DUMMYFUNCTION("MAX(FILTER($H:$H,$E:$E=F446))"),"#N/A")</f>
        <v>#N/A</v>
      </c>
    </row>
    <row r="447">
      <c r="A447" s="4"/>
      <c r="C447" s="4" t="s">
        <v>2503</v>
      </c>
      <c r="D447" s="4" t="str">
        <f t="shared" si="1"/>
        <v>{"valorA":"teclado de computador","valorB":25}</v>
      </c>
      <c r="E447" s="8" t="str">
        <f t="shared" si="2"/>
        <v>teclado de computador</v>
      </c>
      <c r="F447" s="8"/>
      <c r="G447" s="8" t="str">
        <f t="shared" si="3"/>
        <v>25</v>
      </c>
      <c r="H447" s="9">
        <f t="shared" si="4"/>
        <v>25</v>
      </c>
      <c r="I447" s="6" t="str">
        <f>IFERROR(__xludf.DUMMYFUNCTION("MAX(FILTER($H:$H,$E:$E=F447))"),"#N/A")</f>
        <v>#N/A</v>
      </c>
    </row>
    <row r="448">
      <c r="A448" s="4"/>
      <c r="C448" s="4" t="s">
        <v>2563</v>
      </c>
      <c r="D448" s="4" t="str">
        <f t="shared" si="1"/>
        <v>{"valorA":"celular","valorB":18}</v>
      </c>
      <c r="E448" s="8" t="str">
        <f t="shared" si="2"/>
        <v>celular</v>
      </c>
      <c r="F448" s="8"/>
      <c r="G448" s="8" t="str">
        <f t="shared" si="3"/>
        <v>18</v>
      </c>
      <c r="H448" s="9">
        <f t="shared" si="4"/>
        <v>18</v>
      </c>
      <c r="I448" s="6" t="str">
        <f>IFERROR(__xludf.DUMMYFUNCTION("MAX(FILTER($H:$H,$E:$E=F448))"),"#N/A")</f>
        <v>#N/A</v>
      </c>
    </row>
    <row r="449">
      <c r="A449" s="4"/>
      <c r="C449" s="4" t="s">
        <v>3538</v>
      </c>
      <c r="D449" s="4" t="str">
        <f t="shared" si="1"/>
        <v>{"valorA":"lustre","valorB":23}</v>
      </c>
      <c r="E449" s="8" t="str">
        <f t="shared" si="2"/>
        <v>lustre</v>
      </c>
      <c r="F449" s="8"/>
      <c r="G449" s="8" t="str">
        <f t="shared" si="3"/>
        <v>23</v>
      </c>
      <c r="H449" s="9">
        <f t="shared" si="4"/>
        <v>23</v>
      </c>
      <c r="I449" s="6" t="str">
        <f>IFERROR(__xludf.DUMMYFUNCTION("MAX(FILTER($H:$H,$E:$E=F449))"),"#N/A")</f>
        <v>#N/A</v>
      </c>
    </row>
    <row r="450">
      <c r="A450" s="4"/>
      <c r="C450" s="4" t="s">
        <v>6513</v>
      </c>
      <c r="D450" s="4" t="str">
        <f t="shared" si="1"/>
        <v>{"valorA":"ventilador","valorB":29}</v>
      </c>
      <c r="E450" s="8" t="str">
        <f t="shared" si="2"/>
        <v>ventilador</v>
      </c>
      <c r="F450" s="8"/>
      <c r="G450" s="8" t="str">
        <f t="shared" si="3"/>
        <v>29</v>
      </c>
      <c r="H450" s="9">
        <f t="shared" si="4"/>
        <v>29</v>
      </c>
      <c r="I450" s="6" t="str">
        <f>IFERROR(__xludf.DUMMYFUNCTION("MAX(FILTER($H:$H,$E:$E=F450))"),"#N/A")</f>
        <v>#N/A</v>
      </c>
    </row>
    <row r="451">
      <c r="A451" s="4"/>
      <c r="C451" s="4" t="s">
        <v>1735</v>
      </c>
      <c r="D451" s="4" t="str">
        <f t="shared" si="1"/>
        <v>{"valorA":"microondas","valorB":21}</v>
      </c>
      <c r="E451" s="8" t="str">
        <f t="shared" si="2"/>
        <v>microondas</v>
      </c>
      <c r="F451" s="8"/>
      <c r="G451" s="8" t="str">
        <f t="shared" si="3"/>
        <v>21</v>
      </c>
      <c r="H451" s="9">
        <f t="shared" si="4"/>
        <v>21</v>
      </c>
      <c r="I451" s="6" t="str">
        <f>IFERROR(__xludf.DUMMYFUNCTION("MAX(FILTER($H:$H,$E:$E=F451))"),"#N/A")</f>
        <v>#N/A</v>
      </c>
    </row>
    <row r="452">
      <c r="A452" s="4"/>
      <c r="C452" s="4" t="s">
        <v>2505</v>
      </c>
      <c r="D452" s="4" t="str">
        <f t="shared" si="1"/>
        <v>{"valorA":"teclado de computador","valorB":26}</v>
      </c>
      <c r="E452" s="8" t="str">
        <f t="shared" si="2"/>
        <v>teclado de computador</v>
      </c>
      <c r="F452" s="8"/>
      <c r="G452" s="8" t="str">
        <f t="shared" si="3"/>
        <v>26</v>
      </c>
      <c r="H452" s="9">
        <f t="shared" si="4"/>
        <v>26</v>
      </c>
      <c r="I452" s="6" t="str">
        <f>IFERROR(__xludf.DUMMYFUNCTION("MAX(FILTER($H:$H,$E:$E=F452))"),"#N/A")</f>
        <v>#N/A</v>
      </c>
    </row>
    <row r="453">
      <c r="A453" s="4"/>
      <c r="C453" s="4" t="s">
        <v>2471</v>
      </c>
      <c r="D453" s="4" t="str">
        <f t="shared" si="1"/>
        <v>{"valorA":"computador","valorB":19}</v>
      </c>
      <c r="E453" s="8" t="str">
        <f t="shared" si="2"/>
        <v>computador</v>
      </c>
      <c r="F453" s="8"/>
      <c r="G453" s="8" t="str">
        <f t="shared" si="3"/>
        <v>19</v>
      </c>
      <c r="H453" s="9">
        <f t="shared" si="4"/>
        <v>19</v>
      </c>
      <c r="I453" s="6" t="str">
        <f>IFERROR(__xludf.DUMMYFUNCTION("MAX(FILTER($H:$H,$E:$E=F453))"),"#N/A")</f>
        <v>#N/A</v>
      </c>
    </row>
    <row r="454">
      <c r="A454" s="4"/>
      <c r="C454" s="4" t="s">
        <v>2481</v>
      </c>
      <c r="D454" s="4" t="str">
        <f t="shared" si="1"/>
        <v>{"valorA":"computador","valorB":20}</v>
      </c>
      <c r="E454" s="8" t="str">
        <f t="shared" si="2"/>
        <v>computador</v>
      </c>
      <c r="F454" s="8"/>
      <c r="G454" s="8" t="str">
        <f t="shared" si="3"/>
        <v>20</v>
      </c>
      <c r="H454" s="9">
        <f t="shared" si="4"/>
        <v>20</v>
      </c>
      <c r="I454" s="6" t="str">
        <f>IFERROR(__xludf.DUMMYFUNCTION("MAX(FILTER($H:$H,$E:$E=F454))"),"#N/A")</f>
        <v>#N/A</v>
      </c>
    </row>
    <row r="455">
      <c r="A455" s="4"/>
      <c r="C455" s="4" t="s">
        <v>1726</v>
      </c>
      <c r="D455" s="4" t="str">
        <f t="shared" si="1"/>
        <v>{"valorA":"ar condicionado","valorB":19}</v>
      </c>
      <c r="E455" s="8" t="str">
        <f t="shared" si="2"/>
        <v>ar condicionado</v>
      </c>
      <c r="F455" s="8"/>
      <c r="G455" s="8" t="str">
        <f t="shared" si="3"/>
        <v>19</v>
      </c>
      <c r="H455" s="9">
        <f t="shared" si="4"/>
        <v>19</v>
      </c>
      <c r="I455" s="6" t="str">
        <f>IFERROR(__xludf.DUMMYFUNCTION("MAX(FILTER($H:$H,$E:$E=F455))"),"#N/A")</f>
        <v>#N/A</v>
      </c>
    </row>
    <row r="456">
      <c r="A456" s="4"/>
      <c r="C456" s="4" t="s">
        <v>3552</v>
      </c>
      <c r="D456" s="4" t="str">
        <f t="shared" si="1"/>
        <v>{"valorA":"liquidificador","valorB":27}</v>
      </c>
      <c r="E456" s="8" t="str">
        <f t="shared" si="2"/>
        <v>liquidificador</v>
      </c>
      <c r="F456" s="8"/>
      <c r="G456" s="8" t="str">
        <f t="shared" si="3"/>
        <v>27</v>
      </c>
      <c r="H456" s="9">
        <f t="shared" si="4"/>
        <v>27</v>
      </c>
      <c r="I456" s="6" t="str">
        <f>IFERROR(__xludf.DUMMYFUNCTION("MAX(FILTER($H:$H,$E:$E=F456))"),"#N/A")</f>
        <v>#N/A</v>
      </c>
    </row>
    <row r="457">
      <c r="A457" s="4"/>
      <c r="C457" s="4" t="s">
        <v>2541</v>
      </c>
      <c r="D457" s="4" t="str">
        <f t="shared" si="1"/>
        <v>{"valorA":"carregador de celular","valorB":17}</v>
      </c>
      <c r="E457" s="8" t="str">
        <f t="shared" si="2"/>
        <v>carregador de celular</v>
      </c>
      <c r="F457" s="8"/>
      <c r="G457" s="8" t="str">
        <f t="shared" si="3"/>
        <v>17</v>
      </c>
      <c r="H457" s="9">
        <f t="shared" si="4"/>
        <v>17</v>
      </c>
      <c r="I457" s="6" t="str">
        <f>IFERROR(__xludf.DUMMYFUNCTION("MAX(FILTER($H:$H,$E:$E=F457))"),"#N/A")</f>
        <v>#N/A</v>
      </c>
    </row>
    <row r="458">
      <c r="A458" s="4"/>
      <c r="C458" s="4" t="s">
        <v>2591</v>
      </c>
      <c r="D458" s="4" t="str">
        <f t="shared" si="1"/>
        <v>{"valorA":"carregador de celular","valorB":18}</v>
      </c>
      <c r="E458" s="8" t="str">
        <f t="shared" si="2"/>
        <v>carregador de celular</v>
      </c>
      <c r="F458" s="8"/>
      <c r="G458" s="8" t="str">
        <f t="shared" si="3"/>
        <v>18</v>
      </c>
      <c r="H458" s="9">
        <f t="shared" si="4"/>
        <v>18</v>
      </c>
      <c r="I458" s="6" t="str">
        <f>IFERROR(__xludf.DUMMYFUNCTION("MAX(FILTER($H:$H,$E:$E=F458))"),"#N/A")</f>
        <v>#N/A</v>
      </c>
    </row>
    <row r="459">
      <c r="A459" s="4"/>
      <c r="C459" s="4" t="s">
        <v>2475</v>
      </c>
      <c r="D459" s="4" t="str">
        <f t="shared" si="1"/>
        <v>{"valorA":"roteador","valorB":19}</v>
      </c>
      <c r="E459" s="8" t="str">
        <f t="shared" si="2"/>
        <v>roteador</v>
      </c>
      <c r="F459" s="8"/>
      <c r="G459" s="8" t="str">
        <f t="shared" si="3"/>
        <v>19</v>
      </c>
      <c r="H459" s="9">
        <f t="shared" si="4"/>
        <v>19</v>
      </c>
      <c r="I459" s="6" t="str">
        <f>IFERROR(__xludf.DUMMYFUNCTION("MAX(FILTER($H:$H,$E:$E=F459))"),"#N/A")</f>
        <v>#N/A</v>
      </c>
    </row>
    <row r="460">
      <c r="A460" s="4"/>
      <c r="C460" s="4" t="s">
        <v>2543</v>
      </c>
      <c r="D460" s="4" t="str">
        <f t="shared" si="1"/>
        <v>{"valorA":"teclado de computador","valorB":27}</v>
      </c>
      <c r="E460" s="8" t="str">
        <f t="shared" si="2"/>
        <v>teclado de computador</v>
      </c>
      <c r="F460" s="8"/>
      <c r="G460" s="8" t="str">
        <f t="shared" si="3"/>
        <v>27</v>
      </c>
      <c r="H460" s="9">
        <f t="shared" si="4"/>
        <v>27</v>
      </c>
      <c r="I460" s="6" t="str">
        <f>IFERROR(__xludf.DUMMYFUNCTION("MAX(FILTER($H:$H,$E:$E=F460))"),"#N/A")</f>
        <v>#N/A</v>
      </c>
    </row>
    <row r="461">
      <c r="A461" s="4"/>
      <c r="C461" s="4" t="s">
        <v>6515</v>
      </c>
      <c r="D461" s="4" t="str">
        <f t="shared" si="1"/>
        <v>{"valorA":"ventilador","valorB":30}</v>
      </c>
      <c r="E461" s="8" t="str">
        <f t="shared" si="2"/>
        <v>ventilador</v>
      </c>
      <c r="F461" s="8"/>
      <c r="G461" s="8" t="str">
        <f t="shared" si="3"/>
        <v>30</v>
      </c>
      <c r="H461" s="9">
        <f t="shared" si="4"/>
        <v>30</v>
      </c>
      <c r="I461" s="6" t="str">
        <f>IFERROR(__xludf.DUMMYFUNCTION("MAX(FILTER($H:$H,$E:$E=F461))"),"#N/A")</f>
        <v>#N/A</v>
      </c>
    </row>
    <row r="462">
      <c r="A462" s="4"/>
      <c r="C462" s="4" t="s">
        <v>1687</v>
      </c>
      <c r="D462" s="4" t="str">
        <f t="shared" si="1"/>
        <v>{"valorA":"freezer","valorB":29}</v>
      </c>
      <c r="E462" s="8" t="str">
        <f t="shared" si="2"/>
        <v>freezer</v>
      </c>
      <c r="F462" s="8"/>
      <c r="G462" s="8" t="str">
        <f t="shared" si="3"/>
        <v>29</v>
      </c>
      <c r="H462" s="9">
        <f t="shared" si="4"/>
        <v>29</v>
      </c>
      <c r="I462" s="6" t="str">
        <f>IFERROR(__xludf.DUMMYFUNCTION("MAX(FILTER($H:$H,$E:$E=F462))"),"#N/A")</f>
        <v>#N/A</v>
      </c>
    </row>
    <row r="463">
      <c r="A463" s="4"/>
      <c r="C463" s="4" t="s">
        <v>2354</v>
      </c>
      <c r="D463" s="4" t="str">
        <f t="shared" si="1"/>
        <v>{"valorA":"filtro de linha","valorB":12}</v>
      </c>
      <c r="E463" s="8" t="str">
        <f t="shared" si="2"/>
        <v>filtro de linha</v>
      </c>
      <c r="F463" s="8"/>
      <c r="G463" s="8" t="str">
        <f t="shared" si="3"/>
        <v>12</v>
      </c>
      <c r="H463" s="9">
        <f t="shared" si="4"/>
        <v>12</v>
      </c>
      <c r="I463" s="6" t="str">
        <f>IFERROR(__xludf.DUMMYFUNCTION("MAX(FILTER($H:$H,$E:$E=F463))"),"#N/A")</f>
        <v>#N/A</v>
      </c>
    </row>
    <row r="464">
      <c r="A464" s="4"/>
      <c r="C464" s="4" t="s">
        <v>10966</v>
      </c>
      <c r="D464" s="4" t="str">
        <f t="shared" si="1"/>
        <v>{"valorA":"fogão","valorB":30}</v>
      </c>
      <c r="E464" s="8" t="str">
        <f t="shared" si="2"/>
        <v>fogão</v>
      </c>
      <c r="F464" s="8"/>
      <c r="G464" s="8" t="str">
        <f t="shared" si="3"/>
        <v>30</v>
      </c>
      <c r="H464" s="9">
        <f t="shared" si="4"/>
        <v>30</v>
      </c>
      <c r="I464" s="6" t="str">
        <f>IFERROR(__xludf.DUMMYFUNCTION("MAX(FILTER($H:$H,$E:$E=F464))"),"#N/A")</f>
        <v>#N/A</v>
      </c>
    </row>
    <row r="465">
      <c r="A465" s="4"/>
      <c r="C465" s="4" t="s">
        <v>2547</v>
      </c>
      <c r="D465" s="4" t="str">
        <f t="shared" si="1"/>
        <v>{"valorA":"aspirador","valorB":25}</v>
      </c>
      <c r="E465" s="8" t="str">
        <f t="shared" si="2"/>
        <v>aspirador</v>
      </c>
      <c r="F465" s="8"/>
      <c r="G465" s="8" t="str">
        <f t="shared" si="3"/>
        <v>25</v>
      </c>
      <c r="H465" s="9">
        <f t="shared" si="4"/>
        <v>25</v>
      </c>
      <c r="I465" s="6" t="str">
        <f>IFERROR(__xludf.DUMMYFUNCTION("MAX(FILTER($H:$H,$E:$E=F465))"),"#N/A")</f>
        <v>#N/A</v>
      </c>
    </row>
    <row r="466">
      <c r="A466" s="4"/>
      <c r="C466" s="4" t="s">
        <v>2552</v>
      </c>
      <c r="D466" s="4" t="str">
        <f t="shared" si="1"/>
        <v>{"valorA":"aspirador","valorB":26}</v>
      </c>
      <c r="E466" s="8" t="str">
        <f t="shared" si="2"/>
        <v>aspirador</v>
      </c>
      <c r="F466" s="8"/>
      <c r="G466" s="8" t="str">
        <f t="shared" si="3"/>
        <v>26</v>
      </c>
      <c r="H466" s="9">
        <f t="shared" si="4"/>
        <v>26</v>
      </c>
      <c r="I466" s="6" t="str">
        <f>IFERROR(__xludf.DUMMYFUNCTION("MAX(FILTER($H:$H,$E:$E=F466))"),"#N/A")</f>
        <v>#N/A</v>
      </c>
    </row>
    <row r="467">
      <c r="A467" s="4"/>
      <c r="C467" s="4" t="s">
        <v>3517</v>
      </c>
      <c r="D467" s="4" t="str">
        <f t="shared" si="1"/>
        <v>{"valorA":"carregador de celular","valorB":19}</v>
      </c>
      <c r="E467" s="8" t="str">
        <f t="shared" si="2"/>
        <v>carregador de celular</v>
      </c>
      <c r="F467" s="8"/>
      <c r="G467" s="8" t="str">
        <f t="shared" si="3"/>
        <v>19</v>
      </c>
      <c r="H467" s="9">
        <f t="shared" si="4"/>
        <v>19</v>
      </c>
      <c r="I467" s="6" t="str">
        <f>IFERROR(__xludf.DUMMYFUNCTION("MAX(FILTER($H:$H,$E:$E=F467))"),"#N/A")</f>
        <v>#N/A</v>
      </c>
    </row>
    <row r="468">
      <c r="A468" s="4"/>
      <c r="C468" s="4" t="s">
        <v>2577</v>
      </c>
      <c r="D468" s="4" t="str">
        <f t="shared" si="1"/>
        <v>{"valorA":"aspirador","valorB":27}</v>
      </c>
      <c r="E468" s="8" t="str">
        <f t="shared" si="2"/>
        <v>aspirador</v>
      </c>
      <c r="F468" s="8"/>
      <c r="G468" s="8" t="str">
        <f t="shared" si="3"/>
        <v>27</v>
      </c>
      <c r="H468" s="9">
        <f t="shared" si="4"/>
        <v>27</v>
      </c>
      <c r="I468" s="6" t="str">
        <f>IFERROR(__xludf.DUMMYFUNCTION("MAX(FILTER($H:$H,$E:$E=F468))"),"#N/A")</f>
        <v>#N/A</v>
      </c>
    </row>
    <row r="469">
      <c r="A469" s="4"/>
      <c r="C469" s="4" t="s">
        <v>3541</v>
      </c>
      <c r="D469" s="4" t="str">
        <f t="shared" si="1"/>
        <v>{"valorA":"lustre","valorB":24}</v>
      </c>
      <c r="E469" s="8" t="str">
        <f t="shared" si="2"/>
        <v>lustre</v>
      </c>
      <c r="F469" s="8"/>
      <c r="G469" s="8" t="str">
        <f t="shared" si="3"/>
        <v>24</v>
      </c>
      <c r="H469" s="9">
        <f t="shared" si="4"/>
        <v>24</v>
      </c>
      <c r="I469" s="6" t="str">
        <f>IFERROR(__xludf.DUMMYFUNCTION("MAX(FILTER($H:$H,$E:$E=F469))"),"#N/A")</f>
        <v>#N/A</v>
      </c>
    </row>
    <row r="470">
      <c r="A470" s="4"/>
      <c r="C470" s="4" t="s">
        <v>10967</v>
      </c>
      <c r="D470" s="4" t="str">
        <f t="shared" si="1"/>
        <v>{"valorA":"purificador de água","valorB":33}</v>
      </c>
      <c r="E470" s="8" t="str">
        <f t="shared" si="2"/>
        <v>purificador de água</v>
      </c>
      <c r="F470" s="8"/>
      <c r="G470" s="8" t="str">
        <f t="shared" si="3"/>
        <v>33</v>
      </c>
      <c r="H470" s="9">
        <f t="shared" si="4"/>
        <v>33</v>
      </c>
      <c r="I470" s="6" t="str">
        <f>IFERROR(__xludf.DUMMYFUNCTION("MAX(FILTER($H:$H,$E:$E=F470))"),"#N/A")</f>
        <v>#N/A</v>
      </c>
    </row>
    <row r="471">
      <c r="A471" s="4"/>
      <c r="C471" s="4" t="s">
        <v>2477</v>
      </c>
      <c r="D471" s="4" t="str">
        <f t="shared" si="1"/>
        <v>{"valorA":"roteador","valorB":20}</v>
      </c>
      <c r="E471" s="8" t="str">
        <f t="shared" si="2"/>
        <v>roteador</v>
      </c>
      <c r="F471" s="8"/>
      <c r="G471" s="8" t="str">
        <f t="shared" si="3"/>
        <v>20</v>
      </c>
      <c r="H471" s="9">
        <f t="shared" si="4"/>
        <v>20</v>
      </c>
      <c r="I471" s="6" t="str">
        <f>IFERROR(__xludf.DUMMYFUNCTION("MAX(FILTER($H:$H,$E:$E=F471))"),"#N/A")</f>
        <v>#N/A</v>
      </c>
    </row>
    <row r="472">
      <c r="A472" s="4"/>
      <c r="C472" s="4" t="s">
        <v>2531</v>
      </c>
      <c r="D472" s="4" t="str">
        <f t="shared" si="1"/>
        <v>{"valorA":"mouse de computador","valorB":14}</v>
      </c>
      <c r="E472" s="8" t="str">
        <f t="shared" si="2"/>
        <v>mouse de computador</v>
      </c>
      <c r="F472" s="8"/>
      <c r="G472" s="8" t="str">
        <f t="shared" si="3"/>
        <v>14</v>
      </c>
      <c r="H472" s="9">
        <f t="shared" si="4"/>
        <v>14</v>
      </c>
      <c r="I472" s="6" t="str">
        <f>IFERROR(__xludf.DUMMYFUNCTION("MAX(FILTER($H:$H,$E:$E=F472))"),"#N/A")</f>
        <v>#N/A</v>
      </c>
    </row>
    <row r="473">
      <c r="A473" s="4"/>
      <c r="C473" s="4" t="s">
        <v>2580</v>
      </c>
      <c r="D473" s="4" t="str">
        <f t="shared" si="1"/>
        <v>{"valorA":"aspirador","valorB":28}</v>
      </c>
      <c r="E473" s="8" t="str">
        <f t="shared" si="2"/>
        <v>aspirador</v>
      </c>
      <c r="F473" s="8"/>
      <c r="G473" s="8" t="str">
        <f t="shared" si="3"/>
        <v>28</v>
      </c>
      <c r="H473" s="9">
        <f t="shared" si="4"/>
        <v>28</v>
      </c>
      <c r="I473" s="6" t="str">
        <f>IFERROR(__xludf.DUMMYFUNCTION("MAX(FILTER($H:$H,$E:$E=F473))"),"#N/A")</f>
        <v>#N/A</v>
      </c>
    </row>
    <row r="474">
      <c r="A474" s="4"/>
      <c r="C474" s="4" t="s">
        <v>3518</v>
      </c>
      <c r="D474" s="4" t="str">
        <f t="shared" si="1"/>
        <v>{"valorA":"carregador de celular","valorB":20}</v>
      </c>
      <c r="E474" s="8" t="str">
        <f t="shared" si="2"/>
        <v>carregador de celular</v>
      </c>
      <c r="F474" s="8"/>
      <c r="G474" s="8" t="str">
        <f t="shared" si="3"/>
        <v>20</v>
      </c>
      <c r="H474" s="9">
        <f t="shared" si="4"/>
        <v>20</v>
      </c>
      <c r="I474" s="6" t="str">
        <f>IFERROR(__xludf.DUMMYFUNCTION("MAX(FILTER($H:$H,$E:$E=F474))"),"#N/A")</f>
        <v>#N/A</v>
      </c>
    </row>
    <row r="475">
      <c r="A475" s="4"/>
      <c r="C475" s="4" t="s">
        <v>2581</v>
      </c>
      <c r="D475" s="4" t="str">
        <f t="shared" si="1"/>
        <v>{"valorA":"fone de ouvido","valorB":22}</v>
      </c>
      <c r="E475" s="8" t="str">
        <f t="shared" si="2"/>
        <v>fone de ouvido</v>
      </c>
      <c r="F475" s="8"/>
      <c r="G475" s="8" t="str">
        <f t="shared" si="3"/>
        <v>22</v>
      </c>
      <c r="H475" s="9">
        <f t="shared" si="4"/>
        <v>22</v>
      </c>
      <c r="I475" s="6" t="str">
        <f>IFERROR(__xludf.DUMMYFUNCTION("MAX(FILTER($H:$H,$E:$E=F475))"),"#N/A")</f>
        <v>#N/A</v>
      </c>
    </row>
    <row r="476">
      <c r="A476" s="4"/>
      <c r="C476" s="4" t="s">
        <v>2532</v>
      </c>
      <c r="D476" s="4" t="str">
        <f t="shared" si="1"/>
        <v>{"valorA":"mouse de computador","valorB":15}</v>
      </c>
      <c r="E476" s="8" t="str">
        <f t="shared" si="2"/>
        <v>mouse de computador</v>
      </c>
      <c r="F476" s="8"/>
      <c r="G476" s="8" t="str">
        <f t="shared" si="3"/>
        <v>15</v>
      </c>
      <c r="H476" s="9">
        <f t="shared" si="4"/>
        <v>15</v>
      </c>
      <c r="I476" s="6" t="str">
        <f>IFERROR(__xludf.DUMMYFUNCTION("MAX(FILTER($H:$H,$E:$E=F476))"),"#N/A")</f>
        <v>#N/A</v>
      </c>
    </row>
    <row r="477">
      <c r="A477" s="4"/>
      <c r="C477" s="4" t="s">
        <v>2570</v>
      </c>
      <c r="D477" s="4" t="str">
        <f t="shared" si="1"/>
        <v>{"valorA":"celular","valorB":19}</v>
      </c>
      <c r="E477" s="8" t="str">
        <f t="shared" si="2"/>
        <v>celular</v>
      </c>
      <c r="F477" s="8"/>
      <c r="G477" s="8" t="str">
        <f t="shared" si="3"/>
        <v>19</v>
      </c>
      <c r="H477" s="9">
        <f t="shared" si="4"/>
        <v>19</v>
      </c>
      <c r="I477" s="6" t="str">
        <f>IFERROR(__xludf.DUMMYFUNCTION("MAX(FILTER($H:$H,$E:$E=F477))"),"#N/A")</f>
        <v>#N/A</v>
      </c>
    </row>
    <row r="478">
      <c r="A478" s="4"/>
      <c r="C478" s="4" t="s">
        <v>10968</v>
      </c>
      <c r="D478" s="4" t="str">
        <f t="shared" si="1"/>
        <v>{"valorA":"relógio","valorB":32}</v>
      </c>
      <c r="E478" s="8" t="str">
        <f t="shared" si="2"/>
        <v>relógio</v>
      </c>
      <c r="F478" s="8"/>
      <c r="G478" s="8" t="str">
        <f t="shared" si="3"/>
        <v>32</v>
      </c>
      <c r="H478" s="9">
        <f t="shared" si="4"/>
        <v>32</v>
      </c>
      <c r="I478" s="6" t="str">
        <f>IFERROR(__xludf.DUMMYFUNCTION("MAX(FILTER($H:$H,$E:$E=F478))"),"#N/A")</f>
        <v>#N/A</v>
      </c>
    </row>
    <row r="479">
      <c r="A479" s="4"/>
      <c r="C479" s="4" t="s">
        <v>10969</v>
      </c>
      <c r="D479" s="4" t="str">
        <f t="shared" si="1"/>
        <v>{"valorA":"carregador de computador","valorB":29}</v>
      </c>
      <c r="E479" s="8" t="str">
        <f t="shared" si="2"/>
        <v>carregador de computador</v>
      </c>
      <c r="F479" s="8"/>
      <c r="G479" s="8" t="str">
        <f t="shared" si="3"/>
        <v>29</v>
      </c>
      <c r="H479" s="9">
        <f t="shared" si="4"/>
        <v>29</v>
      </c>
      <c r="I479" s="6" t="str">
        <f>IFERROR(__xludf.DUMMYFUNCTION("MAX(FILTER($H:$H,$E:$E=F479))"),"#N/A")</f>
        <v>#N/A</v>
      </c>
    </row>
    <row r="480">
      <c r="A480" s="4"/>
      <c r="C480" s="4" t="s">
        <v>1729</v>
      </c>
      <c r="D480" s="4" t="str">
        <f t="shared" si="1"/>
        <v>{"valorA":"ar condicionado","valorB":20}</v>
      </c>
      <c r="E480" s="8" t="str">
        <f t="shared" si="2"/>
        <v>ar condicionado</v>
      </c>
      <c r="F480" s="8"/>
      <c r="G480" s="8" t="str">
        <f t="shared" si="3"/>
        <v>20</v>
      </c>
      <c r="H480" s="9">
        <f t="shared" si="4"/>
        <v>20</v>
      </c>
      <c r="I480" s="6" t="str">
        <f>IFERROR(__xludf.DUMMYFUNCTION("MAX(FILTER($H:$H,$E:$E=F480))"),"#N/A")</f>
        <v>#N/A</v>
      </c>
    </row>
    <row r="481">
      <c r="A481" s="4"/>
      <c r="C481" s="4" t="s">
        <v>1688</v>
      </c>
      <c r="D481" s="4" t="str">
        <f t="shared" si="1"/>
        <v>{"valorA":"freezer","valorB":30}</v>
      </c>
      <c r="E481" s="8" t="str">
        <f t="shared" si="2"/>
        <v>freezer</v>
      </c>
      <c r="F481" s="8"/>
      <c r="G481" s="8" t="str">
        <f t="shared" si="3"/>
        <v>30</v>
      </c>
      <c r="H481" s="9">
        <f t="shared" si="4"/>
        <v>30</v>
      </c>
      <c r="I481" s="6" t="str">
        <f>IFERROR(__xludf.DUMMYFUNCTION("MAX(FILTER($H:$H,$E:$E=F481))"),"#N/A")</f>
        <v>#N/A</v>
      </c>
    </row>
    <row r="482">
      <c r="A482" s="4"/>
      <c r="C482" s="4" t="s">
        <v>1737</v>
      </c>
      <c r="D482" s="4" t="str">
        <f t="shared" si="1"/>
        <v>{"valorA":"microondas","valorB":22}</v>
      </c>
      <c r="E482" s="8" t="str">
        <f t="shared" si="2"/>
        <v>microondas</v>
      </c>
      <c r="F482" s="8"/>
      <c r="G482" s="8" t="str">
        <f t="shared" si="3"/>
        <v>22</v>
      </c>
      <c r="H482" s="9">
        <f t="shared" si="4"/>
        <v>22</v>
      </c>
      <c r="I482" s="6" t="str">
        <f>IFERROR(__xludf.DUMMYFUNCTION("MAX(FILTER($H:$H,$E:$E=F482))"),"#N/A")</f>
        <v>#N/A</v>
      </c>
    </row>
    <row r="483">
      <c r="A483" s="4"/>
      <c r="C483" s="4" t="s">
        <v>2488</v>
      </c>
      <c r="D483" s="4" t="str">
        <f t="shared" si="1"/>
        <v>{"valorA":"computador","valorB":21}</v>
      </c>
      <c r="E483" s="8" t="str">
        <f t="shared" si="2"/>
        <v>computador</v>
      </c>
      <c r="F483" s="8"/>
      <c r="G483" s="8" t="str">
        <f t="shared" si="3"/>
        <v>21</v>
      </c>
      <c r="H483" s="9">
        <f t="shared" si="4"/>
        <v>21</v>
      </c>
      <c r="I483" s="6" t="str">
        <f>IFERROR(__xludf.DUMMYFUNCTION("MAX(FILTER($H:$H,$E:$E=F483))"),"#N/A")</f>
        <v>#N/A</v>
      </c>
    </row>
    <row r="484">
      <c r="A484" s="4"/>
      <c r="C484" s="4" t="s">
        <v>2538</v>
      </c>
      <c r="D484" s="4" t="str">
        <f t="shared" si="1"/>
        <v>{"valorA":"mouse de computador","valorB":16}</v>
      </c>
      <c r="E484" s="8" t="str">
        <f t="shared" si="2"/>
        <v>mouse de computador</v>
      </c>
      <c r="F484" s="8"/>
      <c r="G484" s="8" t="str">
        <f t="shared" si="3"/>
        <v>16</v>
      </c>
      <c r="H484" s="9">
        <f t="shared" si="4"/>
        <v>16</v>
      </c>
      <c r="I484" s="6" t="str">
        <f>IFERROR(__xludf.DUMMYFUNCTION("MAX(FILTER($H:$H,$E:$E=F484))"),"#N/A")</f>
        <v>#N/A</v>
      </c>
    </row>
    <row r="485">
      <c r="A485" s="4"/>
      <c r="C485" s="4" t="s">
        <v>2376</v>
      </c>
      <c r="D485" s="4" t="str">
        <f t="shared" si="1"/>
        <v>{"valorA":"filtro de linha","valorB":13}</v>
      </c>
      <c r="E485" s="8" t="str">
        <f t="shared" si="2"/>
        <v>filtro de linha</v>
      </c>
      <c r="F485" s="8"/>
      <c r="G485" s="8" t="str">
        <f t="shared" si="3"/>
        <v>13</v>
      </c>
      <c r="H485" s="9">
        <f t="shared" si="4"/>
        <v>13</v>
      </c>
      <c r="I485" s="6" t="str">
        <f>IFERROR(__xludf.DUMMYFUNCTION("MAX(FILTER($H:$H,$E:$E=F485))"),"#N/A")</f>
        <v>#N/A</v>
      </c>
    </row>
    <row r="486">
      <c r="A486" s="4"/>
      <c r="C486" s="4" t="s">
        <v>2513</v>
      </c>
      <c r="D486" s="4" t="str">
        <f t="shared" si="1"/>
        <v>{"valorA":"computador","valorB":22}</v>
      </c>
      <c r="E486" s="8" t="str">
        <f t="shared" si="2"/>
        <v>computador</v>
      </c>
      <c r="F486" s="8"/>
      <c r="G486" s="8" t="str">
        <f t="shared" si="3"/>
        <v>22</v>
      </c>
      <c r="H486" s="9">
        <f t="shared" si="4"/>
        <v>22</v>
      </c>
      <c r="I486" s="6" t="str">
        <f>IFERROR(__xludf.DUMMYFUNCTION("MAX(FILTER($H:$H,$E:$E=F486))"),"#N/A")</f>
        <v>#N/A</v>
      </c>
    </row>
    <row r="487">
      <c r="A487" s="4"/>
      <c r="C487" s="4" t="s">
        <v>2438</v>
      </c>
      <c r="D487" s="4" t="str">
        <f t="shared" si="1"/>
        <v>{"valorA":"chuveiro elétrico","valorB":22}</v>
      </c>
      <c r="E487" s="8" t="str">
        <f t="shared" si="2"/>
        <v>chuveiro elétrico</v>
      </c>
      <c r="F487" s="8"/>
      <c r="G487" s="8" t="str">
        <f t="shared" si="3"/>
        <v>22</v>
      </c>
      <c r="H487" s="9">
        <f t="shared" si="4"/>
        <v>22</v>
      </c>
      <c r="I487" s="6" t="str">
        <f>IFERROR(__xludf.DUMMYFUNCTION("MAX(FILTER($H:$H,$E:$E=F487))"),"#N/A")</f>
        <v>#N/A</v>
      </c>
    </row>
    <row r="488">
      <c r="A488" s="4"/>
      <c r="C488" s="4" t="s">
        <v>2561</v>
      </c>
      <c r="D488" s="4" t="str">
        <f t="shared" si="1"/>
        <v>{"valorA":"teclado de computador","valorB":28}</v>
      </c>
      <c r="E488" s="8" t="str">
        <f t="shared" si="2"/>
        <v>teclado de computador</v>
      </c>
      <c r="F488" s="8"/>
      <c r="G488" s="8" t="str">
        <f t="shared" si="3"/>
        <v>28</v>
      </c>
      <c r="H488" s="9">
        <f t="shared" si="4"/>
        <v>28</v>
      </c>
      <c r="I488" s="6" t="str">
        <f>IFERROR(__xludf.DUMMYFUNCTION("MAX(FILTER($H:$H,$E:$E=F488))"),"#N/A")</f>
        <v>#N/A</v>
      </c>
    </row>
    <row r="489">
      <c r="A489" s="4"/>
      <c r="C489" s="4" t="s">
        <v>2594</v>
      </c>
      <c r="D489" s="4" t="str">
        <f t="shared" si="1"/>
        <v>{"valorA":"fone de ouvido","valorB":23}</v>
      </c>
      <c r="E489" s="8" t="str">
        <f t="shared" si="2"/>
        <v>fone de ouvido</v>
      </c>
      <c r="F489" s="8"/>
      <c r="G489" s="8" t="str">
        <f t="shared" si="3"/>
        <v>23</v>
      </c>
      <c r="H489" s="9">
        <f t="shared" si="4"/>
        <v>23</v>
      </c>
      <c r="I489" s="6" t="str">
        <f>IFERROR(__xludf.DUMMYFUNCTION("MAX(FILTER($H:$H,$E:$E=F489))"),"#N/A")</f>
        <v>#N/A</v>
      </c>
    </row>
    <row r="490">
      <c r="A490" s="4"/>
      <c r="C490" s="4" t="s">
        <v>10970</v>
      </c>
      <c r="D490" s="4" t="str">
        <f t="shared" si="1"/>
        <v>{"valorA":"fogão","valorB":31}</v>
      </c>
      <c r="E490" s="8" t="str">
        <f t="shared" si="2"/>
        <v>fogão</v>
      </c>
      <c r="F490" s="8"/>
      <c r="G490" s="8" t="str">
        <f t="shared" si="3"/>
        <v>31</v>
      </c>
      <c r="H490" s="9">
        <f t="shared" si="4"/>
        <v>31</v>
      </c>
      <c r="I490" s="6" t="str">
        <f>IFERROR(__xludf.DUMMYFUNCTION("MAX(FILTER($H:$H,$E:$E=F490))"),"#N/A")</f>
        <v>#N/A</v>
      </c>
    </row>
    <row r="491">
      <c r="A491" s="4"/>
      <c r="C491" s="4" t="s">
        <v>2589</v>
      </c>
      <c r="D491" s="4" t="str">
        <f t="shared" si="1"/>
        <v>{"valorA":"aspirador","valorB":29}</v>
      </c>
      <c r="E491" s="8" t="str">
        <f t="shared" si="2"/>
        <v>aspirador</v>
      </c>
      <c r="F491" s="8"/>
      <c r="G491" s="8" t="str">
        <f t="shared" si="3"/>
        <v>29</v>
      </c>
      <c r="H491" s="9">
        <f t="shared" si="4"/>
        <v>29</v>
      </c>
      <c r="I491" s="6" t="str">
        <f>IFERROR(__xludf.DUMMYFUNCTION("MAX(FILTER($H:$H,$E:$E=F491))"),"#N/A")</f>
        <v>#N/A</v>
      </c>
    </row>
    <row r="492">
      <c r="A492" s="4"/>
      <c r="C492" s="4" t="s">
        <v>10971</v>
      </c>
      <c r="D492" s="4" t="str">
        <f t="shared" si="1"/>
        <v>{"valorA":"carregador de computador","valorB":30}</v>
      </c>
      <c r="E492" s="8" t="str">
        <f t="shared" si="2"/>
        <v>carregador de computador</v>
      </c>
      <c r="F492" s="8"/>
      <c r="G492" s="8" t="str">
        <f t="shared" si="3"/>
        <v>30</v>
      </c>
      <c r="H492" s="9">
        <f t="shared" si="4"/>
        <v>30</v>
      </c>
      <c r="I492" s="6" t="str">
        <f>IFERROR(__xludf.DUMMYFUNCTION("MAX(FILTER($H:$H,$E:$E=F492))"),"#N/A")</f>
        <v>#N/A</v>
      </c>
    </row>
    <row r="493">
      <c r="A493" s="4"/>
      <c r="C493" s="4" t="s">
        <v>2588</v>
      </c>
      <c r="D493" s="4" t="str">
        <f t="shared" si="1"/>
        <v>{"valorA":"teclado de computador","valorB":29}</v>
      </c>
      <c r="E493" s="8" t="str">
        <f t="shared" si="2"/>
        <v>teclado de computador</v>
      </c>
      <c r="F493" s="8"/>
      <c r="G493" s="8" t="str">
        <f t="shared" si="3"/>
        <v>29</v>
      </c>
      <c r="H493" s="9">
        <f t="shared" si="4"/>
        <v>29</v>
      </c>
      <c r="I493" s="6" t="str">
        <f>IFERROR(__xludf.DUMMYFUNCTION("MAX(FILTER($H:$H,$E:$E=F493))"),"#N/A")</f>
        <v>#N/A</v>
      </c>
    </row>
    <row r="494">
      <c r="A494" s="4"/>
      <c r="C494" s="4" t="s">
        <v>2592</v>
      </c>
      <c r="D494" s="4" t="str">
        <f t="shared" si="1"/>
        <v>{"valorA":"aspirador","valorB":30}</v>
      </c>
      <c r="E494" s="8" t="str">
        <f t="shared" si="2"/>
        <v>aspirador</v>
      </c>
      <c r="F494" s="8"/>
      <c r="G494" s="8" t="str">
        <f t="shared" si="3"/>
        <v>30</v>
      </c>
      <c r="H494" s="9">
        <f t="shared" si="4"/>
        <v>30</v>
      </c>
      <c r="I494" s="6" t="str">
        <f>IFERROR(__xludf.DUMMYFUNCTION("MAX(FILTER($H:$H,$E:$E=F494))"),"#N/A")</f>
        <v>#N/A</v>
      </c>
    </row>
    <row r="495">
      <c r="A495" s="4"/>
      <c r="C495" s="4" t="s">
        <v>2582</v>
      </c>
      <c r="D495" s="4" t="str">
        <f t="shared" si="1"/>
        <v>{"valorA":"celular","valorB":20}</v>
      </c>
      <c r="E495" s="8" t="str">
        <f t="shared" si="2"/>
        <v>celular</v>
      </c>
      <c r="F495" s="8"/>
      <c r="G495" s="8" t="str">
        <f t="shared" si="3"/>
        <v>20</v>
      </c>
      <c r="H495" s="9">
        <f t="shared" si="4"/>
        <v>20</v>
      </c>
      <c r="I495" s="6" t="str">
        <f>IFERROR(__xludf.DUMMYFUNCTION("MAX(FILTER($H:$H,$E:$E=F495))"),"#N/A")</f>
        <v>#N/A</v>
      </c>
    </row>
    <row r="496">
      <c r="A496" s="4"/>
      <c r="C496" s="4" t="s">
        <v>6516</v>
      </c>
      <c r="D496" s="4" t="str">
        <f t="shared" si="1"/>
        <v>{"valorA":"ventilador","valorB":31}</v>
      </c>
      <c r="E496" s="8" t="str">
        <f t="shared" si="2"/>
        <v>ventilador</v>
      </c>
      <c r="F496" s="8"/>
      <c r="G496" s="8" t="str">
        <f t="shared" si="3"/>
        <v>31</v>
      </c>
      <c r="H496" s="9">
        <f t="shared" si="4"/>
        <v>31</v>
      </c>
      <c r="I496" s="6" t="str">
        <f>IFERROR(__xludf.DUMMYFUNCTION("MAX(FILTER($H:$H,$E:$E=F496))"),"#N/A")</f>
        <v>#N/A</v>
      </c>
    </row>
    <row r="497">
      <c r="A497" s="4"/>
      <c r="C497" s="4" t="s">
        <v>2394</v>
      </c>
      <c r="D497" s="4" t="str">
        <f t="shared" si="1"/>
        <v>{"valorA":"filtro de linha","valorB":14}</v>
      </c>
      <c r="E497" s="8" t="str">
        <f t="shared" si="2"/>
        <v>filtro de linha</v>
      </c>
      <c r="F497" s="8"/>
      <c r="G497" s="8" t="str">
        <f t="shared" si="3"/>
        <v>14</v>
      </c>
      <c r="H497" s="9">
        <f t="shared" si="4"/>
        <v>14</v>
      </c>
      <c r="I497" s="6" t="str">
        <f>IFERROR(__xludf.DUMMYFUNCTION("MAX(FILTER($H:$H,$E:$E=F497))"),"#N/A")</f>
        <v>#N/A</v>
      </c>
    </row>
    <row r="498">
      <c r="A498" s="4"/>
      <c r="C498" s="4" t="s">
        <v>2546</v>
      </c>
      <c r="D498" s="4" t="str">
        <f t="shared" si="1"/>
        <v>{"valorA":"computador","valorB":23}</v>
      </c>
      <c r="E498" s="8" t="str">
        <f t="shared" si="2"/>
        <v>computador</v>
      </c>
      <c r="F498" s="8"/>
      <c r="G498" s="8" t="str">
        <f t="shared" si="3"/>
        <v>23</v>
      </c>
      <c r="H498" s="9">
        <f t="shared" si="4"/>
        <v>23</v>
      </c>
      <c r="I498" s="6" t="str">
        <f>IFERROR(__xludf.DUMMYFUNCTION("MAX(FILTER($H:$H,$E:$E=F498))"),"#N/A")</f>
        <v>#N/A</v>
      </c>
    </row>
    <row r="499">
      <c r="A499" s="4"/>
      <c r="C499" s="4" t="s">
        <v>3560</v>
      </c>
      <c r="D499" s="4" t="str">
        <f t="shared" si="1"/>
        <v>{"valorA":"teclado de computador","valorB":30}</v>
      </c>
      <c r="E499" s="8" t="str">
        <f t="shared" si="2"/>
        <v>teclado de computador</v>
      </c>
      <c r="F499" s="8"/>
      <c r="G499" s="8" t="str">
        <f t="shared" si="3"/>
        <v>30</v>
      </c>
      <c r="H499" s="9">
        <f t="shared" si="4"/>
        <v>30</v>
      </c>
      <c r="I499" s="6" t="str">
        <f>IFERROR(__xludf.DUMMYFUNCTION("MAX(FILTER($H:$H,$E:$E=F499))"),"#N/A")</f>
        <v>#N/A</v>
      </c>
    </row>
    <row r="500">
      <c r="A500" s="4"/>
      <c r="C500" s="4" t="s">
        <v>2457</v>
      </c>
      <c r="D500" s="4" t="str">
        <f t="shared" si="1"/>
        <v>{"valorA":"chuveiro elétrico","valorB":23}</v>
      </c>
      <c r="E500" s="8" t="str">
        <f t="shared" si="2"/>
        <v>chuveiro elétrico</v>
      </c>
      <c r="F500" s="8"/>
      <c r="G500" s="8" t="str">
        <f t="shared" si="3"/>
        <v>23</v>
      </c>
      <c r="H500" s="9">
        <f t="shared" si="4"/>
        <v>23</v>
      </c>
      <c r="I500" s="6" t="str">
        <f>IFERROR(__xludf.DUMMYFUNCTION("MAX(FILTER($H:$H,$E:$E=F500))"),"#N/A")</f>
        <v>#N/A</v>
      </c>
    </row>
    <row r="501">
      <c r="A501" s="4"/>
      <c r="C501" s="4" t="s">
        <v>10972</v>
      </c>
      <c r="D501" s="4" t="str">
        <f t="shared" si="1"/>
        <v>{"valorA":"purificador de água","valorB":34}</v>
      </c>
      <c r="E501" s="8" t="str">
        <f t="shared" si="2"/>
        <v>purificador de água</v>
      </c>
      <c r="F501" s="8"/>
      <c r="G501" s="8" t="str">
        <f t="shared" si="3"/>
        <v>34</v>
      </c>
      <c r="H501" s="9">
        <f t="shared" si="4"/>
        <v>34</v>
      </c>
      <c r="I501" s="6" t="str">
        <f>IFERROR(__xludf.DUMMYFUNCTION("MAX(FILTER($H:$H,$E:$E=F501))"),"#N/A")</f>
        <v>#N/A</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13.25"/>
    <col customWidth="1" min="11" max="11" width="13.25"/>
    <col customWidth="1" min="14" max="14" width="13.25"/>
  </cols>
  <sheetData>
    <row r="1">
      <c r="A1" s="5" t="s">
        <v>32</v>
      </c>
      <c r="B1" s="7" t="s">
        <v>8667</v>
      </c>
      <c r="C1" s="5" t="s">
        <v>8668</v>
      </c>
      <c r="D1" s="5" t="s">
        <v>8669</v>
      </c>
      <c r="F1" s="29"/>
      <c r="G1" s="22" t="s">
        <v>8670</v>
      </c>
      <c r="H1" s="23"/>
      <c r="J1" s="22" t="s">
        <v>8671</v>
      </c>
      <c r="K1" s="23"/>
      <c r="M1" s="22" t="s">
        <v>8672</v>
      </c>
      <c r="N1" s="23"/>
    </row>
    <row r="2">
      <c r="A2" s="4" t="s">
        <v>10973</v>
      </c>
      <c r="B2" s="10">
        <f t="shared" ref="B2:B501" si="1">VALUE(SUBSTITUTE(MID(A2,FIND("CPU usage is:",A2)+13,FIND("RAM memory",A2)-FIND("CPU usage is:",A2)-13),".",","))</f>
        <v>0</v>
      </c>
      <c r="C2" s="6">
        <f t="shared" ref="C2:C501" si="2">VALUE(SUBSTITUTE(SUBSTITUTE(MID(A2,FIND("RAM memory % used:",A2)+18,9),"RAM",""),".",","))</f>
        <v>80.8</v>
      </c>
      <c r="D2" s="6">
        <f t="shared" ref="D2:D501" si="3">VALUE(SUBSTITUTE(SUBSTITUTE(MID(A2,FIND("RAM Used (GB):",A2)+14,9),"RAM",""),".",","))</f>
        <v>13.768441</v>
      </c>
      <c r="F2" s="5"/>
      <c r="G2" s="25" t="s">
        <v>4013</v>
      </c>
      <c r="H2" s="25" t="s">
        <v>4247</v>
      </c>
      <c r="J2" s="25" t="s">
        <v>4013</v>
      </c>
      <c r="K2" s="25" t="s">
        <v>4247</v>
      </c>
      <c r="M2" s="25" t="s">
        <v>4013</v>
      </c>
      <c r="N2" s="25" t="s">
        <v>4247</v>
      </c>
    </row>
    <row r="3">
      <c r="A3" s="4" t="s">
        <v>10974</v>
      </c>
      <c r="B3" s="10">
        <f t="shared" si="1"/>
        <v>0</v>
      </c>
      <c r="C3" s="6">
        <f t="shared" si="2"/>
        <v>80.8</v>
      </c>
      <c r="D3" s="6">
        <f t="shared" si="3"/>
        <v>13.765701</v>
      </c>
      <c r="G3" s="28">
        <f>AVERAGE(B2:B501)</f>
        <v>4.279</v>
      </c>
      <c r="H3" s="20">
        <f>STDEV(B2:B501)</f>
        <v>17.77847483</v>
      </c>
      <c r="J3" s="20">
        <f>AVERAGE(C2:C501)</f>
        <v>80.0574</v>
      </c>
      <c r="K3" s="20">
        <f>STDEV(C2:C501)</f>
        <v>0.6753053492</v>
      </c>
      <c r="M3" s="20">
        <f>AVERAGE(D2:D501)</f>
        <v>13.64307174</v>
      </c>
      <c r="N3" s="20">
        <f>STDEV(D2:D501)</f>
        <v>0.1152292725</v>
      </c>
    </row>
    <row r="4">
      <c r="A4" s="4" t="s">
        <v>10975</v>
      </c>
      <c r="B4" s="10">
        <f t="shared" si="1"/>
        <v>0</v>
      </c>
      <c r="C4" s="6">
        <f t="shared" si="2"/>
        <v>80.8</v>
      </c>
      <c r="D4" s="6">
        <f t="shared" si="3"/>
        <v>13.762117</v>
      </c>
    </row>
    <row r="5">
      <c r="A5" s="4" t="s">
        <v>10976</v>
      </c>
      <c r="B5" s="10">
        <f t="shared" si="1"/>
        <v>100</v>
      </c>
      <c r="C5" s="6">
        <f t="shared" si="2"/>
        <v>80.8</v>
      </c>
      <c r="D5" s="6">
        <f t="shared" si="3"/>
        <v>13.767262</v>
      </c>
    </row>
    <row r="6">
      <c r="A6" s="4" t="s">
        <v>10977</v>
      </c>
      <c r="B6" s="10">
        <f t="shared" si="1"/>
        <v>0</v>
      </c>
      <c r="C6" s="6">
        <f t="shared" si="2"/>
        <v>80.8</v>
      </c>
      <c r="D6" s="6">
        <f t="shared" si="3"/>
        <v>13.771149</v>
      </c>
    </row>
    <row r="7">
      <c r="A7" s="4" t="s">
        <v>10978</v>
      </c>
      <c r="B7" s="10">
        <f t="shared" si="1"/>
        <v>0</v>
      </c>
      <c r="C7" s="6">
        <f t="shared" si="2"/>
        <v>80.8</v>
      </c>
      <c r="D7" s="6">
        <f t="shared" si="3"/>
        <v>13.77101</v>
      </c>
    </row>
    <row r="8">
      <c r="A8" s="4" t="s">
        <v>10979</v>
      </c>
      <c r="B8" s="10">
        <f t="shared" si="1"/>
        <v>100</v>
      </c>
      <c r="C8" s="6">
        <f t="shared" si="2"/>
        <v>80.8</v>
      </c>
      <c r="D8" s="6">
        <f t="shared" si="3"/>
        <v>13.769056</v>
      </c>
    </row>
    <row r="9">
      <c r="A9" s="4" t="s">
        <v>10980</v>
      </c>
      <c r="B9" s="10">
        <f t="shared" si="1"/>
        <v>0</v>
      </c>
      <c r="C9" s="6">
        <f t="shared" si="2"/>
        <v>80.8</v>
      </c>
      <c r="D9" s="6">
        <f t="shared" si="3"/>
        <v>13.769076</v>
      </c>
    </row>
    <row r="10">
      <c r="A10" s="4" t="s">
        <v>10981</v>
      </c>
      <c r="B10" s="10">
        <f t="shared" si="1"/>
        <v>0</v>
      </c>
      <c r="C10" s="6">
        <f t="shared" si="2"/>
        <v>80.8</v>
      </c>
      <c r="D10" s="6">
        <f t="shared" si="3"/>
        <v>13.771104</v>
      </c>
    </row>
    <row r="11">
      <c r="A11" s="4" t="s">
        <v>10982</v>
      </c>
      <c r="B11" s="10">
        <f t="shared" si="1"/>
        <v>0</v>
      </c>
      <c r="C11" s="6">
        <f t="shared" si="2"/>
        <v>80.8</v>
      </c>
      <c r="D11" s="6">
        <f t="shared" si="3"/>
        <v>13.769879</v>
      </c>
    </row>
    <row r="12">
      <c r="A12" s="4" t="s">
        <v>10983</v>
      </c>
      <c r="B12" s="10">
        <f t="shared" si="1"/>
        <v>0</v>
      </c>
      <c r="C12" s="6">
        <f t="shared" si="2"/>
        <v>80.7</v>
      </c>
      <c r="D12" s="6">
        <f t="shared" si="3"/>
        <v>13.760335</v>
      </c>
    </row>
    <row r="13">
      <c r="A13" s="4" t="s">
        <v>10984</v>
      </c>
      <c r="B13" s="10">
        <f t="shared" si="1"/>
        <v>0</v>
      </c>
      <c r="C13" s="6">
        <f t="shared" si="2"/>
        <v>80.7</v>
      </c>
      <c r="D13" s="6">
        <f t="shared" si="3"/>
        <v>13.758947</v>
      </c>
    </row>
    <row r="14">
      <c r="A14" s="4" t="s">
        <v>10985</v>
      </c>
      <c r="B14" s="10">
        <f t="shared" si="1"/>
        <v>0</v>
      </c>
      <c r="C14" s="6">
        <f t="shared" si="2"/>
        <v>82.3</v>
      </c>
      <c r="D14" s="6">
        <f t="shared" si="3"/>
        <v>14.03233</v>
      </c>
    </row>
    <row r="15">
      <c r="A15" s="4" t="s">
        <v>10986</v>
      </c>
      <c r="B15" s="10">
        <f t="shared" si="1"/>
        <v>0</v>
      </c>
      <c r="C15" s="6">
        <f t="shared" si="2"/>
        <v>80.7</v>
      </c>
      <c r="D15" s="6">
        <f t="shared" si="3"/>
        <v>13.751631</v>
      </c>
    </row>
    <row r="16">
      <c r="A16" s="4" t="s">
        <v>10987</v>
      </c>
      <c r="B16" s="10">
        <f t="shared" si="1"/>
        <v>0</v>
      </c>
      <c r="C16" s="6">
        <f t="shared" si="2"/>
        <v>80.7</v>
      </c>
      <c r="D16" s="6">
        <f t="shared" si="3"/>
        <v>13.751549</v>
      </c>
    </row>
    <row r="17">
      <c r="A17" s="4" t="s">
        <v>10988</v>
      </c>
      <c r="B17" s="10">
        <f t="shared" si="1"/>
        <v>0</v>
      </c>
      <c r="C17" s="6">
        <f t="shared" si="2"/>
        <v>80.7</v>
      </c>
      <c r="D17" s="6">
        <f t="shared" si="3"/>
        <v>13.744267</v>
      </c>
    </row>
    <row r="18">
      <c r="A18" s="4" t="s">
        <v>10989</v>
      </c>
      <c r="B18" s="10">
        <f t="shared" si="1"/>
        <v>16.7</v>
      </c>
      <c r="C18" s="6">
        <f t="shared" si="2"/>
        <v>82.7</v>
      </c>
      <c r="D18" s="6">
        <f t="shared" si="3"/>
        <v>14.0993</v>
      </c>
    </row>
    <row r="19">
      <c r="A19" s="4" t="s">
        <v>10990</v>
      </c>
      <c r="B19" s="10">
        <f t="shared" si="1"/>
        <v>9.1</v>
      </c>
      <c r="C19" s="6">
        <f t="shared" si="2"/>
        <v>80.5</v>
      </c>
      <c r="D19" s="6">
        <f t="shared" si="3"/>
        <v>13.714554</v>
      </c>
    </row>
    <row r="20">
      <c r="A20" s="4" t="s">
        <v>10991</v>
      </c>
      <c r="B20" s="10">
        <f t="shared" si="1"/>
        <v>0</v>
      </c>
      <c r="C20" s="6">
        <f t="shared" si="2"/>
        <v>80.4</v>
      </c>
      <c r="D20" s="6">
        <f t="shared" si="3"/>
        <v>13.702516</v>
      </c>
    </row>
    <row r="21">
      <c r="A21" s="4" t="s">
        <v>10992</v>
      </c>
      <c r="B21" s="10">
        <f t="shared" si="1"/>
        <v>0</v>
      </c>
      <c r="C21" s="6">
        <f t="shared" si="2"/>
        <v>80.6</v>
      </c>
      <c r="D21" s="6">
        <f t="shared" si="3"/>
        <v>13.741002</v>
      </c>
    </row>
    <row r="22">
      <c r="A22" s="4" t="s">
        <v>10993</v>
      </c>
      <c r="B22" s="10">
        <f t="shared" si="1"/>
        <v>0</v>
      </c>
      <c r="C22" s="6">
        <f t="shared" si="2"/>
        <v>80.6</v>
      </c>
      <c r="D22" s="6">
        <f t="shared" si="3"/>
        <v>13.739978</v>
      </c>
    </row>
    <row r="23">
      <c r="A23" s="4" t="s">
        <v>10994</v>
      </c>
      <c r="B23" s="10">
        <f t="shared" si="1"/>
        <v>0</v>
      </c>
      <c r="C23" s="6">
        <f t="shared" si="2"/>
        <v>80.7</v>
      </c>
      <c r="D23" s="6">
        <f t="shared" si="3"/>
        <v>13.749547</v>
      </c>
    </row>
    <row r="24">
      <c r="A24" s="4" t="s">
        <v>10995</v>
      </c>
      <c r="B24" s="10">
        <f t="shared" si="1"/>
        <v>0</v>
      </c>
      <c r="C24" s="6">
        <f t="shared" si="2"/>
        <v>80.7</v>
      </c>
      <c r="D24" s="6">
        <f t="shared" si="3"/>
        <v>13.754572</v>
      </c>
    </row>
    <row r="25">
      <c r="A25" s="4" t="s">
        <v>10996</v>
      </c>
      <c r="B25" s="10">
        <f t="shared" si="1"/>
        <v>0</v>
      </c>
      <c r="C25" s="6">
        <f t="shared" si="2"/>
        <v>80.7</v>
      </c>
      <c r="D25" s="6">
        <f t="shared" si="3"/>
        <v>13.753942</v>
      </c>
    </row>
    <row r="26">
      <c r="A26" s="4" t="s">
        <v>10997</v>
      </c>
      <c r="B26" s="10">
        <f t="shared" si="1"/>
        <v>0</v>
      </c>
      <c r="C26" s="6">
        <f t="shared" si="2"/>
        <v>80.7</v>
      </c>
      <c r="D26" s="6">
        <f t="shared" si="3"/>
        <v>13.746475</v>
      </c>
    </row>
    <row r="27">
      <c r="A27" s="4" t="s">
        <v>10998</v>
      </c>
      <c r="B27" s="10">
        <f t="shared" si="1"/>
        <v>0</v>
      </c>
      <c r="C27" s="6">
        <f t="shared" si="2"/>
        <v>80.7</v>
      </c>
      <c r="D27" s="6">
        <f t="shared" si="3"/>
        <v>13.745938</v>
      </c>
    </row>
    <row r="28">
      <c r="A28" s="4" t="s">
        <v>10999</v>
      </c>
      <c r="B28" s="10">
        <f t="shared" si="1"/>
        <v>0</v>
      </c>
      <c r="C28" s="6">
        <f t="shared" si="2"/>
        <v>80.7</v>
      </c>
      <c r="D28" s="6">
        <f t="shared" si="3"/>
        <v>13.7445</v>
      </c>
    </row>
    <row r="29">
      <c r="A29" s="4" t="s">
        <v>11000</v>
      </c>
      <c r="B29" s="10">
        <f t="shared" si="1"/>
        <v>0</v>
      </c>
      <c r="C29" s="6">
        <f t="shared" si="2"/>
        <v>80.7</v>
      </c>
      <c r="D29" s="6">
        <f t="shared" si="3"/>
        <v>13.747322</v>
      </c>
    </row>
    <row r="30">
      <c r="A30" s="4" t="s">
        <v>11001</v>
      </c>
      <c r="B30" s="10">
        <f t="shared" si="1"/>
        <v>0</v>
      </c>
      <c r="C30" s="6">
        <f t="shared" si="2"/>
        <v>80.7</v>
      </c>
      <c r="D30" s="6">
        <f t="shared" si="3"/>
        <v>13.747179</v>
      </c>
    </row>
    <row r="31">
      <c r="A31" s="4" t="s">
        <v>11002</v>
      </c>
      <c r="B31" s="10">
        <f t="shared" si="1"/>
        <v>0</v>
      </c>
      <c r="C31" s="6">
        <f t="shared" si="2"/>
        <v>80.9</v>
      </c>
      <c r="D31" s="6">
        <f t="shared" si="3"/>
        <v>13.7916</v>
      </c>
    </row>
    <row r="32">
      <c r="A32" s="4" t="s">
        <v>11003</v>
      </c>
      <c r="B32" s="10">
        <f t="shared" si="1"/>
        <v>0</v>
      </c>
      <c r="C32" s="6">
        <f t="shared" si="2"/>
        <v>81</v>
      </c>
      <c r="D32" s="6">
        <f t="shared" si="3"/>
        <v>13.797568</v>
      </c>
    </row>
    <row r="33">
      <c r="A33" s="4" t="s">
        <v>11004</v>
      </c>
      <c r="B33" s="10">
        <f t="shared" si="1"/>
        <v>100</v>
      </c>
      <c r="C33" s="6">
        <f t="shared" si="2"/>
        <v>81.1</v>
      </c>
      <c r="D33" s="6">
        <f t="shared" si="3"/>
        <v>13.815283</v>
      </c>
    </row>
    <row r="34">
      <c r="A34" s="4" t="s">
        <v>11005</v>
      </c>
      <c r="B34" s="10">
        <f t="shared" si="1"/>
        <v>0</v>
      </c>
      <c r="C34" s="6">
        <f t="shared" si="2"/>
        <v>81</v>
      </c>
      <c r="D34" s="6">
        <f t="shared" si="3"/>
        <v>13.796691</v>
      </c>
    </row>
    <row r="35">
      <c r="A35" s="4" t="s">
        <v>11006</v>
      </c>
      <c r="B35" s="10">
        <f t="shared" si="1"/>
        <v>0</v>
      </c>
      <c r="C35" s="6">
        <f t="shared" si="2"/>
        <v>81</v>
      </c>
      <c r="D35" s="6">
        <f t="shared" si="3"/>
        <v>13.796167</v>
      </c>
    </row>
    <row r="36">
      <c r="A36" s="4" t="s">
        <v>11007</v>
      </c>
      <c r="B36" s="10">
        <f t="shared" si="1"/>
        <v>0</v>
      </c>
      <c r="C36" s="6">
        <f t="shared" si="2"/>
        <v>80.9</v>
      </c>
      <c r="D36" s="6">
        <f t="shared" si="3"/>
        <v>13.783801</v>
      </c>
    </row>
    <row r="37">
      <c r="A37" s="4" t="s">
        <v>11008</v>
      </c>
      <c r="B37" s="10">
        <f t="shared" si="1"/>
        <v>0</v>
      </c>
      <c r="C37" s="6">
        <f t="shared" si="2"/>
        <v>80.9</v>
      </c>
      <c r="D37" s="6">
        <f t="shared" si="3"/>
        <v>13.782343</v>
      </c>
    </row>
    <row r="38">
      <c r="A38" s="4" t="s">
        <v>11009</v>
      </c>
      <c r="B38" s="10">
        <f t="shared" si="1"/>
        <v>0</v>
      </c>
      <c r="C38" s="6">
        <f t="shared" si="2"/>
        <v>80.9</v>
      </c>
      <c r="D38" s="6">
        <f t="shared" si="3"/>
        <v>13.78741</v>
      </c>
    </row>
    <row r="39">
      <c r="A39" s="4" t="s">
        <v>11010</v>
      </c>
      <c r="B39" s="10">
        <f t="shared" si="1"/>
        <v>100</v>
      </c>
      <c r="C39" s="6">
        <f t="shared" si="2"/>
        <v>81</v>
      </c>
      <c r="D39" s="6">
        <f t="shared" si="3"/>
        <v>13.80184</v>
      </c>
    </row>
    <row r="40">
      <c r="A40" s="4" t="s">
        <v>11011</v>
      </c>
      <c r="B40" s="10">
        <f t="shared" si="1"/>
        <v>0</v>
      </c>
      <c r="C40" s="6">
        <f t="shared" si="2"/>
        <v>81</v>
      </c>
      <c r="D40" s="6">
        <f t="shared" si="3"/>
        <v>13.805907</v>
      </c>
    </row>
    <row r="41">
      <c r="A41" s="4" t="s">
        <v>11012</v>
      </c>
      <c r="B41" s="10">
        <f t="shared" si="1"/>
        <v>0</v>
      </c>
      <c r="C41" s="6">
        <f t="shared" si="2"/>
        <v>81</v>
      </c>
      <c r="D41" s="6">
        <f t="shared" si="3"/>
        <v>13.806886</v>
      </c>
    </row>
    <row r="42">
      <c r="A42" s="4" t="s">
        <v>11013</v>
      </c>
      <c r="B42" s="10">
        <f t="shared" si="1"/>
        <v>0</v>
      </c>
      <c r="C42" s="6">
        <f t="shared" si="2"/>
        <v>81</v>
      </c>
      <c r="D42" s="6">
        <f t="shared" si="3"/>
        <v>13.80694</v>
      </c>
    </row>
    <row r="43">
      <c r="A43" s="4" t="s">
        <v>11014</v>
      </c>
      <c r="B43" s="10">
        <f t="shared" si="1"/>
        <v>0</v>
      </c>
      <c r="C43" s="6">
        <f t="shared" si="2"/>
        <v>81.3</v>
      </c>
      <c r="D43" s="6">
        <f t="shared" si="3"/>
        <v>13.856067</v>
      </c>
    </row>
    <row r="44">
      <c r="A44" s="4" t="s">
        <v>11015</v>
      </c>
      <c r="B44" s="10">
        <f t="shared" si="1"/>
        <v>0</v>
      </c>
      <c r="C44" s="6">
        <f t="shared" si="2"/>
        <v>80.9</v>
      </c>
      <c r="D44" s="6">
        <f t="shared" si="3"/>
        <v>13.786431</v>
      </c>
    </row>
    <row r="45">
      <c r="A45" s="4" t="s">
        <v>11016</v>
      </c>
      <c r="B45" s="10">
        <f t="shared" si="1"/>
        <v>0</v>
      </c>
      <c r="C45" s="6">
        <f t="shared" si="2"/>
        <v>81</v>
      </c>
      <c r="D45" s="6">
        <f t="shared" si="3"/>
        <v>13.804613</v>
      </c>
    </row>
    <row r="46">
      <c r="A46" s="4" t="s">
        <v>11017</v>
      </c>
      <c r="B46" s="10">
        <f t="shared" si="1"/>
        <v>0</v>
      </c>
      <c r="C46" s="6">
        <f t="shared" si="2"/>
        <v>80.9</v>
      </c>
      <c r="D46" s="6">
        <f t="shared" si="3"/>
        <v>13.778878</v>
      </c>
    </row>
    <row r="47">
      <c r="A47" s="4" t="s">
        <v>11018</v>
      </c>
      <c r="B47" s="10">
        <f t="shared" si="1"/>
        <v>0</v>
      </c>
      <c r="C47" s="6">
        <f t="shared" si="2"/>
        <v>80.8</v>
      </c>
      <c r="D47" s="6">
        <f t="shared" si="3"/>
        <v>13.777391</v>
      </c>
    </row>
    <row r="48">
      <c r="A48" s="4" t="s">
        <v>11019</v>
      </c>
      <c r="B48" s="10">
        <f t="shared" si="1"/>
        <v>0</v>
      </c>
      <c r="C48" s="6">
        <f t="shared" si="2"/>
        <v>80.8</v>
      </c>
      <c r="D48" s="6">
        <f t="shared" si="3"/>
        <v>13.765201</v>
      </c>
    </row>
    <row r="49">
      <c r="A49" s="4" t="s">
        <v>11020</v>
      </c>
      <c r="B49" s="10">
        <f t="shared" si="1"/>
        <v>0</v>
      </c>
      <c r="C49" s="6">
        <f t="shared" si="2"/>
        <v>80.7</v>
      </c>
      <c r="D49" s="6">
        <f t="shared" si="3"/>
        <v>13.755924</v>
      </c>
    </row>
    <row r="50">
      <c r="A50" s="4" t="s">
        <v>11021</v>
      </c>
      <c r="B50" s="10">
        <f t="shared" si="1"/>
        <v>0</v>
      </c>
      <c r="C50" s="6">
        <f t="shared" si="2"/>
        <v>80.7</v>
      </c>
      <c r="D50" s="6">
        <f t="shared" si="3"/>
        <v>13.758345</v>
      </c>
    </row>
    <row r="51">
      <c r="A51" s="4" t="s">
        <v>11022</v>
      </c>
      <c r="B51" s="10">
        <f t="shared" si="1"/>
        <v>0</v>
      </c>
      <c r="C51" s="6">
        <f t="shared" si="2"/>
        <v>80.6</v>
      </c>
      <c r="D51" s="6">
        <f t="shared" si="3"/>
        <v>13.72898</v>
      </c>
    </row>
    <row r="52">
      <c r="A52" s="4" t="s">
        <v>11023</v>
      </c>
      <c r="B52" s="10">
        <f t="shared" si="1"/>
        <v>0</v>
      </c>
      <c r="C52" s="6">
        <f t="shared" si="2"/>
        <v>80.5</v>
      </c>
      <c r="D52" s="6">
        <f t="shared" si="3"/>
        <v>13.713661</v>
      </c>
    </row>
    <row r="53">
      <c r="A53" s="4" t="s">
        <v>11024</v>
      </c>
      <c r="B53" s="10">
        <f t="shared" si="1"/>
        <v>0</v>
      </c>
      <c r="C53" s="6">
        <f t="shared" si="2"/>
        <v>80.5</v>
      </c>
      <c r="D53" s="6">
        <f t="shared" si="3"/>
        <v>13.711814</v>
      </c>
    </row>
    <row r="54">
      <c r="A54" s="4" t="s">
        <v>11025</v>
      </c>
      <c r="B54" s="10">
        <f t="shared" si="1"/>
        <v>0</v>
      </c>
      <c r="C54" s="6">
        <f t="shared" si="2"/>
        <v>80.5</v>
      </c>
      <c r="D54" s="6">
        <f t="shared" si="3"/>
        <v>13.714186</v>
      </c>
    </row>
    <row r="55">
      <c r="A55" s="4" t="s">
        <v>11026</v>
      </c>
      <c r="B55" s="10">
        <f t="shared" si="1"/>
        <v>0</v>
      </c>
      <c r="C55" s="6">
        <f t="shared" si="2"/>
        <v>80.5</v>
      </c>
      <c r="D55" s="6">
        <f t="shared" si="3"/>
        <v>13.71333</v>
      </c>
    </row>
    <row r="56">
      <c r="A56" s="4" t="s">
        <v>11027</v>
      </c>
      <c r="B56" s="10">
        <f t="shared" si="1"/>
        <v>0</v>
      </c>
      <c r="C56" s="6">
        <f t="shared" si="2"/>
        <v>80.5</v>
      </c>
      <c r="D56" s="6">
        <f t="shared" si="3"/>
        <v>13.717454</v>
      </c>
    </row>
    <row r="57">
      <c r="A57" s="4" t="s">
        <v>11028</v>
      </c>
      <c r="B57" s="10">
        <f t="shared" si="1"/>
        <v>0</v>
      </c>
      <c r="C57" s="6">
        <f t="shared" si="2"/>
        <v>80.5</v>
      </c>
      <c r="D57" s="6">
        <f t="shared" si="3"/>
        <v>13.723537</v>
      </c>
    </row>
    <row r="58">
      <c r="A58" s="4" t="s">
        <v>11029</v>
      </c>
      <c r="B58" s="10">
        <f t="shared" si="1"/>
        <v>0</v>
      </c>
      <c r="C58" s="6">
        <f t="shared" si="2"/>
        <v>80.5</v>
      </c>
      <c r="D58" s="6">
        <f t="shared" si="3"/>
        <v>13.717336</v>
      </c>
    </row>
    <row r="59">
      <c r="A59" s="4" t="s">
        <v>11030</v>
      </c>
      <c r="B59" s="10">
        <f t="shared" si="1"/>
        <v>0</v>
      </c>
      <c r="C59" s="6">
        <f t="shared" si="2"/>
        <v>80.5</v>
      </c>
      <c r="D59" s="6">
        <f t="shared" si="3"/>
        <v>13.719068</v>
      </c>
    </row>
    <row r="60">
      <c r="A60" s="4" t="s">
        <v>11031</v>
      </c>
      <c r="B60" s="10">
        <f t="shared" si="1"/>
        <v>0</v>
      </c>
      <c r="C60" s="6">
        <f t="shared" si="2"/>
        <v>81.5</v>
      </c>
      <c r="D60" s="6">
        <f t="shared" si="3"/>
        <v>13.895303</v>
      </c>
    </row>
    <row r="61">
      <c r="A61" s="4" t="s">
        <v>11032</v>
      </c>
      <c r="B61" s="10">
        <f t="shared" si="1"/>
        <v>25</v>
      </c>
      <c r="C61" s="6">
        <f t="shared" si="2"/>
        <v>80.5</v>
      </c>
      <c r="D61" s="6">
        <f t="shared" si="3"/>
        <v>13.711785</v>
      </c>
    </row>
    <row r="62">
      <c r="A62" s="4" t="s">
        <v>11033</v>
      </c>
      <c r="B62" s="10">
        <f t="shared" si="1"/>
        <v>0</v>
      </c>
      <c r="C62" s="6">
        <f t="shared" si="2"/>
        <v>80.4</v>
      </c>
      <c r="D62" s="6">
        <f t="shared" si="3"/>
        <v>13.708705</v>
      </c>
    </row>
    <row r="63">
      <c r="A63" s="4" t="s">
        <v>11034</v>
      </c>
      <c r="B63" s="10">
        <f t="shared" si="1"/>
        <v>0</v>
      </c>
      <c r="C63" s="6">
        <f t="shared" si="2"/>
        <v>81.7</v>
      </c>
      <c r="D63" s="6">
        <f t="shared" si="3"/>
        <v>13.924466</v>
      </c>
    </row>
    <row r="64">
      <c r="A64" s="4" t="s">
        <v>11035</v>
      </c>
      <c r="B64" s="10">
        <f t="shared" si="1"/>
        <v>0</v>
      </c>
      <c r="C64" s="6">
        <f t="shared" si="2"/>
        <v>80.4</v>
      </c>
      <c r="D64" s="6">
        <f t="shared" si="3"/>
        <v>13.698891</v>
      </c>
    </row>
    <row r="65">
      <c r="A65" s="4" t="s">
        <v>11036</v>
      </c>
      <c r="B65" s="10">
        <f t="shared" si="1"/>
        <v>0</v>
      </c>
      <c r="C65" s="6">
        <f t="shared" si="2"/>
        <v>80.4</v>
      </c>
      <c r="D65" s="6">
        <f t="shared" si="3"/>
        <v>13.701955</v>
      </c>
    </row>
    <row r="66">
      <c r="A66" s="4" t="s">
        <v>11037</v>
      </c>
      <c r="B66" s="10">
        <f t="shared" si="1"/>
        <v>0</v>
      </c>
      <c r="C66" s="6">
        <f t="shared" si="2"/>
        <v>80.4</v>
      </c>
      <c r="D66" s="6">
        <f t="shared" si="3"/>
        <v>13.692944</v>
      </c>
    </row>
    <row r="67">
      <c r="A67" s="4" t="s">
        <v>11038</v>
      </c>
      <c r="B67" s="10">
        <f t="shared" si="1"/>
        <v>0</v>
      </c>
      <c r="C67" s="6">
        <f t="shared" si="2"/>
        <v>80.3</v>
      </c>
      <c r="D67" s="6">
        <f t="shared" si="3"/>
        <v>13.688713</v>
      </c>
    </row>
    <row r="68">
      <c r="A68" s="4" t="s">
        <v>11039</v>
      </c>
      <c r="B68" s="10">
        <f t="shared" si="1"/>
        <v>0</v>
      </c>
      <c r="C68" s="6">
        <f t="shared" si="2"/>
        <v>80.3</v>
      </c>
      <c r="D68" s="6">
        <f t="shared" si="3"/>
        <v>13.688475</v>
      </c>
    </row>
    <row r="69">
      <c r="A69" s="4" t="s">
        <v>11040</v>
      </c>
      <c r="B69" s="10">
        <f t="shared" si="1"/>
        <v>11.1</v>
      </c>
      <c r="C69" s="6">
        <f t="shared" si="2"/>
        <v>80.3</v>
      </c>
      <c r="D69" s="6">
        <f t="shared" si="3"/>
        <v>13.687816</v>
      </c>
    </row>
    <row r="70">
      <c r="A70" s="4" t="s">
        <v>11041</v>
      </c>
      <c r="B70" s="10">
        <f t="shared" si="1"/>
        <v>0</v>
      </c>
      <c r="C70" s="6">
        <f t="shared" si="2"/>
        <v>80.3</v>
      </c>
      <c r="D70" s="6">
        <f t="shared" si="3"/>
        <v>13.684903</v>
      </c>
    </row>
    <row r="71">
      <c r="A71" s="4" t="s">
        <v>11042</v>
      </c>
      <c r="B71" s="10">
        <f t="shared" si="1"/>
        <v>100</v>
      </c>
      <c r="C71" s="6">
        <f t="shared" si="2"/>
        <v>80.3</v>
      </c>
      <c r="D71" s="6">
        <f t="shared" si="3"/>
        <v>13.688946</v>
      </c>
    </row>
    <row r="72">
      <c r="A72" s="4" t="s">
        <v>11043</v>
      </c>
      <c r="B72" s="10">
        <f t="shared" si="1"/>
        <v>0</v>
      </c>
      <c r="C72" s="6">
        <f t="shared" si="2"/>
        <v>80.3</v>
      </c>
      <c r="D72" s="6">
        <f t="shared" si="3"/>
        <v>13.687349</v>
      </c>
    </row>
    <row r="73">
      <c r="A73" s="4" t="s">
        <v>11044</v>
      </c>
      <c r="B73" s="10">
        <f t="shared" si="1"/>
        <v>0</v>
      </c>
      <c r="C73" s="6">
        <f t="shared" si="2"/>
        <v>80.3</v>
      </c>
      <c r="D73" s="6">
        <f t="shared" si="3"/>
        <v>13.688717</v>
      </c>
    </row>
    <row r="74">
      <c r="A74" s="4" t="s">
        <v>11045</v>
      </c>
      <c r="B74" s="10">
        <f t="shared" si="1"/>
        <v>0</v>
      </c>
      <c r="C74" s="6">
        <f t="shared" si="2"/>
        <v>82.5</v>
      </c>
      <c r="D74" s="6">
        <f t="shared" si="3"/>
        <v>14.060654</v>
      </c>
    </row>
    <row r="75">
      <c r="A75" s="4" t="s">
        <v>11046</v>
      </c>
      <c r="B75" s="10">
        <f t="shared" si="1"/>
        <v>0</v>
      </c>
      <c r="C75" s="6">
        <f t="shared" si="2"/>
        <v>80.4</v>
      </c>
      <c r="D75" s="6">
        <f t="shared" si="3"/>
        <v>13.693112</v>
      </c>
    </row>
    <row r="76">
      <c r="A76" s="4" t="s">
        <v>11047</v>
      </c>
      <c r="B76" s="10">
        <f t="shared" si="1"/>
        <v>0</v>
      </c>
      <c r="C76" s="6">
        <f t="shared" si="2"/>
        <v>80.4</v>
      </c>
      <c r="D76" s="6">
        <f t="shared" si="3"/>
        <v>13.694382</v>
      </c>
    </row>
    <row r="77">
      <c r="A77" s="4" t="s">
        <v>11048</v>
      </c>
      <c r="B77" s="10">
        <f t="shared" si="1"/>
        <v>0</v>
      </c>
      <c r="C77" s="6">
        <f t="shared" si="2"/>
        <v>80.3</v>
      </c>
      <c r="D77" s="6">
        <f t="shared" si="3"/>
        <v>13.680488</v>
      </c>
    </row>
    <row r="78">
      <c r="A78" s="4" t="s">
        <v>11049</v>
      </c>
      <c r="B78" s="10">
        <f t="shared" si="1"/>
        <v>0</v>
      </c>
      <c r="C78" s="6">
        <f t="shared" si="2"/>
        <v>80.3</v>
      </c>
      <c r="D78" s="6">
        <f t="shared" si="3"/>
        <v>13.680852</v>
      </c>
    </row>
    <row r="79">
      <c r="A79" s="4" t="s">
        <v>11050</v>
      </c>
      <c r="B79" s="10">
        <f t="shared" si="1"/>
        <v>0</v>
      </c>
      <c r="C79" s="6">
        <f t="shared" si="2"/>
        <v>80.4</v>
      </c>
      <c r="D79" s="6">
        <f t="shared" si="3"/>
        <v>13.694279</v>
      </c>
    </row>
    <row r="80">
      <c r="A80" s="4" t="s">
        <v>11051</v>
      </c>
      <c r="B80" s="10">
        <f t="shared" si="1"/>
        <v>0</v>
      </c>
      <c r="C80" s="6">
        <f t="shared" si="2"/>
        <v>80.4</v>
      </c>
      <c r="D80" s="6">
        <f t="shared" si="3"/>
        <v>13.694873</v>
      </c>
    </row>
    <row r="81">
      <c r="A81" s="4" t="s">
        <v>11052</v>
      </c>
      <c r="B81" s="10">
        <f t="shared" si="1"/>
        <v>0</v>
      </c>
      <c r="C81" s="6">
        <f t="shared" si="2"/>
        <v>80.3</v>
      </c>
      <c r="D81" s="6">
        <f t="shared" si="3"/>
        <v>13.689565</v>
      </c>
    </row>
    <row r="82">
      <c r="A82" s="4" t="s">
        <v>11053</v>
      </c>
      <c r="B82" s="10">
        <f t="shared" si="1"/>
        <v>0</v>
      </c>
      <c r="C82" s="6">
        <f t="shared" si="2"/>
        <v>80.4</v>
      </c>
      <c r="D82" s="6">
        <f t="shared" si="3"/>
        <v>13.692977</v>
      </c>
    </row>
    <row r="83">
      <c r="A83" s="4" t="s">
        <v>11054</v>
      </c>
      <c r="B83" s="10">
        <f t="shared" si="1"/>
        <v>0</v>
      </c>
      <c r="C83" s="6">
        <f t="shared" si="2"/>
        <v>80.4</v>
      </c>
      <c r="D83" s="6">
        <f t="shared" si="3"/>
        <v>13.697716</v>
      </c>
    </row>
    <row r="84">
      <c r="A84" s="4" t="s">
        <v>11055</v>
      </c>
      <c r="B84" s="10">
        <f t="shared" si="1"/>
        <v>0</v>
      </c>
      <c r="C84" s="6">
        <f t="shared" si="2"/>
        <v>80.4</v>
      </c>
      <c r="D84" s="6">
        <f t="shared" si="3"/>
        <v>13.697257</v>
      </c>
    </row>
    <row r="85">
      <c r="A85" s="4" t="s">
        <v>11056</v>
      </c>
      <c r="B85" s="10">
        <f t="shared" si="1"/>
        <v>25</v>
      </c>
      <c r="C85" s="6">
        <f t="shared" si="2"/>
        <v>80.4</v>
      </c>
      <c r="D85" s="6">
        <f t="shared" si="3"/>
        <v>13.7013</v>
      </c>
    </row>
    <row r="86">
      <c r="A86" s="4" t="s">
        <v>11057</v>
      </c>
      <c r="B86" s="10">
        <f t="shared" si="1"/>
        <v>0</v>
      </c>
      <c r="C86" s="6">
        <f t="shared" si="2"/>
        <v>80.3</v>
      </c>
      <c r="D86" s="6">
        <f t="shared" si="3"/>
        <v>13.690187</v>
      </c>
    </row>
    <row r="87">
      <c r="A87" s="4" t="s">
        <v>11058</v>
      </c>
      <c r="B87" s="10">
        <f t="shared" si="1"/>
        <v>0</v>
      </c>
      <c r="C87" s="6">
        <f t="shared" si="2"/>
        <v>80.3</v>
      </c>
      <c r="D87" s="6">
        <f t="shared" si="3"/>
        <v>13.690777</v>
      </c>
    </row>
    <row r="88">
      <c r="A88" s="4" t="s">
        <v>11059</v>
      </c>
      <c r="B88" s="10">
        <f t="shared" si="1"/>
        <v>0</v>
      </c>
      <c r="C88" s="6">
        <f t="shared" si="2"/>
        <v>80.3</v>
      </c>
      <c r="D88" s="6">
        <f t="shared" si="3"/>
        <v>13.692612</v>
      </c>
    </row>
    <row r="89">
      <c r="A89" s="4" t="s">
        <v>11060</v>
      </c>
      <c r="B89" s="10">
        <f t="shared" si="1"/>
        <v>0</v>
      </c>
      <c r="C89" s="6">
        <f t="shared" si="2"/>
        <v>80.3</v>
      </c>
      <c r="D89" s="6">
        <f t="shared" si="3"/>
        <v>13.692633</v>
      </c>
    </row>
    <row r="90">
      <c r="A90" s="4" t="s">
        <v>11061</v>
      </c>
      <c r="B90" s="10">
        <f t="shared" si="1"/>
        <v>0</v>
      </c>
      <c r="C90" s="6">
        <f t="shared" si="2"/>
        <v>80.4</v>
      </c>
      <c r="D90" s="6">
        <f t="shared" si="3"/>
        <v>13.694877</v>
      </c>
    </row>
    <row r="91">
      <c r="A91" s="4" t="s">
        <v>11062</v>
      </c>
      <c r="B91" s="10">
        <f t="shared" si="1"/>
        <v>0</v>
      </c>
      <c r="C91" s="6">
        <f t="shared" si="2"/>
        <v>80.4</v>
      </c>
      <c r="D91" s="6">
        <f t="shared" si="3"/>
        <v>13.696741</v>
      </c>
    </row>
    <row r="92">
      <c r="A92" s="4" t="s">
        <v>11063</v>
      </c>
      <c r="B92" s="10">
        <f t="shared" si="1"/>
        <v>0</v>
      </c>
      <c r="C92" s="6">
        <f t="shared" si="2"/>
        <v>80.8</v>
      </c>
      <c r="D92" s="6">
        <f t="shared" si="3"/>
        <v>13.763448</v>
      </c>
    </row>
    <row r="93">
      <c r="A93" s="4" t="s">
        <v>11064</v>
      </c>
      <c r="B93" s="10">
        <f t="shared" si="1"/>
        <v>0</v>
      </c>
      <c r="C93" s="6">
        <f t="shared" si="2"/>
        <v>82.5</v>
      </c>
      <c r="D93" s="6">
        <f t="shared" si="3"/>
        <v>14.058659</v>
      </c>
    </row>
    <row r="94">
      <c r="A94" s="4" t="s">
        <v>11065</v>
      </c>
      <c r="B94" s="10">
        <f t="shared" si="1"/>
        <v>25</v>
      </c>
      <c r="C94" s="6">
        <f t="shared" si="2"/>
        <v>82.5</v>
      </c>
      <c r="D94" s="6">
        <f t="shared" si="3"/>
        <v>14.06167</v>
      </c>
    </row>
    <row r="95">
      <c r="A95" s="4" t="s">
        <v>11066</v>
      </c>
      <c r="B95" s="10">
        <f t="shared" si="1"/>
        <v>0</v>
      </c>
      <c r="C95" s="6">
        <f t="shared" si="2"/>
        <v>81.5</v>
      </c>
      <c r="D95" s="6">
        <f t="shared" si="3"/>
        <v>13.884223</v>
      </c>
    </row>
    <row r="96">
      <c r="A96" s="4" t="s">
        <v>11067</v>
      </c>
      <c r="B96" s="10">
        <f t="shared" si="1"/>
        <v>0</v>
      </c>
      <c r="C96" s="6">
        <f t="shared" si="2"/>
        <v>80.3</v>
      </c>
      <c r="D96" s="6">
        <f t="shared" si="3"/>
        <v>13.691363</v>
      </c>
    </row>
    <row r="97">
      <c r="A97" s="4" t="s">
        <v>11068</v>
      </c>
      <c r="B97" s="10">
        <f t="shared" si="1"/>
        <v>0</v>
      </c>
      <c r="C97" s="6">
        <f t="shared" si="2"/>
        <v>80.3</v>
      </c>
      <c r="D97" s="6">
        <f t="shared" si="3"/>
        <v>13.685784</v>
      </c>
    </row>
    <row r="98">
      <c r="A98" s="4" t="s">
        <v>11069</v>
      </c>
      <c r="B98" s="10">
        <f t="shared" si="1"/>
        <v>0</v>
      </c>
      <c r="C98" s="6">
        <f t="shared" si="2"/>
        <v>82.6</v>
      </c>
      <c r="D98" s="6">
        <f t="shared" si="3"/>
        <v>14.071865</v>
      </c>
    </row>
    <row r="99">
      <c r="A99" s="4" t="s">
        <v>11070</v>
      </c>
      <c r="B99" s="10">
        <f t="shared" si="1"/>
        <v>0</v>
      </c>
      <c r="C99" s="6">
        <f t="shared" si="2"/>
        <v>80.3</v>
      </c>
      <c r="D99" s="6">
        <f t="shared" si="3"/>
        <v>13.687631</v>
      </c>
    </row>
    <row r="100">
      <c r="A100" s="4" t="s">
        <v>11071</v>
      </c>
      <c r="B100" s="10">
        <f t="shared" si="1"/>
        <v>0</v>
      </c>
      <c r="C100" s="6">
        <f t="shared" si="2"/>
        <v>80.3</v>
      </c>
      <c r="D100" s="6">
        <f t="shared" si="3"/>
        <v>13.69133</v>
      </c>
    </row>
    <row r="101">
      <c r="A101" s="4" t="s">
        <v>11072</v>
      </c>
      <c r="B101" s="10">
        <f t="shared" si="1"/>
        <v>0</v>
      </c>
      <c r="C101" s="6">
        <f t="shared" si="2"/>
        <v>80.4</v>
      </c>
      <c r="D101" s="6">
        <f t="shared" si="3"/>
        <v>13.697634</v>
      </c>
    </row>
    <row r="102">
      <c r="A102" s="4" t="s">
        <v>11073</v>
      </c>
      <c r="B102" s="10">
        <f t="shared" si="1"/>
        <v>0</v>
      </c>
      <c r="C102" s="6">
        <f t="shared" si="2"/>
        <v>80.3</v>
      </c>
      <c r="D102" s="6">
        <f t="shared" si="3"/>
        <v>13.69115</v>
      </c>
    </row>
    <row r="103">
      <c r="A103" s="4" t="s">
        <v>11074</v>
      </c>
      <c r="B103" s="10">
        <f t="shared" si="1"/>
        <v>0</v>
      </c>
      <c r="C103" s="6">
        <f t="shared" si="2"/>
        <v>80.3</v>
      </c>
      <c r="D103" s="6">
        <f t="shared" si="3"/>
        <v>13.687803</v>
      </c>
    </row>
    <row r="104">
      <c r="A104" s="4" t="s">
        <v>11075</v>
      </c>
      <c r="B104" s="10">
        <f t="shared" si="1"/>
        <v>0</v>
      </c>
      <c r="C104" s="6">
        <f t="shared" si="2"/>
        <v>80.3</v>
      </c>
      <c r="D104" s="6">
        <f t="shared" si="3"/>
        <v>13.688385</v>
      </c>
    </row>
    <row r="105">
      <c r="A105" s="4" t="s">
        <v>11076</v>
      </c>
      <c r="B105" s="10">
        <f t="shared" si="1"/>
        <v>0</v>
      </c>
      <c r="C105" s="6">
        <f t="shared" si="2"/>
        <v>80.3</v>
      </c>
      <c r="D105" s="6">
        <f t="shared" si="3"/>
        <v>13.690736</v>
      </c>
    </row>
    <row r="106">
      <c r="A106" s="4" t="s">
        <v>11077</v>
      </c>
      <c r="B106" s="10">
        <f t="shared" si="1"/>
        <v>0</v>
      </c>
      <c r="C106" s="6">
        <f t="shared" si="2"/>
        <v>80.2</v>
      </c>
      <c r="D106" s="6">
        <f t="shared" si="3"/>
        <v>13.67137</v>
      </c>
    </row>
    <row r="107">
      <c r="A107" s="4" t="s">
        <v>11078</v>
      </c>
      <c r="B107" s="10">
        <f t="shared" si="1"/>
        <v>0</v>
      </c>
      <c r="C107" s="6">
        <f t="shared" si="2"/>
        <v>80.2</v>
      </c>
      <c r="D107" s="6">
        <f t="shared" si="3"/>
        <v>13.674012</v>
      </c>
    </row>
    <row r="108">
      <c r="A108" s="4" t="s">
        <v>11079</v>
      </c>
      <c r="B108" s="10">
        <f t="shared" si="1"/>
        <v>0</v>
      </c>
      <c r="C108" s="6">
        <f t="shared" si="2"/>
        <v>80.2</v>
      </c>
      <c r="D108" s="6">
        <f t="shared" si="3"/>
        <v>13.675483</v>
      </c>
    </row>
    <row r="109">
      <c r="A109" s="4" t="s">
        <v>11080</v>
      </c>
      <c r="B109" s="10">
        <f t="shared" si="1"/>
        <v>0</v>
      </c>
      <c r="C109" s="6">
        <f t="shared" si="2"/>
        <v>80.2</v>
      </c>
      <c r="D109" s="6">
        <f t="shared" si="3"/>
        <v>13.673873</v>
      </c>
    </row>
    <row r="110">
      <c r="A110" s="4" t="s">
        <v>11081</v>
      </c>
      <c r="B110" s="10">
        <f t="shared" si="1"/>
        <v>0</v>
      </c>
      <c r="C110" s="6">
        <f t="shared" si="2"/>
        <v>80.3</v>
      </c>
      <c r="D110" s="6">
        <f t="shared" si="3"/>
        <v>13.681614</v>
      </c>
    </row>
    <row r="111">
      <c r="A111" s="4" t="s">
        <v>11082</v>
      </c>
      <c r="B111" s="10">
        <f t="shared" si="1"/>
        <v>50</v>
      </c>
      <c r="C111" s="6">
        <f t="shared" si="2"/>
        <v>80.3</v>
      </c>
      <c r="D111" s="6">
        <f t="shared" si="3"/>
        <v>13.684613</v>
      </c>
    </row>
    <row r="112">
      <c r="A112" s="4" t="s">
        <v>11083</v>
      </c>
      <c r="B112" s="10">
        <f t="shared" si="1"/>
        <v>0</v>
      </c>
      <c r="C112" s="6">
        <f t="shared" si="2"/>
        <v>80.2</v>
      </c>
      <c r="D112" s="6">
        <f t="shared" si="3"/>
        <v>13.674627</v>
      </c>
    </row>
    <row r="113">
      <c r="A113" s="4" t="s">
        <v>11084</v>
      </c>
      <c r="B113" s="10">
        <f t="shared" si="1"/>
        <v>0</v>
      </c>
      <c r="C113" s="6">
        <f t="shared" si="2"/>
        <v>80.4</v>
      </c>
      <c r="D113" s="6">
        <f t="shared" si="3"/>
        <v>13.699624</v>
      </c>
    </row>
    <row r="114">
      <c r="A114" s="4" t="s">
        <v>11085</v>
      </c>
      <c r="B114" s="10">
        <f t="shared" si="1"/>
        <v>0</v>
      </c>
      <c r="C114" s="6">
        <f t="shared" si="2"/>
        <v>80.2</v>
      </c>
      <c r="D114" s="6">
        <f t="shared" si="3"/>
        <v>13.672656</v>
      </c>
    </row>
    <row r="115">
      <c r="A115" s="4" t="s">
        <v>11086</v>
      </c>
      <c r="B115" s="10">
        <f t="shared" si="1"/>
        <v>0</v>
      </c>
      <c r="C115" s="6">
        <f t="shared" si="2"/>
        <v>80.3</v>
      </c>
      <c r="D115" s="6">
        <f t="shared" si="3"/>
        <v>13.684572</v>
      </c>
    </row>
    <row r="116">
      <c r="A116" s="4" t="s">
        <v>11087</v>
      </c>
      <c r="B116" s="10">
        <f t="shared" si="1"/>
        <v>0</v>
      </c>
      <c r="C116" s="6">
        <f t="shared" si="2"/>
        <v>80.3</v>
      </c>
      <c r="D116" s="6">
        <f t="shared" si="3"/>
        <v>13.677395</v>
      </c>
    </row>
    <row r="117">
      <c r="A117" s="4" t="s">
        <v>11088</v>
      </c>
      <c r="B117" s="10">
        <f t="shared" si="1"/>
        <v>0</v>
      </c>
      <c r="C117" s="6">
        <f t="shared" si="2"/>
        <v>80.3</v>
      </c>
      <c r="D117" s="6">
        <f t="shared" si="3"/>
        <v>13.683167</v>
      </c>
    </row>
    <row r="118">
      <c r="A118" s="4" t="s">
        <v>11089</v>
      </c>
      <c r="B118" s="10">
        <f t="shared" si="1"/>
        <v>0</v>
      </c>
      <c r="C118" s="6">
        <f t="shared" si="2"/>
        <v>80.3</v>
      </c>
      <c r="D118" s="6">
        <f t="shared" si="3"/>
        <v>13.680824</v>
      </c>
    </row>
    <row r="119">
      <c r="A119" s="4" t="s">
        <v>11090</v>
      </c>
      <c r="B119" s="10">
        <f t="shared" si="1"/>
        <v>0</v>
      </c>
      <c r="C119" s="6">
        <f t="shared" si="2"/>
        <v>80.4</v>
      </c>
      <c r="D119" s="6">
        <f t="shared" si="3"/>
        <v>13.696909</v>
      </c>
    </row>
    <row r="120">
      <c r="A120" s="4" t="s">
        <v>11091</v>
      </c>
      <c r="B120" s="10">
        <f t="shared" si="1"/>
        <v>0</v>
      </c>
      <c r="C120" s="6">
        <f t="shared" si="2"/>
        <v>80.3</v>
      </c>
      <c r="D120" s="6">
        <f t="shared" si="3"/>
        <v>13.680345</v>
      </c>
    </row>
    <row r="121">
      <c r="A121" s="4" t="s">
        <v>11092</v>
      </c>
      <c r="B121" s="10">
        <f t="shared" si="1"/>
        <v>0</v>
      </c>
      <c r="C121" s="6">
        <f t="shared" si="2"/>
        <v>80.3</v>
      </c>
      <c r="D121" s="6">
        <f t="shared" si="3"/>
        <v>13.676265</v>
      </c>
    </row>
    <row r="122">
      <c r="A122" s="4" t="s">
        <v>11093</v>
      </c>
      <c r="B122" s="10">
        <f t="shared" si="1"/>
        <v>0</v>
      </c>
      <c r="C122" s="6">
        <f t="shared" si="2"/>
        <v>80.3</v>
      </c>
      <c r="D122" s="6">
        <f t="shared" si="3"/>
        <v>13.692014</v>
      </c>
    </row>
    <row r="123">
      <c r="A123" s="4" t="s">
        <v>11094</v>
      </c>
      <c r="B123" s="10">
        <f t="shared" si="1"/>
        <v>0</v>
      </c>
      <c r="C123" s="6">
        <f t="shared" si="2"/>
        <v>80.4</v>
      </c>
      <c r="D123" s="6">
        <f t="shared" si="3"/>
        <v>13.701808</v>
      </c>
    </row>
    <row r="124">
      <c r="A124" s="4" t="s">
        <v>11095</v>
      </c>
      <c r="B124" s="10">
        <f t="shared" si="1"/>
        <v>0</v>
      </c>
      <c r="C124" s="6">
        <f t="shared" si="2"/>
        <v>80.4</v>
      </c>
      <c r="D124" s="6">
        <f t="shared" si="3"/>
        <v>13.704171</v>
      </c>
    </row>
    <row r="125">
      <c r="A125" s="4" t="s">
        <v>11096</v>
      </c>
      <c r="B125" s="10">
        <f t="shared" si="1"/>
        <v>0</v>
      </c>
      <c r="C125" s="6">
        <f t="shared" si="2"/>
        <v>80.3</v>
      </c>
      <c r="D125" s="6">
        <f t="shared" si="3"/>
        <v>13.69031</v>
      </c>
    </row>
    <row r="126">
      <c r="A126" s="4" t="s">
        <v>11097</v>
      </c>
      <c r="B126" s="10">
        <f t="shared" si="1"/>
        <v>0</v>
      </c>
      <c r="C126" s="6">
        <f t="shared" si="2"/>
        <v>80.2</v>
      </c>
      <c r="D126" s="6">
        <f t="shared" si="3"/>
        <v>13.673684</v>
      </c>
    </row>
    <row r="127">
      <c r="A127" s="4" t="s">
        <v>11098</v>
      </c>
      <c r="B127" s="10">
        <f t="shared" si="1"/>
        <v>0</v>
      </c>
      <c r="C127" s="6">
        <f t="shared" si="2"/>
        <v>80.2</v>
      </c>
      <c r="D127" s="6">
        <f t="shared" si="3"/>
        <v>13.674848</v>
      </c>
    </row>
    <row r="128">
      <c r="A128" s="4" t="s">
        <v>11099</v>
      </c>
      <c r="B128" s="10">
        <f t="shared" si="1"/>
        <v>100</v>
      </c>
      <c r="C128" s="6">
        <f t="shared" si="2"/>
        <v>80.2</v>
      </c>
      <c r="D128" s="6">
        <f t="shared" si="3"/>
        <v>13.669654</v>
      </c>
    </row>
    <row r="129">
      <c r="A129" s="4" t="s">
        <v>11100</v>
      </c>
      <c r="B129" s="10">
        <f t="shared" si="1"/>
        <v>0</v>
      </c>
      <c r="C129" s="6">
        <f t="shared" si="2"/>
        <v>80.2</v>
      </c>
      <c r="D129" s="6">
        <f t="shared" si="3"/>
        <v>13.667176</v>
      </c>
    </row>
    <row r="130">
      <c r="A130" s="4" t="s">
        <v>11101</v>
      </c>
      <c r="B130" s="10">
        <f t="shared" si="1"/>
        <v>0</v>
      </c>
      <c r="C130" s="6">
        <f t="shared" si="2"/>
        <v>80.2</v>
      </c>
      <c r="D130" s="6">
        <f t="shared" si="3"/>
        <v>13.665226</v>
      </c>
    </row>
    <row r="131">
      <c r="A131" s="4" t="s">
        <v>11102</v>
      </c>
      <c r="B131" s="10">
        <f t="shared" si="1"/>
        <v>0</v>
      </c>
      <c r="C131" s="6">
        <f t="shared" si="2"/>
        <v>80.2</v>
      </c>
      <c r="D131" s="6">
        <f t="shared" si="3"/>
        <v>13.668499</v>
      </c>
    </row>
    <row r="132">
      <c r="A132" s="4" t="s">
        <v>11103</v>
      </c>
      <c r="B132" s="10">
        <f t="shared" si="1"/>
        <v>100</v>
      </c>
      <c r="C132" s="6">
        <f t="shared" si="2"/>
        <v>80.2</v>
      </c>
      <c r="D132" s="6">
        <f t="shared" si="3"/>
        <v>13.670842</v>
      </c>
    </row>
    <row r="133">
      <c r="A133" s="4" t="s">
        <v>11104</v>
      </c>
      <c r="B133" s="10">
        <f t="shared" si="1"/>
        <v>0</v>
      </c>
      <c r="C133" s="6">
        <f t="shared" si="2"/>
        <v>80.2</v>
      </c>
      <c r="D133" s="6">
        <f t="shared" si="3"/>
        <v>13.671735</v>
      </c>
    </row>
    <row r="134">
      <c r="A134" s="4" t="s">
        <v>11105</v>
      </c>
      <c r="B134" s="10">
        <f t="shared" si="1"/>
        <v>0</v>
      </c>
      <c r="C134" s="6">
        <f t="shared" si="2"/>
        <v>80.2</v>
      </c>
      <c r="D134" s="6">
        <f t="shared" si="3"/>
        <v>13.670895</v>
      </c>
    </row>
    <row r="135">
      <c r="A135" s="4" t="s">
        <v>11106</v>
      </c>
      <c r="B135" s="10">
        <f t="shared" si="1"/>
        <v>0</v>
      </c>
      <c r="C135" s="6">
        <f t="shared" si="2"/>
        <v>80.2</v>
      </c>
      <c r="D135" s="6">
        <f t="shared" si="3"/>
        <v>13.672546</v>
      </c>
    </row>
    <row r="136">
      <c r="A136" s="4" t="s">
        <v>11107</v>
      </c>
      <c r="B136" s="10">
        <f t="shared" si="1"/>
        <v>0</v>
      </c>
      <c r="C136" s="6">
        <f t="shared" si="2"/>
        <v>80.2</v>
      </c>
      <c r="D136" s="6">
        <f t="shared" si="3"/>
        <v>13.67103</v>
      </c>
    </row>
    <row r="137">
      <c r="A137" s="4" t="s">
        <v>11108</v>
      </c>
      <c r="B137" s="10">
        <f t="shared" si="1"/>
        <v>0</v>
      </c>
      <c r="C137" s="6">
        <f t="shared" si="2"/>
        <v>80.3</v>
      </c>
      <c r="D137" s="6">
        <f t="shared" si="3"/>
        <v>13.682499</v>
      </c>
    </row>
    <row r="138">
      <c r="A138" s="4" t="s">
        <v>11109</v>
      </c>
      <c r="B138" s="10">
        <f t="shared" si="1"/>
        <v>0</v>
      </c>
      <c r="C138" s="6">
        <f t="shared" si="2"/>
        <v>80.2</v>
      </c>
      <c r="D138" s="6">
        <f t="shared" si="3"/>
        <v>13.673504</v>
      </c>
    </row>
    <row r="139">
      <c r="A139" s="4" t="s">
        <v>11110</v>
      </c>
      <c r="B139" s="10">
        <f t="shared" si="1"/>
        <v>0</v>
      </c>
      <c r="C139" s="6">
        <f t="shared" si="2"/>
        <v>80.2</v>
      </c>
      <c r="D139" s="6">
        <f t="shared" si="3"/>
        <v>13.66861</v>
      </c>
    </row>
    <row r="140">
      <c r="A140" s="4" t="s">
        <v>11111</v>
      </c>
      <c r="B140" s="10">
        <f t="shared" si="1"/>
        <v>0</v>
      </c>
      <c r="C140" s="6">
        <f t="shared" si="2"/>
        <v>80.2</v>
      </c>
      <c r="D140" s="6">
        <f t="shared" si="3"/>
        <v>13.67255</v>
      </c>
    </row>
    <row r="141">
      <c r="A141" s="4" t="s">
        <v>11112</v>
      </c>
      <c r="B141" s="10">
        <f t="shared" si="1"/>
        <v>0</v>
      </c>
      <c r="C141" s="6">
        <f t="shared" si="2"/>
        <v>80.2</v>
      </c>
      <c r="D141" s="6">
        <f t="shared" si="3"/>
        <v>13.673459</v>
      </c>
    </row>
    <row r="142">
      <c r="A142" s="4" t="s">
        <v>11113</v>
      </c>
      <c r="B142" s="10">
        <f t="shared" si="1"/>
        <v>0</v>
      </c>
      <c r="C142" s="6">
        <f t="shared" si="2"/>
        <v>80.2</v>
      </c>
      <c r="D142" s="6">
        <f t="shared" si="3"/>
        <v>13.673771</v>
      </c>
    </row>
    <row r="143">
      <c r="A143" s="4" t="s">
        <v>11114</v>
      </c>
      <c r="B143" s="10">
        <f t="shared" si="1"/>
        <v>0</v>
      </c>
      <c r="C143" s="6">
        <f t="shared" si="2"/>
        <v>80.2</v>
      </c>
      <c r="D143" s="6">
        <f t="shared" si="3"/>
        <v>13.674364</v>
      </c>
    </row>
    <row r="144">
      <c r="A144" s="4" t="s">
        <v>11115</v>
      </c>
      <c r="B144" s="10">
        <f t="shared" si="1"/>
        <v>0</v>
      </c>
      <c r="C144" s="6">
        <f t="shared" si="2"/>
        <v>80.3</v>
      </c>
      <c r="D144" s="6">
        <f t="shared" si="3"/>
        <v>13.67638</v>
      </c>
    </row>
    <row r="145">
      <c r="A145" s="4" t="s">
        <v>11116</v>
      </c>
      <c r="B145" s="10">
        <f t="shared" si="1"/>
        <v>0</v>
      </c>
      <c r="C145" s="6">
        <f t="shared" si="2"/>
        <v>80.3</v>
      </c>
      <c r="D145" s="6">
        <f t="shared" si="3"/>
        <v>13.677092</v>
      </c>
    </row>
    <row r="146">
      <c r="A146" s="4" t="s">
        <v>11117</v>
      </c>
      <c r="B146" s="10">
        <f t="shared" si="1"/>
        <v>0</v>
      </c>
      <c r="C146" s="6">
        <f t="shared" si="2"/>
        <v>80.2</v>
      </c>
      <c r="D146" s="6">
        <f t="shared" si="3"/>
        <v>13.670739</v>
      </c>
    </row>
    <row r="147">
      <c r="A147" s="4" t="s">
        <v>11118</v>
      </c>
      <c r="B147" s="10">
        <f t="shared" si="1"/>
        <v>0</v>
      </c>
      <c r="C147" s="6">
        <f t="shared" si="2"/>
        <v>80.2</v>
      </c>
      <c r="D147" s="6">
        <f t="shared" si="3"/>
        <v>13.660512</v>
      </c>
    </row>
    <row r="148">
      <c r="A148" s="4" t="s">
        <v>11119</v>
      </c>
      <c r="B148" s="10">
        <f t="shared" si="1"/>
        <v>0</v>
      </c>
      <c r="C148" s="6">
        <f t="shared" si="2"/>
        <v>80.2</v>
      </c>
      <c r="D148" s="6">
        <f t="shared" si="3"/>
        <v>13.6718</v>
      </c>
    </row>
    <row r="149">
      <c r="A149" s="4" t="s">
        <v>11120</v>
      </c>
      <c r="B149" s="10">
        <f t="shared" si="1"/>
        <v>0</v>
      </c>
      <c r="C149" s="6">
        <f t="shared" si="2"/>
        <v>80.2</v>
      </c>
      <c r="D149" s="6">
        <f t="shared" si="3"/>
        <v>13.667901</v>
      </c>
    </row>
    <row r="150">
      <c r="A150" s="4" t="s">
        <v>11121</v>
      </c>
      <c r="B150" s="10">
        <f t="shared" si="1"/>
        <v>0</v>
      </c>
      <c r="C150" s="6">
        <f t="shared" si="2"/>
        <v>80.2</v>
      </c>
      <c r="D150" s="6">
        <f t="shared" si="3"/>
        <v>13.66786</v>
      </c>
    </row>
    <row r="151">
      <c r="A151" s="4" t="s">
        <v>11122</v>
      </c>
      <c r="B151" s="10">
        <f t="shared" si="1"/>
        <v>0</v>
      </c>
      <c r="C151" s="6">
        <f t="shared" si="2"/>
        <v>80.2</v>
      </c>
      <c r="D151" s="6">
        <f t="shared" si="3"/>
        <v>13.66972</v>
      </c>
    </row>
    <row r="152">
      <c r="A152" s="4" t="s">
        <v>11123</v>
      </c>
      <c r="B152" s="10">
        <f t="shared" si="1"/>
        <v>0</v>
      </c>
      <c r="C152" s="6">
        <f t="shared" si="2"/>
        <v>80.2</v>
      </c>
      <c r="D152" s="6">
        <f t="shared" si="3"/>
        <v>13.669068</v>
      </c>
    </row>
    <row r="153">
      <c r="A153" s="4" t="s">
        <v>11124</v>
      </c>
      <c r="B153" s="10">
        <f t="shared" si="1"/>
        <v>0</v>
      </c>
      <c r="C153" s="6">
        <f t="shared" si="2"/>
        <v>80.2</v>
      </c>
      <c r="D153" s="6">
        <f t="shared" si="3"/>
        <v>13.668474</v>
      </c>
    </row>
    <row r="154">
      <c r="A154" s="4" t="s">
        <v>11125</v>
      </c>
      <c r="B154" s="10">
        <f t="shared" si="1"/>
        <v>0</v>
      </c>
      <c r="C154" s="6">
        <f t="shared" si="2"/>
        <v>80.2</v>
      </c>
      <c r="D154" s="6">
        <f t="shared" si="3"/>
        <v>13.670957</v>
      </c>
    </row>
    <row r="155">
      <c r="A155" s="4" t="s">
        <v>11126</v>
      </c>
      <c r="B155" s="10">
        <f t="shared" si="1"/>
        <v>0</v>
      </c>
      <c r="C155" s="6">
        <f t="shared" si="2"/>
        <v>80.2</v>
      </c>
      <c r="D155" s="6">
        <f t="shared" si="3"/>
        <v>13.672693</v>
      </c>
    </row>
    <row r="156">
      <c r="A156" s="4" t="s">
        <v>11127</v>
      </c>
      <c r="B156" s="10">
        <f t="shared" si="1"/>
        <v>0</v>
      </c>
      <c r="C156" s="6">
        <f t="shared" si="2"/>
        <v>80.2</v>
      </c>
      <c r="D156" s="6">
        <f t="shared" si="3"/>
        <v>13.673512</v>
      </c>
    </row>
    <row r="157">
      <c r="A157" s="4" t="s">
        <v>11125</v>
      </c>
      <c r="B157" s="10">
        <f t="shared" si="1"/>
        <v>0</v>
      </c>
      <c r="C157" s="6">
        <f t="shared" si="2"/>
        <v>80.2</v>
      </c>
      <c r="D157" s="6">
        <f t="shared" si="3"/>
        <v>13.670957</v>
      </c>
    </row>
    <row r="158">
      <c r="A158" s="4" t="s">
        <v>11128</v>
      </c>
      <c r="B158" s="10">
        <f t="shared" si="1"/>
        <v>0</v>
      </c>
      <c r="C158" s="6">
        <f t="shared" si="2"/>
        <v>80.2</v>
      </c>
      <c r="D158" s="6">
        <f t="shared" si="3"/>
        <v>13.670731</v>
      </c>
    </row>
    <row r="159">
      <c r="A159" s="4" t="s">
        <v>11129</v>
      </c>
      <c r="B159" s="10">
        <f t="shared" si="1"/>
        <v>0</v>
      </c>
      <c r="C159" s="6">
        <f t="shared" si="2"/>
        <v>80.2</v>
      </c>
      <c r="D159" s="6">
        <f t="shared" si="3"/>
        <v>13.670146</v>
      </c>
    </row>
    <row r="160">
      <c r="A160" s="4" t="s">
        <v>11129</v>
      </c>
      <c r="B160" s="10">
        <f t="shared" si="1"/>
        <v>0</v>
      </c>
      <c r="C160" s="6">
        <f t="shared" si="2"/>
        <v>80.2</v>
      </c>
      <c r="D160" s="6">
        <f t="shared" si="3"/>
        <v>13.670146</v>
      </c>
    </row>
    <row r="161">
      <c r="A161" s="4" t="s">
        <v>11130</v>
      </c>
      <c r="B161" s="10">
        <f t="shared" si="1"/>
        <v>0</v>
      </c>
      <c r="C161" s="6">
        <f t="shared" si="2"/>
        <v>80.2</v>
      </c>
      <c r="D161" s="6">
        <f t="shared" si="3"/>
        <v>13.669179</v>
      </c>
    </row>
    <row r="162">
      <c r="A162" s="4" t="s">
        <v>11131</v>
      </c>
      <c r="B162" s="10">
        <f t="shared" si="1"/>
        <v>0</v>
      </c>
      <c r="C162" s="6">
        <f t="shared" si="2"/>
        <v>80.2</v>
      </c>
      <c r="D162" s="6">
        <f t="shared" si="3"/>
        <v>13.672296</v>
      </c>
    </row>
    <row r="163">
      <c r="A163" s="4" t="s">
        <v>11132</v>
      </c>
      <c r="B163" s="10">
        <f t="shared" si="1"/>
        <v>0</v>
      </c>
      <c r="C163" s="6">
        <f t="shared" si="2"/>
        <v>80.2</v>
      </c>
      <c r="D163" s="6">
        <f t="shared" si="3"/>
        <v>13.665828</v>
      </c>
    </row>
    <row r="164">
      <c r="A164" s="4" t="s">
        <v>11133</v>
      </c>
      <c r="B164" s="10">
        <f t="shared" si="1"/>
        <v>0</v>
      </c>
      <c r="C164" s="6">
        <f t="shared" si="2"/>
        <v>80.2</v>
      </c>
      <c r="D164" s="6">
        <f t="shared" si="3"/>
        <v>13.665284</v>
      </c>
    </row>
    <row r="165">
      <c r="A165" s="4" t="s">
        <v>11134</v>
      </c>
      <c r="B165" s="10">
        <f t="shared" si="1"/>
        <v>0</v>
      </c>
      <c r="C165" s="6">
        <f t="shared" si="2"/>
        <v>80.2</v>
      </c>
      <c r="D165" s="6">
        <f t="shared" si="3"/>
        <v>13.664313</v>
      </c>
    </row>
    <row r="166">
      <c r="A166" s="4" t="s">
        <v>11135</v>
      </c>
      <c r="B166" s="10">
        <f t="shared" si="1"/>
        <v>0</v>
      </c>
      <c r="C166" s="6">
        <f t="shared" si="2"/>
        <v>80.1</v>
      </c>
      <c r="D166" s="6">
        <f t="shared" si="3"/>
        <v>13.656322</v>
      </c>
    </row>
    <row r="167">
      <c r="A167" s="4" t="s">
        <v>11136</v>
      </c>
      <c r="B167" s="10">
        <f t="shared" si="1"/>
        <v>0</v>
      </c>
      <c r="C167" s="6">
        <f t="shared" si="2"/>
        <v>80.2</v>
      </c>
      <c r="D167" s="6">
        <f t="shared" si="3"/>
        <v>13.660823</v>
      </c>
    </row>
    <row r="168">
      <c r="A168" s="4" t="s">
        <v>11137</v>
      </c>
      <c r="B168" s="10">
        <f t="shared" si="1"/>
        <v>0</v>
      </c>
      <c r="C168" s="6">
        <f t="shared" si="2"/>
        <v>80.2</v>
      </c>
      <c r="D168" s="6">
        <f t="shared" si="3"/>
        <v>13.661515</v>
      </c>
    </row>
    <row r="169">
      <c r="A169" s="4" t="s">
        <v>11138</v>
      </c>
      <c r="B169" s="10">
        <f t="shared" si="1"/>
        <v>0</v>
      </c>
      <c r="C169" s="6">
        <f t="shared" si="2"/>
        <v>81.7</v>
      </c>
      <c r="D169" s="6">
        <f t="shared" si="3"/>
        <v>13.921587</v>
      </c>
    </row>
    <row r="170">
      <c r="A170" s="4" t="s">
        <v>11139</v>
      </c>
      <c r="B170" s="10">
        <f t="shared" si="1"/>
        <v>0</v>
      </c>
      <c r="C170" s="6">
        <f t="shared" si="2"/>
        <v>80.2</v>
      </c>
      <c r="D170" s="6">
        <f t="shared" si="3"/>
        <v>13.665165</v>
      </c>
    </row>
    <row r="171">
      <c r="A171" s="4" t="s">
        <v>11140</v>
      </c>
      <c r="B171" s="10">
        <f t="shared" si="1"/>
        <v>0</v>
      </c>
      <c r="C171" s="6">
        <f t="shared" si="2"/>
        <v>80.2</v>
      </c>
      <c r="D171" s="6">
        <f t="shared" si="3"/>
        <v>13.664157</v>
      </c>
    </row>
    <row r="172">
      <c r="A172" s="4" t="s">
        <v>11141</v>
      </c>
      <c r="B172" s="10">
        <f t="shared" si="1"/>
        <v>0</v>
      </c>
      <c r="C172" s="6">
        <f t="shared" si="2"/>
        <v>80.2</v>
      </c>
      <c r="D172" s="6">
        <f t="shared" si="3"/>
        <v>13.665701</v>
      </c>
    </row>
    <row r="173">
      <c r="A173" s="4" t="s">
        <v>11142</v>
      </c>
      <c r="B173" s="10">
        <f t="shared" si="1"/>
        <v>0</v>
      </c>
      <c r="C173" s="6">
        <f t="shared" si="2"/>
        <v>80.2</v>
      </c>
      <c r="D173" s="6">
        <f t="shared" si="3"/>
        <v>13.667069</v>
      </c>
    </row>
    <row r="174">
      <c r="A174" s="4" t="s">
        <v>11143</v>
      </c>
      <c r="B174" s="10">
        <f t="shared" si="1"/>
        <v>16.7</v>
      </c>
      <c r="C174" s="6">
        <f t="shared" si="2"/>
        <v>82.4</v>
      </c>
      <c r="D174" s="6">
        <f t="shared" si="3"/>
        <v>14.035636</v>
      </c>
    </row>
    <row r="175">
      <c r="A175" s="4" t="s">
        <v>11144</v>
      </c>
      <c r="B175" s="10">
        <f t="shared" si="1"/>
        <v>0</v>
      </c>
      <c r="C175" s="6">
        <f t="shared" si="2"/>
        <v>82.2</v>
      </c>
      <c r="D175" s="6">
        <f t="shared" si="3"/>
        <v>14.009397</v>
      </c>
    </row>
    <row r="176">
      <c r="A176" s="4" t="s">
        <v>11145</v>
      </c>
      <c r="B176" s="10">
        <f t="shared" si="1"/>
        <v>0</v>
      </c>
      <c r="C176" s="6">
        <f t="shared" si="2"/>
        <v>81.8</v>
      </c>
      <c r="D176" s="6">
        <f t="shared" si="3"/>
        <v>13.942284</v>
      </c>
    </row>
    <row r="177">
      <c r="A177" s="4" t="s">
        <v>11146</v>
      </c>
      <c r="B177" s="10">
        <f t="shared" si="1"/>
        <v>0</v>
      </c>
      <c r="C177" s="6">
        <f t="shared" si="2"/>
        <v>80.2</v>
      </c>
      <c r="D177" s="6">
        <f t="shared" si="3"/>
        <v>13.664948</v>
      </c>
    </row>
    <row r="178">
      <c r="A178" s="4" t="s">
        <v>11147</v>
      </c>
      <c r="B178" s="10">
        <f t="shared" si="1"/>
        <v>0</v>
      </c>
      <c r="C178" s="6">
        <f t="shared" si="2"/>
        <v>80.2</v>
      </c>
      <c r="D178" s="6">
        <f t="shared" si="3"/>
        <v>13.666807</v>
      </c>
    </row>
    <row r="179">
      <c r="A179" s="4" t="s">
        <v>11148</v>
      </c>
      <c r="B179" s="10">
        <f t="shared" si="1"/>
        <v>0</v>
      </c>
      <c r="C179" s="6">
        <f t="shared" si="2"/>
        <v>80.2</v>
      </c>
      <c r="D179" s="6">
        <f t="shared" si="3"/>
        <v>13.666668</v>
      </c>
    </row>
    <row r="180">
      <c r="A180" s="4" t="s">
        <v>11149</v>
      </c>
      <c r="B180" s="10">
        <f t="shared" si="1"/>
        <v>0</v>
      </c>
      <c r="C180" s="6">
        <f t="shared" si="2"/>
        <v>80.2</v>
      </c>
      <c r="D180" s="6">
        <f t="shared" si="3"/>
        <v>13.668712</v>
      </c>
    </row>
    <row r="181">
      <c r="A181" s="4" t="s">
        <v>11150</v>
      </c>
      <c r="B181" s="10">
        <f t="shared" si="1"/>
        <v>0</v>
      </c>
      <c r="C181" s="6">
        <f t="shared" si="2"/>
        <v>80.2</v>
      </c>
      <c r="D181" s="6">
        <f t="shared" si="3"/>
        <v>13.665607</v>
      </c>
    </row>
    <row r="182">
      <c r="A182" s="4" t="s">
        <v>11151</v>
      </c>
      <c r="B182" s="10">
        <f t="shared" si="1"/>
        <v>0</v>
      </c>
      <c r="C182" s="6">
        <f t="shared" si="2"/>
        <v>80.2</v>
      </c>
      <c r="D182" s="6">
        <f t="shared" si="3"/>
        <v>13.667811</v>
      </c>
    </row>
    <row r="183">
      <c r="A183" s="4" t="s">
        <v>11152</v>
      </c>
      <c r="B183" s="10">
        <f t="shared" si="1"/>
        <v>0</v>
      </c>
      <c r="C183" s="6">
        <f t="shared" si="2"/>
        <v>80.2</v>
      </c>
      <c r="D183" s="6">
        <f t="shared" si="3"/>
        <v>13.66659</v>
      </c>
    </row>
    <row r="184">
      <c r="A184" s="4" t="s">
        <v>11153</v>
      </c>
      <c r="B184" s="10">
        <f t="shared" si="1"/>
        <v>0</v>
      </c>
      <c r="C184" s="6">
        <f t="shared" si="2"/>
        <v>80.2</v>
      </c>
      <c r="D184" s="6">
        <f t="shared" si="3"/>
        <v>13.66503</v>
      </c>
    </row>
    <row r="185">
      <c r="A185" s="4" t="s">
        <v>11154</v>
      </c>
      <c r="B185" s="10">
        <f t="shared" si="1"/>
        <v>0</v>
      </c>
      <c r="C185" s="6">
        <f t="shared" si="2"/>
        <v>80.2</v>
      </c>
      <c r="D185" s="6">
        <f t="shared" si="3"/>
        <v>13.664284</v>
      </c>
    </row>
    <row r="186">
      <c r="A186" s="4" t="s">
        <v>11155</v>
      </c>
      <c r="B186" s="10">
        <f t="shared" si="1"/>
        <v>0</v>
      </c>
      <c r="C186" s="6">
        <f t="shared" si="2"/>
        <v>80.2</v>
      </c>
      <c r="D186" s="6">
        <f t="shared" si="3"/>
        <v>13.666648</v>
      </c>
    </row>
    <row r="187">
      <c r="A187" s="4" t="s">
        <v>11156</v>
      </c>
      <c r="B187" s="10">
        <f t="shared" si="1"/>
        <v>0</v>
      </c>
      <c r="C187" s="6">
        <f t="shared" si="2"/>
        <v>80.2</v>
      </c>
      <c r="D187" s="6">
        <f t="shared" si="3"/>
        <v>13.666058</v>
      </c>
    </row>
    <row r="188">
      <c r="A188" s="4" t="s">
        <v>11157</v>
      </c>
      <c r="B188" s="10">
        <f t="shared" si="1"/>
        <v>50</v>
      </c>
      <c r="C188" s="6">
        <f t="shared" si="2"/>
        <v>80.2</v>
      </c>
      <c r="D188" s="6">
        <f t="shared" si="3"/>
        <v>13.667807</v>
      </c>
    </row>
    <row r="189">
      <c r="A189" s="4" t="s">
        <v>11158</v>
      </c>
      <c r="B189" s="10">
        <f t="shared" si="1"/>
        <v>0</v>
      </c>
      <c r="C189" s="6">
        <f t="shared" si="2"/>
        <v>80.2</v>
      </c>
      <c r="D189" s="6">
        <f t="shared" si="3"/>
        <v>13.671653</v>
      </c>
    </row>
    <row r="190">
      <c r="A190" s="4" t="s">
        <v>11159</v>
      </c>
      <c r="B190" s="10">
        <f t="shared" si="1"/>
        <v>0</v>
      </c>
      <c r="C190" s="6">
        <f t="shared" si="2"/>
        <v>80.2</v>
      </c>
      <c r="D190" s="6">
        <f t="shared" si="3"/>
        <v>13.665865</v>
      </c>
    </row>
    <row r="191">
      <c r="A191" s="4" t="s">
        <v>11160</v>
      </c>
      <c r="B191" s="10">
        <f t="shared" si="1"/>
        <v>0</v>
      </c>
      <c r="C191" s="6">
        <f t="shared" si="2"/>
        <v>80.2</v>
      </c>
      <c r="D191" s="6">
        <f t="shared" si="3"/>
        <v>13.674614</v>
      </c>
    </row>
    <row r="192">
      <c r="A192" s="4" t="s">
        <v>11161</v>
      </c>
      <c r="B192" s="10">
        <f t="shared" si="1"/>
        <v>0</v>
      </c>
      <c r="C192" s="6">
        <f t="shared" si="2"/>
        <v>80.2</v>
      </c>
      <c r="D192" s="6">
        <f t="shared" si="3"/>
        <v>13.673574</v>
      </c>
    </row>
    <row r="193">
      <c r="A193" s="4" t="s">
        <v>11162</v>
      </c>
      <c r="B193" s="10">
        <f t="shared" si="1"/>
        <v>0</v>
      </c>
      <c r="C193" s="6">
        <f t="shared" si="2"/>
        <v>80.2</v>
      </c>
      <c r="D193" s="6">
        <f t="shared" si="3"/>
        <v>13.672714</v>
      </c>
    </row>
    <row r="194">
      <c r="A194" s="4" t="s">
        <v>11163</v>
      </c>
      <c r="B194" s="10">
        <f t="shared" si="1"/>
        <v>0</v>
      </c>
      <c r="C194" s="6">
        <f t="shared" si="2"/>
        <v>80.2</v>
      </c>
      <c r="D194" s="6">
        <f t="shared" si="3"/>
        <v>13.672427</v>
      </c>
    </row>
    <row r="195">
      <c r="A195" s="4" t="s">
        <v>11164</v>
      </c>
      <c r="B195" s="10">
        <f t="shared" si="1"/>
        <v>0</v>
      </c>
      <c r="C195" s="6">
        <f t="shared" si="2"/>
        <v>80.2</v>
      </c>
      <c r="D195" s="6">
        <f t="shared" si="3"/>
        <v>13.664198</v>
      </c>
    </row>
    <row r="196">
      <c r="A196" s="4" t="s">
        <v>11165</v>
      </c>
      <c r="B196" s="10">
        <f t="shared" si="1"/>
        <v>0</v>
      </c>
      <c r="C196" s="6">
        <f t="shared" si="2"/>
        <v>80.1</v>
      </c>
      <c r="D196" s="6">
        <f t="shared" si="3"/>
        <v>13.658243</v>
      </c>
    </row>
    <row r="197">
      <c r="A197" s="4" t="s">
        <v>11166</v>
      </c>
      <c r="B197" s="10">
        <f t="shared" si="1"/>
        <v>0</v>
      </c>
      <c r="C197" s="6">
        <f t="shared" si="2"/>
        <v>80.2</v>
      </c>
      <c r="D197" s="6">
        <f t="shared" si="3"/>
        <v>13.662171</v>
      </c>
    </row>
    <row r="198">
      <c r="A198" s="4" t="s">
        <v>11167</v>
      </c>
      <c r="B198" s="10">
        <f t="shared" si="1"/>
        <v>0</v>
      </c>
      <c r="C198" s="6">
        <f t="shared" si="2"/>
        <v>80.2</v>
      </c>
      <c r="D198" s="6">
        <f t="shared" si="3"/>
        <v>13.66131</v>
      </c>
    </row>
    <row r="199">
      <c r="A199" s="4" t="s">
        <v>11168</v>
      </c>
      <c r="B199" s="10">
        <f t="shared" si="1"/>
        <v>0</v>
      </c>
      <c r="C199" s="6">
        <f t="shared" si="2"/>
        <v>80.2</v>
      </c>
      <c r="D199" s="6">
        <f t="shared" si="3"/>
        <v>13.660839</v>
      </c>
    </row>
    <row r="200">
      <c r="A200" s="4" t="s">
        <v>11169</v>
      </c>
      <c r="B200" s="10">
        <f t="shared" si="1"/>
        <v>0</v>
      </c>
      <c r="C200" s="6">
        <f t="shared" si="2"/>
        <v>80.2</v>
      </c>
      <c r="D200" s="6">
        <f t="shared" si="3"/>
        <v>13.661319</v>
      </c>
    </row>
    <row r="201">
      <c r="A201" s="4" t="s">
        <v>11170</v>
      </c>
      <c r="B201" s="10">
        <f t="shared" si="1"/>
        <v>0</v>
      </c>
      <c r="C201" s="6">
        <f t="shared" si="2"/>
        <v>80.2</v>
      </c>
      <c r="D201" s="6">
        <f t="shared" si="3"/>
        <v>13.663674</v>
      </c>
    </row>
    <row r="202">
      <c r="A202" s="4" t="s">
        <v>11171</v>
      </c>
      <c r="B202" s="10">
        <f t="shared" si="1"/>
        <v>0</v>
      </c>
      <c r="C202" s="6">
        <f t="shared" si="2"/>
        <v>80.2</v>
      </c>
      <c r="D202" s="6">
        <f t="shared" si="3"/>
        <v>13.665087</v>
      </c>
    </row>
    <row r="203">
      <c r="A203" s="4" t="s">
        <v>11172</v>
      </c>
      <c r="B203" s="10">
        <f t="shared" si="1"/>
        <v>0</v>
      </c>
      <c r="C203" s="6">
        <f t="shared" si="2"/>
        <v>80.2</v>
      </c>
      <c r="D203" s="6">
        <f t="shared" si="3"/>
        <v>13.663617</v>
      </c>
    </row>
    <row r="204">
      <c r="A204" s="4" t="s">
        <v>11173</v>
      </c>
      <c r="B204" s="10">
        <f t="shared" si="1"/>
        <v>0</v>
      </c>
      <c r="C204" s="6">
        <f t="shared" si="2"/>
        <v>80.2</v>
      </c>
      <c r="D204" s="6">
        <f t="shared" si="3"/>
        <v>13.667065</v>
      </c>
    </row>
    <row r="205">
      <c r="A205" s="4" t="s">
        <v>11174</v>
      </c>
      <c r="B205" s="10">
        <f t="shared" si="1"/>
        <v>11.1</v>
      </c>
      <c r="C205" s="6">
        <f t="shared" si="2"/>
        <v>80.2</v>
      </c>
      <c r="D205" s="6">
        <f t="shared" si="3"/>
        <v>13.663453</v>
      </c>
    </row>
    <row r="206">
      <c r="A206" s="4" t="s">
        <v>11175</v>
      </c>
      <c r="B206" s="10">
        <f t="shared" si="1"/>
        <v>0</v>
      </c>
      <c r="C206" s="6">
        <f t="shared" si="2"/>
        <v>80.2</v>
      </c>
      <c r="D206" s="6">
        <f t="shared" si="3"/>
        <v>13.670985</v>
      </c>
    </row>
    <row r="207">
      <c r="A207" s="4" t="s">
        <v>11176</v>
      </c>
      <c r="B207" s="10">
        <f t="shared" si="1"/>
        <v>0</v>
      </c>
      <c r="C207" s="6">
        <f t="shared" si="2"/>
        <v>80.2</v>
      </c>
      <c r="D207" s="6">
        <f t="shared" si="3"/>
        <v>13.671686</v>
      </c>
    </row>
    <row r="208">
      <c r="A208" s="4" t="s">
        <v>11177</v>
      </c>
      <c r="B208" s="10">
        <f t="shared" si="1"/>
        <v>0</v>
      </c>
      <c r="C208" s="6">
        <f t="shared" si="2"/>
        <v>81.1</v>
      </c>
      <c r="D208" s="6">
        <f t="shared" si="3"/>
        <v>13.822877</v>
      </c>
    </row>
    <row r="209">
      <c r="A209" s="4" t="s">
        <v>11178</v>
      </c>
      <c r="B209" s="10">
        <f t="shared" si="1"/>
        <v>0</v>
      </c>
      <c r="C209" s="6">
        <f t="shared" si="2"/>
        <v>80.2</v>
      </c>
      <c r="D209" s="6">
        <f t="shared" si="3"/>
        <v>13.670572</v>
      </c>
    </row>
    <row r="210">
      <c r="A210" s="4" t="s">
        <v>11179</v>
      </c>
      <c r="B210" s="10">
        <f t="shared" si="1"/>
        <v>0</v>
      </c>
      <c r="C210" s="6">
        <f t="shared" si="2"/>
        <v>80.2</v>
      </c>
      <c r="D210" s="6">
        <f t="shared" si="3"/>
        <v>13.666422</v>
      </c>
    </row>
    <row r="211">
      <c r="A211" s="4" t="s">
        <v>11180</v>
      </c>
      <c r="B211" s="10">
        <f t="shared" si="1"/>
        <v>0</v>
      </c>
      <c r="C211" s="6">
        <f t="shared" si="2"/>
        <v>80.4</v>
      </c>
      <c r="D211" s="6">
        <f t="shared" si="3"/>
        <v>13.700714</v>
      </c>
    </row>
    <row r="212">
      <c r="A212" s="4" t="s">
        <v>11181</v>
      </c>
      <c r="B212" s="10">
        <f t="shared" si="1"/>
        <v>0</v>
      </c>
      <c r="C212" s="6">
        <f t="shared" si="2"/>
        <v>80.4</v>
      </c>
      <c r="D212" s="6">
        <f t="shared" si="3"/>
        <v>13.707177</v>
      </c>
    </row>
    <row r="213">
      <c r="A213" s="4" t="s">
        <v>11182</v>
      </c>
      <c r="B213" s="10">
        <f t="shared" si="1"/>
        <v>0</v>
      </c>
      <c r="C213" s="6">
        <f t="shared" si="2"/>
        <v>80.4</v>
      </c>
      <c r="D213" s="6">
        <f t="shared" si="3"/>
        <v>13.708218</v>
      </c>
    </row>
    <row r="214">
      <c r="A214" s="4" t="s">
        <v>11183</v>
      </c>
      <c r="B214" s="10">
        <f t="shared" si="1"/>
        <v>0</v>
      </c>
      <c r="C214" s="6">
        <f t="shared" si="2"/>
        <v>80.4</v>
      </c>
      <c r="D214" s="6">
        <f t="shared" si="3"/>
        <v>13.707165</v>
      </c>
    </row>
    <row r="215">
      <c r="A215" s="4" t="s">
        <v>11184</v>
      </c>
      <c r="B215" s="10">
        <f t="shared" si="1"/>
        <v>0</v>
      </c>
      <c r="C215" s="6">
        <f t="shared" si="2"/>
        <v>80.4</v>
      </c>
      <c r="D215" s="6">
        <f t="shared" si="3"/>
        <v>13.707214</v>
      </c>
    </row>
    <row r="216">
      <c r="A216" s="4" t="s">
        <v>11185</v>
      </c>
      <c r="B216" s="10">
        <f t="shared" si="1"/>
        <v>0</v>
      </c>
      <c r="C216" s="6">
        <f t="shared" si="2"/>
        <v>80.5</v>
      </c>
      <c r="D216" s="6">
        <f t="shared" si="3"/>
        <v>13.718417</v>
      </c>
    </row>
    <row r="217">
      <c r="A217" s="4" t="s">
        <v>11186</v>
      </c>
      <c r="B217" s="10">
        <f t="shared" si="1"/>
        <v>0</v>
      </c>
      <c r="C217" s="6">
        <f t="shared" si="2"/>
        <v>80.4</v>
      </c>
      <c r="D217" s="6">
        <f t="shared" si="3"/>
        <v>13.700689</v>
      </c>
    </row>
    <row r="218">
      <c r="A218" s="4" t="s">
        <v>11187</v>
      </c>
      <c r="B218" s="10">
        <f t="shared" si="1"/>
        <v>12.5</v>
      </c>
      <c r="C218" s="6">
        <f t="shared" si="2"/>
        <v>80.4</v>
      </c>
      <c r="D218" s="6">
        <f t="shared" si="3"/>
        <v>13.698142</v>
      </c>
    </row>
    <row r="219">
      <c r="A219" s="4" t="s">
        <v>11188</v>
      </c>
      <c r="B219" s="10">
        <f t="shared" si="1"/>
        <v>0</v>
      </c>
      <c r="C219" s="6">
        <f t="shared" si="2"/>
        <v>80.3</v>
      </c>
      <c r="D219" s="6">
        <f t="shared" si="3"/>
        <v>13.690245</v>
      </c>
    </row>
    <row r="220">
      <c r="A220" s="4" t="s">
        <v>11189</v>
      </c>
      <c r="B220" s="10">
        <f t="shared" si="1"/>
        <v>0</v>
      </c>
      <c r="C220" s="6">
        <f t="shared" si="2"/>
        <v>80.3</v>
      </c>
      <c r="D220" s="6">
        <f t="shared" si="3"/>
        <v>13.688848</v>
      </c>
    </row>
    <row r="221">
      <c r="A221" s="4" t="s">
        <v>11190</v>
      </c>
      <c r="B221" s="10">
        <f t="shared" si="1"/>
        <v>0</v>
      </c>
      <c r="C221" s="6">
        <f t="shared" si="2"/>
        <v>80.4</v>
      </c>
      <c r="D221" s="6">
        <f t="shared" si="3"/>
        <v>13.696548</v>
      </c>
    </row>
    <row r="222">
      <c r="A222" s="4" t="s">
        <v>11191</v>
      </c>
      <c r="B222" s="10">
        <f t="shared" si="1"/>
        <v>0</v>
      </c>
      <c r="C222" s="6">
        <f t="shared" si="2"/>
        <v>82.7</v>
      </c>
      <c r="D222" s="6">
        <f t="shared" si="3"/>
        <v>14.086316</v>
      </c>
    </row>
    <row r="223">
      <c r="A223" s="4" t="s">
        <v>11192</v>
      </c>
      <c r="B223" s="10">
        <f t="shared" si="1"/>
        <v>0</v>
      </c>
      <c r="C223" s="6">
        <f t="shared" si="2"/>
        <v>81.1</v>
      </c>
      <c r="D223" s="6">
        <f t="shared" si="3"/>
        <v>13.826945</v>
      </c>
    </row>
    <row r="224">
      <c r="A224" s="4" t="s">
        <v>11193</v>
      </c>
      <c r="B224" s="10">
        <f t="shared" si="1"/>
        <v>0</v>
      </c>
      <c r="C224" s="6">
        <f t="shared" si="2"/>
        <v>81.4</v>
      </c>
      <c r="D224" s="6">
        <f t="shared" si="3"/>
        <v>13.870587</v>
      </c>
    </row>
    <row r="225">
      <c r="A225" s="4" t="s">
        <v>11194</v>
      </c>
      <c r="B225" s="10">
        <f t="shared" si="1"/>
        <v>0</v>
      </c>
      <c r="C225" s="6">
        <f t="shared" si="2"/>
        <v>81.4</v>
      </c>
      <c r="D225" s="6">
        <f t="shared" si="3"/>
        <v>13.872398</v>
      </c>
    </row>
    <row r="226">
      <c r="A226" s="4" t="s">
        <v>11195</v>
      </c>
      <c r="B226" s="10">
        <f t="shared" si="1"/>
        <v>0</v>
      </c>
      <c r="C226" s="6">
        <f t="shared" si="2"/>
        <v>80.4</v>
      </c>
      <c r="D226" s="6">
        <f t="shared" si="3"/>
        <v>13.69808</v>
      </c>
    </row>
    <row r="227">
      <c r="A227" s="4" t="s">
        <v>11196</v>
      </c>
      <c r="B227" s="10">
        <f t="shared" si="1"/>
        <v>0</v>
      </c>
      <c r="C227" s="6">
        <f t="shared" si="2"/>
        <v>80.3</v>
      </c>
      <c r="D227" s="6">
        <f t="shared" si="3"/>
        <v>13.691854</v>
      </c>
    </row>
    <row r="228">
      <c r="A228" s="4" t="s">
        <v>11197</v>
      </c>
      <c r="B228" s="10">
        <f t="shared" si="1"/>
        <v>0</v>
      </c>
      <c r="C228" s="6">
        <f t="shared" si="2"/>
        <v>80.3</v>
      </c>
      <c r="D228" s="6">
        <f t="shared" si="3"/>
        <v>13.688033</v>
      </c>
    </row>
    <row r="229">
      <c r="A229" s="4" t="s">
        <v>11198</v>
      </c>
      <c r="B229" s="10">
        <f t="shared" si="1"/>
        <v>0</v>
      </c>
      <c r="C229" s="6">
        <f t="shared" si="2"/>
        <v>80.3</v>
      </c>
      <c r="D229" s="6">
        <f t="shared" si="3"/>
        <v>13.691498</v>
      </c>
    </row>
    <row r="230">
      <c r="A230" s="4" t="s">
        <v>11199</v>
      </c>
      <c r="B230" s="10">
        <f t="shared" si="1"/>
        <v>0</v>
      </c>
      <c r="C230" s="6">
        <f t="shared" si="2"/>
        <v>80.4</v>
      </c>
      <c r="D230" s="6">
        <f t="shared" si="3"/>
        <v>13.692874</v>
      </c>
    </row>
    <row r="231">
      <c r="A231" s="4" t="s">
        <v>11200</v>
      </c>
      <c r="B231" s="10">
        <f t="shared" si="1"/>
        <v>20</v>
      </c>
      <c r="C231" s="6">
        <f t="shared" si="2"/>
        <v>80.4</v>
      </c>
      <c r="D231" s="6">
        <f t="shared" si="3"/>
        <v>13.696352</v>
      </c>
    </row>
    <row r="232">
      <c r="A232" s="4" t="s">
        <v>11201</v>
      </c>
      <c r="B232" s="10">
        <f t="shared" si="1"/>
        <v>0</v>
      </c>
      <c r="C232" s="6">
        <f t="shared" si="2"/>
        <v>80.3</v>
      </c>
      <c r="D232" s="6">
        <f t="shared" si="3"/>
        <v>13.692174</v>
      </c>
    </row>
    <row r="233">
      <c r="A233" s="4" t="s">
        <v>11202</v>
      </c>
      <c r="B233" s="10">
        <f t="shared" si="1"/>
        <v>0</v>
      </c>
      <c r="C233" s="6">
        <f t="shared" si="2"/>
        <v>80.3</v>
      </c>
      <c r="D233" s="6">
        <f t="shared" si="3"/>
        <v>13.689974</v>
      </c>
    </row>
    <row r="234">
      <c r="A234" s="4" t="s">
        <v>11203</v>
      </c>
      <c r="B234" s="10">
        <f t="shared" si="1"/>
        <v>0</v>
      </c>
      <c r="C234" s="6">
        <f t="shared" si="2"/>
        <v>80.4</v>
      </c>
      <c r="D234" s="6">
        <f t="shared" si="3"/>
        <v>13.697847</v>
      </c>
    </row>
    <row r="235">
      <c r="A235" s="4" t="s">
        <v>11204</v>
      </c>
      <c r="B235" s="10">
        <f t="shared" si="1"/>
        <v>0</v>
      </c>
      <c r="C235" s="6">
        <f t="shared" si="2"/>
        <v>80.3</v>
      </c>
      <c r="D235" s="6">
        <f t="shared" si="3"/>
        <v>13.689516</v>
      </c>
    </row>
    <row r="236">
      <c r="A236" s="4" t="s">
        <v>11205</v>
      </c>
      <c r="B236" s="10">
        <f t="shared" si="1"/>
        <v>0</v>
      </c>
      <c r="C236" s="6">
        <f t="shared" si="2"/>
        <v>80.4</v>
      </c>
      <c r="D236" s="6">
        <f t="shared" si="3"/>
        <v>13.693616</v>
      </c>
    </row>
    <row r="237">
      <c r="A237" s="4" t="s">
        <v>11206</v>
      </c>
      <c r="B237" s="10">
        <f t="shared" si="1"/>
        <v>0</v>
      </c>
      <c r="C237" s="6">
        <f t="shared" si="2"/>
        <v>80.3</v>
      </c>
      <c r="D237" s="6">
        <f t="shared" si="3"/>
        <v>13.690449</v>
      </c>
    </row>
    <row r="238">
      <c r="A238" s="4" t="s">
        <v>11207</v>
      </c>
      <c r="B238" s="10">
        <f t="shared" si="1"/>
        <v>100</v>
      </c>
      <c r="C238" s="6">
        <f t="shared" si="2"/>
        <v>80.3</v>
      </c>
      <c r="D238" s="6">
        <f t="shared" si="3"/>
        <v>13.689651</v>
      </c>
    </row>
    <row r="239">
      <c r="A239" s="4" t="s">
        <v>11208</v>
      </c>
      <c r="B239" s="10">
        <f t="shared" si="1"/>
        <v>0</v>
      </c>
      <c r="C239" s="6">
        <f t="shared" si="2"/>
        <v>80.3</v>
      </c>
      <c r="D239" s="6">
        <f t="shared" si="3"/>
        <v>13.68032</v>
      </c>
    </row>
    <row r="240">
      <c r="A240" s="4" t="s">
        <v>11209</v>
      </c>
      <c r="B240" s="10">
        <f t="shared" si="1"/>
        <v>0</v>
      </c>
      <c r="C240" s="6">
        <f t="shared" si="2"/>
        <v>80.2</v>
      </c>
      <c r="D240" s="6">
        <f t="shared" si="3"/>
        <v>13.670027</v>
      </c>
    </row>
    <row r="241">
      <c r="A241" s="4" t="s">
        <v>11210</v>
      </c>
      <c r="B241" s="10">
        <f t="shared" si="1"/>
        <v>0</v>
      </c>
      <c r="C241" s="6">
        <f t="shared" si="2"/>
        <v>80.2</v>
      </c>
      <c r="D241" s="6">
        <f t="shared" si="3"/>
        <v>13.669613</v>
      </c>
    </row>
    <row r="242">
      <c r="A242" s="4" t="s">
        <v>11211</v>
      </c>
      <c r="B242" s="10">
        <f t="shared" si="1"/>
        <v>10</v>
      </c>
      <c r="C242" s="6">
        <f t="shared" si="2"/>
        <v>80.2</v>
      </c>
      <c r="D242" s="6">
        <f t="shared" si="3"/>
        <v>13.67051</v>
      </c>
    </row>
    <row r="243">
      <c r="A243" s="4" t="s">
        <v>11212</v>
      </c>
      <c r="B243" s="10">
        <f t="shared" si="1"/>
        <v>0</v>
      </c>
      <c r="C243" s="6">
        <f t="shared" si="2"/>
        <v>80.2</v>
      </c>
      <c r="D243" s="6">
        <f t="shared" si="3"/>
        <v>13.668966</v>
      </c>
    </row>
    <row r="244">
      <c r="A244" s="4" t="s">
        <v>11213</v>
      </c>
      <c r="B244" s="10">
        <f t="shared" si="1"/>
        <v>0</v>
      </c>
      <c r="C244" s="6">
        <f t="shared" si="2"/>
        <v>80.2</v>
      </c>
      <c r="D244" s="6">
        <f t="shared" si="3"/>
        <v>13.671317</v>
      </c>
    </row>
    <row r="245">
      <c r="A245" s="4" t="s">
        <v>11080</v>
      </c>
      <c r="B245" s="10">
        <f t="shared" si="1"/>
        <v>0</v>
      </c>
      <c r="C245" s="6">
        <f t="shared" si="2"/>
        <v>80.2</v>
      </c>
      <c r="D245" s="6">
        <f t="shared" si="3"/>
        <v>13.673873</v>
      </c>
    </row>
    <row r="246">
      <c r="A246" s="4" t="s">
        <v>11214</v>
      </c>
      <c r="B246" s="10">
        <f t="shared" si="1"/>
        <v>100</v>
      </c>
      <c r="C246" s="6">
        <f t="shared" si="2"/>
        <v>80.2</v>
      </c>
      <c r="D246" s="6">
        <f t="shared" si="3"/>
        <v>13.671579</v>
      </c>
    </row>
    <row r="247">
      <c r="A247" s="4" t="s">
        <v>11215</v>
      </c>
      <c r="B247" s="10">
        <f t="shared" si="1"/>
        <v>0</v>
      </c>
      <c r="C247" s="6">
        <f t="shared" si="2"/>
        <v>80.2</v>
      </c>
      <c r="D247" s="6">
        <f t="shared" si="3"/>
        <v>13.672255</v>
      </c>
    </row>
    <row r="248">
      <c r="A248" s="4" t="s">
        <v>11216</v>
      </c>
      <c r="B248" s="10">
        <f t="shared" si="1"/>
        <v>0</v>
      </c>
      <c r="C248" s="6">
        <f t="shared" si="2"/>
        <v>80.2</v>
      </c>
      <c r="D248" s="6">
        <f t="shared" si="3"/>
        <v>13.670375</v>
      </c>
    </row>
    <row r="249">
      <c r="A249" s="4" t="s">
        <v>11217</v>
      </c>
      <c r="B249" s="10">
        <f t="shared" si="1"/>
        <v>0</v>
      </c>
      <c r="C249" s="6">
        <f t="shared" si="2"/>
        <v>80.2</v>
      </c>
      <c r="D249" s="6">
        <f t="shared" si="3"/>
        <v>13.666615</v>
      </c>
    </row>
    <row r="250">
      <c r="A250" s="4" t="s">
        <v>11218</v>
      </c>
      <c r="B250" s="10">
        <f t="shared" si="1"/>
        <v>10</v>
      </c>
      <c r="C250" s="6">
        <f t="shared" si="2"/>
        <v>80.2</v>
      </c>
      <c r="D250" s="6">
        <f t="shared" si="3"/>
        <v>13.670084</v>
      </c>
    </row>
    <row r="251">
      <c r="A251" s="4" t="s">
        <v>11219</v>
      </c>
      <c r="B251" s="10">
        <f t="shared" si="1"/>
        <v>0</v>
      </c>
      <c r="C251" s="6">
        <f t="shared" si="2"/>
        <v>80.2</v>
      </c>
      <c r="D251" s="6">
        <f t="shared" si="3"/>
        <v>13.669543</v>
      </c>
    </row>
    <row r="252">
      <c r="A252" s="4" t="s">
        <v>11220</v>
      </c>
      <c r="B252" s="10">
        <f t="shared" si="1"/>
        <v>0</v>
      </c>
      <c r="C252" s="6">
        <f t="shared" si="2"/>
        <v>80.2</v>
      </c>
      <c r="D252" s="6">
        <f t="shared" si="3"/>
        <v>13.673467</v>
      </c>
    </row>
    <row r="253">
      <c r="A253" s="4" t="s">
        <v>11221</v>
      </c>
      <c r="B253" s="10">
        <f t="shared" si="1"/>
        <v>0</v>
      </c>
      <c r="C253" s="6">
        <f t="shared" si="2"/>
        <v>80.2</v>
      </c>
      <c r="D253" s="6">
        <f t="shared" si="3"/>
        <v>13.675102</v>
      </c>
    </row>
    <row r="254">
      <c r="A254" s="4" t="s">
        <v>11222</v>
      </c>
      <c r="B254" s="10">
        <f t="shared" si="1"/>
        <v>0</v>
      </c>
      <c r="C254" s="6">
        <f t="shared" si="2"/>
        <v>80.2</v>
      </c>
      <c r="D254" s="6">
        <f t="shared" si="3"/>
        <v>13.672906</v>
      </c>
    </row>
    <row r="255">
      <c r="A255" s="4" t="s">
        <v>11223</v>
      </c>
      <c r="B255" s="10">
        <f t="shared" si="1"/>
        <v>0</v>
      </c>
      <c r="C255" s="6">
        <f t="shared" si="2"/>
        <v>80.2</v>
      </c>
      <c r="D255" s="6">
        <f t="shared" si="3"/>
        <v>13.674569</v>
      </c>
    </row>
    <row r="256">
      <c r="A256" s="4" t="s">
        <v>11224</v>
      </c>
      <c r="B256" s="10">
        <f t="shared" si="1"/>
        <v>0</v>
      </c>
      <c r="C256" s="6">
        <f t="shared" si="2"/>
        <v>80.2</v>
      </c>
      <c r="D256" s="6">
        <f t="shared" si="3"/>
        <v>13.66616</v>
      </c>
    </row>
    <row r="257">
      <c r="A257" s="4" t="s">
        <v>11225</v>
      </c>
      <c r="B257" s="10">
        <f t="shared" si="1"/>
        <v>0</v>
      </c>
      <c r="C257" s="6">
        <f t="shared" si="2"/>
        <v>80.2</v>
      </c>
      <c r="D257" s="6">
        <f t="shared" si="3"/>
        <v>13.66822</v>
      </c>
    </row>
    <row r="258">
      <c r="A258" s="4" t="s">
        <v>11226</v>
      </c>
      <c r="B258" s="10">
        <f t="shared" si="1"/>
        <v>0</v>
      </c>
      <c r="C258" s="6">
        <f t="shared" si="2"/>
        <v>80.2</v>
      </c>
      <c r="D258" s="6">
        <f t="shared" si="3"/>
        <v>13.669031</v>
      </c>
    </row>
    <row r="259">
      <c r="A259" s="4" t="s">
        <v>11227</v>
      </c>
      <c r="B259" s="10">
        <f t="shared" si="1"/>
        <v>0</v>
      </c>
      <c r="C259" s="6">
        <f t="shared" si="2"/>
        <v>80.2</v>
      </c>
      <c r="D259" s="6">
        <f t="shared" si="3"/>
        <v>13.670248</v>
      </c>
    </row>
    <row r="260">
      <c r="A260" s="4" t="s">
        <v>11228</v>
      </c>
      <c r="B260" s="10">
        <f t="shared" si="1"/>
        <v>0</v>
      </c>
      <c r="C260" s="6">
        <f t="shared" si="2"/>
        <v>80.2</v>
      </c>
      <c r="D260" s="6">
        <f t="shared" si="3"/>
        <v>13.668356</v>
      </c>
    </row>
    <row r="261">
      <c r="A261" s="4" t="s">
        <v>11229</v>
      </c>
      <c r="B261" s="10">
        <f t="shared" si="1"/>
        <v>0</v>
      </c>
      <c r="C261" s="6">
        <f t="shared" si="2"/>
        <v>81.4</v>
      </c>
      <c r="D261" s="6">
        <f t="shared" si="3"/>
        <v>13.868154</v>
      </c>
    </row>
    <row r="262">
      <c r="A262" s="4" t="s">
        <v>11230</v>
      </c>
      <c r="B262" s="10">
        <f t="shared" si="1"/>
        <v>0</v>
      </c>
      <c r="C262" s="6">
        <f t="shared" si="2"/>
        <v>79.8</v>
      </c>
      <c r="D262" s="6">
        <f t="shared" si="3"/>
        <v>13.601943</v>
      </c>
    </row>
    <row r="263">
      <c r="A263" s="4" t="s">
        <v>11231</v>
      </c>
      <c r="B263" s="10">
        <f t="shared" si="1"/>
        <v>0</v>
      </c>
      <c r="C263" s="6">
        <f t="shared" si="2"/>
        <v>79.8</v>
      </c>
      <c r="D263" s="6">
        <f t="shared" si="3"/>
        <v>13.600952</v>
      </c>
    </row>
    <row r="264">
      <c r="A264" s="4" t="s">
        <v>11232</v>
      </c>
      <c r="B264" s="10">
        <f t="shared" si="1"/>
        <v>0</v>
      </c>
      <c r="C264" s="6">
        <f t="shared" si="2"/>
        <v>79.8</v>
      </c>
      <c r="D264" s="6">
        <f t="shared" si="3"/>
        <v>13.602873</v>
      </c>
    </row>
    <row r="265">
      <c r="A265" s="4" t="s">
        <v>11233</v>
      </c>
      <c r="B265" s="10">
        <f t="shared" si="1"/>
        <v>0</v>
      </c>
      <c r="C265" s="6">
        <f t="shared" si="2"/>
        <v>80.6</v>
      </c>
      <c r="D265" s="6">
        <f t="shared" si="3"/>
        <v>13.729398</v>
      </c>
    </row>
    <row r="266">
      <c r="A266" s="4" t="s">
        <v>11234</v>
      </c>
      <c r="B266" s="10">
        <f t="shared" si="1"/>
        <v>0</v>
      </c>
      <c r="C266" s="6">
        <f t="shared" si="2"/>
        <v>79.8</v>
      </c>
      <c r="D266" s="6">
        <f t="shared" si="3"/>
        <v>13.603487</v>
      </c>
    </row>
    <row r="267">
      <c r="A267" s="4" t="s">
        <v>11235</v>
      </c>
      <c r="B267" s="10">
        <f t="shared" si="1"/>
        <v>0</v>
      </c>
      <c r="C267" s="6">
        <f t="shared" si="2"/>
        <v>80</v>
      </c>
      <c r="D267" s="6">
        <f t="shared" si="3"/>
        <v>13.633449</v>
      </c>
    </row>
    <row r="268">
      <c r="A268" s="4" t="s">
        <v>11236</v>
      </c>
      <c r="B268" s="10">
        <f t="shared" si="1"/>
        <v>0</v>
      </c>
      <c r="C268" s="6">
        <f t="shared" si="2"/>
        <v>81</v>
      </c>
      <c r="D268" s="6">
        <f t="shared" si="3"/>
        <v>13.807095</v>
      </c>
    </row>
    <row r="269">
      <c r="A269" s="4" t="s">
        <v>11237</v>
      </c>
      <c r="B269" s="10">
        <f t="shared" si="1"/>
        <v>0</v>
      </c>
      <c r="C269" s="6">
        <f t="shared" si="2"/>
        <v>79.8</v>
      </c>
      <c r="D269" s="6">
        <f t="shared" si="3"/>
        <v>13.596504</v>
      </c>
    </row>
    <row r="270">
      <c r="A270" s="4" t="s">
        <v>11238</v>
      </c>
      <c r="B270" s="10">
        <f t="shared" si="1"/>
        <v>14.3</v>
      </c>
      <c r="C270" s="6">
        <f t="shared" si="2"/>
        <v>79.8</v>
      </c>
      <c r="D270" s="6">
        <f t="shared" si="3"/>
        <v>13.596381</v>
      </c>
    </row>
    <row r="271">
      <c r="A271" s="4" t="s">
        <v>11239</v>
      </c>
      <c r="B271" s="10">
        <f t="shared" si="1"/>
        <v>0</v>
      </c>
      <c r="C271" s="6">
        <f t="shared" si="2"/>
        <v>82.2</v>
      </c>
      <c r="D271" s="6">
        <f t="shared" si="3"/>
        <v>14.010118</v>
      </c>
    </row>
    <row r="272">
      <c r="A272" s="4" t="s">
        <v>11240</v>
      </c>
      <c r="B272" s="10">
        <f t="shared" si="1"/>
        <v>0</v>
      </c>
      <c r="C272" s="6">
        <f t="shared" si="2"/>
        <v>79.6</v>
      </c>
      <c r="D272" s="6">
        <f t="shared" si="3"/>
        <v>13.557026</v>
      </c>
    </row>
    <row r="273">
      <c r="A273" s="4" t="s">
        <v>11241</v>
      </c>
      <c r="B273" s="10">
        <f t="shared" si="1"/>
        <v>0</v>
      </c>
      <c r="C273" s="6">
        <f t="shared" si="2"/>
        <v>79.6</v>
      </c>
      <c r="D273" s="6">
        <f t="shared" si="3"/>
        <v>13.558874</v>
      </c>
    </row>
    <row r="274">
      <c r="A274" s="4" t="s">
        <v>11242</v>
      </c>
      <c r="B274" s="10">
        <f t="shared" si="1"/>
        <v>0</v>
      </c>
      <c r="C274" s="6">
        <f t="shared" si="2"/>
        <v>79.6</v>
      </c>
      <c r="D274" s="6">
        <f t="shared" si="3"/>
        <v>13.560012</v>
      </c>
    </row>
    <row r="275">
      <c r="A275" s="4" t="s">
        <v>11243</v>
      </c>
      <c r="B275" s="10">
        <f t="shared" si="1"/>
        <v>0</v>
      </c>
      <c r="C275" s="6">
        <f t="shared" si="2"/>
        <v>79.6</v>
      </c>
      <c r="D275" s="6">
        <f t="shared" si="3"/>
        <v>13.559943</v>
      </c>
    </row>
    <row r="276">
      <c r="A276" s="4" t="s">
        <v>11244</v>
      </c>
      <c r="B276" s="10">
        <f t="shared" si="1"/>
        <v>0</v>
      </c>
      <c r="C276" s="6">
        <f t="shared" si="2"/>
        <v>79.6</v>
      </c>
      <c r="D276" s="6">
        <f t="shared" si="3"/>
        <v>13.565497</v>
      </c>
    </row>
    <row r="277">
      <c r="A277" s="4" t="s">
        <v>11245</v>
      </c>
      <c r="B277" s="10">
        <f t="shared" si="1"/>
        <v>0</v>
      </c>
      <c r="C277" s="6">
        <f t="shared" si="2"/>
        <v>81.3</v>
      </c>
      <c r="D277" s="6">
        <f t="shared" si="3"/>
        <v>13.859835</v>
      </c>
    </row>
    <row r="278">
      <c r="A278" s="4" t="s">
        <v>11246</v>
      </c>
      <c r="B278" s="10">
        <f t="shared" si="1"/>
        <v>0</v>
      </c>
      <c r="C278" s="6">
        <f t="shared" si="2"/>
        <v>81</v>
      </c>
      <c r="D278" s="6">
        <f t="shared" si="3"/>
        <v>13.801213</v>
      </c>
    </row>
    <row r="279">
      <c r="A279" s="4" t="s">
        <v>11247</v>
      </c>
      <c r="B279" s="10">
        <f t="shared" si="1"/>
        <v>0</v>
      </c>
      <c r="C279" s="6">
        <f t="shared" si="2"/>
        <v>79.6</v>
      </c>
      <c r="D279" s="6">
        <f t="shared" si="3"/>
        <v>13.571272</v>
      </c>
    </row>
    <row r="280">
      <c r="A280" s="4" t="s">
        <v>11248</v>
      </c>
      <c r="B280" s="10">
        <f t="shared" si="1"/>
        <v>0</v>
      </c>
      <c r="C280" s="6">
        <f t="shared" si="2"/>
        <v>79.6</v>
      </c>
      <c r="D280" s="6">
        <f t="shared" si="3"/>
        <v>13.570215</v>
      </c>
    </row>
    <row r="281">
      <c r="A281" s="4" t="s">
        <v>11249</v>
      </c>
      <c r="B281" s="10">
        <f t="shared" si="1"/>
        <v>50</v>
      </c>
      <c r="C281" s="6">
        <f t="shared" si="2"/>
        <v>79.7</v>
      </c>
      <c r="D281" s="6">
        <f t="shared" si="3"/>
        <v>13.574606</v>
      </c>
    </row>
    <row r="282">
      <c r="A282" s="4" t="s">
        <v>11250</v>
      </c>
      <c r="B282" s="10">
        <f t="shared" si="1"/>
        <v>0</v>
      </c>
      <c r="C282" s="6">
        <f t="shared" si="2"/>
        <v>79.5</v>
      </c>
      <c r="D282" s="6">
        <f t="shared" si="3"/>
        <v>13.550747</v>
      </c>
    </row>
    <row r="283">
      <c r="A283" s="4" t="s">
        <v>11251</v>
      </c>
      <c r="B283" s="10">
        <f t="shared" si="1"/>
        <v>11.1</v>
      </c>
      <c r="C283" s="6">
        <f t="shared" si="2"/>
        <v>79.5</v>
      </c>
      <c r="D283" s="6">
        <f t="shared" si="3"/>
        <v>13.551423</v>
      </c>
    </row>
    <row r="284">
      <c r="A284" s="4" t="s">
        <v>11252</v>
      </c>
      <c r="B284" s="10">
        <f t="shared" si="1"/>
        <v>0</v>
      </c>
      <c r="C284" s="6">
        <f t="shared" si="2"/>
        <v>79.5</v>
      </c>
      <c r="D284" s="6">
        <f t="shared" si="3"/>
        <v>13.55293</v>
      </c>
    </row>
    <row r="285">
      <c r="A285" s="4" t="s">
        <v>11253</v>
      </c>
      <c r="B285" s="10">
        <f t="shared" si="1"/>
        <v>0</v>
      </c>
      <c r="C285" s="6">
        <f t="shared" si="2"/>
        <v>79.6</v>
      </c>
      <c r="D285" s="6">
        <f t="shared" si="3"/>
        <v>13.556731</v>
      </c>
    </row>
    <row r="286">
      <c r="A286" s="4" t="s">
        <v>11254</v>
      </c>
      <c r="B286" s="10">
        <f t="shared" si="1"/>
        <v>0</v>
      </c>
      <c r="C286" s="6">
        <f t="shared" si="2"/>
        <v>79.5</v>
      </c>
      <c r="D286" s="6">
        <f t="shared" si="3"/>
        <v>13.549711</v>
      </c>
    </row>
    <row r="287">
      <c r="A287" s="4" t="s">
        <v>11255</v>
      </c>
      <c r="B287" s="10">
        <f t="shared" si="1"/>
        <v>0</v>
      </c>
      <c r="C287" s="6">
        <f t="shared" si="2"/>
        <v>79.5</v>
      </c>
      <c r="D287" s="6">
        <f t="shared" si="3"/>
        <v>13.554532</v>
      </c>
    </row>
    <row r="288">
      <c r="A288" s="4" t="s">
        <v>11256</v>
      </c>
      <c r="B288" s="10">
        <f t="shared" si="1"/>
        <v>0</v>
      </c>
      <c r="C288" s="6">
        <f t="shared" si="2"/>
        <v>79.5</v>
      </c>
      <c r="D288" s="6">
        <f t="shared" si="3"/>
        <v>13.549461</v>
      </c>
    </row>
    <row r="289">
      <c r="A289" s="4" t="s">
        <v>11257</v>
      </c>
      <c r="B289" s="10">
        <f t="shared" si="1"/>
        <v>10</v>
      </c>
      <c r="C289" s="6">
        <f t="shared" si="2"/>
        <v>79.5</v>
      </c>
      <c r="D289" s="6">
        <f t="shared" si="3"/>
        <v>13.555515</v>
      </c>
    </row>
    <row r="290">
      <c r="A290" s="4" t="s">
        <v>11258</v>
      </c>
      <c r="B290" s="10">
        <f t="shared" si="1"/>
        <v>0</v>
      </c>
      <c r="C290" s="6">
        <f t="shared" si="2"/>
        <v>79.5</v>
      </c>
      <c r="D290" s="6">
        <f t="shared" si="3"/>
        <v>13.553647</v>
      </c>
    </row>
    <row r="291">
      <c r="A291" s="4" t="s">
        <v>11259</v>
      </c>
      <c r="B291" s="10">
        <f t="shared" si="1"/>
        <v>0</v>
      </c>
      <c r="C291" s="6">
        <f t="shared" si="2"/>
        <v>79.5</v>
      </c>
      <c r="D291" s="6">
        <f t="shared" si="3"/>
        <v>13.556174</v>
      </c>
    </row>
    <row r="292">
      <c r="A292" s="4" t="s">
        <v>11260</v>
      </c>
      <c r="B292" s="10">
        <f t="shared" si="1"/>
        <v>0</v>
      </c>
      <c r="C292" s="6">
        <f t="shared" si="2"/>
        <v>79.5</v>
      </c>
      <c r="D292" s="6">
        <f t="shared" si="3"/>
        <v>13.542879</v>
      </c>
    </row>
    <row r="293">
      <c r="A293" s="4" t="s">
        <v>11261</v>
      </c>
      <c r="B293" s="10">
        <f t="shared" si="1"/>
        <v>0</v>
      </c>
      <c r="C293" s="6">
        <f t="shared" si="2"/>
        <v>79.4</v>
      </c>
      <c r="D293" s="6">
        <f t="shared" si="3"/>
        <v>13.537955</v>
      </c>
    </row>
    <row r="294">
      <c r="A294" s="4" t="s">
        <v>11262</v>
      </c>
      <c r="B294" s="10">
        <f t="shared" si="1"/>
        <v>0</v>
      </c>
      <c r="C294" s="6">
        <f t="shared" si="2"/>
        <v>79.4</v>
      </c>
      <c r="D294" s="6">
        <f t="shared" si="3"/>
        <v>13.538119</v>
      </c>
    </row>
    <row r="295">
      <c r="A295" s="4" t="s">
        <v>11263</v>
      </c>
      <c r="B295" s="10">
        <f t="shared" si="1"/>
        <v>0</v>
      </c>
      <c r="C295" s="6">
        <f t="shared" si="2"/>
        <v>79.5</v>
      </c>
      <c r="D295" s="6">
        <f t="shared" si="3"/>
        <v>13.545836</v>
      </c>
    </row>
    <row r="296">
      <c r="A296" s="4" t="s">
        <v>11264</v>
      </c>
      <c r="B296" s="10">
        <f t="shared" si="1"/>
        <v>0</v>
      </c>
      <c r="C296" s="6">
        <f t="shared" si="2"/>
        <v>79.5</v>
      </c>
      <c r="D296" s="6">
        <f t="shared" si="3"/>
        <v>13.540712</v>
      </c>
    </row>
    <row r="297">
      <c r="A297" s="4" t="s">
        <v>11265</v>
      </c>
      <c r="B297" s="10">
        <f t="shared" si="1"/>
        <v>0</v>
      </c>
      <c r="C297" s="6">
        <f t="shared" si="2"/>
        <v>79.5</v>
      </c>
      <c r="D297" s="6">
        <f t="shared" si="3"/>
        <v>13.539364</v>
      </c>
    </row>
    <row r="298">
      <c r="A298" s="4" t="s">
        <v>11266</v>
      </c>
      <c r="B298" s="10">
        <f t="shared" si="1"/>
        <v>0</v>
      </c>
      <c r="C298" s="6">
        <f t="shared" si="2"/>
        <v>79.5</v>
      </c>
      <c r="D298" s="6">
        <f t="shared" si="3"/>
        <v>13.543239</v>
      </c>
    </row>
    <row r="299">
      <c r="A299" s="4" t="s">
        <v>11267</v>
      </c>
      <c r="B299" s="10">
        <f t="shared" si="1"/>
        <v>0</v>
      </c>
      <c r="C299" s="6">
        <f t="shared" si="2"/>
        <v>79.5</v>
      </c>
      <c r="D299" s="6">
        <f t="shared" si="3"/>
        <v>13.542985</v>
      </c>
    </row>
    <row r="300">
      <c r="A300" s="4" t="s">
        <v>11268</v>
      </c>
      <c r="B300" s="10">
        <f t="shared" si="1"/>
        <v>0</v>
      </c>
      <c r="C300" s="6">
        <f t="shared" si="2"/>
        <v>79.5</v>
      </c>
      <c r="D300" s="6">
        <f t="shared" si="3"/>
        <v>13.547696</v>
      </c>
    </row>
    <row r="301">
      <c r="A301" s="4" t="s">
        <v>11269</v>
      </c>
      <c r="B301" s="10">
        <f t="shared" si="1"/>
        <v>0</v>
      </c>
      <c r="C301" s="6">
        <f t="shared" si="2"/>
        <v>79.5</v>
      </c>
      <c r="D301" s="6">
        <f t="shared" si="3"/>
        <v>13.54215</v>
      </c>
    </row>
    <row r="302">
      <c r="A302" s="4" t="s">
        <v>11270</v>
      </c>
      <c r="B302" s="10">
        <f t="shared" si="1"/>
        <v>0</v>
      </c>
      <c r="C302" s="6">
        <f t="shared" si="2"/>
        <v>79.5</v>
      </c>
      <c r="D302" s="6">
        <f t="shared" si="3"/>
        <v>13.546266</v>
      </c>
    </row>
    <row r="303">
      <c r="A303" s="4" t="s">
        <v>11271</v>
      </c>
      <c r="B303" s="10">
        <f t="shared" si="1"/>
        <v>0</v>
      </c>
      <c r="C303" s="6">
        <f t="shared" si="2"/>
        <v>81.6</v>
      </c>
      <c r="D303" s="6">
        <f t="shared" si="3"/>
        <v>13.904175</v>
      </c>
    </row>
    <row r="304">
      <c r="A304" s="4" t="s">
        <v>11272</v>
      </c>
      <c r="B304" s="10">
        <f t="shared" si="1"/>
        <v>0</v>
      </c>
      <c r="C304" s="6">
        <f t="shared" si="2"/>
        <v>80.1</v>
      </c>
      <c r="D304" s="6">
        <f t="shared" si="3"/>
        <v>13.656215</v>
      </c>
    </row>
    <row r="305">
      <c r="A305" s="4" t="s">
        <v>11273</v>
      </c>
      <c r="B305" s="10">
        <f t="shared" si="1"/>
        <v>0</v>
      </c>
      <c r="C305" s="6">
        <f t="shared" si="2"/>
        <v>80.9</v>
      </c>
      <c r="D305" s="6">
        <f t="shared" si="3"/>
        <v>13.785632</v>
      </c>
    </row>
    <row r="306">
      <c r="A306" s="4" t="s">
        <v>11274</v>
      </c>
      <c r="B306" s="10">
        <f t="shared" si="1"/>
        <v>14.3</v>
      </c>
      <c r="C306" s="6">
        <f t="shared" si="2"/>
        <v>80</v>
      </c>
      <c r="D306" s="6">
        <f t="shared" si="3"/>
        <v>13.626572</v>
      </c>
    </row>
    <row r="307">
      <c r="A307" s="4" t="s">
        <v>11275</v>
      </c>
      <c r="B307" s="10">
        <f t="shared" si="1"/>
        <v>0</v>
      </c>
      <c r="C307" s="6">
        <f t="shared" si="2"/>
        <v>79.6</v>
      </c>
      <c r="D307" s="6">
        <f t="shared" si="3"/>
        <v>13.564854</v>
      </c>
    </row>
    <row r="308">
      <c r="A308" s="4" t="s">
        <v>11276</v>
      </c>
      <c r="B308" s="10">
        <f t="shared" si="1"/>
        <v>0</v>
      </c>
      <c r="C308" s="6">
        <f t="shared" si="2"/>
        <v>79.4</v>
      </c>
      <c r="D308" s="6">
        <f t="shared" si="3"/>
        <v>13.538598</v>
      </c>
    </row>
    <row r="309">
      <c r="A309" s="4" t="s">
        <v>11277</v>
      </c>
      <c r="B309" s="10">
        <f t="shared" si="1"/>
        <v>0</v>
      </c>
      <c r="C309" s="6">
        <f t="shared" si="2"/>
        <v>79.5</v>
      </c>
      <c r="D309" s="6">
        <f t="shared" si="3"/>
        <v>13.543899</v>
      </c>
    </row>
    <row r="310">
      <c r="A310" s="4" t="s">
        <v>11278</v>
      </c>
      <c r="B310" s="10">
        <f t="shared" si="1"/>
        <v>0</v>
      </c>
      <c r="C310" s="6">
        <f t="shared" si="2"/>
        <v>79.5</v>
      </c>
      <c r="D310" s="6">
        <f t="shared" si="3"/>
        <v>13.543579</v>
      </c>
    </row>
    <row r="311">
      <c r="A311" s="4" t="s">
        <v>11279</v>
      </c>
      <c r="B311" s="10">
        <f t="shared" si="1"/>
        <v>0</v>
      </c>
      <c r="C311" s="6">
        <f t="shared" si="2"/>
        <v>79.5</v>
      </c>
      <c r="D311" s="6">
        <f t="shared" si="3"/>
        <v>13.54362</v>
      </c>
    </row>
    <row r="312">
      <c r="A312" s="4" t="s">
        <v>11280</v>
      </c>
      <c r="B312" s="10">
        <f t="shared" si="1"/>
        <v>0</v>
      </c>
      <c r="C312" s="6">
        <f t="shared" si="2"/>
        <v>79.5</v>
      </c>
      <c r="D312" s="6">
        <f t="shared" si="3"/>
        <v>13.54249</v>
      </c>
    </row>
    <row r="313">
      <c r="A313" s="4" t="s">
        <v>11281</v>
      </c>
      <c r="B313" s="10">
        <f t="shared" si="1"/>
        <v>0</v>
      </c>
      <c r="C313" s="6">
        <f t="shared" si="2"/>
        <v>79.5</v>
      </c>
      <c r="D313" s="6">
        <f t="shared" si="3"/>
        <v>13.542952</v>
      </c>
    </row>
    <row r="314">
      <c r="A314" s="4" t="s">
        <v>11282</v>
      </c>
      <c r="B314" s="10">
        <f t="shared" si="1"/>
        <v>0</v>
      </c>
      <c r="C314" s="6">
        <f t="shared" si="2"/>
        <v>79.5</v>
      </c>
      <c r="D314" s="6">
        <f t="shared" si="3"/>
        <v>13.543985</v>
      </c>
    </row>
    <row r="315">
      <c r="A315" s="4" t="s">
        <v>11283</v>
      </c>
      <c r="B315" s="10">
        <f t="shared" si="1"/>
        <v>0</v>
      </c>
      <c r="C315" s="6">
        <f t="shared" si="2"/>
        <v>79.5</v>
      </c>
      <c r="D315" s="6">
        <f t="shared" si="3"/>
        <v>13.545996</v>
      </c>
    </row>
    <row r="316">
      <c r="A316" s="4" t="s">
        <v>11284</v>
      </c>
      <c r="B316" s="10">
        <f t="shared" si="1"/>
        <v>0</v>
      </c>
      <c r="C316" s="6">
        <f t="shared" si="2"/>
        <v>79.5</v>
      </c>
      <c r="D316" s="6">
        <f t="shared" si="3"/>
        <v>13.544759</v>
      </c>
    </row>
    <row r="317">
      <c r="A317" s="4" t="s">
        <v>11285</v>
      </c>
      <c r="B317" s="10">
        <f t="shared" si="1"/>
        <v>0</v>
      </c>
      <c r="C317" s="6">
        <f t="shared" si="2"/>
        <v>79.5</v>
      </c>
      <c r="D317" s="6">
        <f t="shared" si="3"/>
        <v>13.545742</v>
      </c>
    </row>
    <row r="318">
      <c r="A318" s="4" t="s">
        <v>11286</v>
      </c>
      <c r="B318" s="10">
        <f t="shared" si="1"/>
        <v>0</v>
      </c>
      <c r="C318" s="6">
        <f t="shared" si="2"/>
        <v>79.5</v>
      </c>
      <c r="D318" s="6">
        <f t="shared" si="3"/>
        <v>13.546729</v>
      </c>
    </row>
    <row r="319">
      <c r="A319" s="4" t="s">
        <v>11287</v>
      </c>
      <c r="B319" s="10">
        <f t="shared" si="1"/>
        <v>0</v>
      </c>
      <c r="C319" s="6">
        <f t="shared" si="2"/>
        <v>79.5</v>
      </c>
      <c r="D319" s="6">
        <f t="shared" si="3"/>
        <v>13.544693</v>
      </c>
    </row>
    <row r="320">
      <c r="A320" s="4" t="s">
        <v>11288</v>
      </c>
      <c r="B320" s="10">
        <f t="shared" si="1"/>
        <v>0</v>
      </c>
      <c r="C320" s="6">
        <f t="shared" si="2"/>
        <v>79.5</v>
      </c>
      <c r="D320" s="6">
        <f t="shared" si="3"/>
        <v>13.547057</v>
      </c>
    </row>
    <row r="321">
      <c r="A321" s="4" t="s">
        <v>11289</v>
      </c>
      <c r="B321" s="10">
        <f t="shared" si="1"/>
        <v>0</v>
      </c>
      <c r="C321" s="6">
        <f t="shared" si="2"/>
        <v>80.8</v>
      </c>
      <c r="D321" s="6">
        <f t="shared" si="3"/>
        <v>13.761146</v>
      </c>
    </row>
    <row r="322">
      <c r="A322" s="4" t="s">
        <v>11290</v>
      </c>
      <c r="B322" s="10">
        <f t="shared" si="1"/>
        <v>0</v>
      </c>
      <c r="C322" s="6">
        <f t="shared" si="2"/>
        <v>79.5</v>
      </c>
      <c r="D322" s="6">
        <f t="shared" si="3"/>
        <v>13.549084</v>
      </c>
    </row>
    <row r="323">
      <c r="A323" s="4" t="s">
        <v>11291</v>
      </c>
      <c r="B323" s="10">
        <f t="shared" si="1"/>
        <v>0</v>
      </c>
      <c r="C323" s="6">
        <f t="shared" si="2"/>
        <v>81.9</v>
      </c>
      <c r="D323" s="6">
        <f t="shared" si="3"/>
        <v>13.957582</v>
      </c>
    </row>
    <row r="324">
      <c r="A324" s="4" t="s">
        <v>11292</v>
      </c>
      <c r="B324" s="10">
        <f t="shared" si="1"/>
        <v>0</v>
      </c>
      <c r="C324" s="6">
        <f t="shared" si="2"/>
        <v>79.5</v>
      </c>
      <c r="D324" s="6">
        <f t="shared" si="3"/>
        <v>13.551906</v>
      </c>
    </row>
    <row r="325">
      <c r="A325" s="4" t="s">
        <v>11293</v>
      </c>
      <c r="B325" s="10">
        <f t="shared" si="1"/>
        <v>0</v>
      </c>
      <c r="C325" s="6">
        <f t="shared" si="2"/>
        <v>79.5</v>
      </c>
      <c r="D325" s="6">
        <f t="shared" si="3"/>
        <v>13.549404</v>
      </c>
    </row>
    <row r="326">
      <c r="A326" s="4" t="s">
        <v>11294</v>
      </c>
      <c r="B326" s="10">
        <f t="shared" si="1"/>
        <v>0</v>
      </c>
      <c r="C326" s="6">
        <f t="shared" si="2"/>
        <v>79.5</v>
      </c>
      <c r="D326" s="6">
        <f t="shared" si="3"/>
        <v>13.554573</v>
      </c>
    </row>
    <row r="327">
      <c r="A327" s="4" t="s">
        <v>11295</v>
      </c>
      <c r="B327" s="10">
        <f t="shared" si="1"/>
        <v>0</v>
      </c>
      <c r="C327" s="6">
        <f t="shared" si="2"/>
        <v>79.5</v>
      </c>
      <c r="D327" s="6">
        <f t="shared" si="3"/>
        <v>13.548081</v>
      </c>
    </row>
    <row r="328">
      <c r="A328" s="4" t="s">
        <v>11296</v>
      </c>
      <c r="B328" s="10">
        <f t="shared" si="1"/>
        <v>0</v>
      </c>
      <c r="C328" s="6">
        <f t="shared" si="2"/>
        <v>79.5</v>
      </c>
      <c r="D328" s="6">
        <f t="shared" si="3"/>
        <v>13.551382</v>
      </c>
    </row>
    <row r="329">
      <c r="A329" s="4" t="s">
        <v>11297</v>
      </c>
      <c r="B329" s="10">
        <f t="shared" si="1"/>
        <v>0</v>
      </c>
      <c r="C329" s="6">
        <f t="shared" si="2"/>
        <v>79.5</v>
      </c>
      <c r="D329" s="6">
        <f t="shared" si="3"/>
        <v>13.546721</v>
      </c>
    </row>
    <row r="330">
      <c r="A330" s="4" t="s">
        <v>11298</v>
      </c>
      <c r="B330" s="10">
        <f t="shared" si="1"/>
        <v>0</v>
      </c>
      <c r="C330" s="6">
        <f t="shared" si="2"/>
        <v>79.5</v>
      </c>
      <c r="D330" s="6">
        <f t="shared" si="3"/>
        <v>13.54532</v>
      </c>
    </row>
    <row r="331">
      <c r="A331" s="4" t="s">
        <v>11299</v>
      </c>
      <c r="B331" s="10">
        <f t="shared" si="1"/>
        <v>0</v>
      </c>
      <c r="C331" s="6">
        <f t="shared" si="2"/>
        <v>79.5</v>
      </c>
      <c r="D331" s="6">
        <f t="shared" si="3"/>
        <v>13.548175</v>
      </c>
    </row>
    <row r="332">
      <c r="A332" s="4" t="s">
        <v>11300</v>
      </c>
      <c r="B332" s="10">
        <f t="shared" si="1"/>
        <v>12.5</v>
      </c>
      <c r="C332" s="6">
        <f t="shared" si="2"/>
        <v>79.5</v>
      </c>
      <c r="D332" s="6">
        <f t="shared" si="3"/>
        <v>13.548175</v>
      </c>
    </row>
    <row r="333">
      <c r="A333" s="4" t="s">
        <v>11301</v>
      </c>
      <c r="B333" s="10">
        <f t="shared" si="1"/>
        <v>0</v>
      </c>
      <c r="C333" s="6">
        <f t="shared" si="2"/>
        <v>79.5</v>
      </c>
      <c r="D333" s="6">
        <f t="shared" si="3"/>
        <v>13.5506</v>
      </c>
    </row>
    <row r="334">
      <c r="A334" s="4" t="s">
        <v>11302</v>
      </c>
      <c r="B334" s="10">
        <f t="shared" si="1"/>
        <v>0</v>
      </c>
      <c r="C334" s="6">
        <f t="shared" si="2"/>
        <v>79.5</v>
      </c>
      <c r="D334" s="6">
        <f t="shared" si="3"/>
        <v>13.551263</v>
      </c>
    </row>
    <row r="335">
      <c r="A335" s="4" t="s">
        <v>11303</v>
      </c>
      <c r="B335" s="10">
        <f t="shared" si="1"/>
        <v>0</v>
      </c>
      <c r="C335" s="6">
        <f t="shared" si="2"/>
        <v>79.6</v>
      </c>
      <c r="D335" s="6">
        <f t="shared" si="3"/>
        <v>13.566193</v>
      </c>
    </row>
    <row r="336">
      <c r="A336" s="4" t="s">
        <v>11304</v>
      </c>
      <c r="B336" s="10">
        <f t="shared" si="1"/>
        <v>0</v>
      </c>
      <c r="C336" s="6">
        <f t="shared" si="2"/>
        <v>79.5</v>
      </c>
      <c r="D336" s="6">
        <f t="shared" si="3"/>
        <v>13.554835</v>
      </c>
    </row>
    <row r="337">
      <c r="A337" s="4" t="s">
        <v>11305</v>
      </c>
      <c r="B337" s="10">
        <f t="shared" si="1"/>
        <v>0</v>
      </c>
      <c r="C337" s="6">
        <f t="shared" si="2"/>
        <v>79.5</v>
      </c>
      <c r="D337" s="6">
        <f t="shared" si="3"/>
        <v>13.555732</v>
      </c>
    </row>
    <row r="338">
      <c r="A338" s="4" t="s">
        <v>11306</v>
      </c>
      <c r="B338" s="10">
        <f t="shared" si="1"/>
        <v>0</v>
      </c>
      <c r="C338" s="6">
        <f t="shared" si="2"/>
        <v>79.6</v>
      </c>
      <c r="D338" s="6">
        <f t="shared" si="3"/>
        <v>13.556346</v>
      </c>
    </row>
    <row r="339">
      <c r="A339" s="4" t="s">
        <v>11307</v>
      </c>
      <c r="B339" s="10">
        <f t="shared" si="1"/>
        <v>12.5</v>
      </c>
      <c r="C339" s="6">
        <f t="shared" si="2"/>
        <v>79.5</v>
      </c>
      <c r="D339" s="6">
        <f t="shared" si="3"/>
        <v>13.55368</v>
      </c>
    </row>
    <row r="340">
      <c r="A340" s="4" t="s">
        <v>11308</v>
      </c>
      <c r="B340" s="10">
        <f t="shared" si="1"/>
        <v>0</v>
      </c>
      <c r="C340" s="6">
        <f t="shared" si="2"/>
        <v>79.6</v>
      </c>
      <c r="D340" s="6">
        <f t="shared" si="3"/>
        <v>13.564633</v>
      </c>
    </row>
    <row r="341">
      <c r="A341" s="4" t="s">
        <v>11309</v>
      </c>
      <c r="B341" s="10">
        <f t="shared" si="1"/>
        <v>0</v>
      </c>
      <c r="C341" s="6">
        <f t="shared" si="2"/>
        <v>79.6</v>
      </c>
      <c r="D341" s="6">
        <f t="shared" si="3"/>
        <v>13.55674</v>
      </c>
    </row>
    <row r="342">
      <c r="A342" s="4" t="s">
        <v>11310</v>
      </c>
      <c r="B342" s="10">
        <f t="shared" si="1"/>
        <v>0</v>
      </c>
      <c r="C342" s="6">
        <f t="shared" si="2"/>
        <v>79.5</v>
      </c>
      <c r="D342" s="6">
        <f t="shared" si="3"/>
        <v>13.555769</v>
      </c>
    </row>
    <row r="343">
      <c r="A343" s="4" t="s">
        <v>11311</v>
      </c>
      <c r="B343" s="10">
        <f t="shared" si="1"/>
        <v>0</v>
      </c>
      <c r="C343" s="6">
        <f t="shared" si="2"/>
        <v>79.5</v>
      </c>
      <c r="D343" s="6">
        <f t="shared" si="3"/>
        <v>13.556101</v>
      </c>
    </row>
    <row r="344">
      <c r="A344" s="4" t="s">
        <v>11312</v>
      </c>
      <c r="B344" s="10">
        <f t="shared" si="1"/>
        <v>0</v>
      </c>
      <c r="C344" s="6">
        <f t="shared" si="2"/>
        <v>79.6</v>
      </c>
      <c r="D344" s="6">
        <f t="shared" si="3"/>
        <v>13.556928</v>
      </c>
    </row>
    <row r="345">
      <c r="A345" s="4" t="s">
        <v>11313</v>
      </c>
      <c r="B345" s="10">
        <f t="shared" si="1"/>
        <v>0</v>
      </c>
      <c r="C345" s="6">
        <f t="shared" si="2"/>
        <v>79.6</v>
      </c>
      <c r="D345" s="6">
        <f t="shared" si="3"/>
        <v>13.560479</v>
      </c>
    </row>
    <row r="346">
      <c r="A346" s="4" t="s">
        <v>11314</v>
      </c>
      <c r="B346" s="10">
        <f t="shared" si="1"/>
        <v>100</v>
      </c>
      <c r="C346" s="6">
        <f t="shared" si="2"/>
        <v>79.7</v>
      </c>
      <c r="D346" s="6">
        <f t="shared" si="3"/>
        <v>13.588443</v>
      </c>
    </row>
    <row r="347">
      <c r="A347" s="4" t="s">
        <v>11315</v>
      </c>
      <c r="B347" s="10">
        <f t="shared" si="1"/>
        <v>0</v>
      </c>
      <c r="C347" s="6">
        <f t="shared" si="2"/>
        <v>79.6</v>
      </c>
      <c r="D347" s="6">
        <f t="shared" si="3"/>
        <v>13.560164</v>
      </c>
    </row>
    <row r="348">
      <c r="A348" s="4" t="s">
        <v>11316</v>
      </c>
      <c r="B348" s="10">
        <f t="shared" si="1"/>
        <v>0</v>
      </c>
      <c r="C348" s="6">
        <f t="shared" si="2"/>
        <v>79.6</v>
      </c>
      <c r="D348" s="6">
        <f t="shared" si="3"/>
        <v>13.563502</v>
      </c>
    </row>
    <row r="349">
      <c r="A349" s="4" t="s">
        <v>11317</v>
      </c>
      <c r="B349" s="10">
        <f t="shared" si="1"/>
        <v>0</v>
      </c>
      <c r="C349" s="6">
        <f t="shared" si="2"/>
        <v>79.6</v>
      </c>
      <c r="D349" s="6">
        <f t="shared" si="3"/>
        <v>13.564719</v>
      </c>
    </row>
    <row r="350">
      <c r="A350" s="4" t="s">
        <v>11318</v>
      </c>
      <c r="B350" s="10">
        <f t="shared" si="1"/>
        <v>16.7</v>
      </c>
      <c r="C350" s="6">
        <f t="shared" si="2"/>
        <v>79.6</v>
      </c>
      <c r="D350" s="6">
        <f t="shared" si="3"/>
        <v>13.562023</v>
      </c>
    </row>
    <row r="351">
      <c r="A351" s="4" t="s">
        <v>11319</v>
      </c>
      <c r="B351" s="10">
        <f t="shared" si="1"/>
        <v>100</v>
      </c>
      <c r="C351" s="6">
        <f t="shared" si="2"/>
        <v>79.6</v>
      </c>
      <c r="D351" s="6">
        <f t="shared" si="3"/>
        <v>13.564497</v>
      </c>
    </row>
    <row r="352">
      <c r="A352" s="4" t="s">
        <v>11320</v>
      </c>
      <c r="B352" s="10">
        <f t="shared" si="1"/>
        <v>0</v>
      </c>
      <c r="C352" s="6">
        <f t="shared" si="2"/>
        <v>79.6</v>
      </c>
      <c r="D352" s="6">
        <f t="shared" si="3"/>
        <v>13.564223</v>
      </c>
    </row>
    <row r="353">
      <c r="A353" s="4" t="s">
        <v>11321</v>
      </c>
      <c r="B353" s="10">
        <f t="shared" si="1"/>
        <v>0</v>
      </c>
      <c r="C353" s="6">
        <f t="shared" si="2"/>
        <v>81</v>
      </c>
      <c r="D353" s="6">
        <f t="shared" si="3"/>
        <v>13.808111</v>
      </c>
    </row>
    <row r="354">
      <c r="A354" s="4" t="s">
        <v>11322</v>
      </c>
      <c r="B354" s="10">
        <f t="shared" si="1"/>
        <v>0</v>
      </c>
      <c r="C354" s="6">
        <f t="shared" si="2"/>
        <v>81.4</v>
      </c>
      <c r="D354" s="6">
        <f t="shared" si="3"/>
        <v>13.864071</v>
      </c>
    </row>
    <row r="355">
      <c r="A355" s="4" t="s">
        <v>11323</v>
      </c>
      <c r="B355" s="10">
        <f t="shared" si="1"/>
        <v>0</v>
      </c>
      <c r="C355" s="6">
        <f t="shared" si="2"/>
        <v>81.6</v>
      </c>
      <c r="D355" s="6">
        <f t="shared" si="3"/>
        <v>13.900881</v>
      </c>
    </row>
    <row r="356">
      <c r="A356" s="4" t="s">
        <v>11324</v>
      </c>
      <c r="B356" s="10">
        <f t="shared" si="1"/>
        <v>0</v>
      </c>
      <c r="C356" s="6">
        <f t="shared" si="2"/>
        <v>79.6</v>
      </c>
      <c r="D356" s="6">
        <f t="shared" si="3"/>
        <v>13.56573</v>
      </c>
    </row>
    <row r="357">
      <c r="A357" s="4" t="s">
        <v>11325</v>
      </c>
      <c r="B357" s="10">
        <f t="shared" si="1"/>
        <v>0</v>
      </c>
      <c r="C357" s="6">
        <f t="shared" si="2"/>
        <v>79.6</v>
      </c>
      <c r="D357" s="6">
        <f t="shared" si="3"/>
        <v>13.563977</v>
      </c>
    </row>
    <row r="358">
      <c r="A358" s="4" t="s">
        <v>11326</v>
      </c>
      <c r="B358" s="10">
        <f t="shared" si="1"/>
        <v>0</v>
      </c>
      <c r="C358" s="6">
        <f t="shared" si="2"/>
        <v>79.6</v>
      </c>
      <c r="D358" s="6">
        <f t="shared" si="3"/>
        <v>13.567688</v>
      </c>
    </row>
    <row r="359">
      <c r="A359" s="4" t="s">
        <v>11327</v>
      </c>
      <c r="B359" s="10">
        <f t="shared" si="1"/>
        <v>0</v>
      </c>
      <c r="C359" s="6">
        <f t="shared" si="2"/>
        <v>79.8</v>
      </c>
      <c r="D359" s="6">
        <f t="shared" si="3"/>
        <v>13.605507</v>
      </c>
    </row>
    <row r="360">
      <c r="A360" s="4" t="s">
        <v>11328</v>
      </c>
      <c r="B360" s="10">
        <f t="shared" si="1"/>
        <v>0</v>
      </c>
      <c r="C360" s="6">
        <f t="shared" si="2"/>
        <v>79.6</v>
      </c>
      <c r="D360" s="6">
        <f t="shared" si="3"/>
        <v>13.558894</v>
      </c>
    </row>
    <row r="361">
      <c r="A361" s="4" t="s">
        <v>11329</v>
      </c>
      <c r="B361" s="10">
        <f t="shared" si="1"/>
        <v>0</v>
      </c>
      <c r="C361" s="6">
        <f t="shared" si="2"/>
        <v>79.6</v>
      </c>
      <c r="D361" s="6">
        <f t="shared" si="3"/>
        <v>13.560385</v>
      </c>
    </row>
    <row r="362">
      <c r="A362" s="4" t="s">
        <v>11330</v>
      </c>
      <c r="B362" s="10">
        <f t="shared" si="1"/>
        <v>20</v>
      </c>
      <c r="C362" s="6">
        <f t="shared" si="2"/>
        <v>79.6</v>
      </c>
      <c r="D362" s="6">
        <f t="shared" si="3"/>
        <v>13.561114</v>
      </c>
    </row>
    <row r="363">
      <c r="A363" s="4" t="s">
        <v>11331</v>
      </c>
      <c r="B363" s="10">
        <f t="shared" si="1"/>
        <v>0</v>
      </c>
      <c r="C363" s="6">
        <f t="shared" si="2"/>
        <v>79.6</v>
      </c>
      <c r="D363" s="6">
        <f t="shared" si="3"/>
        <v>13.560651</v>
      </c>
    </row>
    <row r="364">
      <c r="A364" s="4" t="s">
        <v>11332</v>
      </c>
      <c r="B364" s="10">
        <f t="shared" si="1"/>
        <v>0</v>
      </c>
      <c r="C364" s="6">
        <f t="shared" si="2"/>
        <v>79.6</v>
      </c>
      <c r="D364" s="6">
        <f t="shared" si="3"/>
        <v>13.560086</v>
      </c>
    </row>
    <row r="365">
      <c r="A365" s="4" t="s">
        <v>11333</v>
      </c>
      <c r="B365" s="10">
        <f t="shared" si="1"/>
        <v>0</v>
      </c>
      <c r="C365" s="6">
        <f t="shared" si="2"/>
        <v>79.6</v>
      </c>
      <c r="D365" s="6">
        <f t="shared" si="3"/>
        <v>13.557346</v>
      </c>
    </row>
    <row r="366">
      <c r="A366" s="4" t="s">
        <v>11334</v>
      </c>
      <c r="B366" s="10">
        <f t="shared" si="1"/>
        <v>100</v>
      </c>
      <c r="C366" s="6">
        <f t="shared" si="2"/>
        <v>79.6</v>
      </c>
      <c r="D366" s="6">
        <f t="shared" si="3"/>
        <v>13.560766</v>
      </c>
    </row>
    <row r="367">
      <c r="A367" s="4" t="s">
        <v>11335</v>
      </c>
      <c r="B367" s="10">
        <f t="shared" si="1"/>
        <v>0</v>
      </c>
      <c r="C367" s="6">
        <f t="shared" si="2"/>
        <v>79.7</v>
      </c>
      <c r="D367" s="6">
        <f t="shared" si="3"/>
        <v>13.574635</v>
      </c>
    </row>
    <row r="368">
      <c r="A368" s="4" t="s">
        <v>11336</v>
      </c>
      <c r="B368" s="10">
        <f t="shared" si="1"/>
        <v>0</v>
      </c>
      <c r="C368" s="6">
        <f t="shared" si="2"/>
        <v>79.4</v>
      </c>
      <c r="D368" s="6">
        <f t="shared" si="3"/>
        <v>13.530882</v>
      </c>
    </row>
    <row r="369">
      <c r="A369" s="4" t="s">
        <v>11337</v>
      </c>
      <c r="B369" s="10">
        <f t="shared" si="1"/>
        <v>0</v>
      </c>
      <c r="C369" s="6">
        <f t="shared" si="2"/>
        <v>79.4</v>
      </c>
      <c r="D369" s="6">
        <f t="shared" si="3"/>
        <v>13.529604</v>
      </c>
    </row>
    <row r="370">
      <c r="A370" s="4" t="s">
        <v>11338</v>
      </c>
      <c r="B370" s="10">
        <f t="shared" si="1"/>
        <v>0</v>
      </c>
      <c r="C370" s="6">
        <f t="shared" si="2"/>
        <v>79.6</v>
      </c>
      <c r="D370" s="6">
        <f t="shared" si="3"/>
        <v>13.561524</v>
      </c>
    </row>
    <row r="371">
      <c r="A371" s="4" t="s">
        <v>11339</v>
      </c>
      <c r="B371" s="10">
        <f t="shared" si="1"/>
        <v>0</v>
      </c>
      <c r="C371" s="6">
        <f t="shared" si="2"/>
        <v>79.4</v>
      </c>
      <c r="D371" s="6">
        <f t="shared" si="3"/>
        <v>13.53404</v>
      </c>
    </row>
    <row r="372">
      <c r="A372" s="4" t="s">
        <v>11340</v>
      </c>
      <c r="B372" s="10">
        <f t="shared" si="1"/>
        <v>0</v>
      </c>
      <c r="C372" s="6">
        <f t="shared" si="2"/>
        <v>79.4</v>
      </c>
      <c r="D372" s="6">
        <f t="shared" si="3"/>
        <v>13.53646</v>
      </c>
    </row>
    <row r="373">
      <c r="A373" s="4" t="s">
        <v>11341</v>
      </c>
      <c r="B373" s="10">
        <f t="shared" si="1"/>
        <v>0</v>
      </c>
      <c r="C373" s="6">
        <f t="shared" si="2"/>
        <v>79.4</v>
      </c>
      <c r="D373" s="6">
        <f t="shared" si="3"/>
        <v>13.537361</v>
      </c>
    </row>
    <row r="374">
      <c r="A374" s="4" t="s">
        <v>11342</v>
      </c>
      <c r="B374" s="10">
        <f t="shared" si="1"/>
        <v>0</v>
      </c>
      <c r="C374" s="6">
        <f t="shared" si="2"/>
        <v>79.4</v>
      </c>
      <c r="D374" s="6">
        <f t="shared" si="3"/>
        <v>13.537681</v>
      </c>
    </row>
    <row r="375">
      <c r="A375" s="4" t="s">
        <v>11343</v>
      </c>
      <c r="B375" s="10">
        <f t="shared" si="1"/>
        <v>0</v>
      </c>
      <c r="C375" s="6">
        <f t="shared" si="2"/>
        <v>79.4</v>
      </c>
      <c r="D375" s="6">
        <f t="shared" si="3"/>
        <v>13.530218</v>
      </c>
    </row>
    <row r="376">
      <c r="A376" s="4" t="s">
        <v>11344</v>
      </c>
      <c r="B376" s="10">
        <f t="shared" si="1"/>
        <v>0</v>
      </c>
      <c r="C376" s="6">
        <f t="shared" si="2"/>
        <v>79.2</v>
      </c>
      <c r="D376" s="6">
        <f t="shared" si="3"/>
        <v>13.502349</v>
      </c>
    </row>
    <row r="377">
      <c r="A377" s="4" t="s">
        <v>11345</v>
      </c>
      <c r="B377" s="10">
        <f t="shared" si="1"/>
        <v>0</v>
      </c>
      <c r="C377" s="6">
        <f t="shared" si="2"/>
        <v>79.2</v>
      </c>
      <c r="D377" s="6">
        <f t="shared" si="3"/>
        <v>13.497966</v>
      </c>
    </row>
    <row r="378">
      <c r="A378" s="4" t="s">
        <v>11346</v>
      </c>
      <c r="B378" s="10">
        <f t="shared" si="1"/>
        <v>0</v>
      </c>
      <c r="C378" s="6">
        <f t="shared" si="2"/>
        <v>79.2</v>
      </c>
      <c r="D378" s="6">
        <f t="shared" si="3"/>
        <v>13.501718</v>
      </c>
    </row>
    <row r="379">
      <c r="A379" s="4" t="s">
        <v>11347</v>
      </c>
      <c r="B379" s="10">
        <f t="shared" si="1"/>
        <v>0</v>
      </c>
      <c r="C379" s="6">
        <f t="shared" si="2"/>
        <v>79.2</v>
      </c>
      <c r="D379" s="6">
        <f t="shared" si="3"/>
        <v>13.494558</v>
      </c>
    </row>
    <row r="380">
      <c r="A380" s="4" t="s">
        <v>11348</v>
      </c>
      <c r="B380" s="10">
        <f t="shared" si="1"/>
        <v>0</v>
      </c>
      <c r="C380" s="6">
        <f t="shared" si="2"/>
        <v>79.2</v>
      </c>
      <c r="D380" s="6">
        <f t="shared" si="3"/>
        <v>13.502672</v>
      </c>
    </row>
    <row r="381">
      <c r="A381" s="4" t="s">
        <v>11349</v>
      </c>
      <c r="B381" s="10">
        <f t="shared" si="1"/>
        <v>0</v>
      </c>
      <c r="C381" s="6">
        <f t="shared" si="2"/>
        <v>79.2</v>
      </c>
      <c r="D381" s="6">
        <f t="shared" si="3"/>
        <v>13.500588</v>
      </c>
    </row>
    <row r="382">
      <c r="A382" s="4" t="s">
        <v>11350</v>
      </c>
      <c r="B382" s="10">
        <f t="shared" si="1"/>
        <v>0</v>
      </c>
      <c r="C382" s="6">
        <f t="shared" si="2"/>
        <v>79.3</v>
      </c>
      <c r="D382" s="6">
        <f t="shared" si="3"/>
        <v>13.50633</v>
      </c>
    </row>
    <row r="383">
      <c r="A383" s="4" t="s">
        <v>11351</v>
      </c>
      <c r="B383" s="10">
        <f t="shared" si="1"/>
        <v>0</v>
      </c>
      <c r="C383" s="6">
        <f t="shared" si="2"/>
        <v>79.3</v>
      </c>
      <c r="D383" s="6">
        <f t="shared" si="3"/>
        <v>13.50853</v>
      </c>
    </row>
    <row r="384">
      <c r="A384" s="4" t="s">
        <v>11352</v>
      </c>
      <c r="B384" s="10">
        <f t="shared" si="1"/>
        <v>0</v>
      </c>
      <c r="C384" s="6">
        <f t="shared" si="2"/>
        <v>79.3</v>
      </c>
      <c r="D384" s="6">
        <f t="shared" si="3"/>
        <v>13.511442</v>
      </c>
    </row>
    <row r="385">
      <c r="A385" s="4" t="s">
        <v>11353</v>
      </c>
      <c r="B385" s="10">
        <f t="shared" si="1"/>
        <v>0</v>
      </c>
      <c r="C385" s="6">
        <f t="shared" si="2"/>
        <v>79.3</v>
      </c>
      <c r="D385" s="6">
        <f t="shared" si="3"/>
        <v>13.508878</v>
      </c>
    </row>
    <row r="386">
      <c r="A386" s="4" t="s">
        <v>11354</v>
      </c>
      <c r="B386" s="10">
        <f t="shared" si="1"/>
        <v>0</v>
      </c>
      <c r="C386" s="6">
        <f t="shared" si="2"/>
        <v>79.3</v>
      </c>
      <c r="D386" s="6">
        <f t="shared" si="3"/>
        <v>13.511467</v>
      </c>
    </row>
    <row r="387">
      <c r="A387" s="4" t="s">
        <v>11355</v>
      </c>
      <c r="B387" s="10">
        <f t="shared" si="1"/>
        <v>0</v>
      </c>
      <c r="C387" s="6">
        <f t="shared" si="2"/>
        <v>79.3</v>
      </c>
      <c r="D387" s="6">
        <f t="shared" si="3"/>
        <v>13.513023</v>
      </c>
    </row>
    <row r="388">
      <c r="A388" s="4" t="s">
        <v>11356</v>
      </c>
      <c r="B388" s="10">
        <f t="shared" si="1"/>
        <v>0</v>
      </c>
      <c r="C388" s="6">
        <f t="shared" si="2"/>
        <v>79.3</v>
      </c>
      <c r="D388" s="6">
        <f t="shared" si="3"/>
        <v>13.509001</v>
      </c>
    </row>
    <row r="389">
      <c r="A389" s="4" t="s">
        <v>11357</v>
      </c>
      <c r="B389" s="10">
        <f t="shared" si="1"/>
        <v>0</v>
      </c>
      <c r="C389" s="6">
        <f t="shared" si="2"/>
        <v>79.3</v>
      </c>
      <c r="D389" s="6">
        <f t="shared" si="3"/>
        <v>13.509193</v>
      </c>
    </row>
    <row r="390">
      <c r="A390" s="4" t="s">
        <v>11358</v>
      </c>
      <c r="B390" s="10">
        <f t="shared" si="1"/>
        <v>0</v>
      </c>
      <c r="C390" s="6">
        <f t="shared" si="2"/>
        <v>79.3</v>
      </c>
      <c r="D390" s="6">
        <f t="shared" si="3"/>
        <v>13.507149</v>
      </c>
    </row>
    <row r="391">
      <c r="A391" s="4" t="s">
        <v>11359</v>
      </c>
      <c r="B391" s="10">
        <f t="shared" si="1"/>
        <v>0</v>
      </c>
      <c r="C391" s="6">
        <f t="shared" si="2"/>
        <v>79.3</v>
      </c>
      <c r="D391" s="6">
        <f t="shared" si="3"/>
        <v>13.510254</v>
      </c>
    </row>
    <row r="392">
      <c r="A392" s="4" t="s">
        <v>11360</v>
      </c>
      <c r="B392" s="10">
        <f t="shared" si="1"/>
        <v>0</v>
      </c>
      <c r="C392" s="6">
        <f t="shared" si="2"/>
        <v>79.3</v>
      </c>
      <c r="D392" s="6">
        <f t="shared" si="3"/>
        <v>13.508055</v>
      </c>
    </row>
    <row r="393">
      <c r="A393" s="4" t="s">
        <v>11361</v>
      </c>
      <c r="B393" s="10">
        <f t="shared" si="1"/>
        <v>0</v>
      </c>
      <c r="C393" s="6">
        <f t="shared" si="2"/>
        <v>79.3</v>
      </c>
      <c r="D393" s="6">
        <f t="shared" si="3"/>
        <v>13.507366</v>
      </c>
    </row>
    <row r="394">
      <c r="A394" s="4" t="s">
        <v>11362</v>
      </c>
      <c r="B394" s="10">
        <f t="shared" si="1"/>
        <v>0</v>
      </c>
      <c r="C394" s="6">
        <f t="shared" si="2"/>
        <v>79.3</v>
      </c>
      <c r="D394" s="6">
        <f t="shared" si="3"/>
        <v>13.522219</v>
      </c>
    </row>
    <row r="395">
      <c r="A395" s="4" t="s">
        <v>11363</v>
      </c>
      <c r="B395" s="10">
        <f t="shared" si="1"/>
        <v>0</v>
      </c>
      <c r="C395" s="6">
        <f t="shared" si="2"/>
        <v>79.3</v>
      </c>
      <c r="D395" s="6">
        <f t="shared" si="3"/>
        <v>13.507969</v>
      </c>
    </row>
    <row r="396">
      <c r="A396" s="4" t="s">
        <v>11364</v>
      </c>
      <c r="B396" s="10">
        <f t="shared" si="1"/>
        <v>0</v>
      </c>
      <c r="C396" s="6">
        <f t="shared" si="2"/>
        <v>79.3</v>
      </c>
      <c r="D396" s="6">
        <f t="shared" si="3"/>
        <v>13.515264</v>
      </c>
    </row>
    <row r="397">
      <c r="A397" s="4" t="s">
        <v>11365</v>
      </c>
      <c r="B397" s="10">
        <f t="shared" si="1"/>
        <v>0</v>
      </c>
      <c r="C397" s="6">
        <f t="shared" si="2"/>
        <v>79.3</v>
      </c>
      <c r="D397" s="6">
        <f t="shared" si="3"/>
        <v>13.514539</v>
      </c>
    </row>
    <row r="398">
      <c r="A398" s="4" t="s">
        <v>11366</v>
      </c>
      <c r="B398" s="10">
        <f t="shared" si="1"/>
        <v>0</v>
      </c>
      <c r="C398" s="6">
        <f t="shared" si="2"/>
        <v>79.3</v>
      </c>
      <c r="D398" s="6">
        <f t="shared" si="3"/>
        <v>13.515837</v>
      </c>
    </row>
    <row r="399">
      <c r="A399" s="4" t="s">
        <v>11367</v>
      </c>
      <c r="B399" s="10">
        <f t="shared" si="1"/>
        <v>0</v>
      </c>
      <c r="C399" s="6">
        <f t="shared" si="2"/>
        <v>79.3</v>
      </c>
      <c r="D399" s="6">
        <f t="shared" si="3"/>
        <v>13.513617</v>
      </c>
    </row>
    <row r="400">
      <c r="A400" s="4" t="s">
        <v>11368</v>
      </c>
      <c r="B400" s="10">
        <f t="shared" si="1"/>
        <v>0</v>
      </c>
      <c r="C400" s="6">
        <f t="shared" si="2"/>
        <v>79.3</v>
      </c>
      <c r="D400" s="6">
        <f t="shared" si="3"/>
        <v>13.511712</v>
      </c>
    </row>
    <row r="401">
      <c r="A401" s="4" t="s">
        <v>11369</v>
      </c>
      <c r="B401" s="10">
        <f t="shared" si="1"/>
        <v>0</v>
      </c>
      <c r="C401" s="6">
        <f t="shared" si="2"/>
        <v>79.3</v>
      </c>
      <c r="D401" s="6">
        <f t="shared" si="3"/>
        <v>13.516177</v>
      </c>
    </row>
    <row r="402">
      <c r="A402" s="4" t="s">
        <v>11370</v>
      </c>
      <c r="B402" s="10">
        <f t="shared" si="1"/>
        <v>0</v>
      </c>
      <c r="C402" s="6">
        <f t="shared" si="2"/>
        <v>79.3</v>
      </c>
      <c r="D402" s="6">
        <f t="shared" si="3"/>
        <v>13.514801</v>
      </c>
    </row>
    <row r="403">
      <c r="A403" s="4" t="s">
        <v>11371</v>
      </c>
      <c r="B403" s="10">
        <f t="shared" si="1"/>
        <v>0</v>
      </c>
      <c r="C403" s="6">
        <f t="shared" si="2"/>
        <v>79.3</v>
      </c>
      <c r="D403" s="6">
        <f t="shared" si="3"/>
        <v>13.51698</v>
      </c>
    </row>
    <row r="404">
      <c r="A404" s="4" t="s">
        <v>11372</v>
      </c>
      <c r="B404" s="10">
        <f t="shared" si="1"/>
        <v>0</v>
      </c>
      <c r="C404" s="6">
        <f t="shared" si="2"/>
        <v>79.3</v>
      </c>
      <c r="D404" s="6">
        <f t="shared" si="3"/>
        <v>13.521588</v>
      </c>
    </row>
    <row r="405">
      <c r="A405" s="4" t="s">
        <v>11373</v>
      </c>
      <c r="B405" s="10">
        <f t="shared" si="1"/>
        <v>0</v>
      </c>
      <c r="C405" s="6">
        <f t="shared" si="2"/>
        <v>79.3</v>
      </c>
      <c r="D405" s="6">
        <f t="shared" si="3"/>
        <v>13.519167</v>
      </c>
    </row>
    <row r="406">
      <c r="A406" s="4" t="s">
        <v>11374</v>
      </c>
      <c r="B406" s="10">
        <f t="shared" si="1"/>
        <v>0</v>
      </c>
      <c r="C406" s="6">
        <f t="shared" si="2"/>
        <v>79.3</v>
      </c>
      <c r="D406" s="6">
        <f t="shared" si="3"/>
        <v>13.517307</v>
      </c>
    </row>
    <row r="407">
      <c r="A407" s="4" t="s">
        <v>11375</v>
      </c>
      <c r="B407" s="10">
        <f t="shared" si="1"/>
        <v>0</v>
      </c>
      <c r="C407" s="6">
        <f t="shared" si="2"/>
        <v>79.4</v>
      </c>
      <c r="D407" s="6">
        <f t="shared" si="3"/>
        <v>13.522751</v>
      </c>
    </row>
    <row r="408">
      <c r="A408" s="4" t="s">
        <v>11376</v>
      </c>
      <c r="B408" s="10">
        <f t="shared" si="1"/>
        <v>0</v>
      </c>
      <c r="C408" s="6">
        <f t="shared" si="2"/>
        <v>81.8</v>
      </c>
      <c r="D408" s="6">
        <f t="shared" si="3"/>
        <v>13.945737</v>
      </c>
    </row>
    <row r="409">
      <c r="A409" s="4" t="s">
        <v>11377</v>
      </c>
      <c r="B409" s="10">
        <f t="shared" si="1"/>
        <v>0</v>
      </c>
      <c r="C409" s="6">
        <f t="shared" si="2"/>
        <v>81.2</v>
      </c>
      <c r="D409" s="6">
        <f t="shared" si="3"/>
        <v>13.835231</v>
      </c>
    </row>
    <row r="410">
      <c r="A410" s="4" t="s">
        <v>11378</v>
      </c>
      <c r="B410" s="10">
        <f t="shared" si="1"/>
        <v>0</v>
      </c>
      <c r="C410" s="6">
        <f t="shared" si="2"/>
        <v>81.2</v>
      </c>
      <c r="D410" s="6">
        <f t="shared" si="3"/>
        <v>13.82955</v>
      </c>
    </row>
    <row r="411">
      <c r="A411" s="4" t="s">
        <v>11379</v>
      </c>
      <c r="B411" s="10">
        <f t="shared" si="1"/>
        <v>0</v>
      </c>
      <c r="C411" s="6">
        <f t="shared" si="2"/>
        <v>79.3</v>
      </c>
      <c r="D411" s="6">
        <f t="shared" si="3"/>
        <v>13.509648</v>
      </c>
    </row>
    <row r="412">
      <c r="A412" s="4" t="s">
        <v>11380</v>
      </c>
      <c r="B412" s="10">
        <f t="shared" si="1"/>
        <v>0</v>
      </c>
      <c r="C412" s="6">
        <f t="shared" si="2"/>
        <v>79.3</v>
      </c>
      <c r="D412" s="6">
        <f t="shared" si="3"/>
        <v>13.510893</v>
      </c>
    </row>
    <row r="413">
      <c r="A413" s="4" t="s">
        <v>11381</v>
      </c>
      <c r="B413" s="10">
        <f t="shared" si="1"/>
        <v>0</v>
      </c>
      <c r="C413" s="6">
        <f t="shared" si="2"/>
        <v>79.3</v>
      </c>
      <c r="D413" s="6">
        <f t="shared" si="3"/>
        <v>13.509963</v>
      </c>
    </row>
    <row r="414">
      <c r="A414" s="4" t="s">
        <v>11382</v>
      </c>
      <c r="B414" s="10">
        <f t="shared" si="1"/>
        <v>12.5</v>
      </c>
      <c r="C414" s="6">
        <f t="shared" si="2"/>
        <v>79.3</v>
      </c>
      <c r="D414" s="6">
        <f t="shared" si="3"/>
        <v>13.513728</v>
      </c>
    </row>
    <row r="415">
      <c r="A415" s="4" t="s">
        <v>11383</v>
      </c>
      <c r="B415" s="10">
        <f t="shared" si="1"/>
        <v>0</v>
      </c>
      <c r="C415" s="6">
        <f t="shared" si="2"/>
        <v>79.3</v>
      </c>
      <c r="D415" s="6">
        <f t="shared" si="3"/>
        <v>13.51179</v>
      </c>
    </row>
    <row r="416">
      <c r="A416" s="4" t="s">
        <v>11384</v>
      </c>
      <c r="B416" s="10">
        <f t="shared" si="1"/>
        <v>0</v>
      </c>
      <c r="C416" s="6">
        <f t="shared" si="2"/>
        <v>79.3</v>
      </c>
      <c r="D416" s="6">
        <f t="shared" si="3"/>
        <v>13.516292</v>
      </c>
    </row>
    <row r="417">
      <c r="A417" s="4" t="s">
        <v>11385</v>
      </c>
      <c r="B417" s="10">
        <f t="shared" si="1"/>
        <v>0</v>
      </c>
      <c r="C417" s="6">
        <f t="shared" si="2"/>
        <v>79.7</v>
      </c>
      <c r="D417" s="6">
        <f t="shared" si="3"/>
        <v>13.583912</v>
      </c>
    </row>
    <row r="418">
      <c r="A418" s="4" t="s">
        <v>11386</v>
      </c>
      <c r="B418" s="10">
        <f t="shared" si="1"/>
        <v>0</v>
      </c>
      <c r="C418" s="6">
        <f t="shared" si="2"/>
        <v>79.3</v>
      </c>
      <c r="D418" s="6">
        <f t="shared" si="3"/>
        <v>13.511786</v>
      </c>
    </row>
    <row r="419">
      <c r="A419" s="4" t="s">
        <v>11387</v>
      </c>
      <c r="B419" s="10">
        <f t="shared" si="1"/>
        <v>0</v>
      </c>
      <c r="C419" s="6">
        <f t="shared" si="2"/>
        <v>79.4</v>
      </c>
      <c r="D419" s="6">
        <f t="shared" si="3"/>
        <v>13.536378</v>
      </c>
    </row>
    <row r="420">
      <c r="A420" s="4" t="s">
        <v>11388</v>
      </c>
      <c r="B420" s="10">
        <f t="shared" si="1"/>
        <v>0</v>
      </c>
      <c r="C420" s="6">
        <f t="shared" si="2"/>
        <v>79.2</v>
      </c>
      <c r="D420" s="6">
        <f t="shared" si="3"/>
        <v>13.503524</v>
      </c>
    </row>
    <row r="421">
      <c r="A421" s="4" t="s">
        <v>11389</v>
      </c>
      <c r="B421" s="10">
        <f t="shared" si="1"/>
        <v>100</v>
      </c>
      <c r="C421" s="6">
        <f t="shared" si="2"/>
        <v>79.3</v>
      </c>
      <c r="D421" s="6">
        <f t="shared" si="3"/>
        <v>13.518831</v>
      </c>
    </row>
    <row r="422">
      <c r="A422" s="4" t="s">
        <v>11390</v>
      </c>
      <c r="B422" s="10">
        <f t="shared" si="1"/>
        <v>0</v>
      </c>
      <c r="C422" s="6">
        <f t="shared" si="2"/>
        <v>79.3</v>
      </c>
      <c r="D422" s="6">
        <f t="shared" si="3"/>
        <v>13.52126</v>
      </c>
    </row>
    <row r="423">
      <c r="A423" s="4" t="s">
        <v>11391</v>
      </c>
      <c r="B423" s="10">
        <f t="shared" si="1"/>
        <v>0</v>
      </c>
      <c r="C423" s="6">
        <f t="shared" si="2"/>
        <v>79.4</v>
      </c>
      <c r="D423" s="6">
        <f t="shared" si="3"/>
        <v>13.536907</v>
      </c>
    </row>
    <row r="424">
      <c r="A424" s="4" t="s">
        <v>11392</v>
      </c>
      <c r="B424" s="10">
        <f t="shared" si="1"/>
        <v>0</v>
      </c>
      <c r="C424" s="6">
        <f t="shared" si="2"/>
        <v>79.5</v>
      </c>
      <c r="D424" s="6">
        <f t="shared" si="3"/>
        <v>13.540118</v>
      </c>
    </row>
    <row r="425">
      <c r="A425" s="4" t="s">
        <v>11393</v>
      </c>
      <c r="B425" s="10">
        <f t="shared" si="1"/>
        <v>16.7</v>
      </c>
      <c r="C425" s="6">
        <f t="shared" si="2"/>
        <v>79.4</v>
      </c>
      <c r="D425" s="6">
        <f t="shared" si="3"/>
        <v>13.538439</v>
      </c>
    </row>
    <row r="426">
      <c r="A426" s="4" t="s">
        <v>11394</v>
      </c>
      <c r="B426" s="10">
        <f t="shared" si="1"/>
        <v>0</v>
      </c>
      <c r="C426" s="6">
        <f t="shared" si="2"/>
        <v>79.5</v>
      </c>
      <c r="D426" s="6">
        <f t="shared" si="3"/>
        <v>13.553774</v>
      </c>
    </row>
    <row r="427">
      <c r="A427" s="4" t="s">
        <v>11395</v>
      </c>
      <c r="B427" s="10">
        <f t="shared" si="1"/>
        <v>0</v>
      </c>
      <c r="C427" s="6">
        <f t="shared" si="2"/>
        <v>80</v>
      </c>
      <c r="D427" s="6">
        <f t="shared" si="3"/>
        <v>13.634719</v>
      </c>
    </row>
    <row r="428">
      <c r="A428" s="4" t="s">
        <v>11396</v>
      </c>
      <c r="B428" s="10">
        <f t="shared" si="1"/>
        <v>0</v>
      </c>
      <c r="C428" s="6">
        <f t="shared" si="2"/>
        <v>79.5</v>
      </c>
      <c r="D428" s="6">
        <f t="shared" si="3"/>
        <v>13.554929</v>
      </c>
    </row>
    <row r="429">
      <c r="A429" s="4" t="s">
        <v>11397</v>
      </c>
      <c r="B429" s="10">
        <f t="shared" si="1"/>
        <v>0</v>
      </c>
      <c r="C429" s="6">
        <f t="shared" si="2"/>
        <v>79.5</v>
      </c>
      <c r="D429" s="6">
        <f t="shared" si="3"/>
        <v>13.555056</v>
      </c>
    </row>
    <row r="430">
      <c r="A430" s="4" t="s">
        <v>11398</v>
      </c>
      <c r="B430" s="10">
        <f t="shared" si="1"/>
        <v>0</v>
      </c>
      <c r="C430" s="6">
        <f t="shared" si="2"/>
        <v>79.6</v>
      </c>
      <c r="D430" s="6">
        <f t="shared" si="3"/>
        <v>13.558947</v>
      </c>
    </row>
    <row r="431">
      <c r="A431" s="4" t="s">
        <v>11399</v>
      </c>
      <c r="B431" s="10">
        <f t="shared" si="1"/>
        <v>0</v>
      </c>
      <c r="C431" s="6">
        <f t="shared" si="2"/>
        <v>79.5</v>
      </c>
      <c r="D431" s="6">
        <f t="shared" si="3"/>
        <v>13.556113</v>
      </c>
    </row>
    <row r="432">
      <c r="A432" s="4" t="s">
        <v>11400</v>
      </c>
      <c r="B432" s="10">
        <f t="shared" si="1"/>
        <v>0</v>
      </c>
      <c r="C432" s="6">
        <f t="shared" si="2"/>
        <v>79.5</v>
      </c>
      <c r="D432" s="6">
        <f t="shared" si="3"/>
        <v>13.553803</v>
      </c>
    </row>
    <row r="433">
      <c r="A433" s="4" t="s">
        <v>11401</v>
      </c>
      <c r="B433" s="10">
        <f t="shared" si="1"/>
        <v>0</v>
      </c>
      <c r="C433" s="6">
        <f t="shared" si="2"/>
        <v>79.5</v>
      </c>
      <c r="D433" s="6">
        <f t="shared" si="3"/>
        <v>13.545574</v>
      </c>
    </row>
    <row r="434">
      <c r="A434" s="4" t="s">
        <v>11402</v>
      </c>
      <c r="B434" s="10">
        <f t="shared" si="1"/>
        <v>0</v>
      </c>
      <c r="C434" s="6">
        <f t="shared" si="2"/>
        <v>79.5</v>
      </c>
      <c r="D434" s="6">
        <f t="shared" si="3"/>
        <v>13.54496</v>
      </c>
    </row>
    <row r="435">
      <c r="A435" s="4" t="s">
        <v>11403</v>
      </c>
      <c r="B435" s="10">
        <f t="shared" si="1"/>
        <v>0</v>
      </c>
      <c r="C435" s="6">
        <f t="shared" si="2"/>
        <v>79.5</v>
      </c>
      <c r="D435" s="6">
        <f t="shared" si="3"/>
        <v>13.547278</v>
      </c>
    </row>
    <row r="436">
      <c r="A436" s="4" t="s">
        <v>11404</v>
      </c>
      <c r="B436" s="10">
        <f t="shared" si="1"/>
        <v>0</v>
      </c>
      <c r="C436" s="6">
        <f t="shared" si="2"/>
        <v>80.7</v>
      </c>
      <c r="D436" s="6">
        <f t="shared" si="3"/>
        <v>13.758513</v>
      </c>
    </row>
    <row r="437">
      <c r="A437" s="4" t="s">
        <v>11405</v>
      </c>
      <c r="B437" s="10">
        <f t="shared" si="1"/>
        <v>10</v>
      </c>
      <c r="C437" s="6">
        <f t="shared" si="2"/>
        <v>79.5</v>
      </c>
      <c r="D437" s="6">
        <f t="shared" si="3"/>
        <v>13.553012</v>
      </c>
    </row>
    <row r="438">
      <c r="A438" s="4" t="s">
        <v>11406</v>
      </c>
      <c r="B438" s="10">
        <f t="shared" si="1"/>
        <v>0</v>
      </c>
      <c r="C438" s="6">
        <f t="shared" si="2"/>
        <v>79.5</v>
      </c>
      <c r="D438" s="6">
        <f t="shared" si="3"/>
        <v>13.546196</v>
      </c>
    </row>
    <row r="439">
      <c r="A439" s="4" t="s">
        <v>11407</v>
      </c>
      <c r="B439" s="10">
        <f t="shared" si="1"/>
        <v>14.3</v>
      </c>
      <c r="C439" s="6">
        <f t="shared" si="2"/>
        <v>79.5</v>
      </c>
      <c r="D439" s="6">
        <f t="shared" si="3"/>
        <v>13.552029</v>
      </c>
    </row>
    <row r="440">
      <c r="A440" s="4" t="s">
        <v>11408</v>
      </c>
      <c r="B440" s="10">
        <f t="shared" si="1"/>
        <v>0</v>
      </c>
      <c r="C440" s="6">
        <f t="shared" si="2"/>
        <v>79.6</v>
      </c>
      <c r="D440" s="6">
        <f t="shared" si="3"/>
        <v>13.561507</v>
      </c>
    </row>
    <row r="441">
      <c r="A441" s="4" t="s">
        <v>11409</v>
      </c>
      <c r="B441" s="10">
        <f t="shared" si="1"/>
        <v>0</v>
      </c>
      <c r="C441" s="6">
        <f t="shared" si="2"/>
        <v>79.5</v>
      </c>
      <c r="D441" s="6">
        <f t="shared" si="3"/>
        <v>13.540016</v>
      </c>
    </row>
    <row r="442">
      <c r="A442" s="4" t="s">
        <v>11410</v>
      </c>
      <c r="B442" s="10">
        <f t="shared" si="1"/>
        <v>0</v>
      </c>
      <c r="C442" s="6">
        <f t="shared" si="2"/>
        <v>79.5</v>
      </c>
      <c r="D442" s="6">
        <f t="shared" si="3"/>
        <v>13.540093</v>
      </c>
    </row>
    <row r="443">
      <c r="A443" s="4" t="s">
        <v>11411</v>
      </c>
      <c r="B443" s="10">
        <f t="shared" si="1"/>
        <v>0</v>
      </c>
      <c r="C443" s="6">
        <f t="shared" si="2"/>
        <v>79.5</v>
      </c>
      <c r="D443" s="6">
        <f t="shared" si="3"/>
        <v>13.541703</v>
      </c>
    </row>
    <row r="444">
      <c r="A444" s="4" t="s">
        <v>11412</v>
      </c>
      <c r="B444" s="10">
        <f t="shared" si="1"/>
        <v>0</v>
      </c>
      <c r="C444" s="6">
        <f t="shared" si="2"/>
        <v>79.5</v>
      </c>
      <c r="D444" s="6">
        <f t="shared" si="3"/>
        <v>13.541675</v>
      </c>
    </row>
    <row r="445">
      <c r="A445" s="4" t="s">
        <v>11413</v>
      </c>
      <c r="B445" s="10">
        <f t="shared" si="1"/>
        <v>0</v>
      </c>
      <c r="C445" s="6">
        <f t="shared" si="2"/>
        <v>79.5</v>
      </c>
      <c r="D445" s="6">
        <f t="shared" si="3"/>
        <v>13.541732</v>
      </c>
    </row>
    <row r="446">
      <c r="A446" s="4" t="s">
        <v>11414</v>
      </c>
      <c r="B446" s="10">
        <f t="shared" si="1"/>
        <v>0</v>
      </c>
      <c r="C446" s="6">
        <f t="shared" si="2"/>
        <v>79.4</v>
      </c>
      <c r="D446" s="6">
        <f t="shared" si="3"/>
        <v>13.535244</v>
      </c>
    </row>
    <row r="447">
      <c r="A447" s="4" t="s">
        <v>11415</v>
      </c>
      <c r="B447" s="10">
        <f t="shared" si="1"/>
        <v>0</v>
      </c>
      <c r="C447" s="6">
        <f t="shared" si="2"/>
        <v>80.7</v>
      </c>
      <c r="D447" s="6">
        <f t="shared" si="3"/>
        <v>13.744869</v>
      </c>
    </row>
    <row r="448">
      <c r="A448" s="4" t="s">
        <v>11416</v>
      </c>
      <c r="B448" s="10">
        <f t="shared" si="1"/>
        <v>100</v>
      </c>
      <c r="C448" s="6">
        <f t="shared" si="2"/>
        <v>79.4</v>
      </c>
      <c r="D448" s="6">
        <f t="shared" si="3"/>
        <v>13.536636</v>
      </c>
    </row>
    <row r="449">
      <c r="A449" s="4" t="s">
        <v>11417</v>
      </c>
      <c r="B449" s="10">
        <f t="shared" si="1"/>
        <v>0</v>
      </c>
      <c r="C449" s="6">
        <f t="shared" si="2"/>
        <v>79.4</v>
      </c>
      <c r="D449" s="6">
        <f t="shared" si="3"/>
        <v>13.535784</v>
      </c>
    </row>
    <row r="450">
      <c r="A450" s="4" t="s">
        <v>11418</v>
      </c>
      <c r="B450" s="10">
        <f t="shared" si="1"/>
        <v>0</v>
      </c>
      <c r="C450" s="6">
        <f t="shared" si="2"/>
        <v>79.4</v>
      </c>
      <c r="D450" s="6">
        <f t="shared" si="3"/>
        <v>13.536694</v>
      </c>
    </row>
    <row r="451">
      <c r="A451" s="4" t="s">
        <v>11419</v>
      </c>
      <c r="B451" s="10">
        <f t="shared" si="1"/>
        <v>0</v>
      </c>
      <c r="C451" s="6">
        <f t="shared" si="2"/>
        <v>79.3</v>
      </c>
      <c r="D451" s="6">
        <f t="shared" si="3"/>
        <v>13.521231</v>
      </c>
    </row>
    <row r="452">
      <c r="A452" s="4" t="s">
        <v>11420</v>
      </c>
      <c r="B452" s="10">
        <f t="shared" si="1"/>
        <v>11.1</v>
      </c>
      <c r="C452" s="6">
        <f t="shared" si="2"/>
        <v>79.3</v>
      </c>
      <c r="D452" s="6">
        <f t="shared" si="3"/>
        <v>13.520171</v>
      </c>
    </row>
    <row r="453">
      <c r="A453" s="4" t="s">
        <v>11421</v>
      </c>
      <c r="B453" s="10">
        <f t="shared" si="1"/>
        <v>0</v>
      </c>
      <c r="C453" s="6">
        <f t="shared" si="2"/>
        <v>79.4</v>
      </c>
      <c r="D453" s="6">
        <f t="shared" si="3"/>
        <v>13.526982</v>
      </c>
    </row>
    <row r="454">
      <c r="A454" s="4" t="s">
        <v>11422</v>
      </c>
      <c r="B454" s="10">
        <f t="shared" si="1"/>
        <v>14.3</v>
      </c>
      <c r="C454" s="6">
        <f t="shared" si="2"/>
        <v>79.3</v>
      </c>
      <c r="D454" s="6">
        <f t="shared" si="3"/>
        <v>13.517176</v>
      </c>
    </row>
    <row r="455">
      <c r="A455" s="4" t="s">
        <v>11423</v>
      </c>
      <c r="B455" s="10">
        <f t="shared" si="1"/>
        <v>0</v>
      </c>
      <c r="C455" s="6">
        <f t="shared" si="2"/>
        <v>79.3</v>
      </c>
      <c r="D455" s="6">
        <f t="shared" si="3"/>
        <v>13.518454</v>
      </c>
    </row>
    <row r="456">
      <c r="A456" s="4" t="s">
        <v>11424</v>
      </c>
      <c r="B456" s="10">
        <f t="shared" si="1"/>
        <v>10</v>
      </c>
      <c r="C456" s="6">
        <f t="shared" si="2"/>
        <v>79.3</v>
      </c>
      <c r="D456" s="6">
        <f t="shared" si="3"/>
        <v>13.508399</v>
      </c>
    </row>
    <row r="457">
      <c r="A457" s="4" t="s">
        <v>11425</v>
      </c>
      <c r="B457" s="10">
        <f t="shared" si="1"/>
        <v>0</v>
      </c>
      <c r="C457" s="6">
        <f t="shared" si="2"/>
        <v>79.3</v>
      </c>
      <c r="D457" s="6">
        <f t="shared" si="3"/>
        <v>13.510381</v>
      </c>
    </row>
    <row r="458">
      <c r="A458" s="4" t="s">
        <v>11426</v>
      </c>
      <c r="B458" s="10">
        <f t="shared" si="1"/>
        <v>0</v>
      </c>
      <c r="C458" s="6">
        <f t="shared" si="2"/>
        <v>79.2</v>
      </c>
      <c r="D458" s="6">
        <f t="shared" si="3"/>
        <v>13.505032</v>
      </c>
    </row>
    <row r="459">
      <c r="A459" s="4" t="s">
        <v>11427</v>
      </c>
      <c r="B459" s="10">
        <f t="shared" si="1"/>
        <v>12.5</v>
      </c>
      <c r="C459" s="6">
        <f t="shared" si="2"/>
        <v>79.2</v>
      </c>
      <c r="D459" s="6">
        <f t="shared" si="3"/>
        <v>13.504598</v>
      </c>
    </row>
    <row r="460">
      <c r="A460" s="4" t="s">
        <v>11428</v>
      </c>
      <c r="B460" s="10">
        <f t="shared" si="1"/>
        <v>0</v>
      </c>
      <c r="C460" s="6">
        <f t="shared" si="2"/>
        <v>79.2</v>
      </c>
      <c r="D460" s="6">
        <f t="shared" si="3"/>
        <v>13.505089</v>
      </c>
    </row>
    <row r="461">
      <c r="A461" s="4" t="s">
        <v>11429</v>
      </c>
      <c r="B461" s="10">
        <f t="shared" si="1"/>
        <v>0</v>
      </c>
      <c r="C461" s="6">
        <f t="shared" si="2"/>
        <v>79.2</v>
      </c>
      <c r="D461" s="6">
        <f t="shared" si="3"/>
        <v>13.504606</v>
      </c>
    </row>
    <row r="462">
      <c r="A462" s="4" t="s">
        <v>11430</v>
      </c>
      <c r="B462" s="10">
        <f t="shared" si="1"/>
        <v>0</v>
      </c>
      <c r="C462" s="6">
        <f t="shared" si="2"/>
        <v>79.7</v>
      </c>
      <c r="D462" s="6">
        <f t="shared" si="3"/>
        <v>13.580595</v>
      </c>
    </row>
    <row r="463">
      <c r="A463" s="4" t="s">
        <v>11431</v>
      </c>
      <c r="B463" s="10">
        <f t="shared" si="1"/>
        <v>0</v>
      </c>
      <c r="C463" s="6">
        <f t="shared" si="2"/>
        <v>79.5</v>
      </c>
      <c r="D463" s="6">
        <f t="shared" si="3"/>
        <v>13.545811</v>
      </c>
    </row>
    <row r="464">
      <c r="A464" s="4" t="s">
        <v>11432</v>
      </c>
      <c r="B464" s="10">
        <f t="shared" si="1"/>
        <v>0</v>
      </c>
      <c r="C464" s="6">
        <f t="shared" si="2"/>
        <v>80.6</v>
      </c>
      <c r="D464" s="6">
        <f t="shared" si="3"/>
        <v>13.739143</v>
      </c>
    </row>
    <row r="465">
      <c r="A465" s="4" t="s">
        <v>11433</v>
      </c>
      <c r="B465" s="10">
        <f t="shared" si="1"/>
        <v>0</v>
      </c>
      <c r="C465" s="6">
        <f t="shared" si="2"/>
        <v>79.3</v>
      </c>
      <c r="D465" s="6">
        <f t="shared" si="3"/>
        <v>13.507321</v>
      </c>
    </row>
    <row r="466">
      <c r="A466" s="4" t="s">
        <v>11434</v>
      </c>
      <c r="B466" s="10">
        <f t="shared" si="1"/>
        <v>14.3</v>
      </c>
      <c r="C466" s="6">
        <f t="shared" si="2"/>
        <v>79.4</v>
      </c>
      <c r="D466" s="6">
        <f t="shared" si="3"/>
        <v>13.53465</v>
      </c>
    </row>
    <row r="467">
      <c r="A467" s="4" t="s">
        <v>11435</v>
      </c>
      <c r="B467" s="10">
        <f t="shared" si="1"/>
        <v>0</v>
      </c>
      <c r="C467" s="6">
        <f t="shared" si="2"/>
        <v>79.3</v>
      </c>
      <c r="D467" s="6">
        <f t="shared" si="3"/>
        <v>13.506772</v>
      </c>
    </row>
    <row r="468">
      <c r="A468" s="4" t="s">
        <v>11436</v>
      </c>
      <c r="B468" s="10">
        <f t="shared" si="1"/>
        <v>0</v>
      </c>
      <c r="C468" s="6">
        <f t="shared" si="2"/>
        <v>79.2</v>
      </c>
      <c r="D468" s="6">
        <f t="shared" si="3"/>
        <v>13.503172</v>
      </c>
    </row>
    <row r="469">
      <c r="A469" s="4" t="s">
        <v>11437</v>
      </c>
      <c r="B469" s="10">
        <f t="shared" si="1"/>
        <v>0</v>
      </c>
      <c r="C469" s="6">
        <f t="shared" si="2"/>
        <v>79.4</v>
      </c>
      <c r="D469" s="6">
        <f t="shared" si="3"/>
        <v>13.52518</v>
      </c>
    </row>
    <row r="470">
      <c r="A470" s="4" t="s">
        <v>11438</v>
      </c>
      <c r="B470" s="10">
        <f t="shared" si="1"/>
        <v>0</v>
      </c>
      <c r="C470" s="6">
        <f t="shared" si="2"/>
        <v>79.3</v>
      </c>
      <c r="D470" s="6">
        <f t="shared" si="3"/>
        <v>13.50864</v>
      </c>
    </row>
    <row r="471">
      <c r="A471" s="4" t="s">
        <v>11439</v>
      </c>
      <c r="B471" s="10">
        <f t="shared" si="1"/>
        <v>0</v>
      </c>
      <c r="C471" s="6">
        <f t="shared" si="2"/>
        <v>79.3</v>
      </c>
      <c r="D471" s="6">
        <f t="shared" si="3"/>
        <v>13.507166</v>
      </c>
    </row>
    <row r="472">
      <c r="A472" s="4" t="s">
        <v>11440</v>
      </c>
      <c r="B472" s="10">
        <f t="shared" si="1"/>
        <v>0</v>
      </c>
      <c r="C472" s="6">
        <f t="shared" si="2"/>
        <v>79.3</v>
      </c>
      <c r="D472" s="6">
        <f t="shared" si="3"/>
        <v>13.509124</v>
      </c>
    </row>
    <row r="473">
      <c r="A473" s="4" t="s">
        <v>11441</v>
      </c>
      <c r="B473" s="10">
        <f t="shared" si="1"/>
        <v>0</v>
      </c>
      <c r="C473" s="6">
        <f t="shared" si="2"/>
        <v>79.3</v>
      </c>
      <c r="D473" s="6">
        <f t="shared" si="3"/>
        <v>13.513199</v>
      </c>
    </row>
    <row r="474">
      <c r="A474" s="4" t="s">
        <v>11438</v>
      </c>
      <c r="B474" s="10">
        <f t="shared" si="1"/>
        <v>0</v>
      </c>
      <c r="C474" s="6">
        <f t="shared" si="2"/>
        <v>79.3</v>
      </c>
      <c r="D474" s="6">
        <f t="shared" si="3"/>
        <v>13.50864</v>
      </c>
    </row>
    <row r="475">
      <c r="A475" s="4" t="s">
        <v>11442</v>
      </c>
      <c r="B475" s="10">
        <f t="shared" si="1"/>
        <v>0</v>
      </c>
      <c r="C475" s="6">
        <f t="shared" si="2"/>
        <v>79.3</v>
      </c>
      <c r="D475" s="6">
        <f t="shared" si="3"/>
        <v>13.508734</v>
      </c>
    </row>
    <row r="476">
      <c r="A476" s="4" t="s">
        <v>11443</v>
      </c>
      <c r="B476" s="10">
        <f t="shared" si="1"/>
        <v>0</v>
      </c>
      <c r="C476" s="6">
        <f t="shared" si="2"/>
        <v>79.3</v>
      </c>
      <c r="D476" s="6">
        <f t="shared" si="3"/>
        <v>13.507858</v>
      </c>
    </row>
    <row r="477">
      <c r="A477" s="4" t="s">
        <v>11444</v>
      </c>
      <c r="B477" s="10">
        <f t="shared" si="1"/>
        <v>0</v>
      </c>
      <c r="C477" s="6">
        <f t="shared" si="2"/>
        <v>79.3</v>
      </c>
      <c r="D477" s="6">
        <f t="shared" si="3"/>
        <v>13.506785</v>
      </c>
    </row>
    <row r="478">
      <c r="A478" s="4" t="s">
        <v>11445</v>
      </c>
      <c r="B478" s="10">
        <f t="shared" si="1"/>
        <v>0</v>
      </c>
      <c r="C478" s="6">
        <f t="shared" si="2"/>
        <v>79.3</v>
      </c>
      <c r="D478" s="6">
        <f t="shared" si="3"/>
        <v>13.515866</v>
      </c>
    </row>
    <row r="479">
      <c r="A479" s="4" t="s">
        <v>11446</v>
      </c>
      <c r="B479" s="10">
        <f t="shared" si="1"/>
        <v>0</v>
      </c>
      <c r="C479" s="6">
        <f t="shared" si="2"/>
        <v>79.3</v>
      </c>
      <c r="D479" s="6">
        <f t="shared" si="3"/>
        <v>13.506289</v>
      </c>
    </row>
    <row r="480">
      <c r="A480" s="4" t="s">
        <v>11447</v>
      </c>
      <c r="B480" s="10">
        <f t="shared" si="1"/>
        <v>50</v>
      </c>
      <c r="C480" s="6">
        <f t="shared" si="2"/>
        <v>80.3</v>
      </c>
      <c r="D480" s="6">
        <f t="shared" si="3"/>
        <v>13.685751</v>
      </c>
    </row>
    <row r="481">
      <c r="A481" s="4" t="s">
        <v>11448</v>
      </c>
      <c r="B481" s="10">
        <f t="shared" si="1"/>
        <v>0</v>
      </c>
      <c r="C481" s="6">
        <f t="shared" si="2"/>
        <v>79.7</v>
      </c>
      <c r="D481" s="6">
        <f t="shared" si="3"/>
        <v>13.586071</v>
      </c>
    </row>
    <row r="482">
      <c r="A482" s="4" t="s">
        <v>11449</v>
      </c>
      <c r="B482" s="10">
        <f t="shared" si="1"/>
        <v>11.1</v>
      </c>
      <c r="C482" s="6">
        <f t="shared" si="2"/>
        <v>79.3</v>
      </c>
      <c r="D482" s="6">
        <f t="shared" si="3"/>
        <v>13.507977</v>
      </c>
    </row>
    <row r="483">
      <c r="A483" s="4" t="s">
        <v>11433</v>
      </c>
      <c r="B483" s="10">
        <f t="shared" si="1"/>
        <v>0</v>
      </c>
      <c r="C483" s="6">
        <f t="shared" si="2"/>
        <v>79.3</v>
      </c>
      <c r="D483" s="6">
        <f t="shared" si="3"/>
        <v>13.507321</v>
      </c>
    </row>
    <row r="484">
      <c r="A484" s="4" t="s">
        <v>11450</v>
      </c>
      <c r="B484" s="10">
        <f t="shared" si="1"/>
        <v>0</v>
      </c>
      <c r="C484" s="6">
        <f t="shared" si="2"/>
        <v>79.2</v>
      </c>
      <c r="D484" s="6">
        <f t="shared" si="3"/>
        <v>13.496745</v>
      </c>
    </row>
    <row r="485">
      <c r="A485" s="4" t="s">
        <v>11451</v>
      </c>
      <c r="B485" s="10">
        <f t="shared" si="1"/>
        <v>0</v>
      </c>
      <c r="C485" s="6">
        <f t="shared" si="2"/>
        <v>79.3</v>
      </c>
      <c r="D485" s="6">
        <f t="shared" si="3"/>
        <v>13.509013</v>
      </c>
    </row>
    <row r="486">
      <c r="A486" s="4" t="s">
        <v>11452</v>
      </c>
      <c r="B486" s="10">
        <f t="shared" si="1"/>
        <v>0</v>
      </c>
      <c r="C486" s="6">
        <f t="shared" si="2"/>
        <v>79.3</v>
      </c>
      <c r="D486" s="6">
        <f t="shared" si="3"/>
        <v>13.509935</v>
      </c>
    </row>
    <row r="487">
      <c r="A487" s="4" t="s">
        <v>11453</v>
      </c>
      <c r="B487" s="10">
        <f t="shared" si="1"/>
        <v>0</v>
      </c>
      <c r="C487" s="6">
        <f t="shared" si="2"/>
        <v>79.3</v>
      </c>
      <c r="D487" s="6">
        <f t="shared" si="3"/>
        <v>13.509914</v>
      </c>
    </row>
    <row r="488">
      <c r="A488" s="4" t="s">
        <v>11454</v>
      </c>
      <c r="B488" s="10">
        <f t="shared" si="1"/>
        <v>0</v>
      </c>
      <c r="C488" s="6">
        <f t="shared" si="2"/>
        <v>79.2</v>
      </c>
      <c r="D488" s="6">
        <f t="shared" si="3"/>
        <v>13.496381</v>
      </c>
    </row>
    <row r="489">
      <c r="A489" s="4" t="s">
        <v>11455</v>
      </c>
      <c r="B489" s="10">
        <f t="shared" si="1"/>
        <v>0</v>
      </c>
      <c r="C489" s="6">
        <f t="shared" si="2"/>
        <v>79.3</v>
      </c>
      <c r="D489" s="6">
        <f t="shared" si="3"/>
        <v>13.5134</v>
      </c>
    </row>
    <row r="490">
      <c r="A490" s="4" t="s">
        <v>11456</v>
      </c>
      <c r="B490" s="10">
        <f t="shared" si="1"/>
        <v>0</v>
      </c>
      <c r="C490" s="6">
        <f t="shared" si="2"/>
        <v>79.3</v>
      </c>
      <c r="D490" s="6">
        <f t="shared" si="3"/>
        <v>13.520142</v>
      </c>
    </row>
    <row r="491">
      <c r="A491" s="4" t="s">
        <v>11457</v>
      </c>
      <c r="B491" s="10">
        <f t="shared" si="1"/>
        <v>0</v>
      </c>
      <c r="C491" s="6">
        <f t="shared" si="2"/>
        <v>79.4</v>
      </c>
      <c r="D491" s="6">
        <f t="shared" si="3"/>
        <v>13.523095</v>
      </c>
    </row>
    <row r="492">
      <c r="A492" s="4" t="s">
        <v>11458</v>
      </c>
      <c r="B492" s="10">
        <f t="shared" si="1"/>
        <v>9.1</v>
      </c>
      <c r="C492" s="6">
        <f t="shared" si="2"/>
        <v>79.4</v>
      </c>
      <c r="D492" s="6">
        <f t="shared" si="3"/>
        <v>13.523435</v>
      </c>
    </row>
    <row r="493">
      <c r="A493" s="4" t="s">
        <v>11459</v>
      </c>
      <c r="B493" s="10">
        <f t="shared" si="1"/>
        <v>0</v>
      </c>
      <c r="C493" s="6">
        <f t="shared" si="2"/>
        <v>79.2</v>
      </c>
      <c r="D493" s="6">
        <f t="shared" si="3"/>
        <v>13.499883</v>
      </c>
    </row>
    <row r="494">
      <c r="A494" s="4" t="s">
        <v>11460</v>
      </c>
      <c r="B494" s="10">
        <f t="shared" si="1"/>
        <v>0</v>
      </c>
      <c r="C494" s="6">
        <f t="shared" si="2"/>
        <v>79.2</v>
      </c>
      <c r="D494" s="6">
        <f t="shared" si="3"/>
        <v>13.496737</v>
      </c>
    </row>
    <row r="495">
      <c r="A495" s="4" t="s">
        <v>11461</v>
      </c>
      <c r="B495" s="10">
        <f t="shared" si="1"/>
        <v>0</v>
      </c>
      <c r="C495" s="6">
        <f t="shared" si="2"/>
        <v>79.2</v>
      </c>
      <c r="D495" s="6">
        <f t="shared" si="3"/>
        <v>13.502205</v>
      </c>
    </row>
    <row r="496">
      <c r="A496" s="4" t="s">
        <v>11462</v>
      </c>
      <c r="B496" s="10">
        <f t="shared" si="1"/>
        <v>0</v>
      </c>
      <c r="C496" s="6">
        <f t="shared" si="2"/>
        <v>79.2</v>
      </c>
      <c r="D496" s="6">
        <f t="shared" si="3"/>
        <v>13.492649</v>
      </c>
    </row>
    <row r="497">
      <c r="A497" s="4" t="s">
        <v>11463</v>
      </c>
      <c r="B497" s="10">
        <f t="shared" si="1"/>
        <v>0</v>
      </c>
      <c r="C497" s="6">
        <f t="shared" si="2"/>
        <v>79.3</v>
      </c>
      <c r="D497" s="6">
        <f t="shared" si="3"/>
        <v>13.508304</v>
      </c>
    </row>
    <row r="498">
      <c r="A498" s="4" t="s">
        <v>11464</v>
      </c>
      <c r="B498" s="10">
        <f t="shared" si="1"/>
        <v>0</v>
      </c>
      <c r="C498" s="6">
        <f t="shared" si="2"/>
        <v>79.4</v>
      </c>
      <c r="D498" s="6">
        <f t="shared" si="3"/>
        <v>13.525647</v>
      </c>
    </row>
    <row r="499">
      <c r="A499" s="4" t="s">
        <v>11465</v>
      </c>
      <c r="B499" s="10">
        <f t="shared" si="1"/>
        <v>0</v>
      </c>
      <c r="C499" s="6">
        <f t="shared" si="2"/>
        <v>79.5</v>
      </c>
      <c r="D499" s="6">
        <f t="shared" si="3"/>
        <v>13.539368</v>
      </c>
    </row>
    <row r="500">
      <c r="A500" s="4" t="s">
        <v>11466</v>
      </c>
      <c r="B500" s="10">
        <f t="shared" si="1"/>
        <v>0</v>
      </c>
      <c r="C500" s="6">
        <f t="shared" si="2"/>
        <v>79.4</v>
      </c>
      <c r="D500" s="6">
        <f t="shared" si="3"/>
        <v>13.524295</v>
      </c>
    </row>
    <row r="501">
      <c r="A501" s="4" t="s">
        <v>11467</v>
      </c>
      <c r="B501" s="10">
        <f t="shared" si="1"/>
        <v>100</v>
      </c>
      <c r="C501" s="6">
        <f t="shared" si="2"/>
        <v>79.4</v>
      </c>
      <c r="D501" s="6">
        <f t="shared" si="3"/>
        <v>13.52767</v>
      </c>
    </row>
  </sheetData>
  <mergeCells count="3">
    <mergeCell ref="G1:H1"/>
    <mergeCell ref="J1:K1"/>
    <mergeCell ref="M1:N1"/>
  </mergeCells>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30</v>
      </c>
    </row>
    <row r="2">
      <c r="A2" s="4" t="s">
        <v>11468</v>
      </c>
    </row>
    <row r="3">
      <c r="A3" s="4" t="s">
        <v>30</v>
      </c>
    </row>
    <row r="4">
      <c r="A4" s="4" t="s">
        <v>11469</v>
      </c>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62</v>
      </c>
    </row>
    <row r="3">
      <c r="A3" s="4" t="s">
        <v>63</v>
      </c>
    </row>
    <row r="4">
      <c r="A4" s="4" t="s">
        <v>64</v>
      </c>
    </row>
    <row r="5">
      <c r="A5" s="4" t="s">
        <v>35</v>
      </c>
    </row>
    <row r="6">
      <c r="A6" s="4" t="s">
        <v>65</v>
      </c>
    </row>
    <row r="7">
      <c r="A7" s="4" t="s">
        <v>88</v>
      </c>
    </row>
    <row r="8">
      <c r="A8" s="4" t="s">
        <v>89</v>
      </c>
    </row>
    <row r="9">
      <c r="A9" s="4" t="s">
        <v>48</v>
      </c>
    </row>
    <row r="10">
      <c r="A10" s="4" t="s">
        <v>35</v>
      </c>
    </row>
    <row r="11">
      <c r="A11" s="4" t="s">
        <v>11470</v>
      </c>
    </row>
    <row r="12">
      <c r="A12" s="4" t="s">
        <v>11471</v>
      </c>
    </row>
    <row r="13">
      <c r="A13" s="4" t="s">
        <v>11472</v>
      </c>
    </row>
    <row r="14">
      <c r="A14" s="4" t="s">
        <v>62</v>
      </c>
    </row>
    <row r="15">
      <c r="A15" s="4" t="s">
        <v>63</v>
      </c>
    </row>
    <row r="16">
      <c r="A16" s="4" t="s">
        <v>64</v>
      </c>
    </row>
    <row r="17">
      <c r="A17" s="4" t="s">
        <v>35</v>
      </c>
    </row>
    <row r="18">
      <c r="A18" s="4" t="s">
        <v>65</v>
      </c>
    </row>
    <row r="19">
      <c r="A19" s="4" t="s">
        <v>88</v>
      </c>
    </row>
    <row r="20">
      <c r="A20" s="4" t="s">
        <v>89</v>
      </c>
    </row>
    <row r="21">
      <c r="A21" s="4" t="s">
        <v>48</v>
      </c>
    </row>
    <row r="22">
      <c r="A22" s="4" t="s">
        <v>35</v>
      </c>
    </row>
    <row r="23">
      <c r="A23" s="4" t="s">
        <v>40</v>
      </c>
    </row>
    <row r="24">
      <c r="A24" s="4" t="s">
        <v>11473</v>
      </c>
    </row>
    <row r="25">
      <c r="A25" s="4" t="s">
        <v>966</v>
      </c>
    </row>
    <row r="26">
      <c r="A26" s="4" t="s">
        <v>11474</v>
      </c>
    </row>
    <row r="27">
      <c r="A27" s="4" t="s">
        <v>33</v>
      </c>
    </row>
    <row r="28">
      <c r="A28" s="4" t="s">
        <v>34</v>
      </c>
    </row>
    <row r="29">
      <c r="A29" s="4" t="s">
        <v>88</v>
      </c>
    </row>
    <row r="30">
      <c r="A30" s="4" t="s">
        <v>89</v>
      </c>
    </row>
    <row r="31">
      <c r="A31" s="4" t="s">
        <v>48</v>
      </c>
    </row>
    <row r="32">
      <c r="A32" s="4" t="s">
        <v>35</v>
      </c>
    </row>
    <row r="33">
      <c r="A33" s="4" t="s">
        <v>107</v>
      </c>
    </row>
    <row r="34">
      <c r="A34" s="4" t="s">
        <v>41</v>
      </c>
    </row>
    <row r="35">
      <c r="A35" s="4" t="s">
        <v>42</v>
      </c>
    </row>
    <row r="36">
      <c r="A36" s="4" t="s">
        <v>33</v>
      </c>
    </row>
    <row r="37">
      <c r="A37" s="4" t="s">
        <v>34</v>
      </c>
    </row>
    <row r="38">
      <c r="A38" s="4" t="s">
        <v>51</v>
      </c>
    </row>
    <row r="39">
      <c r="A39" s="4" t="s">
        <v>105</v>
      </c>
    </row>
    <row r="40">
      <c r="A40" s="4" t="s">
        <v>106</v>
      </c>
    </row>
    <row r="41">
      <c r="A41" s="4" t="s">
        <v>75</v>
      </c>
    </row>
    <row r="42">
      <c r="A42" s="4" t="s">
        <v>128</v>
      </c>
    </row>
    <row r="43">
      <c r="A43" s="4" t="s">
        <v>552</v>
      </c>
    </row>
    <row r="44">
      <c r="A44" s="4" t="s">
        <v>129</v>
      </c>
    </row>
    <row r="45">
      <c r="A45" s="4" t="s">
        <v>109</v>
      </c>
    </row>
    <row r="46">
      <c r="A46" s="4" t="s">
        <v>549</v>
      </c>
    </row>
    <row r="47">
      <c r="A47" s="4" t="s">
        <v>11475</v>
      </c>
    </row>
    <row r="48">
      <c r="A48" s="4" t="s">
        <v>497</v>
      </c>
    </row>
    <row r="49">
      <c r="A49" s="4" t="s">
        <v>11476</v>
      </c>
    </row>
    <row r="50">
      <c r="A50" s="4" t="s">
        <v>121</v>
      </c>
    </row>
    <row r="51">
      <c r="A51" s="4" t="s">
        <v>92</v>
      </c>
    </row>
    <row r="52">
      <c r="A52" s="4" t="s">
        <v>122</v>
      </c>
    </row>
    <row r="53">
      <c r="A53" s="4" t="s">
        <v>62</v>
      </c>
    </row>
    <row r="54">
      <c r="A54" s="4" t="s">
        <v>63</v>
      </c>
    </row>
    <row r="55">
      <c r="A55" s="4" t="s">
        <v>64</v>
      </c>
    </row>
    <row r="56">
      <c r="A56" s="4" t="s">
        <v>35</v>
      </c>
    </row>
    <row r="57">
      <c r="A57" s="4" t="s">
        <v>65</v>
      </c>
    </row>
    <row r="58">
      <c r="A58" s="4" t="s">
        <v>75</v>
      </c>
    </row>
    <row r="59">
      <c r="A59" s="4" t="s">
        <v>128</v>
      </c>
    </row>
    <row r="60">
      <c r="A60" s="4" t="s">
        <v>11477</v>
      </c>
    </row>
    <row r="61">
      <c r="A61" s="4" t="s">
        <v>129</v>
      </c>
    </row>
    <row r="62">
      <c r="A62" s="4" t="s">
        <v>109</v>
      </c>
    </row>
    <row r="63">
      <c r="A63" s="4" t="s">
        <v>119</v>
      </c>
    </row>
    <row r="64">
      <c r="A64" s="4" t="s">
        <v>62</v>
      </c>
    </row>
    <row r="65">
      <c r="A65" s="4" t="s">
        <v>2608</v>
      </c>
    </row>
    <row r="66">
      <c r="A66" s="4" t="s">
        <v>57</v>
      </c>
    </row>
    <row r="67">
      <c r="A67" s="4" t="s">
        <v>33</v>
      </c>
    </row>
    <row r="68">
      <c r="A68" s="4" t="s">
        <v>48</v>
      </c>
    </row>
    <row r="69">
      <c r="A69" s="4" t="s">
        <v>147</v>
      </c>
    </row>
    <row r="70">
      <c r="A70" s="4" t="s">
        <v>36</v>
      </c>
    </row>
    <row r="71">
      <c r="A71" s="4" t="s">
        <v>1508</v>
      </c>
    </row>
    <row r="72">
      <c r="A72" s="4" t="s">
        <v>11478</v>
      </c>
    </row>
    <row r="73">
      <c r="A73" s="4" t="s">
        <v>90</v>
      </c>
    </row>
    <row r="74">
      <c r="A74" s="4" t="s">
        <v>33</v>
      </c>
    </row>
    <row r="75">
      <c r="A75" s="4" t="s">
        <v>34</v>
      </c>
    </row>
    <row r="76">
      <c r="A76" s="4" t="s">
        <v>39</v>
      </c>
    </row>
    <row r="77">
      <c r="A77" s="4" t="s">
        <v>40</v>
      </c>
    </row>
    <row r="78">
      <c r="A78" s="4" t="s">
        <v>33</v>
      </c>
    </row>
    <row r="79">
      <c r="A79" s="4" t="s">
        <v>48</v>
      </c>
    </row>
    <row r="80">
      <c r="A80" s="4" t="s">
        <v>147</v>
      </c>
    </row>
    <row r="81">
      <c r="A81" s="4" t="s">
        <v>80</v>
      </c>
    </row>
    <row r="82">
      <c r="A82" s="4" t="s">
        <v>866</v>
      </c>
    </row>
    <row r="83">
      <c r="A83" s="4" t="s">
        <v>88</v>
      </c>
    </row>
    <row r="84">
      <c r="A84" s="4" t="s">
        <v>40</v>
      </c>
    </row>
    <row r="85">
      <c r="A85" s="4" t="s">
        <v>75</v>
      </c>
    </row>
    <row r="86">
      <c r="A86" s="4" t="s">
        <v>33</v>
      </c>
    </row>
    <row r="87">
      <c r="A87" s="4" t="s">
        <v>34</v>
      </c>
    </row>
    <row r="88">
      <c r="A88" s="4" t="s">
        <v>80</v>
      </c>
    </row>
    <row r="89">
      <c r="A89" s="4" t="s">
        <v>866</v>
      </c>
    </row>
    <row r="90">
      <c r="A90" s="4" t="s">
        <v>3687</v>
      </c>
    </row>
    <row r="91">
      <c r="A91" s="4" t="s">
        <v>11479</v>
      </c>
    </row>
    <row r="92">
      <c r="A92" s="4" t="s">
        <v>90</v>
      </c>
    </row>
    <row r="93">
      <c r="A93" s="4" t="s">
        <v>33</v>
      </c>
    </row>
    <row r="94">
      <c r="A94" s="4" t="s">
        <v>34</v>
      </c>
    </row>
    <row r="95">
      <c r="A95" s="4" t="s">
        <v>51</v>
      </c>
    </row>
    <row r="96">
      <c r="A96" s="4" t="s">
        <v>102</v>
      </c>
    </row>
    <row r="97">
      <c r="A97" s="4" t="s">
        <v>88</v>
      </c>
    </row>
    <row r="98">
      <c r="A98" s="4" t="s">
        <v>89</v>
      </c>
    </row>
    <row r="99">
      <c r="A99" s="4" t="s">
        <v>33</v>
      </c>
    </row>
    <row r="100">
      <c r="A100" s="4" t="s">
        <v>34</v>
      </c>
    </row>
    <row r="101">
      <c r="A101" s="4" t="s">
        <v>132</v>
      </c>
    </row>
    <row r="102">
      <c r="A102" s="4" t="s">
        <v>133</v>
      </c>
    </row>
    <row r="103">
      <c r="A103" s="4" t="s">
        <v>46</v>
      </c>
    </row>
    <row r="104">
      <c r="A104" s="4" t="s">
        <v>88</v>
      </c>
    </row>
    <row r="105">
      <c r="A105" s="4" t="s">
        <v>89</v>
      </c>
    </row>
    <row r="106">
      <c r="A106" s="4" t="s">
        <v>33</v>
      </c>
    </row>
    <row r="107">
      <c r="A107" s="4" t="s">
        <v>34</v>
      </c>
    </row>
    <row r="108">
      <c r="A108" s="4" t="s">
        <v>36</v>
      </c>
    </row>
    <row r="109">
      <c r="A109" s="4" t="s">
        <v>158</v>
      </c>
    </row>
    <row r="110">
      <c r="A110" s="4" t="s">
        <v>50</v>
      </c>
    </row>
    <row r="111">
      <c r="A111" s="4" t="s">
        <v>40</v>
      </c>
    </row>
    <row r="112">
      <c r="A112" s="4" t="s">
        <v>33</v>
      </c>
    </row>
    <row r="113">
      <c r="A113" s="4" t="s">
        <v>34</v>
      </c>
    </row>
    <row r="114">
      <c r="A114" s="4" t="s">
        <v>80</v>
      </c>
    </row>
    <row r="115">
      <c r="A115" s="4" t="s">
        <v>37</v>
      </c>
    </row>
    <row r="116">
      <c r="A116" s="4" t="s">
        <v>38</v>
      </c>
    </row>
    <row r="117">
      <c r="A117" s="4" t="s">
        <v>103</v>
      </c>
    </row>
    <row r="118">
      <c r="A118" s="4" t="s">
        <v>1222</v>
      </c>
    </row>
    <row r="119">
      <c r="A119" s="4" t="s">
        <v>40</v>
      </c>
    </row>
    <row r="120">
      <c r="A120" s="4" t="s">
        <v>33</v>
      </c>
    </row>
    <row r="121">
      <c r="A121" s="4" t="s">
        <v>34</v>
      </c>
    </row>
    <row r="122">
      <c r="A122" s="4" t="s">
        <v>35</v>
      </c>
    </row>
    <row r="123">
      <c r="A123" s="4" t="s">
        <v>40</v>
      </c>
    </row>
    <row r="124">
      <c r="A124" s="4" t="s">
        <v>1509</v>
      </c>
    </row>
    <row r="125">
      <c r="A125" s="4" t="s">
        <v>44</v>
      </c>
    </row>
    <row r="126">
      <c r="A126" s="4" t="s">
        <v>84</v>
      </c>
    </row>
    <row r="127">
      <c r="A127" s="4" t="s">
        <v>2610</v>
      </c>
    </row>
    <row r="128">
      <c r="A128" s="4" t="s">
        <v>33</v>
      </c>
    </row>
    <row r="129">
      <c r="A129" s="4" t="s">
        <v>48</v>
      </c>
    </row>
    <row r="130">
      <c r="A130" s="4" t="s">
        <v>147</v>
      </c>
    </row>
    <row r="131">
      <c r="A131" s="4" t="s">
        <v>80</v>
      </c>
    </row>
    <row r="132">
      <c r="A132" s="4" t="s">
        <v>866</v>
      </c>
    </row>
    <row r="133">
      <c r="A133" s="4" t="s">
        <v>33</v>
      </c>
    </row>
    <row r="134">
      <c r="A134" s="4" t="s">
        <v>34</v>
      </c>
    </row>
    <row r="135">
      <c r="A135" s="4" t="s">
        <v>90</v>
      </c>
    </row>
    <row r="136">
      <c r="A136" s="4" t="s">
        <v>33</v>
      </c>
    </row>
    <row r="137">
      <c r="A137" s="4" t="s">
        <v>34</v>
      </c>
    </row>
    <row r="138">
      <c r="A138" s="4" t="s">
        <v>90</v>
      </c>
    </row>
    <row r="139">
      <c r="A139" s="4" t="s">
        <v>62</v>
      </c>
    </row>
    <row r="140">
      <c r="A140" s="4" t="s">
        <v>1363</v>
      </c>
    </row>
    <row r="141">
      <c r="A141" s="4" t="s">
        <v>1356</v>
      </c>
    </row>
    <row r="142">
      <c r="A142" s="4" t="s">
        <v>2993</v>
      </c>
    </row>
    <row r="143">
      <c r="A143" s="4" t="s">
        <v>115</v>
      </c>
    </row>
    <row r="144">
      <c r="A144" s="4" t="s">
        <v>970</v>
      </c>
    </row>
    <row r="145">
      <c r="A145" s="4" t="s">
        <v>62</v>
      </c>
    </row>
    <row r="146">
      <c r="A146" s="4" t="s">
        <v>63</v>
      </c>
    </row>
    <row r="147">
      <c r="A147" s="4" t="s">
        <v>64</v>
      </c>
    </row>
    <row r="148">
      <c r="A148" s="4" t="s">
        <v>35</v>
      </c>
    </row>
    <row r="149">
      <c r="A149" s="4" t="s">
        <v>65</v>
      </c>
    </row>
    <row r="150">
      <c r="A150" s="4" t="s">
        <v>88</v>
      </c>
    </row>
    <row r="151">
      <c r="A151" s="4" t="s">
        <v>89</v>
      </c>
    </row>
    <row r="152">
      <c r="A152" s="4" t="s">
        <v>33</v>
      </c>
    </row>
    <row r="153">
      <c r="A153" s="4" t="s">
        <v>34</v>
      </c>
    </row>
    <row r="154">
      <c r="A154" s="4" t="s">
        <v>90</v>
      </c>
    </row>
    <row r="155">
      <c r="A155" s="4" t="s">
        <v>103</v>
      </c>
    </row>
    <row r="156">
      <c r="A156" s="4" t="s">
        <v>7043</v>
      </c>
    </row>
    <row r="157">
      <c r="A157" s="4" t="s">
        <v>33</v>
      </c>
    </row>
    <row r="158">
      <c r="A158" s="4" t="s">
        <v>48</v>
      </c>
    </row>
    <row r="159">
      <c r="A159" s="4" t="s">
        <v>147</v>
      </c>
    </row>
    <row r="160">
      <c r="A160" s="4" t="s">
        <v>36</v>
      </c>
    </row>
    <row r="161">
      <c r="A161" s="4" t="s">
        <v>11480</v>
      </c>
    </row>
    <row r="162">
      <c r="A162" s="4" t="s">
        <v>33</v>
      </c>
    </row>
    <row r="163">
      <c r="A163" s="4" t="s">
        <v>34</v>
      </c>
    </row>
    <row r="164">
      <c r="A164" s="4" t="s">
        <v>90</v>
      </c>
    </row>
    <row r="165">
      <c r="A165" s="4" t="s">
        <v>33</v>
      </c>
    </row>
    <row r="166">
      <c r="A166" s="4" t="s">
        <v>48</v>
      </c>
    </row>
    <row r="167">
      <c r="A167" s="4" t="s">
        <v>147</v>
      </c>
    </row>
    <row r="168">
      <c r="A168" s="4" t="s">
        <v>36</v>
      </c>
    </row>
    <row r="169">
      <c r="A169" s="4" t="s">
        <v>11481</v>
      </c>
    </row>
    <row r="170">
      <c r="A170" s="4" t="s">
        <v>41</v>
      </c>
    </row>
    <row r="171">
      <c r="A171" s="4" t="s">
        <v>11482</v>
      </c>
    </row>
    <row r="172">
      <c r="A172" s="4" t="s">
        <v>33</v>
      </c>
    </row>
    <row r="173">
      <c r="A173" s="4" t="s">
        <v>34</v>
      </c>
    </row>
    <row r="174">
      <c r="A174" s="4" t="s">
        <v>96</v>
      </c>
    </row>
    <row r="175">
      <c r="A175" s="4" t="s">
        <v>35</v>
      </c>
    </row>
    <row r="176">
      <c r="A176" s="4" t="s">
        <v>520</v>
      </c>
    </row>
    <row r="177">
      <c r="A177" s="4" t="s">
        <v>44</v>
      </c>
    </row>
    <row r="178">
      <c r="A178" s="4" t="s">
        <v>92</v>
      </c>
    </row>
    <row r="179">
      <c r="A179" s="4" t="s">
        <v>9948</v>
      </c>
    </row>
    <row r="180">
      <c r="A180" s="4" t="s">
        <v>33</v>
      </c>
    </row>
    <row r="181">
      <c r="A181" s="4" t="s">
        <v>144</v>
      </c>
    </row>
    <row r="182">
      <c r="A182" s="4" t="s">
        <v>149</v>
      </c>
    </row>
    <row r="183">
      <c r="A183" s="4" t="s">
        <v>44</v>
      </c>
    </row>
    <row r="184">
      <c r="A184" s="4" t="s">
        <v>92</v>
      </c>
    </row>
    <row r="185">
      <c r="A185" s="4" t="s">
        <v>98</v>
      </c>
    </row>
    <row r="186">
      <c r="A186" s="4" t="s">
        <v>527</v>
      </c>
    </row>
    <row r="187">
      <c r="A187" s="4" t="s">
        <v>33</v>
      </c>
    </row>
    <row r="188">
      <c r="A188" s="4" t="s">
        <v>36</v>
      </c>
    </row>
    <row r="189">
      <c r="A189" s="4" t="s">
        <v>34</v>
      </c>
    </row>
    <row r="190">
      <c r="A190" s="4" t="s">
        <v>35</v>
      </c>
    </row>
    <row r="191">
      <c r="A191" s="4" t="s">
        <v>96</v>
      </c>
    </row>
    <row r="192">
      <c r="A192" s="4" t="s">
        <v>65</v>
      </c>
    </row>
    <row r="193">
      <c r="A193" s="4" t="s">
        <v>92</v>
      </c>
    </row>
    <row r="194">
      <c r="A194" s="4" t="s">
        <v>139</v>
      </c>
    </row>
    <row r="195">
      <c r="A195" s="4" t="s">
        <v>33</v>
      </c>
    </row>
    <row r="196">
      <c r="A196" s="4" t="s">
        <v>34</v>
      </c>
    </row>
    <row r="197">
      <c r="A197" s="4" t="s">
        <v>36</v>
      </c>
    </row>
    <row r="198">
      <c r="A198" s="4" t="s">
        <v>155</v>
      </c>
    </row>
    <row r="199">
      <c r="A199" s="4" t="s">
        <v>11483</v>
      </c>
    </row>
    <row r="200">
      <c r="A200" s="4" t="s">
        <v>156</v>
      </c>
    </row>
    <row r="201">
      <c r="A201" s="4" t="s">
        <v>157</v>
      </c>
    </row>
    <row r="202">
      <c r="A202" s="4" t="s">
        <v>33</v>
      </c>
    </row>
    <row r="203">
      <c r="A203" s="4" t="s">
        <v>112</v>
      </c>
    </row>
    <row r="204">
      <c r="A204" s="4" t="s">
        <v>41</v>
      </c>
    </row>
    <row r="205">
      <c r="A205" s="4" t="s">
        <v>3574</v>
      </c>
    </row>
    <row r="206">
      <c r="A206" s="4" t="s">
        <v>1519</v>
      </c>
    </row>
    <row r="207">
      <c r="A207" s="4" t="s">
        <v>943</v>
      </c>
    </row>
    <row r="208">
      <c r="A208" s="4" t="s">
        <v>41</v>
      </c>
    </row>
    <row r="209">
      <c r="A209" s="4" t="s">
        <v>944</v>
      </c>
    </row>
    <row r="210">
      <c r="A210" s="4" t="s">
        <v>62</v>
      </c>
    </row>
    <row r="211">
      <c r="A211" s="4" t="s">
        <v>63</v>
      </c>
    </row>
    <row r="212">
      <c r="A212" s="4" t="s">
        <v>64</v>
      </c>
    </row>
    <row r="213">
      <c r="A213" s="4" t="s">
        <v>35</v>
      </c>
    </row>
    <row r="214">
      <c r="A214" s="4" t="s">
        <v>65</v>
      </c>
    </row>
    <row r="215">
      <c r="A215" s="4" t="s">
        <v>39</v>
      </c>
    </row>
    <row r="216">
      <c r="A216" s="4" t="s">
        <v>40</v>
      </c>
    </row>
    <row r="217">
      <c r="A217" s="4" t="s">
        <v>129</v>
      </c>
    </row>
    <row r="218">
      <c r="A218" s="4" t="s">
        <v>146</v>
      </c>
    </row>
    <row r="219">
      <c r="A219" s="4" t="s">
        <v>48</v>
      </c>
    </row>
    <row r="220">
      <c r="A220" s="4" t="s">
        <v>126</v>
      </c>
    </row>
    <row r="221">
      <c r="A221" s="4" t="s">
        <v>1221</v>
      </c>
    </row>
    <row r="222">
      <c r="A222" s="4" t="s">
        <v>33</v>
      </c>
    </row>
    <row r="223">
      <c r="A223" s="4" t="s">
        <v>43</v>
      </c>
    </row>
    <row r="224">
      <c r="A224" s="4" t="s">
        <v>41</v>
      </c>
    </row>
    <row r="225">
      <c r="A225" s="4" t="s">
        <v>45</v>
      </c>
    </row>
    <row r="226">
      <c r="A226" s="4" t="s">
        <v>46</v>
      </c>
    </row>
    <row r="227">
      <c r="A227" s="4" t="s">
        <v>47</v>
      </c>
    </row>
    <row r="228">
      <c r="A228" s="4" t="s">
        <v>41</v>
      </c>
    </row>
    <row r="229">
      <c r="A229" s="4" t="s">
        <v>42</v>
      </c>
    </row>
    <row r="230">
      <c r="A230" s="4" t="s">
        <v>48</v>
      </c>
    </row>
    <row r="231">
      <c r="A231" s="4" t="s">
        <v>49</v>
      </c>
    </row>
    <row r="232">
      <c r="A232" s="4" t="s">
        <v>44</v>
      </c>
    </row>
    <row r="233">
      <c r="A233" s="4" t="s">
        <v>136</v>
      </c>
    </row>
    <row r="234">
      <c r="A234" s="4" t="s">
        <v>961</v>
      </c>
    </row>
    <row r="235">
      <c r="A235" s="4" t="s">
        <v>33</v>
      </c>
    </row>
    <row r="236">
      <c r="A236" s="4" t="s">
        <v>48</v>
      </c>
    </row>
    <row r="237">
      <c r="A237" s="4" t="s">
        <v>1230</v>
      </c>
    </row>
    <row r="238">
      <c r="A238" s="4" t="s">
        <v>51</v>
      </c>
    </row>
    <row r="239">
      <c r="A239" s="4" t="s">
        <v>64</v>
      </c>
    </row>
    <row r="240">
      <c r="A240" s="4" t="s">
        <v>41</v>
      </c>
    </row>
    <row r="241">
      <c r="A241" s="4" t="s">
        <v>11484</v>
      </c>
    </row>
    <row r="242">
      <c r="A242" s="4" t="s">
        <v>33</v>
      </c>
    </row>
    <row r="243">
      <c r="A243" s="4" t="s">
        <v>34</v>
      </c>
    </row>
    <row r="244">
      <c r="A244" s="4" t="s">
        <v>103</v>
      </c>
    </row>
    <row r="245">
      <c r="A245" s="4" t="s">
        <v>555</v>
      </c>
    </row>
    <row r="246">
      <c r="A246" s="4" t="s">
        <v>40</v>
      </c>
    </row>
    <row r="247">
      <c r="A247" s="4" t="s">
        <v>69</v>
      </c>
    </row>
    <row r="248">
      <c r="A248" s="4" t="s">
        <v>70</v>
      </c>
    </row>
    <row r="249">
      <c r="A249" s="4" t="s">
        <v>33</v>
      </c>
    </row>
    <row r="250">
      <c r="A250" s="4" t="s">
        <v>34</v>
      </c>
    </row>
    <row r="251">
      <c r="A251" s="4" t="s">
        <v>51</v>
      </c>
    </row>
    <row r="252">
      <c r="A252" s="4" t="s">
        <v>1233</v>
      </c>
    </row>
    <row r="253">
      <c r="A253" s="4" t="s">
        <v>33</v>
      </c>
    </row>
    <row r="254">
      <c r="A254" s="4" t="s">
        <v>158</v>
      </c>
    </row>
    <row r="255">
      <c r="A255" s="4" t="s">
        <v>88</v>
      </c>
    </row>
    <row r="256">
      <c r="A256" s="4" t="s">
        <v>89</v>
      </c>
    </row>
    <row r="257">
      <c r="A257" s="4" t="s">
        <v>33</v>
      </c>
    </row>
    <row r="258">
      <c r="A258" s="4" t="s">
        <v>48</v>
      </c>
    </row>
    <row r="259">
      <c r="A259" s="4" t="s">
        <v>147</v>
      </c>
    </row>
    <row r="260">
      <c r="A260" s="4" t="s">
        <v>80</v>
      </c>
    </row>
    <row r="261">
      <c r="A261" s="4" t="s">
        <v>866</v>
      </c>
    </row>
    <row r="262">
      <c r="A262" s="4" t="s">
        <v>9958</v>
      </c>
    </row>
    <row r="263">
      <c r="A263" s="4" t="s">
        <v>3568</v>
      </c>
    </row>
    <row r="264">
      <c r="A264" s="4" t="s">
        <v>11485</v>
      </c>
    </row>
    <row r="265">
      <c r="A265" s="4" t="s">
        <v>11486</v>
      </c>
    </row>
    <row r="266">
      <c r="A266" s="4" t="s">
        <v>33</v>
      </c>
    </row>
    <row r="267">
      <c r="A267" s="4" t="s">
        <v>34</v>
      </c>
    </row>
    <row r="268">
      <c r="A268" s="4" t="s">
        <v>88</v>
      </c>
    </row>
    <row r="269">
      <c r="A269" s="4" t="s">
        <v>89</v>
      </c>
    </row>
    <row r="270">
      <c r="A270" s="4" t="s">
        <v>35</v>
      </c>
    </row>
    <row r="271">
      <c r="A271" s="4" t="s">
        <v>107</v>
      </c>
    </row>
    <row r="272">
      <c r="A272" s="4" t="s">
        <v>41</v>
      </c>
    </row>
    <row r="273">
      <c r="A273" s="4" t="s">
        <v>42</v>
      </c>
    </row>
    <row r="274">
      <c r="A274" s="4" t="s">
        <v>48</v>
      </c>
    </row>
    <row r="275">
      <c r="A275" s="4" t="s">
        <v>2614</v>
      </c>
    </row>
    <row r="276">
      <c r="A276" s="4" t="s">
        <v>160</v>
      </c>
    </row>
    <row r="277">
      <c r="A277" s="4" t="s">
        <v>518</v>
      </c>
    </row>
    <row r="278">
      <c r="A278" s="4" t="s">
        <v>500</v>
      </c>
    </row>
    <row r="279">
      <c r="A279" s="4" t="s">
        <v>65</v>
      </c>
    </row>
    <row r="280">
      <c r="A280" s="4" t="s">
        <v>33</v>
      </c>
    </row>
    <row r="281">
      <c r="A281" s="4" t="s">
        <v>34</v>
      </c>
    </row>
    <row r="282">
      <c r="A282" s="4" t="s">
        <v>132</v>
      </c>
    </row>
    <row r="283">
      <c r="A283" s="4" t="s">
        <v>133</v>
      </c>
    </row>
    <row r="284">
      <c r="A284" s="4" t="s">
        <v>46</v>
      </c>
    </row>
    <row r="285">
      <c r="A285" s="4" t="s">
        <v>114</v>
      </c>
    </row>
    <row r="286">
      <c r="A286" s="4" t="s">
        <v>160</v>
      </c>
    </row>
    <row r="287">
      <c r="A287" s="4" t="s">
        <v>11487</v>
      </c>
    </row>
    <row r="288">
      <c r="A288" s="4" t="s">
        <v>11488</v>
      </c>
    </row>
    <row r="289">
      <c r="A289" s="4" t="s">
        <v>48</v>
      </c>
    </row>
    <row r="290">
      <c r="A290" s="4" t="s">
        <v>35</v>
      </c>
    </row>
    <row r="291">
      <c r="A291" s="4" t="s">
        <v>107</v>
      </c>
    </row>
    <row r="292">
      <c r="A292" s="4" t="s">
        <v>41</v>
      </c>
    </row>
    <row r="293">
      <c r="A293" s="4" t="s">
        <v>42</v>
      </c>
    </row>
    <row r="294">
      <c r="A294" s="4" t="s">
        <v>33</v>
      </c>
    </row>
    <row r="295">
      <c r="A295" s="4" t="s">
        <v>34</v>
      </c>
    </row>
    <row r="296">
      <c r="A296" s="4" t="s">
        <v>11489</v>
      </c>
    </row>
    <row r="297">
      <c r="A297" s="4" t="s">
        <v>3018</v>
      </c>
    </row>
    <row r="298">
      <c r="A298" s="4" t="s">
        <v>2604</v>
      </c>
    </row>
    <row r="299">
      <c r="A299" s="4" t="s">
        <v>88</v>
      </c>
    </row>
    <row r="300">
      <c r="A300" s="4" t="s">
        <v>89</v>
      </c>
    </row>
    <row r="301">
      <c r="A301" s="4" t="s">
        <v>33</v>
      </c>
    </row>
    <row r="302">
      <c r="A302" s="4" t="s">
        <v>34</v>
      </c>
    </row>
    <row r="303">
      <c r="A303" s="4" t="s">
        <v>40</v>
      </c>
    </row>
    <row r="304">
      <c r="A304" s="4" t="s">
        <v>53</v>
      </c>
    </row>
    <row r="305">
      <c r="A305" s="4" t="s">
        <v>115</v>
      </c>
    </row>
    <row r="306">
      <c r="A306" s="4" t="s">
        <v>119</v>
      </c>
    </row>
    <row r="307">
      <c r="A307" s="4" t="s">
        <v>120</v>
      </c>
    </row>
    <row r="308">
      <c r="A308" s="4" t="s">
        <v>524</v>
      </c>
    </row>
    <row r="309">
      <c r="A309" s="4" t="s">
        <v>33</v>
      </c>
    </row>
    <row r="310">
      <c r="A310" s="4" t="s">
        <v>34</v>
      </c>
    </row>
    <row r="311">
      <c r="A311" s="4" t="s">
        <v>88</v>
      </c>
    </row>
    <row r="312">
      <c r="A312" s="4" t="s">
        <v>89</v>
      </c>
    </row>
    <row r="313">
      <c r="A313" s="4" t="s">
        <v>35</v>
      </c>
    </row>
    <row r="314">
      <c r="A314" s="4" t="s">
        <v>107</v>
      </c>
    </row>
    <row r="315">
      <c r="A315" s="4" t="s">
        <v>41</v>
      </c>
    </row>
    <row r="316">
      <c r="A316" s="4" t="s">
        <v>42</v>
      </c>
    </row>
    <row r="317">
      <c r="A317" s="4" t="s">
        <v>48</v>
      </c>
    </row>
    <row r="318">
      <c r="A318" s="4" t="s">
        <v>11490</v>
      </c>
    </row>
    <row r="319">
      <c r="A319" s="4" t="s">
        <v>147</v>
      </c>
    </row>
    <row r="320">
      <c r="A320" s="4" t="s">
        <v>33</v>
      </c>
    </row>
    <row r="321">
      <c r="A321" s="4" t="s">
        <v>51</v>
      </c>
    </row>
    <row r="322">
      <c r="A322" s="4" t="s">
        <v>71</v>
      </c>
    </row>
    <row r="323">
      <c r="A323" s="4" t="s">
        <v>44</v>
      </c>
    </row>
    <row r="324">
      <c r="A324" s="4" t="s">
        <v>72</v>
      </c>
    </row>
    <row r="325">
      <c r="A325" s="4" t="s">
        <v>77</v>
      </c>
    </row>
    <row r="326">
      <c r="A326" s="4" t="s">
        <v>78</v>
      </c>
    </row>
    <row r="327">
      <c r="A327" s="4" t="s">
        <v>79</v>
      </c>
    </row>
    <row r="328">
      <c r="A328" s="4" t="s">
        <v>1516</v>
      </c>
    </row>
    <row r="329">
      <c r="A329" s="4" t="s">
        <v>11472</v>
      </c>
    </row>
    <row r="330">
      <c r="A330" s="4" t="s">
        <v>961</v>
      </c>
    </row>
    <row r="331">
      <c r="A331" s="4" t="s">
        <v>33</v>
      </c>
    </row>
    <row r="332">
      <c r="A332" s="4" t="s">
        <v>36</v>
      </c>
    </row>
    <row r="333">
      <c r="A333" s="4" t="s">
        <v>158</v>
      </c>
    </row>
    <row r="334">
      <c r="A334" s="4" t="s">
        <v>35</v>
      </c>
    </row>
    <row r="335">
      <c r="A335" s="4" t="s">
        <v>65</v>
      </c>
    </row>
    <row r="336">
      <c r="A336" s="4" t="s">
        <v>33</v>
      </c>
    </row>
    <row r="337">
      <c r="A337" s="4" t="s">
        <v>34</v>
      </c>
    </row>
    <row r="338">
      <c r="A338" s="4" t="s">
        <v>35</v>
      </c>
    </row>
    <row r="339">
      <c r="A339" s="4" t="s">
        <v>40</v>
      </c>
    </row>
    <row r="340">
      <c r="A340" s="4" t="s">
        <v>1509</v>
      </c>
    </row>
    <row r="341">
      <c r="A341" s="4" t="s">
        <v>44</v>
      </c>
    </row>
    <row r="342">
      <c r="A342" s="4" t="s">
        <v>2604</v>
      </c>
    </row>
    <row r="343">
      <c r="A343" s="4" t="s">
        <v>33</v>
      </c>
    </row>
    <row r="344">
      <c r="A344" s="4" t="s">
        <v>36</v>
      </c>
    </row>
    <row r="345">
      <c r="A345" s="4" t="s">
        <v>943</v>
      </c>
    </row>
    <row r="346">
      <c r="A346" s="4" t="s">
        <v>41</v>
      </c>
    </row>
    <row r="347">
      <c r="A347" s="4" t="s">
        <v>944</v>
      </c>
    </row>
    <row r="348">
      <c r="A348" s="4" t="s">
        <v>1241</v>
      </c>
    </row>
    <row r="349">
      <c r="A349" s="4" t="s">
        <v>2617</v>
      </c>
    </row>
    <row r="350">
      <c r="A350" s="4" t="s">
        <v>44</v>
      </c>
    </row>
    <row r="351">
      <c r="A351" s="4" t="s">
        <v>84</v>
      </c>
    </row>
    <row r="352">
      <c r="A352" s="4" t="s">
        <v>2610</v>
      </c>
    </row>
    <row r="353">
      <c r="A353" s="4" t="s">
        <v>33</v>
      </c>
    </row>
    <row r="354">
      <c r="A354" s="4" t="s">
        <v>34</v>
      </c>
    </row>
    <row r="355">
      <c r="A355" s="4" t="s">
        <v>11491</v>
      </c>
    </row>
    <row r="356">
      <c r="A356" s="4" t="s">
        <v>143</v>
      </c>
    </row>
    <row r="357">
      <c r="A357" s="4" t="s">
        <v>33</v>
      </c>
    </row>
    <row r="358">
      <c r="A358" s="4" t="s">
        <v>34</v>
      </c>
    </row>
    <row r="359">
      <c r="A359" s="4" t="s">
        <v>96</v>
      </c>
    </row>
    <row r="360">
      <c r="A360" s="4" t="s">
        <v>103</v>
      </c>
    </row>
    <row r="361">
      <c r="A361" s="4" t="s">
        <v>97</v>
      </c>
    </row>
    <row r="362">
      <c r="A362" s="4" t="s">
        <v>92</v>
      </c>
    </row>
    <row r="363">
      <c r="A363" s="4" t="s">
        <v>1231</v>
      </c>
    </row>
    <row r="364">
      <c r="A364" s="4" t="s">
        <v>98</v>
      </c>
    </row>
    <row r="365">
      <c r="A365" s="4" t="s">
        <v>99</v>
      </c>
    </row>
    <row r="366">
      <c r="A366" s="4" t="s">
        <v>1244</v>
      </c>
    </row>
    <row r="367">
      <c r="A367" s="4" t="s">
        <v>33</v>
      </c>
    </row>
    <row r="368">
      <c r="A368" s="4" t="s">
        <v>34</v>
      </c>
    </row>
    <row r="369">
      <c r="A369" s="4" t="s">
        <v>80</v>
      </c>
    </row>
    <row r="370">
      <c r="A370" s="4" t="s">
        <v>117</v>
      </c>
    </row>
    <row r="371">
      <c r="A371" s="4" t="s">
        <v>41</v>
      </c>
    </row>
    <row r="372">
      <c r="A372" s="4" t="s">
        <v>3296</v>
      </c>
    </row>
    <row r="373">
      <c r="A373" s="4" t="s">
        <v>33</v>
      </c>
    </row>
    <row r="374">
      <c r="A374" s="4" t="s">
        <v>34</v>
      </c>
    </row>
    <row r="375">
      <c r="A375" s="4" t="s">
        <v>80</v>
      </c>
    </row>
    <row r="376">
      <c r="A376" s="4" t="s">
        <v>37</v>
      </c>
    </row>
    <row r="377">
      <c r="A377" s="4" t="s">
        <v>44</v>
      </c>
    </row>
    <row r="378">
      <c r="A378" s="4" t="s">
        <v>153</v>
      </c>
    </row>
    <row r="379">
      <c r="A379" s="4" t="s">
        <v>91</v>
      </c>
    </row>
    <row r="380">
      <c r="A380" s="4" t="s">
        <v>92</v>
      </c>
    </row>
    <row r="381">
      <c r="A381" s="4" t="s">
        <v>153</v>
      </c>
    </row>
    <row r="382">
      <c r="A382" s="4" t="s">
        <v>128</v>
      </c>
    </row>
    <row r="383">
      <c r="A383" s="4" t="s">
        <v>3580</v>
      </c>
    </row>
    <row r="384">
      <c r="A384" s="4" t="s">
        <v>48</v>
      </c>
    </row>
    <row r="385">
      <c r="A385" s="4" t="s">
        <v>1526</v>
      </c>
    </row>
    <row r="386">
      <c r="A386" s="4" t="s">
        <v>115</v>
      </c>
    </row>
    <row r="387">
      <c r="A387" s="4" t="s">
        <v>33</v>
      </c>
    </row>
    <row r="388">
      <c r="A388" s="4" t="s">
        <v>34</v>
      </c>
    </row>
    <row r="389">
      <c r="A389" s="4" t="s">
        <v>61</v>
      </c>
    </row>
    <row r="390">
      <c r="A390" s="4" t="s">
        <v>33</v>
      </c>
    </row>
    <row r="391">
      <c r="A391" s="4" t="s">
        <v>34</v>
      </c>
    </row>
    <row r="392">
      <c r="A392" s="4" t="s">
        <v>132</v>
      </c>
    </row>
    <row r="393">
      <c r="A393" s="4" t="s">
        <v>133</v>
      </c>
    </row>
    <row r="394">
      <c r="A394" s="4" t="s">
        <v>46</v>
      </c>
    </row>
    <row r="395">
      <c r="A395" s="4" t="s">
        <v>880</v>
      </c>
    </row>
    <row r="396">
      <c r="A396" s="4" t="s">
        <v>35</v>
      </c>
    </row>
    <row r="397">
      <c r="A397" s="4" t="s">
        <v>65</v>
      </c>
    </row>
    <row r="398">
      <c r="A398" s="4" t="s">
        <v>33</v>
      </c>
    </row>
    <row r="399">
      <c r="A399" s="4" t="s">
        <v>34</v>
      </c>
    </row>
    <row r="400">
      <c r="A400" s="4" t="s">
        <v>80</v>
      </c>
    </row>
    <row r="401">
      <c r="A401" s="4" t="s">
        <v>1225</v>
      </c>
    </row>
    <row r="402">
      <c r="A402" s="4" t="s">
        <v>41</v>
      </c>
    </row>
    <row r="403">
      <c r="A403" s="4" t="s">
        <v>11492</v>
      </c>
    </row>
    <row r="404">
      <c r="A404" s="4"/>
    </row>
    <row r="405">
      <c r="A405" s="4"/>
    </row>
    <row r="406">
      <c r="A406" s="4"/>
    </row>
    <row r="407">
      <c r="A407" s="4"/>
    </row>
    <row r="408">
      <c r="A408" s="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2952</v>
      </c>
      <c r="D2" s="4" t="str">
        <f t="shared" ref="D2:D403" si="1">C2</f>
        <v>{"valorA":"novo","valorB":1}</v>
      </c>
      <c r="E2" s="8" t="str">
        <f t="shared" ref="E2:E403" si="2">SUBSTITUTE(MID(C2,FIND(":",C2)+1,FIND(",",C2)-FIND(":",C2)-1),"""","")</f>
        <v>novo</v>
      </c>
      <c r="F2" s="8" t="str">
        <f>IFERROR(__xludf.DUMMYFUNCTION("UNIQUE(E2:E403)"),"novo")</f>
        <v>novo</v>
      </c>
      <c r="G2" s="8" t="str">
        <f t="shared" ref="G2:G403" si="3">MID(C2,FIND("valorB",C2)+8,FIND("}",C2)-FIND("valorB",C2)-8)</f>
        <v>1</v>
      </c>
      <c r="H2" s="9">
        <f t="shared" ref="H2:H403" si="4">VALUE(SUBSTITUTE(G2,".",","))</f>
        <v>1</v>
      </c>
      <c r="I2" s="10">
        <f>IFERROR(__xludf.DUMMYFUNCTION("MAX(FILTER($H:$H,$E:$E=F2))"),5.0)</f>
        <v>5</v>
      </c>
    </row>
    <row r="3">
      <c r="A3" s="4"/>
      <c r="C3" s="4" t="s">
        <v>2982</v>
      </c>
      <c r="D3" s="4" t="str">
        <f t="shared" si="1"/>
        <v>{"valorA":"novo","valorB":2}</v>
      </c>
      <c r="E3" s="8" t="str">
        <f t="shared" si="2"/>
        <v>novo</v>
      </c>
      <c r="F3" s="8" t="str">
        <f>IFERROR(__xludf.DUMMYFUNCTION("""COMPUTED_VALUE"""),"é")</f>
        <v>é</v>
      </c>
      <c r="G3" s="8" t="str">
        <f t="shared" si="3"/>
        <v>2</v>
      </c>
      <c r="H3" s="9">
        <f t="shared" si="4"/>
        <v>2</v>
      </c>
      <c r="I3" s="10">
        <f>IFERROR(__xludf.DUMMYFUNCTION("MAX(FILTER($H:$H,$E:$E=F3))"),17.0)</f>
        <v>17</v>
      </c>
    </row>
    <row r="4">
      <c r="A4" s="4"/>
      <c r="C4" s="4" t="s">
        <v>2679</v>
      </c>
      <c r="D4" s="4" t="str">
        <f t="shared" si="1"/>
        <v>{"valorA":"é","valorB":1}</v>
      </c>
      <c r="E4" s="8" t="str">
        <f t="shared" si="2"/>
        <v>é</v>
      </c>
      <c r="F4" s="8" t="str">
        <f>IFERROR(__xludf.DUMMYFUNCTION("""COMPUTED_VALUE"""),"meu")</f>
        <v>meu</v>
      </c>
      <c r="G4" s="8" t="str">
        <f t="shared" si="3"/>
        <v>1</v>
      </c>
      <c r="H4" s="9">
        <f t="shared" si="4"/>
        <v>1</v>
      </c>
      <c r="I4" s="10">
        <f>IFERROR(__xludf.DUMMYFUNCTION("MAX(FILTER($H:$H,$E:$E=F4))"),7.0)</f>
        <v>7</v>
      </c>
    </row>
    <row r="5">
      <c r="A5" s="4"/>
      <c r="C5" s="4" t="s">
        <v>2670</v>
      </c>
      <c r="D5" s="4" t="str">
        <f t="shared" si="1"/>
        <v>{"valorA":"meu","valorB":1}</v>
      </c>
      <c r="E5" s="8" t="str">
        <f t="shared" si="2"/>
        <v>meu</v>
      </c>
      <c r="F5" s="8" t="str">
        <f>IFERROR(__xludf.DUMMYFUNCTION("""COMPUTED_VALUE"""),"perfeitamente")</f>
        <v>perfeitamente</v>
      </c>
      <c r="G5" s="8" t="str">
        <f t="shared" si="3"/>
        <v>1</v>
      </c>
      <c r="H5" s="9">
        <f t="shared" si="4"/>
        <v>1</v>
      </c>
      <c r="I5" s="10">
        <f>IFERROR(__xludf.DUMMYFUNCTION("MAX(FILTER($H:$H,$E:$E=F5))"),10.0)</f>
        <v>10</v>
      </c>
    </row>
    <row r="6">
      <c r="A6" s="4"/>
      <c r="C6" s="4" t="s">
        <v>2646</v>
      </c>
      <c r="D6" s="4" t="str">
        <f t="shared" si="1"/>
        <v>{"valorA":"perfeitamente","valorB":1}</v>
      </c>
      <c r="E6" s="8" t="str">
        <f t="shared" si="2"/>
        <v>perfeitamente</v>
      </c>
      <c r="F6" s="8" t="str">
        <f>IFERROR(__xludf.DUMMYFUNCTION("""COMPUTED_VALUE"""),"divertido")</f>
        <v>divertido</v>
      </c>
      <c r="G6" s="8" t="str">
        <f t="shared" si="3"/>
        <v>1</v>
      </c>
      <c r="H6" s="9">
        <f t="shared" si="4"/>
        <v>1</v>
      </c>
      <c r="I6" s="10">
        <f>IFERROR(__xludf.DUMMYFUNCTION("MAX(FILTER($H:$H,$E:$E=F6))"),1.0)</f>
        <v>1</v>
      </c>
    </row>
    <row r="7">
      <c r="A7" s="4"/>
      <c r="C7" s="4" t="s">
        <v>11493</v>
      </c>
      <c r="D7" s="4" t="str">
        <f t="shared" si="1"/>
        <v>{"valorA":"divertido","valorB":1}</v>
      </c>
      <c r="E7" s="8" t="str">
        <f t="shared" si="2"/>
        <v>divertido</v>
      </c>
      <c r="F7" s="8" t="str">
        <f>IFERROR(__xludf.DUMMYFUNCTION("""COMPUTED_VALUE"""),"produto")</f>
        <v>produto</v>
      </c>
      <c r="G7" s="8" t="str">
        <f t="shared" si="3"/>
        <v>1</v>
      </c>
      <c r="H7" s="9">
        <f t="shared" si="4"/>
        <v>1</v>
      </c>
      <c r="I7" s="10">
        <f>IFERROR(__xludf.DUMMYFUNCTION("MAX(FILTER($H:$H,$E:$E=F7))"),31.0)</f>
        <v>31</v>
      </c>
    </row>
    <row r="8">
      <c r="A8" s="4"/>
      <c r="C8" s="4" t="s">
        <v>2777</v>
      </c>
      <c r="D8" s="4" t="str">
        <f t="shared" si="1"/>
        <v>{"valorA":"meu","valorB":2}</v>
      </c>
      <c r="E8" s="8" t="str">
        <f t="shared" si="2"/>
        <v>meu</v>
      </c>
      <c r="F8" s="8" t="str">
        <f>IFERROR(__xludf.DUMMYFUNCTION("""COMPUTED_VALUE"""),"incrível")</f>
        <v>incrível</v>
      </c>
      <c r="G8" s="8" t="str">
        <f t="shared" si="3"/>
        <v>2</v>
      </c>
      <c r="H8" s="9">
        <f t="shared" si="4"/>
        <v>2</v>
      </c>
      <c r="I8" s="10">
        <f>IFERROR(__xludf.DUMMYFUNCTION("MAX(FILTER($H:$H,$E:$E=F8))"),9.0)</f>
        <v>9</v>
      </c>
    </row>
    <row r="9">
      <c r="A9" s="4"/>
      <c r="C9" s="4" t="s">
        <v>2634</v>
      </c>
      <c r="D9" s="4" t="str">
        <f t="shared" si="1"/>
        <v>{"valorA":"produto","valorB":1}</v>
      </c>
      <c r="E9" s="8" t="str">
        <f t="shared" si="2"/>
        <v>produto</v>
      </c>
      <c r="F9" s="8" t="str">
        <f>IFERROR(__xludf.DUMMYFUNCTION("""COMPUTED_VALUE"""),"nele")</f>
        <v>nele</v>
      </c>
      <c r="G9" s="8" t="str">
        <f t="shared" si="3"/>
        <v>1</v>
      </c>
      <c r="H9" s="9">
        <f t="shared" si="4"/>
        <v>1</v>
      </c>
      <c r="I9" s="10">
        <f>IFERROR(__xludf.DUMMYFUNCTION("MAX(FILTER($H:$H,$E:$E=F9))"),2.0)</f>
        <v>2</v>
      </c>
    </row>
    <row r="10">
      <c r="A10" s="4"/>
      <c r="C10" s="4" t="s">
        <v>2868</v>
      </c>
      <c r="D10" s="4" t="str">
        <f t="shared" si="1"/>
        <v>{"valorA":"incrível","valorB":1}</v>
      </c>
      <c r="E10" s="8" t="str">
        <f t="shared" si="2"/>
        <v>incrível</v>
      </c>
      <c r="F10" s="8" t="str">
        <f>IFERROR(__xludf.DUMMYFUNCTION("""COMPUTED_VALUE"""),"agressivo")</f>
        <v>agressivo</v>
      </c>
      <c r="G10" s="8" t="str">
        <f t="shared" si="3"/>
        <v>1</v>
      </c>
      <c r="H10" s="9">
        <f t="shared" si="4"/>
        <v>1</v>
      </c>
      <c r="I10" s="10">
        <f>IFERROR(__xludf.DUMMYFUNCTION("MAX(FILTER($H:$H,$E:$E=F10))"),1.0)</f>
        <v>1</v>
      </c>
    </row>
    <row r="11">
      <c r="A11" s="4"/>
      <c r="C11" s="4" t="s">
        <v>2913</v>
      </c>
      <c r="D11" s="4" t="str">
        <f t="shared" si="1"/>
        <v>{"valorA":"incrível","valorB":2}</v>
      </c>
      <c r="E11" s="8" t="str">
        <f t="shared" si="2"/>
        <v>incrível</v>
      </c>
      <c r="F11" s="8" t="str">
        <f>IFERROR(__xludf.DUMMYFUNCTION("""COMPUTED_VALUE"""),"no")</f>
        <v>no</v>
      </c>
      <c r="G11" s="8" t="str">
        <f t="shared" si="3"/>
        <v>2</v>
      </c>
      <c r="H11" s="9">
        <f t="shared" si="4"/>
        <v>2</v>
      </c>
      <c r="I11" s="10">
        <f>IFERROR(__xludf.DUMMYFUNCTION("MAX(FILTER($H:$H,$E:$E=F11))"),1.0)</f>
        <v>1</v>
      </c>
    </row>
    <row r="12">
      <c r="A12" s="4"/>
      <c r="C12" s="4" t="s">
        <v>11494</v>
      </c>
      <c r="D12" s="4" t="str">
        <f t="shared" si="1"/>
        <v>{"valorA":"nele","valorB":1}</v>
      </c>
      <c r="E12" s="8" t="str">
        <f t="shared" si="2"/>
        <v>nele</v>
      </c>
      <c r="F12" s="8" t="str">
        <f>IFERROR(__xludf.DUMMYFUNCTION("""COMPUTED_VALUE"""),"motor")</f>
        <v>motor</v>
      </c>
      <c r="G12" s="8" t="str">
        <f t="shared" si="3"/>
        <v>1</v>
      </c>
      <c r="H12" s="9">
        <f t="shared" si="4"/>
        <v>1</v>
      </c>
      <c r="I12" s="10">
        <f>IFERROR(__xludf.DUMMYFUNCTION("MAX(FILTER($H:$H,$E:$E=F12))"),1.0)</f>
        <v>1</v>
      </c>
    </row>
    <row r="13">
      <c r="A13" s="4"/>
      <c r="C13" s="4" t="s">
        <v>11495</v>
      </c>
      <c r="D13" s="4" t="str">
        <f t="shared" si="1"/>
        <v>{"valorA":"agressivo","valorB":1}</v>
      </c>
      <c r="E13" s="8" t="str">
        <f t="shared" si="2"/>
        <v>agressivo</v>
      </c>
      <c r="F13" s="8" t="str">
        <f>IFERROR(__xludf.DUMMYFUNCTION("""COMPUTED_VALUE"""),"conduzir")</f>
        <v>conduzir</v>
      </c>
      <c r="G13" s="8" t="str">
        <f t="shared" si="3"/>
        <v>1</v>
      </c>
      <c r="H13" s="9">
        <f t="shared" si="4"/>
        <v>1</v>
      </c>
      <c r="I13" s="10">
        <f>IFERROR(__xludf.DUMMYFUNCTION("MAX(FILTER($H:$H,$E:$E=F13))"),1.0)</f>
        <v>1</v>
      </c>
    </row>
    <row r="14">
      <c r="A14" s="4"/>
      <c r="C14" s="4" t="s">
        <v>3595</v>
      </c>
      <c r="D14" s="4" t="str">
        <f t="shared" si="1"/>
        <v>{"valorA":"no","valorB":1}</v>
      </c>
      <c r="E14" s="8" t="str">
        <f t="shared" si="2"/>
        <v>no</v>
      </c>
      <c r="F14" s="8" t="str">
        <f>IFERROR(__xludf.DUMMYFUNCTION("""COMPUTED_VALUE"""),"muito")</f>
        <v>muito</v>
      </c>
      <c r="G14" s="8" t="str">
        <f t="shared" si="3"/>
        <v>1</v>
      </c>
      <c r="H14" s="9">
        <f t="shared" si="4"/>
        <v>1</v>
      </c>
      <c r="I14" s="10">
        <f>IFERROR(__xludf.DUMMYFUNCTION("MAX(FILTER($H:$H,$E:$E=F14))"),10.0)</f>
        <v>10</v>
      </c>
    </row>
    <row r="15">
      <c r="A15" s="4"/>
      <c r="C15" s="4" t="s">
        <v>11496</v>
      </c>
      <c r="D15" s="4" t="str">
        <f t="shared" si="1"/>
        <v>{"valorA":"motor","valorB":1}</v>
      </c>
      <c r="E15" s="8" t="str">
        <f t="shared" si="2"/>
        <v>motor</v>
      </c>
      <c r="F15" s="8" t="str">
        <f>IFERROR(__xludf.DUMMYFUNCTION("""COMPUTED_VALUE"""),"carro")</f>
        <v>carro</v>
      </c>
      <c r="G15" s="8" t="str">
        <f t="shared" si="3"/>
        <v>1</v>
      </c>
      <c r="H15" s="9">
        <f t="shared" si="4"/>
        <v>1</v>
      </c>
      <c r="I15" s="10">
        <f>IFERROR(__xludf.DUMMYFUNCTION("MAX(FILTER($H:$H,$E:$E=F15))"),6.0)</f>
        <v>6</v>
      </c>
    </row>
    <row r="16">
      <c r="A16" s="4"/>
      <c r="C16" s="4" t="s">
        <v>11497</v>
      </c>
      <c r="D16" s="4" t="str">
        <f t="shared" si="1"/>
        <v>{"valorA":"conduzir","valorB":1}</v>
      </c>
      <c r="E16" s="8" t="str">
        <f t="shared" si="2"/>
        <v>conduzir</v>
      </c>
      <c r="F16" s="8" t="str">
        <f>IFERROR(__xludf.DUMMYFUNCTION("""COMPUTED_VALUE"""),"e")</f>
        <v>e</v>
      </c>
      <c r="G16" s="8" t="str">
        <f t="shared" si="3"/>
        <v>1</v>
      </c>
      <c r="H16" s="9">
        <f t="shared" si="4"/>
        <v>1</v>
      </c>
      <c r="I16" s="10">
        <f>IFERROR(__xludf.DUMMYFUNCTION("MAX(FILTER($H:$H,$E:$E=F16))"),16.0)</f>
        <v>16</v>
      </c>
    </row>
    <row r="17">
      <c r="A17" s="4"/>
      <c r="C17" s="4" t="s">
        <v>2637</v>
      </c>
      <c r="D17" s="4" t="str">
        <f t="shared" si="1"/>
        <v>{"valorA":"muito","valorB":1}</v>
      </c>
      <c r="E17" s="8" t="str">
        <f t="shared" si="2"/>
        <v>muito</v>
      </c>
      <c r="F17" s="8" t="str">
        <f>IFERROR(__xludf.DUMMYFUNCTION("""COMPUTED_VALUE"""),"ótimo")</f>
        <v>ótimo</v>
      </c>
      <c r="G17" s="8" t="str">
        <f t="shared" si="3"/>
        <v>1</v>
      </c>
      <c r="H17" s="9">
        <f t="shared" si="4"/>
        <v>1</v>
      </c>
      <c r="I17" s="10">
        <f>IFERROR(__xludf.DUMMYFUNCTION("MAX(FILTER($H:$H,$E:$E=F17))"),45.0)</f>
        <v>45</v>
      </c>
    </row>
    <row r="18">
      <c r="A18" s="4"/>
      <c r="C18" s="4" t="s">
        <v>2769</v>
      </c>
      <c r="D18" s="4" t="str">
        <f t="shared" si="1"/>
        <v>{"valorA":"carro","valorB":1}</v>
      </c>
      <c r="E18" s="8" t="str">
        <f t="shared" si="2"/>
        <v>carro</v>
      </c>
      <c r="F18" s="8" t="str">
        <f>IFERROR(__xludf.DUMMYFUNCTION("""COMPUTED_VALUE"""),"fácil")</f>
        <v>fácil</v>
      </c>
      <c r="G18" s="8" t="str">
        <f t="shared" si="3"/>
        <v>1</v>
      </c>
      <c r="H18" s="9">
        <f t="shared" si="4"/>
        <v>1</v>
      </c>
      <c r="I18" s="10">
        <f>IFERROR(__xludf.DUMMYFUNCTION("MAX(FILTER($H:$H,$E:$E=F18))"),4.0)</f>
        <v>4</v>
      </c>
    </row>
    <row r="19">
      <c r="A19" s="4"/>
      <c r="C19" s="4" t="s">
        <v>2658</v>
      </c>
      <c r="D19" s="4" t="str">
        <f t="shared" si="1"/>
        <v>{"valorA":"e","valorB":1}</v>
      </c>
      <c r="E19" s="8" t="str">
        <f t="shared" si="2"/>
        <v>e</v>
      </c>
      <c r="F19" s="8" t="str">
        <f>IFERROR(__xludf.DUMMYFUNCTION("""COMPUTED_VALUE"""),"funciona")</f>
        <v>funciona</v>
      </c>
      <c r="G19" s="8" t="str">
        <f t="shared" si="3"/>
        <v>1</v>
      </c>
      <c r="H19" s="9">
        <f t="shared" si="4"/>
        <v>1</v>
      </c>
      <c r="I19" s="10">
        <f>IFERROR(__xludf.DUMMYFUNCTION("MAX(FILTER($H:$H,$E:$E=F19))"),11.0)</f>
        <v>11</v>
      </c>
    </row>
    <row r="20">
      <c r="A20" s="4"/>
      <c r="C20" s="4" t="s">
        <v>2951</v>
      </c>
      <c r="D20" s="4" t="str">
        <f t="shared" si="1"/>
        <v>{"valorA":"carro","valorB":2}</v>
      </c>
      <c r="E20" s="8" t="str">
        <f t="shared" si="2"/>
        <v>carro</v>
      </c>
      <c r="F20" s="8" t="str">
        <f>IFERROR(__xludf.DUMMYFUNCTION("""COMPUTED_VALUE"""),"de")</f>
        <v>de</v>
      </c>
      <c r="G20" s="8" t="str">
        <f t="shared" si="3"/>
        <v>2</v>
      </c>
      <c r="H20" s="9">
        <f t="shared" si="4"/>
        <v>2</v>
      </c>
      <c r="I20" s="10">
        <f>IFERROR(__xludf.DUMMYFUNCTION("MAX(FILTER($H:$H,$E:$E=F20))"),13.0)</f>
        <v>13</v>
      </c>
    </row>
    <row r="21">
      <c r="A21" s="4"/>
      <c r="C21" s="4" t="s">
        <v>2676</v>
      </c>
      <c r="D21" s="4" t="str">
        <f t="shared" si="1"/>
        <v>{"valorA":"e","valorB":2}</v>
      </c>
      <c r="E21" s="8" t="str">
        <f t="shared" si="2"/>
        <v>e</v>
      </c>
      <c r="F21" s="8" t="str">
        <f>IFERROR(__xludf.DUMMYFUNCTION("""COMPUTED_VALUE"""),"usar")</f>
        <v>usar</v>
      </c>
      <c r="G21" s="8" t="str">
        <f t="shared" si="3"/>
        <v>2</v>
      </c>
      <c r="H21" s="9">
        <f t="shared" si="4"/>
        <v>2</v>
      </c>
      <c r="I21" s="10">
        <f>IFERROR(__xludf.DUMMYFUNCTION("MAX(FILTER($H:$H,$E:$E=F21))"),5.0)</f>
        <v>5</v>
      </c>
    </row>
    <row r="22">
      <c r="A22" s="4"/>
      <c r="C22" s="4" t="s">
        <v>2639</v>
      </c>
      <c r="D22" s="4" t="str">
        <f t="shared" si="1"/>
        <v>{"valorA":"ótimo","valorB":1}</v>
      </c>
      <c r="E22" s="8" t="str">
        <f t="shared" si="2"/>
        <v>ótimo</v>
      </c>
      <c r="F22" s="8" t="str">
        <f>IFERROR(__xludf.DUMMYFUNCTION("""COMPUTED_VALUE"""),"desse")</f>
        <v>desse</v>
      </c>
      <c r="G22" s="8" t="str">
        <f t="shared" si="3"/>
        <v>1</v>
      </c>
      <c r="H22" s="9">
        <f t="shared" si="4"/>
        <v>1</v>
      </c>
      <c r="I22" s="10">
        <f>IFERROR(__xludf.DUMMYFUNCTION("MAX(FILTER($H:$H,$E:$E=F22))"),5.0)</f>
        <v>5</v>
      </c>
    </row>
    <row r="23">
      <c r="A23" s="4"/>
      <c r="C23" s="4" t="s">
        <v>2701</v>
      </c>
      <c r="D23" s="4" t="str">
        <f t="shared" si="1"/>
        <v>{"valorA":"e","valorB":3}</v>
      </c>
      <c r="E23" s="8" t="str">
        <f t="shared" si="2"/>
        <v>e</v>
      </c>
      <c r="F23" s="8" t="str">
        <f>IFERROR(__xludf.DUMMYFUNCTION("""COMPUTED_VALUE"""),"solar")</f>
        <v>solar</v>
      </c>
      <c r="G23" s="8" t="str">
        <f t="shared" si="3"/>
        <v>3</v>
      </c>
      <c r="H23" s="9">
        <f t="shared" si="4"/>
        <v>3</v>
      </c>
      <c r="I23" s="10">
        <f>IFERROR(__xludf.DUMMYFUNCTION("MAX(FILTER($H:$H,$E:$E=F23))"),1.0)</f>
        <v>1</v>
      </c>
    </row>
    <row r="24">
      <c r="A24" s="4"/>
      <c r="C24" s="4" t="s">
        <v>2677</v>
      </c>
      <c r="D24" s="4" t="str">
        <f t="shared" si="1"/>
        <v>{"valorA":"fácil","valorB":1}</v>
      </c>
      <c r="E24" s="8" t="str">
        <f t="shared" si="2"/>
        <v>fácil</v>
      </c>
      <c r="F24" s="8" t="str">
        <f>IFERROR(__xludf.DUMMYFUNCTION("""COMPUTED_VALUE"""),"relógio")</f>
        <v>relógio</v>
      </c>
      <c r="G24" s="8" t="str">
        <f t="shared" si="3"/>
        <v>1</v>
      </c>
      <c r="H24" s="9">
        <f t="shared" si="4"/>
        <v>1</v>
      </c>
      <c r="I24" s="10">
        <f>IFERROR(__xludf.DUMMYFUNCTION("MAX(FILTER($H:$H,$E:$E=F24))"),1.0)</f>
        <v>1</v>
      </c>
    </row>
    <row r="25">
      <c r="A25" s="4"/>
      <c r="C25" s="4" t="s">
        <v>2624</v>
      </c>
      <c r="D25" s="4" t="str">
        <f t="shared" si="1"/>
        <v>{"valorA":"funciona","valorB":1}</v>
      </c>
      <c r="E25" s="8" t="str">
        <f t="shared" si="2"/>
        <v>funciona</v>
      </c>
      <c r="F25" s="8" t="str">
        <f>IFERROR(__xludf.DUMMYFUNCTION("""COMPUTED_VALUE"""),"eu")</f>
        <v>eu</v>
      </c>
      <c r="G25" s="8" t="str">
        <f t="shared" si="3"/>
        <v>1</v>
      </c>
      <c r="H25" s="9">
        <f t="shared" si="4"/>
        <v>1</v>
      </c>
      <c r="I25" s="10">
        <f>IFERROR(__xludf.DUMMYFUNCTION("MAX(FILTER($H:$H,$E:$E=F25))"),1.0)</f>
        <v>1</v>
      </c>
    </row>
    <row r="26">
      <c r="A26" s="4"/>
      <c r="C26" s="4" t="s">
        <v>2719</v>
      </c>
      <c r="D26" s="4" t="str">
        <f t="shared" si="1"/>
        <v>{"valorA":"é","valorB":2}</v>
      </c>
      <c r="E26" s="8" t="str">
        <f t="shared" si="2"/>
        <v>é</v>
      </c>
      <c r="F26" s="8" t="str">
        <f>IFERROR(__xludf.DUMMYFUNCTION("""COMPUTED_VALUE"""),"mais")</f>
        <v>mais</v>
      </c>
      <c r="G26" s="8" t="str">
        <f t="shared" si="3"/>
        <v>2</v>
      </c>
      <c r="H26" s="9">
        <f t="shared" si="4"/>
        <v>2</v>
      </c>
      <c r="I26" s="10">
        <f>IFERROR(__xludf.DUMMYFUNCTION("MAX(FILTER($H:$H,$E:$E=F26))"),3.0)</f>
        <v>3</v>
      </c>
    </row>
    <row r="27">
      <c r="A27" s="4"/>
      <c r="C27" s="4" t="s">
        <v>2767</v>
      </c>
      <c r="D27" s="4" t="str">
        <f t="shared" si="1"/>
        <v>{"valorA":"é","valorB":3}</v>
      </c>
      <c r="E27" s="8" t="str">
        <f t="shared" si="2"/>
        <v>é</v>
      </c>
      <c r="F27" s="8" t="str">
        <f>IFERROR(__xludf.DUMMYFUNCTION("""COMPUTED_VALUE"""),"que")</f>
        <v>que</v>
      </c>
      <c r="G27" s="8" t="str">
        <f t="shared" si="3"/>
        <v>3</v>
      </c>
      <c r="H27" s="9">
        <f t="shared" si="4"/>
        <v>3</v>
      </c>
      <c r="I27" s="10">
        <f>IFERROR(__xludf.DUMMYFUNCTION("MAX(FILTER($H:$H,$E:$E=F27))"),2.0)</f>
        <v>2</v>
      </c>
    </row>
    <row r="28">
      <c r="A28" s="4"/>
      <c r="C28" s="4" t="s">
        <v>2678</v>
      </c>
      <c r="D28" s="4" t="str">
        <f t="shared" si="1"/>
        <v>{"valorA":"funciona","valorB":2}</v>
      </c>
      <c r="E28" s="8" t="str">
        <f t="shared" si="2"/>
        <v>funciona</v>
      </c>
      <c r="F28" s="8" t="str">
        <f>IFERROR(__xludf.DUMMYFUNCTION("""COMPUTED_VALUE"""),"bem")</f>
        <v>bem</v>
      </c>
      <c r="G28" s="8" t="str">
        <f t="shared" si="3"/>
        <v>2</v>
      </c>
      <c r="H28" s="9">
        <f t="shared" si="4"/>
        <v>2</v>
      </c>
      <c r="I28" s="10">
        <f>IFERROR(__xludf.DUMMYFUNCTION("MAX(FILTER($H:$H,$E:$E=F28))"),3.0)</f>
        <v>3</v>
      </c>
    </row>
    <row r="29">
      <c r="A29" s="4"/>
      <c r="C29" s="4" t="s">
        <v>2819</v>
      </c>
      <c r="D29" s="4" t="str">
        <f t="shared" si="1"/>
        <v>{"valorA":"é","valorB":4}</v>
      </c>
      <c r="E29" s="8" t="str">
        <f t="shared" si="2"/>
        <v>é</v>
      </c>
      <c r="F29" s="8" t="str">
        <f>IFERROR(__xludf.DUMMYFUNCTION("""COMPUTED_VALUE"""),"caro")</f>
        <v>caro</v>
      </c>
      <c r="G29" s="8" t="str">
        <f t="shared" si="3"/>
        <v>4</v>
      </c>
      <c r="H29" s="9">
        <f t="shared" si="4"/>
        <v>4</v>
      </c>
      <c r="I29" s="10">
        <f>IFERROR(__xludf.DUMMYFUNCTION("MAX(FILTER($H:$H,$E:$E=F29))"),1.0)</f>
        <v>1</v>
      </c>
    </row>
    <row r="30">
      <c r="A30" s="4"/>
      <c r="C30" s="4" t="s">
        <v>2714</v>
      </c>
      <c r="D30" s="4" t="str">
        <f t="shared" si="1"/>
        <v>{"valorA":"perfeitamente","valorB":2}</v>
      </c>
      <c r="E30" s="8" t="str">
        <f t="shared" si="2"/>
        <v>perfeitamente</v>
      </c>
      <c r="F30" s="8" t="str">
        <f>IFERROR(__xludf.DUMMYFUNCTION("""COMPUTED_VALUE"""),"v")</f>
        <v>v</v>
      </c>
      <c r="G30" s="8" t="str">
        <f t="shared" si="3"/>
        <v>2</v>
      </c>
      <c r="H30" s="9">
        <f t="shared" si="4"/>
        <v>2</v>
      </c>
      <c r="I30" s="10">
        <f>IFERROR(__xludf.DUMMYFUNCTION("MAX(FILTER($H:$H,$E:$E=F30))"),1.0)</f>
        <v>1</v>
      </c>
    </row>
    <row r="31">
      <c r="A31" s="4"/>
      <c r="C31" s="4" t="s">
        <v>2716</v>
      </c>
      <c r="D31" s="4" t="str">
        <f t="shared" si="1"/>
        <v>{"valorA":"perfeitamente","valorB":3}</v>
      </c>
      <c r="E31" s="8" t="str">
        <f t="shared" si="2"/>
        <v>perfeitamente</v>
      </c>
      <c r="F31" s="8" t="str">
        <f>IFERROR(__xludf.DUMMYFUNCTION("""COMPUTED_VALUE"""),"planejei")</f>
        <v>planejei</v>
      </c>
      <c r="G31" s="8" t="str">
        <f t="shared" si="3"/>
        <v>3</v>
      </c>
      <c r="H31" s="9">
        <f t="shared" si="4"/>
        <v>3</v>
      </c>
      <c r="I31" s="10">
        <f>IFERROR(__xludf.DUMMYFUNCTION("MAX(FILTER($H:$H,$E:$E=F31))"),1.0)</f>
        <v>1</v>
      </c>
    </row>
    <row r="32">
      <c r="A32" s="4"/>
      <c r="C32" s="4" t="s">
        <v>2712</v>
      </c>
      <c r="D32" s="4" t="str">
        <f t="shared" si="1"/>
        <v>{"valorA":"funciona","valorB":3}</v>
      </c>
      <c r="E32" s="8" t="str">
        <f t="shared" si="2"/>
        <v>funciona</v>
      </c>
      <c r="F32" s="8" t="str">
        <f>IFERROR(__xludf.DUMMYFUNCTION("""COMPUTED_VALUE"""),"vale")</f>
        <v>vale</v>
      </c>
      <c r="G32" s="8" t="str">
        <f t="shared" si="3"/>
        <v>3</v>
      </c>
      <c r="H32" s="9">
        <f t="shared" si="4"/>
        <v>3</v>
      </c>
      <c r="I32" s="10">
        <f>IFERROR(__xludf.DUMMYFUNCTION("MAX(FILTER($H:$H,$E:$E=F32))"),1.0)</f>
        <v>1</v>
      </c>
    </row>
    <row r="33">
      <c r="A33" s="4"/>
      <c r="C33" s="4" t="s">
        <v>2862</v>
      </c>
      <c r="D33" s="4" t="str">
        <f t="shared" si="1"/>
        <v>{"valorA":"é","valorB":5}</v>
      </c>
      <c r="E33" s="8" t="str">
        <f t="shared" si="2"/>
        <v>é</v>
      </c>
      <c r="F33" s="8" t="str">
        <f>IFERROR(__xludf.DUMMYFUNCTION("""COMPUTED_VALUE"""),"mas")</f>
        <v>mas</v>
      </c>
      <c r="G33" s="8" t="str">
        <f t="shared" si="3"/>
        <v>5</v>
      </c>
      <c r="H33" s="9">
        <f t="shared" si="4"/>
        <v>5</v>
      </c>
      <c r="I33" s="10">
        <f>IFERROR(__xludf.DUMMYFUNCTION("MAX(FILTER($H:$H,$E:$E=F33))"),1.0)</f>
        <v>1</v>
      </c>
    </row>
    <row r="34">
      <c r="A34" s="4"/>
      <c r="C34" s="4" t="s">
        <v>2680</v>
      </c>
      <c r="D34" s="4" t="str">
        <f t="shared" si="1"/>
        <v>{"valorA":"de","valorB":1}</v>
      </c>
      <c r="E34" s="8" t="str">
        <f t="shared" si="2"/>
        <v>de</v>
      </c>
      <c r="F34" s="8" t="str">
        <f>IFERROR(__xludf.DUMMYFUNCTION("""COMPUTED_VALUE"""),"a")</f>
        <v>a</v>
      </c>
      <c r="G34" s="8" t="str">
        <f t="shared" si="3"/>
        <v>1</v>
      </c>
      <c r="H34" s="9">
        <f t="shared" si="4"/>
        <v>1</v>
      </c>
      <c r="I34" s="10">
        <f>IFERROR(__xludf.DUMMYFUNCTION("MAX(FILTER($H:$H,$E:$E=F34))"),6.0)</f>
        <v>6</v>
      </c>
    </row>
    <row r="35">
      <c r="A35" s="4"/>
      <c r="C35" s="4" t="s">
        <v>2681</v>
      </c>
      <c r="D35" s="4" t="str">
        <f t="shared" si="1"/>
        <v>{"valorA":"usar","valorB":1}</v>
      </c>
      <c r="E35" s="8" t="str">
        <f t="shared" si="2"/>
        <v>usar</v>
      </c>
      <c r="F35" s="8" t="str">
        <f>IFERROR(__xludf.DUMMYFUNCTION("""COMPUTED_VALUE"""),"do")</f>
        <v>do</v>
      </c>
      <c r="G35" s="8" t="str">
        <f t="shared" si="3"/>
        <v>1</v>
      </c>
      <c r="H35" s="9">
        <f t="shared" si="4"/>
        <v>1</v>
      </c>
      <c r="I35" s="10">
        <f>IFERROR(__xludf.DUMMYFUNCTION("MAX(FILTER($H:$H,$E:$E=F35))"),3.0)</f>
        <v>3</v>
      </c>
    </row>
    <row r="36">
      <c r="A36" s="4"/>
      <c r="C36" s="4" t="s">
        <v>2632</v>
      </c>
      <c r="D36" s="4" t="str">
        <f t="shared" si="1"/>
        <v>{"valorA":"desse","valorB":1}</v>
      </c>
      <c r="E36" s="8" t="str">
        <f t="shared" si="2"/>
        <v>desse</v>
      </c>
      <c r="F36" s="8" t="str">
        <f>IFERROR(__xludf.DUMMYFUNCTION("""COMPUTED_VALUE"""),"pena")</f>
        <v>pena</v>
      </c>
      <c r="G36" s="8" t="str">
        <f t="shared" si="3"/>
        <v>1</v>
      </c>
      <c r="H36" s="9">
        <f t="shared" si="4"/>
        <v>1</v>
      </c>
      <c r="I36" s="10">
        <f>IFERROR(__xludf.DUMMYFUNCTION("MAX(FILTER($H:$H,$E:$E=F36))"),1.0)</f>
        <v>1</v>
      </c>
    </row>
    <row r="37">
      <c r="A37" s="4"/>
      <c r="C37" s="4" t="s">
        <v>7056</v>
      </c>
      <c r="D37" s="4" t="str">
        <f t="shared" si="1"/>
        <v>{"valorA":"solar","valorB":1}</v>
      </c>
      <c r="E37" s="8" t="str">
        <f t="shared" si="2"/>
        <v>solar</v>
      </c>
      <c r="F37" s="8" t="str">
        <f>IFERROR(__xludf.DUMMYFUNCTION("""COMPUTED_VALUE"""),"antigo")</f>
        <v>antigo</v>
      </c>
      <c r="G37" s="8" t="str">
        <f t="shared" si="3"/>
        <v>1</v>
      </c>
      <c r="H37" s="9">
        <f t="shared" si="4"/>
        <v>1</v>
      </c>
      <c r="I37" s="10">
        <f>IFERROR(__xludf.DUMMYFUNCTION("MAX(FILTER($H:$H,$E:$E=F37))"),1.0)</f>
        <v>1</v>
      </c>
    </row>
    <row r="38">
      <c r="A38" s="4"/>
      <c r="C38" s="4" t="s">
        <v>2177</v>
      </c>
      <c r="D38" s="4" t="str">
        <f t="shared" si="1"/>
        <v>{"valorA":"relógio","valorB":1}</v>
      </c>
      <c r="E38" s="8" t="str">
        <f t="shared" si="2"/>
        <v>relógio</v>
      </c>
      <c r="F38" s="8" t="str">
        <f>IFERROR(__xludf.DUMMYFUNCTION("""COMPUTED_VALUE"""),"o")</f>
        <v>o</v>
      </c>
      <c r="G38" s="8" t="str">
        <f t="shared" si="3"/>
        <v>1</v>
      </c>
      <c r="H38" s="9">
        <f t="shared" si="4"/>
        <v>1</v>
      </c>
      <c r="I38" s="10">
        <f>IFERROR(__xludf.DUMMYFUNCTION("MAX(FILTER($H:$H,$E:$E=F38))"),2.0)</f>
        <v>2</v>
      </c>
    </row>
    <row r="39">
      <c r="A39" s="4"/>
      <c r="C39" s="4" t="s">
        <v>3146</v>
      </c>
      <c r="D39" s="4" t="str">
        <f t="shared" si="1"/>
        <v>{"valorA":"eu","valorB":1}</v>
      </c>
      <c r="E39" s="8" t="str">
        <f t="shared" si="2"/>
        <v>eu</v>
      </c>
      <c r="F39" s="8" t="str">
        <f>IFERROR(__xludf.DUMMYFUNCTION("""COMPUTED_VALUE"""),"comentário")</f>
        <v>comentário</v>
      </c>
      <c r="G39" s="8" t="str">
        <f t="shared" si="3"/>
        <v>1</v>
      </c>
      <c r="H39" s="9">
        <f t="shared" si="4"/>
        <v>1</v>
      </c>
      <c r="I39" s="10">
        <f>IFERROR(__xludf.DUMMYFUNCTION("MAX(FILTER($H:$H,$E:$E=F39))"),1.0)</f>
        <v>1</v>
      </c>
    </row>
    <row r="40">
      <c r="A40" s="4"/>
      <c r="C40" s="4" t="s">
        <v>2772</v>
      </c>
      <c r="D40" s="4" t="str">
        <f t="shared" si="1"/>
        <v>{"valorA":"mais","valorB":1}</v>
      </c>
      <c r="E40" s="8" t="str">
        <f t="shared" si="2"/>
        <v>mais</v>
      </c>
      <c r="F40" s="8" t="str">
        <f>IFERROR(__xludf.DUMMYFUNCTION("""COMPUTED_VALUE"""),"veloz")</f>
        <v>veloz</v>
      </c>
      <c r="G40" s="8" t="str">
        <f t="shared" si="3"/>
        <v>1</v>
      </c>
      <c r="H40" s="9">
        <f t="shared" si="4"/>
        <v>1</v>
      </c>
      <c r="I40" s="10">
        <f>IFERROR(__xludf.DUMMYFUNCTION("MAX(FILTER($H:$H,$E:$E=F40))"),1.0)</f>
        <v>1</v>
      </c>
    </row>
    <row r="41">
      <c r="A41" s="4"/>
      <c r="C41" s="4" t="s">
        <v>2652</v>
      </c>
      <c r="D41" s="4" t="str">
        <f t="shared" si="1"/>
        <v>{"valorA":"ótimo","valorB":2}</v>
      </c>
      <c r="E41" s="8" t="str">
        <f t="shared" si="2"/>
        <v>ótimo</v>
      </c>
      <c r="F41" s="8" t="str">
        <f>IFERROR(__xludf.DUMMYFUNCTION("""COMPUTED_VALUE"""),"banho")</f>
        <v>banho</v>
      </c>
      <c r="G41" s="8" t="str">
        <f t="shared" si="3"/>
        <v>2</v>
      </c>
      <c r="H41" s="9">
        <f t="shared" si="4"/>
        <v>2</v>
      </c>
      <c r="I41" s="10">
        <f>IFERROR(__xludf.DUMMYFUNCTION("MAX(FILTER($H:$H,$E:$E=F41))"),1.0)</f>
        <v>1</v>
      </c>
    </row>
    <row r="42">
      <c r="A42" s="4"/>
      <c r="C42" s="4" t="s">
        <v>2642</v>
      </c>
      <c r="D42" s="4" t="str">
        <f t="shared" si="1"/>
        <v>{"valorA":"que","valorB":1}</v>
      </c>
      <c r="E42" s="8" t="str">
        <f t="shared" si="2"/>
        <v>que</v>
      </c>
      <c r="F42" s="8" t="str">
        <f>IFERROR(__xludf.DUMMYFUNCTION("""COMPUTED_VALUE"""),"confortável")</f>
        <v>confortável</v>
      </c>
      <c r="G42" s="8" t="str">
        <f t="shared" si="3"/>
        <v>1</v>
      </c>
      <c r="H42" s="9">
        <f t="shared" si="4"/>
        <v>1</v>
      </c>
      <c r="I42" s="10">
        <f>IFERROR(__xludf.DUMMYFUNCTION("MAX(FILTER($H:$H,$E:$E=F42))"),7.0)</f>
        <v>7</v>
      </c>
    </row>
    <row r="43">
      <c r="A43" s="4"/>
      <c r="C43" s="4" t="s">
        <v>2650</v>
      </c>
      <c r="D43" s="4" t="str">
        <f t="shared" si="1"/>
        <v>{"valorA":"produto","valorB":2}</v>
      </c>
      <c r="E43" s="8" t="str">
        <f t="shared" si="2"/>
        <v>produto</v>
      </c>
      <c r="F43" s="8" t="str">
        <f>IFERROR(__xludf.DUMMYFUNCTION("""COMPUTED_VALUE"""),"esse")</f>
        <v>esse</v>
      </c>
      <c r="G43" s="8" t="str">
        <f t="shared" si="3"/>
        <v>2</v>
      </c>
      <c r="H43" s="9">
        <f t="shared" si="4"/>
        <v>2</v>
      </c>
      <c r="I43" s="10">
        <f>IFERROR(__xludf.DUMMYFUNCTION("MAX(FILTER($H:$H,$E:$E=F43))"),8.0)</f>
        <v>8</v>
      </c>
    </row>
    <row r="44">
      <c r="A44" s="4"/>
      <c r="C44" s="4" t="s">
        <v>2675</v>
      </c>
      <c r="D44" s="4" t="str">
        <f t="shared" si="1"/>
        <v>{"valorA":"bem","valorB":1}</v>
      </c>
      <c r="E44" s="8" t="str">
        <f t="shared" si="2"/>
        <v>bem</v>
      </c>
      <c r="F44" s="8" t="str">
        <f>IFERROR(__xludf.DUMMYFUNCTION("""COMPUTED_VALUE"""),"turco")</f>
        <v>turco</v>
      </c>
      <c r="G44" s="8" t="str">
        <f t="shared" si="3"/>
        <v>1</v>
      </c>
      <c r="H44" s="9">
        <f t="shared" si="4"/>
        <v>1</v>
      </c>
      <c r="I44" s="10">
        <f>IFERROR(__xludf.DUMMYFUNCTION("MAX(FILTER($H:$H,$E:$E=F44))"),1.0)</f>
        <v>1</v>
      </c>
    </row>
    <row r="45">
      <c r="A45" s="4"/>
      <c r="C45" s="4" t="s">
        <v>3134</v>
      </c>
      <c r="D45" s="4" t="str">
        <f t="shared" si="1"/>
        <v>{"valorA":"caro","valorB":1}</v>
      </c>
      <c r="E45" s="8" t="str">
        <f t="shared" si="2"/>
        <v>caro</v>
      </c>
      <c r="F45" s="8" t="str">
        <f>IFERROR(__xludf.DUMMYFUNCTION("""COMPUTED_VALUE"""),"recomendo")</f>
        <v>recomendo</v>
      </c>
      <c r="G45" s="8" t="str">
        <f t="shared" si="3"/>
        <v>1</v>
      </c>
      <c r="H45" s="9">
        <f t="shared" si="4"/>
        <v>1</v>
      </c>
      <c r="I45" s="10">
        <f>IFERROR(__xludf.DUMMYFUNCTION("MAX(FILTER($H:$H,$E:$E=F45))"),6.0)</f>
        <v>6</v>
      </c>
    </row>
    <row r="46">
      <c r="A46" s="4"/>
      <c r="C46" s="4" t="s">
        <v>11498</v>
      </c>
      <c r="D46" s="4" t="str">
        <f t="shared" si="1"/>
        <v>{"valorA":"v","valorB":1}</v>
      </c>
      <c r="E46" s="8" t="str">
        <f t="shared" si="2"/>
        <v>v</v>
      </c>
      <c r="F46" s="8" t="str">
        <f>IFERROR(__xludf.DUMMYFUNCTION("""COMPUTED_VALUE"""),"gosto")</f>
        <v>gosto</v>
      </c>
      <c r="G46" s="8" t="str">
        <f t="shared" si="3"/>
        <v>1</v>
      </c>
      <c r="H46" s="9">
        <f t="shared" si="4"/>
        <v>1</v>
      </c>
      <c r="I46" s="10">
        <f>IFERROR(__xludf.DUMMYFUNCTION("MAX(FILTER($H:$H,$E:$E=F46))"),2.0)</f>
        <v>2</v>
      </c>
    </row>
    <row r="47">
      <c r="A47" s="4"/>
      <c r="C47" s="4" t="s">
        <v>11499</v>
      </c>
      <c r="D47" s="4" t="str">
        <f t="shared" si="1"/>
        <v>{"valorA":"planejei","valorB":1}</v>
      </c>
      <c r="E47" s="8" t="str">
        <f t="shared" si="2"/>
        <v>planejei</v>
      </c>
      <c r="F47" s="8" t="str">
        <f>IFERROR(__xludf.DUMMYFUNCTION("""COMPUTED_VALUE"""),"essa")</f>
        <v>essa</v>
      </c>
      <c r="G47" s="8" t="str">
        <f t="shared" si="3"/>
        <v>1</v>
      </c>
      <c r="H47" s="9">
        <f t="shared" si="4"/>
        <v>1</v>
      </c>
      <c r="I47" s="10">
        <f>IFERROR(__xludf.DUMMYFUNCTION("MAX(FILTER($H:$H,$E:$E=F47))"),8.0)</f>
        <v>8</v>
      </c>
    </row>
    <row r="48">
      <c r="A48" s="4"/>
      <c r="C48" s="4" t="s">
        <v>2641</v>
      </c>
      <c r="D48" s="4" t="str">
        <f t="shared" si="1"/>
        <v>{"valorA":"vale","valorB":1}</v>
      </c>
      <c r="E48" s="8" t="str">
        <f t="shared" si="2"/>
        <v>vale</v>
      </c>
      <c r="F48" s="8" t="str">
        <f>IFERROR(__xludf.DUMMYFUNCTION("""COMPUTED_VALUE"""),"cadeira")</f>
        <v>cadeira</v>
      </c>
      <c r="G48" s="8" t="str">
        <f t="shared" si="3"/>
        <v>1</v>
      </c>
      <c r="H48" s="9">
        <f t="shared" si="4"/>
        <v>1</v>
      </c>
      <c r="I48" s="10">
        <f>IFERROR(__xludf.DUMMYFUNCTION("MAX(FILTER($H:$H,$E:$E=F48))"),4.0)</f>
        <v>4</v>
      </c>
    </row>
    <row r="49">
      <c r="A49" s="4"/>
      <c r="C49" s="4" t="s">
        <v>3036</v>
      </c>
      <c r="D49" s="4" t="str">
        <f t="shared" si="1"/>
        <v>{"valorA":"mas","valorB":1}</v>
      </c>
      <c r="E49" s="8" t="str">
        <f t="shared" si="2"/>
        <v>mas</v>
      </c>
      <c r="F49" s="8" t="str">
        <f>IFERROR(__xludf.DUMMYFUNCTION("""COMPUTED_VALUE"""),"comfortable")</f>
        <v>comfortable</v>
      </c>
      <c r="G49" s="8" t="str">
        <f t="shared" si="3"/>
        <v>1</v>
      </c>
      <c r="H49" s="9">
        <f t="shared" si="4"/>
        <v>1</v>
      </c>
      <c r="I49" s="10">
        <f>IFERROR(__xludf.DUMMYFUNCTION("MAX(FILTER($H:$H,$E:$E=F49))"),1.0)</f>
        <v>1</v>
      </c>
    </row>
    <row r="50">
      <c r="A50" s="4"/>
      <c r="C50" s="4" t="s">
        <v>2647</v>
      </c>
      <c r="D50" s="4" t="str">
        <f t="shared" si="1"/>
        <v>{"valorA":"a","valorB":1}</v>
      </c>
      <c r="E50" s="8" t="str">
        <f t="shared" si="2"/>
        <v>a</v>
      </c>
      <c r="F50" s="8" t="str">
        <f>IFERROR(__xludf.DUMMYFUNCTION("""COMPUTED_VALUE"""),"very")</f>
        <v>very</v>
      </c>
      <c r="G50" s="8" t="str">
        <f t="shared" si="3"/>
        <v>1</v>
      </c>
      <c r="H50" s="9">
        <f t="shared" si="4"/>
        <v>1</v>
      </c>
      <c r="I50" s="10">
        <f>IFERROR(__xludf.DUMMYFUNCTION("MAX(FILTER($H:$H,$E:$E=F50))"),1.0)</f>
        <v>1</v>
      </c>
    </row>
    <row r="51">
      <c r="A51" s="4"/>
      <c r="C51" s="4" t="s">
        <v>2654</v>
      </c>
      <c r="D51" s="4" t="str">
        <f t="shared" si="1"/>
        <v>{"valorA":"do","valorB":1}</v>
      </c>
      <c r="E51" s="8" t="str">
        <f t="shared" si="2"/>
        <v>do</v>
      </c>
      <c r="F51" s="8" t="str">
        <f>IFERROR(__xludf.DUMMYFUNCTION("""COMPUTED_VALUE"""),"relogio")</f>
        <v>relogio</v>
      </c>
      <c r="G51" s="8" t="str">
        <f t="shared" si="3"/>
        <v>1</v>
      </c>
      <c r="H51" s="9">
        <f t="shared" si="4"/>
        <v>1</v>
      </c>
      <c r="I51" s="10">
        <f>IFERROR(__xludf.DUMMYFUNCTION("MAX(FILTER($H:$H,$E:$E=F51))"),1.0)</f>
        <v>1</v>
      </c>
    </row>
    <row r="52">
      <c r="A52" s="4"/>
      <c r="C52" s="4" t="s">
        <v>2649</v>
      </c>
      <c r="D52" s="4" t="str">
        <f t="shared" si="1"/>
        <v>{"valorA":"pena","valorB":1}</v>
      </c>
      <c r="E52" s="8" t="str">
        <f t="shared" si="2"/>
        <v>pena</v>
      </c>
      <c r="F52" s="8" t="str">
        <f>IFERROR(__xludf.DUMMYFUNCTION("""COMPUTED_VALUE"""),"online")</f>
        <v>online</v>
      </c>
      <c r="G52" s="8" t="str">
        <f t="shared" si="3"/>
        <v>1</v>
      </c>
      <c r="H52" s="9">
        <f t="shared" si="4"/>
        <v>1</v>
      </c>
      <c r="I52" s="10">
        <f>IFERROR(__xludf.DUMMYFUNCTION("MAX(FILTER($H:$H,$E:$E=F52))"),4.0)</f>
        <v>4</v>
      </c>
    </row>
    <row r="53">
      <c r="A53" s="4"/>
      <c r="C53" s="4" t="s">
        <v>2897</v>
      </c>
      <c r="D53" s="4" t="str">
        <f t="shared" si="1"/>
        <v>{"valorA":"meu","valorB":3}</v>
      </c>
      <c r="E53" s="8" t="str">
        <f t="shared" si="2"/>
        <v>meu</v>
      </c>
      <c r="F53" s="8" t="str">
        <f>IFERROR(__xludf.DUMMYFUNCTION("""COMPUTED_VALUE"""),"loja")</f>
        <v>loja</v>
      </c>
      <c r="G53" s="8" t="str">
        <f t="shared" si="3"/>
        <v>3</v>
      </c>
      <c r="H53" s="9">
        <f t="shared" si="4"/>
        <v>3</v>
      </c>
      <c r="I53" s="10">
        <f>IFERROR(__xludf.DUMMYFUNCTION("MAX(FILTER($H:$H,$E:$E=F53))"),3.0)</f>
        <v>3</v>
      </c>
    </row>
    <row r="54">
      <c r="A54" s="4"/>
      <c r="C54" s="4" t="s">
        <v>3625</v>
      </c>
      <c r="D54" s="4" t="str">
        <f t="shared" si="1"/>
        <v>{"valorA":"novo","valorB":3}</v>
      </c>
      <c r="E54" s="8" t="str">
        <f t="shared" si="2"/>
        <v>novo</v>
      </c>
      <c r="F54" s="8" t="str">
        <f>IFERROR(__xludf.DUMMYFUNCTION("""COMPUTED_VALUE"""),"dessa")</f>
        <v>dessa</v>
      </c>
      <c r="G54" s="8" t="str">
        <f t="shared" si="3"/>
        <v>3</v>
      </c>
      <c r="H54" s="9">
        <f t="shared" si="4"/>
        <v>3</v>
      </c>
      <c r="I54" s="10">
        <f>IFERROR(__xludf.DUMMYFUNCTION("MAX(FILTER($H:$H,$E:$E=F54))"),3.0)</f>
        <v>3</v>
      </c>
    </row>
    <row r="55">
      <c r="A55" s="4"/>
      <c r="C55" s="4" t="s">
        <v>2966</v>
      </c>
      <c r="D55" s="4" t="str">
        <f t="shared" si="1"/>
        <v>{"valorA":"carro","valorB":3}</v>
      </c>
      <c r="E55" s="8" t="str">
        <f t="shared" si="2"/>
        <v>carro</v>
      </c>
      <c r="F55" s="8" t="str">
        <f>IFERROR(__xludf.DUMMYFUNCTION("""COMPUTED_VALUE"""),"relojoeiro")</f>
        <v>relojoeiro</v>
      </c>
      <c r="G55" s="8" t="str">
        <f t="shared" si="3"/>
        <v>3</v>
      </c>
      <c r="H55" s="9">
        <f t="shared" si="4"/>
        <v>3</v>
      </c>
      <c r="I55" s="10">
        <f>IFERROR(__xludf.DUMMYFUNCTION("MAX(FILTER($H:$H,$E:$E=F55))"),3.0)</f>
        <v>3</v>
      </c>
    </row>
    <row r="56">
      <c r="A56" s="4"/>
      <c r="C56" s="4" t="s">
        <v>3614</v>
      </c>
      <c r="D56" s="4" t="str">
        <f t="shared" si="1"/>
        <v>{"valorA":"mais","valorB":2}</v>
      </c>
      <c r="E56" s="8" t="str">
        <f t="shared" si="2"/>
        <v>mais</v>
      </c>
      <c r="F56" s="8" t="str">
        <f>IFERROR(__xludf.DUMMYFUNCTION("""COMPUTED_VALUE"""),"gostei")</f>
        <v>gostei</v>
      </c>
      <c r="G56" s="8" t="str">
        <f t="shared" si="3"/>
        <v>2</v>
      </c>
      <c r="H56" s="9">
        <f t="shared" si="4"/>
        <v>2</v>
      </c>
      <c r="I56" s="10">
        <f>IFERROR(__xludf.DUMMYFUNCTION("MAX(FILTER($H:$H,$E:$E=F56))"),1.0)</f>
        <v>1</v>
      </c>
    </row>
    <row r="57">
      <c r="A57" s="4"/>
      <c r="C57" s="4" t="s">
        <v>2778</v>
      </c>
      <c r="D57" s="4" t="str">
        <f t="shared" si="1"/>
        <v>{"valorA":"antigo","valorB":1}</v>
      </c>
      <c r="E57" s="8" t="str">
        <f t="shared" si="2"/>
        <v>antigo</v>
      </c>
      <c r="F57" s="8" t="str">
        <f>IFERROR(__xludf.DUMMYFUNCTION("""COMPUTED_VALUE"""),"creme")</f>
        <v>creme</v>
      </c>
      <c r="G57" s="8" t="str">
        <f t="shared" si="3"/>
        <v>1</v>
      </c>
      <c r="H57" s="9">
        <f t="shared" si="4"/>
        <v>1</v>
      </c>
      <c r="I57" s="10">
        <f>IFERROR(__xludf.DUMMYFUNCTION("MAX(FILTER($H:$H,$E:$E=F57))"),2.0)</f>
        <v>2</v>
      </c>
    </row>
    <row r="58">
      <c r="A58" s="4"/>
      <c r="C58" s="4" t="s">
        <v>2957</v>
      </c>
      <c r="D58" s="4" t="str">
        <f t="shared" si="1"/>
        <v>{"valorA":"incrível","valorB":3}</v>
      </c>
      <c r="E58" s="8" t="str">
        <f t="shared" si="2"/>
        <v>incrível</v>
      </c>
      <c r="F58" s="8" t="str">
        <f>IFERROR(__xludf.DUMMYFUNCTION("""COMPUTED_VALUE"""),"ajuda")</f>
        <v>ajuda</v>
      </c>
      <c r="G58" s="8" t="str">
        <f t="shared" si="3"/>
        <v>3</v>
      </c>
      <c r="H58" s="9">
        <f t="shared" si="4"/>
        <v>3</v>
      </c>
      <c r="I58" s="10">
        <f>IFERROR(__xludf.DUMMYFUNCTION("MAX(FILTER($H:$H,$E:$E=F58))"),1.0)</f>
        <v>1</v>
      </c>
    </row>
    <row r="59">
      <c r="A59" s="4"/>
      <c r="C59" s="4" t="s">
        <v>2950</v>
      </c>
      <c r="D59" s="4" t="str">
        <f t="shared" si="1"/>
        <v>{"valorA":"meu","valorB":4}</v>
      </c>
      <c r="E59" s="8" t="str">
        <f t="shared" si="2"/>
        <v>meu</v>
      </c>
      <c r="F59" s="8" t="str">
        <f>IFERROR(__xludf.DUMMYFUNCTION("""COMPUTED_VALUE"""),"hidratante")</f>
        <v>hidratante</v>
      </c>
      <c r="G59" s="8" t="str">
        <f t="shared" si="3"/>
        <v>4</v>
      </c>
      <c r="H59" s="9">
        <f t="shared" si="4"/>
        <v>4</v>
      </c>
      <c r="I59" s="10">
        <f>IFERROR(__xludf.DUMMYFUNCTION("MAX(FILTER($H:$H,$E:$E=F59))"),1.0)</f>
        <v>1</v>
      </c>
    </row>
    <row r="60">
      <c r="A60" s="4"/>
      <c r="C60" s="4" t="s">
        <v>2638</v>
      </c>
      <c r="D60" s="4" t="str">
        <f t="shared" si="1"/>
        <v>{"valorA":"o","valorB":1}</v>
      </c>
      <c r="E60" s="8" t="str">
        <f t="shared" si="2"/>
        <v>o</v>
      </c>
      <c r="F60" s="8" t="str">
        <f>IFERROR(__xludf.DUMMYFUNCTION("""COMPUTED_VALUE"""),"me")</f>
        <v>me</v>
      </c>
      <c r="G60" s="8" t="str">
        <f t="shared" si="3"/>
        <v>1</v>
      </c>
      <c r="H60" s="9">
        <f t="shared" si="4"/>
        <v>1</v>
      </c>
      <c r="I60" s="10">
        <f>IFERROR(__xludf.DUMMYFUNCTION("MAX(FILTER($H:$H,$E:$E=F60))"),4.0)</f>
        <v>4</v>
      </c>
    </row>
    <row r="61">
      <c r="A61" s="4"/>
      <c r="C61" s="4" t="s">
        <v>2870</v>
      </c>
      <c r="D61" s="4" t="str">
        <f t="shared" si="1"/>
        <v>{"valorA":"é","valorB":6}</v>
      </c>
      <c r="E61" s="8" t="str">
        <f t="shared" si="2"/>
        <v>é</v>
      </c>
      <c r="F61" s="8" t="str">
        <f>IFERROR(__xludf.DUMMYFUNCTION("""COMPUTED_VALUE"""),"para")</f>
        <v>para</v>
      </c>
      <c r="G61" s="8" t="str">
        <f t="shared" si="3"/>
        <v>6</v>
      </c>
      <c r="H61" s="9">
        <f t="shared" si="4"/>
        <v>6</v>
      </c>
      <c r="I61" s="10">
        <f>IFERROR(__xludf.DUMMYFUNCTION("MAX(FILTER($H:$H,$E:$E=F61))"),8.0)</f>
        <v>8</v>
      </c>
    </row>
    <row r="62">
      <c r="A62" s="4"/>
      <c r="C62" s="4" t="s">
        <v>2731</v>
      </c>
      <c r="D62" s="4" t="str">
        <f t="shared" si="1"/>
        <v>{"valorA":"bem","valorB":2}</v>
      </c>
      <c r="E62" s="8" t="str">
        <f t="shared" si="2"/>
        <v>bem</v>
      </c>
      <c r="F62" s="8" t="str">
        <f>IFERROR(__xludf.DUMMYFUNCTION("""COMPUTED_VALUE"""),"útil")</f>
        <v>útil</v>
      </c>
      <c r="G62" s="8" t="str">
        <f t="shared" si="3"/>
        <v>2</v>
      </c>
      <c r="H62" s="9">
        <f t="shared" si="4"/>
        <v>2</v>
      </c>
      <c r="I62" s="10">
        <f>IFERROR(__xludf.DUMMYFUNCTION("MAX(FILTER($H:$H,$E:$E=F62))"),2.0)</f>
        <v>2</v>
      </c>
    </row>
    <row r="63">
      <c r="A63" s="4"/>
      <c r="C63" s="4" t="s">
        <v>3416</v>
      </c>
      <c r="D63" s="4" t="str">
        <f t="shared" si="1"/>
        <v>{"valorA":"comentário","valorB":1}</v>
      </c>
      <c r="E63" s="8" t="str">
        <f t="shared" si="2"/>
        <v>comentário</v>
      </c>
      <c r="F63" s="8" t="str">
        <f>IFERROR(__xludf.DUMMYFUNCTION("""COMPUTED_VALUE"""),"minhas")</f>
        <v>minhas</v>
      </c>
      <c r="G63" s="8" t="str">
        <f t="shared" si="3"/>
        <v>1</v>
      </c>
      <c r="H63" s="9">
        <f t="shared" si="4"/>
        <v>1</v>
      </c>
      <c r="I63" s="10">
        <f>IFERROR(__xludf.DUMMYFUNCTION("MAX(FILTER($H:$H,$E:$E=F63))"),2.0)</f>
        <v>2</v>
      </c>
    </row>
    <row r="64">
      <c r="A64" s="4"/>
      <c r="C64" s="4" t="s">
        <v>11500</v>
      </c>
      <c r="D64" s="4" t="str">
        <f t="shared" si="1"/>
        <v>{"valorA":"veloz","valorB":1}</v>
      </c>
      <c r="E64" s="8" t="str">
        <f t="shared" si="2"/>
        <v>veloz</v>
      </c>
      <c r="F64" s="8" t="str">
        <f>IFERROR(__xludf.DUMMYFUNCTION("""COMPUTED_VALUE"""),"necessidades")</f>
        <v>necessidades</v>
      </c>
      <c r="G64" s="8" t="str">
        <f t="shared" si="3"/>
        <v>1</v>
      </c>
      <c r="H64" s="9">
        <f t="shared" si="4"/>
        <v>1</v>
      </c>
      <c r="I64" s="10">
        <f>IFERROR(__xludf.DUMMYFUNCTION("MAX(FILTER($H:$H,$E:$E=F64))"),2.0)</f>
        <v>2</v>
      </c>
    </row>
    <row r="65">
      <c r="A65" s="4"/>
      <c r="C65" s="4" t="s">
        <v>2695</v>
      </c>
      <c r="D65" s="4" t="str">
        <f t="shared" si="1"/>
        <v>{"valorA":"que","valorB":2}</v>
      </c>
      <c r="E65" s="8" t="str">
        <f t="shared" si="2"/>
        <v>que</v>
      </c>
      <c r="F65" s="8" t="str">
        <f>IFERROR(__xludf.DUMMYFUNCTION("""COMPUTED_VALUE"""),"brincar")</f>
        <v>brincar</v>
      </c>
      <c r="G65" s="8" t="str">
        <f t="shared" si="3"/>
        <v>2</v>
      </c>
      <c r="H65" s="9">
        <f t="shared" si="4"/>
        <v>2</v>
      </c>
      <c r="I65" s="10">
        <f>IFERROR(__xludf.DUMMYFUNCTION("MAX(FILTER($H:$H,$E:$E=F65))"),1.0)</f>
        <v>1</v>
      </c>
    </row>
    <row r="66">
      <c r="A66" s="4"/>
      <c r="C66" s="4" t="s">
        <v>2707</v>
      </c>
      <c r="D66" s="4" t="str">
        <f t="shared" si="1"/>
        <v>{"valorA":"do","valorB":2}</v>
      </c>
      <c r="E66" s="8" t="str">
        <f t="shared" si="2"/>
        <v>do</v>
      </c>
      <c r="F66" s="8" t="str">
        <f>IFERROR(__xludf.DUMMYFUNCTION("""COMPUTED_VALUE"""),"filho")</f>
        <v>filho</v>
      </c>
      <c r="G66" s="8" t="str">
        <f t="shared" si="3"/>
        <v>2</v>
      </c>
      <c r="H66" s="9">
        <f t="shared" si="4"/>
        <v>2</v>
      </c>
      <c r="I66" s="10">
        <f>IFERROR(__xludf.DUMMYFUNCTION("MAX(FILTER($H:$H,$E:$E=F66))"),1.0)</f>
        <v>1</v>
      </c>
    </row>
    <row r="67">
      <c r="A67" s="4"/>
      <c r="C67" s="4" t="s">
        <v>3440</v>
      </c>
      <c r="D67" s="4" t="str">
        <f t="shared" si="1"/>
        <v>{"valorA":"banho","valorB":1}</v>
      </c>
      <c r="E67" s="8" t="str">
        <f t="shared" si="2"/>
        <v>banho</v>
      </c>
      <c r="F67" s="8" t="str">
        <f>IFERROR(__xludf.DUMMYFUNCTION("""COMPUTED_VALUE"""),"adora")</f>
        <v>adora</v>
      </c>
      <c r="G67" s="8" t="str">
        <f t="shared" si="3"/>
        <v>1</v>
      </c>
      <c r="H67" s="9">
        <f t="shared" si="4"/>
        <v>1</v>
      </c>
      <c r="I67" s="10">
        <f>IFERROR(__xludf.DUMMYFUNCTION("MAX(FILTER($H:$H,$E:$E=F67))"),1.0)</f>
        <v>1</v>
      </c>
    </row>
    <row r="68">
      <c r="A68" s="4"/>
      <c r="C68" s="4" t="s">
        <v>2699</v>
      </c>
      <c r="D68" s="4" t="str">
        <f t="shared" si="1"/>
        <v>{"valorA":"confortável","valorB":1}</v>
      </c>
      <c r="E68" s="8" t="str">
        <f t="shared" si="2"/>
        <v>confortável</v>
      </c>
      <c r="F68" s="8" t="str">
        <f>IFERROR(__xludf.DUMMYFUNCTION("""COMPUTED_VALUE"""),"com")</f>
        <v>com</v>
      </c>
      <c r="G68" s="8" t="str">
        <f t="shared" si="3"/>
        <v>1</v>
      </c>
      <c r="H68" s="9">
        <f t="shared" si="4"/>
        <v>1</v>
      </c>
      <c r="I68" s="10">
        <f>IFERROR(__xludf.DUMMYFUNCTION("MAX(FILTER($H:$H,$E:$E=F68))"),3.0)</f>
        <v>3</v>
      </c>
    </row>
    <row r="69">
      <c r="A69" s="4"/>
      <c r="C69" s="4" t="s">
        <v>2630</v>
      </c>
      <c r="D69" s="4" t="str">
        <f t="shared" si="1"/>
        <v>{"valorA":"esse","valorB":1}</v>
      </c>
      <c r="E69" s="8" t="str">
        <f t="shared" si="2"/>
        <v>esse</v>
      </c>
      <c r="F69" s="8" t="str">
        <f>IFERROR(__xludf.DUMMYFUNCTION("""COMPUTED_VALUE"""),"ele")</f>
        <v>ele</v>
      </c>
      <c r="G69" s="8" t="str">
        <f t="shared" si="3"/>
        <v>1</v>
      </c>
      <c r="H69" s="9">
        <f t="shared" si="4"/>
        <v>1</v>
      </c>
      <c r="I69" s="10">
        <f>IFERROR(__xludf.DUMMYFUNCTION("MAX(FILTER($H:$H,$E:$E=F69))"),1.0)</f>
        <v>1</v>
      </c>
    </row>
    <row r="70">
      <c r="A70" s="4"/>
      <c r="C70" s="4" t="s">
        <v>2653</v>
      </c>
      <c r="D70" s="4" t="str">
        <f t="shared" si="1"/>
        <v>{"valorA":"ótimo","valorB":3}</v>
      </c>
      <c r="E70" s="8" t="str">
        <f t="shared" si="2"/>
        <v>ótimo</v>
      </c>
      <c r="F70" s="8" t="str">
        <f>IFERROR(__xludf.DUMMYFUNCTION("""COMPUTED_VALUE"""),"encantou")</f>
        <v>encantou</v>
      </c>
      <c r="G70" s="8" t="str">
        <f t="shared" si="3"/>
        <v>3</v>
      </c>
      <c r="H70" s="9">
        <f t="shared" si="4"/>
        <v>3</v>
      </c>
      <c r="I70" s="10">
        <f>IFERROR(__xludf.DUMMYFUNCTION("MAX(FILTER($H:$H,$E:$E=F70))"),1.0)</f>
        <v>1</v>
      </c>
    </row>
    <row r="71">
      <c r="A71" s="4"/>
      <c r="C71" s="4" t="s">
        <v>11501</v>
      </c>
      <c r="D71" s="4" t="str">
        <f t="shared" si="1"/>
        <v>{"valorA":"turco","valorB":1}</v>
      </c>
      <c r="E71" s="8" t="str">
        <f t="shared" si="2"/>
        <v>turco</v>
      </c>
      <c r="F71" s="8" t="str">
        <f>IFERROR(__xludf.DUMMYFUNCTION("""COMPUTED_VALUE"""),"cadeirinho")</f>
        <v>cadeirinho</v>
      </c>
      <c r="G71" s="8" t="str">
        <f t="shared" si="3"/>
        <v>1</v>
      </c>
      <c r="H71" s="9">
        <f t="shared" si="4"/>
        <v>1</v>
      </c>
      <c r="I71" s="10">
        <f>IFERROR(__xludf.DUMMYFUNCTION("MAX(FILTER($H:$H,$E:$E=F71))"),1.0)</f>
        <v>1</v>
      </c>
    </row>
    <row r="72">
      <c r="A72" s="4"/>
      <c r="C72" s="4" t="s">
        <v>2721</v>
      </c>
      <c r="D72" s="4" t="str">
        <f t="shared" si="1"/>
        <v>{"valorA":"e","valorB":4}</v>
      </c>
      <c r="E72" s="8" t="str">
        <f t="shared" si="2"/>
        <v>e</v>
      </c>
      <c r="F72" s="8" t="str">
        <f>IFERROR(__xludf.DUMMYFUNCTION("""COMPUTED_VALUE"""),"yoga")</f>
        <v>yoga</v>
      </c>
      <c r="G72" s="8" t="str">
        <f t="shared" si="3"/>
        <v>4</v>
      </c>
      <c r="H72" s="9">
        <f t="shared" si="4"/>
        <v>4</v>
      </c>
      <c r="I72" s="10">
        <f>IFERROR(__xludf.DUMMYFUNCTION("MAX(FILTER($H:$H,$E:$E=F72))"),1.0)</f>
        <v>1</v>
      </c>
    </row>
    <row r="73">
      <c r="A73" s="4"/>
      <c r="C73" s="4" t="s">
        <v>2724</v>
      </c>
      <c r="D73" s="4" t="str">
        <f t="shared" si="1"/>
        <v>{"valorA":"recomendo","valorB":1}</v>
      </c>
      <c r="E73" s="8" t="str">
        <f t="shared" si="2"/>
        <v>recomendo</v>
      </c>
      <c r="F73" s="8" t="str">
        <f>IFERROR(__xludf.DUMMYFUNCTION("""COMPUTED_VALUE"""),"tapete")</f>
        <v>tapete</v>
      </c>
      <c r="G73" s="8" t="str">
        <f t="shared" si="3"/>
        <v>1</v>
      </c>
      <c r="H73" s="9">
        <f t="shared" si="4"/>
        <v>1</v>
      </c>
      <c r="I73" s="10">
        <f>IFERROR(__xludf.DUMMYFUNCTION("MAX(FILTER($H:$H,$E:$E=F73))"),1.0)</f>
        <v>1</v>
      </c>
    </row>
    <row r="74">
      <c r="A74" s="4"/>
      <c r="C74" s="4" t="s">
        <v>2895</v>
      </c>
      <c r="D74" s="4" t="str">
        <f t="shared" si="1"/>
        <v>{"valorA":"gosto","valorB":1}</v>
      </c>
      <c r="E74" s="8" t="str">
        <f t="shared" si="2"/>
        <v>gosto</v>
      </c>
      <c r="F74" s="8" t="str">
        <f>IFERROR(__xludf.DUMMYFUNCTION("""COMPUTED_VALUE"""),"realmente")</f>
        <v>realmente</v>
      </c>
      <c r="G74" s="8" t="str">
        <f t="shared" si="3"/>
        <v>1</v>
      </c>
      <c r="H74" s="9">
        <f t="shared" si="4"/>
        <v>1</v>
      </c>
      <c r="I74" s="10">
        <f>IFERROR(__xludf.DUMMYFUNCTION("MAX(FILTER($H:$H,$E:$E=F74))"),3.0)</f>
        <v>3</v>
      </c>
    </row>
    <row r="75">
      <c r="A75" s="4"/>
      <c r="C75" s="4" t="s">
        <v>2663</v>
      </c>
      <c r="D75" s="4" t="str">
        <f t="shared" si="1"/>
        <v>{"valorA":"muito","valorB":2}</v>
      </c>
      <c r="E75" s="8" t="str">
        <f t="shared" si="2"/>
        <v>muito</v>
      </c>
      <c r="F75" s="8" t="str">
        <f>IFERROR(__xludf.DUMMYFUNCTION("""COMPUTED_VALUE"""),"bom")</f>
        <v>bom</v>
      </c>
      <c r="G75" s="8" t="str">
        <f t="shared" si="3"/>
        <v>2</v>
      </c>
      <c r="H75" s="9">
        <f t="shared" si="4"/>
        <v>2</v>
      </c>
      <c r="I75" s="10">
        <f>IFERROR(__xludf.DUMMYFUNCTION("MAX(FILTER($H:$H,$E:$E=F75))"),1.0)</f>
        <v>1</v>
      </c>
    </row>
    <row r="76">
      <c r="A76" s="4"/>
      <c r="C76" s="4" t="s">
        <v>2657</v>
      </c>
      <c r="D76" s="4" t="str">
        <f t="shared" si="1"/>
        <v>{"valorA":"ótimo","valorB":4}</v>
      </c>
      <c r="E76" s="8" t="str">
        <f t="shared" si="2"/>
        <v>ótimo</v>
      </c>
      <c r="F76" s="8" t="str">
        <f>IFERROR(__xludf.DUMMYFUNCTION("""COMPUTED_VALUE"""),"saúde")</f>
        <v>saúde</v>
      </c>
      <c r="G76" s="8" t="str">
        <f t="shared" si="3"/>
        <v>4</v>
      </c>
      <c r="H76" s="9">
        <f t="shared" si="4"/>
        <v>4</v>
      </c>
      <c r="I76" s="10">
        <f>IFERROR(__xludf.DUMMYFUNCTION("MAX(FILTER($H:$H,$E:$E=F76))"),1.0)</f>
        <v>1</v>
      </c>
    </row>
    <row r="77">
      <c r="A77" s="4"/>
      <c r="C77" s="4" t="s">
        <v>2661</v>
      </c>
      <c r="D77" s="4" t="str">
        <f t="shared" si="1"/>
        <v>{"valorA":"produto","valorB":3}</v>
      </c>
      <c r="E77" s="8" t="str">
        <f t="shared" si="2"/>
        <v>produto</v>
      </c>
      <c r="F77" s="8" t="str">
        <f>IFERROR(__xludf.DUMMYFUNCTION("""COMPUTED_VALUE"""),"casa")</f>
        <v>casa</v>
      </c>
      <c r="G77" s="8" t="str">
        <f t="shared" si="3"/>
        <v>3</v>
      </c>
      <c r="H77" s="9">
        <f t="shared" si="4"/>
        <v>3</v>
      </c>
      <c r="I77" s="10">
        <f>IFERROR(__xludf.DUMMYFUNCTION("MAX(FILTER($H:$H,$E:$E=F77))"),1.0)</f>
        <v>1</v>
      </c>
    </row>
    <row r="78">
      <c r="A78" s="4"/>
      <c r="C78" s="4" t="s">
        <v>2683</v>
      </c>
      <c r="D78" s="4" t="str">
        <f t="shared" si="1"/>
        <v>{"valorA":"essa","valorB":1}</v>
      </c>
      <c r="E78" s="8" t="str">
        <f t="shared" si="2"/>
        <v>essa</v>
      </c>
      <c r="F78" s="8" t="str">
        <f>IFERROR(__xludf.DUMMYFUNCTION("""COMPUTED_VALUE"""),"minha")</f>
        <v>minha</v>
      </c>
      <c r="G78" s="8" t="str">
        <f t="shared" si="3"/>
        <v>1</v>
      </c>
      <c r="H78" s="9">
        <f t="shared" si="4"/>
        <v>1</v>
      </c>
      <c r="I78" s="10">
        <f>IFERROR(__xludf.DUMMYFUNCTION("MAX(FILTER($H:$H,$E:$E=F78))"),2.0)</f>
        <v>2</v>
      </c>
    </row>
    <row r="79">
      <c r="A79" s="4"/>
      <c r="C79" s="4" t="s">
        <v>2697</v>
      </c>
      <c r="D79" s="4" t="str">
        <f t="shared" si="1"/>
        <v>{"valorA":"cadeira","valorB":1}</v>
      </c>
      <c r="E79" s="8" t="str">
        <f t="shared" si="2"/>
        <v>cadeira</v>
      </c>
      <c r="F79" s="8" t="str">
        <f>IFERROR(__xludf.DUMMYFUNCTION("""COMPUTED_VALUE"""),"relojoeira")</f>
        <v>relojoeira</v>
      </c>
      <c r="G79" s="8" t="str">
        <f t="shared" si="3"/>
        <v>1</v>
      </c>
      <c r="H79" s="9">
        <f t="shared" si="4"/>
        <v>1</v>
      </c>
      <c r="I79" s="10">
        <f>IFERROR(__xludf.DUMMYFUNCTION("MAX(FILTER($H:$H,$E:$E=F79))"),1.0)</f>
        <v>1</v>
      </c>
    </row>
    <row r="80">
      <c r="A80" s="4"/>
      <c r="C80" s="4" t="s">
        <v>2749</v>
      </c>
      <c r="D80" s="4" t="str">
        <f t="shared" si="1"/>
        <v>{"valorA":"confortável","valorB":2}</v>
      </c>
      <c r="E80" s="8" t="str">
        <f t="shared" si="2"/>
        <v>confortável</v>
      </c>
      <c r="F80" s="8" t="str">
        <f>IFERROR(__xludf.DUMMYFUNCTION("""COMPUTED_VALUE"""),"perfeita")</f>
        <v>perfeita</v>
      </c>
      <c r="G80" s="8" t="str">
        <f t="shared" si="3"/>
        <v>2</v>
      </c>
      <c r="H80" s="9">
        <f t="shared" si="4"/>
        <v>2</v>
      </c>
      <c r="I80" s="10">
        <f>IFERROR(__xludf.DUMMYFUNCTION("MAX(FILTER($H:$H,$E:$E=F80))"),1.0)</f>
        <v>1</v>
      </c>
    </row>
    <row r="81">
      <c r="A81" s="4"/>
      <c r="C81" s="4" t="s">
        <v>2705</v>
      </c>
      <c r="D81" s="4" t="str">
        <f t="shared" si="1"/>
        <v>{"valorA":"muito","valorB":3}</v>
      </c>
      <c r="E81" s="8" t="str">
        <f t="shared" si="2"/>
        <v>muito</v>
      </c>
      <c r="F81" s="8" t="str">
        <f>IFERROR(__xludf.DUMMYFUNCTION("""COMPUTED_VALUE"""),"qualidade")</f>
        <v>qualidade</v>
      </c>
      <c r="G81" s="8" t="str">
        <f t="shared" si="3"/>
        <v>3</v>
      </c>
      <c r="H81" s="9">
        <f t="shared" si="4"/>
        <v>3</v>
      </c>
      <c r="I81" s="10">
        <f>IFERROR(__xludf.DUMMYFUNCTION("MAX(FILTER($H:$H,$E:$E=F81))"),1.0)</f>
        <v>1</v>
      </c>
    </row>
    <row r="82">
      <c r="A82" s="4"/>
      <c r="C82" s="4" t="s">
        <v>2715</v>
      </c>
      <c r="D82" s="4" t="str">
        <f t="shared" si="1"/>
        <v>{"valorA":"funciona","valorB":4}</v>
      </c>
      <c r="E82" s="8" t="str">
        <f t="shared" si="2"/>
        <v>funciona</v>
      </c>
      <c r="F82" s="8" t="str">
        <f>IFERROR(__xludf.DUMMYFUNCTION("""COMPUTED_VALUE"""),"fotos")</f>
        <v>fotos</v>
      </c>
      <c r="G82" s="8" t="str">
        <f t="shared" si="3"/>
        <v>4</v>
      </c>
      <c r="H82" s="9">
        <f t="shared" si="4"/>
        <v>4</v>
      </c>
      <c r="I82" s="10">
        <f>IFERROR(__xludf.DUMMYFUNCTION("MAX(FILTER($H:$H,$E:$E=F82))"),1.0)</f>
        <v>1</v>
      </c>
    </row>
    <row r="83">
      <c r="A83" s="4"/>
      <c r="C83" s="4" t="s">
        <v>2659</v>
      </c>
      <c r="D83" s="4" t="str">
        <f t="shared" si="1"/>
        <v>{"valorA":"ótimo","valorB":5}</v>
      </c>
      <c r="E83" s="8" t="str">
        <f t="shared" si="2"/>
        <v>ótimo</v>
      </c>
      <c r="F83" s="8" t="str">
        <f>IFERROR(__xludf.DUMMYFUNCTION("""COMPUTED_VALUE"""),"digitais")</f>
        <v>digitais</v>
      </c>
      <c r="G83" s="8" t="str">
        <f t="shared" si="3"/>
        <v>5</v>
      </c>
      <c r="H83" s="9">
        <f t="shared" si="4"/>
        <v>5</v>
      </c>
      <c r="I83" s="10">
        <f>IFERROR(__xludf.DUMMYFUNCTION("MAX(FILTER($H:$H,$E:$E=F83))"),1.0)</f>
        <v>1</v>
      </c>
    </row>
    <row r="84">
      <c r="A84" s="4"/>
      <c r="C84" s="4" t="s">
        <v>2740</v>
      </c>
      <c r="D84" s="4" t="str">
        <f t="shared" si="1"/>
        <v>{"valorA":"e","valorB":5}</v>
      </c>
      <c r="E84" s="8" t="str">
        <f t="shared" si="2"/>
        <v>e</v>
      </c>
      <c r="F84" s="8" t="str">
        <f>IFERROR(__xludf.DUMMYFUNCTION("""COMPUTED_VALUE"""),"câmera")</f>
        <v>câmera</v>
      </c>
      <c r="G84" s="8" t="str">
        <f t="shared" si="3"/>
        <v>5</v>
      </c>
      <c r="H84" s="9">
        <f t="shared" si="4"/>
        <v>5</v>
      </c>
      <c r="I84" s="10">
        <f>IFERROR(__xludf.DUMMYFUNCTION("MAX(FILTER($H:$H,$E:$E=F84))"),1.0)</f>
        <v>1</v>
      </c>
    </row>
    <row r="85">
      <c r="A85" s="4"/>
      <c r="C85" s="4" t="s">
        <v>2782</v>
      </c>
      <c r="D85" s="4" t="str">
        <f t="shared" si="1"/>
        <v>{"valorA":"bem","valorB":3}</v>
      </c>
      <c r="E85" s="8" t="str">
        <f t="shared" si="2"/>
        <v>bem</v>
      </c>
      <c r="F85" s="8" t="str">
        <f>IFERROR(__xludf.DUMMYFUNCTION("""COMPUTED_VALUE"""),"incríveis")</f>
        <v>incríveis</v>
      </c>
      <c r="G85" s="8" t="str">
        <f t="shared" si="3"/>
        <v>3</v>
      </c>
      <c r="H85" s="9">
        <f t="shared" si="4"/>
        <v>3</v>
      </c>
      <c r="I85" s="10">
        <f>IFERROR(__xludf.DUMMYFUNCTION("MAX(FILTER($H:$H,$E:$E=F85))"),1.0)</f>
        <v>1</v>
      </c>
    </row>
    <row r="86">
      <c r="A86" s="4"/>
      <c r="C86" s="4" t="s">
        <v>2751</v>
      </c>
      <c r="D86" s="4" t="str">
        <f t="shared" si="1"/>
        <v>{"valorA":"cadeira","valorB":2}</v>
      </c>
      <c r="E86" s="8" t="str">
        <f t="shared" si="2"/>
        <v>cadeira</v>
      </c>
      <c r="F86" s="8" t="str">
        <f>IFERROR(__xludf.DUMMYFUNCTION("""COMPUTED_VALUE"""),"nesse")</f>
        <v>nesse</v>
      </c>
      <c r="G86" s="8" t="str">
        <f t="shared" si="3"/>
        <v>2</v>
      </c>
      <c r="H86" s="9">
        <f t="shared" si="4"/>
        <v>2</v>
      </c>
      <c r="I86" s="10">
        <f>IFERROR(__xludf.DUMMYFUNCTION("MAX(FILTER($H:$H,$E:$E=F86))"),1.0)</f>
        <v>1</v>
      </c>
    </row>
    <row r="87">
      <c r="A87" s="4"/>
      <c r="C87" s="4" t="s">
        <v>2696</v>
      </c>
      <c r="D87" s="4" t="str">
        <f t="shared" si="1"/>
        <v>{"valorA":"essa","valorB":2}</v>
      </c>
      <c r="E87" s="8" t="str">
        <f t="shared" si="2"/>
        <v>essa</v>
      </c>
      <c r="F87" s="8" t="str">
        <f>IFERROR(__xludf.DUMMYFUNCTION("""COMPUTED_VALUE"""),"corda")</f>
        <v>corda</v>
      </c>
      <c r="G87" s="8" t="str">
        <f t="shared" si="3"/>
        <v>2</v>
      </c>
      <c r="H87" s="9">
        <f t="shared" si="4"/>
        <v>2</v>
      </c>
      <c r="I87" s="10">
        <f>IFERROR(__xludf.DUMMYFUNCTION("MAX(FILTER($H:$H,$E:$E=F87))"),1.0)</f>
        <v>1</v>
      </c>
    </row>
    <row r="88">
      <c r="A88" s="4"/>
      <c r="C88" s="4" t="s">
        <v>11502</v>
      </c>
      <c r="D88" s="4" t="str">
        <f t="shared" si="1"/>
        <v>{"valorA":"comfortable","valorB":1}</v>
      </c>
      <c r="E88" s="8" t="str">
        <f t="shared" si="2"/>
        <v>comfortable</v>
      </c>
      <c r="F88" s="8" t="str">
        <f>IFERROR(__xludf.DUMMYFUNCTION("""COMPUTED_VALUE"""),"fone")</f>
        <v>fone</v>
      </c>
      <c r="G88" s="8" t="str">
        <f t="shared" si="3"/>
        <v>1</v>
      </c>
      <c r="H88" s="9">
        <f t="shared" si="4"/>
        <v>1</v>
      </c>
      <c r="I88" s="10">
        <f>IFERROR(__xludf.DUMMYFUNCTION("MAX(FILTER($H:$H,$E:$E=F88))"),2.0)</f>
        <v>2</v>
      </c>
    </row>
    <row r="89">
      <c r="A89" s="4"/>
      <c r="C89" s="4" t="s">
        <v>3048</v>
      </c>
      <c r="D89" s="4" t="str">
        <f t="shared" si="1"/>
        <v>{"valorA":"recomendo","valorB":2}</v>
      </c>
      <c r="E89" s="8" t="str">
        <f t="shared" si="2"/>
        <v>recomendo</v>
      </c>
      <c r="F89" s="8" t="str">
        <f>IFERROR(__xludf.DUMMYFUNCTION("""COMPUTED_VALUE"""),"ouvido")</f>
        <v>ouvido</v>
      </c>
      <c r="G89" s="8" t="str">
        <f t="shared" si="3"/>
        <v>2</v>
      </c>
      <c r="H89" s="9">
        <f t="shared" si="4"/>
        <v>2</v>
      </c>
      <c r="I89" s="10">
        <f>IFERROR(__xludf.DUMMYFUNCTION("MAX(FILTER($H:$H,$E:$E=F89))"),2.0)</f>
        <v>2</v>
      </c>
    </row>
    <row r="90">
      <c r="A90" s="4"/>
      <c r="C90" s="4" t="s">
        <v>3722</v>
      </c>
      <c r="D90" s="4" t="str">
        <f t="shared" si="1"/>
        <v>{"valorA":"very","valorB":1}</v>
      </c>
      <c r="E90" s="8" t="str">
        <f t="shared" si="2"/>
        <v>very</v>
      </c>
      <c r="F90" s="8" t="str">
        <f>IFERROR(__xludf.DUMMYFUNCTION("""COMPUTED_VALUE"""),"comprimento")</f>
        <v>comprimento</v>
      </c>
      <c r="G90" s="8" t="str">
        <f t="shared" si="3"/>
        <v>1</v>
      </c>
      <c r="H90" s="9">
        <f t="shared" si="4"/>
        <v>1</v>
      </c>
      <c r="I90" s="10">
        <f>IFERROR(__xludf.DUMMYFUNCTION("MAX(FILTER($H:$H,$E:$E=F90))"),1.0)</f>
        <v>1</v>
      </c>
    </row>
    <row r="91">
      <c r="A91" s="4"/>
      <c r="C91" s="4" t="s">
        <v>2662</v>
      </c>
      <c r="D91" s="4" t="str">
        <f t="shared" si="1"/>
        <v>{"valorA":"ótimo","valorB":6}</v>
      </c>
      <c r="E91" s="8" t="str">
        <f t="shared" si="2"/>
        <v>ótimo</v>
      </c>
      <c r="F91" s="8" t="str">
        <f>IFERROR(__xludf.DUMMYFUNCTION("""COMPUTED_VALUE"""),"design")</f>
        <v>design</v>
      </c>
      <c r="G91" s="8" t="str">
        <f t="shared" si="3"/>
        <v>6</v>
      </c>
      <c r="H91" s="9">
        <f t="shared" si="4"/>
        <v>6</v>
      </c>
      <c r="I91" s="10">
        <f>IFERROR(__xludf.DUMMYFUNCTION("MAX(FILTER($H:$H,$E:$E=F91))"),1.0)</f>
        <v>1</v>
      </c>
    </row>
    <row r="92">
      <c r="A92" s="4"/>
      <c r="C92" s="4" t="s">
        <v>2667</v>
      </c>
      <c r="D92" s="4" t="str">
        <f t="shared" si="1"/>
        <v>{"valorA":"produto","valorB":4}</v>
      </c>
      <c r="E92" s="8" t="str">
        <f t="shared" si="2"/>
        <v>produto</v>
      </c>
      <c r="F92" s="8" t="str">
        <f>IFERROR(__xludf.DUMMYFUNCTION("""COMPUTED_VALUE"""),"da")</f>
        <v>da</v>
      </c>
      <c r="G92" s="8" t="str">
        <f t="shared" si="3"/>
        <v>4</v>
      </c>
      <c r="H92" s="9">
        <f t="shared" si="4"/>
        <v>4</v>
      </c>
      <c r="I92" s="10">
        <f>IFERROR(__xludf.DUMMYFUNCTION("MAX(FILTER($H:$H,$E:$E=F92))"),1.0)</f>
        <v>1</v>
      </c>
    </row>
    <row r="93">
      <c r="A93" s="4"/>
      <c r="C93" s="4" t="s">
        <v>2873</v>
      </c>
      <c r="D93" s="4" t="str">
        <f t="shared" si="1"/>
        <v>{"valorA":"relogio","valorB":1}</v>
      </c>
      <c r="E93" s="8" t="str">
        <f t="shared" si="2"/>
        <v>relogio</v>
      </c>
      <c r="F93" s="8" t="str">
        <f>IFERROR(__xludf.DUMMYFUNCTION("""COMPUTED_VALUE"""),"performance")</f>
        <v>performance</v>
      </c>
      <c r="G93" s="8" t="str">
        <f t="shared" si="3"/>
        <v>1</v>
      </c>
      <c r="H93" s="9">
        <f t="shared" si="4"/>
        <v>1</v>
      </c>
      <c r="I93" s="10">
        <f>IFERROR(__xludf.DUMMYFUNCTION("MAX(FILTER($H:$H,$E:$E=F93))"),1.0)</f>
        <v>1</v>
      </c>
    </row>
    <row r="94">
      <c r="A94" s="4"/>
      <c r="C94" s="4" t="s">
        <v>2843</v>
      </c>
      <c r="D94" s="4" t="str">
        <f t="shared" si="1"/>
        <v>{"valorA":"desse","valorB":2}</v>
      </c>
      <c r="E94" s="8" t="str">
        <f t="shared" si="2"/>
        <v>desse</v>
      </c>
      <c r="F94" s="8" t="str">
        <f>IFERROR(__xludf.DUMMYFUNCTION("""COMPUTED_VALUE"""),"carrinho")</f>
        <v>carrinho</v>
      </c>
      <c r="G94" s="8" t="str">
        <f t="shared" si="3"/>
        <v>2</v>
      </c>
      <c r="H94" s="9">
        <f t="shared" si="4"/>
        <v>2</v>
      </c>
      <c r="I94" s="10">
        <f>IFERROR(__xludf.DUMMYFUNCTION("MAX(FILTER($H:$H,$E:$E=F94))"),1.0)</f>
        <v>1</v>
      </c>
    </row>
    <row r="95">
      <c r="A95" s="4"/>
      <c r="C95" s="4" t="s">
        <v>2757</v>
      </c>
      <c r="D95" s="4" t="str">
        <f t="shared" si="1"/>
        <v>{"valorA":"perfeitamente","valorB":4}</v>
      </c>
      <c r="E95" s="8" t="str">
        <f t="shared" si="2"/>
        <v>perfeitamente</v>
      </c>
      <c r="F95" s="8" t="str">
        <f>IFERROR(__xludf.DUMMYFUNCTION("""COMPUTED_VALUE"""),"compras")</f>
        <v>compras</v>
      </c>
      <c r="G95" s="8" t="str">
        <f t="shared" si="3"/>
        <v>4</v>
      </c>
      <c r="H95" s="9">
        <f t="shared" si="4"/>
        <v>4</v>
      </c>
      <c r="I95" s="10">
        <f>IFERROR(__xludf.DUMMYFUNCTION("MAX(FILTER($H:$H,$E:$E=F95))"),1.0)</f>
        <v>1</v>
      </c>
    </row>
    <row r="96">
      <c r="A96" s="4"/>
      <c r="C96" s="4" t="s">
        <v>2756</v>
      </c>
      <c r="D96" s="4" t="str">
        <f t="shared" si="1"/>
        <v>{"valorA":"funciona","valorB":5}</v>
      </c>
      <c r="E96" s="8" t="str">
        <f t="shared" si="2"/>
        <v>funciona</v>
      </c>
      <c r="F96" s="8" t="str">
        <f>IFERROR(__xludf.DUMMYFUNCTION("""COMPUTED_VALUE"""),"rápido")</f>
        <v>rápido</v>
      </c>
      <c r="G96" s="8" t="str">
        <f t="shared" si="3"/>
        <v>5</v>
      </c>
      <c r="H96" s="9">
        <f t="shared" si="4"/>
        <v>5</v>
      </c>
      <c r="I96" s="10">
        <f>IFERROR(__xludf.DUMMYFUNCTION("MAX(FILTER($H:$H,$E:$E=F96))"),1.0)</f>
        <v>1</v>
      </c>
    </row>
    <row r="97">
      <c r="A97" s="4"/>
      <c r="C97" s="4" t="s">
        <v>2671</v>
      </c>
      <c r="D97" s="4" t="str">
        <f t="shared" si="1"/>
        <v>{"valorA":"ótimo","valorB":7}</v>
      </c>
      <c r="E97" s="8" t="str">
        <f t="shared" si="2"/>
        <v>ótimo</v>
      </c>
      <c r="F97" s="8" t="str">
        <f>IFERROR(__xludf.DUMMYFUNCTION("""COMPUTED_VALUE"""),"entrega")</f>
        <v>entrega</v>
      </c>
      <c r="G97" s="8" t="str">
        <f t="shared" si="3"/>
        <v>7</v>
      </c>
      <c r="H97" s="9">
        <f t="shared" si="4"/>
        <v>7</v>
      </c>
      <c r="I97" s="10">
        <f>IFERROR(__xludf.DUMMYFUNCTION("MAX(FILTER($H:$H,$E:$E=F97))"),1.0)</f>
        <v>1</v>
      </c>
    </row>
    <row r="98">
      <c r="A98" s="4"/>
      <c r="C98" s="4" t="s">
        <v>2674</v>
      </c>
      <c r="D98" s="4" t="str">
        <f t="shared" si="1"/>
        <v>{"valorA":"produto","valorB":5}</v>
      </c>
      <c r="E98" s="8" t="str">
        <f t="shared" si="2"/>
        <v>produto</v>
      </c>
      <c r="F98" s="8" t="str">
        <f>IFERROR(__xludf.DUMMYFUNCTION("""COMPUTED_VALUE"""),"facil")</f>
        <v>facil</v>
      </c>
      <c r="G98" s="8" t="str">
        <f t="shared" si="3"/>
        <v>5</v>
      </c>
      <c r="H98" s="9">
        <f t="shared" si="4"/>
        <v>5</v>
      </c>
      <c r="I98" s="10">
        <f>IFERROR(__xludf.DUMMYFUNCTION("MAX(FILTER($H:$H,$E:$E=F98))"),1.0)</f>
        <v>1</v>
      </c>
    </row>
    <row r="99">
      <c r="A99" s="4"/>
      <c r="C99" s="4" t="s">
        <v>2673</v>
      </c>
      <c r="D99" s="4" t="str">
        <f t="shared" si="1"/>
        <v>{"valorA":"ótimo","valorB":8}</v>
      </c>
      <c r="E99" s="8" t="str">
        <f t="shared" si="2"/>
        <v>ótimo</v>
      </c>
      <c r="F99" s="8" t="str">
        <f>IFERROR(__xludf.DUMMYFUNCTION("""COMPUTED_VALUE"""),"coment")</f>
        <v>coment</v>
      </c>
      <c r="G99" s="8" t="str">
        <f t="shared" si="3"/>
        <v>8</v>
      </c>
      <c r="H99" s="9">
        <f t="shared" si="4"/>
        <v>8</v>
      </c>
      <c r="I99" s="10">
        <f>IFERROR(__xludf.DUMMYFUNCTION("MAX(FILTER($H:$H,$E:$E=F99))"),2.0)</f>
        <v>2</v>
      </c>
    </row>
    <row r="100">
      <c r="A100" s="4"/>
      <c r="C100" s="4" t="s">
        <v>2939</v>
      </c>
      <c r="D100" s="4" t="str">
        <f t="shared" si="1"/>
        <v>{"valorA":"online","valorB":1}</v>
      </c>
      <c r="E100" s="8" t="str">
        <f t="shared" si="2"/>
        <v>online</v>
      </c>
      <c r="F100" s="8" t="str">
        <f>IFERROR(__xludf.DUMMYFUNCTION("""COMPUTED_VALUE"""),"confiável")</f>
        <v>confiável</v>
      </c>
      <c r="G100" s="8" t="str">
        <f t="shared" si="3"/>
        <v>1</v>
      </c>
      <c r="H100" s="9">
        <f t="shared" si="4"/>
        <v>1</v>
      </c>
      <c r="I100" s="10">
        <f>IFERROR(__xludf.DUMMYFUNCTION("MAX(FILTER($H:$H,$E:$E=F100))"),1.0)</f>
        <v>1</v>
      </c>
    </row>
    <row r="101">
      <c r="A101" s="4"/>
      <c r="C101" s="4" t="s">
        <v>2936</v>
      </c>
      <c r="D101" s="4" t="str">
        <f t="shared" si="1"/>
        <v>{"valorA":"loja","valorB":1}</v>
      </c>
      <c r="E101" s="8" t="str">
        <f t="shared" si="2"/>
        <v>loja</v>
      </c>
      <c r="F101" s="8" t="str">
        <f>IFERROR(__xludf.DUMMYFUNCTION("""COMPUTED_VALUE"""),"van")</f>
        <v>van</v>
      </c>
      <c r="G101" s="8" t="str">
        <f t="shared" si="3"/>
        <v>1</v>
      </c>
      <c r="H101" s="9">
        <f t="shared" si="4"/>
        <v>1</v>
      </c>
      <c r="I101" s="10">
        <f>IFERROR(__xludf.DUMMYFUNCTION("MAX(FILTER($H:$H,$E:$E=F101))"),1.0)</f>
        <v>1</v>
      </c>
    </row>
    <row r="102">
      <c r="A102" s="4"/>
      <c r="C102" s="4" t="s">
        <v>2764</v>
      </c>
      <c r="D102" s="4" t="str">
        <f t="shared" si="1"/>
        <v>{"valorA":"perfeitamente","valorB":5}</v>
      </c>
      <c r="E102" s="8" t="str">
        <f t="shared" si="2"/>
        <v>perfeitamente</v>
      </c>
      <c r="F102" s="8" t="str">
        <f>IFERROR(__xludf.DUMMYFUNCTION("""COMPUTED_VALUE"""),"alegra")</f>
        <v>alegra</v>
      </c>
      <c r="G102" s="8" t="str">
        <f t="shared" si="3"/>
        <v>5</v>
      </c>
      <c r="H102" s="9">
        <f t="shared" si="4"/>
        <v>5</v>
      </c>
      <c r="I102" s="10">
        <f>IFERROR(__xludf.DUMMYFUNCTION("MAX(FILTER($H:$H,$E:$E=F102))"),1.0)</f>
        <v>1</v>
      </c>
    </row>
    <row r="103">
      <c r="A103" s="4"/>
      <c r="C103" s="4" t="s">
        <v>2765</v>
      </c>
      <c r="D103" s="4" t="str">
        <f t="shared" si="1"/>
        <v>{"valorA":"funciona","valorB":6}</v>
      </c>
      <c r="E103" s="8" t="str">
        <f t="shared" si="2"/>
        <v>funciona</v>
      </c>
      <c r="F103" s="8" t="str">
        <f>IFERROR(__xludf.DUMMYFUNCTION("""COMPUTED_VALUE"""),"comprado")</f>
        <v>comprado</v>
      </c>
      <c r="G103" s="8" t="str">
        <f t="shared" si="3"/>
        <v>6</v>
      </c>
      <c r="H103" s="9">
        <f t="shared" si="4"/>
        <v>6</v>
      </c>
      <c r="I103" s="10">
        <f>IFERROR(__xludf.DUMMYFUNCTION("MAX(FILTER($H:$H,$E:$E=F103))"),1.0)</f>
        <v>1</v>
      </c>
    </row>
    <row r="104">
      <c r="A104" s="4"/>
      <c r="C104" s="4" t="s">
        <v>2682</v>
      </c>
      <c r="D104" s="4" t="str">
        <f t="shared" si="1"/>
        <v>{"valorA":"produto","valorB":6}</v>
      </c>
      <c r="E104" s="8" t="str">
        <f t="shared" si="2"/>
        <v>produto</v>
      </c>
      <c r="F104" s="8" t="str">
        <f>IFERROR(__xludf.DUMMYFUNCTION("""COMPUTED_VALUE"""),"ter")</f>
        <v>ter</v>
      </c>
      <c r="G104" s="8" t="str">
        <f t="shared" si="3"/>
        <v>6</v>
      </c>
      <c r="H104" s="9">
        <f t="shared" si="4"/>
        <v>6</v>
      </c>
      <c r="I104" s="10">
        <f>IFERROR(__xludf.DUMMYFUNCTION("MAX(FILTER($H:$H,$E:$E=F104))"),1.0)</f>
        <v>1</v>
      </c>
    </row>
    <row r="105">
      <c r="A105" s="4"/>
      <c r="C105" s="4" t="s">
        <v>2937</v>
      </c>
      <c r="D105" s="4" t="str">
        <f t="shared" si="1"/>
        <v>{"valorA":"dessa","valorB":1}</v>
      </c>
      <c r="E105" s="8" t="str">
        <f t="shared" si="2"/>
        <v>dessa</v>
      </c>
      <c r="F105" s="8" t="str">
        <f>IFERROR(__xludf.DUMMYFUNCTION("""COMPUTED_VALUE"""),"setor")</f>
        <v>setor</v>
      </c>
      <c r="G105" s="8" t="str">
        <f t="shared" si="3"/>
        <v>1</v>
      </c>
      <c r="H105" s="9">
        <f t="shared" si="4"/>
        <v>1</v>
      </c>
      <c r="I105" s="10">
        <f>IFERROR(__xludf.DUMMYFUNCTION("MAX(FILTER($H:$H,$E:$E=F105))"),1.0)</f>
        <v>1</v>
      </c>
    </row>
    <row r="106">
      <c r="A106" s="4"/>
      <c r="C106" s="4" t="s">
        <v>2651</v>
      </c>
      <c r="D106" s="4" t="str">
        <f t="shared" si="1"/>
        <v>{"valorA":"esse","valorB":2}</v>
      </c>
      <c r="E106" s="8" t="str">
        <f t="shared" si="2"/>
        <v>esse</v>
      </c>
      <c r="F106" s="8" t="str">
        <f>IFERROR(__xludf.DUMMYFUNCTION("""COMPUTED_VALUE"""),"vou")</f>
        <v>vou</v>
      </c>
      <c r="G106" s="8" t="str">
        <f t="shared" si="3"/>
        <v>2</v>
      </c>
      <c r="H106" s="9">
        <f t="shared" si="4"/>
        <v>2</v>
      </c>
      <c r="I106" s="10">
        <f>IFERROR(__xludf.DUMMYFUNCTION("MAX(FILTER($H:$H,$E:$E=F106))"),1.0)</f>
        <v>1</v>
      </c>
    </row>
    <row r="107">
      <c r="A107" s="4"/>
      <c r="C107" s="4" t="s">
        <v>2785</v>
      </c>
      <c r="D107" s="4" t="str">
        <f t="shared" si="1"/>
        <v>{"valorA":"muito","valorB":4}</v>
      </c>
      <c r="E107" s="8" t="str">
        <f t="shared" si="2"/>
        <v>muito</v>
      </c>
      <c r="F107" s="8" t="str">
        <f>IFERROR(__xludf.DUMMYFUNCTION("""COMPUTED_VALUE"""),"comprála")</f>
        <v>comprála</v>
      </c>
      <c r="G107" s="8" t="str">
        <f t="shared" si="3"/>
        <v>4</v>
      </c>
      <c r="H107" s="9">
        <f t="shared" si="4"/>
        <v>4</v>
      </c>
      <c r="I107" s="10">
        <f>IFERROR(__xludf.DUMMYFUNCTION("MAX(FILTER($H:$H,$E:$E=F107))"),1.0)</f>
        <v>1</v>
      </c>
    </row>
    <row r="108">
      <c r="A108" s="4"/>
      <c r="C108" s="4" t="s">
        <v>2825</v>
      </c>
      <c r="D108" s="4" t="str">
        <f t="shared" si="1"/>
        <v>{"valorA":"relojoeiro","valorB":1}</v>
      </c>
      <c r="E108" s="8" t="str">
        <f t="shared" si="2"/>
        <v>relojoeiro</v>
      </c>
      <c r="F108" s="8" t="str">
        <f>IFERROR(__xludf.DUMMYFUNCTION("""COMPUTED_VALUE"""),"vez")</f>
        <v>vez</v>
      </c>
      <c r="G108" s="8" t="str">
        <f t="shared" si="3"/>
        <v>1</v>
      </c>
      <c r="H108" s="9">
        <f t="shared" si="4"/>
        <v>1</v>
      </c>
      <c r="I108" s="10">
        <f>IFERROR(__xludf.DUMMYFUNCTION("MAX(FILTER($H:$H,$E:$E=F108))"),1.0)</f>
        <v>1</v>
      </c>
    </row>
    <row r="109">
      <c r="A109" s="4"/>
      <c r="C109" s="4" t="s">
        <v>2628</v>
      </c>
      <c r="D109" s="4" t="str">
        <f t="shared" si="1"/>
        <v>{"valorA":"gostei","valorB":1}</v>
      </c>
      <c r="E109" s="8" t="str">
        <f t="shared" si="2"/>
        <v>gostei</v>
      </c>
      <c r="F109" s="8" t="str">
        <f>IFERROR(__xludf.DUMMYFUNCTION("""COMPUTED_VALUE"""),"outra")</f>
        <v>outra</v>
      </c>
      <c r="G109" s="8" t="str">
        <f t="shared" si="3"/>
        <v>1</v>
      </c>
      <c r="H109" s="9">
        <f t="shared" si="4"/>
        <v>1</v>
      </c>
      <c r="I109" s="10">
        <f>IFERROR(__xludf.DUMMYFUNCTION("MAX(FILTER($H:$H,$E:$E=F109))"),1.0)</f>
        <v>1</v>
      </c>
    </row>
    <row r="110">
      <c r="A110" s="4"/>
      <c r="C110" s="4" t="s">
        <v>2684</v>
      </c>
      <c r="D110" s="4" t="str">
        <f t="shared" si="1"/>
        <v>{"valorA":"ótimo","valorB":9}</v>
      </c>
      <c r="E110" s="8" t="str">
        <f t="shared" si="2"/>
        <v>ótimo</v>
      </c>
      <c r="F110" s="8" t="str">
        <f>IFERROR(__xludf.DUMMYFUNCTION("""COMPUTED_VALUE"""),"está")</f>
        <v>está</v>
      </c>
      <c r="G110" s="8" t="str">
        <f t="shared" si="3"/>
        <v>9</v>
      </c>
      <c r="H110" s="9">
        <f t="shared" si="4"/>
        <v>9</v>
      </c>
      <c r="I110" s="10">
        <f>IFERROR(__xludf.DUMMYFUNCTION("MAX(FILTER($H:$H,$E:$E=F110))"),1.0)</f>
        <v>1</v>
      </c>
    </row>
    <row r="111">
      <c r="A111" s="4"/>
      <c r="C111" s="4" t="s">
        <v>2693</v>
      </c>
      <c r="D111" s="4" t="str">
        <f t="shared" si="1"/>
        <v>{"valorA":"produto","valorB":7}</v>
      </c>
      <c r="E111" s="8" t="str">
        <f t="shared" si="2"/>
        <v>produto</v>
      </c>
      <c r="F111" s="8" t="str">
        <f>IFERROR(__xludf.DUMMYFUNCTION("""COMPUTED_VALUE"""),"um")</f>
        <v>um</v>
      </c>
      <c r="G111" s="8" t="str">
        <f t="shared" si="3"/>
        <v>7</v>
      </c>
      <c r="H111" s="9">
        <f t="shared" si="4"/>
        <v>7</v>
      </c>
      <c r="I111" s="10">
        <f>IFERROR(__xludf.DUMMYFUNCTION("MAX(FILTER($H:$H,$E:$E=F111))"),1.0)</f>
        <v>1</v>
      </c>
    </row>
    <row r="112">
      <c r="A112" s="4"/>
      <c r="C112" s="4" t="s">
        <v>2690</v>
      </c>
      <c r="D112" s="4" t="str">
        <f t="shared" si="1"/>
        <v>{"valorA":"ótimo","valorB":10}</v>
      </c>
      <c r="E112" s="8" t="str">
        <f t="shared" si="2"/>
        <v>ótimo</v>
      </c>
      <c r="F112" s="8" t="str">
        <f>IFERROR(__xludf.DUMMYFUNCTION("""COMPUTED_VALUE"""),"preço")</f>
        <v>preço</v>
      </c>
      <c r="G112" s="8" t="str">
        <f t="shared" si="3"/>
        <v>10</v>
      </c>
      <c r="H112" s="9">
        <f t="shared" si="4"/>
        <v>10</v>
      </c>
      <c r="I112" s="10">
        <f>IFERROR(__xludf.DUMMYFUNCTION("MAX(FILTER($H:$H,$E:$E=F112))"),1.0)</f>
        <v>1</v>
      </c>
    </row>
    <row r="113">
      <c r="A113" s="4"/>
      <c r="C113" s="4" t="s">
        <v>2747</v>
      </c>
      <c r="D113" s="4" t="str">
        <f t="shared" si="1"/>
        <v>{"valorA":"essa","valorB":3}</v>
      </c>
      <c r="E113" s="8" t="str">
        <f t="shared" si="2"/>
        <v>essa</v>
      </c>
      <c r="F113" s="8" t="str">
        <f>IFERROR(__xludf.DUMMYFUNCTION("""COMPUTED_VALUE"""),"em")</f>
        <v>em</v>
      </c>
      <c r="G113" s="8" t="str">
        <f t="shared" si="3"/>
        <v>3</v>
      </c>
      <c r="H113" s="9">
        <f t="shared" si="4"/>
        <v>3</v>
      </c>
      <c r="I113" s="10">
        <f>IFERROR(__xludf.DUMMYFUNCTION("MAX(FILTER($H:$H,$E:$E=F113))"),2.0)</f>
        <v>2</v>
      </c>
    </row>
    <row r="114">
      <c r="A114" s="4"/>
      <c r="C114" s="4" t="s">
        <v>2792</v>
      </c>
      <c r="D114" s="4" t="str">
        <f t="shared" si="1"/>
        <v>{"valorA":"muito","valorB":5}</v>
      </c>
      <c r="E114" s="8" t="str">
        <f t="shared" si="2"/>
        <v>muito</v>
      </c>
      <c r="F114" s="8" t="str">
        <f>IFERROR(__xludf.DUMMYFUNCTION("""COMPUTED_VALUE"""),"boas")</f>
        <v>boas</v>
      </c>
      <c r="G114" s="8" t="str">
        <f t="shared" si="3"/>
        <v>5</v>
      </c>
      <c r="H114" s="9">
        <f t="shared" si="4"/>
        <v>5</v>
      </c>
      <c r="I114" s="10">
        <f>IFERROR(__xludf.DUMMYFUNCTION("MAX(FILTER($H:$H,$E:$E=F114))"),1.0)</f>
        <v>1</v>
      </c>
    </row>
    <row r="115">
      <c r="A115" s="4"/>
      <c r="C115" s="4" t="s">
        <v>2688</v>
      </c>
      <c r="D115" s="4" t="str">
        <f t="shared" si="1"/>
        <v>{"valorA":"creme","valorB":1}</v>
      </c>
      <c r="E115" s="8" t="str">
        <f t="shared" si="2"/>
        <v>creme</v>
      </c>
      <c r="F115" s="8" t="str">
        <f>IFERROR(__xludf.DUMMYFUNCTION("""COMPUTED_VALUE"""),"condições")</f>
        <v>condições</v>
      </c>
      <c r="G115" s="8" t="str">
        <f t="shared" si="3"/>
        <v>1</v>
      </c>
      <c r="H115" s="9">
        <f t="shared" si="4"/>
        <v>1</v>
      </c>
      <c r="I115" s="10">
        <f>IFERROR(__xludf.DUMMYFUNCTION("MAX(FILTER($H:$H,$E:$E=F115))"),1.0)</f>
        <v>1</v>
      </c>
    </row>
    <row r="116">
      <c r="A116" s="4"/>
      <c r="C116" s="4" t="s">
        <v>7070</v>
      </c>
      <c r="D116" s="4" t="str">
        <f t="shared" si="1"/>
        <v>{"valorA":"ajuda","valorB":1}</v>
      </c>
      <c r="E116" s="8" t="str">
        <f t="shared" si="2"/>
        <v>ajuda</v>
      </c>
      <c r="F116" s="8" t="str">
        <f>IFERROR(__xludf.DUMMYFUNCTION("""COMPUTED_VALUE"""),"veio")</f>
        <v>veio</v>
      </c>
      <c r="G116" s="8" t="str">
        <f t="shared" si="3"/>
        <v>1</v>
      </c>
      <c r="H116" s="9">
        <f t="shared" si="4"/>
        <v>1</v>
      </c>
      <c r="I116" s="10">
        <f>IFERROR(__xludf.DUMMYFUNCTION("MAX(FILTER($H:$H,$E:$E=F116))"),1.0)</f>
        <v>1</v>
      </c>
    </row>
    <row r="117">
      <c r="A117" s="4"/>
      <c r="C117" s="4" t="s">
        <v>2689</v>
      </c>
      <c r="D117" s="4" t="str">
        <f t="shared" si="1"/>
        <v>{"valorA":"hidratante","valorB":1}</v>
      </c>
      <c r="E117" s="8" t="str">
        <f t="shared" si="2"/>
        <v>hidratante</v>
      </c>
      <c r="F117" s="8" t="str">
        <f>IFERROR(__xludf.DUMMYFUNCTION("""COMPUTED_VALUE"""),"vendeu")</f>
        <v>vendeu</v>
      </c>
      <c r="G117" s="8" t="str">
        <f t="shared" si="3"/>
        <v>1</v>
      </c>
      <c r="H117" s="9">
        <f t="shared" si="4"/>
        <v>1</v>
      </c>
      <c r="I117" s="10">
        <f>IFERROR(__xludf.DUMMYFUNCTION("MAX(FILTER($H:$H,$E:$E=F117))"),1.0)</f>
        <v>1</v>
      </c>
    </row>
    <row r="118">
      <c r="A118" s="4"/>
      <c r="C118" s="4" t="s">
        <v>2848</v>
      </c>
      <c r="D118" s="4" t="str">
        <f t="shared" si="1"/>
        <v>{"valorA":"me","valorB":1}</v>
      </c>
      <c r="E118" s="8" t="str">
        <f t="shared" si="2"/>
        <v>me</v>
      </c>
      <c r="F118" s="8" t="str">
        <f>IFERROR(__xludf.DUMMYFUNCTION("""COMPUTED_VALUE"""),"mim")</f>
        <v>mim</v>
      </c>
      <c r="G118" s="8" t="str">
        <f t="shared" si="3"/>
        <v>1</v>
      </c>
      <c r="H118" s="9">
        <f t="shared" si="4"/>
        <v>1</v>
      </c>
      <c r="I118" s="10">
        <f>IFERROR(__xludf.DUMMYFUNCTION("MAX(FILTER($H:$H,$E:$E=F118))"),2.0)</f>
        <v>2</v>
      </c>
    </row>
    <row r="119">
      <c r="A119" s="4"/>
      <c r="C119" s="4" t="s">
        <v>2704</v>
      </c>
      <c r="D119" s="4" t="str">
        <f t="shared" si="1"/>
        <v>{"valorA":"produto","valorB":8}</v>
      </c>
      <c r="E119" s="8" t="str">
        <f t="shared" si="2"/>
        <v>produto</v>
      </c>
      <c r="F119" s="8" t="str">
        <f>IFERROR(__xludf.DUMMYFUNCTION("""COMPUTED_VALUE"""),"pra")</f>
        <v>pra</v>
      </c>
      <c r="G119" s="8" t="str">
        <f t="shared" si="3"/>
        <v>8</v>
      </c>
      <c r="H119" s="9">
        <f t="shared" si="4"/>
        <v>8</v>
      </c>
      <c r="I119" s="10">
        <f>IFERROR(__xludf.DUMMYFUNCTION("MAX(FILTER($H:$H,$E:$E=F119))"),1.0)</f>
        <v>1</v>
      </c>
    </row>
    <row r="120">
      <c r="A120" s="4"/>
      <c r="C120" s="4" t="s">
        <v>2811</v>
      </c>
      <c r="D120" s="4" t="str">
        <f t="shared" si="1"/>
        <v>{"valorA":"muito","valorB":6}</v>
      </c>
      <c r="E120" s="8" t="str">
        <f t="shared" si="2"/>
        <v>muito</v>
      </c>
      <c r="F120" s="8" t="str">
        <f>IFERROR(__xludf.DUMMYFUNCTION("""COMPUTED_VALUE"""),"resultado")</f>
        <v>resultado</v>
      </c>
      <c r="G120" s="8" t="str">
        <f t="shared" si="3"/>
        <v>6</v>
      </c>
      <c r="H120" s="9">
        <f t="shared" si="4"/>
        <v>6</v>
      </c>
      <c r="I120" s="10">
        <f>IFERROR(__xludf.DUMMYFUNCTION("MAX(FILTER($H:$H,$E:$E=F120))"),1.0)</f>
        <v>1</v>
      </c>
    </row>
    <row r="121">
      <c r="A121" s="4"/>
      <c r="C121" s="4" t="s">
        <v>2698</v>
      </c>
      <c r="D121" s="4" t="str">
        <f t="shared" si="1"/>
        <v>{"valorA":"ótimo","valorB":11}</v>
      </c>
      <c r="E121" s="8" t="str">
        <f t="shared" si="2"/>
        <v>ótimo</v>
      </c>
      <c r="F121" s="8" t="str">
        <f>IFERROR(__xludf.DUMMYFUNCTION("""COMPUTED_VALUE"""),"final")</f>
        <v>final</v>
      </c>
      <c r="G121" s="8" t="str">
        <f t="shared" si="3"/>
        <v>11</v>
      </c>
      <c r="H121" s="9">
        <f t="shared" si="4"/>
        <v>11</v>
      </c>
      <c r="I121" s="10">
        <f>IFERROR(__xludf.DUMMYFUNCTION("MAX(FILTER($H:$H,$E:$E=F121))"),1.0)</f>
        <v>1</v>
      </c>
    </row>
    <row r="122">
      <c r="A122" s="4"/>
      <c r="C122" s="4" t="s">
        <v>2880</v>
      </c>
      <c r="D122" s="4" t="str">
        <f t="shared" si="1"/>
        <v>{"valorA":"é","valorB":7}</v>
      </c>
      <c r="E122" s="8" t="str">
        <f t="shared" si="2"/>
        <v>é</v>
      </c>
      <c r="F122" s="8" t="str">
        <f>IFERROR(__xludf.DUMMYFUNCTION("""COMPUTED_VALUE"""),"satisfeito")</f>
        <v>satisfeito</v>
      </c>
      <c r="G122" s="8" t="str">
        <f t="shared" si="3"/>
        <v>7</v>
      </c>
      <c r="H122" s="9">
        <f t="shared" si="4"/>
        <v>7</v>
      </c>
      <c r="I122" s="10">
        <f>IFERROR(__xludf.DUMMYFUNCTION("MAX(FILTER($H:$H,$E:$E=F122))"),1.0)</f>
        <v>1</v>
      </c>
    </row>
    <row r="123">
      <c r="A123" s="4"/>
      <c r="C123" s="4" t="s">
        <v>2717</v>
      </c>
      <c r="D123" s="4" t="str">
        <f t="shared" si="1"/>
        <v>{"valorA":"produto","valorB":9}</v>
      </c>
      <c r="E123" s="8" t="str">
        <f t="shared" si="2"/>
        <v>produto</v>
      </c>
      <c r="F123" s="8" t="str">
        <f>IFERROR(__xludf.DUMMYFUNCTION("""COMPUTED_VALUE"""),"estávery")</f>
        <v>estávery</v>
      </c>
      <c r="G123" s="8" t="str">
        <f t="shared" si="3"/>
        <v>9</v>
      </c>
      <c r="H123" s="9">
        <f t="shared" si="4"/>
        <v>9</v>
      </c>
      <c r="I123" s="10">
        <f>IFERROR(__xludf.DUMMYFUNCTION("MAX(FILTER($H:$H,$E:$E=F123))"),1.0)</f>
        <v>1</v>
      </c>
    </row>
    <row r="124">
      <c r="A124" s="4"/>
      <c r="C124" s="4" t="s">
        <v>2627</v>
      </c>
      <c r="D124" s="4" t="str">
        <f t="shared" si="1"/>
        <v>{"valorA":"para","valorB":1}</v>
      </c>
      <c r="E124" s="8" t="str">
        <f t="shared" si="2"/>
        <v>para</v>
      </c>
      <c r="F124" s="8" t="str">
        <f>IFERROR(__xludf.DUMMYFUNCTION("""COMPUTED_VALUE"""),"meus")</f>
        <v>meus</v>
      </c>
      <c r="G124" s="8" t="str">
        <f t="shared" si="3"/>
        <v>1</v>
      </c>
      <c r="H124" s="9">
        <f t="shared" si="4"/>
        <v>1</v>
      </c>
      <c r="I124" s="10">
        <f>IFERROR(__xludf.DUMMYFUNCTION("MAX(FILTER($H:$H,$E:$E=F124))"),1.0)</f>
        <v>1</v>
      </c>
    </row>
    <row r="125">
      <c r="A125" s="4"/>
      <c r="C125" s="4" t="s">
        <v>2963</v>
      </c>
      <c r="D125" s="4" t="str">
        <f t="shared" si="1"/>
        <v>{"valorA":"útil","valorB":1}</v>
      </c>
      <c r="E125" s="8" t="str">
        <f t="shared" si="2"/>
        <v>útil</v>
      </c>
      <c r="F125" s="8" t="str">
        <f>IFERROR(__xludf.DUMMYFUNCTION("""COMPUTED_VALUE"""),"adoram")</f>
        <v>adoram</v>
      </c>
      <c r="G125" s="8" t="str">
        <f t="shared" si="3"/>
        <v>1</v>
      </c>
      <c r="H125" s="9">
        <f t="shared" si="4"/>
        <v>1</v>
      </c>
      <c r="I125" s="10">
        <f>IFERROR(__xludf.DUMMYFUNCTION("MAX(FILTER($H:$H,$E:$E=F125))"),1.0)</f>
        <v>1</v>
      </c>
    </row>
    <row r="126">
      <c r="A126" s="4"/>
      <c r="C126" s="4" t="s">
        <v>2803</v>
      </c>
      <c r="D126" s="4" t="str">
        <f t="shared" si="1"/>
        <v>{"valorA":"minhas","valorB":1}</v>
      </c>
      <c r="E126" s="8" t="str">
        <f t="shared" si="2"/>
        <v>minhas</v>
      </c>
      <c r="F126" s="8" t="str">
        <f>IFERROR(__xludf.DUMMYFUNCTION("""COMPUTED_VALUE"""),"brinquedo")</f>
        <v>brinquedo</v>
      </c>
      <c r="G126" s="8" t="str">
        <f t="shared" si="3"/>
        <v>1</v>
      </c>
      <c r="H126" s="9">
        <f t="shared" si="4"/>
        <v>1</v>
      </c>
      <c r="I126" s="10">
        <f>IFERROR(__xludf.DUMMYFUNCTION("MAX(FILTER($H:$H,$E:$E=F126))"),1.0)</f>
        <v>1</v>
      </c>
    </row>
    <row r="127">
      <c r="A127" s="4"/>
      <c r="C127" s="4" t="s">
        <v>2807</v>
      </c>
      <c r="D127" s="4" t="str">
        <f t="shared" si="1"/>
        <v>{"valorA":"necessidades","valorB":1}</v>
      </c>
      <c r="E127" s="8" t="str">
        <f t="shared" si="2"/>
        <v>necessidades</v>
      </c>
      <c r="F127" s="8" t="str">
        <f>IFERROR(__xludf.DUMMYFUNCTION("""COMPUTED_VALUE"""),"jogar")</f>
        <v>jogar</v>
      </c>
      <c r="G127" s="8" t="str">
        <f t="shared" si="3"/>
        <v>1</v>
      </c>
      <c r="H127" s="9">
        <f t="shared" si="4"/>
        <v>1</v>
      </c>
      <c r="I127" s="10">
        <f>IFERROR(__xludf.DUMMYFUNCTION("MAX(FILTER($H:$H,$E:$E=F127))"),1.0)</f>
        <v>1</v>
      </c>
    </row>
    <row r="128">
      <c r="A128" s="4"/>
      <c r="C128" s="4" t="s">
        <v>2755</v>
      </c>
      <c r="D128" s="4" t="str">
        <f t="shared" si="1"/>
        <v>{"valorA":"essa","valorB":4}</v>
      </c>
      <c r="E128" s="8" t="str">
        <f t="shared" si="2"/>
        <v>essa</v>
      </c>
      <c r="F128" s="8" t="str">
        <f>IFERROR(__xludf.DUMMYFUNCTION("""COMPUTED_VALUE"""),"netos")</f>
        <v>netos</v>
      </c>
      <c r="G128" s="8" t="str">
        <f t="shared" si="3"/>
        <v>4</v>
      </c>
      <c r="H128" s="9">
        <f t="shared" si="4"/>
        <v>4</v>
      </c>
      <c r="I128" s="10">
        <f>IFERROR(__xludf.DUMMYFUNCTION("MAX(FILTER($H:$H,$E:$E=F128))"),1.0)</f>
        <v>1</v>
      </c>
    </row>
    <row r="129">
      <c r="A129" s="4"/>
      <c r="C129" s="4" t="s">
        <v>2768</v>
      </c>
      <c r="D129" s="4" t="str">
        <f t="shared" si="1"/>
        <v>{"valorA":"confortável","valorB":3}</v>
      </c>
      <c r="E129" s="8" t="str">
        <f t="shared" si="2"/>
        <v>confortável</v>
      </c>
      <c r="F129" s="8" t="str">
        <f>IFERROR(__xludf.DUMMYFUNCTION("""COMPUTED_VALUE"""),"crianças")</f>
        <v>crianças</v>
      </c>
      <c r="G129" s="8" t="str">
        <f t="shared" si="3"/>
        <v>3</v>
      </c>
      <c r="H129" s="9">
        <f t="shared" si="4"/>
        <v>3</v>
      </c>
      <c r="I129" s="10">
        <f>IFERROR(__xludf.DUMMYFUNCTION("MAX(FILTER($H:$H,$E:$E=F129))"),1.0)</f>
        <v>1</v>
      </c>
    </row>
    <row r="130">
      <c r="A130" s="4"/>
      <c r="C130" s="4" t="s">
        <v>2702</v>
      </c>
      <c r="D130" s="4" t="str">
        <f t="shared" si="1"/>
        <v>{"valorA":"ótimo","valorB":12}</v>
      </c>
      <c r="E130" s="8" t="str">
        <f t="shared" si="2"/>
        <v>ótimo</v>
      </c>
      <c r="F130" s="8" t="str">
        <f>IFERROR(__xludf.DUMMYFUNCTION("""COMPUTED_VALUE"""),"bluetooth")</f>
        <v>bluetooth</v>
      </c>
      <c r="G130" s="8" t="str">
        <f t="shared" si="3"/>
        <v>12</v>
      </c>
      <c r="H130" s="9">
        <f t="shared" si="4"/>
        <v>12</v>
      </c>
      <c r="I130" s="10">
        <f>IFERROR(__xludf.DUMMYFUNCTION("MAX(FILTER($H:$H,$E:$E=F130))"),1.0)</f>
        <v>1</v>
      </c>
    </row>
    <row r="131">
      <c r="A131" s="4"/>
      <c r="C131" s="4" t="s">
        <v>2750</v>
      </c>
      <c r="D131" s="4" t="str">
        <f t="shared" si="1"/>
        <v>{"valorA":"e","valorB":6}</v>
      </c>
      <c r="E131" s="8" t="str">
        <f t="shared" si="2"/>
        <v>e</v>
      </c>
      <c r="F131" s="8" t="str">
        <f>IFERROR(__xludf.DUMMYFUNCTION("""COMPUTED_VALUE"""),"perfeito")</f>
        <v>perfeito</v>
      </c>
      <c r="G131" s="8" t="str">
        <f t="shared" si="3"/>
        <v>6</v>
      </c>
      <c r="H131" s="9">
        <f t="shared" si="4"/>
        <v>6</v>
      </c>
      <c r="I131" s="10">
        <f>IFERROR(__xludf.DUMMYFUNCTION("MAX(FILTER($H:$H,$E:$E=F131))"),1.0)</f>
        <v>1</v>
      </c>
    </row>
    <row r="132">
      <c r="A132" s="4"/>
      <c r="C132" s="4" t="s">
        <v>2802</v>
      </c>
      <c r="D132" s="4" t="str">
        <f t="shared" si="1"/>
        <v>{"valorA":"cadeira","valorB":3}</v>
      </c>
      <c r="E132" s="8" t="str">
        <f t="shared" si="2"/>
        <v>cadeira</v>
      </c>
      <c r="F132" s="8" t="str">
        <f>IFERROR(__xludf.DUMMYFUNCTION("""COMPUTED_VALUE"""),"total")</f>
        <v>total</v>
      </c>
      <c r="G132" s="8" t="str">
        <f t="shared" si="3"/>
        <v>3</v>
      </c>
      <c r="H132" s="9">
        <f t="shared" si="4"/>
        <v>3</v>
      </c>
      <c r="I132" s="10">
        <f>IFERROR(__xludf.DUMMYFUNCTION("MAX(FILTER($H:$H,$E:$E=F132))"),1.0)</f>
        <v>1</v>
      </c>
    </row>
    <row r="133">
      <c r="A133" s="4"/>
      <c r="C133" s="4" t="s">
        <v>3058</v>
      </c>
      <c r="D133" s="4" t="str">
        <f t="shared" si="1"/>
        <v>{"valorA":"recomendo","valorB":3}</v>
      </c>
      <c r="E133" s="8" t="str">
        <f t="shared" si="2"/>
        <v>recomendo</v>
      </c>
      <c r="F133" s="8" t="str">
        <f>IFERROR(__xludf.DUMMYFUNCTION("""COMPUTED_VALUE"""),"satisfacione")</f>
        <v>satisfacione</v>
      </c>
      <c r="G133" s="8" t="str">
        <f t="shared" si="3"/>
        <v>3</v>
      </c>
      <c r="H133" s="9">
        <f t="shared" si="4"/>
        <v>3</v>
      </c>
      <c r="I133" s="10">
        <f>IFERROR(__xludf.DUMMYFUNCTION("MAX(FILTER($H:$H,$E:$E=F133))"),1.0)</f>
        <v>1</v>
      </c>
    </row>
    <row r="134">
      <c r="A134" s="4"/>
      <c r="C134" s="4" t="s">
        <v>2710</v>
      </c>
      <c r="D134" s="4" t="str">
        <f t="shared" si="1"/>
        <v>{"valorA":"ótimo","valorB":13}</v>
      </c>
      <c r="E134" s="8" t="str">
        <f t="shared" si="2"/>
        <v>ótimo</v>
      </c>
      <c r="F134" s="8" t="str">
        <f>IFERROR(__xludf.DUMMYFUNCTION("""COMPUTED_VALUE"""),"ajudou")</f>
        <v>ajudou</v>
      </c>
      <c r="G134" s="8" t="str">
        <f t="shared" si="3"/>
        <v>13</v>
      </c>
      <c r="H134" s="9">
        <f t="shared" si="4"/>
        <v>13</v>
      </c>
      <c r="I134" s="10">
        <f>IFERROR(__xludf.DUMMYFUNCTION("MAX(FILTER($H:$H,$E:$E=F134))"),1.0)</f>
        <v>1</v>
      </c>
    </row>
    <row r="135">
      <c r="A135" s="4"/>
      <c r="C135" s="4" t="s">
        <v>2725</v>
      </c>
      <c r="D135" s="4" t="str">
        <f t="shared" si="1"/>
        <v>{"valorA":"produto","valorB":10}</v>
      </c>
      <c r="E135" s="8" t="str">
        <f t="shared" si="2"/>
        <v>produto</v>
      </c>
      <c r="F135" s="8" t="str">
        <f>IFERROR(__xludf.DUMMYFUNCTION("""COMPUTED_VALUE"""),"melhorar")</f>
        <v>melhorar</v>
      </c>
      <c r="G135" s="8" t="str">
        <f t="shared" si="3"/>
        <v>10</v>
      </c>
      <c r="H135" s="9">
        <f t="shared" si="4"/>
        <v>10</v>
      </c>
      <c r="I135" s="10">
        <f>IFERROR(__xludf.DUMMYFUNCTION("MAX(FILTER($H:$H,$E:$E=F135))"),1.0)</f>
        <v>1</v>
      </c>
    </row>
    <row r="136">
      <c r="A136" s="4"/>
      <c r="C136" s="4" t="s">
        <v>2967</v>
      </c>
      <c r="D136" s="4" t="str">
        <f t="shared" si="1"/>
        <v>{"valorA":"meu","valorB":5}</v>
      </c>
      <c r="E136" s="8" t="str">
        <f t="shared" si="2"/>
        <v>meu</v>
      </c>
      <c r="F136" s="8" t="str">
        <f>IFERROR(__xludf.DUMMYFUNCTION("""COMPUTED_VALUE"""),"diária")</f>
        <v>diária</v>
      </c>
      <c r="G136" s="8" t="str">
        <f t="shared" si="3"/>
        <v>5</v>
      </c>
      <c r="H136" s="9">
        <f t="shared" si="4"/>
        <v>5</v>
      </c>
      <c r="I136" s="10">
        <f>IFERROR(__xludf.DUMMYFUNCTION("MAX(FILTER($H:$H,$E:$E=F136))"),1.0)</f>
        <v>1</v>
      </c>
    </row>
    <row r="137">
      <c r="A137" s="4"/>
      <c r="C137" s="4" t="s">
        <v>3060</v>
      </c>
      <c r="D137" s="4" t="str">
        <f t="shared" si="1"/>
        <v>{"valorA":"recomendo","valorB":4}</v>
      </c>
      <c r="E137" s="8" t="str">
        <f t="shared" si="2"/>
        <v>recomendo</v>
      </c>
      <c r="F137" s="8" t="str">
        <f>IFERROR(__xludf.DUMMYFUNCTION("""COMPUTED_VALUE"""),"vida")</f>
        <v>vida</v>
      </c>
      <c r="G137" s="8" t="str">
        <f t="shared" si="3"/>
        <v>4</v>
      </c>
      <c r="H137" s="9">
        <f t="shared" si="4"/>
        <v>4</v>
      </c>
      <c r="I137" s="10">
        <f>IFERROR(__xludf.DUMMYFUNCTION("MAX(FILTER($H:$H,$E:$E=F137))"),1.0)</f>
        <v>1</v>
      </c>
    </row>
    <row r="138">
      <c r="A138" s="4"/>
      <c r="C138" s="4" t="s">
        <v>3029</v>
      </c>
      <c r="D138" s="4" t="str">
        <f t="shared" si="1"/>
        <v>{"valorA":"brincar","valorB":1}</v>
      </c>
      <c r="E138" s="8" t="str">
        <f t="shared" si="2"/>
        <v>brincar</v>
      </c>
      <c r="F138" s="8" t="str">
        <f>IFERROR(__xludf.DUMMYFUNCTION("""COMPUTED_VALUE"""),"ferramentas")</f>
        <v>ferramentas</v>
      </c>
      <c r="G138" s="8" t="str">
        <f t="shared" si="3"/>
        <v>1</v>
      </c>
      <c r="H138" s="9">
        <f t="shared" si="4"/>
        <v>1</v>
      </c>
      <c r="I138" s="10">
        <f>IFERROR(__xludf.DUMMYFUNCTION("MAX(FILTER($H:$H,$E:$E=F138))"),1.0)</f>
        <v>1</v>
      </c>
    </row>
    <row r="139">
      <c r="A139" s="4"/>
      <c r="C139" s="4" t="s">
        <v>2668</v>
      </c>
      <c r="D139" s="4" t="str">
        <f t="shared" si="1"/>
        <v>{"valorA":"filho","valorB":1}</v>
      </c>
      <c r="E139" s="8" t="str">
        <f t="shared" si="2"/>
        <v>filho</v>
      </c>
      <c r="F139" s="8" t="str">
        <f>IFERROR(__xludf.DUMMYFUNCTION("""COMPUTED_VALUE"""),"caixa")</f>
        <v>caixa</v>
      </c>
      <c r="G139" s="8" t="str">
        <f t="shared" si="3"/>
        <v>1</v>
      </c>
      <c r="H139" s="9">
        <f t="shared" si="4"/>
        <v>1</v>
      </c>
      <c r="I139" s="10">
        <f>IFERROR(__xludf.DUMMYFUNCTION("MAX(FILTER($H:$H,$E:$E=F139))"),1.0)</f>
        <v>1</v>
      </c>
    </row>
    <row r="140">
      <c r="A140" s="4"/>
      <c r="C140" s="4" t="s">
        <v>2718</v>
      </c>
      <c r="D140" s="4" t="str">
        <f t="shared" si="1"/>
        <v>{"valorA":"ótimo","valorB":14}</v>
      </c>
      <c r="E140" s="8" t="str">
        <f t="shared" si="2"/>
        <v>ótimo</v>
      </c>
      <c r="F140" s="8" t="str">
        <f>IFERROR(__xludf.DUMMYFUNCTION("""COMPUTED_VALUE"""),"faça")</f>
        <v>faça</v>
      </c>
      <c r="G140" s="8" t="str">
        <f t="shared" si="3"/>
        <v>14</v>
      </c>
      <c r="H140" s="9">
        <f t="shared" si="4"/>
        <v>14</v>
      </c>
      <c r="I140" s="10">
        <f>IFERROR(__xludf.DUMMYFUNCTION("MAX(FILTER($H:$H,$E:$E=F140))"),1.0)</f>
        <v>1</v>
      </c>
    </row>
    <row r="141">
      <c r="A141" s="4"/>
      <c r="C141" s="4" t="s">
        <v>2669</v>
      </c>
      <c r="D141" s="4" t="str">
        <f t="shared" si="1"/>
        <v>{"valorA":"adora","valorB":1}</v>
      </c>
      <c r="E141" s="8" t="str">
        <f t="shared" si="2"/>
        <v>adora</v>
      </c>
      <c r="F141" s="8" t="str">
        <f>IFERROR(__xludf.DUMMYFUNCTION("""COMPUTED_VALUE"""),"brilhante")</f>
        <v>brilhante</v>
      </c>
      <c r="G141" s="8" t="str">
        <f t="shared" si="3"/>
        <v>1</v>
      </c>
      <c r="H141" s="9">
        <f t="shared" si="4"/>
        <v>1</v>
      </c>
      <c r="I141" s="10">
        <f>IFERROR(__xludf.DUMMYFUNCTION("MAX(FILTER($H:$H,$E:$E=F141))"),1.0)</f>
        <v>1</v>
      </c>
    </row>
    <row r="142">
      <c r="A142" s="4"/>
      <c r="C142" s="4" t="s">
        <v>2728</v>
      </c>
      <c r="D142" s="4" t="str">
        <f t="shared" si="1"/>
        <v>{"valorA":"produto","valorB":11}</v>
      </c>
      <c r="E142" s="8" t="str">
        <f t="shared" si="2"/>
        <v>produto</v>
      </c>
      <c r="F142" s="8" t="str">
        <f>IFERROR(__xludf.DUMMYFUNCTION("""COMPUTED_VALUE"""),"pele")</f>
        <v>pele</v>
      </c>
      <c r="G142" s="8" t="str">
        <f t="shared" si="3"/>
        <v>11</v>
      </c>
      <c r="H142" s="9">
        <f t="shared" si="4"/>
        <v>11</v>
      </c>
      <c r="I142" s="10">
        <f>IFERROR(__xludf.DUMMYFUNCTION("MAX(FILTER($H:$H,$E:$E=F142))"),2.0)</f>
        <v>2</v>
      </c>
    </row>
    <row r="143">
      <c r="A143" s="4"/>
      <c r="C143" s="4" t="s">
        <v>2666</v>
      </c>
      <c r="D143" s="4" t="str">
        <f t="shared" si="1"/>
        <v>{"valorA":"com","valorB":1}</v>
      </c>
      <c r="E143" s="8" t="str">
        <f t="shared" si="2"/>
        <v>com</v>
      </c>
      <c r="F143" s="8" t="str">
        <f>IFERROR(__xludf.DUMMYFUNCTION("""COMPUTED_VALUE"""),"suave")</f>
        <v>suave</v>
      </c>
      <c r="G143" s="8" t="str">
        <f t="shared" si="3"/>
        <v>1</v>
      </c>
      <c r="H143" s="9">
        <f t="shared" si="4"/>
        <v>1</v>
      </c>
      <c r="I143" s="10">
        <f>IFERROR(__xludf.DUMMYFUNCTION("MAX(FILTER($H:$H,$E:$E=F143))"),1.0)</f>
        <v>1</v>
      </c>
    </row>
    <row r="144">
      <c r="A144" s="4"/>
      <c r="C144" s="4" t="s">
        <v>2672</v>
      </c>
      <c r="D144" s="4" t="str">
        <f t="shared" si="1"/>
        <v>{"valorA":"ele","valorB":1}</v>
      </c>
      <c r="E144" s="8" t="str">
        <f t="shared" si="2"/>
        <v>ele</v>
      </c>
      <c r="F144" s="8" t="str">
        <f>IFERROR(__xludf.DUMMYFUNCTION("""COMPUTED_VALUE"""),"adorei")</f>
        <v>adorei</v>
      </c>
      <c r="G144" s="8" t="str">
        <f t="shared" si="3"/>
        <v>1</v>
      </c>
      <c r="H144" s="9">
        <f t="shared" si="4"/>
        <v>1</v>
      </c>
      <c r="I144" s="10">
        <f>IFERROR(__xludf.DUMMYFUNCTION("MAX(FILTER($H:$H,$E:$E=F144))"),1.0)</f>
        <v>1</v>
      </c>
    </row>
    <row r="145">
      <c r="A145" s="4"/>
      <c r="C145" s="4" t="s">
        <v>3627</v>
      </c>
      <c r="D145" s="4" t="str">
        <f t="shared" si="1"/>
        <v>{"valorA":"novo","valorB":4}</v>
      </c>
      <c r="E145" s="8" t="str">
        <f t="shared" si="2"/>
        <v>novo</v>
      </c>
      <c r="F145" s="8" t="str">
        <f>IFERROR(__xludf.DUMMYFUNCTION("""COMPUTED_VALUE"""),"serviço")</f>
        <v>serviço</v>
      </c>
      <c r="G145" s="8" t="str">
        <f t="shared" si="3"/>
        <v>4</v>
      </c>
      <c r="H145" s="9">
        <f t="shared" si="4"/>
        <v>4</v>
      </c>
      <c r="I145" s="10">
        <f>IFERROR(__xludf.DUMMYFUNCTION("MAX(FILTER($H:$H,$E:$E=F145))"),1.0)</f>
        <v>1</v>
      </c>
    </row>
    <row r="146">
      <c r="A146" s="4"/>
      <c r="C146" s="4" t="s">
        <v>2965</v>
      </c>
      <c r="D146" s="4" t="str">
        <f t="shared" si="1"/>
        <v>{"valorA":"incrível","valorB":4}</v>
      </c>
      <c r="E146" s="8" t="str">
        <f t="shared" si="2"/>
        <v>incrível</v>
      </c>
      <c r="F146" s="8" t="str">
        <f>IFERROR(__xludf.DUMMYFUNCTION("""COMPUTED_VALUE"""),"abatefogo")</f>
        <v>abatefogo</v>
      </c>
      <c r="G146" s="8" t="str">
        <f t="shared" si="3"/>
        <v>4</v>
      </c>
      <c r="H146" s="9">
        <f t="shared" si="4"/>
        <v>4</v>
      </c>
      <c r="I146" s="10">
        <f>IFERROR(__xludf.DUMMYFUNCTION("MAX(FILTER($H:$H,$E:$E=F146))"),1.0)</f>
        <v>1</v>
      </c>
    </row>
    <row r="147">
      <c r="A147" s="4"/>
      <c r="C147" s="4" t="s">
        <v>2981</v>
      </c>
      <c r="D147" s="4" t="str">
        <f t="shared" si="1"/>
        <v>{"valorA":"meu","valorB":6}</v>
      </c>
      <c r="E147" s="8" t="str">
        <f t="shared" si="2"/>
        <v>meu</v>
      </c>
      <c r="F147" s="8" t="str">
        <f>IFERROR(__xludf.DUMMYFUNCTION("""COMPUTED_VALUE"""),"faca")</f>
        <v>faca</v>
      </c>
      <c r="G147" s="8" t="str">
        <f t="shared" si="3"/>
        <v>6</v>
      </c>
      <c r="H147" s="9">
        <f t="shared" si="4"/>
        <v>6</v>
      </c>
      <c r="I147" s="10">
        <f>IFERROR(__xludf.DUMMYFUNCTION("MAX(FILTER($H:$H,$E:$E=F147))"),1.0)</f>
        <v>1</v>
      </c>
    </row>
    <row r="148">
      <c r="A148" s="4"/>
      <c r="C148" s="4" t="s">
        <v>2780</v>
      </c>
      <c r="D148" s="4" t="str">
        <f t="shared" si="1"/>
        <v>{"valorA":"perfeitamente","valorB":6}</v>
      </c>
      <c r="E148" s="8" t="str">
        <f t="shared" si="2"/>
        <v>perfeitamente</v>
      </c>
      <c r="F148" s="8"/>
      <c r="G148" s="8" t="str">
        <f t="shared" si="3"/>
        <v>6</v>
      </c>
      <c r="H148" s="9">
        <f t="shared" si="4"/>
        <v>6</v>
      </c>
      <c r="I148" s="6" t="str">
        <f>IFERROR(__xludf.DUMMYFUNCTION("MAX(FILTER($H:$H,$E:$E=F148))"),"#N/A")</f>
        <v>#N/A</v>
      </c>
    </row>
    <row r="149">
      <c r="A149" s="4"/>
      <c r="C149" s="4" t="s">
        <v>2908</v>
      </c>
      <c r="D149" s="4" t="str">
        <f t="shared" si="1"/>
        <v>{"valorA":"é","valorB":8}</v>
      </c>
      <c r="E149" s="8" t="str">
        <f t="shared" si="2"/>
        <v>é</v>
      </c>
      <c r="F149" s="8"/>
      <c r="G149" s="8" t="str">
        <f t="shared" si="3"/>
        <v>8</v>
      </c>
      <c r="H149" s="9">
        <f t="shared" si="4"/>
        <v>8</v>
      </c>
      <c r="I149" s="6" t="str">
        <f>IFERROR(__xludf.DUMMYFUNCTION("MAX(FILTER($H:$H,$E:$E=F149))"),"#N/A")</f>
        <v>#N/A</v>
      </c>
    </row>
    <row r="150">
      <c r="A150" s="4"/>
      <c r="C150" s="4" t="s">
        <v>3630</v>
      </c>
      <c r="D150" s="4" t="str">
        <f t="shared" si="1"/>
        <v>{"valorA":"carro","valorB":4}</v>
      </c>
      <c r="E150" s="8" t="str">
        <f t="shared" si="2"/>
        <v>carro</v>
      </c>
      <c r="F150" s="8"/>
      <c r="G150" s="8" t="str">
        <f t="shared" si="3"/>
        <v>4</v>
      </c>
      <c r="H150" s="9">
        <f t="shared" si="4"/>
        <v>4</v>
      </c>
      <c r="I150" s="6" t="str">
        <f>IFERROR(__xludf.DUMMYFUNCTION("MAX(FILTER($H:$H,$E:$E=F150))"),"#N/A")</f>
        <v>#N/A</v>
      </c>
    </row>
    <row r="151">
      <c r="A151" s="4"/>
      <c r="C151" s="4" t="s">
        <v>2776</v>
      </c>
      <c r="D151" s="4" t="str">
        <f t="shared" si="1"/>
        <v>{"valorA":"funciona","valorB":7}</v>
      </c>
      <c r="E151" s="8" t="str">
        <f t="shared" si="2"/>
        <v>funciona</v>
      </c>
      <c r="F151" s="8"/>
      <c r="G151" s="8" t="str">
        <f t="shared" si="3"/>
        <v>7</v>
      </c>
      <c r="H151" s="9">
        <f t="shared" si="4"/>
        <v>7</v>
      </c>
      <c r="I151" s="6" t="str">
        <f>IFERROR(__xludf.DUMMYFUNCTION("MAX(FILTER($H:$H,$E:$E=F151))"),"#N/A")</f>
        <v>#N/A</v>
      </c>
    </row>
    <row r="152">
      <c r="A152" s="4"/>
      <c r="C152" s="4" t="s">
        <v>3064</v>
      </c>
      <c r="D152" s="4" t="str">
        <f t="shared" si="1"/>
        <v>{"valorA":"recomendo","valorB":5}</v>
      </c>
      <c r="E152" s="8" t="str">
        <f t="shared" si="2"/>
        <v>recomendo</v>
      </c>
      <c r="F152" s="8"/>
      <c r="G152" s="8" t="str">
        <f t="shared" si="3"/>
        <v>5</v>
      </c>
      <c r="H152" s="9">
        <f t="shared" si="4"/>
        <v>5</v>
      </c>
      <c r="I152" s="6" t="str">
        <f>IFERROR(__xludf.DUMMYFUNCTION("MAX(FILTER($H:$H,$E:$E=F152))"),"#N/A")</f>
        <v>#N/A</v>
      </c>
    </row>
    <row r="153">
      <c r="A153" s="4"/>
      <c r="C153" s="4" t="s">
        <v>2726</v>
      </c>
      <c r="D153" s="4" t="str">
        <f t="shared" si="1"/>
        <v>{"valorA":"ótimo","valorB":15}</v>
      </c>
      <c r="E153" s="8" t="str">
        <f t="shared" si="2"/>
        <v>ótimo</v>
      </c>
      <c r="F153" s="8"/>
      <c r="G153" s="8" t="str">
        <f t="shared" si="3"/>
        <v>15</v>
      </c>
      <c r="H153" s="9">
        <f t="shared" si="4"/>
        <v>15</v>
      </c>
      <c r="I153" s="6" t="str">
        <f>IFERROR(__xludf.DUMMYFUNCTION("MAX(FILTER($H:$H,$E:$E=F153))"),"#N/A")</f>
        <v>#N/A</v>
      </c>
    </row>
    <row r="154">
      <c r="A154" s="4"/>
      <c r="C154" s="4" t="s">
        <v>2758</v>
      </c>
      <c r="D154" s="4" t="str">
        <f t="shared" si="1"/>
        <v>{"valorA":"produto","valorB":12}</v>
      </c>
      <c r="E154" s="8" t="str">
        <f t="shared" si="2"/>
        <v>produto</v>
      </c>
      <c r="F154" s="8"/>
      <c r="G154" s="8" t="str">
        <f t="shared" si="3"/>
        <v>12</v>
      </c>
      <c r="H154" s="9">
        <f t="shared" si="4"/>
        <v>12</v>
      </c>
      <c r="I154" s="6" t="str">
        <f>IFERROR(__xludf.DUMMYFUNCTION("MAX(FILTER($H:$H,$E:$E=F154))"),"#N/A")</f>
        <v>#N/A</v>
      </c>
    </row>
    <row r="155">
      <c r="A155" s="4"/>
      <c r="C155" s="4" t="s">
        <v>7088</v>
      </c>
      <c r="D155" s="4" t="str">
        <f t="shared" si="1"/>
        <v>{"valorA":"encantou","valorB":1}</v>
      </c>
      <c r="E155" s="8" t="str">
        <f t="shared" si="2"/>
        <v>encantou</v>
      </c>
      <c r="F155" s="8"/>
      <c r="G155" s="8" t="str">
        <f t="shared" si="3"/>
        <v>1</v>
      </c>
      <c r="H155" s="9">
        <f t="shared" si="4"/>
        <v>1</v>
      </c>
      <c r="I155" s="6" t="str">
        <f>IFERROR(__xludf.DUMMYFUNCTION("MAX(FILTER($H:$H,$E:$E=F155))"),"#N/A")</f>
        <v>#N/A</v>
      </c>
    </row>
    <row r="156">
      <c r="A156" s="4"/>
      <c r="C156" s="4" t="s">
        <v>3155</v>
      </c>
      <c r="D156" s="4" t="str">
        <f t="shared" si="1"/>
        <v>{"valorA":"me","valorB":2}</v>
      </c>
      <c r="E156" s="8" t="str">
        <f t="shared" si="2"/>
        <v>me</v>
      </c>
      <c r="F156" s="8"/>
      <c r="G156" s="8" t="str">
        <f t="shared" si="3"/>
        <v>2</v>
      </c>
      <c r="H156" s="9">
        <f t="shared" si="4"/>
        <v>2</v>
      </c>
      <c r="I156" s="6" t="str">
        <f>IFERROR(__xludf.DUMMYFUNCTION("MAX(FILTER($H:$H,$E:$E=F156))"),"#N/A")</f>
        <v>#N/A</v>
      </c>
    </row>
    <row r="157">
      <c r="A157" s="4"/>
      <c r="C157" s="4" t="s">
        <v>11503</v>
      </c>
      <c r="D157" s="4" t="str">
        <f t="shared" si="1"/>
        <v>{"valorA":"cadeirinho","valorB":1}</v>
      </c>
      <c r="E157" s="8" t="str">
        <f t="shared" si="2"/>
        <v>cadeirinho</v>
      </c>
      <c r="F157" s="8"/>
      <c r="G157" s="8" t="str">
        <f t="shared" si="3"/>
        <v>1</v>
      </c>
      <c r="H157" s="9">
        <f t="shared" si="4"/>
        <v>1</v>
      </c>
      <c r="I157" s="6" t="str">
        <f>IFERROR(__xludf.DUMMYFUNCTION("MAX(FILTER($H:$H,$E:$E=F157))"),"#N/A")</f>
        <v>#N/A</v>
      </c>
    </row>
    <row r="158">
      <c r="A158" s="4"/>
      <c r="C158" s="4" t="s">
        <v>2729</v>
      </c>
      <c r="D158" s="4" t="str">
        <f t="shared" si="1"/>
        <v>{"valorA":"ótimo","valorB":16}</v>
      </c>
      <c r="E158" s="8" t="str">
        <f t="shared" si="2"/>
        <v>ótimo</v>
      </c>
      <c r="F158" s="8"/>
      <c r="G158" s="8" t="str">
        <f t="shared" si="3"/>
        <v>16</v>
      </c>
      <c r="H158" s="9">
        <f t="shared" si="4"/>
        <v>16</v>
      </c>
      <c r="I158" s="6" t="str">
        <f>IFERROR(__xludf.DUMMYFUNCTION("MAX(FILTER($H:$H,$E:$E=F158))"),"#N/A")</f>
        <v>#N/A</v>
      </c>
    </row>
    <row r="159">
      <c r="A159" s="4"/>
      <c r="C159" s="4" t="s">
        <v>2991</v>
      </c>
      <c r="D159" s="4" t="str">
        <f t="shared" si="1"/>
        <v>{"valorA":"confortável","valorB":4}</v>
      </c>
      <c r="E159" s="8" t="str">
        <f t="shared" si="2"/>
        <v>confortável</v>
      </c>
      <c r="F159" s="8"/>
      <c r="G159" s="8" t="str">
        <f t="shared" si="3"/>
        <v>4</v>
      </c>
      <c r="H159" s="9">
        <f t="shared" si="4"/>
        <v>4</v>
      </c>
      <c r="I159" s="6" t="str">
        <f>IFERROR(__xludf.DUMMYFUNCTION("MAX(FILTER($H:$H,$E:$E=F159))"),"#N/A")</f>
        <v>#N/A</v>
      </c>
    </row>
    <row r="160">
      <c r="A160" s="4"/>
      <c r="C160" s="4" t="s">
        <v>2789</v>
      </c>
      <c r="D160" s="4" t="str">
        <f t="shared" si="1"/>
        <v>{"valorA":"esse","valorB":3}</v>
      </c>
      <c r="E160" s="8" t="str">
        <f t="shared" si="2"/>
        <v>esse</v>
      </c>
      <c r="F160" s="8"/>
      <c r="G160" s="8" t="str">
        <f t="shared" si="3"/>
        <v>3</v>
      </c>
      <c r="H160" s="9">
        <f t="shared" si="4"/>
        <v>3</v>
      </c>
      <c r="I160" s="6" t="str">
        <f>IFERROR(__xludf.DUMMYFUNCTION("MAX(FILTER($H:$H,$E:$E=F160))"),"#N/A")</f>
        <v>#N/A</v>
      </c>
    </row>
    <row r="161">
      <c r="A161" s="4"/>
      <c r="C161" s="4" t="s">
        <v>2770</v>
      </c>
      <c r="D161" s="4" t="str">
        <f t="shared" si="1"/>
        <v>{"valorA":"e","valorB":7}</v>
      </c>
      <c r="E161" s="8" t="str">
        <f t="shared" si="2"/>
        <v>e</v>
      </c>
      <c r="F161" s="8"/>
      <c r="G161" s="8" t="str">
        <f t="shared" si="3"/>
        <v>7</v>
      </c>
      <c r="H161" s="9">
        <f t="shared" si="4"/>
        <v>7</v>
      </c>
      <c r="I161" s="6" t="str">
        <f>IFERROR(__xludf.DUMMYFUNCTION("MAX(FILTER($H:$H,$E:$E=F161))"),"#N/A")</f>
        <v>#N/A</v>
      </c>
    </row>
    <row r="162">
      <c r="A162" s="4"/>
      <c r="C162" s="4" t="s">
        <v>3091</v>
      </c>
      <c r="D162" s="4" t="str">
        <f t="shared" si="1"/>
        <v>{"valorA":"recomendo","valorB":6}</v>
      </c>
      <c r="E162" s="8" t="str">
        <f t="shared" si="2"/>
        <v>recomendo</v>
      </c>
      <c r="F162" s="8"/>
      <c r="G162" s="8" t="str">
        <f t="shared" si="3"/>
        <v>6</v>
      </c>
      <c r="H162" s="9">
        <f t="shared" si="4"/>
        <v>6</v>
      </c>
      <c r="I162" s="6" t="str">
        <f>IFERROR(__xludf.DUMMYFUNCTION("MAX(FILTER($H:$H,$E:$E=F162))"),"#N/A")</f>
        <v>#N/A</v>
      </c>
    </row>
    <row r="163">
      <c r="A163" s="4"/>
      <c r="C163" s="4" t="s">
        <v>2735</v>
      </c>
      <c r="D163" s="4" t="str">
        <f t="shared" si="1"/>
        <v>{"valorA":"ótimo","valorB":17}</v>
      </c>
      <c r="E163" s="8" t="str">
        <f t="shared" si="2"/>
        <v>ótimo</v>
      </c>
      <c r="F163" s="8"/>
      <c r="G163" s="8" t="str">
        <f t="shared" si="3"/>
        <v>17</v>
      </c>
      <c r="H163" s="9">
        <f t="shared" si="4"/>
        <v>17</v>
      </c>
      <c r="I163" s="6" t="str">
        <f>IFERROR(__xludf.DUMMYFUNCTION("MAX(FILTER($H:$H,$E:$E=F163))"),"#N/A")</f>
        <v>#N/A</v>
      </c>
    </row>
    <row r="164">
      <c r="A164" s="4"/>
      <c r="C164" s="4" t="s">
        <v>2774</v>
      </c>
      <c r="D164" s="4" t="str">
        <f t="shared" si="1"/>
        <v>{"valorA":"produto","valorB":13}</v>
      </c>
      <c r="E164" s="8" t="str">
        <f t="shared" si="2"/>
        <v>produto</v>
      </c>
      <c r="F164" s="8"/>
      <c r="G164" s="8" t="str">
        <f t="shared" si="3"/>
        <v>13</v>
      </c>
      <c r="H164" s="9">
        <f t="shared" si="4"/>
        <v>13</v>
      </c>
      <c r="I164" s="6" t="str">
        <f>IFERROR(__xludf.DUMMYFUNCTION("MAX(FILTER($H:$H,$E:$E=F164))"),"#N/A")</f>
        <v>#N/A</v>
      </c>
    </row>
    <row r="165">
      <c r="A165" s="4"/>
      <c r="C165" s="4" t="s">
        <v>2746</v>
      </c>
      <c r="D165" s="4" t="str">
        <f t="shared" si="1"/>
        <v>{"valorA":"ótimo","valorB":18}</v>
      </c>
      <c r="E165" s="8" t="str">
        <f t="shared" si="2"/>
        <v>ótimo</v>
      </c>
      <c r="F165" s="8"/>
      <c r="G165" s="8" t="str">
        <f t="shared" si="3"/>
        <v>18</v>
      </c>
      <c r="H165" s="9">
        <f t="shared" si="4"/>
        <v>18</v>
      </c>
      <c r="I165" s="6" t="str">
        <f>IFERROR(__xludf.DUMMYFUNCTION("MAX(FILTER($H:$H,$E:$E=F165))"),"#N/A")</f>
        <v>#N/A</v>
      </c>
    </row>
    <row r="166">
      <c r="A166" s="4"/>
      <c r="C166" s="4" t="s">
        <v>2784</v>
      </c>
      <c r="D166" s="4" t="str">
        <f t="shared" si="1"/>
        <v>{"valorA":"e","valorB":8}</v>
      </c>
      <c r="E166" s="8" t="str">
        <f t="shared" si="2"/>
        <v>e</v>
      </c>
      <c r="F166" s="8"/>
      <c r="G166" s="8" t="str">
        <f t="shared" si="3"/>
        <v>8</v>
      </c>
      <c r="H166" s="9">
        <f t="shared" si="4"/>
        <v>8</v>
      </c>
      <c r="I166" s="6" t="str">
        <f>IFERROR(__xludf.DUMMYFUNCTION("MAX(FILTER($H:$H,$E:$E=F166))"),"#N/A")</f>
        <v>#N/A</v>
      </c>
    </row>
    <row r="167">
      <c r="A167" s="4"/>
      <c r="C167" s="4" t="s">
        <v>11504</v>
      </c>
      <c r="D167" s="4" t="str">
        <f t="shared" si="1"/>
        <v>{"valorA":"confortável","valorB":5}</v>
      </c>
      <c r="E167" s="8" t="str">
        <f t="shared" si="2"/>
        <v>confortável</v>
      </c>
      <c r="F167" s="8"/>
      <c r="G167" s="8" t="str">
        <f t="shared" si="3"/>
        <v>5</v>
      </c>
      <c r="H167" s="9">
        <f t="shared" si="4"/>
        <v>5</v>
      </c>
      <c r="I167" s="6" t="str">
        <f>IFERROR(__xludf.DUMMYFUNCTION("MAX(FILTER($H:$H,$E:$E=F167))"),"#N/A")</f>
        <v>#N/A</v>
      </c>
    </row>
    <row r="168">
      <c r="A168" s="4"/>
      <c r="C168" s="4" t="s">
        <v>11505</v>
      </c>
      <c r="D168" s="4" t="str">
        <f t="shared" si="1"/>
        <v>{"valorA":"yoga","valorB":1}</v>
      </c>
      <c r="E168" s="8" t="str">
        <f t="shared" si="2"/>
        <v>yoga</v>
      </c>
      <c r="F168" s="8"/>
      <c r="G168" s="8" t="str">
        <f t="shared" si="3"/>
        <v>1</v>
      </c>
      <c r="H168" s="9">
        <f t="shared" si="4"/>
        <v>1</v>
      </c>
      <c r="I168" s="6" t="str">
        <f>IFERROR(__xludf.DUMMYFUNCTION("MAX(FILTER($H:$H,$E:$E=F168))"),"#N/A")</f>
        <v>#N/A</v>
      </c>
    </row>
    <row r="169">
      <c r="A169" s="4"/>
      <c r="C169" s="4" t="s">
        <v>2874</v>
      </c>
      <c r="D169" s="4" t="str">
        <f t="shared" si="1"/>
        <v>{"valorA":"esse","valorB":4}</v>
      </c>
      <c r="E169" s="8" t="str">
        <f t="shared" si="2"/>
        <v>esse</v>
      </c>
      <c r="F169" s="8"/>
      <c r="G169" s="8" t="str">
        <f t="shared" si="3"/>
        <v>4</v>
      </c>
      <c r="H169" s="9">
        <f t="shared" si="4"/>
        <v>4</v>
      </c>
      <c r="I169" s="6" t="str">
        <f>IFERROR(__xludf.DUMMYFUNCTION("MAX(FILTER($H:$H,$E:$E=F169))"),"#N/A")</f>
        <v>#N/A</v>
      </c>
    </row>
    <row r="170">
      <c r="A170" s="4"/>
      <c r="C170" s="4" t="s">
        <v>2720</v>
      </c>
      <c r="D170" s="4" t="str">
        <f t="shared" si="1"/>
        <v>{"valorA":"de","valorB":2}</v>
      </c>
      <c r="E170" s="8" t="str">
        <f t="shared" si="2"/>
        <v>de</v>
      </c>
      <c r="F170" s="8"/>
      <c r="G170" s="8" t="str">
        <f t="shared" si="3"/>
        <v>2</v>
      </c>
      <c r="H170" s="9">
        <f t="shared" si="4"/>
        <v>2</v>
      </c>
      <c r="I170" s="6" t="str">
        <f>IFERROR(__xludf.DUMMYFUNCTION("MAX(FILTER($H:$H,$E:$E=F170))"),"#N/A")</f>
        <v>#N/A</v>
      </c>
    </row>
    <row r="171">
      <c r="A171" s="4"/>
      <c r="C171" s="4" t="s">
        <v>11506</v>
      </c>
      <c r="D171" s="4" t="str">
        <f t="shared" si="1"/>
        <v>{"valorA":"tapete","valorB":1}</v>
      </c>
      <c r="E171" s="8" t="str">
        <f t="shared" si="2"/>
        <v>tapete</v>
      </c>
      <c r="F171" s="8"/>
      <c r="G171" s="8" t="str">
        <f t="shared" si="3"/>
        <v>1</v>
      </c>
      <c r="H171" s="9">
        <f t="shared" si="4"/>
        <v>1</v>
      </c>
      <c r="I171" s="6" t="str">
        <f>IFERROR(__xludf.DUMMYFUNCTION("MAX(FILTER($H:$H,$E:$E=F171))"),"#N/A")</f>
        <v>#N/A</v>
      </c>
    </row>
    <row r="172">
      <c r="A172" s="4"/>
      <c r="C172" s="4" t="s">
        <v>2869</v>
      </c>
      <c r="D172" s="4" t="str">
        <f t="shared" si="1"/>
        <v>{"valorA":"realmente","valorB":1}</v>
      </c>
      <c r="E172" s="8" t="str">
        <f t="shared" si="2"/>
        <v>realmente</v>
      </c>
      <c r="F172" s="8"/>
      <c r="G172" s="8" t="str">
        <f t="shared" si="3"/>
        <v>1</v>
      </c>
      <c r="H172" s="9">
        <f t="shared" si="4"/>
        <v>1</v>
      </c>
      <c r="I172" s="6" t="str">
        <f>IFERROR(__xludf.DUMMYFUNCTION("MAX(FILTER($H:$H,$E:$E=F172))"),"#N/A")</f>
        <v>#N/A</v>
      </c>
    </row>
    <row r="173">
      <c r="A173" s="4"/>
      <c r="C173" s="4" t="s">
        <v>2727</v>
      </c>
      <c r="D173" s="4" t="str">
        <f t="shared" si="1"/>
        <v>{"valorA":"para","valorB":2}</v>
      </c>
      <c r="E173" s="8" t="str">
        <f t="shared" si="2"/>
        <v>para</v>
      </c>
      <c r="F173" s="8"/>
      <c r="G173" s="8" t="str">
        <f t="shared" si="3"/>
        <v>2</v>
      </c>
      <c r="H173" s="9">
        <f t="shared" si="4"/>
        <v>2</v>
      </c>
      <c r="I173" s="6" t="str">
        <f>IFERROR(__xludf.DUMMYFUNCTION("MAX(FILTER($H:$H,$E:$E=F173))"),"#N/A")</f>
        <v>#N/A</v>
      </c>
    </row>
    <row r="174">
      <c r="A174" s="4"/>
      <c r="C174" s="4" t="s">
        <v>3023</v>
      </c>
      <c r="D174" s="4" t="str">
        <f t="shared" si="1"/>
        <v>{"valorA":"bom","valorB":1}</v>
      </c>
      <c r="E174" s="8" t="str">
        <f t="shared" si="2"/>
        <v>bom</v>
      </c>
      <c r="F174" s="8"/>
      <c r="G174" s="8" t="str">
        <f t="shared" si="3"/>
        <v>1</v>
      </c>
      <c r="H174" s="9">
        <f t="shared" si="4"/>
        <v>1</v>
      </c>
      <c r="I174" s="6" t="str">
        <f>IFERROR(__xludf.DUMMYFUNCTION("MAX(FILTER($H:$H,$E:$E=F174))"),"#N/A")</f>
        <v>#N/A</v>
      </c>
    </row>
    <row r="175">
      <c r="A175" s="4"/>
      <c r="C175" s="4" t="s">
        <v>2660</v>
      </c>
      <c r="D175" s="4" t="str">
        <f t="shared" si="1"/>
        <v>{"valorA":"a","valorB":2}</v>
      </c>
      <c r="E175" s="8" t="str">
        <f t="shared" si="2"/>
        <v>a</v>
      </c>
      <c r="F175" s="8"/>
      <c r="G175" s="8" t="str">
        <f t="shared" si="3"/>
        <v>2</v>
      </c>
      <c r="H175" s="9">
        <f t="shared" si="4"/>
        <v>2</v>
      </c>
      <c r="I175" s="6" t="str">
        <f>IFERROR(__xludf.DUMMYFUNCTION("MAX(FILTER($H:$H,$E:$E=F175))"),"#N/A")</f>
        <v>#N/A</v>
      </c>
    </row>
    <row r="176">
      <c r="A176" s="4"/>
      <c r="C176" s="4" t="s">
        <v>11507</v>
      </c>
      <c r="D176" s="4" t="str">
        <f t="shared" si="1"/>
        <v>{"valorA":"saúde","valorB":1}</v>
      </c>
      <c r="E176" s="8" t="str">
        <f t="shared" si="2"/>
        <v>saúde</v>
      </c>
      <c r="F176" s="8"/>
      <c r="G176" s="8" t="str">
        <f t="shared" si="3"/>
        <v>1</v>
      </c>
      <c r="H176" s="9">
        <f t="shared" si="4"/>
        <v>1</v>
      </c>
      <c r="I176" s="6" t="str">
        <f>IFERROR(__xludf.DUMMYFUNCTION("MAX(FILTER($H:$H,$E:$E=F176))"),"#N/A")</f>
        <v>#N/A</v>
      </c>
    </row>
    <row r="177">
      <c r="A177" s="4"/>
      <c r="C177" s="4" t="s">
        <v>2761</v>
      </c>
      <c r="D177" s="4" t="str">
        <f t="shared" si="1"/>
        <v>{"valorA":"ótimo","valorB":19}</v>
      </c>
      <c r="E177" s="8" t="str">
        <f t="shared" si="2"/>
        <v>ótimo</v>
      </c>
      <c r="F177" s="8"/>
      <c r="G177" s="8" t="str">
        <f t="shared" si="3"/>
        <v>19</v>
      </c>
      <c r="H177" s="9">
        <f t="shared" si="4"/>
        <v>19</v>
      </c>
      <c r="I177" s="6" t="str">
        <f>IFERROR(__xludf.DUMMYFUNCTION("MAX(FILTER($H:$H,$E:$E=F177))"),"#N/A")</f>
        <v>#N/A</v>
      </c>
    </row>
    <row r="178">
      <c r="A178" s="4"/>
      <c r="C178" s="4" t="s">
        <v>2943</v>
      </c>
      <c r="D178" s="4" t="str">
        <f t="shared" si="1"/>
        <v>{"valorA":"é","valorB":9}</v>
      </c>
      <c r="E178" s="8" t="str">
        <f t="shared" si="2"/>
        <v>é</v>
      </c>
      <c r="F178" s="8"/>
      <c r="G178" s="8" t="str">
        <f t="shared" si="3"/>
        <v>9</v>
      </c>
      <c r="H178" s="9">
        <f t="shared" si="4"/>
        <v>9</v>
      </c>
      <c r="I178" s="6" t="str">
        <f>IFERROR(__xludf.DUMMYFUNCTION("MAX(FILTER($H:$H,$E:$E=F178))"),"#N/A")</f>
        <v>#N/A</v>
      </c>
    </row>
    <row r="179">
      <c r="A179" s="4"/>
      <c r="C179" s="4" t="s">
        <v>2793</v>
      </c>
      <c r="D179" s="4" t="str">
        <f t="shared" si="1"/>
        <v>{"valorA":"produto","valorB":14}</v>
      </c>
      <c r="E179" s="8" t="str">
        <f t="shared" si="2"/>
        <v>produto</v>
      </c>
      <c r="F179" s="8"/>
      <c r="G179" s="8" t="str">
        <f t="shared" si="3"/>
        <v>14</v>
      </c>
      <c r="H179" s="9">
        <f t="shared" si="4"/>
        <v>14</v>
      </c>
      <c r="I179" s="6" t="str">
        <f>IFERROR(__xludf.DUMMYFUNCTION("MAX(FILTER($H:$H,$E:$E=F179))"),"#N/A")</f>
        <v>#N/A</v>
      </c>
    </row>
    <row r="180">
      <c r="A180" s="4"/>
      <c r="C180" s="4" t="s">
        <v>3184</v>
      </c>
      <c r="D180" s="4" t="str">
        <f t="shared" si="1"/>
        <v>{"valorA":"casa","valorB":1}</v>
      </c>
      <c r="E180" s="8" t="str">
        <f t="shared" si="2"/>
        <v>casa</v>
      </c>
      <c r="F180" s="8"/>
      <c r="G180" s="8" t="str">
        <f t="shared" si="3"/>
        <v>1</v>
      </c>
      <c r="H180" s="9">
        <f t="shared" si="4"/>
        <v>1</v>
      </c>
      <c r="I180" s="6" t="str">
        <f>IFERROR(__xludf.DUMMYFUNCTION("MAX(FILTER($H:$H,$E:$E=F180))"),"#N/A")</f>
        <v>#N/A</v>
      </c>
    </row>
    <row r="181">
      <c r="A181" s="4"/>
      <c r="C181" s="4" t="s">
        <v>2686</v>
      </c>
      <c r="D181" s="4" t="str">
        <f t="shared" si="1"/>
        <v>{"valorA":"a","valorB":3}</v>
      </c>
      <c r="E181" s="8" t="str">
        <f t="shared" si="2"/>
        <v>a</v>
      </c>
      <c r="F181" s="8"/>
      <c r="G181" s="8" t="str">
        <f t="shared" si="3"/>
        <v>3</v>
      </c>
      <c r="H181" s="9">
        <f t="shared" si="4"/>
        <v>3</v>
      </c>
      <c r="I181" s="6" t="str">
        <f>IFERROR(__xludf.DUMMYFUNCTION("MAX(FILTER($H:$H,$E:$E=F181))"),"#N/A")</f>
        <v>#N/A</v>
      </c>
    </row>
    <row r="182">
      <c r="A182" s="4"/>
      <c r="C182" s="4" t="s">
        <v>3853</v>
      </c>
      <c r="D182" s="4" t="str">
        <f t="shared" si="1"/>
        <v>{"valorA":"minha","valorB":1}</v>
      </c>
      <c r="E182" s="8" t="str">
        <f t="shared" si="2"/>
        <v>minha</v>
      </c>
      <c r="F182" s="8"/>
      <c r="G182" s="8" t="str">
        <f t="shared" si="3"/>
        <v>1</v>
      </c>
      <c r="H182" s="9">
        <f t="shared" si="4"/>
        <v>1</v>
      </c>
      <c r="I182" s="6" t="str">
        <f>IFERROR(__xludf.DUMMYFUNCTION("MAX(FILTER($H:$H,$E:$E=F182))"),"#N/A")</f>
        <v>#N/A</v>
      </c>
    </row>
    <row r="183">
      <c r="A183" s="4"/>
      <c r="C183" s="4" t="s">
        <v>2743</v>
      </c>
      <c r="D183" s="4" t="str">
        <f t="shared" si="1"/>
        <v>{"valorA":"relojoeira","valorB":1}</v>
      </c>
      <c r="E183" s="8" t="str">
        <f t="shared" si="2"/>
        <v>relojoeira</v>
      </c>
      <c r="F183" s="8"/>
      <c r="G183" s="8" t="str">
        <f t="shared" si="3"/>
        <v>1</v>
      </c>
      <c r="H183" s="9">
        <f t="shared" si="4"/>
        <v>1</v>
      </c>
      <c r="I183" s="6" t="str">
        <f>IFERROR(__xludf.DUMMYFUNCTION("MAX(FILTER($H:$H,$E:$E=F183))"),"#N/A")</f>
        <v>#N/A</v>
      </c>
    </row>
    <row r="184">
      <c r="A184" s="4"/>
      <c r="C184" s="4" t="s">
        <v>2804</v>
      </c>
      <c r="D184" s="4" t="str">
        <f t="shared" si="1"/>
        <v>{"valorA":"perfeita","valorB":1}</v>
      </c>
      <c r="E184" s="8" t="str">
        <f t="shared" si="2"/>
        <v>perfeita</v>
      </c>
      <c r="F184" s="8"/>
      <c r="G184" s="8" t="str">
        <f t="shared" si="3"/>
        <v>1</v>
      </c>
      <c r="H184" s="9">
        <f t="shared" si="4"/>
        <v>1</v>
      </c>
      <c r="I184" s="6" t="str">
        <f>IFERROR(__xludf.DUMMYFUNCTION("MAX(FILTER($H:$H,$E:$E=F184))"),"#N/A")</f>
        <v>#N/A</v>
      </c>
    </row>
    <row r="185">
      <c r="A185" s="4"/>
      <c r="C185" s="4" t="s">
        <v>2744</v>
      </c>
      <c r="D185" s="4" t="str">
        <f t="shared" si="1"/>
        <v>{"valorA":"para","valorB":3}</v>
      </c>
      <c r="E185" s="8" t="str">
        <f t="shared" si="2"/>
        <v>para</v>
      </c>
      <c r="F185" s="8"/>
      <c r="G185" s="8" t="str">
        <f t="shared" si="3"/>
        <v>3</v>
      </c>
      <c r="H185" s="9">
        <f t="shared" si="4"/>
        <v>3</v>
      </c>
      <c r="I185" s="6" t="str">
        <f>IFERROR(__xludf.DUMMYFUNCTION("MAX(FILTER($H:$H,$E:$E=F185))"),"#N/A")</f>
        <v>#N/A</v>
      </c>
    </row>
    <row r="186">
      <c r="A186" s="4"/>
      <c r="C186" s="4" t="s">
        <v>2766</v>
      </c>
      <c r="D186" s="4" t="str">
        <f t="shared" si="1"/>
        <v>{"valorA":"ótimo","valorB":20}</v>
      </c>
      <c r="E186" s="8" t="str">
        <f t="shared" si="2"/>
        <v>ótimo</v>
      </c>
      <c r="F186" s="8"/>
      <c r="G186" s="8" t="str">
        <f t="shared" si="3"/>
        <v>20</v>
      </c>
      <c r="H186" s="9">
        <f t="shared" si="4"/>
        <v>20</v>
      </c>
      <c r="I186" s="6" t="str">
        <f>IFERROR(__xludf.DUMMYFUNCTION("MAX(FILTER($H:$H,$E:$E=F186))"),"#N/A")</f>
        <v>#N/A</v>
      </c>
    </row>
    <row r="187">
      <c r="A187" s="4"/>
      <c r="C187" s="4" t="s">
        <v>2850</v>
      </c>
      <c r="D187" s="4" t="str">
        <f t="shared" si="1"/>
        <v>{"valorA":"a","valorB":4}</v>
      </c>
      <c r="E187" s="8" t="str">
        <f t="shared" si="2"/>
        <v>a</v>
      </c>
      <c r="F187" s="8"/>
      <c r="G187" s="8" t="str">
        <f t="shared" si="3"/>
        <v>4</v>
      </c>
      <c r="H187" s="9">
        <f t="shared" si="4"/>
        <v>4</v>
      </c>
      <c r="I187" s="6" t="str">
        <f>IFERROR(__xludf.DUMMYFUNCTION("MAX(FILTER($H:$H,$E:$E=F187))"),"#N/A")</f>
        <v>#N/A</v>
      </c>
    </row>
    <row r="188">
      <c r="A188" s="4"/>
      <c r="C188" s="4" t="s">
        <v>2917</v>
      </c>
      <c r="D188" s="4" t="str">
        <f t="shared" si="1"/>
        <v>{"valorA":"esse","valorB":5}</v>
      </c>
      <c r="E188" s="8" t="str">
        <f t="shared" si="2"/>
        <v>esse</v>
      </c>
      <c r="F188" s="8"/>
      <c r="G188" s="8" t="str">
        <f t="shared" si="3"/>
        <v>5</v>
      </c>
      <c r="H188" s="9">
        <f t="shared" si="4"/>
        <v>5</v>
      </c>
      <c r="I188" s="6" t="str">
        <f>IFERROR(__xludf.DUMMYFUNCTION("MAX(FILTER($H:$H,$E:$E=F188))"),"#N/A")</f>
        <v>#N/A</v>
      </c>
    </row>
    <row r="189">
      <c r="A189" s="4"/>
      <c r="C189" s="4" t="s">
        <v>2979</v>
      </c>
      <c r="D189" s="4" t="str">
        <f t="shared" si="1"/>
        <v>{"valorA":"incrível","valorB":5}</v>
      </c>
      <c r="E189" s="8" t="str">
        <f t="shared" si="2"/>
        <v>incrível</v>
      </c>
      <c r="F189" s="8"/>
      <c r="G189" s="8" t="str">
        <f t="shared" si="3"/>
        <v>5</v>
      </c>
      <c r="H189" s="9">
        <f t="shared" si="4"/>
        <v>5</v>
      </c>
      <c r="I189" s="6" t="str">
        <f>IFERROR(__xludf.DUMMYFUNCTION("MAX(FILTER($H:$H,$E:$E=F189))"),"#N/A")</f>
        <v>#N/A</v>
      </c>
    </row>
    <row r="190">
      <c r="A190" s="4"/>
      <c r="C190" s="4" t="s">
        <v>2960</v>
      </c>
      <c r="D190" s="4" t="str">
        <f t="shared" si="1"/>
        <v>{"valorA":"realmente","valorB":2}</v>
      </c>
      <c r="E190" s="8" t="str">
        <f t="shared" si="2"/>
        <v>realmente</v>
      </c>
      <c r="F190" s="8"/>
      <c r="G190" s="8" t="str">
        <f t="shared" si="3"/>
        <v>2</v>
      </c>
      <c r="H190" s="9">
        <f t="shared" si="4"/>
        <v>2</v>
      </c>
      <c r="I190" s="6" t="str">
        <f>IFERROR(__xludf.DUMMYFUNCTION("MAX(FILTER($H:$H,$E:$E=F190))"),"#N/A")</f>
        <v>#N/A</v>
      </c>
    </row>
    <row r="191">
      <c r="A191" s="4"/>
      <c r="C191" s="4" t="s">
        <v>2878</v>
      </c>
      <c r="D191" s="4" t="str">
        <f t="shared" si="1"/>
        <v>{"valorA":"qualidade","valorB":1}</v>
      </c>
      <c r="E191" s="8" t="str">
        <f t="shared" si="2"/>
        <v>qualidade</v>
      </c>
      <c r="F191" s="8"/>
      <c r="G191" s="8" t="str">
        <f t="shared" si="3"/>
        <v>1</v>
      </c>
      <c r="H191" s="9">
        <f t="shared" si="4"/>
        <v>1</v>
      </c>
      <c r="I191" s="6" t="str">
        <f>IFERROR(__xludf.DUMMYFUNCTION("MAX(FILTER($H:$H,$E:$E=F191))"),"#N/A")</f>
        <v>#N/A</v>
      </c>
    </row>
    <row r="192">
      <c r="A192" s="4"/>
      <c r="C192" s="4" t="s">
        <v>2779</v>
      </c>
      <c r="D192" s="4" t="str">
        <f t="shared" si="1"/>
        <v>{"valorA":"ótimo","valorB":21}</v>
      </c>
      <c r="E192" s="8" t="str">
        <f t="shared" si="2"/>
        <v>ótimo</v>
      </c>
      <c r="F192" s="8"/>
      <c r="G192" s="8" t="str">
        <f t="shared" si="3"/>
        <v>21</v>
      </c>
      <c r="H192" s="9">
        <f t="shared" si="4"/>
        <v>21</v>
      </c>
      <c r="I192" s="6" t="str">
        <f>IFERROR(__xludf.DUMMYFUNCTION("MAX(FILTER($H:$H,$E:$E=F192))"),"#N/A")</f>
        <v>#N/A</v>
      </c>
    </row>
    <row r="193">
      <c r="A193" s="4"/>
      <c r="C193" s="4" t="s">
        <v>2949</v>
      </c>
      <c r="D193" s="4" t="str">
        <f t="shared" si="1"/>
        <v>{"valorA":"é","valorB":10}</v>
      </c>
      <c r="E193" s="8" t="str">
        <f t="shared" si="2"/>
        <v>é</v>
      </c>
      <c r="F193" s="8"/>
      <c r="G193" s="8" t="str">
        <f t="shared" si="3"/>
        <v>10</v>
      </c>
      <c r="H193" s="9">
        <f t="shared" si="4"/>
        <v>10</v>
      </c>
      <c r="I193" s="6" t="str">
        <f>IFERROR(__xludf.DUMMYFUNCTION("MAX(FILTER($H:$H,$E:$E=F193))"),"#N/A")</f>
        <v>#N/A</v>
      </c>
    </row>
    <row r="194">
      <c r="A194" s="4"/>
      <c r="C194" s="4" t="s">
        <v>2796</v>
      </c>
      <c r="D194" s="4" t="str">
        <f t="shared" si="1"/>
        <v>{"valorA":"produto","valorB":15}</v>
      </c>
      <c r="E194" s="8" t="str">
        <f t="shared" si="2"/>
        <v>produto</v>
      </c>
      <c r="F194" s="8"/>
      <c r="G194" s="8" t="str">
        <f t="shared" si="3"/>
        <v>15</v>
      </c>
      <c r="H194" s="9">
        <f t="shared" si="4"/>
        <v>15</v>
      </c>
      <c r="I194" s="6" t="str">
        <f>IFERROR(__xludf.DUMMYFUNCTION("MAX(FILTER($H:$H,$E:$E=F194))"),"#N/A")</f>
        <v>#N/A</v>
      </c>
    </row>
    <row r="195">
      <c r="A195" s="4"/>
      <c r="C195" s="4" t="s">
        <v>3039</v>
      </c>
      <c r="D195" s="4" t="str">
        <f t="shared" si="1"/>
        <v>{"valorA":"fotos","valorB":1}</v>
      </c>
      <c r="E195" s="8" t="str">
        <f t="shared" si="2"/>
        <v>fotos</v>
      </c>
      <c r="F195" s="8"/>
      <c r="G195" s="8" t="str">
        <f t="shared" si="3"/>
        <v>1</v>
      </c>
      <c r="H195" s="9">
        <f t="shared" si="4"/>
        <v>1</v>
      </c>
      <c r="I195" s="6" t="str">
        <f>IFERROR(__xludf.DUMMYFUNCTION("MAX(FILTER($H:$H,$E:$E=F195))"),"#N/A")</f>
        <v>#N/A</v>
      </c>
    </row>
    <row r="196">
      <c r="A196" s="4"/>
      <c r="C196" s="4" t="s">
        <v>11508</v>
      </c>
      <c r="D196" s="4" t="str">
        <f t="shared" si="1"/>
        <v>{"valorA":"digitais","valorB":1}</v>
      </c>
      <c r="E196" s="8" t="str">
        <f t="shared" si="2"/>
        <v>digitais</v>
      </c>
      <c r="F196" s="8"/>
      <c r="G196" s="8" t="str">
        <f t="shared" si="3"/>
        <v>1</v>
      </c>
      <c r="H196" s="9">
        <f t="shared" si="4"/>
        <v>1</v>
      </c>
      <c r="I196" s="6" t="str">
        <f>IFERROR(__xludf.DUMMYFUNCTION("MAX(FILTER($H:$H,$E:$E=F196))"),"#N/A")</f>
        <v>#N/A</v>
      </c>
    </row>
    <row r="197">
      <c r="A197" s="4"/>
      <c r="C197" s="4" t="s">
        <v>2799</v>
      </c>
      <c r="D197" s="4" t="str">
        <f t="shared" si="1"/>
        <v>{"valorA":"câmera","valorB":1}</v>
      </c>
      <c r="E197" s="8" t="str">
        <f t="shared" si="2"/>
        <v>câmera</v>
      </c>
      <c r="F197" s="8"/>
      <c r="G197" s="8" t="str">
        <f t="shared" si="3"/>
        <v>1</v>
      </c>
      <c r="H197" s="9">
        <f t="shared" si="4"/>
        <v>1</v>
      </c>
      <c r="I197" s="6" t="str">
        <f>IFERROR(__xludf.DUMMYFUNCTION("MAX(FILTER($H:$H,$E:$E=F197))"),"#N/A")</f>
        <v>#N/A</v>
      </c>
    </row>
    <row r="198">
      <c r="A198" s="4"/>
      <c r="C198" s="4" t="s">
        <v>2931</v>
      </c>
      <c r="D198" s="4" t="str">
        <f t="shared" si="1"/>
        <v>{"valorA":"esse","valorB":6}</v>
      </c>
      <c r="E198" s="8" t="str">
        <f t="shared" si="2"/>
        <v>esse</v>
      </c>
      <c r="F198" s="8"/>
      <c r="G198" s="8" t="str">
        <f t="shared" si="3"/>
        <v>6</v>
      </c>
      <c r="H198" s="9">
        <f t="shared" si="4"/>
        <v>6</v>
      </c>
      <c r="I198" s="6" t="str">
        <f>IFERROR(__xludf.DUMMYFUNCTION("MAX(FILTER($H:$H,$E:$E=F198))"),"#N/A")</f>
        <v>#N/A</v>
      </c>
    </row>
    <row r="199">
      <c r="A199" s="4"/>
      <c r="C199" s="4" t="s">
        <v>2788</v>
      </c>
      <c r="D199" s="4" t="str">
        <f t="shared" si="1"/>
        <v>{"valorA":"ótimo","valorB":22}</v>
      </c>
      <c r="E199" s="8" t="str">
        <f t="shared" si="2"/>
        <v>ótimo</v>
      </c>
      <c r="F199" s="8"/>
      <c r="G199" s="8" t="str">
        <f t="shared" si="3"/>
        <v>22</v>
      </c>
      <c r="H199" s="9">
        <f t="shared" si="4"/>
        <v>22</v>
      </c>
      <c r="I199" s="6" t="str">
        <f>IFERROR(__xludf.DUMMYFUNCTION("MAX(FILTER($H:$H,$E:$E=F199))"),"#N/A")</f>
        <v>#N/A</v>
      </c>
    </row>
    <row r="200">
      <c r="A200" s="4"/>
      <c r="C200" s="4" t="s">
        <v>3610</v>
      </c>
      <c r="D200" s="4" t="str">
        <f t="shared" si="1"/>
        <v>{"valorA":"incríveis","valorB":1}</v>
      </c>
      <c r="E200" s="8" t="str">
        <f t="shared" si="2"/>
        <v>incríveis</v>
      </c>
      <c r="F200" s="8"/>
      <c r="G200" s="8" t="str">
        <f t="shared" si="3"/>
        <v>1</v>
      </c>
      <c r="H200" s="9">
        <f t="shared" si="4"/>
        <v>1</v>
      </c>
      <c r="I200" s="6" t="str">
        <f>IFERROR(__xludf.DUMMYFUNCTION("MAX(FILTER($H:$H,$E:$E=F200))"),"#N/A")</f>
        <v>#N/A</v>
      </c>
    </row>
    <row r="201">
      <c r="A201" s="4"/>
      <c r="C201" s="4" t="s">
        <v>2801</v>
      </c>
      <c r="D201" s="4" t="str">
        <f t="shared" si="1"/>
        <v>{"valorA":"produto","valorB":16}</v>
      </c>
      <c r="E201" s="8" t="str">
        <f t="shared" si="2"/>
        <v>produto</v>
      </c>
      <c r="F201" s="8"/>
      <c r="G201" s="8" t="str">
        <f t="shared" si="3"/>
        <v>16</v>
      </c>
      <c r="H201" s="9">
        <f t="shared" si="4"/>
        <v>16</v>
      </c>
      <c r="I201" s="6" t="str">
        <f>IFERROR(__xludf.DUMMYFUNCTION("MAX(FILTER($H:$H,$E:$E=F201))"),"#N/A")</f>
        <v>#N/A</v>
      </c>
    </row>
    <row r="202">
      <c r="A202" s="4"/>
      <c r="C202" s="4" t="s">
        <v>11509</v>
      </c>
      <c r="D202" s="4" t="str">
        <f t="shared" si="1"/>
        <v>{"valorA":"nesse","valorB":1}</v>
      </c>
      <c r="E202" s="8" t="str">
        <f t="shared" si="2"/>
        <v>nesse</v>
      </c>
      <c r="F202" s="8"/>
      <c r="G202" s="8" t="str">
        <f t="shared" si="3"/>
        <v>1</v>
      </c>
      <c r="H202" s="9">
        <f t="shared" si="4"/>
        <v>1</v>
      </c>
      <c r="I202" s="6" t="str">
        <f>IFERROR(__xludf.DUMMYFUNCTION("MAX(FILTER($H:$H,$E:$E=F202))"),"#N/A")</f>
        <v>#N/A</v>
      </c>
    </row>
    <row r="203">
      <c r="A203" s="4"/>
      <c r="C203" s="4" t="s">
        <v>3607</v>
      </c>
      <c r="D203" s="4" t="str">
        <f t="shared" si="1"/>
        <v>{"valorA":"corda","valorB":1}</v>
      </c>
      <c r="E203" s="8" t="str">
        <f t="shared" si="2"/>
        <v>corda</v>
      </c>
      <c r="F203" s="8"/>
      <c r="G203" s="8" t="str">
        <f t="shared" si="3"/>
        <v>1</v>
      </c>
      <c r="H203" s="9">
        <f t="shared" si="4"/>
        <v>1</v>
      </c>
      <c r="I203" s="6" t="str">
        <f>IFERROR(__xludf.DUMMYFUNCTION("MAX(FILTER($H:$H,$E:$E=F203))"),"#N/A")</f>
        <v>#N/A</v>
      </c>
    </row>
    <row r="204">
      <c r="A204" s="4"/>
      <c r="C204" s="4" t="s">
        <v>2787</v>
      </c>
      <c r="D204" s="4" t="str">
        <f t="shared" si="1"/>
        <v>{"valorA":"fone","valorB":1}</v>
      </c>
      <c r="E204" s="8" t="str">
        <f t="shared" si="2"/>
        <v>fone</v>
      </c>
      <c r="F204" s="8"/>
      <c r="G204" s="8" t="str">
        <f t="shared" si="3"/>
        <v>1</v>
      </c>
      <c r="H204" s="9">
        <f t="shared" si="4"/>
        <v>1</v>
      </c>
      <c r="I204" s="6" t="str">
        <f>IFERROR(__xludf.DUMMYFUNCTION("MAX(FILTER($H:$H,$E:$E=F204))"),"#N/A")</f>
        <v>#N/A</v>
      </c>
    </row>
    <row r="205">
      <c r="A205" s="4"/>
      <c r="C205" s="4" t="s">
        <v>7077</v>
      </c>
      <c r="D205" s="4" t="str">
        <f t="shared" si="1"/>
        <v>{"valorA":"ouvido","valorB":1}</v>
      </c>
      <c r="E205" s="8" t="str">
        <f t="shared" si="2"/>
        <v>ouvido</v>
      </c>
      <c r="F205" s="8"/>
      <c r="G205" s="8" t="str">
        <f t="shared" si="3"/>
        <v>1</v>
      </c>
      <c r="H205" s="9">
        <f t="shared" si="4"/>
        <v>1</v>
      </c>
      <c r="I205" s="6" t="str">
        <f>IFERROR(__xludf.DUMMYFUNCTION("MAX(FILTER($H:$H,$E:$E=F205))"),"#N/A")</f>
        <v>#N/A</v>
      </c>
    </row>
    <row r="206">
      <c r="A206" s="4"/>
      <c r="C206" s="4" t="s">
        <v>2791</v>
      </c>
      <c r="D206" s="4" t="str">
        <f t="shared" si="1"/>
        <v>{"valorA":"ótimo","valorB":23}</v>
      </c>
      <c r="E206" s="8" t="str">
        <f t="shared" si="2"/>
        <v>ótimo</v>
      </c>
      <c r="F206" s="8"/>
      <c r="G206" s="8" t="str">
        <f t="shared" si="3"/>
        <v>23</v>
      </c>
      <c r="H206" s="9">
        <f t="shared" si="4"/>
        <v>23</v>
      </c>
      <c r="I206" s="6" t="str">
        <f>IFERROR(__xludf.DUMMYFUNCTION("MAX(FILTER($H:$H,$E:$E=F206))"),"#N/A")</f>
        <v>#N/A</v>
      </c>
    </row>
    <row r="207">
      <c r="A207" s="4"/>
      <c r="C207" s="4" t="s">
        <v>2858</v>
      </c>
      <c r="D207" s="4" t="str">
        <f t="shared" si="1"/>
        <v>{"valorA":"comprimento","valorB":1}</v>
      </c>
      <c r="E207" s="8" t="str">
        <f t="shared" si="2"/>
        <v>comprimento</v>
      </c>
      <c r="F207" s="8"/>
      <c r="G207" s="8" t="str">
        <f t="shared" si="3"/>
        <v>1</v>
      </c>
      <c r="H207" s="9">
        <f t="shared" si="4"/>
        <v>1</v>
      </c>
      <c r="I207" s="6" t="str">
        <f>IFERROR(__xludf.DUMMYFUNCTION("MAX(FILTER($H:$H,$E:$E=F207))"),"#N/A")</f>
        <v>#N/A</v>
      </c>
    </row>
    <row r="208">
      <c r="A208" s="4"/>
      <c r="C208" s="4" t="s">
        <v>2736</v>
      </c>
      <c r="D208" s="4" t="str">
        <f t="shared" si="1"/>
        <v>{"valorA":"de","valorB":3}</v>
      </c>
      <c r="E208" s="8" t="str">
        <f t="shared" si="2"/>
        <v>de</v>
      </c>
      <c r="F208" s="8"/>
      <c r="G208" s="8" t="str">
        <f t="shared" si="3"/>
        <v>3</v>
      </c>
      <c r="H208" s="9">
        <f t="shared" si="4"/>
        <v>3</v>
      </c>
      <c r="I208" s="6" t="str">
        <f>IFERROR(__xludf.DUMMYFUNCTION("MAX(FILTER($H:$H,$E:$E=F208))"),"#N/A")</f>
        <v>#N/A</v>
      </c>
    </row>
    <row r="209">
      <c r="A209" s="4"/>
      <c r="C209" s="4" t="s">
        <v>2738</v>
      </c>
      <c r="D209" s="4" t="str">
        <f t="shared" si="1"/>
        <v>{"valorA":"de","valorB":4}</v>
      </c>
      <c r="E209" s="8" t="str">
        <f t="shared" si="2"/>
        <v>de</v>
      </c>
      <c r="F209" s="8"/>
      <c r="G209" s="8" t="str">
        <f t="shared" si="3"/>
        <v>4</v>
      </c>
      <c r="H209" s="9">
        <f t="shared" si="4"/>
        <v>4</v>
      </c>
      <c r="I209" s="6" t="str">
        <f>IFERROR(__xludf.DUMMYFUNCTION("MAX(FILTER($H:$H,$E:$E=F209))"),"#N/A")</f>
        <v>#N/A</v>
      </c>
    </row>
    <row r="210">
      <c r="A210" s="4"/>
      <c r="C210" s="4" t="s">
        <v>2835</v>
      </c>
      <c r="D210" s="4" t="str">
        <f t="shared" si="1"/>
        <v>{"valorA":"muito","valorB":7}</v>
      </c>
      <c r="E210" s="8" t="str">
        <f t="shared" si="2"/>
        <v>muito</v>
      </c>
      <c r="F210" s="8"/>
      <c r="G210" s="8" t="str">
        <f t="shared" si="3"/>
        <v>7</v>
      </c>
      <c r="H210" s="9">
        <f t="shared" si="4"/>
        <v>7</v>
      </c>
      <c r="I210" s="6" t="str">
        <f>IFERROR(__xludf.DUMMYFUNCTION("MAX(FILTER($H:$H,$E:$E=F210))"),"#N/A")</f>
        <v>#N/A</v>
      </c>
    </row>
    <row r="211">
      <c r="A211" s="4"/>
      <c r="C211" s="4" t="s">
        <v>3589</v>
      </c>
      <c r="D211" s="4" t="str">
        <f t="shared" si="1"/>
        <v>{"valorA":"design","valorB":1}</v>
      </c>
      <c r="E211" s="8" t="str">
        <f t="shared" si="2"/>
        <v>design</v>
      </c>
      <c r="F211" s="8"/>
      <c r="G211" s="8" t="str">
        <f t="shared" si="3"/>
        <v>1</v>
      </c>
      <c r="H211" s="9">
        <f t="shared" si="4"/>
        <v>1</v>
      </c>
      <c r="I211" s="6" t="str">
        <f>IFERROR(__xludf.DUMMYFUNCTION("MAX(FILTER($H:$H,$E:$E=F211))"),"#N/A")</f>
        <v>#N/A</v>
      </c>
    </row>
    <row r="212">
      <c r="A212" s="4"/>
      <c r="C212" s="4" t="s">
        <v>3628</v>
      </c>
      <c r="D212" s="4" t="str">
        <f t="shared" si="1"/>
        <v>{"valorA":"incrível","valorB":6}</v>
      </c>
      <c r="E212" s="8" t="str">
        <f t="shared" si="2"/>
        <v>incrível</v>
      </c>
      <c r="F212" s="8"/>
      <c r="G212" s="8" t="str">
        <f t="shared" si="3"/>
        <v>6</v>
      </c>
      <c r="H212" s="9">
        <f t="shared" si="4"/>
        <v>6</v>
      </c>
      <c r="I212" s="6" t="str">
        <f>IFERROR(__xludf.DUMMYFUNCTION("MAX(FILTER($H:$H,$E:$E=F212))"),"#N/A")</f>
        <v>#N/A</v>
      </c>
    </row>
    <row r="213">
      <c r="A213" s="4"/>
      <c r="C213" s="4" t="s">
        <v>3629</v>
      </c>
      <c r="D213" s="4" t="str">
        <f t="shared" si="1"/>
        <v>{"valorA":"meu","valorB":7}</v>
      </c>
      <c r="E213" s="8" t="str">
        <f t="shared" si="2"/>
        <v>meu</v>
      </c>
      <c r="F213" s="8"/>
      <c r="G213" s="8" t="str">
        <f t="shared" si="3"/>
        <v>7</v>
      </c>
      <c r="H213" s="9">
        <f t="shared" si="4"/>
        <v>7</v>
      </c>
      <c r="I213" s="6" t="str">
        <f>IFERROR(__xludf.DUMMYFUNCTION("MAX(FILTER($H:$H,$E:$E=F213))"),"#N/A")</f>
        <v>#N/A</v>
      </c>
    </row>
    <row r="214">
      <c r="A214" s="4"/>
      <c r="C214" s="4" t="s">
        <v>3636</v>
      </c>
      <c r="D214" s="4" t="str">
        <f t="shared" si="1"/>
        <v>{"valorA":"novo","valorB":5}</v>
      </c>
      <c r="E214" s="8" t="str">
        <f t="shared" si="2"/>
        <v>novo</v>
      </c>
      <c r="F214" s="8"/>
      <c r="G214" s="8" t="str">
        <f t="shared" si="3"/>
        <v>5</v>
      </c>
      <c r="H214" s="9">
        <f t="shared" si="4"/>
        <v>5</v>
      </c>
      <c r="I214" s="6" t="str">
        <f>IFERROR(__xludf.DUMMYFUNCTION("MAX(FILTER($H:$H,$E:$E=F214))"),"#N/A")</f>
        <v>#N/A</v>
      </c>
    </row>
    <row r="215">
      <c r="A215" s="4"/>
      <c r="C215" s="4" t="s">
        <v>2941</v>
      </c>
      <c r="D215" s="4" t="str">
        <f t="shared" si="1"/>
        <v>{"valorA":"gosto","valorB":2}</v>
      </c>
      <c r="E215" s="8" t="str">
        <f t="shared" si="2"/>
        <v>gosto</v>
      </c>
      <c r="F215" s="8"/>
      <c r="G215" s="8" t="str">
        <f t="shared" si="3"/>
        <v>2</v>
      </c>
      <c r="H215" s="9">
        <f t="shared" si="4"/>
        <v>2</v>
      </c>
      <c r="I215" s="6" t="str">
        <f>IFERROR(__xludf.DUMMYFUNCTION("MAX(FILTER($H:$H,$E:$E=F215))"),"#N/A")</f>
        <v>#N/A</v>
      </c>
    </row>
    <row r="216">
      <c r="A216" s="4"/>
      <c r="C216" s="4" t="s">
        <v>2919</v>
      </c>
      <c r="D216" s="4" t="str">
        <f t="shared" si="1"/>
        <v>{"valorA":"da","valorB":1}</v>
      </c>
      <c r="E216" s="8" t="str">
        <f t="shared" si="2"/>
        <v>da</v>
      </c>
      <c r="F216" s="8"/>
      <c r="G216" s="8" t="str">
        <f t="shared" si="3"/>
        <v>1</v>
      </c>
      <c r="H216" s="9">
        <f t="shared" si="4"/>
        <v>1</v>
      </c>
      <c r="I216" s="6" t="str">
        <f>IFERROR(__xludf.DUMMYFUNCTION("MAX(FILTER($H:$H,$E:$E=F216))"),"#N/A")</f>
        <v>#N/A</v>
      </c>
    </row>
    <row r="217">
      <c r="A217" s="4"/>
      <c r="C217" s="4" t="s">
        <v>3638</v>
      </c>
      <c r="D217" s="4" t="str">
        <f t="shared" si="1"/>
        <v>{"valorA":"carro","valorB":5}</v>
      </c>
      <c r="E217" s="8" t="str">
        <f t="shared" si="2"/>
        <v>carro</v>
      </c>
      <c r="F217" s="8"/>
      <c r="G217" s="8" t="str">
        <f t="shared" si="3"/>
        <v>5</v>
      </c>
      <c r="H217" s="9">
        <f t="shared" si="4"/>
        <v>5</v>
      </c>
      <c r="I217" s="6" t="str">
        <f>IFERROR(__xludf.DUMMYFUNCTION("MAX(FILTER($H:$H,$E:$E=F217))"),"#N/A")</f>
        <v>#N/A</v>
      </c>
    </row>
    <row r="218">
      <c r="A218" s="4"/>
      <c r="C218" s="4" t="s">
        <v>2964</v>
      </c>
      <c r="D218" s="4" t="str">
        <f t="shared" si="1"/>
        <v>{"valorA":"é","valorB":11}</v>
      </c>
      <c r="E218" s="8" t="str">
        <f t="shared" si="2"/>
        <v>é</v>
      </c>
      <c r="F218" s="8"/>
      <c r="G218" s="8" t="str">
        <f t="shared" si="3"/>
        <v>11</v>
      </c>
      <c r="H218" s="9">
        <f t="shared" si="4"/>
        <v>11</v>
      </c>
      <c r="I218" s="6" t="str">
        <f>IFERROR(__xludf.DUMMYFUNCTION("MAX(FILTER($H:$H,$E:$E=F218))"),"#N/A")</f>
        <v>#N/A</v>
      </c>
    </row>
    <row r="219">
      <c r="A219" s="4"/>
      <c r="C219" s="4" t="s">
        <v>2783</v>
      </c>
      <c r="D219" s="4" t="str">
        <f t="shared" si="1"/>
        <v>{"valorA":"do","valorB":3}</v>
      </c>
      <c r="E219" s="8" t="str">
        <f t="shared" si="2"/>
        <v>do</v>
      </c>
      <c r="F219" s="8"/>
      <c r="G219" s="8" t="str">
        <f t="shared" si="3"/>
        <v>3</v>
      </c>
      <c r="H219" s="9">
        <f t="shared" si="4"/>
        <v>3</v>
      </c>
      <c r="I219" s="6" t="str">
        <f>IFERROR(__xludf.DUMMYFUNCTION("MAX(FILTER($H:$H,$E:$E=F219))"),"#N/A")</f>
        <v>#N/A</v>
      </c>
    </row>
    <row r="220">
      <c r="A220" s="4"/>
      <c r="C220" s="4" t="s">
        <v>2821</v>
      </c>
      <c r="D220" s="4" t="str">
        <f t="shared" si="1"/>
        <v>{"valorA":"e","valorB":9}</v>
      </c>
      <c r="E220" s="8" t="str">
        <f t="shared" si="2"/>
        <v>e</v>
      </c>
      <c r="F220" s="8"/>
      <c r="G220" s="8" t="str">
        <f t="shared" si="3"/>
        <v>9</v>
      </c>
      <c r="H220" s="9">
        <f t="shared" si="4"/>
        <v>9</v>
      </c>
      <c r="I220" s="6" t="str">
        <f>IFERROR(__xludf.DUMMYFUNCTION("MAX(FILTER($H:$H,$E:$E=F220))"),"#N/A")</f>
        <v>#N/A</v>
      </c>
    </row>
    <row r="221">
      <c r="A221" s="4"/>
      <c r="C221" s="4" t="s">
        <v>3593</v>
      </c>
      <c r="D221" s="4" t="str">
        <f t="shared" si="1"/>
        <v>{"valorA":"performance","valorB":1}</v>
      </c>
      <c r="E221" s="8" t="str">
        <f t="shared" si="2"/>
        <v>performance</v>
      </c>
      <c r="F221" s="8"/>
      <c r="G221" s="8" t="str">
        <f t="shared" si="3"/>
        <v>1</v>
      </c>
      <c r="H221" s="9">
        <f t="shared" si="4"/>
        <v>1</v>
      </c>
      <c r="I221" s="6" t="str">
        <f>IFERROR(__xludf.DUMMYFUNCTION("MAX(FILTER($H:$H,$E:$E=F221))"),"#N/A")</f>
        <v>#N/A</v>
      </c>
    </row>
    <row r="222">
      <c r="A222" s="4"/>
      <c r="C222" s="4" t="s">
        <v>11510</v>
      </c>
      <c r="D222" s="4" t="str">
        <f t="shared" si="1"/>
        <v>{"valorA":"online","valorB":2}</v>
      </c>
      <c r="E222" s="8" t="str">
        <f t="shared" si="2"/>
        <v>online</v>
      </c>
      <c r="F222" s="8"/>
      <c r="G222" s="8" t="str">
        <f t="shared" si="3"/>
        <v>2</v>
      </c>
      <c r="H222" s="9">
        <f t="shared" si="4"/>
        <v>2</v>
      </c>
      <c r="I222" s="6" t="str">
        <f>IFERROR(__xludf.DUMMYFUNCTION("MAX(FILTER($H:$H,$E:$E=F222))"),"#N/A")</f>
        <v>#N/A</v>
      </c>
    </row>
    <row r="223">
      <c r="A223" s="4"/>
      <c r="C223" s="4" t="s">
        <v>7054</v>
      </c>
      <c r="D223" s="4" t="str">
        <f t="shared" si="1"/>
        <v>{"valorA":"carrinho","valorB":1}</v>
      </c>
      <c r="E223" s="8" t="str">
        <f t="shared" si="2"/>
        <v>carrinho</v>
      </c>
      <c r="F223" s="8"/>
      <c r="G223" s="8" t="str">
        <f t="shared" si="3"/>
        <v>1</v>
      </c>
      <c r="H223" s="9">
        <f t="shared" si="4"/>
        <v>1</v>
      </c>
      <c r="I223" s="6" t="str">
        <f>IFERROR(__xludf.DUMMYFUNCTION("MAX(FILTER($H:$H,$E:$E=F223))"),"#N/A")</f>
        <v>#N/A</v>
      </c>
    </row>
    <row r="224">
      <c r="A224" s="4"/>
      <c r="C224" s="4" t="s">
        <v>7053</v>
      </c>
      <c r="D224" s="4" t="str">
        <f t="shared" si="1"/>
        <v>{"valorA":"compras","valorB":1}</v>
      </c>
      <c r="E224" s="8" t="str">
        <f t="shared" si="2"/>
        <v>compras</v>
      </c>
      <c r="F224" s="8"/>
      <c r="G224" s="8" t="str">
        <f t="shared" si="3"/>
        <v>1</v>
      </c>
      <c r="H224" s="9">
        <f t="shared" si="4"/>
        <v>1</v>
      </c>
      <c r="I224" s="6" t="str">
        <f>IFERROR(__xludf.DUMMYFUNCTION("MAX(FILTER($H:$H,$E:$E=F224))"),"#N/A")</f>
        <v>#N/A</v>
      </c>
    </row>
    <row r="225">
      <c r="A225" s="4"/>
      <c r="C225" s="4" t="s">
        <v>2798</v>
      </c>
      <c r="D225" s="4" t="str">
        <f t="shared" si="1"/>
        <v>{"valorA":"ótimo","valorB":24}</v>
      </c>
      <c r="E225" s="8" t="str">
        <f t="shared" si="2"/>
        <v>ótimo</v>
      </c>
      <c r="F225" s="8"/>
      <c r="G225" s="8" t="str">
        <f t="shared" si="3"/>
        <v>24</v>
      </c>
      <c r="H225" s="9">
        <f t="shared" si="4"/>
        <v>24</v>
      </c>
      <c r="I225" s="6" t="str">
        <f>IFERROR(__xludf.DUMMYFUNCTION("MAX(FILTER($H:$H,$E:$E=F225))"),"#N/A")</f>
        <v>#N/A</v>
      </c>
    </row>
    <row r="226">
      <c r="A226" s="4"/>
      <c r="C226" s="4" t="s">
        <v>2748</v>
      </c>
      <c r="D226" s="4" t="str">
        <f t="shared" si="1"/>
        <v>{"valorA":"de","valorB":5}</v>
      </c>
      <c r="E226" s="8" t="str">
        <f t="shared" si="2"/>
        <v>de</v>
      </c>
      <c r="F226" s="8"/>
      <c r="G226" s="8" t="str">
        <f t="shared" si="3"/>
        <v>5</v>
      </c>
      <c r="H226" s="9">
        <f t="shared" si="4"/>
        <v>5</v>
      </c>
      <c r="I226" s="6" t="str">
        <f>IFERROR(__xludf.DUMMYFUNCTION("MAX(FILTER($H:$H,$E:$E=F226))"),"#N/A")</f>
        <v>#N/A</v>
      </c>
    </row>
    <row r="227">
      <c r="A227" s="4"/>
      <c r="C227" s="4" t="s">
        <v>3067</v>
      </c>
      <c r="D227" s="4" t="str">
        <f t="shared" si="1"/>
        <v>{"valorA":"rápido","valorB":1}</v>
      </c>
      <c r="E227" s="8" t="str">
        <f t="shared" si="2"/>
        <v>rápido</v>
      </c>
      <c r="F227" s="8"/>
      <c r="G227" s="8" t="str">
        <f t="shared" si="3"/>
        <v>1</v>
      </c>
      <c r="H227" s="9">
        <f t="shared" si="4"/>
        <v>1</v>
      </c>
      <c r="I227" s="6" t="str">
        <f>IFERROR(__xludf.DUMMYFUNCTION("MAX(FILTER($H:$H,$E:$E=F227))"),"#N/A")</f>
        <v>#N/A</v>
      </c>
    </row>
    <row r="228">
      <c r="A228" s="4"/>
      <c r="C228" s="4" t="s">
        <v>3620</v>
      </c>
      <c r="D228" s="4" t="str">
        <f t="shared" si="1"/>
        <v>{"valorA":"entrega","valorB":1}</v>
      </c>
      <c r="E228" s="8" t="str">
        <f t="shared" si="2"/>
        <v>entrega</v>
      </c>
      <c r="F228" s="8"/>
      <c r="G228" s="8" t="str">
        <f t="shared" si="3"/>
        <v>1</v>
      </c>
      <c r="H228" s="9">
        <f t="shared" si="4"/>
        <v>1</v>
      </c>
      <c r="I228" s="6" t="str">
        <f>IFERROR(__xludf.DUMMYFUNCTION("MAX(FILTER($H:$H,$E:$E=F228))"),"#N/A")</f>
        <v>#N/A</v>
      </c>
    </row>
    <row r="229">
      <c r="A229" s="4"/>
      <c r="C229" s="4" t="s">
        <v>2759</v>
      </c>
      <c r="D229" s="4" t="str">
        <f t="shared" si="1"/>
        <v>{"valorA":"para","valorB":4}</v>
      </c>
      <c r="E229" s="8" t="str">
        <f t="shared" si="2"/>
        <v>para</v>
      </c>
      <c r="F229" s="8"/>
      <c r="G229" s="8" t="str">
        <f t="shared" si="3"/>
        <v>4</v>
      </c>
      <c r="H229" s="9">
        <f t="shared" si="4"/>
        <v>4</v>
      </c>
      <c r="I229" s="6" t="str">
        <f>IFERROR(__xludf.DUMMYFUNCTION("MAX(FILTER($H:$H,$E:$E=F229))"),"#N/A")</f>
        <v>#N/A</v>
      </c>
    </row>
    <row r="230">
      <c r="A230" s="4"/>
      <c r="C230" s="4" t="s">
        <v>7055</v>
      </c>
      <c r="D230" s="4" t="str">
        <f t="shared" si="1"/>
        <v>{"valorA":"facil","valorB":1}</v>
      </c>
      <c r="E230" s="8" t="str">
        <f t="shared" si="2"/>
        <v>facil</v>
      </c>
      <c r="F230" s="8"/>
      <c r="G230" s="8" t="str">
        <f t="shared" si="3"/>
        <v>1</v>
      </c>
      <c r="H230" s="9">
        <f t="shared" si="4"/>
        <v>1</v>
      </c>
      <c r="I230" s="6" t="str">
        <f>IFERROR(__xludf.DUMMYFUNCTION("MAX(FILTER($H:$H,$E:$E=F230))"),"#N/A")</f>
        <v>#N/A</v>
      </c>
    </row>
    <row r="231">
      <c r="A231" s="4"/>
      <c r="C231" s="4" t="s">
        <v>3341</v>
      </c>
      <c r="D231" s="4" t="str">
        <f t="shared" si="1"/>
        <v>{"valorA":"coment","valorB":1}</v>
      </c>
      <c r="E231" s="8" t="str">
        <f t="shared" si="2"/>
        <v>coment</v>
      </c>
      <c r="F231" s="8"/>
      <c r="G231" s="8" t="str">
        <f t="shared" si="3"/>
        <v>1</v>
      </c>
      <c r="H231" s="9">
        <f t="shared" si="4"/>
        <v>1</v>
      </c>
      <c r="I231" s="6" t="str">
        <f>IFERROR(__xludf.DUMMYFUNCTION("MAX(FILTER($H:$H,$E:$E=F231))"),"#N/A")</f>
        <v>#N/A</v>
      </c>
    </row>
    <row r="232">
      <c r="A232" s="4"/>
      <c r="C232" s="4" t="s">
        <v>2876</v>
      </c>
      <c r="D232" s="4" t="str">
        <f t="shared" si="1"/>
        <v>{"valorA":"de","valorB":6}</v>
      </c>
      <c r="E232" s="8" t="str">
        <f t="shared" si="2"/>
        <v>de</v>
      </c>
      <c r="F232" s="8"/>
      <c r="G232" s="8" t="str">
        <f t="shared" si="3"/>
        <v>6</v>
      </c>
      <c r="H232" s="9">
        <f t="shared" si="4"/>
        <v>6</v>
      </c>
      <c r="I232" s="6" t="str">
        <f>IFERROR(__xludf.DUMMYFUNCTION("MAX(FILTER($H:$H,$E:$E=F232))"),"#N/A")</f>
        <v>#N/A</v>
      </c>
    </row>
    <row r="233">
      <c r="A233" s="4"/>
      <c r="C233" s="4" t="s">
        <v>2881</v>
      </c>
      <c r="D233" s="4" t="str">
        <f t="shared" si="1"/>
        <v>{"valorA":"e","valorB":10}</v>
      </c>
      <c r="E233" s="8" t="str">
        <f t="shared" si="2"/>
        <v>e</v>
      </c>
      <c r="F233" s="8"/>
      <c r="G233" s="8" t="str">
        <f t="shared" si="3"/>
        <v>10</v>
      </c>
      <c r="H233" s="9">
        <f t="shared" si="4"/>
        <v>10</v>
      </c>
      <c r="I233" s="6" t="str">
        <f>IFERROR(__xludf.DUMMYFUNCTION("MAX(FILTER($H:$H,$E:$E=F233))"),"#N/A")</f>
        <v>#N/A</v>
      </c>
    </row>
    <row r="234">
      <c r="A234" s="4"/>
      <c r="C234" s="4" t="s">
        <v>2723</v>
      </c>
      <c r="D234" s="4" t="str">
        <f t="shared" si="1"/>
        <v>{"valorA":"usar","valorB":2}</v>
      </c>
      <c r="E234" s="8" t="str">
        <f t="shared" si="2"/>
        <v>usar</v>
      </c>
      <c r="F234" s="8"/>
      <c r="G234" s="8" t="str">
        <f t="shared" si="3"/>
        <v>2</v>
      </c>
      <c r="H234" s="9">
        <f t="shared" si="4"/>
        <v>2</v>
      </c>
      <c r="I234" s="6" t="str">
        <f>IFERROR(__xludf.DUMMYFUNCTION("MAX(FILTER($H:$H,$E:$E=F234))"),"#N/A")</f>
        <v>#N/A</v>
      </c>
    </row>
    <row r="235">
      <c r="A235" s="4"/>
      <c r="C235" s="4" t="s">
        <v>2622</v>
      </c>
      <c r="D235" s="4" t="str">
        <f t="shared" si="1"/>
        <v>{"valorA":"confiável","valorB":1}</v>
      </c>
      <c r="E235" s="8" t="str">
        <f t="shared" si="2"/>
        <v>confiável</v>
      </c>
      <c r="F235" s="8"/>
      <c r="G235" s="8" t="str">
        <f t="shared" si="3"/>
        <v>1</v>
      </c>
      <c r="H235" s="9">
        <f t="shared" si="4"/>
        <v>1</v>
      </c>
      <c r="I235" s="6" t="str">
        <f>IFERROR(__xludf.DUMMYFUNCTION("MAX(FILTER($H:$H,$E:$E=F235))"),"#N/A")</f>
        <v>#N/A</v>
      </c>
    </row>
    <row r="236">
      <c r="A236" s="4"/>
      <c r="C236" s="4" t="s">
        <v>11511</v>
      </c>
      <c r="D236" s="4" t="str">
        <f t="shared" si="1"/>
        <v>{"valorA":"van","valorB":1}</v>
      </c>
      <c r="E236" s="8" t="str">
        <f t="shared" si="2"/>
        <v>van</v>
      </c>
      <c r="F236" s="8"/>
      <c r="G236" s="8" t="str">
        <f t="shared" si="3"/>
        <v>1</v>
      </c>
      <c r="H236" s="9">
        <f t="shared" si="4"/>
        <v>1</v>
      </c>
      <c r="I236" s="6" t="str">
        <f>IFERROR(__xludf.DUMMYFUNCTION("MAX(FILTER($H:$H,$E:$E=F236))"),"#N/A")</f>
        <v>#N/A</v>
      </c>
    </row>
    <row r="237">
      <c r="A237" s="4"/>
      <c r="C237" s="4" t="s">
        <v>7059</v>
      </c>
      <c r="D237" s="4" t="str">
        <f t="shared" si="1"/>
        <v>{"valorA":"desse","valorB":3}</v>
      </c>
      <c r="E237" s="8" t="str">
        <f t="shared" si="2"/>
        <v>desse</v>
      </c>
      <c r="F237" s="8"/>
      <c r="G237" s="8" t="str">
        <f t="shared" si="3"/>
        <v>3</v>
      </c>
      <c r="H237" s="9">
        <f t="shared" si="4"/>
        <v>3</v>
      </c>
      <c r="I237" s="6" t="str">
        <f>IFERROR(__xludf.DUMMYFUNCTION("MAX(FILTER($H:$H,$E:$E=F237))"),"#N/A")</f>
        <v>#N/A</v>
      </c>
    </row>
    <row r="238">
      <c r="A238" s="4"/>
      <c r="C238" s="4" t="s">
        <v>2806</v>
      </c>
      <c r="D238" s="4" t="str">
        <f t="shared" si="1"/>
        <v>{"valorA":"ótimo","valorB":25}</v>
      </c>
      <c r="E238" s="8" t="str">
        <f t="shared" si="2"/>
        <v>ótimo</v>
      </c>
      <c r="F238" s="8"/>
      <c r="G238" s="8" t="str">
        <f t="shared" si="3"/>
        <v>25</v>
      </c>
      <c r="H238" s="9">
        <f t="shared" si="4"/>
        <v>25</v>
      </c>
      <c r="I238" s="6" t="str">
        <f>IFERROR(__xludf.DUMMYFUNCTION("MAX(FILTER($H:$H,$E:$E=F238))"),"#N/A")</f>
        <v>#N/A</v>
      </c>
    </row>
    <row r="239">
      <c r="A239" s="4"/>
      <c r="C239" s="4" t="s">
        <v>2984</v>
      </c>
      <c r="D239" s="4" t="str">
        <f t="shared" si="1"/>
        <v>{"valorA":"de","valorB":7}</v>
      </c>
      <c r="E239" s="8" t="str">
        <f t="shared" si="2"/>
        <v>de</v>
      </c>
      <c r="F239" s="8"/>
      <c r="G239" s="8" t="str">
        <f t="shared" si="3"/>
        <v>7</v>
      </c>
      <c r="H239" s="9">
        <f t="shared" si="4"/>
        <v>7</v>
      </c>
      <c r="I239" s="6" t="str">
        <f>IFERROR(__xludf.DUMMYFUNCTION("MAX(FILTER($H:$H,$E:$E=F239))"),"#N/A")</f>
        <v>#N/A</v>
      </c>
    </row>
    <row r="240">
      <c r="A240" s="4"/>
      <c r="C240" s="4" t="s">
        <v>3103</v>
      </c>
      <c r="D240" s="4" t="str">
        <f t="shared" si="1"/>
        <v>{"valorA":"e","valorB":11}</v>
      </c>
      <c r="E240" s="8" t="str">
        <f t="shared" si="2"/>
        <v>e</v>
      </c>
      <c r="F240" s="8"/>
      <c r="G240" s="8" t="str">
        <f t="shared" si="3"/>
        <v>11</v>
      </c>
      <c r="H240" s="9">
        <f t="shared" si="4"/>
        <v>11</v>
      </c>
      <c r="I240" s="6" t="str">
        <f>IFERROR(__xludf.DUMMYFUNCTION("MAX(FILTER($H:$H,$E:$E=F240))"),"#N/A")</f>
        <v>#N/A</v>
      </c>
    </row>
    <row r="241">
      <c r="A241" s="4"/>
      <c r="C241" s="4" t="s">
        <v>3652</v>
      </c>
      <c r="D241" s="4" t="str">
        <f t="shared" si="1"/>
        <v>{"valorA":"carro","valorB":6}</v>
      </c>
      <c r="E241" s="8" t="str">
        <f t="shared" si="2"/>
        <v>carro</v>
      </c>
      <c r="F241" s="8"/>
      <c r="G241" s="8" t="str">
        <f t="shared" si="3"/>
        <v>6</v>
      </c>
      <c r="H241" s="9">
        <f t="shared" si="4"/>
        <v>6</v>
      </c>
      <c r="I241" s="6" t="str">
        <f>IFERROR(__xludf.DUMMYFUNCTION("MAX(FILTER($H:$H,$E:$E=F241))"),"#N/A")</f>
        <v>#N/A</v>
      </c>
    </row>
    <row r="242">
      <c r="A242" s="4"/>
      <c r="C242" s="4" t="s">
        <v>2809</v>
      </c>
      <c r="D242" s="4" t="str">
        <f t="shared" si="1"/>
        <v>{"valorA":"ótimo","valorB":26}</v>
      </c>
      <c r="E242" s="8" t="str">
        <f t="shared" si="2"/>
        <v>ótimo</v>
      </c>
      <c r="F242" s="8"/>
      <c r="G242" s="8" t="str">
        <f t="shared" si="3"/>
        <v>26</v>
      </c>
      <c r="H242" s="9">
        <f t="shared" si="4"/>
        <v>26</v>
      </c>
      <c r="I242" s="6" t="str">
        <f>IFERROR(__xludf.DUMMYFUNCTION("MAX(FILTER($H:$H,$E:$E=F242))"),"#N/A")</f>
        <v>#N/A</v>
      </c>
    </row>
    <row r="243">
      <c r="A243" s="4"/>
      <c r="C243" s="4" t="s">
        <v>2894</v>
      </c>
      <c r="D243" s="4" t="str">
        <f t="shared" si="1"/>
        <v>{"valorA":"muito","valorB":8}</v>
      </c>
      <c r="E243" s="8" t="str">
        <f t="shared" si="2"/>
        <v>muito</v>
      </c>
      <c r="F243" s="8"/>
      <c r="G243" s="8" t="str">
        <f t="shared" si="3"/>
        <v>8</v>
      </c>
      <c r="H243" s="9">
        <f t="shared" si="4"/>
        <v>8</v>
      </c>
      <c r="I243" s="6" t="str">
        <f>IFERROR(__xludf.DUMMYFUNCTION("MAX(FILTER($H:$H,$E:$E=F243))"),"#N/A")</f>
        <v>#N/A</v>
      </c>
    </row>
    <row r="244">
      <c r="A244" s="4"/>
      <c r="C244" s="4" t="s">
        <v>3158</v>
      </c>
      <c r="D244" s="4" t="str">
        <f t="shared" si="1"/>
        <v>{"valorA":"alegra","valorB":1}</v>
      </c>
      <c r="E244" s="8" t="str">
        <f t="shared" si="2"/>
        <v>alegra</v>
      </c>
      <c r="F244" s="8"/>
      <c r="G244" s="8" t="str">
        <f t="shared" si="3"/>
        <v>1</v>
      </c>
      <c r="H244" s="9">
        <f t="shared" si="4"/>
        <v>1</v>
      </c>
      <c r="I244" s="6" t="str">
        <f>IFERROR(__xludf.DUMMYFUNCTION("MAX(FILTER($H:$H,$E:$E=F244))"),"#N/A")</f>
        <v>#N/A</v>
      </c>
    </row>
    <row r="245">
      <c r="A245" s="4"/>
      <c r="C245" s="4" t="s">
        <v>3159</v>
      </c>
      <c r="D245" s="4" t="str">
        <f t="shared" si="1"/>
        <v>{"valorA":"comprado","valorB":1}</v>
      </c>
      <c r="E245" s="8" t="str">
        <f t="shared" si="2"/>
        <v>comprado</v>
      </c>
      <c r="F245" s="8"/>
      <c r="G245" s="8" t="str">
        <f t="shared" si="3"/>
        <v>1</v>
      </c>
      <c r="H245" s="9">
        <f t="shared" si="4"/>
        <v>1</v>
      </c>
      <c r="I245" s="6" t="str">
        <f>IFERROR(__xludf.DUMMYFUNCTION("MAX(FILTER($H:$H,$E:$E=F245))"),"#N/A")</f>
        <v>#N/A</v>
      </c>
    </row>
    <row r="246">
      <c r="A246" s="4"/>
      <c r="C246" s="4" t="s">
        <v>11512</v>
      </c>
      <c r="D246" s="4" t="str">
        <f t="shared" si="1"/>
        <v>{"valorA":"me","valorB":3}</v>
      </c>
      <c r="E246" s="8" t="str">
        <f t="shared" si="2"/>
        <v>me</v>
      </c>
      <c r="F246" s="8"/>
      <c r="G246" s="8" t="str">
        <f t="shared" si="3"/>
        <v>3</v>
      </c>
      <c r="H246" s="9">
        <f t="shared" si="4"/>
        <v>3</v>
      </c>
      <c r="I246" s="6" t="str">
        <f>IFERROR(__xludf.DUMMYFUNCTION("MAX(FILTER($H:$H,$E:$E=F246))"),"#N/A")</f>
        <v>#N/A</v>
      </c>
    </row>
    <row r="247">
      <c r="A247" s="4"/>
      <c r="C247" s="4" t="s">
        <v>2812</v>
      </c>
      <c r="D247" s="4" t="str">
        <f t="shared" si="1"/>
        <v>{"valorA":"produto","valorB":17}</v>
      </c>
      <c r="E247" s="8" t="str">
        <f t="shared" si="2"/>
        <v>produto</v>
      </c>
      <c r="F247" s="8"/>
      <c r="G247" s="8" t="str">
        <f t="shared" si="3"/>
        <v>17</v>
      </c>
      <c r="H247" s="9">
        <f t="shared" si="4"/>
        <v>17</v>
      </c>
      <c r="I247" s="6" t="str">
        <f>IFERROR(__xludf.DUMMYFUNCTION("MAX(FILTER($H:$H,$E:$E=F247))"),"#N/A")</f>
        <v>#N/A</v>
      </c>
    </row>
    <row r="248">
      <c r="A248" s="4"/>
      <c r="C248" s="4" t="s">
        <v>3160</v>
      </c>
      <c r="D248" s="4" t="str">
        <f t="shared" si="1"/>
        <v>{"valorA":"ter","valorB":1}</v>
      </c>
      <c r="E248" s="8" t="str">
        <f t="shared" si="2"/>
        <v>ter</v>
      </c>
      <c r="F248" s="8"/>
      <c r="G248" s="8" t="str">
        <f t="shared" si="3"/>
        <v>1</v>
      </c>
      <c r="H248" s="9">
        <f t="shared" si="4"/>
        <v>1</v>
      </c>
      <c r="I248" s="6" t="str">
        <f>IFERROR(__xludf.DUMMYFUNCTION("MAX(FILTER($H:$H,$E:$E=F248))"),"#N/A")</f>
        <v>#N/A</v>
      </c>
    </row>
    <row r="249">
      <c r="A249" s="4"/>
      <c r="C249" s="4" t="s">
        <v>7094</v>
      </c>
      <c r="D249" s="4" t="str">
        <f t="shared" si="1"/>
        <v>{"valorA":"desse","valorB":4}</v>
      </c>
      <c r="E249" s="8" t="str">
        <f t="shared" si="2"/>
        <v>desse</v>
      </c>
      <c r="F249" s="8"/>
      <c r="G249" s="8" t="str">
        <f t="shared" si="3"/>
        <v>4</v>
      </c>
      <c r="H249" s="9">
        <f t="shared" si="4"/>
        <v>4</v>
      </c>
      <c r="I249" s="6" t="str">
        <f>IFERROR(__xludf.DUMMYFUNCTION("MAX(FILTER($H:$H,$E:$E=F249))"),"#N/A")</f>
        <v>#N/A</v>
      </c>
    </row>
    <row r="250">
      <c r="A250" s="4"/>
      <c r="C250" s="4" t="s">
        <v>11513</v>
      </c>
      <c r="D250" s="4" t="str">
        <f t="shared" si="1"/>
        <v>{"valorA":"setor","valorB":1}</v>
      </c>
      <c r="E250" s="8" t="str">
        <f t="shared" si="2"/>
        <v>setor</v>
      </c>
      <c r="F250" s="8"/>
      <c r="G250" s="8" t="str">
        <f t="shared" si="3"/>
        <v>1</v>
      </c>
      <c r="H250" s="9">
        <f t="shared" si="4"/>
        <v>1</v>
      </c>
      <c r="I250" s="6" t="str">
        <f>IFERROR(__xludf.DUMMYFUNCTION("MAX(FILTER($H:$H,$E:$E=F250))"),"#N/A")</f>
        <v>#N/A</v>
      </c>
    </row>
    <row r="251">
      <c r="A251" s="4"/>
      <c r="C251" s="4" t="s">
        <v>2818</v>
      </c>
      <c r="D251" s="4" t="str">
        <f t="shared" si="1"/>
        <v>{"valorA":"ótimo","valorB":27}</v>
      </c>
      <c r="E251" s="8" t="str">
        <f t="shared" si="2"/>
        <v>ótimo</v>
      </c>
      <c r="F251" s="8"/>
      <c r="G251" s="8" t="str">
        <f t="shared" si="3"/>
        <v>27</v>
      </c>
      <c r="H251" s="9">
        <f t="shared" si="4"/>
        <v>27</v>
      </c>
      <c r="I251" s="6" t="str">
        <f>IFERROR(__xludf.DUMMYFUNCTION("MAX(FILTER($H:$H,$E:$E=F251))"),"#N/A")</f>
        <v>#N/A</v>
      </c>
    </row>
    <row r="252">
      <c r="A252" s="4"/>
      <c r="C252" s="4" t="s">
        <v>2832</v>
      </c>
      <c r="D252" s="4" t="str">
        <f t="shared" si="1"/>
        <v>{"valorA":"produto","valorB":18}</v>
      </c>
      <c r="E252" s="8" t="str">
        <f t="shared" si="2"/>
        <v>produto</v>
      </c>
      <c r="F252" s="8"/>
      <c r="G252" s="8" t="str">
        <f t="shared" si="3"/>
        <v>18</v>
      </c>
      <c r="H252" s="9">
        <f t="shared" si="4"/>
        <v>18</v>
      </c>
      <c r="I252" s="6" t="str">
        <f>IFERROR(__xludf.DUMMYFUNCTION("MAX(FILTER($H:$H,$E:$E=F252))"),"#N/A")</f>
        <v>#N/A</v>
      </c>
    </row>
    <row r="253">
      <c r="A253" s="4"/>
      <c r="C253" s="4" t="s">
        <v>2847</v>
      </c>
      <c r="D253" s="4" t="str">
        <f t="shared" si="1"/>
        <v>{"valorA":"relojoeiro","valorB":2}</v>
      </c>
      <c r="E253" s="8" t="str">
        <f t="shared" si="2"/>
        <v>relojoeiro</v>
      </c>
      <c r="F253" s="8"/>
      <c r="G253" s="8" t="str">
        <f t="shared" si="3"/>
        <v>2</v>
      </c>
      <c r="H253" s="9">
        <f t="shared" si="4"/>
        <v>2</v>
      </c>
      <c r="I253" s="6" t="str">
        <f>IFERROR(__xludf.DUMMYFUNCTION("MAX(FILTER($H:$H,$E:$E=F253))"),"#N/A")</f>
        <v>#N/A</v>
      </c>
    </row>
    <row r="254">
      <c r="A254" s="4"/>
      <c r="C254" s="4" t="s">
        <v>2828</v>
      </c>
      <c r="D254" s="4" t="str">
        <f t="shared" si="1"/>
        <v>{"valorA":"ótimo","valorB":28}</v>
      </c>
      <c r="E254" s="8" t="str">
        <f t="shared" si="2"/>
        <v>ótimo</v>
      </c>
      <c r="F254" s="8"/>
      <c r="G254" s="8" t="str">
        <f t="shared" si="3"/>
        <v>28</v>
      </c>
      <c r="H254" s="9">
        <f t="shared" si="4"/>
        <v>28</v>
      </c>
      <c r="I254" s="6" t="str">
        <f>IFERROR(__xludf.DUMMYFUNCTION("MAX(FILTER($H:$H,$E:$E=F254))"),"#N/A")</f>
        <v>#N/A</v>
      </c>
    </row>
    <row r="255">
      <c r="A255" s="4"/>
      <c r="C255" s="4" t="s">
        <v>2816</v>
      </c>
      <c r="D255" s="4" t="str">
        <f t="shared" si="1"/>
        <v>{"valorA":"funciona","valorB":8}</v>
      </c>
      <c r="E255" s="8" t="str">
        <f t="shared" si="2"/>
        <v>funciona</v>
      </c>
      <c r="F255" s="8"/>
      <c r="G255" s="8" t="str">
        <f t="shared" si="3"/>
        <v>8</v>
      </c>
      <c r="H255" s="9">
        <f t="shared" si="4"/>
        <v>8</v>
      </c>
      <c r="I255" s="6" t="str">
        <f>IFERROR(__xludf.DUMMYFUNCTION("MAX(FILTER($H:$H,$E:$E=F255))"),"#N/A")</f>
        <v>#N/A</v>
      </c>
    </row>
    <row r="256">
      <c r="A256" s="4"/>
      <c r="C256" s="4" t="s">
        <v>2817</v>
      </c>
      <c r="D256" s="4" t="str">
        <f t="shared" si="1"/>
        <v>{"valorA":"perfeitamente","valorB":7}</v>
      </c>
      <c r="E256" s="8" t="str">
        <f t="shared" si="2"/>
        <v>perfeitamente</v>
      </c>
      <c r="F256" s="8"/>
      <c r="G256" s="8" t="str">
        <f t="shared" si="3"/>
        <v>7</v>
      </c>
      <c r="H256" s="9">
        <f t="shared" si="4"/>
        <v>7</v>
      </c>
      <c r="I256" s="6" t="str">
        <f>IFERROR(__xludf.DUMMYFUNCTION("MAX(FILTER($H:$H,$E:$E=F256))"),"#N/A")</f>
        <v>#N/A</v>
      </c>
    </row>
    <row r="257">
      <c r="A257" s="4"/>
      <c r="C257" s="4" t="s">
        <v>11514</v>
      </c>
      <c r="D257" s="4" t="str">
        <f t="shared" si="1"/>
        <v>{"valorA":"confortável","valorB":6}</v>
      </c>
      <c r="E257" s="8" t="str">
        <f t="shared" si="2"/>
        <v>confortável</v>
      </c>
      <c r="F257" s="8"/>
      <c r="G257" s="8" t="str">
        <f t="shared" si="3"/>
        <v>6</v>
      </c>
      <c r="H257" s="9">
        <f t="shared" si="4"/>
        <v>6</v>
      </c>
      <c r="I257" s="6" t="str">
        <f>IFERROR(__xludf.DUMMYFUNCTION("MAX(FILTER($H:$H,$E:$E=F257))"),"#N/A")</f>
        <v>#N/A</v>
      </c>
    </row>
    <row r="258">
      <c r="A258" s="4"/>
      <c r="C258" s="4" t="s">
        <v>3446</v>
      </c>
      <c r="D258" s="4" t="str">
        <f t="shared" si="1"/>
        <v>{"valorA":"cadeira","valorB":4}</v>
      </c>
      <c r="E258" s="8" t="str">
        <f t="shared" si="2"/>
        <v>cadeira</v>
      </c>
      <c r="F258" s="8"/>
      <c r="G258" s="8" t="str">
        <f t="shared" si="3"/>
        <v>4</v>
      </c>
      <c r="H258" s="9">
        <f t="shared" si="4"/>
        <v>4</v>
      </c>
      <c r="I258" s="6" t="str">
        <f>IFERROR(__xludf.DUMMYFUNCTION("MAX(FILTER($H:$H,$E:$E=F258))"),"#N/A")</f>
        <v>#N/A</v>
      </c>
    </row>
    <row r="259">
      <c r="A259" s="4"/>
      <c r="C259" s="4" t="s">
        <v>11515</v>
      </c>
      <c r="D259" s="4" t="str">
        <f t="shared" si="1"/>
        <v>{"valorA":"vou","valorB":1}</v>
      </c>
      <c r="E259" s="8" t="str">
        <f t="shared" si="2"/>
        <v>vou</v>
      </c>
      <c r="F259" s="8"/>
      <c r="G259" s="8" t="str">
        <f t="shared" si="3"/>
        <v>1</v>
      </c>
      <c r="H259" s="9">
        <f t="shared" si="4"/>
        <v>1</v>
      </c>
      <c r="I259" s="6" t="str">
        <f>IFERROR(__xludf.DUMMYFUNCTION("MAX(FILTER($H:$H,$E:$E=F259))"),"#N/A")</f>
        <v>#N/A</v>
      </c>
    </row>
    <row r="260">
      <c r="A260" s="4"/>
      <c r="C260" s="4" t="s">
        <v>2795</v>
      </c>
      <c r="D260" s="4" t="str">
        <f t="shared" si="1"/>
        <v>{"valorA":"essa","valorB":5}</v>
      </c>
      <c r="E260" s="8" t="str">
        <f t="shared" si="2"/>
        <v>essa</v>
      </c>
      <c r="F260" s="8"/>
      <c r="G260" s="8" t="str">
        <f t="shared" si="3"/>
        <v>5</v>
      </c>
      <c r="H260" s="9">
        <f t="shared" si="4"/>
        <v>5</v>
      </c>
      <c r="I260" s="6" t="str">
        <f>IFERROR(__xludf.DUMMYFUNCTION("MAX(FILTER($H:$H,$E:$E=F260))"),"#N/A")</f>
        <v>#N/A</v>
      </c>
    </row>
    <row r="261">
      <c r="A261" s="4"/>
      <c r="C261" s="4" t="s">
        <v>2831</v>
      </c>
      <c r="D261" s="4" t="str">
        <f t="shared" si="1"/>
        <v>{"valorA":"ótimo","valorB":29}</v>
      </c>
      <c r="E261" s="8" t="str">
        <f t="shared" si="2"/>
        <v>ótimo</v>
      </c>
      <c r="F261" s="8"/>
      <c r="G261" s="8" t="str">
        <f t="shared" si="3"/>
        <v>29</v>
      </c>
      <c r="H261" s="9">
        <f t="shared" si="4"/>
        <v>29</v>
      </c>
      <c r="I261" s="6" t="str">
        <f>IFERROR(__xludf.DUMMYFUNCTION("MAX(FILTER($H:$H,$E:$E=F261))"),"#N/A")</f>
        <v>#N/A</v>
      </c>
    </row>
    <row r="262">
      <c r="A262" s="4"/>
      <c r="C262" s="4" t="s">
        <v>3113</v>
      </c>
      <c r="D262" s="4" t="str">
        <f t="shared" si="1"/>
        <v>{"valorA":"e","valorB":12}</v>
      </c>
      <c r="E262" s="8" t="str">
        <f t="shared" si="2"/>
        <v>e</v>
      </c>
      <c r="F262" s="8"/>
      <c r="G262" s="8" t="str">
        <f t="shared" si="3"/>
        <v>12</v>
      </c>
      <c r="H262" s="9">
        <f t="shared" si="4"/>
        <v>12</v>
      </c>
      <c r="I262" s="6" t="str">
        <f>IFERROR(__xludf.DUMMYFUNCTION("MAX(FILTER($H:$H,$E:$E=F262))"),"#N/A")</f>
        <v>#N/A</v>
      </c>
    </row>
    <row r="263">
      <c r="A263" s="4"/>
      <c r="C263" s="4" t="s">
        <v>3592</v>
      </c>
      <c r="D263" s="4" t="str">
        <f t="shared" si="1"/>
        <v>{"valorA":"comprála","valorB":1}</v>
      </c>
      <c r="E263" s="8" t="str">
        <f t="shared" si="2"/>
        <v>comprála</v>
      </c>
      <c r="F263" s="8"/>
      <c r="G263" s="8" t="str">
        <f t="shared" si="3"/>
        <v>1</v>
      </c>
      <c r="H263" s="9">
        <f t="shared" si="4"/>
        <v>1</v>
      </c>
      <c r="I263" s="6" t="str">
        <f>IFERROR(__xludf.DUMMYFUNCTION("MAX(FILTER($H:$H,$E:$E=F263))"),"#N/A")</f>
        <v>#N/A</v>
      </c>
    </row>
    <row r="264">
      <c r="A264" s="4"/>
      <c r="C264" s="4" t="s">
        <v>11516</v>
      </c>
      <c r="D264" s="4" t="str">
        <f t="shared" si="1"/>
        <v>{"valorA":"vez","valorB":1}</v>
      </c>
      <c r="E264" s="8" t="str">
        <f t="shared" si="2"/>
        <v>vez</v>
      </c>
      <c r="F264" s="8"/>
      <c r="G264" s="8" t="str">
        <f t="shared" si="3"/>
        <v>1</v>
      </c>
      <c r="H264" s="9">
        <f t="shared" si="4"/>
        <v>1</v>
      </c>
      <c r="I264" s="6" t="str">
        <f>IFERROR(__xludf.DUMMYFUNCTION("MAX(FILTER($H:$H,$E:$E=F264))"),"#N/A")</f>
        <v>#N/A</v>
      </c>
    </row>
    <row r="265">
      <c r="A265" s="4"/>
      <c r="C265" s="4" t="s">
        <v>11517</v>
      </c>
      <c r="D265" s="4" t="str">
        <f t="shared" si="1"/>
        <v>{"valorA":"outra","valorB":1}</v>
      </c>
      <c r="E265" s="8" t="str">
        <f t="shared" si="2"/>
        <v>outra</v>
      </c>
      <c r="F265" s="8"/>
      <c r="G265" s="8" t="str">
        <f t="shared" si="3"/>
        <v>1</v>
      </c>
      <c r="H265" s="9">
        <f t="shared" si="4"/>
        <v>1</v>
      </c>
      <c r="I265" s="6" t="str">
        <f>IFERROR(__xludf.DUMMYFUNCTION("MAX(FILTER($H:$H,$E:$E=F265))"),"#N/A")</f>
        <v>#N/A</v>
      </c>
    </row>
    <row r="266">
      <c r="A266" s="4"/>
      <c r="C266" s="4" t="s">
        <v>2857</v>
      </c>
      <c r="D266" s="4" t="str">
        <f t="shared" si="1"/>
        <v>{"valorA":"está","valorB":1}</v>
      </c>
      <c r="E266" s="8" t="str">
        <f t="shared" si="2"/>
        <v>está</v>
      </c>
      <c r="F266" s="8"/>
      <c r="G266" s="8" t="str">
        <f t="shared" si="3"/>
        <v>1</v>
      </c>
      <c r="H266" s="9">
        <f t="shared" si="4"/>
        <v>1</v>
      </c>
      <c r="I266" s="6" t="str">
        <f>IFERROR(__xludf.DUMMYFUNCTION("MAX(FILTER($H:$H,$E:$E=F266))"),"#N/A")</f>
        <v>#N/A</v>
      </c>
    </row>
    <row r="267">
      <c r="A267" s="4"/>
      <c r="C267" s="4" t="s">
        <v>3619</v>
      </c>
      <c r="D267" s="4" t="str">
        <f t="shared" si="1"/>
        <v>{"valorA":"perfeitamente","valorB":8}</v>
      </c>
      <c r="E267" s="8" t="str">
        <f t="shared" si="2"/>
        <v>perfeitamente</v>
      </c>
      <c r="F267" s="8"/>
      <c r="G267" s="8" t="str">
        <f t="shared" si="3"/>
        <v>8</v>
      </c>
      <c r="H267" s="9">
        <f t="shared" si="4"/>
        <v>8</v>
      </c>
      <c r="I267" s="6" t="str">
        <f>IFERROR(__xludf.DUMMYFUNCTION("MAX(FILTER($H:$H,$E:$E=F267))"),"#N/A")</f>
        <v>#N/A</v>
      </c>
    </row>
    <row r="268">
      <c r="A268" s="4"/>
      <c r="C268" s="4" t="s">
        <v>2841</v>
      </c>
      <c r="D268" s="4" t="str">
        <f t="shared" si="1"/>
        <v>{"valorA":"ótimo","valorB":30}</v>
      </c>
      <c r="E268" s="8" t="str">
        <f t="shared" si="2"/>
        <v>ótimo</v>
      </c>
      <c r="F268" s="8"/>
      <c r="G268" s="8" t="str">
        <f t="shared" si="3"/>
        <v>30</v>
      </c>
      <c r="H268" s="9">
        <f t="shared" si="4"/>
        <v>30</v>
      </c>
      <c r="I268" s="6" t="str">
        <f>IFERROR(__xludf.DUMMYFUNCTION("MAX(FILTER($H:$H,$E:$E=F268))"),"#N/A")</f>
        <v>#N/A</v>
      </c>
    </row>
    <row r="269">
      <c r="A269" s="4"/>
      <c r="C269" s="4" t="s">
        <v>2877</v>
      </c>
      <c r="D269" s="4" t="str">
        <f t="shared" si="1"/>
        <v>{"valorA":"funciona","valorB":9}</v>
      </c>
      <c r="E269" s="8" t="str">
        <f t="shared" si="2"/>
        <v>funciona</v>
      </c>
      <c r="F269" s="8"/>
      <c r="G269" s="8" t="str">
        <f t="shared" si="3"/>
        <v>9</v>
      </c>
      <c r="H269" s="9">
        <f t="shared" si="4"/>
        <v>9</v>
      </c>
      <c r="I269" s="6" t="str">
        <f>IFERROR(__xludf.DUMMYFUNCTION("MAX(FILTER($H:$H,$E:$E=F269))"),"#N/A")</f>
        <v>#N/A</v>
      </c>
    </row>
    <row r="270">
      <c r="A270" s="4"/>
      <c r="C270" s="4" t="s">
        <v>2867</v>
      </c>
      <c r="D270" s="4" t="str">
        <f t="shared" si="1"/>
        <v>{"valorA":"produto","valorB":19}</v>
      </c>
      <c r="E270" s="8" t="str">
        <f t="shared" si="2"/>
        <v>produto</v>
      </c>
      <c r="F270" s="8"/>
      <c r="G270" s="8" t="str">
        <f t="shared" si="3"/>
        <v>19</v>
      </c>
      <c r="H270" s="9">
        <f t="shared" si="4"/>
        <v>19</v>
      </c>
      <c r="I270" s="6" t="str">
        <f>IFERROR(__xludf.DUMMYFUNCTION("MAX(FILTER($H:$H,$E:$E=F270))"),"#N/A")</f>
        <v>#N/A</v>
      </c>
    </row>
    <row r="271">
      <c r="A271" s="4"/>
      <c r="C271" s="4" t="s">
        <v>2722</v>
      </c>
      <c r="D271" s="4" t="str">
        <f t="shared" si="1"/>
        <v>{"valorA":"fácil","valorB":2}</v>
      </c>
      <c r="E271" s="8" t="str">
        <f t="shared" si="2"/>
        <v>fácil</v>
      </c>
      <c r="F271" s="8"/>
      <c r="G271" s="8" t="str">
        <f t="shared" si="3"/>
        <v>2</v>
      </c>
      <c r="H271" s="9">
        <f t="shared" si="4"/>
        <v>2</v>
      </c>
      <c r="I271" s="6" t="str">
        <f>IFERROR(__xludf.DUMMYFUNCTION("MAX(FILTER($H:$H,$E:$E=F271))"),"#N/A")</f>
        <v>#N/A</v>
      </c>
    </row>
    <row r="272">
      <c r="A272" s="4"/>
      <c r="C272" s="4" t="s">
        <v>2975</v>
      </c>
      <c r="D272" s="4" t="str">
        <f t="shared" si="1"/>
        <v>{"valorA":"é","valorB":12}</v>
      </c>
      <c r="E272" s="8" t="str">
        <f t="shared" si="2"/>
        <v>é</v>
      </c>
      <c r="F272" s="8"/>
      <c r="G272" s="8" t="str">
        <f t="shared" si="3"/>
        <v>12</v>
      </c>
      <c r="H272" s="9">
        <f t="shared" si="4"/>
        <v>12</v>
      </c>
      <c r="I272" s="6" t="str">
        <f>IFERROR(__xludf.DUMMYFUNCTION("MAX(FILTER($H:$H,$E:$E=F272))"),"#N/A")</f>
        <v>#N/A</v>
      </c>
    </row>
    <row r="273">
      <c r="A273" s="4"/>
      <c r="C273" s="4" t="s">
        <v>3130</v>
      </c>
      <c r="D273" s="4" t="str">
        <f t="shared" si="1"/>
        <v>{"valorA":"e","valorB":13}</v>
      </c>
      <c r="E273" s="8" t="str">
        <f t="shared" si="2"/>
        <v>e</v>
      </c>
      <c r="F273" s="8"/>
      <c r="G273" s="8" t="str">
        <f t="shared" si="3"/>
        <v>13</v>
      </c>
      <c r="H273" s="9">
        <f t="shared" si="4"/>
        <v>13</v>
      </c>
      <c r="I273" s="6" t="str">
        <f>IFERROR(__xludf.DUMMYFUNCTION("MAX(FILTER($H:$H,$E:$E=F273))"),"#N/A")</f>
        <v>#N/A</v>
      </c>
    </row>
    <row r="274">
      <c r="A274" s="4"/>
      <c r="C274" s="4" t="s">
        <v>3069</v>
      </c>
      <c r="D274" s="4" t="str">
        <f t="shared" si="1"/>
        <v>{"valorA":"de","valorB":8}</v>
      </c>
      <c r="E274" s="8" t="str">
        <f t="shared" si="2"/>
        <v>de</v>
      </c>
      <c r="F274" s="8"/>
      <c r="G274" s="8" t="str">
        <f t="shared" si="3"/>
        <v>8</v>
      </c>
      <c r="H274" s="9">
        <f t="shared" si="4"/>
        <v>8</v>
      </c>
      <c r="I274" s="6" t="str">
        <f>IFERROR(__xludf.DUMMYFUNCTION("MAX(FILTER($H:$H,$E:$E=F274))"),"#N/A")</f>
        <v>#N/A</v>
      </c>
    </row>
    <row r="275">
      <c r="A275" s="4"/>
      <c r="C275" s="4" t="s">
        <v>2739</v>
      </c>
      <c r="D275" s="4" t="str">
        <f t="shared" si="1"/>
        <v>{"valorA":"usar","valorB":3}</v>
      </c>
      <c r="E275" s="8" t="str">
        <f t="shared" si="2"/>
        <v>usar</v>
      </c>
      <c r="F275" s="8"/>
      <c r="G275" s="8" t="str">
        <f t="shared" si="3"/>
        <v>3</v>
      </c>
      <c r="H275" s="9">
        <f t="shared" si="4"/>
        <v>3</v>
      </c>
      <c r="I275" s="6" t="str">
        <f>IFERROR(__xludf.DUMMYFUNCTION("MAX(FILTER($H:$H,$E:$E=F275))"),"#N/A")</f>
        <v>#N/A</v>
      </c>
    </row>
    <row r="276">
      <c r="A276" s="4"/>
      <c r="C276" s="4" t="s">
        <v>3632</v>
      </c>
      <c r="D276" s="4" t="str">
        <f t="shared" si="1"/>
        <v>{"valorA":"incrível","valorB":7}</v>
      </c>
      <c r="E276" s="8" t="str">
        <f t="shared" si="2"/>
        <v>incrível</v>
      </c>
      <c r="F276" s="8"/>
      <c r="G276" s="8" t="str">
        <f t="shared" si="3"/>
        <v>7</v>
      </c>
      <c r="H276" s="9">
        <f t="shared" si="4"/>
        <v>7</v>
      </c>
      <c r="I276" s="6" t="str">
        <f>IFERROR(__xludf.DUMMYFUNCTION("MAX(FILTER($H:$H,$E:$E=F276))"),"#N/A")</f>
        <v>#N/A</v>
      </c>
    </row>
    <row r="277">
      <c r="A277" s="4"/>
      <c r="C277" s="4" t="s">
        <v>3025</v>
      </c>
      <c r="D277" s="4" t="str">
        <f t="shared" si="1"/>
        <v>{"valorA":"um","valorB":1}</v>
      </c>
      <c r="E277" s="8" t="str">
        <f t="shared" si="2"/>
        <v>um</v>
      </c>
      <c r="F277" s="8"/>
      <c r="G277" s="8" t="str">
        <f t="shared" si="3"/>
        <v>1</v>
      </c>
      <c r="H277" s="9">
        <f t="shared" si="4"/>
        <v>1</v>
      </c>
      <c r="I277" s="6" t="str">
        <f>IFERROR(__xludf.DUMMYFUNCTION("MAX(FILTER($H:$H,$E:$E=F277))"),"#N/A")</f>
        <v>#N/A</v>
      </c>
    </row>
    <row r="278">
      <c r="A278" s="4"/>
      <c r="C278" s="4" t="s">
        <v>2655</v>
      </c>
      <c r="D278" s="4" t="str">
        <f t="shared" si="1"/>
        <v>{"valorA":"preço","valorB":1}</v>
      </c>
      <c r="E278" s="8" t="str">
        <f t="shared" si="2"/>
        <v>preço</v>
      </c>
      <c r="F278" s="8"/>
      <c r="G278" s="8" t="str">
        <f t="shared" si="3"/>
        <v>1</v>
      </c>
      <c r="H278" s="9">
        <f t="shared" si="4"/>
        <v>1</v>
      </c>
      <c r="I278" s="6" t="str">
        <f>IFERROR(__xludf.DUMMYFUNCTION("MAX(FILTER($H:$H,$E:$E=F278))"),"#N/A")</f>
        <v>#N/A</v>
      </c>
    </row>
    <row r="279">
      <c r="A279" s="4"/>
      <c r="C279" s="4" t="s">
        <v>3189</v>
      </c>
      <c r="D279" s="4" t="str">
        <f t="shared" si="1"/>
        <v>{"valorA":"em","valorB":1}</v>
      </c>
      <c r="E279" s="8" t="str">
        <f t="shared" si="2"/>
        <v>em</v>
      </c>
      <c r="F279" s="8"/>
      <c r="G279" s="8" t="str">
        <f t="shared" si="3"/>
        <v>1</v>
      </c>
      <c r="H279" s="9">
        <f t="shared" si="4"/>
        <v>1</v>
      </c>
      <c r="I279" s="6" t="str">
        <f>IFERROR(__xludf.DUMMYFUNCTION("MAX(FILTER($H:$H,$E:$E=F279))"),"#N/A")</f>
        <v>#N/A</v>
      </c>
    </row>
    <row r="280">
      <c r="A280" s="4"/>
      <c r="C280" s="4" t="s">
        <v>2845</v>
      </c>
      <c r="D280" s="4" t="str">
        <f t="shared" si="1"/>
        <v>{"valorA":"ótimo","valorB":31}</v>
      </c>
      <c r="E280" s="8" t="str">
        <f t="shared" si="2"/>
        <v>ótimo</v>
      </c>
      <c r="F280" s="8"/>
      <c r="G280" s="8" t="str">
        <f t="shared" si="3"/>
        <v>31</v>
      </c>
      <c r="H280" s="9">
        <f t="shared" si="4"/>
        <v>31</v>
      </c>
      <c r="I280" s="6" t="str">
        <f>IFERROR(__xludf.DUMMYFUNCTION("MAX(FILTER($H:$H,$E:$E=F280))"),"#N/A")</f>
        <v>#N/A</v>
      </c>
    </row>
    <row r="281">
      <c r="A281" s="4"/>
      <c r="C281" s="4" t="s">
        <v>2872</v>
      </c>
      <c r="D281" s="4" t="str">
        <f t="shared" si="1"/>
        <v>{"valorA":"produto","valorB":20}</v>
      </c>
      <c r="E281" s="8" t="str">
        <f t="shared" si="2"/>
        <v>produto</v>
      </c>
      <c r="F281" s="8"/>
      <c r="G281" s="8" t="str">
        <f t="shared" si="3"/>
        <v>20</v>
      </c>
      <c r="H281" s="9">
        <f t="shared" si="4"/>
        <v>20</v>
      </c>
      <c r="I281" s="6" t="str">
        <f>IFERROR(__xludf.DUMMYFUNCTION("MAX(FILTER($H:$H,$E:$E=F281))"),"#N/A")</f>
        <v>#N/A</v>
      </c>
    </row>
    <row r="282">
      <c r="A282" s="4"/>
      <c r="C282" s="4" t="s">
        <v>11518</v>
      </c>
      <c r="D282" s="4" t="str">
        <f t="shared" si="1"/>
        <v>{"valorA":"boas","valorB":1}</v>
      </c>
      <c r="E282" s="8" t="str">
        <f t="shared" si="2"/>
        <v>boas</v>
      </c>
      <c r="F282" s="8"/>
      <c r="G282" s="8" t="str">
        <f t="shared" si="3"/>
        <v>1</v>
      </c>
      <c r="H282" s="9">
        <f t="shared" si="4"/>
        <v>1</v>
      </c>
      <c r="I282" s="6" t="str">
        <f>IFERROR(__xludf.DUMMYFUNCTION("MAX(FILTER($H:$H,$E:$E=F282))"),"#N/A")</f>
        <v>#N/A</v>
      </c>
    </row>
    <row r="283">
      <c r="A283" s="4"/>
      <c r="C283" s="4" t="s">
        <v>11519</v>
      </c>
      <c r="D283" s="4" t="str">
        <f t="shared" si="1"/>
        <v>{"valorA":"condições","valorB":1}</v>
      </c>
      <c r="E283" s="8" t="str">
        <f t="shared" si="2"/>
        <v>condições</v>
      </c>
      <c r="F283" s="8"/>
      <c r="G283" s="8" t="str">
        <f t="shared" si="3"/>
        <v>1</v>
      </c>
      <c r="H283" s="9">
        <f t="shared" si="4"/>
        <v>1</v>
      </c>
      <c r="I283" s="6" t="str">
        <f>IFERROR(__xludf.DUMMYFUNCTION("MAX(FILTER($H:$H,$E:$E=F283))"),"#N/A")</f>
        <v>#N/A</v>
      </c>
    </row>
    <row r="284">
      <c r="A284" s="4"/>
      <c r="C284" s="4" t="s">
        <v>11520</v>
      </c>
      <c r="D284" s="4" t="str">
        <f t="shared" si="1"/>
        <v>{"valorA":"online","valorB":3}</v>
      </c>
      <c r="E284" s="8" t="str">
        <f t="shared" si="2"/>
        <v>online</v>
      </c>
      <c r="F284" s="8"/>
      <c r="G284" s="8" t="str">
        <f t="shared" si="3"/>
        <v>3</v>
      </c>
      <c r="H284" s="9">
        <f t="shared" si="4"/>
        <v>3</v>
      </c>
      <c r="I284" s="6" t="str">
        <f>IFERROR(__xludf.DUMMYFUNCTION("MAX(FILTER($H:$H,$E:$E=F284))"),"#N/A")</f>
        <v>#N/A</v>
      </c>
    </row>
    <row r="285">
      <c r="A285" s="4"/>
      <c r="C285" s="4" t="s">
        <v>11521</v>
      </c>
      <c r="D285" s="4" t="str">
        <f t="shared" si="1"/>
        <v>{"valorA":"loja","valorB":2}</v>
      </c>
      <c r="E285" s="8" t="str">
        <f t="shared" si="2"/>
        <v>loja</v>
      </c>
      <c r="F285" s="8"/>
      <c r="G285" s="8" t="str">
        <f t="shared" si="3"/>
        <v>2</v>
      </c>
      <c r="H285" s="9">
        <f t="shared" si="4"/>
        <v>2</v>
      </c>
      <c r="I285" s="6" t="str">
        <f>IFERROR(__xludf.DUMMYFUNCTION("MAX(FILTER($H:$H,$E:$E=F285))"),"#N/A")</f>
        <v>#N/A</v>
      </c>
    </row>
    <row r="286">
      <c r="A286" s="4"/>
      <c r="C286" s="4" t="s">
        <v>3140</v>
      </c>
      <c r="D286" s="4" t="str">
        <f t="shared" si="1"/>
        <v>{"valorA":"e","valorB":14}</v>
      </c>
      <c r="E286" s="8" t="str">
        <f t="shared" si="2"/>
        <v>e</v>
      </c>
      <c r="F286" s="8"/>
      <c r="G286" s="8" t="str">
        <f t="shared" si="3"/>
        <v>14</v>
      </c>
      <c r="H286" s="9">
        <f t="shared" si="4"/>
        <v>14</v>
      </c>
      <c r="I286" s="6" t="str">
        <f>IFERROR(__xludf.DUMMYFUNCTION("MAX(FILTER($H:$H,$E:$E=F286))"),"#N/A")</f>
        <v>#N/A</v>
      </c>
    </row>
    <row r="287">
      <c r="A287" s="4"/>
      <c r="C287" s="4" t="s">
        <v>7067</v>
      </c>
      <c r="D287" s="4" t="str">
        <f t="shared" si="1"/>
        <v>{"valorA":"veio","valorB":1}</v>
      </c>
      <c r="E287" s="8" t="str">
        <f t="shared" si="2"/>
        <v>veio</v>
      </c>
      <c r="F287" s="8"/>
      <c r="G287" s="8" t="str">
        <f t="shared" si="3"/>
        <v>1</v>
      </c>
      <c r="H287" s="9">
        <f t="shared" si="4"/>
        <v>1</v>
      </c>
      <c r="I287" s="6" t="str">
        <f>IFERROR(__xludf.DUMMYFUNCTION("MAX(FILTER($H:$H,$E:$E=F287))"),"#N/A")</f>
        <v>#N/A</v>
      </c>
    </row>
    <row r="288">
      <c r="A288" s="4"/>
      <c r="C288" s="4" t="s">
        <v>11522</v>
      </c>
      <c r="D288" s="4" t="str">
        <f t="shared" si="1"/>
        <v>{"valorA":"dessa","valorB":2}</v>
      </c>
      <c r="E288" s="8" t="str">
        <f t="shared" si="2"/>
        <v>dessa</v>
      </c>
      <c r="F288" s="8"/>
      <c r="G288" s="8" t="str">
        <f t="shared" si="3"/>
        <v>2</v>
      </c>
      <c r="H288" s="9">
        <f t="shared" si="4"/>
        <v>2</v>
      </c>
      <c r="I288" s="6" t="str">
        <f>IFERROR(__xludf.DUMMYFUNCTION("MAX(FILTER($H:$H,$E:$E=F288))"),"#N/A")</f>
        <v>#N/A</v>
      </c>
    </row>
    <row r="289">
      <c r="A289" s="4"/>
      <c r="C289" s="4" t="s">
        <v>3394</v>
      </c>
      <c r="D289" s="4" t="str">
        <f t="shared" si="1"/>
        <v>{"valorA":"em","valorB":2}</v>
      </c>
      <c r="E289" s="8" t="str">
        <f t="shared" si="2"/>
        <v>em</v>
      </c>
      <c r="F289" s="8"/>
      <c r="G289" s="8" t="str">
        <f t="shared" si="3"/>
        <v>2</v>
      </c>
      <c r="H289" s="9">
        <f t="shared" si="4"/>
        <v>2</v>
      </c>
      <c r="I289" s="6" t="str">
        <f>IFERROR(__xludf.DUMMYFUNCTION("MAX(FILTER($H:$H,$E:$E=F289))"),"#N/A")</f>
        <v>#N/A</v>
      </c>
    </row>
    <row r="290">
      <c r="A290" s="4"/>
      <c r="C290" s="4" t="s">
        <v>2741</v>
      </c>
      <c r="D290" s="4" t="str">
        <f t="shared" si="1"/>
        <v>{"valorA":"fácil","valorB":3}</v>
      </c>
      <c r="E290" s="8" t="str">
        <f t="shared" si="2"/>
        <v>fácil</v>
      </c>
      <c r="F290" s="8"/>
      <c r="G290" s="8" t="str">
        <f t="shared" si="3"/>
        <v>3</v>
      </c>
      <c r="H290" s="9">
        <f t="shared" si="4"/>
        <v>3</v>
      </c>
      <c r="I290" s="6" t="str">
        <f>IFERROR(__xludf.DUMMYFUNCTION("MAX(FILTER($H:$H,$E:$E=F290))"),"#N/A")</f>
        <v>#N/A</v>
      </c>
    </row>
    <row r="291">
      <c r="A291" s="4"/>
      <c r="C291" s="4" t="s">
        <v>2978</v>
      </c>
      <c r="D291" s="4" t="str">
        <f t="shared" si="1"/>
        <v>{"valorA":"é","valorB":13}</v>
      </c>
      <c r="E291" s="8" t="str">
        <f t="shared" si="2"/>
        <v>é</v>
      </c>
      <c r="F291" s="8"/>
      <c r="G291" s="8" t="str">
        <f t="shared" si="3"/>
        <v>13</v>
      </c>
      <c r="H291" s="9">
        <f t="shared" si="4"/>
        <v>13</v>
      </c>
      <c r="I291" s="6" t="str">
        <f>IFERROR(__xludf.DUMMYFUNCTION("MAX(FILTER($H:$H,$E:$E=F291))"),"#N/A")</f>
        <v>#N/A</v>
      </c>
    </row>
    <row r="292">
      <c r="A292" s="4"/>
      <c r="C292" s="4" t="s">
        <v>3072</v>
      </c>
      <c r="D292" s="4" t="str">
        <f t="shared" si="1"/>
        <v>{"valorA":"de","valorB":9}</v>
      </c>
      <c r="E292" s="8" t="str">
        <f t="shared" si="2"/>
        <v>de</v>
      </c>
      <c r="F292" s="8"/>
      <c r="G292" s="8" t="str">
        <f t="shared" si="3"/>
        <v>9</v>
      </c>
      <c r="H292" s="9">
        <f t="shared" si="4"/>
        <v>9</v>
      </c>
      <c r="I292" s="6" t="str">
        <f>IFERROR(__xludf.DUMMYFUNCTION("MAX(FILTER($H:$H,$E:$E=F292))"),"#N/A")</f>
        <v>#N/A</v>
      </c>
    </row>
    <row r="293">
      <c r="A293" s="4"/>
      <c r="C293" s="4" t="s">
        <v>3052</v>
      </c>
      <c r="D293" s="4" t="str">
        <f t="shared" si="1"/>
        <v>{"valorA":"usar","valorB":4}</v>
      </c>
      <c r="E293" s="8" t="str">
        <f t="shared" si="2"/>
        <v>usar</v>
      </c>
      <c r="F293" s="8"/>
      <c r="G293" s="8" t="str">
        <f t="shared" si="3"/>
        <v>4</v>
      </c>
      <c r="H293" s="9">
        <f t="shared" si="4"/>
        <v>4</v>
      </c>
      <c r="I293" s="6" t="str">
        <f>IFERROR(__xludf.DUMMYFUNCTION("MAX(FILTER($H:$H,$E:$E=F293))"),"#N/A")</f>
        <v>#N/A</v>
      </c>
    </row>
    <row r="294">
      <c r="A294" s="4"/>
      <c r="C294" s="4" t="s">
        <v>2855</v>
      </c>
      <c r="D294" s="4" t="str">
        <f t="shared" si="1"/>
        <v>{"valorA":"ótimo","valorB":32}</v>
      </c>
      <c r="E294" s="8" t="str">
        <f t="shared" si="2"/>
        <v>ótimo</v>
      </c>
      <c r="F294" s="8"/>
      <c r="G294" s="8" t="str">
        <f t="shared" si="3"/>
        <v>32</v>
      </c>
      <c r="H294" s="9">
        <f t="shared" si="4"/>
        <v>32</v>
      </c>
      <c r="I294" s="6" t="str">
        <f>IFERROR(__xludf.DUMMYFUNCTION("MAX(FILTER($H:$H,$E:$E=F294))"),"#N/A")</f>
        <v>#N/A</v>
      </c>
    </row>
    <row r="295">
      <c r="A295" s="4"/>
      <c r="C295" s="4" t="s">
        <v>2890</v>
      </c>
      <c r="D295" s="4" t="str">
        <f t="shared" si="1"/>
        <v>{"valorA":"produto","valorB":21}</v>
      </c>
      <c r="E295" s="8" t="str">
        <f t="shared" si="2"/>
        <v>produto</v>
      </c>
      <c r="F295" s="8"/>
      <c r="G295" s="8" t="str">
        <f t="shared" si="3"/>
        <v>21</v>
      </c>
      <c r="H295" s="9">
        <f t="shared" si="4"/>
        <v>21</v>
      </c>
      <c r="I295" s="6" t="str">
        <f>IFERROR(__xludf.DUMMYFUNCTION("MAX(FILTER($H:$H,$E:$E=F295))"),"#N/A")</f>
        <v>#N/A</v>
      </c>
    </row>
    <row r="296">
      <c r="A296" s="4"/>
      <c r="C296" s="4" t="s">
        <v>3626</v>
      </c>
      <c r="D296" s="4" t="str">
        <f t="shared" si="1"/>
        <v>{"valorA":"perfeitamente","valorB":9}</v>
      </c>
      <c r="E296" s="8" t="str">
        <f t="shared" si="2"/>
        <v>perfeitamente</v>
      </c>
      <c r="F296" s="8"/>
      <c r="G296" s="8" t="str">
        <f t="shared" si="3"/>
        <v>9</v>
      </c>
      <c r="H296" s="9">
        <f t="shared" si="4"/>
        <v>9</v>
      </c>
      <c r="I296" s="6" t="str">
        <f>IFERROR(__xludf.DUMMYFUNCTION("MAX(FILTER($H:$H,$E:$E=F296))"),"#N/A")</f>
        <v>#N/A</v>
      </c>
    </row>
    <row r="297">
      <c r="A297" s="4"/>
      <c r="C297" s="4" t="s">
        <v>11523</v>
      </c>
      <c r="D297" s="4" t="str">
        <f t="shared" si="1"/>
        <v>{"valorA":"vendeu","valorB":1}</v>
      </c>
      <c r="E297" s="8" t="str">
        <f t="shared" si="2"/>
        <v>vendeu</v>
      </c>
      <c r="F297" s="8"/>
      <c r="G297" s="8" t="str">
        <f t="shared" si="3"/>
        <v>1</v>
      </c>
      <c r="H297" s="9">
        <f t="shared" si="4"/>
        <v>1</v>
      </c>
      <c r="I297" s="6" t="str">
        <f>IFERROR(__xludf.DUMMYFUNCTION("MAX(FILTER($H:$H,$E:$E=F297))"),"#N/A")</f>
        <v>#N/A</v>
      </c>
    </row>
    <row r="298">
      <c r="A298" s="4"/>
      <c r="C298" s="4" t="s">
        <v>2732</v>
      </c>
      <c r="D298" s="4" t="str">
        <f t="shared" si="1"/>
        <v>{"valorA":"mim","valorB":1}</v>
      </c>
      <c r="E298" s="8" t="str">
        <f t="shared" si="2"/>
        <v>mim</v>
      </c>
      <c r="F298" s="8"/>
      <c r="G298" s="8" t="str">
        <f t="shared" si="3"/>
        <v>1</v>
      </c>
      <c r="H298" s="9">
        <f t="shared" si="4"/>
        <v>1</v>
      </c>
      <c r="I298" s="6" t="str">
        <f>IFERROR(__xludf.DUMMYFUNCTION("MAX(FILTER($H:$H,$E:$E=F298))"),"#N/A")</f>
        <v>#N/A</v>
      </c>
    </row>
    <row r="299">
      <c r="A299" s="4"/>
      <c r="C299" s="4" t="s">
        <v>3205</v>
      </c>
      <c r="D299" s="4" t="str">
        <f t="shared" si="1"/>
        <v>{"valorA":"pra","valorB":1}</v>
      </c>
      <c r="E299" s="8" t="str">
        <f t="shared" si="2"/>
        <v>pra</v>
      </c>
      <c r="F299" s="8"/>
      <c r="G299" s="8" t="str">
        <f t="shared" si="3"/>
        <v>1</v>
      </c>
      <c r="H299" s="9">
        <f t="shared" si="4"/>
        <v>1</v>
      </c>
      <c r="I299" s="6" t="str">
        <f>IFERROR(__xludf.DUMMYFUNCTION("MAX(FILTER($H:$H,$E:$E=F299))"),"#N/A")</f>
        <v>#N/A</v>
      </c>
    </row>
    <row r="300">
      <c r="A300" s="4"/>
      <c r="C300" s="4" t="s">
        <v>3195</v>
      </c>
      <c r="D300" s="4" t="str">
        <f t="shared" si="1"/>
        <v>{"valorA":"funciona","valorB":10}</v>
      </c>
      <c r="E300" s="8" t="str">
        <f t="shared" si="2"/>
        <v>funciona</v>
      </c>
      <c r="F300" s="8"/>
      <c r="G300" s="8" t="str">
        <f t="shared" si="3"/>
        <v>10</v>
      </c>
      <c r="H300" s="9">
        <f t="shared" si="4"/>
        <v>10</v>
      </c>
      <c r="I300" s="6" t="str">
        <f>IFERROR(__xludf.DUMMYFUNCTION("MAX(FILTER($H:$H,$E:$E=F300))"),"#N/A")</f>
        <v>#N/A</v>
      </c>
    </row>
    <row r="301">
      <c r="A301" s="4"/>
      <c r="C301" s="4" t="s">
        <v>2691</v>
      </c>
      <c r="D301" s="4" t="str">
        <f t="shared" si="1"/>
        <v>{"valorA":"o","valorB":2}</v>
      </c>
      <c r="E301" s="8" t="str">
        <f t="shared" si="2"/>
        <v>o</v>
      </c>
      <c r="F301" s="8"/>
      <c r="G301" s="8" t="str">
        <f t="shared" si="3"/>
        <v>2</v>
      </c>
      <c r="H301" s="9">
        <f t="shared" si="4"/>
        <v>2</v>
      </c>
      <c r="I301" s="6" t="str">
        <f>IFERROR(__xludf.DUMMYFUNCTION("MAX(FILTER($H:$H,$E:$E=F301))"),"#N/A")</f>
        <v>#N/A</v>
      </c>
    </row>
    <row r="302">
      <c r="A302" s="4"/>
      <c r="C302" s="4" t="s">
        <v>2648</v>
      </c>
      <c r="D302" s="4" t="str">
        <f t="shared" si="1"/>
        <v>{"valorA":"resultado","valorB":1}</v>
      </c>
      <c r="E302" s="8" t="str">
        <f t="shared" si="2"/>
        <v>resultado</v>
      </c>
      <c r="F302" s="8"/>
      <c r="G302" s="8" t="str">
        <f t="shared" si="3"/>
        <v>1</v>
      </c>
      <c r="H302" s="9">
        <f t="shared" si="4"/>
        <v>1</v>
      </c>
      <c r="I302" s="6" t="str">
        <f>IFERROR(__xludf.DUMMYFUNCTION("MAX(FILTER($H:$H,$E:$E=F302))"),"#N/A")</f>
        <v>#N/A</v>
      </c>
    </row>
    <row r="303">
      <c r="A303" s="4"/>
      <c r="C303" s="4" t="s">
        <v>2915</v>
      </c>
      <c r="D303" s="4" t="str">
        <f t="shared" si="1"/>
        <v>{"valorA":"muito","valorB":9}</v>
      </c>
      <c r="E303" s="8" t="str">
        <f t="shared" si="2"/>
        <v>muito</v>
      </c>
      <c r="F303" s="8"/>
      <c r="G303" s="8" t="str">
        <f t="shared" si="3"/>
        <v>9</v>
      </c>
      <c r="H303" s="9">
        <f t="shared" si="4"/>
        <v>9</v>
      </c>
      <c r="I303" s="6" t="str">
        <f>IFERROR(__xludf.DUMMYFUNCTION("MAX(FILTER($H:$H,$E:$E=F303))"),"#N/A")</f>
        <v>#N/A</v>
      </c>
    </row>
    <row r="304">
      <c r="A304" s="4"/>
      <c r="C304" s="4" t="s">
        <v>3498</v>
      </c>
      <c r="D304" s="4" t="str">
        <f t="shared" si="1"/>
        <v>{"valorA":"final","valorB":1}</v>
      </c>
      <c r="E304" s="8" t="str">
        <f t="shared" si="2"/>
        <v>final</v>
      </c>
      <c r="F304" s="8"/>
      <c r="G304" s="8" t="str">
        <f t="shared" si="3"/>
        <v>1</v>
      </c>
      <c r="H304" s="9">
        <f t="shared" si="4"/>
        <v>1</v>
      </c>
      <c r="I304" s="6" t="str">
        <f>IFERROR(__xludf.DUMMYFUNCTION("MAX(FILTER($H:$H,$E:$E=F304))"),"#N/A")</f>
        <v>#N/A</v>
      </c>
    </row>
    <row r="305">
      <c r="A305" s="4"/>
      <c r="C305" s="4" t="s">
        <v>2892</v>
      </c>
      <c r="D305" s="4" t="str">
        <f t="shared" si="1"/>
        <v>{"valorA":"produto","valorB":22}</v>
      </c>
      <c r="E305" s="8" t="str">
        <f t="shared" si="2"/>
        <v>produto</v>
      </c>
      <c r="F305" s="8"/>
      <c r="G305" s="8" t="str">
        <f t="shared" si="3"/>
        <v>22</v>
      </c>
      <c r="H305" s="9">
        <f t="shared" si="4"/>
        <v>22</v>
      </c>
      <c r="I305" s="6" t="str">
        <f>IFERROR(__xludf.DUMMYFUNCTION("MAX(FILTER($H:$H,$E:$E=F305))"),"#N/A")</f>
        <v>#N/A</v>
      </c>
    </row>
    <row r="306">
      <c r="A306" s="4"/>
      <c r="C306" s="4" t="s">
        <v>2859</v>
      </c>
      <c r="D306" s="4" t="str">
        <f t="shared" si="1"/>
        <v>{"valorA":"ótimo","valorB":33}</v>
      </c>
      <c r="E306" s="8" t="str">
        <f t="shared" si="2"/>
        <v>ótimo</v>
      </c>
      <c r="F306" s="8"/>
      <c r="G306" s="8" t="str">
        <f t="shared" si="3"/>
        <v>33</v>
      </c>
      <c r="H306" s="9">
        <f t="shared" si="4"/>
        <v>33</v>
      </c>
      <c r="I306" s="6" t="str">
        <f>IFERROR(__xludf.DUMMYFUNCTION("MAX(FILTER($H:$H,$E:$E=F306))"),"#N/A")</f>
        <v>#N/A</v>
      </c>
    </row>
    <row r="307">
      <c r="A307" s="4"/>
      <c r="C307" s="4" t="s">
        <v>2814</v>
      </c>
      <c r="D307" s="4" t="str">
        <f t="shared" si="1"/>
        <v>{"valorA":"com","valorB":2}</v>
      </c>
      <c r="E307" s="8" t="str">
        <f t="shared" si="2"/>
        <v>com</v>
      </c>
      <c r="F307" s="8"/>
      <c r="G307" s="8" t="str">
        <f t="shared" si="3"/>
        <v>2</v>
      </c>
      <c r="H307" s="9">
        <f t="shared" si="4"/>
        <v>2</v>
      </c>
      <c r="I307" s="6" t="str">
        <f>IFERROR(__xludf.DUMMYFUNCTION("MAX(FILTER($H:$H,$E:$E=F307))"),"#N/A")</f>
        <v>#N/A</v>
      </c>
    </row>
    <row r="308">
      <c r="A308" s="4"/>
      <c r="C308" s="4" t="s">
        <v>2665</v>
      </c>
      <c r="D308" s="4" t="str">
        <f t="shared" si="1"/>
        <v>{"valorA":"satisfeito","valorB":1}</v>
      </c>
      <c r="E308" s="8" t="str">
        <f t="shared" si="2"/>
        <v>satisfeito</v>
      </c>
      <c r="F308" s="8"/>
      <c r="G308" s="8" t="str">
        <f t="shared" si="3"/>
        <v>1</v>
      </c>
      <c r="H308" s="9">
        <f t="shared" si="4"/>
        <v>1</v>
      </c>
      <c r="I308" s="6" t="str">
        <f>IFERROR(__xludf.DUMMYFUNCTION("MAX(FILTER($H:$H,$E:$E=F308))"),"#N/A")</f>
        <v>#N/A</v>
      </c>
    </row>
    <row r="309">
      <c r="A309" s="4"/>
      <c r="C309" s="4" t="s">
        <v>3633</v>
      </c>
      <c r="D309" s="4" t="str">
        <f t="shared" si="1"/>
        <v>{"valorA":"perfeitamente","valorB":10}</v>
      </c>
      <c r="E309" s="8" t="str">
        <f t="shared" si="2"/>
        <v>perfeitamente</v>
      </c>
      <c r="F309" s="8"/>
      <c r="G309" s="8" t="str">
        <f t="shared" si="3"/>
        <v>10</v>
      </c>
      <c r="H309" s="9">
        <f t="shared" si="4"/>
        <v>10</v>
      </c>
      <c r="I309" s="6" t="str">
        <f>IFERROR(__xludf.DUMMYFUNCTION("MAX(FILTER($H:$H,$E:$E=F309))"),"#N/A")</f>
        <v>#N/A</v>
      </c>
    </row>
    <row r="310">
      <c r="A310" s="4"/>
      <c r="C310" s="4" t="s">
        <v>2866</v>
      </c>
      <c r="D310" s="4" t="str">
        <f t="shared" si="1"/>
        <v>{"valorA":"ótimo","valorB":34}</v>
      </c>
      <c r="E310" s="8" t="str">
        <f t="shared" si="2"/>
        <v>ótimo</v>
      </c>
      <c r="F310" s="8"/>
      <c r="G310" s="8" t="str">
        <f t="shared" si="3"/>
        <v>34</v>
      </c>
      <c r="H310" s="9">
        <f t="shared" si="4"/>
        <v>34</v>
      </c>
      <c r="I310" s="6" t="str">
        <f>IFERROR(__xludf.DUMMYFUNCTION("MAX(FILTER($H:$H,$E:$E=F310))"),"#N/A")</f>
        <v>#N/A</v>
      </c>
    </row>
    <row r="311">
      <c r="A311" s="4"/>
      <c r="C311" s="4" t="s">
        <v>3211</v>
      </c>
      <c r="D311" s="4" t="str">
        <f t="shared" si="1"/>
        <v>{"valorA":"funciona","valorB":11}</v>
      </c>
      <c r="E311" s="8" t="str">
        <f t="shared" si="2"/>
        <v>funciona</v>
      </c>
      <c r="F311" s="8"/>
      <c r="G311" s="8" t="str">
        <f t="shared" si="3"/>
        <v>11</v>
      </c>
      <c r="H311" s="9">
        <f t="shared" si="4"/>
        <v>11</v>
      </c>
      <c r="I311" s="6" t="str">
        <f>IFERROR(__xludf.DUMMYFUNCTION("MAX(FILTER($H:$H,$E:$E=F311))"),"#N/A")</f>
        <v>#N/A</v>
      </c>
    </row>
    <row r="312">
      <c r="A312" s="4"/>
      <c r="C312" s="4" t="s">
        <v>2899</v>
      </c>
      <c r="D312" s="4" t="str">
        <f t="shared" si="1"/>
        <v>{"valorA":"produto","valorB":23}</v>
      </c>
      <c r="E312" s="8" t="str">
        <f t="shared" si="2"/>
        <v>produto</v>
      </c>
      <c r="F312" s="8"/>
      <c r="G312" s="8" t="str">
        <f t="shared" si="3"/>
        <v>23</v>
      </c>
      <c r="H312" s="9">
        <f t="shared" si="4"/>
        <v>23</v>
      </c>
      <c r="I312" s="6" t="str">
        <f>IFERROR(__xludf.DUMMYFUNCTION("MAX(FILTER($H:$H,$E:$E=F312))"),"#N/A")</f>
        <v>#N/A</v>
      </c>
    </row>
    <row r="313">
      <c r="A313" s="4"/>
      <c r="C313" s="4" t="s">
        <v>2985</v>
      </c>
      <c r="D313" s="4" t="str">
        <f t="shared" si="1"/>
        <v>{"valorA":"é","valorB":14}</v>
      </c>
      <c r="E313" s="8" t="str">
        <f t="shared" si="2"/>
        <v>é</v>
      </c>
      <c r="F313" s="8"/>
      <c r="G313" s="8" t="str">
        <f t="shared" si="3"/>
        <v>14</v>
      </c>
      <c r="H313" s="9">
        <f t="shared" si="4"/>
        <v>14</v>
      </c>
      <c r="I313" s="6" t="str">
        <f>IFERROR(__xludf.DUMMYFUNCTION("MAX(FILTER($H:$H,$E:$E=F313))"),"#N/A")</f>
        <v>#N/A</v>
      </c>
    </row>
    <row r="314">
      <c r="A314" s="4"/>
      <c r="C314" s="4" t="s">
        <v>3076</v>
      </c>
      <c r="D314" s="4" t="str">
        <f t="shared" si="1"/>
        <v>{"valorA":"de","valorB":10}</v>
      </c>
      <c r="E314" s="8" t="str">
        <f t="shared" si="2"/>
        <v>de</v>
      </c>
      <c r="F314" s="8"/>
      <c r="G314" s="8" t="str">
        <f t="shared" si="3"/>
        <v>10</v>
      </c>
      <c r="H314" s="9">
        <f t="shared" si="4"/>
        <v>10</v>
      </c>
      <c r="I314" s="6" t="str">
        <f>IFERROR(__xludf.DUMMYFUNCTION("MAX(FILTER($H:$H,$E:$E=F314))"),"#N/A")</f>
        <v>#N/A</v>
      </c>
    </row>
    <row r="315">
      <c r="A315" s="4"/>
      <c r="C315" s="4" t="s">
        <v>3051</v>
      </c>
      <c r="D315" s="4" t="str">
        <f t="shared" si="1"/>
        <v>{"valorA":"fácil","valorB":4}</v>
      </c>
      <c r="E315" s="8" t="str">
        <f t="shared" si="2"/>
        <v>fácil</v>
      </c>
      <c r="F315" s="8"/>
      <c r="G315" s="8" t="str">
        <f t="shared" si="3"/>
        <v>4</v>
      </c>
      <c r="H315" s="9">
        <f t="shared" si="4"/>
        <v>4</v>
      </c>
      <c r="I315" s="6" t="str">
        <f>IFERROR(__xludf.DUMMYFUNCTION("MAX(FILTER($H:$H,$E:$E=F315))"),"#N/A")</f>
        <v>#N/A</v>
      </c>
    </row>
    <row r="316">
      <c r="A316" s="4"/>
      <c r="C316" s="4" t="s">
        <v>11524</v>
      </c>
      <c r="D316" s="4" t="str">
        <f t="shared" si="1"/>
        <v>{"valorA":"confortável","valorB":7}</v>
      </c>
      <c r="E316" s="8" t="str">
        <f t="shared" si="2"/>
        <v>confortável</v>
      </c>
      <c r="F316" s="8"/>
      <c r="G316" s="8" t="str">
        <f t="shared" si="3"/>
        <v>7</v>
      </c>
      <c r="H316" s="9">
        <f t="shared" si="4"/>
        <v>7</v>
      </c>
      <c r="I316" s="6" t="str">
        <f>IFERROR(__xludf.DUMMYFUNCTION("MAX(FILTER($H:$H,$E:$E=F316))"),"#N/A")</f>
        <v>#N/A</v>
      </c>
    </row>
    <row r="317">
      <c r="A317" s="4"/>
      <c r="C317" s="4" t="s">
        <v>11525</v>
      </c>
      <c r="D317" s="4" t="str">
        <f t="shared" si="1"/>
        <v>{"valorA":"estávery","valorB":1}</v>
      </c>
      <c r="E317" s="8" t="str">
        <f t="shared" si="2"/>
        <v>estávery</v>
      </c>
      <c r="F317" s="8"/>
      <c r="G317" s="8" t="str">
        <f t="shared" si="3"/>
        <v>1</v>
      </c>
      <c r="H317" s="9">
        <f t="shared" si="4"/>
        <v>1</v>
      </c>
      <c r="I317" s="6" t="str">
        <f>IFERROR(__xludf.DUMMYFUNCTION("MAX(FILTER($H:$H,$E:$E=F317))"),"#N/A")</f>
        <v>#N/A</v>
      </c>
    </row>
    <row r="318">
      <c r="A318" s="4"/>
      <c r="C318" s="4" t="s">
        <v>3164</v>
      </c>
      <c r="D318" s="4" t="str">
        <f t="shared" si="1"/>
        <v>{"valorA":"e","valorB":15}</v>
      </c>
      <c r="E318" s="8" t="str">
        <f t="shared" si="2"/>
        <v>e</v>
      </c>
      <c r="F318" s="8"/>
      <c r="G318" s="8" t="str">
        <f t="shared" si="3"/>
        <v>15</v>
      </c>
      <c r="H318" s="9">
        <f t="shared" si="4"/>
        <v>15</v>
      </c>
      <c r="I318" s="6" t="str">
        <f>IFERROR(__xludf.DUMMYFUNCTION("MAX(FILTER($H:$H,$E:$E=F318))"),"#N/A")</f>
        <v>#N/A</v>
      </c>
    </row>
    <row r="319">
      <c r="A319" s="4"/>
      <c r="C319" s="4" t="s">
        <v>3062</v>
      </c>
      <c r="D319" s="4" t="str">
        <f t="shared" si="1"/>
        <v>{"valorA":"usar","valorB":5}</v>
      </c>
      <c r="E319" s="8" t="str">
        <f t="shared" si="2"/>
        <v>usar</v>
      </c>
      <c r="F319" s="8"/>
      <c r="G319" s="8" t="str">
        <f t="shared" si="3"/>
        <v>5</v>
      </c>
      <c r="H319" s="9">
        <f t="shared" si="4"/>
        <v>5</v>
      </c>
      <c r="I319" s="6" t="str">
        <f>IFERROR(__xludf.DUMMYFUNCTION("MAX(FILTER($H:$H,$E:$E=F319))"),"#N/A")</f>
        <v>#N/A</v>
      </c>
    </row>
    <row r="320">
      <c r="A320" s="4"/>
      <c r="C320" s="4" t="s">
        <v>2871</v>
      </c>
      <c r="D320" s="4" t="str">
        <f t="shared" si="1"/>
        <v>{"valorA":"ótimo","valorB":35}</v>
      </c>
      <c r="E320" s="8" t="str">
        <f t="shared" si="2"/>
        <v>ótimo</v>
      </c>
      <c r="F320" s="8"/>
      <c r="G320" s="8" t="str">
        <f t="shared" si="3"/>
        <v>35</v>
      </c>
      <c r="H320" s="9">
        <f t="shared" si="4"/>
        <v>35</v>
      </c>
      <c r="I320" s="6" t="str">
        <f>IFERROR(__xludf.DUMMYFUNCTION("MAX(FILTER($H:$H,$E:$E=F320))"),"#N/A")</f>
        <v>#N/A</v>
      </c>
    </row>
    <row r="321">
      <c r="A321" s="4"/>
      <c r="C321" s="4" t="s">
        <v>2636</v>
      </c>
      <c r="D321" s="4" t="str">
        <f t="shared" si="1"/>
        <v>{"valorA":"meus","valorB":1}</v>
      </c>
      <c r="E321" s="8" t="str">
        <f t="shared" si="2"/>
        <v>meus</v>
      </c>
      <c r="F321" s="8"/>
      <c r="G321" s="8" t="str">
        <f t="shared" si="3"/>
        <v>1</v>
      </c>
      <c r="H321" s="9">
        <f t="shared" si="4"/>
        <v>1</v>
      </c>
      <c r="I321" s="6" t="str">
        <f>IFERROR(__xludf.DUMMYFUNCTION("MAX(FILTER($H:$H,$E:$E=F321))"),"#N/A")</f>
        <v>#N/A</v>
      </c>
    </row>
    <row r="322">
      <c r="A322" s="4"/>
      <c r="C322" s="4" t="s">
        <v>3347</v>
      </c>
      <c r="D322" s="4" t="str">
        <f t="shared" si="1"/>
        <v>{"valorA":"coment","valorB":2}</v>
      </c>
      <c r="E322" s="8" t="str">
        <f t="shared" si="2"/>
        <v>coment</v>
      </c>
      <c r="F322" s="8"/>
      <c r="G322" s="8" t="str">
        <f t="shared" si="3"/>
        <v>2</v>
      </c>
      <c r="H322" s="9">
        <f t="shared" si="4"/>
        <v>2</v>
      </c>
      <c r="I322" s="6" t="str">
        <f>IFERROR(__xludf.DUMMYFUNCTION("MAX(FILTER($H:$H,$E:$E=F322))"),"#N/A")</f>
        <v>#N/A</v>
      </c>
    </row>
    <row r="323">
      <c r="A323" s="4"/>
      <c r="C323" s="4" t="s">
        <v>2633</v>
      </c>
      <c r="D323" s="4" t="str">
        <f t="shared" si="1"/>
        <v>{"valorA":"adoram","valorB":1}</v>
      </c>
      <c r="E323" s="8" t="str">
        <f t="shared" si="2"/>
        <v>adoram</v>
      </c>
      <c r="F323" s="8"/>
      <c r="G323" s="8" t="str">
        <f t="shared" si="3"/>
        <v>1</v>
      </c>
      <c r="H323" s="9">
        <f t="shared" si="4"/>
        <v>1</v>
      </c>
      <c r="I323" s="6" t="str">
        <f>IFERROR(__xludf.DUMMYFUNCTION("MAX(FILTER($H:$H,$E:$E=F323))"),"#N/A")</f>
        <v>#N/A</v>
      </c>
    </row>
    <row r="324">
      <c r="A324" s="4"/>
      <c r="C324" s="4" t="s">
        <v>2643</v>
      </c>
      <c r="D324" s="4" t="str">
        <f t="shared" si="1"/>
        <v>{"valorA":"brinquedo","valorB":1}</v>
      </c>
      <c r="E324" s="8" t="str">
        <f t="shared" si="2"/>
        <v>brinquedo</v>
      </c>
      <c r="F324" s="8"/>
      <c r="G324" s="8" t="str">
        <f t="shared" si="3"/>
        <v>1</v>
      </c>
      <c r="H324" s="9">
        <f t="shared" si="4"/>
        <v>1</v>
      </c>
      <c r="I324" s="6" t="str">
        <f>IFERROR(__xludf.DUMMYFUNCTION("MAX(FILTER($H:$H,$E:$E=F324))"),"#N/A")</f>
        <v>#N/A</v>
      </c>
    </row>
    <row r="325">
      <c r="A325" s="4"/>
      <c r="C325" s="4" t="s">
        <v>11526</v>
      </c>
      <c r="D325" s="4" t="str">
        <f t="shared" si="1"/>
        <v>{"valorA":"nele","valorB":2}</v>
      </c>
      <c r="E325" s="8" t="str">
        <f t="shared" si="2"/>
        <v>nele</v>
      </c>
      <c r="F325" s="8"/>
      <c r="G325" s="8" t="str">
        <f t="shared" si="3"/>
        <v>2</v>
      </c>
      <c r="H325" s="9">
        <f t="shared" si="4"/>
        <v>2</v>
      </c>
      <c r="I325" s="6" t="str">
        <f>IFERROR(__xludf.DUMMYFUNCTION("MAX(FILTER($H:$H,$E:$E=F325))"),"#N/A")</f>
        <v>#N/A</v>
      </c>
    </row>
    <row r="326">
      <c r="A326" s="4"/>
      <c r="C326" s="4" t="s">
        <v>11527</v>
      </c>
      <c r="D326" s="4" t="str">
        <f t="shared" si="1"/>
        <v>{"valorA":"desse","valorB":5}</v>
      </c>
      <c r="E326" s="8" t="str">
        <f t="shared" si="2"/>
        <v>desse</v>
      </c>
      <c r="F326" s="8"/>
      <c r="G326" s="8" t="str">
        <f t="shared" si="3"/>
        <v>5</v>
      </c>
      <c r="H326" s="9">
        <f t="shared" si="4"/>
        <v>5</v>
      </c>
      <c r="I326" s="6" t="str">
        <f>IFERROR(__xludf.DUMMYFUNCTION("MAX(FILTER($H:$H,$E:$E=F326))"),"#N/A")</f>
        <v>#N/A</v>
      </c>
    </row>
    <row r="327">
      <c r="A327" s="4"/>
      <c r="C327" s="4" t="s">
        <v>11528</v>
      </c>
      <c r="D327" s="4" t="str">
        <f t="shared" si="1"/>
        <v>{"valorA":"jogar","valorB":1}</v>
      </c>
      <c r="E327" s="8" t="str">
        <f t="shared" si="2"/>
        <v>jogar</v>
      </c>
      <c r="F327" s="8"/>
      <c r="G327" s="8" t="str">
        <f t="shared" si="3"/>
        <v>1</v>
      </c>
      <c r="H327" s="9">
        <f t="shared" si="4"/>
        <v>1</v>
      </c>
      <c r="I327" s="6" t="str">
        <f>IFERROR(__xludf.DUMMYFUNCTION("MAX(FILTER($H:$H,$E:$E=F327))"),"#N/A")</f>
        <v>#N/A</v>
      </c>
    </row>
    <row r="328">
      <c r="A328" s="4"/>
      <c r="C328" s="4" t="s">
        <v>11529</v>
      </c>
      <c r="D328" s="4" t="str">
        <f t="shared" si="1"/>
        <v>{"valorA":"netos","valorB":1}</v>
      </c>
      <c r="E328" s="8" t="str">
        <f t="shared" si="2"/>
        <v>netos</v>
      </c>
      <c r="F328" s="8"/>
      <c r="G328" s="8" t="str">
        <f t="shared" si="3"/>
        <v>1</v>
      </c>
      <c r="H328" s="9">
        <f t="shared" si="4"/>
        <v>1</v>
      </c>
      <c r="I328" s="6" t="str">
        <f>IFERROR(__xludf.DUMMYFUNCTION("MAX(FILTER($H:$H,$E:$E=F328))"),"#N/A")</f>
        <v>#N/A</v>
      </c>
    </row>
    <row r="329">
      <c r="A329" s="4"/>
      <c r="C329" s="4" t="s">
        <v>2805</v>
      </c>
      <c r="D329" s="4" t="str">
        <f t="shared" si="1"/>
        <v>{"valorA":"para","valorB":5}</v>
      </c>
      <c r="E329" s="8" t="str">
        <f t="shared" si="2"/>
        <v>para</v>
      </c>
      <c r="F329" s="8"/>
      <c r="G329" s="8" t="str">
        <f t="shared" si="3"/>
        <v>5</v>
      </c>
      <c r="H329" s="9">
        <f t="shared" si="4"/>
        <v>5</v>
      </c>
      <c r="I329" s="6" t="str">
        <f>IFERROR(__xludf.DUMMYFUNCTION("MAX(FILTER($H:$H,$E:$E=F329))"),"#N/A")</f>
        <v>#N/A</v>
      </c>
    </row>
    <row r="330">
      <c r="A330" s="4"/>
      <c r="C330" s="4" t="s">
        <v>2631</v>
      </c>
      <c r="D330" s="4" t="str">
        <f t="shared" si="1"/>
        <v>{"valorA":"crianças","valorB":1}</v>
      </c>
      <c r="E330" s="8" t="str">
        <f t="shared" si="2"/>
        <v>crianças</v>
      </c>
      <c r="F330" s="8"/>
      <c r="G330" s="8" t="str">
        <f t="shared" si="3"/>
        <v>1</v>
      </c>
      <c r="H330" s="9">
        <f t="shared" si="4"/>
        <v>1</v>
      </c>
      <c r="I330" s="6" t="str">
        <f>IFERROR(__xludf.DUMMYFUNCTION("MAX(FILTER($H:$H,$E:$E=F330))"),"#N/A")</f>
        <v>#N/A</v>
      </c>
    </row>
    <row r="331">
      <c r="A331" s="4"/>
      <c r="C331" s="4" t="s">
        <v>2988</v>
      </c>
      <c r="D331" s="4" t="str">
        <f t="shared" si="1"/>
        <v>{"valorA":"esse","valorB":7}</v>
      </c>
      <c r="E331" s="8" t="str">
        <f t="shared" si="2"/>
        <v>esse</v>
      </c>
      <c r="F331" s="8"/>
      <c r="G331" s="8" t="str">
        <f t="shared" si="3"/>
        <v>7</v>
      </c>
      <c r="H331" s="9">
        <f t="shared" si="4"/>
        <v>7</v>
      </c>
      <c r="I331" s="6" t="str">
        <f>IFERROR(__xludf.DUMMYFUNCTION("MAX(FILTER($H:$H,$E:$E=F331))"),"#N/A")</f>
        <v>#N/A</v>
      </c>
    </row>
    <row r="332">
      <c r="A332" s="4"/>
      <c r="C332" s="4" t="s">
        <v>11530</v>
      </c>
      <c r="D332" s="4" t="str">
        <f t="shared" si="1"/>
        <v>{"valorA":"relojoeiro","valorB":3}</v>
      </c>
      <c r="E332" s="8" t="str">
        <f t="shared" si="2"/>
        <v>relojoeiro</v>
      </c>
      <c r="F332" s="8"/>
      <c r="G332" s="8" t="str">
        <f t="shared" si="3"/>
        <v>3</v>
      </c>
      <c r="H332" s="9">
        <f t="shared" si="4"/>
        <v>3</v>
      </c>
      <c r="I332" s="6" t="str">
        <f>IFERROR(__xludf.DUMMYFUNCTION("MAX(FILTER($H:$H,$E:$E=F332))"),"#N/A")</f>
        <v>#N/A</v>
      </c>
    </row>
    <row r="333">
      <c r="A333" s="4"/>
      <c r="C333" s="4" t="s">
        <v>3639</v>
      </c>
      <c r="D333" s="4" t="str">
        <f t="shared" si="1"/>
        <v>{"valorA":"incrível","valorB":8}</v>
      </c>
      <c r="E333" s="8" t="str">
        <f t="shared" si="2"/>
        <v>incrível</v>
      </c>
      <c r="F333" s="8"/>
      <c r="G333" s="8" t="str">
        <f t="shared" si="3"/>
        <v>8</v>
      </c>
      <c r="H333" s="9">
        <f t="shared" si="4"/>
        <v>8</v>
      </c>
      <c r="I333" s="6" t="str">
        <f>IFERROR(__xludf.DUMMYFUNCTION("MAX(FILTER($H:$H,$E:$E=F333))"),"#N/A")</f>
        <v>#N/A</v>
      </c>
    </row>
    <row r="334">
      <c r="A334" s="4"/>
      <c r="C334" s="4" t="s">
        <v>3645</v>
      </c>
      <c r="D334" s="4" t="str">
        <f t="shared" si="1"/>
        <v>{"valorA":"é","valorB":15}</v>
      </c>
      <c r="E334" s="8" t="str">
        <f t="shared" si="2"/>
        <v>é</v>
      </c>
      <c r="F334" s="8"/>
      <c r="G334" s="8" t="str">
        <f t="shared" si="3"/>
        <v>15</v>
      </c>
      <c r="H334" s="9">
        <f t="shared" si="4"/>
        <v>15</v>
      </c>
      <c r="I334" s="6" t="str">
        <f>IFERROR(__xludf.DUMMYFUNCTION("MAX(FILTER($H:$H,$E:$E=F334))"),"#N/A")</f>
        <v>#N/A</v>
      </c>
    </row>
    <row r="335">
      <c r="A335" s="4"/>
      <c r="C335" s="4" t="s">
        <v>2884</v>
      </c>
      <c r="D335" s="4" t="str">
        <f t="shared" si="1"/>
        <v>{"valorA":"ótimo","valorB":36}</v>
      </c>
      <c r="E335" s="8" t="str">
        <f t="shared" si="2"/>
        <v>ótimo</v>
      </c>
      <c r="F335" s="8"/>
      <c r="G335" s="8" t="str">
        <f t="shared" si="3"/>
        <v>36</v>
      </c>
      <c r="H335" s="9">
        <f t="shared" si="4"/>
        <v>36</v>
      </c>
      <c r="I335" s="6" t="str">
        <f>IFERROR(__xludf.DUMMYFUNCTION("MAX(FILTER($H:$H,$E:$E=F335))"),"#N/A")</f>
        <v>#N/A</v>
      </c>
    </row>
    <row r="336">
      <c r="A336" s="4"/>
      <c r="C336" s="4" t="s">
        <v>2934</v>
      </c>
      <c r="D336" s="4" t="str">
        <f t="shared" si="1"/>
        <v>{"valorA":"muito","valorB":10}</v>
      </c>
      <c r="E336" s="8" t="str">
        <f t="shared" si="2"/>
        <v>muito</v>
      </c>
      <c r="F336" s="8"/>
      <c r="G336" s="8" t="str">
        <f t="shared" si="3"/>
        <v>10</v>
      </c>
      <c r="H336" s="9">
        <f t="shared" si="4"/>
        <v>10</v>
      </c>
      <c r="I336" s="6" t="str">
        <f>IFERROR(__xludf.DUMMYFUNCTION("MAX(FILTER($H:$H,$E:$E=F336))"),"#N/A")</f>
        <v>#N/A</v>
      </c>
    </row>
    <row r="337">
      <c r="A337" s="4"/>
      <c r="C337" s="4" t="s">
        <v>2827</v>
      </c>
      <c r="D337" s="4" t="str">
        <f t="shared" si="1"/>
        <v>{"valorA":"para","valorB":6}</v>
      </c>
      <c r="E337" s="8" t="str">
        <f t="shared" si="2"/>
        <v>para</v>
      </c>
      <c r="F337" s="8"/>
      <c r="G337" s="8" t="str">
        <f t="shared" si="3"/>
        <v>6</v>
      </c>
      <c r="H337" s="9">
        <f t="shared" si="4"/>
        <v>6</v>
      </c>
      <c r="I337" s="6" t="str">
        <f>IFERROR(__xludf.DUMMYFUNCTION("MAX(FILTER($H:$H,$E:$E=F337))"),"#N/A")</f>
        <v>#N/A</v>
      </c>
    </row>
    <row r="338">
      <c r="A338" s="4"/>
      <c r="C338" s="4" t="s">
        <v>2893</v>
      </c>
      <c r="D338" s="4" t="str">
        <f t="shared" si="1"/>
        <v>{"valorA":"ótimo","valorB":37}</v>
      </c>
      <c r="E338" s="8" t="str">
        <f t="shared" si="2"/>
        <v>ótimo</v>
      </c>
      <c r="F338" s="8"/>
      <c r="G338" s="8" t="str">
        <f t="shared" si="3"/>
        <v>37</v>
      </c>
      <c r="H338" s="9">
        <f t="shared" si="4"/>
        <v>37</v>
      </c>
      <c r="I338" s="6" t="str">
        <f>IFERROR(__xludf.DUMMYFUNCTION("MAX(FILTER($H:$H,$E:$E=F338))"),"#N/A")</f>
        <v>#N/A</v>
      </c>
    </row>
    <row r="339">
      <c r="A339" s="4"/>
      <c r="C339" s="4" t="s">
        <v>3650</v>
      </c>
      <c r="D339" s="4" t="str">
        <f t="shared" si="1"/>
        <v>{"valorA":"é","valorB":16}</v>
      </c>
      <c r="E339" s="8" t="str">
        <f t="shared" si="2"/>
        <v>é</v>
      </c>
      <c r="F339" s="8"/>
      <c r="G339" s="8" t="str">
        <f t="shared" si="3"/>
        <v>16</v>
      </c>
      <c r="H339" s="9">
        <f t="shared" si="4"/>
        <v>16</v>
      </c>
      <c r="I339" s="6" t="str">
        <f>IFERROR(__xludf.DUMMYFUNCTION("MAX(FILTER($H:$H,$E:$E=F339))"),"#N/A")</f>
        <v>#N/A</v>
      </c>
    </row>
    <row r="340">
      <c r="A340" s="4"/>
      <c r="C340" s="4" t="s">
        <v>2907</v>
      </c>
      <c r="D340" s="4" t="str">
        <f t="shared" si="1"/>
        <v>{"valorA":"produto","valorB":24}</v>
      </c>
      <c r="E340" s="8" t="str">
        <f t="shared" si="2"/>
        <v>produto</v>
      </c>
      <c r="F340" s="8"/>
      <c r="G340" s="8" t="str">
        <f t="shared" si="3"/>
        <v>24</v>
      </c>
      <c r="H340" s="9">
        <f t="shared" si="4"/>
        <v>24</v>
      </c>
      <c r="I340" s="6" t="str">
        <f>IFERROR(__xludf.DUMMYFUNCTION("MAX(FILTER($H:$H,$E:$E=F340))"),"#N/A")</f>
        <v>#N/A</v>
      </c>
    </row>
    <row r="341">
      <c r="A341" s="4"/>
      <c r="C341" s="4" t="s">
        <v>2830</v>
      </c>
      <c r="D341" s="4" t="str">
        <f t="shared" si="1"/>
        <v>{"valorA":"mim","valorB":2}</v>
      </c>
      <c r="E341" s="8" t="str">
        <f t="shared" si="2"/>
        <v>mim</v>
      </c>
      <c r="F341" s="8"/>
      <c r="G341" s="8" t="str">
        <f t="shared" si="3"/>
        <v>2</v>
      </c>
      <c r="H341" s="9">
        <f t="shared" si="4"/>
        <v>2</v>
      </c>
      <c r="I341" s="6" t="str">
        <f>IFERROR(__xludf.DUMMYFUNCTION("MAX(FILTER($H:$H,$E:$E=F341))"),"#N/A")</f>
        <v>#N/A</v>
      </c>
    </row>
    <row r="342">
      <c r="A342" s="4"/>
      <c r="C342" s="4" t="s">
        <v>3430</v>
      </c>
      <c r="D342" s="4" t="str">
        <f t="shared" si="1"/>
        <v>{"valorA":"útil","valorB":2}</v>
      </c>
      <c r="E342" s="8" t="str">
        <f t="shared" si="2"/>
        <v>útil</v>
      </c>
      <c r="F342" s="8"/>
      <c r="G342" s="8" t="str">
        <f t="shared" si="3"/>
        <v>2</v>
      </c>
      <c r="H342" s="9">
        <f t="shared" si="4"/>
        <v>2</v>
      </c>
      <c r="I342" s="6" t="str">
        <f>IFERROR(__xludf.DUMMYFUNCTION("MAX(FILTER($H:$H,$E:$E=F342))"),"#N/A")</f>
        <v>#N/A</v>
      </c>
    </row>
    <row r="343">
      <c r="A343" s="4"/>
      <c r="C343" s="4" t="s">
        <v>11531</v>
      </c>
      <c r="D343" s="4" t="str">
        <f t="shared" si="1"/>
        <v>{"valorA":"minhas","valorB":2}</v>
      </c>
      <c r="E343" s="8" t="str">
        <f t="shared" si="2"/>
        <v>minhas</v>
      </c>
      <c r="F343" s="8"/>
      <c r="G343" s="8" t="str">
        <f t="shared" si="3"/>
        <v>2</v>
      </c>
      <c r="H343" s="9">
        <f t="shared" si="4"/>
        <v>2</v>
      </c>
      <c r="I343" s="6" t="str">
        <f>IFERROR(__xludf.DUMMYFUNCTION("MAX(FILTER($H:$H,$E:$E=F343))"),"#N/A")</f>
        <v>#N/A</v>
      </c>
    </row>
    <row r="344">
      <c r="A344" s="4"/>
      <c r="C344" s="4" t="s">
        <v>3653</v>
      </c>
      <c r="D344" s="4" t="str">
        <f t="shared" si="1"/>
        <v>{"valorA":"esse","valorB":8}</v>
      </c>
      <c r="E344" s="8" t="str">
        <f t="shared" si="2"/>
        <v>esse</v>
      </c>
      <c r="F344" s="8"/>
      <c r="G344" s="8" t="str">
        <f t="shared" si="3"/>
        <v>8</v>
      </c>
      <c r="H344" s="9">
        <f t="shared" si="4"/>
        <v>8</v>
      </c>
      <c r="I344" s="6" t="str">
        <f>IFERROR(__xludf.DUMMYFUNCTION("MAX(FILTER($H:$H,$E:$E=F344))"),"#N/A")</f>
        <v>#N/A</v>
      </c>
    </row>
    <row r="345">
      <c r="A345" s="4"/>
      <c r="C345" s="4" t="s">
        <v>11532</v>
      </c>
      <c r="D345" s="4" t="str">
        <f t="shared" si="1"/>
        <v>{"valorA":"fone","valorB":2}</v>
      </c>
      <c r="E345" s="8" t="str">
        <f t="shared" si="2"/>
        <v>fone</v>
      </c>
      <c r="F345" s="8"/>
      <c r="G345" s="8" t="str">
        <f t="shared" si="3"/>
        <v>2</v>
      </c>
      <c r="H345" s="9">
        <f t="shared" si="4"/>
        <v>2</v>
      </c>
      <c r="I345" s="6" t="str">
        <f>IFERROR(__xludf.DUMMYFUNCTION("MAX(FILTER($H:$H,$E:$E=F345))"),"#N/A")</f>
        <v>#N/A</v>
      </c>
    </row>
    <row r="346">
      <c r="A346" s="4"/>
      <c r="C346" s="4" t="s">
        <v>2840</v>
      </c>
      <c r="D346" s="4" t="str">
        <f t="shared" si="1"/>
        <v>{"valorA":"para","valorB":7}</v>
      </c>
      <c r="E346" s="8" t="str">
        <f t="shared" si="2"/>
        <v>para</v>
      </c>
      <c r="F346" s="8"/>
      <c r="G346" s="8" t="str">
        <f t="shared" si="3"/>
        <v>7</v>
      </c>
      <c r="H346" s="9">
        <f t="shared" si="4"/>
        <v>7</v>
      </c>
      <c r="I346" s="6" t="str">
        <f>IFERROR(__xludf.DUMMYFUNCTION("MAX(FILTER($H:$H,$E:$E=F346))"),"#N/A")</f>
        <v>#N/A</v>
      </c>
    </row>
    <row r="347">
      <c r="A347" s="4"/>
      <c r="C347" s="4" t="s">
        <v>11533</v>
      </c>
      <c r="D347" s="4" t="str">
        <f t="shared" si="1"/>
        <v>{"valorA":"ouvido","valorB":2}</v>
      </c>
      <c r="E347" s="8" t="str">
        <f t="shared" si="2"/>
        <v>ouvido</v>
      </c>
      <c r="F347" s="8"/>
      <c r="G347" s="8" t="str">
        <f t="shared" si="3"/>
        <v>2</v>
      </c>
      <c r="H347" s="9">
        <f t="shared" si="4"/>
        <v>2</v>
      </c>
      <c r="I347" s="6" t="str">
        <f>IFERROR(__xludf.DUMMYFUNCTION("MAX(FILTER($H:$H,$E:$E=F347))"),"#N/A")</f>
        <v>#N/A</v>
      </c>
    </row>
    <row r="348">
      <c r="A348" s="4"/>
      <c r="C348" s="4" t="s">
        <v>2790</v>
      </c>
      <c r="D348" s="4" t="str">
        <f t="shared" si="1"/>
        <v>{"valorA":"bluetooth","valorB":1}</v>
      </c>
      <c r="E348" s="8" t="str">
        <f t="shared" si="2"/>
        <v>bluetooth</v>
      </c>
      <c r="F348" s="8"/>
      <c r="G348" s="8" t="str">
        <f t="shared" si="3"/>
        <v>1</v>
      </c>
      <c r="H348" s="9">
        <f t="shared" si="4"/>
        <v>1</v>
      </c>
      <c r="I348" s="6" t="str">
        <f>IFERROR(__xludf.DUMMYFUNCTION("MAX(FILTER($H:$H,$E:$E=F348))"),"#N/A")</f>
        <v>#N/A</v>
      </c>
    </row>
    <row r="349">
      <c r="A349" s="4"/>
      <c r="C349" s="4" t="s">
        <v>11534</v>
      </c>
      <c r="D349" s="4" t="str">
        <f t="shared" si="1"/>
        <v>{"valorA":"necessidades","valorB":2}</v>
      </c>
      <c r="E349" s="8" t="str">
        <f t="shared" si="2"/>
        <v>necessidades</v>
      </c>
      <c r="F349" s="8"/>
      <c r="G349" s="8" t="str">
        <f t="shared" si="3"/>
        <v>2</v>
      </c>
      <c r="H349" s="9">
        <f t="shared" si="4"/>
        <v>2</v>
      </c>
      <c r="I349" s="6" t="str">
        <f>IFERROR(__xludf.DUMMYFUNCTION("MAX(FILTER($H:$H,$E:$E=F349))"),"#N/A")</f>
        <v>#N/A</v>
      </c>
    </row>
    <row r="350">
      <c r="A350" s="4"/>
      <c r="C350" s="4" t="s">
        <v>2901</v>
      </c>
      <c r="D350" s="4" t="str">
        <f t="shared" si="1"/>
        <v>{"valorA":"ótimo","valorB":38}</v>
      </c>
      <c r="E350" s="8" t="str">
        <f t="shared" si="2"/>
        <v>ótimo</v>
      </c>
      <c r="F350" s="8"/>
      <c r="G350" s="8" t="str">
        <f t="shared" si="3"/>
        <v>38</v>
      </c>
      <c r="H350" s="9">
        <f t="shared" si="4"/>
        <v>38</v>
      </c>
      <c r="I350" s="6" t="str">
        <f>IFERROR(__xludf.DUMMYFUNCTION("MAX(FILTER($H:$H,$E:$E=F350))"),"#N/A")</f>
        <v>#N/A</v>
      </c>
    </row>
    <row r="351">
      <c r="A351" s="4"/>
      <c r="C351" s="4" t="s">
        <v>3081</v>
      </c>
      <c r="D351" s="4" t="str">
        <f t="shared" si="1"/>
        <v>{"valorA":"de","valorB":11}</v>
      </c>
      <c r="E351" s="8" t="str">
        <f t="shared" si="2"/>
        <v>de</v>
      </c>
      <c r="F351" s="8"/>
      <c r="G351" s="8" t="str">
        <f t="shared" si="3"/>
        <v>11</v>
      </c>
      <c r="H351" s="9">
        <f t="shared" si="4"/>
        <v>11</v>
      </c>
      <c r="I351" s="6" t="str">
        <f>IFERROR(__xludf.DUMMYFUNCTION("MAX(FILTER($H:$H,$E:$E=F351))"),"#N/A")</f>
        <v>#N/A</v>
      </c>
    </row>
    <row r="352">
      <c r="A352" s="4"/>
      <c r="C352" s="4" t="s">
        <v>2864</v>
      </c>
      <c r="D352" s="4" t="str">
        <f t="shared" si="1"/>
        <v>{"valorA":"perfeito","valorB":1}</v>
      </c>
      <c r="E352" s="8" t="str">
        <f t="shared" si="2"/>
        <v>perfeito</v>
      </c>
      <c r="F352" s="8"/>
      <c r="G352" s="8" t="str">
        <f t="shared" si="3"/>
        <v>1</v>
      </c>
      <c r="H352" s="9">
        <f t="shared" si="4"/>
        <v>1</v>
      </c>
      <c r="I352" s="6" t="str">
        <f>IFERROR(__xludf.DUMMYFUNCTION("MAX(FILTER($H:$H,$E:$E=F352))"),"#N/A")</f>
        <v>#N/A</v>
      </c>
    </row>
    <row r="353">
      <c r="A353" s="4"/>
      <c r="C353" s="4" t="s">
        <v>2916</v>
      </c>
      <c r="D353" s="4" t="str">
        <f t="shared" si="1"/>
        <v>{"valorA":"produto","valorB":25}</v>
      </c>
      <c r="E353" s="8" t="str">
        <f t="shared" si="2"/>
        <v>produto</v>
      </c>
      <c r="F353" s="8"/>
      <c r="G353" s="8" t="str">
        <f t="shared" si="3"/>
        <v>25</v>
      </c>
      <c r="H353" s="9">
        <f t="shared" si="4"/>
        <v>25</v>
      </c>
      <c r="I353" s="6" t="str">
        <f>IFERROR(__xludf.DUMMYFUNCTION("MAX(FILTER($H:$H,$E:$E=F353))"),"#N/A")</f>
        <v>#N/A</v>
      </c>
    </row>
    <row r="354">
      <c r="A354" s="4"/>
      <c r="C354" s="4" t="s">
        <v>2905</v>
      </c>
      <c r="D354" s="4" t="str">
        <f t="shared" si="1"/>
        <v>{"valorA":"ótimo","valorB":39}</v>
      </c>
      <c r="E354" s="8" t="str">
        <f t="shared" si="2"/>
        <v>ótimo</v>
      </c>
      <c r="F354" s="8"/>
      <c r="G354" s="8" t="str">
        <f t="shared" si="3"/>
        <v>39</v>
      </c>
      <c r="H354" s="9">
        <f t="shared" si="4"/>
        <v>39</v>
      </c>
      <c r="I354" s="6" t="str">
        <f>IFERROR(__xludf.DUMMYFUNCTION("MAX(FILTER($H:$H,$E:$E=F354))"),"#N/A")</f>
        <v>#N/A</v>
      </c>
    </row>
    <row r="355">
      <c r="A355" s="4"/>
      <c r="C355" s="4" t="s">
        <v>11535</v>
      </c>
      <c r="D355" s="4" t="str">
        <f t="shared" si="1"/>
        <v>{"valorA":"total","valorB":1}</v>
      </c>
      <c r="E355" s="8" t="str">
        <f t="shared" si="2"/>
        <v>total</v>
      </c>
      <c r="F355" s="8"/>
      <c r="G355" s="8" t="str">
        <f t="shared" si="3"/>
        <v>1</v>
      </c>
      <c r="H355" s="9">
        <f t="shared" si="4"/>
        <v>1</v>
      </c>
      <c r="I355" s="6" t="str">
        <f>IFERROR(__xludf.DUMMYFUNCTION("MAX(FILTER($H:$H,$E:$E=F355))"),"#N/A")</f>
        <v>#N/A</v>
      </c>
    </row>
    <row r="356">
      <c r="A356" s="4"/>
      <c r="C356" s="4" t="s">
        <v>11536</v>
      </c>
      <c r="D356" s="4" t="str">
        <f t="shared" si="1"/>
        <v>{"valorA":"satisfacione","valorB":1}</v>
      </c>
      <c r="E356" s="8" t="str">
        <f t="shared" si="2"/>
        <v>satisfacione</v>
      </c>
      <c r="F356" s="8"/>
      <c r="G356" s="8" t="str">
        <f t="shared" si="3"/>
        <v>1</v>
      </c>
      <c r="H356" s="9">
        <f t="shared" si="4"/>
        <v>1</v>
      </c>
      <c r="I356" s="6" t="str">
        <f>IFERROR(__xludf.DUMMYFUNCTION("MAX(FILTER($H:$H,$E:$E=F356))"),"#N/A")</f>
        <v>#N/A</v>
      </c>
    </row>
    <row r="357">
      <c r="A357" s="4"/>
      <c r="C357" s="4" t="s">
        <v>11537</v>
      </c>
      <c r="D357" s="4" t="str">
        <f t="shared" si="1"/>
        <v>{"valorA":"ajudou","valorB":1}</v>
      </c>
      <c r="E357" s="8" t="str">
        <f t="shared" si="2"/>
        <v>ajudou</v>
      </c>
      <c r="F357" s="8"/>
      <c r="G357" s="8" t="str">
        <f t="shared" si="3"/>
        <v>1</v>
      </c>
      <c r="H357" s="9">
        <f t="shared" si="4"/>
        <v>1</v>
      </c>
      <c r="I357" s="6" t="str">
        <f>IFERROR(__xludf.DUMMYFUNCTION("MAX(FILTER($H:$H,$E:$E=F357))"),"#N/A")</f>
        <v>#N/A</v>
      </c>
    </row>
    <row r="358">
      <c r="A358" s="4"/>
      <c r="C358" s="4" t="s">
        <v>2976</v>
      </c>
      <c r="D358" s="4" t="str">
        <f t="shared" si="1"/>
        <v>{"valorA":"realmente","valorB":3}</v>
      </c>
      <c r="E358" s="8" t="str">
        <f t="shared" si="2"/>
        <v>realmente</v>
      </c>
      <c r="F358" s="8"/>
      <c r="G358" s="8" t="str">
        <f t="shared" si="3"/>
        <v>3</v>
      </c>
      <c r="H358" s="9">
        <f t="shared" si="4"/>
        <v>3</v>
      </c>
      <c r="I358" s="6" t="str">
        <f>IFERROR(__xludf.DUMMYFUNCTION("MAX(FILTER($H:$H,$E:$E=F358))"),"#N/A")</f>
        <v>#N/A</v>
      </c>
    </row>
    <row r="359">
      <c r="A359" s="4"/>
      <c r="C359" s="4" t="s">
        <v>11538</v>
      </c>
      <c r="D359" s="4" t="str">
        <f t="shared" si="1"/>
        <v>{"valorA":"melhorar","valorB":1}</v>
      </c>
      <c r="E359" s="8" t="str">
        <f t="shared" si="2"/>
        <v>melhorar</v>
      </c>
      <c r="F359" s="8"/>
      <c r="G359" s="8" t="str">
        <f t="shared" si="3"/>
        <v>1</v>
      </c>
      <c r="H359" s="9">
        <f t="shared" si="4"/>
        <v>1</v>
      </c>
      <c r="I359" s="6" t="str">
        <f>IFERROR(__xludf.DUMMYFUNCTION("MAX(FILTER($H:$H,$E:$E=F359))"),"#N/A")</f>
        <v>#N/A</v>
      </c>
    </row>
    <row r="360">
      <c r="A360" s="4"/>
      <c r="C360" s="4" t="s">
        <v>2888</v>
      </c>
      <c r="D360" s="4" t="str">
        <f t="shared" si="1"/>
        <v>{"valorA":"a","valorB":5}</v>
      </c>
      <c r="E360" s="8" t="str">
        <f t="shared" si="2"/>
        <v>a</v>
      </c>
      <c r="F360" s="8"/>
      <c r="G360" s="8" t="str">
        <f t="shared" si="3"/>
        <v>5</v>
      </c>
      <c r="H360" s="9">
        <f t="shared" si="4"/>
        <v>5</v>
      </c>
      <c r="I360" s="6" t="str">
        <f>IFERROR(__xludf.DUMMYFUNCTION("MAX(FILTER($H:$H,$E:$E=F360))"),"#N/A")</f>
        <v>#N/A</v>
      </c>
    </row>
    <row r="361">
      <c r="A361" s="4"/>
      <c r="C361" s="4" t="s">
        <v>2914</v>
      </c>
      <c r="D361" s="4" t="str">
        <f t="shared" si="1"/>
        <v>{"valorA":"ótimo","valorB":40}</v>
      </c>
      <c r="E361" s="8" t="str">
        <f t="shared" si="2"/>
        <v>ótimo</v>
      </c>
      <c r="F361" s="8"/>
      <c r="G361" s="8" t="str">
        <f t="shared" si="3"/>
        <v>40</v>
      </c>
      <c r="H361" s="9">
        <f t="shared" si="4"/>
        <v>40</v>
      </c>
      <c r="I361" s="6" t="str">
        <f>IFERROR(__xludf.DUMMYFUNCTION("MAX(FILTER($H:$H,$E:$E=F361))"),"#N/A")</f>
        <v>#N/A</v>
      </c>
    </row>
    <row r="362">
      <c r="A362" s="4"/>
      <c r="C362" s="4" t="s">
        <v>11539</v>
      </c>
      <c r="D362" s="4" t="str">
        <f t="shared" si="1"/>
        <v>{"valorA":"me","valorB":4}</v>
      </c>
      <c r="E362" s="8" t="str">
        <f t="shared" si="2"/>
        <v>me</v>
      </c>
      <c r="F362" s="8"/>
      <c r="G362" s="8" t="str">
        <f t="shared" si="3"/>
        <v>4</v>
      </c>
      <c r="H362" s="9">
        <f t="shared" si="4"/>
        <v>4</v>
      </c>
      <c r="I362" s="6" t="str">
        <f>IFERROR(__xludf.DUMMYFUNCTION("MAX(FILTER($H:$H,$E:$E=F362))"),"#N/A")</f>
        <v>#N/A</v>
      </c>
    </row>
    <row r="363">
      <c r="A363" s="4"/>
      <c r="C363" s="4" t="s">
        <v>2924</v>
      </c>
      <c r="D363" s="4" t="str">
        <f t="shared" si="1"/>
        <v>{"valorA":"produto","valorB":26}</v>
      </c>
      <c r="E363" s="8" t="str">
        <f t="shared" si="2"/>
        <v>produto</v>
      </c>
      <c r="F363" s="8"/>
      <c r="G363" s="8" t="str">
        <f t="shared" si="3"/>
        <v>26</v>
      </c>
      <c r="H363" s="9">
        <f t="shared" si="4"/>
        <v>26</v>
      </c>
      <c r="I363" s="6" t="str">
        <f>IFERROR(__xludf.DUMMYFUNCTION("MAX(FILTER($H:$H,$E:$E=F363))"),"#N/A")</f>
        <v>#N/A</v>
      </c>
    </row>
    <row r="364">
      <c r="A364" s="4"/>
      <c r="C364" s="4" t="s">
        <v>3934</v>
      </c>
      <c r="D364" s="4" t="str">
        <f t="shared" si="1"/>
        <v>{"valorA":"minha","valorB":2}</v>
      </c>
      <c r="E364" s="8" t="str">
        <f t="shared" si="2"/>
        <v>minha</v>
      </c>
      <c r="F364" s="8"/>
      <c r="G364" s="8" t="str">
        <f t="shared" si="3"/>
        <v>2</v>
      </c>
      <c r="H364" s="9">
        <f t="shared" si="4"/>
        <v>2</v>
      </c>
      <c r="I364" s="6" t="str">
        <f>IFERROR(__xludf.DUMMYFUNCTION("MAX(FILTER($H:$H,$E:$E=F364))"),"#N/A")</f>
        <v>#N/A</v>
      </c>
    </row>
    <row r="365">
      <c r="A365" s="4"/>
      <c r="C365" s="4" t="s">
        <v>11540</v>
      </c>
      <c r="D365" s="4" t="str">
        <f t="shared" si="1"/>
        <v>{"valorA":"diária","valorB":1}</v>
      </c>
      <c r="E365" s="8" t="str">
        <f t="shared" si="2"/>
        <v>diária</v>
      </c>
      <c r="F365" s="8"/>
      <c r="G365" s="8" t="str">
        <f t="shared" si="3"/>
        <v>1</v>
      </c>
      <c r="H365" s="9">
        <f t="shared" si="4"/>
        <v>1</v>
      </c>
      <c r="I365" s="6" t="str">
        <f>IFERROR(__xludf.DUMMYFUNCTION("MAX(FILTER($H:$H,$E:$E=F365))"),"#N/A")</f>
        <v>#N/A</v>
      </c>
    </row>
    <row r="366">
      <c r="A366" s="4"/>
      <c r="C366" s="4" t="s">
        <v>3889</v>
      </c>
      <c r="D366" s="4" t="str">
        <f t="shared" si="1"/>
        <v>{"valorA":"vida","valorB":1}</v>
      </c>
      <c r="E366" s="8" t="str">
        <f t="shared" si="2"/>
        <v>vida</v>
      </c>
      <c r="F366" s="8"/>
      <c r="G366" s="8" t="str">
        <f t="shared" si="3"/>
        <v>1</v>
      </c>
      <c r="H366" s="9">
        <f t="shared" si="4"/>
        <v>1</v>
      </c>
      <c r="I366" s="6" t="str">
        <f>IFERROR(__xludf.DUMMYFUNCTION("MAX(FILTER($H:$H,$E:$E=F366))"),"#N/A")</f>
        <v>#N/A</v>
      </c>
    </row>
    <row r="367">
      <c r="A367" s="4"/>
      <c r="C367" s="4" t="s">
        <v>3466</v>
      </c>
      <c r="D367" s="4" t="str">
        <f t="shared" si="1"/>
        <v>{"valorA":"ferramentas","valorB":1}</v>
      </c>
      <c r="E367" s="8" t="str">
        <f t="shared" si="2"/>
        <v>ferramentas</v>
      </c>
      <c r="F367" s="8"/>
      <c r="G367" s="8" t="str">
        <f t="shared" si="3"/>
        <v>1</v>
      </c>
      <c r="H367" s="9">
        <f t="shared" si="4"/>
        <v>1</v>
      </c>
      <c r="I367" s="6" t="str">
        <f>IFERROR(__xludf.DUMMYFUNCTION("MAX(FILTER($H:$H,$E:$E=F367))"),"#N/A")</f>
        <v>#N/A</v>
      </c>
    </row>
    <row r="368">
      <c r="A368" s="4"/>
      <c r="C368" s="4" t="s">
        <v>2800</v>
      </c>
      <c r="D368" s="4" t="str">
        <f t="shared" si="1"/>
        <v>{"valorA":"essa","valorB":6}</v>
      </c>
      <c r="E368" s="8" t="str">
        <f t="shared" si="2"/>
        <v>essa</v>
      </c>
      <c r="F368" s="8"/>
      <c r="G368" s="8" t="str">
        <f t="shared" si="3"/>
        <v>6</v>
      </c>
      <c r="H368" s="9">
        <f t="shared" si="4"/>
        <v>6</v>
      </c>
      <c r="I368" s="6" t="str">
        <f>IFERROR(__xludf.DUMMYFUNCTION("MAX(FILTER($H:$H,$E:$E=F368))"),"#N/A")</f>
        <v>#N/A</v>
      </c>
    </row>
    <row r="369">
      <c r="A369" s="4"/>
      <c r="C369" s="4" t="s">
        <v>3110</v>
      </c>
      <c r="D369" s="4" t="str">
        <f t="shared" si="1"/>
        <v>{"valorA":"de","valorB":12}</v>
      </c>
      <c r="E369" s="8" t="str">
        <f t="shared" si="2"/>
        <v>de</v>
      </c>
      <c r="F369" s="8"/>
      <c r="G369" s="8" t="str">
        <f t="shared" si="3"/>
        <v>12</v>
      </c>
      <c r="H369" s="9">
        <f t="shared" si="4"/>
        <v>12</v>
      </c>
      <c r="I369" s="6" t="str">
        <f>IFERROR(__xludf.DUMMYFUNCTION("MAX(FILTER($H:$H,$E:$E=F369))"),"#N/A")</f>
        <v>#N/A</v>
      </c>
    </row>
    <row r="370">
      <c r="A370" s="4"/>
      <c r="C370" s="4" t="s">
        <v>2933</v>
      </c>
      <c r="D370" s="4" t="str">
        <f t="shared" si="1"/>
        <v>{"valorA":"produto","valorB":27}</v>
      </c>
      <c r="E370" s="8" t="str">
        <f t="shared" si="2"/>
        <v>produto</v>
      </c>
      <c r="F370" s="8"/>
      <c r="G370" s="8" t="str">
        <f t="shared" si="3"/>
        <v>27</v>
      </c>
      <c r="H370" s="9">
        <f t="shared" si="4"/>
        <v>27</v>
      </c>
      <c r="I370" s="6" t="str">
        <f>IFERROR(__xludf.DUMMYFUNCTION("MAX(FILTER($H:$H,$E:$E=F370))"),"#N/A")</f>
        <v>#N/A</v>
      </c>
    </row>
    <row r="371">
      <c r="A371" s="4"/>
      <c r="C371" s="4" t="s">
        <v>2925</v>
      </c>
      <c r="D371" s="4" t="str">
        <f t="shared" si="1"/>
        <v>{"valorA":"ótimo","valorB":41}</v>
      </c>
      <c r="E371" s="8" t="str">
        <f t="shared" si="2"/>
        <v>ótimo</v>
      </c>
      <c r="F371" s="8"/>
      <c r="G371" s="8" t="str">
        <f t="shared" si="3"/>
        <v>41</v>
      </c>
      <c r="H371" s="9">
        <f t="shared" si="4"/>
        <v>41</v>
      </c>
      <c r="I371" s="6" t="str">
        <f>IFERROR(__xludf.DUMMYFUNCTION("MAX(FILTER($H:$H,$E:$E=F371))"),"#N/A")</f>
        <v>#N/A</v>
      </c>
    </row>
    <row r="372">
      <c r="A372" s="4"/>
      <c r="C372" s="4" t="s">
        <v>3343</v>
      </c>
      <c r="D372" s="4" t="str">
        <f t="shared" si="1"/>
        <v>{"valorA":"caixa","valorB":1}</v>
      </c>
      <c r="E372" s="8" t="str">
        <f t="shared" si="2"/>
        <v>caixa</v>
      </c>
      <c r="F372" s="8"/>
      <c r="G372" s="8" t="str">
        <f t="shared" si="3"/>
        <v>1</v>
      </c>
      <c r="H372" s="9">
        <f t="shared" si="4"/>
        <v>1</v>
      </c>
      <c r="I372" s="6" t="str">
        <f>IFERROR(__xludf.DUMMYFUNCTION("MAX(FILTER($H:$H,$E:$E=F372))"),"#N/A")</f>
        <v>#N/A</v>
      </c>
    </row>
    <row r="373">
      <c r="A373" s="4"/>
      <c r="C373" s="4" t="s">
        <v>2762</v>
      </c>
      <c r="D373" s="4" t="str">
        <f t="shared" si="1"/>
        <v>{"valorA":"creme","valorB":2}</v>
      </c>
      <c r="E373" s="8" t="str">
        <f t="shared" si="2"/>
        <v>creme</v>
      </c>
      <c r="F373" s="8"/>
      <c r="G373" s="8" t="str">
        <f t="shared" si="3"/>
        <v>2</v>
      </c>
      <c r="H373" s="9">
        <f t="shared" si="4"/>
        <v>2</v>
      </c>
      <c r="I373" s="6" t="str">
        <f>IFERROR(__xludf.DUMMYFUNCTION("MAX(FILTER($H:$H,$E:$E=F373))"),"#N/A")</f>
        <v>#N/A</v>
      </c>
    </row>
    <row r="374">
      <c r="A374" s="4"/>
      <c r="C374" s="4" t="s">
        <v>11541</v>
      </c>
      <c r="D374" s="4" t="str">
        <f t="shared" si="1"/>
        <v>{"valorA":"essa","valorB":7}</v>
      </c>
      <c r="E374" s="8" t="str">
        <f t="shared" si="2"/>
        <v>essa</v>
      </c>
      <c r="F374" s="8"/>
      <c r="G374" s="8" t="str">
        <f t="shared" si="3"/>
        <v>7</v>
      </c>
      <c r="H374" s="9">
        <f t="shared" si="4"/>
        <v>7</v>
      </c>
      <c r="I374" s="6" t="str">
        <f>IFERROR(__xludf.DUMMYFUNCTION("MAX(FILTER($H:$H,$E:$E=F374))"),"#N/A")</f>
        <v>#N/A</v>
      </c>
    </row>
    <row r="375">
      <c r="A375" s="4"/>
      <c r="C375" s="4" t="s">
        <v>2929</v>
      </c>
      <c r="D375" s="4" t="str">
        <f t="shared" si="1"/>
        <v>{"valorA":"ótimo","valorB":42}</v>
      </c>
      <c r="E375" s="8" t="str">
        <f t="shared" si="2"/>
        <v>ótimo</v>
      </c>
      <c r="F375" s="8"/>
      <c r="G375" s="8" t="str">
        <f t="shared" si="3"/>
        <v>42</v>
      </c>
      <c r="H375" s="9">
        <f t="shared" si="4"/>
        <v>42</v>
      </c>
      <c r="I375" s="6" t="str">
        <f>IFERROR(__xludf.DUMMYFUNCTION("MAX(FILTER($H:$H,$E:$E=F375))"),"#N/A")</f>
        <v>#N/A</v>
      </c>
    </row>
    <row r="376">
      <c r="A376" s="4"/>
      <c r="C376" s="4" t="s">
        <v>2938</v>
      </c>
      <c r="D376" s="4" t="str">
        <f t="shared" si="1"/>
        <v>{"valorA":"produto","valorB":28}</v>
      </c>
      <c r="E376" s="8" t="str">
        <f t="shared" si="2"/>
        <v>produto</v>
      </c>
      <c r="F376" s="8"/>
      <c r="G376" s="8" t="str">
        <f t="shared" si="3"/>
        <v>28</v>
      </c>
      <c r="H376" s="9">
        <f t="shared" si="4"/>
        <v>28</v>
      </c>
      <c r="I376" s="6" t="str">
        <f>IFERROR(__xludf.DUMMYFUNCTION("MAX(FILTER($H:$H,$E:$E=F376))"),"#N/A")</f>
        <v>#N/A</v>
      </c>
    </row>
    <row r="377">
      <c r="A377" s="4"/>
      <c r="C377" s="4" t="s">
        <v>2854</v>
      </c>
      <c r="D377" s="4" t="str">
        <f t="shared" si="1"/>
        <v>{"valorA":"para","valorB":8}</v>
      </c>
      <c r="E377" s="8" t="str">
        <f t="shared" si="2"/>
        <v>para</v>
      </c>
      <c r="F377" s="8"/>
      <c r="G377" s="8" t="str">
        <f t="shared" si="3"/>
        <v>8</v>
      </c>
      <c r="H377" s="9">
        <f t="shared" si="4"/>
        <v>8</v>
      </c>
      <c r="I377" s="6" t="str">
        <f>IFERROR(__xludf.DUMMYFUNCTION("MAX(FILTER($H:$H,$E:$E=F377))"),"#N/A")</f>
        <v>#N/A</v>
      </c>
    </row>
    <row r="378">
      <c r="A378" s="4"/>
      <c r="C378" s="4" t="s">
        <v>11542</v>
      </c>
      <c r="D378" s="4" t="str">
        <f t="shared" si="1"/>
        <v>{"valorA":"faça","valorB":1}</v>
      </c>
      <c r="E378" s="8" t="str">
        <f t="shared" si="2"/>
        <v>faça</v>
      </c>
      <c r="F378" s="8"/>
      <c r="G378" s="8" t="str">
        <f t="shared" si="3"/>
        <v>1</v>
      </c>
      <c r="H378" s="9">
        <f t="shared" si="4"/>
        <v>1</v>
      </c>
      <c r="I378" s="6" t="str">
        <f>IFERROR(__xludf.DUMMYFUNCTION("MAX(FILTER($H:$H,$E:$E=F378))"),"#N/A")</f>
        <v>#N/A</v>
      </c>
    </row>
    <row r="379">
      <c r="A379" s="4"/>
      <c r="C379" s="4" t="s">
        <v>3635</v>
      </c>
      <c r="D379" s="4" t="str">
        <f t="shared" si="1"/>
        <v>{"valorA":"mais","valorB":3}</v>
      </c>
      <c r="E379" s="8" t="str">
        <f t="shared" si="2"/>
        <v>mais</v>
      </c>
      <c r="F379" s="8"/>
      <c r="G379" s="8" t="str">
        <f t="shared" si="3"/>
        <v>3</v>
      </c>
      <c r="H379" s="9">
        <f t="shared" si="4"/>
        <v>3</v>
      </c>
      <c r="I379" s="6" t="str">
        <f>IFERROR(__xludf.DUMMYFUNCTION("MAX(FILTER($H:$H,$E:$E=F379))"),"#N/A")</f>
        <v>#N/A</v>
      </c>
    </row>
    <row r="380">
      <c r="A380" s="4"/>
      <c r="C380" s="4" t="s">
        <v>3400</v>
      </c>
      <c r="D380" s="4" t="str">
        <f t="shared" si="1"/>
        <v>{"valorA":"brilhante","valorB":1}</v>
      </c>
      <c r="E380" s="8" t="str">
        <f t="shared" si="2"/>
        <v>brilhante</v>
      </c>
      <c r="F380" s="8"/>
      <c r="G380" s="8" t="str">
        <f t="shared" si="3"/>
        <v>1</v>
      </c>
      <c r="H380" s="9">
        <f t="shared" si="4"/>
        <v>1</v>
      </c>
      <c r="I380" s="6" t="str">
        <f>IFERROR(__xludf.DUMMYFUNCTION("MAX(FILTER($H:$H,$E:$E=F380))"),"#N/A")</f>
        <v>#N/A</v>
      </c>
    </row>
    <row r="381">
      <c r="A381" s="4"/>
      <c r="C381" s="4" t="s">
        <v>2911</v>
      </c>
      <c r="D381" s="4" t="str">
        <f t="shared" si="1"/>
        <v>{"valorA":"a","valorB":6}</v>
      </c>
      <c r="E381" s="8" t="str">
        <f t="shared" si="2"/>
        <v>a</v>
      </c>
      <c r="F381" s="8"/>
      <c r="G381" s="8" t="str">
        <f t="shared" si="3"/>
        <v>6</v>
      </c>
      <c r="H381" s="9">
        <f t="shared" si="4"/>
        <v>6</v>
      </c>
      <c r="I381" s="6" t="str">
        <f>IFERROR(__xludf.DUMMYFUNCTION("MAX(FILTER($H:$H,$E:$E=F381))"),"#N/A")</f>
        <v>#N/A</v>
      </c>
    </row>
    <row r="382">
      <c r="A382" s="4"/>
      <c r="C382" s="4" t="s">
        <v>3615</v>
      </c>
      <c r="D382" s="4" t="str">
        <f t="shared" si="1"/>
        <v>{"valorA":"pele","valorB":1}</v>
      </c>
      <c r="E382" s="8" t="str">
        <f t="shared" si="2"/>
        <v>pele</v>
      </c>
      <c r="F382" s="8"/>
      <c r="G382" s="8" t="str">
        <f t="shared" si="3"/>
        <v>1</v>
      </c>
      <c r="H382" s="9">
        <f t="shared" si="4"/>
        <v>1</v>
      </c>
      <c r="I382" s="6" t="str">
        <f>IFERROR(__xludf.DUMMYFUNCTION("MAX(FILTER($H:$H,$E:$E=F382))"),"#N/A")</f>
        <v>#N/A</v>
      </c>
    </row>
    <row r="383">
      <c r="A383" s="4"/>
      <c r="C383" s="4" t="s">
        <v>3177</v>
      </c>
      <c r="D383" s="4" t="str">
        <f t="shared" si="1"/>
        <v>{"valorA":"e","valorB":16}</v>
      </c>
      <c r="E383" s="8" t="str">
        <f t="shared" si="2"/>
        <v>e</v>
      </c>
      <c r="F383" s="8"/>
      <c r="G383" s="8" t="str">
        <f t="shared" si="3"/>
        <v>16</v>
      </c>
      <c r="H383" s="9">
        <f t="shared" si="4"/>
        <v>16</v>
      </c>
      <c r="I383" s="6" t="str">
        <f>IFERROR(__xludf.DUMMYFUNCTION("MAX(FILTER($H:$H,$E:$E=F383))"),"#N/A")</f>
        <v>#N/A</v>
      </c>
    </row>
    <row r="384">
      <c r="A384" s="4"/>
      <c r="C384" s="4" t="s">
        <v>7071</v>
      </c>
      <c r="D384" s="4" t="str">
        <f t="shared" si="1"/>
        <v>{"valorA":"pele","valorB":2}</v>
      </c>
      <c r="E384" s="8" t="str">
        <f t="shared" si="2"/>
        <v>pele</v>
      </c>
      <c r="F384" s="8"/>
      <c r="G384" s="8" t="str">
        <f t="shared" si="3"/>
        <v>2</v>
      </c>
      <c r="H384" s="9">
        <f t="shared" si="4"/>
        <v>2</v>
      </c>
      <c r="I384" s="6" t="str">
        <f>IFERROR(__xludf.DUMMYFUNCTION("MAX(FILTER($H:$H,$E:$E=F384))"),"#N/A")</f>
        <v>#N/A</v>
      </c>
    </row>
    <row r="385">
      <c r="A385" s="4"/>
      <c r="C385" s="4" t="s">
        <v>2927</v>
      </c>
      <c r="D385" s="4" t="str">
        <f t="shared" si="1"/>
        <v>{"valorA":"com","valorB":3}</v>
      </c>
      <c r="E385" s="8" t="str">
        <f t="shared" si="2"/>
        <v>com</v>
      </c>
      <c r="F385" s="8"/>
      <c r="G385" s="8" t="str">
        <f t="shared" si="3"/>
        <v>3</v>
      </c>
      <c r="H385" s="9">
        <f t="shared" si="4"/>
        <v>3</v>
      </c>
      <c r="I385" s="6" t="str">
        <f>IFERROR(__xludf.DUMMYFUNCTION("MAX(FILTER($H:$H,$E:$E=F385))"),"#N/A")</f>
        <v>#N/A</v>
      </c>
    </row>
    <row r="386">
      <c r="A386" s="4"/>
      <c r="C386" s="4" t="s">
        <v>3616</v>
      </c>
      <c r="D386" s="4" t="str">
        <f t="shared" si="1"/>
        <v>{"valorA":"suave","valorB":1}</v>
      </c>
      <c r="E386" s="8" t="str">
        <f t="shared" si="2"/>
        <v>suave</v>
      </c>
      <c r="F386" s="8"/>
      <c r="G386" s="8" t="str">
        <f t="shared" si="3"/>
        <v>1</v>
      </c>
      <c r="H386" s="9">
        <f t="shared" si="4"/>
        <v>1</v>
      </c>
      <c r="I386" s="6" t="str">
        <f>IFERROR(__xludf.DUMMYFUNCTION("MAX(FILTER($H:$H,$E:$E=F386))"),"#N/A")</f>
        <v>#N/A</v>
      </c>
    </row>
    <row r="387">
      <c r="A387" s="4"/>
      <c r="C387" s="4" t="s">
        <v>2935</v>
      </c>
      <c r="D387" s="4" t="str">
        <f t="shared" si="1"/>
        <v>{"valorA":"ótimo","valorB":43}</v>
      </c>
      <c r="E387" s="8" t="str">
        <f t="shared" si="2"/>
        <v>ótimo</v>
      </c>
      <c r="F387" s="8"/>
      <c r="G387" s="8" t="str">
        <f t="shared" si="3"/>
        <v>43</v>
      </c>
      <c r="H387" s="9">
        <f t="shared" si="4"/>
        <v>43</v>
      </c>
      <c r="I387" s="6" t="str">
        <f>IFERROR(__xludf.DUMMYFUNCTION("MAX(FILTER($H:$H,$E:$E=F387))"),"#N/A")</f>
        <v>#N/A</v>
      </c>
    </row>
    <row r="388">
      <c r="A388" s="4"/>
      <c r="C388" s="4" t="s">
        <v>2692</v>
      </c>
      <c r="D388" s="4" t="str">
        <f t="shared" si="1"/>
        <v>{"valorA":"adorei","valorB":1}</v>
      </c>
      <c r="E388" s="8" t="str">
        <f t="shared" si="2"/>
        <v>adorei</v>
      </c>
      <c r="F388" s="8"/>
      <c r="G388" s="8" t="str">
        <f t="shared" si="3"/>
        <v>1</v>
      </c>
      <c r="H388" s="9">
        <f t="shared" si="4"/>
        <v>1</v>
      </c>
      <c r="I388" s="6" t="str">
        <f>IFERROR(__xludf.DUMMYFUNCTION("MAX(FILTER($H:$H,$E:$E=F388))"),"#N/A")</f>
        <v>#N/A</v>
      </c>
    </row>
    <row r="389">
      <c r="A389" s="4"/>
      <c r="C389" s="4" t="s">
        <v>2944</v>
      </c>
      <c r="D389" s="4" t="str">
        <f t="shared" si="1"/>
        <v>{"valorA":"produto","valorB":29}</v>
      </c>
      <c r="E389" s="8" t="str">
        <f t="shared" si="2"/>
        <v>produto</v>
      </c>
      <c r="F389" s="8"/>
      <c r="G389" s="8" t="str">
        <f t="shared" si="3"/>
        <v>29</v>
      </c>
      <c r="H389" s="9">
        <f t="shared" si="4"/>
        <v>29</v>
      </c>
      <c r="I389" s="6" t="str">
        <f>IFERROR(__xludf.DUMMYFUNCTION("MAX(FILTER($H:$H,$E:$E=F389))"),"#N/A")</f>
        <v>#N/A</v>
      </c>
    </row>
    <row r="390">
      <c r="A390" s="4"/>
      <c r="C390" s="4" t="s">
        <v>11543</v>
      </c>
      <c r="D390" s="4" t="str">
        <f t="shared" si="1"/>
        <v>{"valorA":"online","valorB":4}</v>
      </c>
      <c r="E390" s="8" t="str">
        <f t="shared" si="2"/>
        <v>online</v>
      </c>
      <c r="F390" s="8"/>
      <c r="G390" s="8" t="str">
        <f t="shared" si="3"/>
        <v>4</v>
      </c>
      <c r="H390" s="9">
        <f t="shared" si="4"/>
        <v>4</v>
      </c>
      <c r="I390" s="6" t="str">
        <f>IFERROR(__xludf.DUMMYFUNCTION("MAX(FILTER($H:$H,$E:$E=F390))"),"#N/A")</f>
        <v>#N/A</v>
      </c>
    </row>
    <row r="391">
      <c r="A391" s="4"/>
      <c r="C391" s="4" t="s">
        <v>3651</v>
      </c>
      <c r="D391" s="4" t="str">
        <f t="shared" si="1"/>
        <v>{"valorA":"incrível","valorB":9}</v>
      </c>
      <c r="E391" s="8" t="str">
        <f t="shared" si="2"/>
        <v>incrível</v>
      </c>
      <c r="F391" s="8"/>
      <c r="G391" s="8" t="str">
        <f t="shared" si="3"/>
        <v>9</v>
      </c>
      <c r="H391" s="9">
        <f t="shared" si="4"/>
        <v>9</v>
      </c>
      <c r="I391" s="6" t="str">
        <f>IFERROR(__xludf.DUMMYFUNCTION("MAX(FILTER($H:$H,$E:$E=F391))"),"#N/A")</f>
        <v>#N/A</v>
      </c>
    </row>
    <row r="392">
      <c r="A392" s="4"/>
      <c r="C392" s="4" t="s">
        <v>11544</v>
      </c>
      <c r="D392" s="4" t="str">
        <f t="shared" si="1"/>
        <v>{"valorA":"loja","valorB":3}</v>
      </c>
      <c r="E392" s="8" t="str">
        <f t="shared" si="2"/>
        <v>loja</v>
      </c>
      <c r="F392" s="8"/>
      <c r="G392" s="8" t="str">
        <f t="shared" si="3"/>
        <v>3</v>
      </c>
      <c r="H392" s="9">
        <f t="shared" si="4"/>
        <v>3</v>
      </c>
      <c r="I392" s="6" t="str">
        <f>IFERROR(__xludf.DUMMYFUNCTION("MAX(FILTER($H:$H,$E:$E=F392))"),"#N/A")</f>
        <v>#N/A</v>
      </c>
    </row>
    <row r="393">
      <c r="A393" s="4"/>
      <c r="C393" s="4" t="s">
        <v>2945</v>
      </c>
      <c r="D393" s="4" t="str">
        <f t="shared" si="1"/>
        <v>{"valorA":"ótimo","valorB":44}</v>
      </c>
      <c r="E393" s="8" t="str">
        <f t="shared" si="2"/>
        <v>ótimo</v>
      </c>
      <c r="F393" s="8"/>
      <c r="G393" s="8" t="str">
        <f t="shared" si="3"/>
        <v>44</v>
      </c>
      <c r="H393" s="9">
        <f t="shared" si="4"/>
        <v>44</v>
      </c>
      <c r="I393" s="6" t="str">
        <f>IFERROR(__xludf.DUMMYFUNCTION("MAX(FILTER($H:$H,$E:$E=F393))"),"#N/A")</f>
        <v>#N/A</v>
      </c>
    </row>
    <row r="394">
      <c r="A394" s="4"/>
      <c r="C394" s="4" t="s">
        <v>3658</v>
      </c>
      <c r="D394" s="4" t="str">
        <f t="shared" si="1"/>
        <v>{"valorA":"é","valorB":17}</v>
      </c>
      <c r="E394" s="8" t="str">
        <f t="shared" si="2"/>
        <v>é</v>
      </c>
      <c r="F394" s="8"/>
      <c r="G394" s="8" t="str">
        <f t="shared" si="3"/>
        <v>17</v>
      </c>
      <c r="H394" s="9">
        <f t="shared" si="4"/>
        <v>17</v>
      </c>
      <c r="I394" s="6" t="str">
        <f>IFERROR(__xludf.DUMMYFUNCTION("MAX(FILTER($H:$H,$E:$E=F394))"),"#N/A")</f>
        <v>#N/A</v>
      </c>
    </row>
    <row r="395">
      <c r="A395" s="4"/>
      <c r="C395" s="4" t="s">
        <v>3310</v>
      </c>
      <c r="D395" s="4" t="str">
        <f t="shared" si="1"/>
        <v>{"valorA":"serviço","valorB":1}</v>
      </c>
      <c r="E395" s="8" t="str">
        <f t="shared" si="2"/>
        <v>serviço</v>
      </c>
      <c r="F395" s="8"/>
      <c r="G395" s="8" t="str">
        <f t="shared" si="3"/>
        <v>1</v>
      </c>
      <c r="H395" s="9">
        <f t="shared" si="4"/>
        <v>1</v>
      </c>
      <c r="I395" s="6" t="str">
        <f>IFERROR(__xludf.DUMMYFUNCTION("MAX(FILTER($H:$H,$E:$E=F395))"),"#N/A")</f>
        <v>#N/A</v>
      </c>
    </row>
    <row r="396">
      <c r="A396" s="4"/>
      <c r="C396" s="4" t="s">
        <v>11545</v>
      </c>
      <c r="D396" s="4" t="str">
        <f t="shared" si="1"/>
        <v>{"valorA":"dessa","valorB":3}</v>
      </c>
      <c r="E396" s="8" t="str">
        <f t="shared" si="2"/>
        <v>dessa</v>
      </c>
      <c r="F396" s="8"/>
      <c r="G396" s="8" t="str">
        <f t="shared" si="3"/>
        <v>3</v>
      </c>
      <c r="H396" s="9">
        <f t="shared" si="4"/>
        <v>3</v>
      </c>
      <c r="I396" s="6" t="str">
        <f>IFERROR(__xludf.DUMMYFUNCTION("MAX(FILTER($H:$H,$E:$E=F396))"),"#N/A")</f>
        <v>#N/A</v>
      </c>
    </row>
    <row r="397">
      <c r="A397" s="4"/>
      <c r="C397" s="4" t="s">
        <v>2959</v>
      </c>
      <c r="D397" s="4" t="str">
        <f t="shared" si="1"/>
        <v>{"valorA":"produto","valorB":30}</v>
      </c>
      <c r="E397" s="8" t="str">
        <f t="shared" si="2"/>
        <v>produto</v>
      </c>
      <c r="F397" s="8"/>
      <c r="G397" s="8" t="str">
        <f t="shared" si="3"/>
        <v>30</v>
      </c>
      <c r="H397" s="9">
        <f t="shared" si="4"/>
        <v>30</v>
      </c>
      <c r="I397" s="6" t="str">
        <f>IFERROR(__xludf.DUMMYFUNCTION("MAX(FILTER($H:$H,$E:$E=F397))"),"#N/A")</f>
        <v>#N/A</v>
      </c>
    </row>
    <row r="398">
      <c r="A398" s="4"/>
      <c r="C398" s="4" t="s">
        <v>11546</v>
      </c>
      <c r="D398" s="4" t="str">
        <f t="shared" si="1"/>
        <v>{"valorA":"essa","valorB":8}</v>
      </c>
      <c r="E398" s="8" t="str">
        <f t="shared" si="2"/>
        <v>essa</v>
      </c>
      <c r="F398" s="8"/>
      <c r="G398" s="8" t="str">
        <f t="shared" si="3"/>
        <v>8</v>
      </c>
      <c r="H398" s="9">
        <f t="shared" si="4"/>
        <v>8</v>
      </c>
      <c r="I398" s="6" t="str">
        <f>IFERROR(__xludf.DUMMYFUNCTION("MAX(FILTER($H:$H,$E:$E=F398))"),"#N/A")</f>
        <v>#N/A</v>
      </c>
    </row>
    <row r="399">
      <c r="A399" s="4"/>
      <c r="C399" s="4" t="s">
        <v>11547</v>
      </c>
      <c r="D399" s="4" t="str">
        <f t="shared" si="1"/>
        <v>{"valorA":"abatefogo","valorB":1}</v>
      </c>
      <c r="E399" s="8" t="str">
        <f t="shared" si="2"/>
        <v>abatefogo</v>
      </c>
      <c r="F399" s="8"/>
      <c r="G399" s="8" t="str">
        <f t="shared" si="3"/>
        <v>1</v>
      </c>
      <c r="H399" s="9">
        <f t="shared" si="4"/>
        <v>1</v>
      </c>
      <c r="I399" s="6" t="str">
        <f>IFERROR(__xludf.DUMMYFUNCTION("MAX(FILTER($H:$H,$E:$E=F399))"),"#N/A")</f>
        <v>#N/A</v>
      </c>
    </row>
    <row r="400">
      <c r="A400" s="4"/>
      <c r="C400" s="4" t="s">
        <v>3128</v>
      </c>
      <c r="D400" s="4" t="str">
        <f t="shared" si="1"/>
        <v>{"valorA":"de","valorB":13}</v>
      </c>
      <c r="E400" s="8" t="str">
        <f t="shared" si="2"/>
        <v>de</v>
      </c>
      <c r="F400" s="8"/>
      <c r="G400" s="8" t="str">
        <f t="shared" si="3"/>
        <v>13</v>
      </c>
      <c r="H400" s="9">
        <f t="shared" si="4"/>
        <v>13</v>
      </c>
      <c r="I400" s="6" t="str">
        <f>IFERROR(__xludf.DUMMYFUNCTION("MAX(FILTER($H:$H,$E:$E=F400))"),"#N/A")</f>
        <v>#N/A</v>
      </c>
    </row>
    <row r="401">
      <c r="A401" s="4"/>
      <c r="C401" s="4" t="s">
        <v>2961</v>
      </c>
      <c r="D401" s="4" t="str">
        <f t="shared" si="1"/>
        <v>{"valorA":"ótimo","valorB":45}</v>
      </c>
      <c r="E401" s="8" t="str">
        <f t="shared" si="2"/>
        <v>ótimo</v>
      </c>
      <c r="F401" s="8"/>
      <c r="G401" s="8" t="str">
        <f t="shared" si="3"/>
        <v>45</v>
      </c>
      <c r="H401" s="9">
        <f t="shared" si="4"/>
        <v>45</v>
      </c>
      <c r="I401" s="6" t="str">
        <f>IFERROR(__xludf.DUMMYFUNCTION("MAX(FILTER($H:$H,$E:$E=F401))"),"#N/A")</f>
        <v>#N/A</v>
      </c>
    </row>
    <row r="402">
      <c r="A402" s="4"/>
      <c r="C402" s="4" t="s">
        <v>2974</v>
      </c>
      <c r="D402" s="4" t="str">
        <f t="shared" si="1"/>
        <v>{"valorA":"produto","valorB":31}</v>
      </c>
      <c r="E402" s="8" t="str">
        <f t="shared" si="2"/>
        <v>produto</v>
      </c>
      <c r="F402" s="8"/>
      <c r="G402" s="8" t="str">
        <f t="shared" si="3"/>
        <v>31</v>
      </c>
      <c r="H402" s="9">
        <f t="shared" si="4"/>
        <v>31</v>
      </c>
      <c r="I402" s="6" t="str">
        <f>IFERROR(__xludf.DUMMYFUNCTION("MAX(FILTER($H:$H,$E:$E=F402))"),"#N/A")</f>
        <v>#N/A</v>
      </c>
    </row>
    <row r="403">
      <c r="A403" s="4"/>
      <c r="C403" s="4" t="s">
        <v>11548</v>
      </c>
      <c r="D403" s="4" t="str">
        <f t="shared" si="1"/>
        <v>{"valorA":"faca","valorB":1}</v>
      </c>
      <c r="E403" s="8" t="str">
        <f t="shared" si="2"/>
        <v>faca</v>
      </c>
      <c r="F403" s="8"/>
      <c r="G403" s="8" t="str">
        <f t="shared" si="3"/>
        <v>1</v>
      </c>
      <c r="H403" s="9">
        <f t="shared" si="4"/>
        <v>1</v>
      </c>
      <c r="I403" s="6" t="str">
        <f>IFERROR(__xludf.DUMMYFUNCTION("MAX(FILTER($H:$H,$E:$E=F403))"),"#N/A")</f>
        <v>#N/A</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13.25"/>
    <col customWidth="1" min="11" max="11" width="13.25"/>
    <col customWidth="1" min="14" max="14" width="13.25"/>
  </cols>
  <sheetData>
    <row r="1">
      <c r="A1" s="5" t="s">
        <v>32</v>
      </c>
      <c r="B1" s="7" t="s">
        <v>8667</v>
      </c>
      <c r="C1" s="5" t="s">
        <v>8668</v>
      </c>
      <c r="D1" s="5" t="s">
        <v>8669</v>
      </c>
      <c r="F1" s="29"/>
      <c r="G1" s="22" t="s">
        <v>11549</v>
      </c>
      <c r="H1" s="23"/>
      <c r="J1" s="22" t="s">
        <v>8671</v>
      </c>
      <c r="K1" s="23"/>
      <c r="M1" s="22" t="s">
        <v>8672</v>
      </c>
      <c r="N1" s="23"/>
    </row>
    <row r="2">
      <c r="A2" s="4" t="s">
        <v>11550</v>
      </c>
      <c r="B2" s="10">
        <f t="shared" ref="B2:B403" si="1">VALUE(SUBSTITUTE(MID(A2,FIND("CPU usage is:",A2)+13,FIND("RAM memory",A2)-FIND("CPU usage is:",A2)-13),".",","))</f>
        <v>28.6</v>
      </c>
      <c r="C2" s="6">
        <f t="shared" ref="C2:C403" si="2">VALUE(SUBSTITUTE(SUBSTITUTE(MID(A2,FIND("RAM memory % used:",A2)+18,9),"RAM",""),".",","))</f>
        <v>98.8</v>
      </c>
      <c r="D2" s="6">
        <f t="shared" ref="D2:D403" si="3">VALUE(SUBSTITUTE(SUBSTITUTE(MID(A2,FIND("RAM Used (GB):",A2)+14,9),"RAM",""),".",","))</f>
        <v>16.839344</v>
      </c>
      <c r="F2" s="5"/>
      <c r="G2" s="25" t="s">
        <v>4013</v>
      </c>
      <c r="H2" s="25" t="s">
        <v>4247</v>
      </c>
      <c r="J2" s="25" t="s">
        <v>4013</v>
      </c>
      <c r="K2" s="25" t="s">
        <v>4247</v>
      </c>
      <c r="M2" s="25" t="s">
        <v>4013</v>
      </c>
      <c r="N2" s="25" t="s">
        <v>4247</v>
      </c>
    </row>
    <row r="3">
      <c r="A3" s="4" t="s">
        <v>11551</v>
      </c>
      <c r="B3" s="10">
        <f t="shared" si="1"/>
        <v>0</v>
      </c>
      <c r="C3" s="6">
        <f t="shared" si="2"/>
        <v>98.8</v>
      </c>
      <c r="D3" s="6">
        <f t="shared" si="3"/>
        <v>16.835072</v>
      </c>
      <c r="G3" s="28">
        <f>AVERAGE(B2:B403)</f>
        <v>16.07288557</v>
      </c>
      <c r="H3" s="20">
        <f>STDEV(B2:B403)</f>
        <v>32.76812493</v>
      </c>
      <c r="J3" s="20">
        <f>AVERAGE(C2:C403)</f>
        <v>97.7300995</v>
      </c>
      <c r="K3" s="20">
        <f>STDEV(C2:C403)</f>
        <v>3.454147746</v>
      </c>
      <c r="M3" s="20">
        <f>AVERAGE(D2:D403)</f>
        <v>16.6540722</v>
      </c>
      <c r="N3" s="20">
        <f>STDEV(D2:D403)</f>
        <v>0.5888663492</v>
      </c>
    </row>
    <row r="4">
      <c r="A4" s="4" t="s">
        <v>11552</v>
      </c>
      <c r="B4" s="10">
        <f t="shared" si="1"/>
        <v>0</v>
      </c>
      <c r="C4" s="6">
        <f t="shared" si="2"/>
        <v>98.8</v>
      </c>
      <c r="D4" s="6">
        <f t="shared" si="3"/>
        <v>16.837758</v>
      </c>
    </row>
    <row r="5">
      <c r="A5" s="4" t="s">
        <v>11553</v>
      </c>
      <c r="B5" s="10">
        <f t="shared" si="1"/>
        <v>0</v>
      </c>
      <c r="C5" s="6">
        <f t="shared" si="2"/>
        <v>98.9</v>
      </c>
      <c r="D5" s="6">
        <f t="shared" si="3"/>
        <v>16.848683</v>
      </c>
    </row>
    <row r="6">
      <c r="A6" s="4" t="s">
        <v>11554</v>
      </c>
      <c r="B6" s="10">
        <f t="shared" si="1"/>
        <v>0</v>
      </c>
      <c r="C6" s="6">
        <f t="shared" si="2"/>
        <v>98.9</v>
      </c>
      <c r="D6" s="6">
        <f t="shared" si="3"/>
        <v>16.84824</v>
      </c>
    </row>
    <row r="7">
      <c r="A7" s="4" t="s">
        <v>11555</v>
      </c>
      <c r="B7" s="10">
        <f t="shared" si="1"/>
        <v>0</v>
      </c>
      <c r="C7" s="6">
        <f t="shared" si="2"/>
        <v>98.9</v>
      </c>
      <c r="D7" s="6">
        <f t="shared" si="3"/>
        <v>16.847888</v>
      </c>
    </row>
    <row r="8">
      <c r="A8" s="4" t="s">
        <v>11556</v>
      </c>
      <c r="B8" s="10">
        <f t="shared" si="1"/>
        <v>0</v>
      </c>
      <c r="C8" s="6">
        <f t="shared" si="2"/>
        <v>98.9</v>
      </c>
      <c r="D8" s="6">
        <f t="shared" si="3"/>
        <v>16.853729</v>
      </c>
    </row>
    <row r="9">
      <c r="A9" s="4" t="s">
        <v>11557</v>
      </c>
      <c r="B9" s="10">
        <f t="shared" si="1"/>
        <v>0</v>
      </c>
      <c r="C9" s="6">
        <f t="shared" si="2"/>
        <v>98.9</v>
      </c>
      <c r="D9" s="6">
        <f t="shared" si="3"/>
        <v>16.852381</v>
      </c>
    </row>
    <row r="10">
      <c r="A10" s="4" t="s">
        <v>11558</v>
      </c>
      <c r="B10" s="10">
        <f t="shared" si="1"/>
        <v>0</v>
      </c>
      <c r="C10" s="6">
        <f t="shared" si="2"/>
        <v>98.9</v>
      </c>
      <c r="D10" s="6">
        <f t="shared" si="3"/>
        <v>16.851734</v>
      </c>
    </row>
    <row r="11">
      <c r="A11" s="4" t="s">
        <v>11559</v>
      </c>
      <c r="B11" s="10">
        <f t="shared" si="1"/>
        <v>0</v>
      </c>
      <c r="C11" s="6">
        <f t="shared" si="2"/>
        <v>98.6</v>
      </c>
      <c r="D11" s="6">
        <f t="shared" si="3"/>
        <v>16.805425</v>
      </c>
    </row>
    <row r="12">
      <c r="A12" s="4" t="s">
        <v>11560</v>
      </c>
      <c r="B12" s="10">
        <f t="shared" si="1"/>
        <v>0</v>
      </c>
      <c r="C12" s="6">
        <f t="shared" si="2"/>
        <v>98.6</v>
      </c>
      <c r="D12" s="6">
        <f t="shared" si="3"/>
        <v>16.805138</v>
      </c>
    </row>
    <row r="13">
      <c r="A13" s="4" t="s">
        <v>11561</v>
      </c>
      <c r="B13" s="10">
        <f t="shared" si="1"/>
        <v>80</v>
      </c>
      <c r="C13" s="6">
        <f t="shared" si="2"/>
        <v>98.6</v>
      </c>
      <c r="D13" s="6">
        <f t="shared" si="3"/>
        <v>16.80499</v>
      </c>
    </row>
    <row r="14">
      <c r="A14" s="4" t="s">
        <v>11562</v>
      </c>
      <c r="B14" s="10">
        <f t="shared" si="1"/>
        <v>0</v>
      </c>
      <c r="C14" s="6">
        <f t="shared" si="2"/>
        <v>98.7</v>
      </c>
      <c r="D14" s="6">
        <f t="shared" si="3"/>
        <v>16.818352</v>
      </c>
    </row>
    <row r="15">
      <c r="A15" s="4" t="s">
        <v>11563</v>
      </c>
      <c r="B15" s="10">
        <f t="shared" si="1"/>
        <v>0</v>
      </c>
      <c r="C15" s="6">
        <f t="shared" si="2"/>
        <v>98.7</v>
      </c>
      <c r="D15" s="6">
        <f t="shared" si="3"/>
        <v>16.814108</v>
      </c>
    </row>
    <row r="16">
      <c r="A16" s="4" t="s">
        <v>11564</v>
      </c>
      <c r="B16" s="10">
        <f t="shared" si="1"/>
        <v>0</v>
      </c>
      <c r="C16" s="6">
        <f t="shared" si="2"/>
        <v>98.6</v>
      </c>
      <c r="D16" s="6">
        <f t="shared" si="3"/>
        <v>16.81007</v>
      </c>
    </row>
    <row r="17">
      <c r="A17" s="4" t="s">
        <v>11565</v>
      </c>
      <c r="B17" s="10">
        <f t="shared" si="1"/>
        <v>0</v>
      </c>
      <c r="C17" s="6">
        <f t="shared" si="2"/>
        <v>98.7</v>
      </c>
      <c r="D17" s="6">
        <f t="shared" si="3"/>
        <v>16.822763</v>
      </c>
    </row>
    <row r="18">
      <c r="A18" s="4" t="s">
        <v>11566</v>
      </c>
      <c r="B18" s="10">
        <f t="shared" si="1"/>
        <v>0</v>
      </c>
      <c r="C18" s="6">
        <f t="shared" si="2"/>
        <v>98.7</v>
      </c>
      <c r="D18" s="6">
        <f t="shared" si="3"/>
        <v>16.815206</v>
      </c>
    </row>
    <row r="19">
      <c r="A19" s="4" t="s">
        <v>11567</v>
      </c>
      <c r="B19" s="10">
        <f t="shared" si="1"/>
        <v>0</v>
      </c>
      <c r="C19" s="6">
        <f t="shared" si="2"/>
        <v>98.7</v>
      </c>
      <c r="D19" s="6">
        <f t="shared" si="3"/>
        <v>16.819531</v>
      </c>
    </row>
    <row r="20">
      <c r="A20" s="4" t="s">
        <v>11568</v>
      </c>
      <c r="B20" s="10">
        <f t="shared" si="1"/>
        <v>20</v>
      </c>
      <c r="C20" s="6">
        <f t="shared" si="2"/>
        <v>98.7</v>
      </c>
      <c r="D20" s="6">
        <f t="shared" si="3"/>
        <v>16.814456</v>
      </c>
    </row>
    <row r="21">
      <c r="A21" s="4" t="s">
        <v>11569</v>
      </c>
      <c r="B21" s="10">
        <f t="shared" si="1"/>
        <v>0</v>
      </c>
      <c r="C21" s="6">
        <f t="shared" si="2"/>
        <v>98.7</v>
      </c>
      <c r="D21" s="6">
        <f t="shared" si="3"/>
        <v>16.813633</v>
      </c>
    </row>
    <row r="22">
      <c r="A22" s="4" t="s">
        <v>11570</v>
      </c>
      <c r="B22" s="10">
        <f t="shared" si="1"/>
        <v>0</v>
      </c>
      <c r="C22" s="6">
        <f t="shared" si="2"/>
        <v>98.7</v>
      </c>
      <c r="D22" s="6">
        <f t="shared" si="3"/>
        <v>16.822779</v>
      </c>
    </row>
    <row r="23">
      <c r="A23" s="4" t="s">
        <v>11571</v>
      </c>
      <c r="B23" s="10">
        <f t="shared" si="1"/>
        <v>0</v>
      </c>
      <c r="C23" s="6">
        <f t="shared" si="2"/>
        <v>98.7</v>
      </c>
      <c r="D23" s="6">
        <f t="shared" si="3"/>
        <v>16.822374</v>
      </c>
    </row>
    <row r="24">
      <c r="A24" s="4" t="s">
        <v>11572</v>
      </c>
      <c r="B24" s="10">
        <f t="shared" si="1"/>
        <v>0</v>
      </c>
      <c r="C24" s="6">
        <f t="shared" si="2"/>
        <v>98.7</v>
      </c>
      <c r="D24" s="6">
        <f t="shared" si="3"/>
        <v>16.81811</v>
      </c>
    </row>
    <row r="25">
      <c r="A25" s="4" t="s">
        <v>11573</v>
      </c>
      <c r="B25" s="10">
        <f t="shared" si="1"/>
        <v>0</v>
      </c>
      <c r="C25" s="6">
        <f t="shared" si="2"/>
        <v>98.7</v>
      </c>
      <c r="D25" s="6">
        <f t="shared" si="3"/>
        <v>16.814489</v>
      </c>
    </row>
    <row r="26">
      <c r="A26" s="4" t="s">
        <v>11574</v>
      </c>
      <c r="B26" s="10">
        <f t="shared" si="1"/>
        <v>0</v>
      </c>
      <c r="C26" s="6">
        <f t="shared" si="2"/>
        <v>98.7</v>
      </c>
      <c r="D26" s="6">
        <f t="shared" si="3"/>
        <v>16.82436</v>
      </c>
    </row>
    <row r="27">
      <c r="A27" s="4" t="s">
        <v>11575</v>
      </c>
      <c r="B27" s="10">
        <f t="shared" si="1"/>
        <v>0</v>
      </c>
      <c r="C27" s="6">
        <f t="shared" si="2"/>
        <v>98.7</v>
      </c>
      <c r="D27" s="6">
        <f t="shared" si="3"/>
        <v>16.824221</v>
      </c>
    </row>
    <row r="28">
      <c r="A28" s="4" t="s">
        <v>11576</v>
      </c>
      <c r="B28" s="10">
        <f t="shared" si="1"/>
        <v>0</v>
      </c>
      <c r="C28" s="6">
        <f t="shared" si="2"/>
        <v>98.7</v>
      </c>
      <c r="D28" s="6">
        <f t="shared" si="3"/>
        <v>16.814882</v>
      </c>
    </row>
    <row r="29">
      <c r="A29" s="4" t="s">
        <v>11577</v>
      </c>
      <c r="B29" s="10">
        <f t="shared" si="1"/>
        <v>50</v>
      </c>
      <c r="C29" s="6">
        <f t="shared" si="2"/>
        <v>98.6</v>
      </c>
      <c r="D29" s="6">
        <f t="shared" si="3"/>
        <v>16.810098</v>
      </c>
    </row>
    <row r="30">
      <c r="A30" s="4" t="s">
        <v>11578</v>
      </c>
      <c r="B30" s="10">
        <f t="shared" si="1"/>
        <v>100</v>
      </c>
      <c r="C30" s="6">
        <f t="shared" si="2"/>
        <v>98.7</v>
      </c>
      <c r="D30" s="6">
        <f t="shared" si="3"/>
        <v>16.815714</v>
      </c>
    </row>
    <row r="31">
      <c r="A31" s="4" t="s">
        <v>11579</v>
      </c>
      <c r="B31" s="10">
        <f t="shared" si="1"/>
        <v>0</v>
      </c>
      <c r="C31" s="6">
        <f t="shared" si="2"/>
        <v>98.6</v>
      </c>
      <c r="D31" s="6">
        <f t="shared" si="3"/>
        <v>16.80855</v>
      </c>
    </row>
    <row r="32">
      <c r="A32" s="4" t="s">
        <v>11580</v>
      </c>
      <c r="B32" s="10">
        <f t="shared" si="1"/>
        <v>0</v>
      </c>
      <c r="C32" s="6">
        <f t="shared" si="2"/>
        <v>98.6</v>
      </c>
      <c r="D32" s="6">
        <f t="shared" si="3"/>
        <v>16.804859</v>
      </c>
    </row>
    <row r="33">
      <c r="A33" s="4" t="s">
        <v>11581</v>
      </c>
      <c r="B33" s="10">
        <f t="shared" si="1"/>
        <v>0</v>
      </c>
      <c r="C33" s="6">
        <f t="shared" si="2"/>
        <v>98.6</v>
      </c>
      <c r="D33" s="6">
        <f t="shared" si="3"/>
        <v>16.806526</v>
      </c>
    </row>
    <row r="34">
      <c r="A34" s="4" t="s">
        <v>11582</v>
      </c>
      <c r="B34" s="10">
        <f t="shared" si="1"/>
        <v>0</v>
      </c>
      <c r="C34" s="6">
        <f t="shared" si="2"/>
        <v>98.6</v>
      </c>
      <c r="D34" s="6">
        <f t="shared" si="3"/>
        <v>16.808071</v>
      </c>
    </row>
    <row r="35">
      <c r="A35" s="4" t="s">
        <v>11583</v>
      </c>
      <c r="B35" s="10">
        <f t="shared" si="1"/>
        <v>0</v>
      </c>
      <c r="C35" s="6">
        <f t="shared" si="2"/>
        <v>98.6</v>
      </c>
      <c r="D35" s="6">
        <f t="shared" si="3"/>
        <v>16.810094</v>
      </c>
    </row>
    <row r="36">
      <c r="A36" s="4" t="s">
        <v>11584</v>
      </c>
      <c r="B36" s="10">
        <f t="shared" si="1"/>
        <v>0</v>
      </c>
      <c r="C36" s="6">
        <f t="shared" si="2"/>
        <v>98.6</v>
      </c>
      <c r="D36" s="6">
        <f t="shared" si="3"/>
        <v>16.806383</v>
      </c>
    </row>
    <row r="37">
      <c r="A37" s="4" t="s">
        <v>11585</v>
      </c>
      <c r="B37" s="10">
        <f t="shared" si="1"/>
        <v>0</v>
      </c>
      <c r="C37" s="6">
        <f t="shared" si="2"/>
        <v>98.6</v>
      </c>
      <c r="D37" s="6">
        <f t="shared" si="3"/>
        <v>16.803483</v>
      </c>
    </row>
    <row r="38">
      <c r="A38" s="4" t="s">
        <v>11586</v>
      </c>
      <c r="B38" s="10">
        <f t="shared" si="1"/>
        <v>0</v>
      </c>
      <c r="C38" s="6">
        <f t="shared" si="2"/>
        <v>98.7</v>
      </c>
      <c r="D38" s="6">
        <f t="shared" si="3"/>
        <v>16.820572</v>
      </c>
    </row>
    <row r="39">
      <c r="A39" s="4" t="s">
        <v>11587</v>
      </c>
      <c r="B39" s="10">
        <f t="shared" si="1"/>
        <v>0</v>
      </c>
      <c r="C39" s="6">
        <f t="shared" si="2"/>
        <v>98.7</v>
      </c>
      <c r="D39" s="6">
        <f t="shared" si="3"/>
        <v>16.825872</v>
      </c>
    </row>
    <row r="40">
      <c r="A40" s="4" t="s">
        <v>11588</v>
      </c>
      <c r="B40" s="10">
        <f t="shared" si="1"/>
        <v>0</v>
      </c>
      <c r="C40" s="6">
        <f t="shared" si="2"/>
        <v>98.6</v>
      </c>
      <c r="D40" s="6">
        <f t="shared" si="3"/>
        <v>16.804929</v>
      </c>
    </row>
    <row r="41">
      <c r="A41" s="4" t="s">
        <v>11589</v>
      </c>
      <c r="B41" s="10">
        <f t="shared" si="1"/>
        <v>100</v>
      </c>
      <c r="C41" s="6">
        <f t="shared" si="2"/>
        <v>98.7</v>
      </c>
      <c r="D41" s="6">
        <f t="shared" si="3"/>
        <v>16.814858</v>
      </c>
    </row>
    <row r="42">
      <c r="A42" s="4" t="s">
        <v>11590</v>
      </c>
      <c r="B42" s="10">
        <f t="shared" si="1"/>
        <v>50</v>
      </c>
      <c r="C42" s="6">
        <f t="shared" si="2"/>
        <v>98.7</v>
      </c>
      <c r="D42" s="6">
        <f t="shared" si="3"/>
        <v>16.817164</v>
      </c>
    </row>
    <row r="43">
      <c r="A43" s="4" t="s">
        <v>11591</v>
      </c>
      <c r="B43" s="10">
        <f t="shared" si="1"/>
        <v>0</v>
      </c>
      <c r="C43" s="6">
        <f t="shared" si="2"/>
        <v>98.7</v>
      </c>
      <c r="D43" s="6">
        <f t="shared" si="3"/>
        <v>16.814862</v>
      </c>
    </row>
    <row r="44">
      <c r="A44" s="4" t="s">
        <v>11592</v>
      </c>
      <c r="B44" s="10">
        <f t="shared" si="1"/>
        <v>0</v>
      </c>
      <c r="C44" s="6">
        <f t="shared" si="2"/>
        <v>98.7</v>
      </c>
      <c r="D44" s="6">
        <f t="shared" si="3"/>
        <v>16.812261</v>
      </c>
    </row>
    <row r="45">
      <c r="A45" s="4" t="s">
        <v>11593</v>
      </c>
      <c r="B45" s="10">
        <f t="shared" si="1"/>
        <v>100</v>
      </c>
      <c r="C45" s="6">
        <f t="shared" si="2"/>
        <v>98.7</v>
      </c>
      <c r="D45" s="6">
        <f t="shared" si="3"/>
        <v>16.819032</v>
      </c>
    </row>
    <row r="46">
      <c r="A46" s="4" t="s">
        <v>11594</v>
      </c>
      <c r="B46" s="10">
        <f t="shared" si="1"/>
        <v>0</v>
      </c>
      <c r="C46" s="6">
        <f t="shared" si="2"/>
        <v>98.6</v>
      </c>
      <c r="D46" s="6">
        <f t="shared" si="3"/>
        <v>16.806305</v>
      </c>
    </row>
    <row r="47">
      <c r="A47" s="4" t="s">
        <v>11595</v>
      </c>
      <c r="B47" s="10">
        <f t="shared" si="1"/>
        <v>0</v>
      </c>
      <c r="C47" s="6">
        <f t="shared" si="2"/>
        <v>98.6</v>
      </c>
      <c r="D47" s="6">
        <f t="shared" si="3"/>
        <v>16.810602</v>
      </c>
    </row>
    <row r="48">
      <c r="A48" s="4" t="s">
        <v>11596</v>
      </c>
      <c r="B48" s="10">
        <f t="shared" si="1"/>
        <v>0</v>
      </c>
      <c r="C48" s="6">
        <f t="shared" si="2"/>
        <v>98.6</v>
      </c>
      <c r="D48" s="6">
        <f t="shared" si="3"/>
        <v>16.809754</v>
      </c>
    </row>
    <row r="49">
      <c r="A49" s="4" t="s">
        <v>11597</v>
      </c>
      <c r="B49" s="10">
        <f t="shared" si="1"/>
        <v>100</v>
      </c>
      <c r="C49" s="6">
        <f t="shared" si="2"/>
        <v>98.7</v>
      </c>
      <c r="D49" s="6">
        <f t="shared" si="3"/>
        <v>16.812867</v>
      </c>
    </row>
    <row r="50">
      <c r="A50" s="4" t="s">
        <v>11598</v>
      </c>
      <c r="B50" s="10">
        <f t="shared" si="1"/>
        <v>0</v>
      </c>
      <c r="C50" s="6">
        <f t="shared" si="2"/>
        <v>98.7</v>
      </c>
      <c r="D50" s="6">
        <f t="shared" si="3"/>
        <v>16.811819</v>
      </c>
    </row>
    <row r="51">
      <c r="A51" s="4" t="s">
        <v>11599</v>
      </c>
      <c r="B51" s="10">
        <f t="shared" si="1"/>
        <v>0</v>
      </c>
      <c r="C51" s="6">
        <f t="shared" si="2"/>
        <v>98.7</v>
      </c>
      <c r="D51" s="6">
        <f t="shared" si="3"/>
        <v>16.81147</v>
      </c>
    </row>
    <row r="52">
      <c r="A52" s="4" t="s">
        <v>11600</v>
      </c>
      <c r="B52" s="10">
        <f t="shared" si="1"/>
        <v>0</v>
      </c>
      <c r="C52" s="6">
        <f t="shared" si="2"/>
        <v>98.7</v>
      </c>
      <c r="D52" s="6">
        <f t="shared" si="3"/>
        <v>16.819109</v>
      </c>
    </row>
    <row r="53">
      <c r="A53" s="4" t="s">
        <v>11601</v>
      </c>
      <c r="B53" s="10">
        <f t="shared" si="1"/>
        <v>0</v>
      </c>
      <c r="C53" s="6">
        <f t="shared" si="2"/>
        <v>98.7</v>
      </c>
      <c r="D53" s="6">
        <f t="shared" si="3"/>
        <v>16.818036</v>
      </c>
    </row>
    <row r="54">
      <c r="A54" s="4" t="s">
        <v>11602</v>
      </c>
      <c r="B54" s="10">
        <f t="shared" si="1"/>
        <v>0</v>
      </c>
      <c r="C54" s="6">
        <f t="shared" si="2"/>
        <v>98.7</v>
      </c>
      <c r="D54" s="6">
        <f t="shared" si="3"/>
        <v>16.817979</v>
      </c>
    </row>
    <row r="55">
      <c r="A55" s="4" t="s">
        <v>11603</v>
      </c>
      <c r="B55" s="10">
        <f t="shared" si="1"/>
        <v>0</v>
      </c>
      <c r="C55" s="6">
        <f t="shared" si="2"/>
        <v>98.7</v>
      </c>
      <c r="D55" s="6">
        <f t="shared" si="3"/>
        <v>16.823115</v>
      </c>
    </row>
    <row r="56">
      <c r="A56" s="4" t="s">
        <v>11604</v>
      </c>
      <c r="B56" s="10">
        <f t="shared" si="1"/>
        <v>100</v>
      </c>
      <c r="C56" s="6">
        <f t="shared" si="2"/>
        <v>98.7</v>
      </c>
      <c r="D56" s="6">
        <f t="shared" si="3"/>
        <v>16.822218</v>
      </c>
    </row>
    <row r="57">
      <c r="A57" s="4" t="s">
        <v>11605</v>
      </c>
      <c r="B57" s="10">
        <f t="shared" si="1"/>
        <v>100</v>
      </c>
      <c r="C57" s="6">
        <f t="shared" si="2"/>
        <v>98.7</v>
      </c>
      <c r="D57" s="6">
        <f t="shared" si="3"/>
        <v>16.821305</v>
      </c>
    </row>
    <row r="58">
      <c r="A58" s="4" t="s">
        <v>11606</v>
      </c>
      <c r="B58" s="10">
        <f t="shared" si="1"/>
        <v>0</v>
      </c>
      <c r="C58" s="6">
        <f t="shared" si="2"/>
        <v>98.7</v>
      </c>
      <c r="D58" s="6">
        <f t="shared" si="3"/>
        <v>16.826585</v>
      </c>
    </row>
    <row r="59">
      <c r="A59" s="4" t="s">
        <v>11607</v>
      </c>
      <c r="B59" s="10">
        <f t="shared" si="1"/>
        <v>100</v>
      </c>
      <c r="C59" s="6">
        <f t="shared" si="2"/>
        <v>98.7</v>
      </c>
      <c r="D59" s="6">
        <f t="shared" si="3"/>
        <v>16.824868</v>
      </c>
    </row>
    <row r="60">
      <c r="A60" s="4" t="s">
        <v>11608</v>
      </c>
      <c r="B60" s="10">
        <f t="shared" si="1"/>
        <v>0</v>
      </c>
      <c r="C60" s="6">
        <f t="shared" si="2"/>
        <v>98.7</v>
      </c>
      <c r="D60" s="6">
        <f t="shared" si="3"/>
        <v>16.82475</v>
      </c>
    </row>
    <row r="61">
      <c r="A61" s="4" t="s">
        <v>11609</v>
      </c>
      <c r="B61" s="10">
        <f t="shared" si="1"/>
        <v>0</v>
      </c>
      <c r="C61" s="6">
        <f t="shared" si="2"/>
        <v>98.8</v>
      </c>
      <c r="D61" s="6">
        <f t="shared" si="3"/>
        <v>16.828825</v>
      </c>
    </row>
    <row r="62">
      <c r="A62" s="4" t="s">
        <v>11610</v>
      </c>
      <c r="B62" s="10">
        <f t="shared" si="1"/>
        <v>16.7</v>
      </c>
      <c r="C62" s="6">
        <f t="shared" si="2"/>
        <v>98.7</v>
      </c>
      <c r="D62" s="6">
        <f t="shared" si="3"/>
        <v>16.824139</v>
      </c>
    </row>
    <row r="63">
      <c r="A63" s="4" t="s">
        <v>11611</v>
      </c>
      <c r="B63" s="10">
        <f t="shared" si="1"/>
        <v>20</v>
      </c>
      <c r="C63" s="6">
        <f t="shared" si="2"/>
        <v>98.7</v>
      </c>
      <c r="D63" s="6">
        <f t="shared" si="3"/>
        <v>16.824049</v>
      </c>
    </row>
    <row r="64">
      <c r="A64" s="4" t="s">
        <v>11612</v>
      </c>
      <c r="B64" s="10">
        <f t="shared" si="1"/>
        <v>0</v>
      </c>
      <c r="C64" s="6">
        <f t="shared" si="2"/>
        <v>98.8</v>
      </c>
      <c r="D64" s="6">
        <f t="shared" si="3"/>
        <v>16.829251</v>
      </c>
    </row>
    <row r="65">
      <c r="A65" s="4" t="s">
        <v>11613</v>
      </c>
      <c r="B65" s="10">
        <f t="shared" si="1"/>
        <v>0</v>
      </c>
      <c r="C65" s="6">
        <f t="shared" si="2"/>
        <v>98.9</v>
      </c>
      <c r="D65" s="6">
        <f t="shared" si="3"/>
        <v>16.845578</v>
      </c>
    </row>
    <row r="66">
      <c r="A66" s="4" t="s">
        <v>11614</v>
      </c>
      <c r="B66" s="10">
        <f t="shared" si="1"/>
        <v>100</v>
      </c>
      <c r="C66" s="6">
        <f t="shared" si="2"/>
        <v>98.8</v>
      </c>
      <c r="D66" s="6">
        <f t="shared" si="3"/>
        <v>16.842117</v>
      </c>
    </row>
    <row r="67">
      <c r="A67" s="4" t="s">
        <v>11615</v>
      </c>
      <c r="B67" s="10">
        <f t="shared" si="1"/>
        <v>0</v>
      </c>
      <c r="C67" s="6">
        <f t="shared" si="2"/>
        <v>98.7</v>
      </c>
      <c r="D67" s="6">
        <f t="shared" si="3"/>
        <v>16.824717</v>
      </c>
    </row>
    <row r="68">
      <c r="A68" s="4" t="s">
        <v>11608</v>
      </c>
      <c r="B68" s="10">
        <f t="shared" si="1"/>
        <v>0</v>
      </c>
      <c r="C68" s="6">
        <f t="shared" si="2"/>
        <v>98.7</v>
      </c>
      <c r="D68" s="6">
        <f t="shared" si="3"/>
        <v>16.82475</v>
      </c>
    </row>
    <row r="69">
      <c r="A69" s="4" t="s">
        <v>11616</v>
      </c>
      <c r="B69" s="10">
        <f t="shared" si="1"/>
        <v>0</v>
      </c>
      <c r="C69" s="6">
        <f t="shared" si="2"/>
        <v>98.8</v>
      </c>
      <c r="D69" s="6">
        <f t="shared" si="3"/>
        <v>16.82964</v>
      </c>
    </row>
    <row r="70">
      <c r="A70" s="4" t="s">
        <v>11617</v>
      </c>
      <c r="B70" s="10">
        <f t="shared" si="1"/>
        <v>0</v>
      </c>
      <c r="C70" s="6">
        <f t="shared" si="2"/>
        <v>98.8</v>
      </c>
      <c r="D70" s="6">
        <f t="shared" si="3"/>
        <v>16.829743</v>
      </c>
    </row>
    <row r="71">
      <c r="A71" s="4" t="s">
        <v>11618</v>
      </c>
      <c r="B71" s="10">
        <f t="shared" si="1"/>
        <v>0</v>
      </c>
      <c r="C71" s="6">
        <f t="shared" si="2"/>
        <v>98.8</v>
      </c>
      <c r="D71" s="6">
        <f t="shared" si="3"/>
        <v>16.829214</v>
      </c>
    </row>
    <row r="72">
      <c r="A72" s="4" t="s">
        <v>11619</v>
      </c>
      <c r="B72" s="10">
        <f t="shared" si="1"/>
        <v>0</v>
      </c>
      <c r="C72" s="6">
        <f t="shared" si="2"/>
        <v>98.8</v>
      </c>
      <c r="D72" s="6">
        <f t="shared" si="3"/>
        <v>16.828403</v>
      </c>
    </row>
    <row r="73">
      <c r="A73" s="4" t="s">
        <v>11620</v>
      </c>
      <c r="B73" s="10">
        <f t="shared" si="1"/>
        <v>0</v>
      </c>
      <c r="C73" s="6">
        <f t="shared" si="2"/>
        <v>98.8</v>
      </c>
      <c r="D73" s="6">
        <f t="shared" si="3"/>
        <v>16.831983</v>
      </c>
    </row>
    <row r="74">
      <c r="A74" s="4" t="s">
        <v>11621</v>
      </c>
      <c r="B74" s="10">
        <f t="shared" si="1"/>
        <v>0</v>
      </c>
      <c r="C74" s="6">
        <f t="shared" si="2"/>
        <v>98.8</v>
      </c>
      <c r="D74" s="6">
        <f t="shared" si="3"/>
        <v>16.831135</v>
      </c>
    </row>
    <row r="75">
      <c r="A75" s="4" t="s">
        <v>11622</v>
      </c>
      <c r="B75" s="10">
        <f t="shared" si="1"/>
        <v>0</v>
      </c>
      <c r="C75" s="6">
        <f t="shared" si="2"/>
        <v>98.8</v>
      </c>
      <c r="D75" s="6">
        <f t="shared" si="3"/>
        <v>16.8303</v>
      </c>
    </row>
    <row r="76">
      <c r="A76" s="4" t="s">
        <v>11623</v>
      </c>
      <c r="B76" s="10">
        <f t="shared" si="1"/>
        <v>0</v>
      </c>
      <c r="C76" s="6">
        <f t="shared" si="2"/>
        <v>98.7</v>
      </c>
      <c r="D76" s="6">
        <f t="shared" si="3"/>
        <v>16.822214</v>
      </c>
    </row>
    <row r="77">
      <c r="A77" s="4" t="s">
        <v>11624</v>
      </c>
      <c r="B77" s="10">
        <f t="shared" si="1"/>
        <v>100</v>
      </c>
      <c r="C77" s="6">
        <f t="shared" si="2"/>
        <v>98.7</v>
      </c>
      <c r="D77" s="6">
        <f t="shared" si="3"/>
        <v>16.817356</v>
      </c>
    </row>
    <row r="78">
      <c r="A78" s="4" t="s">
        <v>11625</v>
      </c>
      <c r="B78" s="10">
        <f t="shared" si="1"/>
        <v>100</v>
      </c>
      <c r="C78" s="6">
        <f t="shared" si="2"/>
        <v>98.7</v>
      </c>
      <c r="D78" s="6">
        <f t="shared" si="3"/>
        <v>16.822837</v>
      </c>
    </row>
    <row r="79">
      <c r="A79" s="4" t="s">
        <v>11626</v>
      </c>
      <c r="B79" s="10">
        <f t="shared" si="1"/>
        <v>0</v>
      </c>
      <c r="C79" s="6">
        <f t="shared" si="2"/>
        <v>98.6</v>
      </c>
      <c r="D79" s="6">
        <f t="shared" si="3"/>
        <v>16.808452</v>
      </c>
    </row>
    <row r="80">
      <c r="A80" s="4" t="s">
        <v>11627</v>
      </c>
      <c r="B80" s="10">
        <f t="shared" si="1"/>
        <v>0</v>
      </c>
      <c r="C80" s="6">
        <f t="shared" si="2"/>
        <v>98.7</v>
      </c>
      <c r="D80" s="6">
        <f t="shared" si="3"/>
        <v>16.812474</v>
      </c>
    </row>
    <row r="81">
      <c r="A81" s="4" t="s">
        <v>11628</v>
      </c>
      <c r="B81" s="10">
        <f t="shared" si="1"/>
        <v>0</v>
      </c>
      <c r="C81" s="6">
        <f t="shared" si="2"/>
        <v>98.6</v>
      </c>
      <c r="D81" s="6">
        <f t="shared" si="3"/>
        <v>16.809873</v>
      </c>
    </row>
    <row r="82">
      <c r="A82" s="4" t="s">
        <v>11629</v>
      </c>
      <c r="B82" s="10">
        <f t="shared" si="1"/>
        <v>62.5</v>
      </c>
      <c r="C82" s="6">
        <f t="shared" si="2"/>
        <v>98.7</v>
      </c>
      <c r="D82" s="6">
        <f t="shared" si="3"/>
        <v>16.820912</v>
      </c>
    </row>
    <row r="83">
      <c r="A83" s="4" t="s">
        <v>11630</v>
      </c>
      <c r="B83" s="10">
        <f t="shared" si="1"/>
        <v>0</v>
      </c>
      <c r="C83" s="6">
        <f t="shared" si="2"/>
        <v>98.7</v>
      </c>
      <c r="D83" s="6">
        <f t="shared" si="3"/>
        <v>16.817422</v>
      </c>
    </row>
    <row r="84">
      <c r="A84" s="4" t="s">
        <v>11631</v>
      </c>
      <c r="B84" s="10">
        <f t="shared" si="1"/>
        <v>0</v>
      </c>
      <c r="C84" s="6">
        <f t="shared" si="2"/>
        <v>98.7</v>
      </c>
      <c r="D84" s="6">
        <f t="shared" si="3"/>
        <v>16.812892</v>
      </c>
    </row>
    <row r="85">
      <c r="A85" s="4" t="s">
        <v>11632</v>
      </c>
      <c r="B85" s="10">
        <f t="shared" si="1"/>
        <v>0</v>
      </c>
      <c r="C85" s="6">
        <f t="shared" si="2"/>
        <v>98.7</v>
      </c>
      <c r="D85" s="6">
        <f t="shared" si="3"/>
        <v>16.822124</v>
      </c>
    </row>
    <row r="86">
      <c r="A86" s="4" t="s">
        <v>11633</v>
      </c>
      <c r="B86" s="10">
        <f t="shared" si="1"/>
        <v>16.7</v>
      </c>
      <c r="C86" s="6">
        <f t="shared" si="2"/>
        <v>98.7</v>
      </c>
      <c r="D86" s="6">
        <f t="shared" si="3"/>
        <v>16.819228</v>
      </c>
    </row>
    <row r="87">
      <c r="A87" s="4" t="s">
        <v>11634</v>
      </c>
      <c r="B87" s="10">
        <f t="shared" si="1"/>
        <v>0</v>
      </c>
      <c r="C87" s="6">
        <f t="shared" si="2"/>
        <v>98.8</v>
      </c>
      <c r="D87" s="6">
        <f t="shared" si="3"/>
        <v>16.831909</v>
      </c>
    </row>
    <row r="88">
      <c r="A88" s="4" t="s">
        <v>11635</v>
      </c>
      <c r="B88" s="10">
        <f t="shared" si="1"/>
        <v>0</v>
      </c>
      <c r="C88" s="6">
        <f t="shared" si="2"/>
        <v>98.8</v>
      </c>
      <c r="D88" s="6">
        <f t="shared" si="3"/>
        <v>16.83127</v>
      </c>
    </row>
    <row r="89">
      <c r="A89" s="4" t="s">
        <v>11636</v>
      </c>
      <c r="B89" s="10">
        <f t="shared" si="1"/>
        <v>0</v>
      </c>
      <c r="C89" s="6">
        <f t="shared" si="2"/>
        <v>98.8</v>
      </c>
      <c r="D89" s="6">
        <f t="shared" si="3"/>
        <v>16.830844</v>
      </c>
    </row>
    <row r="90">
      <c r="A90" s="4" t="s">
        <v>11637</v>
      </c>
      <c r="B90" s="10">
        <f t="shared" si="1"/>
        <v>0</v>
      </c>
      <c r="C90" s="6">
        <f t="shared" si="2"/>
        <v>98.7</v>
      </c>
      <c r="D90" s="6">
        <f t="shared" si="3"/>
        <v>16.8146</v>
      </c>
    </row>
    <row r="91">
      <c r="A91" s="4" t="s">
        <v>11638</v>
      </c>
      <c r="B91" s="10">
        <f t="shared" si="1"/>
        <v>0</v>
      </c>
      <c r="C91" s="6">
        <f t="shared" si="2"/>
        <v>98.7</v>
      </c>
      <c r="D91" s="6">
        <f t="shared" si="3"/>
        <v>16.814252</v>
      </c>
    </row>
    <row r="92">
      <c r="A92" s="4" t="s">
        <v>11639</v>
      </c>
      <c r="B92" s="10">
        <f t="shared" si="1"/>
        <v>0</v>
      </c>
      <c r="C92" s="6">
        <f t="shared" si="2"/>
        <v>98.7</v>
      </c>
      <c r="D92" s="6">
        <f t="shared" si="3"/>
        <v>16.819142</v>
      </c>
    </row>
    <row r="93">
      <c r="A93" s="4" t="s">
        <v>11640</v>
      </c>
      <c r="B93" s="10">
        <f t="shared" si="1"/>
        <v>75</v>
      </c>
      <c r="C93" s="6">
        <f t="shared" si="2"/>
        <v>98.7</v>
      </c>
      <c r="D93" s="6">
        <f t="shared" si="3"/>
        <v>16.816529</v>
      </c>
    </row>
    <row r="94">
      <c r="A94" s="4" t="s">
        <v>11641</v>
      </c>
      <c r="B94" s="10">
        <f t="shared" si="1"/>
        <v>50</v>
      </c>
      <c r="C94" s="6">
        <f t="shared" si="2"/>
        <v>98.7</v>
      </c>
      <c r="D94" s="6">
        <f t="shared" si="3"/>
        <v>16.816406</v>
      </c>
    </row>
    <row r="95">
      <c r="A95" s="4" t="s">
        <v>11642</v>
      </c>
      <c r="B95" s="10">
        <f t="shared" si="1"/>
        <v>0</v>
      </c>
      <c r="C95" s="6">
        <f t="shared" si="2"/>
        <v>98.7</v>
      </c>
      <c r="D95" s="6">
        <f t="shared" si="3"/>
        <v>16.818933</v>
      </c>
    </row>
    <row r="96">
      <c r="A96" s="4" t="s">
        <v>11643</v>
      </c>
      <c r="B96" s="10">
        <f t="shared" si="1"/>
        <v>0</v>
      </c>
      <c r="C96" s="6">
        <f t="shared" si="2"/>
        <v>98.7</v>
      </c>
      <c r="D96" s="6">
        <f t="shared" si="3"/>
        <v>16.815792</v>
      </c>
    </row>
    <row r="97">
      <c r="A97" s="4" t="s">
        <v>11644</v>
      </c>
      <c r="B97" s="10">
        <f t="shared" si="1"/>
        <v>0</v>
      </c>
      <c r="C97" s="6">
        <f t="shared" si="2"/>
        <v>98.7</v>
      </c>
      <c r="D97" s="6">
        <f t="shared" si="3"/>
        <v>16.814223</v>
      </c>
    </row>
    <row r="98">
      <c r="A98" s="4" t="s">
        <v>11645</v>
      </c>
      <c r="B98" s="10">
        <f t="shared" si="1"/>
        <v>0</v>
      </c>
      <c r="C98" s="6">
        <f t="shared" si="2"/>
        <v>98.7</v>
      </c>
      <c r="D98" s="6">
        <f t="shared" si="3"/>
        <v>16.819036</v>
      </c>
    </row>
    <row r="99">
      <c r="A99" s="4" t="s">
        <v>11646</v>
      </c>
      <c r="B99" s="10">
        <f t="shared" si="1"/>
        <v>0</v>
      </c>
      <c r="C99" s="6">
        <f t="shared" si="2"/>
        <v>98.7</v>
      </c>
      <c r="D99" s="6">
        <f t="shared" si="3"/>
        <v>16.815415</v>
      </c>
    </row>
    <row r="100">
      <c r="A100" s="4" t="s">
        <v>11647</v>
      </c>
      <c r="B100" s="10">
        <f t="shared" si="1"/>
        <v>0</v>
      </c>
      <c r="C100" s="6">
        <f t="shared" si="2"/>
        <v>98.7</v>
      </c>
      <c r="D100" s="6">
        <f t="shared" si="3"/>
        <v>16.816582</v>
      </c>
    </row>
    <row r="101">
      <c r="A101" s="4" t="s">
        <v>11648</v>
      </c>
      <c r="B101" s="10">
        <f t="shared" si="1"/>
        <v>0</v>
      </c>
      <c r="C101" s="6">
        <f t="shared" si="2"/>
        <v>98.7</v>
      </c>
      <c r="D101" s="6">
        <f t="shared" si="3"/>
        <v>16.812433</v>
      </c>
    </row>
    <row r="102">
      <c r="A102" s="4" t="s">
        <v>11649</v>
      </c>
      <c r="B102" s="10">
        <f t="shared" si="1"/>
        <v>0</v>
      </c>
      <c r="C102" s="6">
        <f t="shared" si="2"/>
        <v>98.6</v>
      </c>
      <c r="D102" s="6">
        <f t="shared" si="3"/>
        <v>16.810614</v>
      </c>
    </row>
    <row r="103">
      <c r="A103" s="4" t="s">
        <v>11650</v>
      </c>
      <c r="B103" s="10">
        <f t="shared" si="1"/>
        <v>0</v>
      </c>
      <c r="C103" s="6">
        <f t="shared" si="2"/>
        <v>98.7</v>
      </c>
      <c r="D103" s="6">
        <f t="shared" si="3"/>
        <v>16.815026</v>
      </c>
    </row>
    <row r="104">
      <c r="A104" s="4" t="s">
        <v>11651</v>
      </c>
      <c r="B104" s="10">
        <f t="shared" si="1"/>
        <v>0</v>
      </c>
      <c r="C104" s="6">
        <f t="shared" si="2"/>
        <v>98.7</v>
      </c>
      <c r="D104" s="6">
        <f t="shared" si="3"/>
        <v>16.812621</v>
      </c>
    </row>
    <row r="105">
      <c r="A105" s="4" t="s">
        <v>11652</v>
      </c>
      <c r="B105" s="10">
        <f t="shared" si="1"/>
        <v>100</v>
      </c>
      <c r="C105" s="6">
        <f t="shared" si="2"/>
        <v>98.6</v>
      </c>
      <c r="D105" s="6">
        <f t="shared" si="3"/>
        <v>16.810913</v>
      </c>
    </row>
    <row r="106">
      <c r="A106" s="4" t="s">
        <v>11653</v>
      </c>
      <c r="B106" s="10">
        <f t="shared" si="1"/>
        <v>0</v>
      </c>
      <c r="C106" s="6">
        <f t="shared" si="2"/>
        <v>98.7</v>
      </c>
      <c r="D106" s="6">
        <f t="shared" si="3"/>
        <v>16.816951</v>
      </c>
    </row>
    <row r="107">
      <c r="A107" s="4" t="s">
        <v>11654</v>
      </c>
      <c r="B107" s="10">
        <f t="shared" si="1"/>
        <v>0</v>
      </c>
      <c r="C107" s="6">
        <f t="shared" si="2"/>
        <v>98.7</v>
      </c>
      <c r="D107" s="6">
        <f t="shared" si="3"/>
        <v>16.825851</v>
      </c>
    </row>
    <row r="108">
      <c r="A108" s="4" t="s">
        <v>11655</v>
      </c>
      <c r="B108" s="10">
        <f t="shared" si="1"/>
        <v>0</v>
      </c>
      <c r="C108" s="6">
        <f t="shared" si="2"/>
        <v>98.8</v>
      </c>
      <c r="D108" s="6">
        <f t="shared" si="3"/>
        <v>16.830177</v>
      </c>
    </row>
    <row r="109">
      <c r="A109" s="4" t="s">
        <v>11656</v>
      </c>
      <c r="B109" s="10">
        <f t="shared" si="1"/>
        <v>0</v>
      </c>
      <c r="C109" s="6">
        <f t="shared" si="2"/>
        <v>98.6</v>
      </c>
      <c r="D109" s="6">
        <f t="shared" si="3"/>
        <v>16.809431</v>
      </c>
    </row>
    <row r="110">
      <c r="A110" s="4" t="s">
        <v>11657</v>
      </c>
      <c r="B110" s="10">
        <f t="shared" si="1"/>
        <v>0</v>
      </c>
      <c r="C110" s="6">
        <f t="shared" si="2"/>
        <v>98.7</v>
      </c>
      <c r="D110" s="6">
        <f t="shared" si="3"/>
        <v>16.813244</v>
      </c>
    </row>
    <row r="111">
      <c r="A111" s="4" t="s">
        <v>11658</v>
      </c>
      <c r="B111" s="10">
        <f t="shared" si="1"/>
        <v>0</v>
      </c>
      <c r="C111" s="6">
        <f t="shared" si="2"/>
        <v>98.7</v>
      </c>
      <c r="D111" s="6">
        <f t="shared" si="3"/>
        <v>16.812163</v>
      </c>
    </row>
    <row r="112">
      <c r="A112" s="4" t="s">
        <v>11659</v>
      </c>
      <c r="B112" s="10">
        <f t="shared" si="1"/>
        <v>0</v>
      </c>
      <c r="C112" s="6">
        <f t="shared" si="2"/>
        <v>98.8</v>
      </c>
      <c r="D112" s="6">
        <f t="shared" si="3"/>
        <v>16.836657</v>
      </c>
    </row>
    <row r="113">
      <c r="A113" s="4" t="s">
        <v>11660</v>
      </c>
      <c r="B113" s="10">
        <f t="shared" si="1"/>
        <v>0</v>
      </c>
      <c r="C113" s="6">
        <f t="shared" si="2"/>
        <v>98.8</v>
      </c>
      <c r="D113" s="6">
        <f t="shared" si="3"/>
        <v>16.832225</v>
      </c>
    </row>
    <row r="114">
      <c r="A114" s="4" t="s">
        <v>11661</v>
      </c>
      <c r="B114" s="10">
        <f t="shared" si="1"/>
        <v>0</v>
      </c>
      <c r="C114" s="6">
        <f t="shared" si="2"/>
        <v>98.8</v>
      </c>
      <c r="D114" s="6">
        <f t="shared" si="3"/>
        <v>16.83431</v>
      </c>
    </row>
    <row r="115">
      <c r="A115" s="4" t="s">
        <v>11662</v>
      </c>
      <c r="B115" s="10">
        <f t="shared" si="1"/>
        <v>100</v>
      </c>
      <c r="C115" s="6">
        <f t="shared" si="2"/>
        <v>98.8</v>
      </c>
      <c r="D115" s="6">
        <f t="shared" si="3"/>
        <v>16.843812</v>
      </c>
    </row>
    <row r="116">
      <c r="A116" s="4" t="s">
        <v>11663</v>
      </c>
      <c r="B116" s="10">
        <f t="shared" si="1"/>
        <v>0</v>
      </c>
      <c r="C116" s="6">
        <f t="shared" si="2"/>
        <v>98.7</v>
      </c>
      <c r="D116" s="6">
        <f t="shared" si="3"/>
        <v>16.817307</v>
      </c>
    </row>
    <row r="117">
      <c r="A117" s="4" t="s">
        <v>11664</v>
      </c>
      <c r="B117" s="10">
        <f t="shared" si="1"/>
        <v>0</v>
      </c>
      <c r="C117" s="6">
        <f t="shared" si="2"/>
        <v>98.7</v>
      </c>
      <c r="D117" s="6">
        <f t="shared" si="3"/>
        <v>16.817881</v>
      </c>
    </row>
    <row r="118">
      <c r="A118" s="4" t="s">
        <v>11665</v>
      </c>
      <c r="B118" s="10">
        <f t="shared" si="1"/>
        <v>0</v>
      </c>
      <c r="C118" s="6">
        <f t="shared" si="2"/>
        <v>98.7</v>
      </c>
      <c r="D118" s="6">
        <f t="shared" si="3"/>
        <v>16.820379</v>
      </c>
    </row>
    <row r="119">
      <c r="A119" s="4" t="s">
        <v>11666</v>
      </c>
      <c r="B119" s="10">
        <f t="shared" si="1"/>
        <v>100</v>
      </c>
      <c r="C119" s="6">
        <f t="shared" si="2"/>
        <v>98.7</v>
      </c>
      <c r="D119" s="6">
        <f t="shared" si="3"/>
        <v>16.819453</v>
      </c>
    </row>
    <row r="120">
      <c r="A120" s="4" t="s">
        <v>11667</v>
      </c>
      <c r="B120" s="10">
        <f t="shared" si="1"/>
        <v>0</v>
      </c>
      <c r="C120" s="6">
        <f t="shared" si="2"/>
        <v>98.6</v>
      </c>
      <c r="D120" s="6">
        <f t="shared" si="3"/>
        <v>16.803049</v>
      </c>
    </row>
    <row r="121">
      <c r="A121" s="4" t="s">
        <v>11668</v>
      </c>
      <c r="B121" s="10">
        <f t="shared" si="1"/>
        <v>0</v>
      </c>
      <c r="C121" s="6">
        <f t="shared" si="2"/>
        <v>98.7</v>
      </c>
      <c r="D121" s="6">
        <f t="shared" si="3"/>
        <v>16.815312</v>
      </c>
    </row>
    <row r="122">
      <c r="A122" s="4" t="s">
        <v>11669</v>
      </c>
      <c r="B122" s="10">
        <f t="shared" si="1"/>
        <v>0</v>
      </c>
      <c r="C122" s="6">
        <f t="shared" si="2"/>
        <v>98.7</v>
      </c>
      <c r="D122" s="6">
        <f t="shared" si="3"/>
        <v>16.814387</v>
      </c>
    </row>
    <row r="123">
      <c r="A123" s="4" t="s">
        <v>11670</v>
      </c>
      <c r="B123" s="10">
        <f t="shared" si="1"/>
        <v>0</v>
      </c>
      <c r="C123" s="6">
        <f t="shared" si="2"/>
        <v>98.6</v>
      </c>
      <c r="D123" s="6">
        <f t="shared" si="3"/>
        <v>16.811094</v>
      </c>
    </row>
    <row r="124">
      <c r="A124" s="4" t="s">
        <v>11671</v>
      </c>
      <c r="B124" s="10">
        <f t="shared" si="1"/>
        <v>0</v>
      </c>
      <c r="C124" s="6">
        <f t="shared" si="2"/>
        <v>98.7</v>
      </c>
      <c r="D124" s="6">
        <f t="shared" si="3"/>
        <v>16.815222</v>
      </c>
    </row>
    <row r="125">
      <c r="A125" s="4" t="s">
        <v>11672</v>
      </c>
      <c r="B125" s="10">
        <f t="shared" si="1"/>
        <v>0</v>
      </c>
      <c r="C125" s="6">
        <f t="shared" si="2"/>
        <v>98.7</v>
      </c>
      <c r="D125" s="6">
        <f t="shared" si="3"/>
        <v>16.812802</v>
      </c>
    </row>
    <row r="126">
      <c r="A126" s="4" t="s">
        <v>11673</v>
      </c>
      <c r="B126" s="10">
        <f t="shared" si="1"/>
        <v>0</v>
      </c>
      <c r="C126" s="6">
        <f t="shared" si="2"/>
        <v>98.7</v>
      </c>
      <c r="D126" s="6">
        <f t="shared" si="3"/>
        <v>16.811384</v>
      </c>
    </row>
    <row r="127">
      <c r="A127" s="4" t="s">
        <v>11674</v>
      </c>
      <c r="B127" s="10">
        <f t="shared" si="1"/>
        <v>100</v>
      </c>
      <c r="C127" s="6">
        <f t="shared" si="2"/>
        <v>98.7</v>
      </c>
      <c r="D127" s="6">
        <f t="shared" si="3"/>
        <v>16.818724</v>
      </c>
    </row>
    <row r="128">
      <c r="A128" s="4" t="s">
        <v>11675</v>
      </c>
      <c r="B128" s="10">
        <f t="shared" si="1"/>
        <v>0</v>
      </c>
      <c r="C128" s="6">
        <f t="shared" si="2"/>
        <v>98.7</v>
      </c>
      <c r="D128" s="6">
        <f t="shared" si="3"/>
        <v>16.816168</v>
      </c>
    </row>
    <row r="129">
      <c r="A129" s="4" t="s">
        <v>11676</v>
      </c>
      <c r="B129" s="10">
        <f t="shared" si="1"/>
        <v>0</v>
      </c>
      <c r="C129" s="6">
        <f t="shared" si="2"/>
        <v>98.6</v>
      </c>
      <c r="D129" s="6">
        <f t="shared" si="3"/>
        <v>16.810795</v>
      </c>
    </row>
    <row r="130">
      <c r="A130" s="4" t="s">
        <v>11677</v>
      </c>
      <c r="B130" s="10">
        <f t="shared" si="1"/>
        <v>0</v>
      </c>
      <c r="C130" s="6">
        <f t="shared" si="2"/>
        <v>98.6</v>
      </c>
      <c r="D130" s="6">
        <f t="shared" si="3"/>
        <v>16.808062</v>
      </c>
    </row>
    <row r="131">
      <c r="A131" s="4" t="s">
        <v>11678</v>
      </c>
      <c r="B131" s="10">
        <f t="shared" si="1"/>
        <v>0</v>
      </c>
      <c r="C131" s="6">
        <f t="shared" si="2"/>
        <v>98.7</v>
      </c>
      <c r="D131" s="6">
        <f t="shared" si="3"/>
        <v>16.813326</v>
      </c>
    </row>
    <row r="132">
      <c r="A132" s="4" t="s">
        <v>11679</v>
      </c>
      <c r="B132" s="10">
        <f t="shared" si="1"/>
        <v>0</v>
      </c>
      <c r="C132" s="6">
        <f t="shared" si="2"/>
        <v>98.6</v>
      </c>
      <c r="D132" s="6">
        <f t="shared" si="3"/>
        <v>16.81009</v>
      </c>
    </row>
    <row r="133">
      <c r="A133" s="4" t="s">
        <v>11680</v>
      </c>
      <c r="B133" s="10">
        <f t="shared" si="1"/>
        <v>12.5</v>
      </c>
      <c r="C133" s="6">
        <f t="shared" si="2"/>
        <v>98.7</v>
      </c>
      <c r="D133" s="6">
        <f t="shared" si="3"/>
        <v>16.816025</v>
      </c>
    </row>
    <row r="134">
      <c r="A134" s="4" t="s">
        <v>11681</v>
      </c>
      <c r="B134" s="10">
        <f t="shared" si="1"/>
        <v>0</v>
      </c>
      <c r="C134" s="6">
        <f t="shared" si="2"/>
        <v>98.7</v>
      </c>
      <c r="D134" s="6">
        <f t="shared" si="3"/>
        <v>16.811372</v>
      </c>
    </row>
    <row r="135">
      <c r="A135" s="4" t="s">
        <v>11682</v>
      </c>
      <c r="B135" s="10">
        <f t="shared" si="1"/>
        <v>66.7</v>
      </c>
      <c r="C135" s="6">
        <f t="shared" si="2"/>
        <v>98.6</v>
      </c>
      <c r="D135" s="6">
        <f t="shared" si="3"/>
        <v>16.81079</v>
      </c>
    </row>
    <row r="136">
      <c r="A136" s="4" t="s">
        <v>11683</v>
      </c>
      <c r="B136" s="10">
        <f t="shared" si="1"/>
        <v>20</v>
      </c>
      <c r="C136" s="6">
        <f t="shared" si="2"/>
        <v>98.6</v>
      </c>
      <c r="D136" s="6">
        <f t="shared" si="3"/>
        <v>16.798744</v>
      </c>
    </row>
    <row r="137">
      <c r="A137" s="4" t="s">
        <v>11684</v>
      </c>
      <c r="B137" s="10">
        <f t="shared" si="1"/>
        <v>11.1</v>
      </c>
      <c r="C137" s="6">
        <f t="shared" si="2"/>
        <v>98.6</v>
      </c>
      <c r="D137" s="6">
        <f t="shared" si="3"/>
        <v>16.800927</v>
      </c>
    </row>
    <row r="138">
      <c r="A138" s="4" t="s">
        <v>11685</v>
      </c>
      <c r="B138" s="10">
        <f t="shared" si="1"/>
        <v>0</v>
      </c>
      <c r="C138" s="6">
        <f t="shared" si="2"/>
        <v>98.6</v>
      </c>
      <c r="D138" s="6">
        <f t="shared" si="3"/>
        <v>16.800006</v>
      </c>
    </row>
    <row r="139">
      <c r="A139" s="4" t="s">
        <v>11686</v>
      </c>
      <c r="B139" s="10">
        <f t="shared" si="1"/>
        <v>0</v>
      </c>
      <c r="C139" s="6">
        <f t="shared" si="2"/>
        <v>98.6</v>
      </c>
      <c r="D139" s="6">
        <f t="shared" si="3"/>
        <v>16.803045</v>
      </c>
    </row>
    <row r="140">
      <c r="A140" s="4" t="s">
        <v>11687</v>
      </c>
      <c r="B140" s="10">
        <f t="shared" si="1"/>
        <v>0</v>
      </c>
      <c r="C140" s="6">
        <f t="shared" si="2"/>
        <v>98.6</v>
      </c>
      <c r="D140" s="6">
        <f t="shared" si="3"/>
        <v>16.797253</v>
      </c>
    </row>
    <row r="141">
      <c r="A141" s="4" t="s">
        <v>11688</v>
      </c>
      <c r="B141" s="10">
        <f t="shared" si="1"/>
        <v>0</v>
      </c>
      <c r="C141" s="6">
        <f t="shared" si="2"/>
        <v>98.6</v>
      </c>
      <c r="D141" s="6">
        <f t="shared" si="3"/>
        <v>16.797003</v>
      </c>
    </row>
    <row r="142">
      <c r="A142" s="4" t="s">
        <v>11689</v>
      </c>
      <c r="B142" s="10">
        <f t="shared" si="1"/>
        <v>0</v>
      </c>
      <c r="C142" s="6">
        <f t="shared" si="2"/>
        <v>98.6</v>
      </c>
      <c r="D142" s="6">
        <f t="shared" si="3"/>
        <v>16.802627</v>
      </c>
    </row>
    <row r="143">
      <c r="A143" s="4" t="s">
        <v>11690</v>
      </c>
      <c r="B143" s="10">
        <f t="shared" si="1"/>
        <v>0</v>
      </c>
      <c r="C143" s="6">
        <f t="shared" si="2"/>
        <v>98.6</v>
      </c>
      <c r="D143" s="6">
        <f t="shared" si="3"/>
        <v>16.799444</v>
      </c>
    </row>
    <row r="144">
      <c r="A144" s="4" t="s">
        <v>11691</v>
      </c>
      <c r="B144" s="10">
        <f t="shared" si="1"/>
        <v>0</v>
      </c>
      <c r="C144" s="6">
        <f t="shared" si="2"/>
        <v>98.6</v>
      </c>
      <c r="D144" s="6">
        <f t="shared" si="3"/>
        <v>16.803299</v>
      </c>
    </row>
    <row r="145">
      <c r="A145" s="4" t="s">
        <v>11692</v>
      </c>
      <c r="B145" s="10">
        <f t="shared" si="1"/>
        <v>0</v>
      </c>
      <c r="C145" s="6">
        <f t="shared" si="2"/>
        <v>98.6</v>
      </c>
      <c r="D145" s="6">
        <f t="shared" si="3"/>
        <v>16.807227</v>
      </c>
    </row>
    <row r="146">
      <c r="A146" s="4" t="s">
        <v>11693</v>
      </c>
      <c r="B146" s="10">
        <f t="shared" si="1"/>
        <v>0</v>
      </c>
      <c r="C146" s="6">
        <f t="shared" si="2"/>
        <v>98.6</v>
      </c>
      <c r="D146" s="6">
        <f t="shared" si="3"/>
        <v>16.80617</v>
      </c>
    </row>
    <row r="147">
      <c r="A147" s="4" t="s">
        <v>11694</v>
      </c>
      <c r="B147" s="10">
        <f t="shared" si="1"/>
        <v>0</v>
      </c>
      <c r="C147" s="6">
        <f t="shared" si="2"/>
        <v>98.6</v>
      </c>
      <c r="D147" s="6">
        <f t="shared" si="3"/>
        <v>16.805081</v>
      </c>
    </row>
    <row r="148">
      <c r="A148" s="4" t="s">
        <v>11695</v>
      </c>
      <c r="B148" s="10">
        <f t="shared" si="1"/>
        <v>0</v>
      </c>
      <c r="C148" s="6">
        <f t="shared" si="2"/>
        <v>98.6</v>
      </c>
      <c r="D148" s="6">
        <f t="shared" si="3"/>
        <v>16.805564</v>
      </c>
    </row>
    <row r="149">
      <c r="A149" s="4" t="s">
        <v>11696</v>
      </c>
      <c r="B149" s="10">
        <f t="shared" si="1"/>
        <v>0</v>
      </c>
      <c r="C149" s="6">
        <f t="shared" si="2"/>
        <v>98.6</v>
      </c>
      <c r="D149" s="6">
        <f t="shared" si="3"/>
        <v>16.801939</v>
      </c>
    </row>
    <row r="150">
      <c r="A150" s="4" t="s">
        <v>11697</v>
      </c>
      <c r="B150" s="10">
        <f t="shared" si="1"/>
        <v>0</v>
      </c>
      <c r="C150" s="6">
        <f t="shared" si="2"/>
        <v>98.6</v>
      </c>
      <c r="D150" s="6">
        <f t="shared" si="3"/>
        <v>16.801726</v>
      </c>
    </row>
    <row r="151">
      <c r="A151" s="4" t="s">
        <v>11698</v>
      </c>
      <c r="B151" s="10">
        <f t="shared" si="1"/>
        <v>0</v>
      </c>
      <c r="C151" s="6">
        <f t="shared" si="2"/>
        <v>98.6</v>
      </c>
      <c r="D151" s="6">
        <f t="shared" si="3"/>
        <v>16.806817</v>
      </c>
    </row>
    <row r="152">
      <c r="A152" s="4" t="s">
        <v>11699</v>
      </c>
      <c r="B152" s="10">
        <f t="shared" si="1"/>
        <v>0</v>
      </c>
      <c r="C152" s="6">
        <f t="shared" si="2"/>
        <v>98.6</v>
      </c>
      <c r="D152" s="6">
        <f t="shared" si="3"/>
        <v>16.808124</v>
      </c>
    </row>
    <row r="153">
      <c r="A153" s="4" t="s">
        <v>11700</v>
      </c>
      <c r="B153" s="10">
        <f t="shared" si="1"/>
        <v>0</v>
      </c>
      <c r="C153" s="6">
        <f t="shared" si="2"/>
        <v>98.6</v>
      </c>
      <c r="D153" s="6">
        <f t="shared" si="3"/>
        <v>16.804646</v>
      </c>
    </row>
    <row r="154">
      <c r="A154" s="4" t="s">
        <v>11701</v>
      </c>
      <c r="B154" s="10">
        <f t="shared" si="1"/>
        <v>0</v>
      </c>
      <c r="C154" s="6">
        <f t="shared" si="2"/>
        <v>98.6</v>
      </c>
      <c r="D154" s="6">
        <f t="shared" si="3"/>
        <v>16.802693</v>
      </c>
    </row>
    <row r="155">
      <c r="A155" s="4" t="s">
        <v>11702</v>
      </c>
      <c r="B155" s="10">
        <f t="shared" si="1"/>
        <v>0</v>
      </c>
      <c r="C155" s="6">
        <f t="shared" si="2"/>
        <v>98.6</v>
      </c>
      <c r="D155" s="6">
        <f t="shared" si="3"/>
        <v>16.804794</v>
      </c>
    </row>
    <row r="156">
      <c r="A156" s="4" t="s">
        <v>11703</v>
      </c>
      <c r="B156" s="10">
        <f t="shared" si="1"/>
        <v>0</v>
      </c>
      <c r="C156" s="6">
        <f t="shared" si="2"/>
        <v>98.6</v>
      </c>
      <c r="D156" s="6">
        <f t="shared" si="3"/>
        <v>16.809385</v>
      </c>
    </row>
    <row r="157">
      <c r="A157" s="4" t="s">
        <v>11704</v>
      </c>
      <c r="B157" s="10">
        <f t="shared" si="1"/>
        <v>100</v>
      </c>
      <c r="C157" s="6">
        <f t="shared" si="2"/>
        <v>98.7</v>
      </c>
      <c r="D157" s="6">
        <f t="shared" si="3"/>
        <v>16.824045</v>
      </c>
    </row>
    <row r="158">
      <c r="A158" s="4" t="s">
        <v>11705</v>
      </c>
      <c r="B158" s="10">
        <f t="shared" si="1"/>
        <v>0</v>
      </c>
      <c r="C158" s="6">
        <f t="shared" si="2"/>
        <v>98.7</v>
      </c>
      <c r="D158" s="6">
        <f t="shared" si="3"/>
        <v>16.823361</v>
      </c>
    </row>
    <row r="159">
      <c r="A159" s="4" t="s">
        <v>11706</v>
      </c>
      <c r="B159" s="10">
        <f t="shared" si="1"/>
        <v>0</v>
      </c>
      <c r="C159" s="6">
        <f t="shared" si="2"/>
        <v>98.7</v>
      </c>
      <c r="D159" s="6">
        <f t="shared" si="3"/>
        <v>16.822882</v>
      </c>
    </row>
    <row r="160">
      <c r="A160" s="4" t="s">
        <v>11707</v>
      </c>
      <c r="B160" s="10">
        <f t="shared" si="1"/>
        <v>0</v>
      </c>
      <c r="C160" s="6">
        <f t="shared" si="2"/>
        <v>98.7</v>
      </c>
      <c r="D160" s="6">
        <f t="shared" si="3"/>
        <v>16.819023</v>
      </c>
    </row>
    <row r="161">
      <c r="A161" s="4" t="s">
        <v>11708</v>
      </c>
      <c r="B161" s="10">
        <f t="shared" si="1"/>
        <v>0</v>
      </c>
      <c r="C161" s="6">
        <f t="shared" si="2"/>
        <v>98.7</v>
      </c>
      <c r="D161" s="6">
        <f t="shared" si="3"/>
        <v>16.819376</v>
      </c>
    </row>
    <row r="162">
      <c r="A162" s="4" t="s">
        <v>11709</v>
      </c>
      <c r="B162" s="10">
        <f t="shared" si="1"/>
        <v>0</v>
      </c>
      <c r="C162" s="6">
        <f t="shared" si="2"/>
        <v>98.7</v>
      </c>
      <c r="D162" s="6">
        <f t="shared" si="3"/>
        <v>16.821178</v>
      </c>
    </row>
    <row r="163">
      <c r="A163" s="4" t="s">
        <v>11710</v>
      </c>
      <c r="B163" s="10">
        <f t="shared" si="1"/>
        <v>0</v>
      </c>
      <c r="C163" s="6">
        <f t="shared" si="2"/>
        <v>98.6</v>
      </c>
      <c r="D163" s="6">
        <f t="shared" si="3"/>
        <v>16.806055</v>
      </c>
    </row>
    <row r="164">
      <c r="A164" s="4" t="s">
        <v>11711</v>
      </c>
      <c r="B164" s="10">
        <f t="shared" si="1"/>
        <v>14.3</v>
      </c>
      <c r="C164" s="6">
        <f t="shared" si="2"/>
        <v>98.7</v>
      </c>
      <c r="D164" s="6">
        <f t="shared" si="3"/>
        <v>16.817451</v>
      </c>
    </row>
    <row r="165">
      <c r="A165" s="4" t="s">
        <v>11712</v>
      </c>
      <c r="B165" s="10">
        <f t="shared" si="1"/>
        <v>0</v>
      </c>
      <c r="C165" s="6">
        <f t="shared" si="2"/>
        <v>98.7</v>
      </c>
      <c r="D165" s="6">
        <f t="shared" si="3"/>
        <v>16.816361</v>
      </c>
    </row>
    <row r="166">
      <c r="A166" s="4" t="s">
        <v>11695</v>
      </c>
      <c r="B166" s="10">
        <f t="shared" si="1"/>
        <v>0</v>
      </c>
      <c r="C166" s="6">
        <f t="shared" si="2"/>
        <v>98.6</v>
      </c>
      <c r="D166" s="6">
        <f t="shared" si="3"/>
        <v>16.805564</v>
      </c>
    </row>
    <row r="167">
      <c r="A167" s="4" t="s">
        <v>11713</v>
      </c>
      <c r="B167" s="10">
        <f t="shared" si="1"/>
        <v>0</v>
      </c>
      <c r="C167" s="6">
        <f t="shared" si="2"/>
        <v>98.6</v>
      </c>
      <c r="D167" s="6">
        <f t="shared" si="3"/>
        <v>16.805568</v>
      </c>
    </row>
    <row r="168">
      <c r="A168" s="4" t="s">
        <v>11714</v>
      </c>
      <c r="B168" s="10">
        <f t="shared" si="1"/>
        <v>50</v>
      </c>
      <c r="C168" s="6">
        <f t="shared" si="2"/>
        <v>98.7</v>
      </c>
      <c r="D168" s="6">
        <f t="shared" si="3"/>
        <v>16.813776</v>
      </c>
    </row>
    <row r="169">
      <c r="A169" s="4" t="s">
        <v>11715</v>
      </c>
      <c r="B169" s="10">
        <f t="shared" si="1"/>
        <v>0</v>
      </c>
      <c r="C169" s="6">
        <f t="shared" si="2"/>
        <v>98.6</v>
      </c>
      <c r="D169" s="6">
        <f t="shared" si="3"/>
        <v>16.810663</v>
      </c>
    </row>
    <row r="170">
      <c r="A170" s="4" t="s">
        <v>11716</v>
      </c>
      <c r="B170" s="10">
        <f t="shared" si="1"/>
        <v>0</v>
      </c>
      <c r="C170" s="6">
        <f t="shared" si="2"/>
        <v>98.6</v>
      </c>
      <c r="D170" s="6">
        <f t="shared" si="3"/>
        <v>16.809689</v>
      </c>
    </row>
    <row r="171">
      <c r="A171" s="4" t="s">
        <v>11717</v>
      </c>
      <c r="B171" s="10">
        <f t="shared" si="1"/>
        <v>0</v>
      </c>
      <c r="C171" s="6">
        <f t="shared" si="2"/>
        <v>98.6</v>
      </c>
      <c r="D171" s="6">
        <f t="shared" si="3"/>
        <v>16.810274</v>
      </c>
    </row>
    <row r="172">
      <c r="A172" s="4" t="s">
        <v>11718</v>
      </c>
      <c r="B172" s="10">
        <f t="shared" si="1"/>
        <v>0</v>
      </c>
      <c r="C172" s="6">
        <f t="shared" si="2"/>
        <v>98.6</v>
      </c>
      <c r="D172" s="6">
        <f t="shared" si="3"/>
        <v>16.808812</v>
      </c>
    </row>
    <row r="173">
      <c r="A173" s="4" t="s">
        <v>11719</v>
      </c>
      <c r="B173" s="10">
        <f t="shared" si="1"/>
        <v>0</v>
      </c>
      <c r="C173" s="6">
        <f t="shared" si="2"/>
        <v>98.6</v>
      </c>
      <c r="D173" s="6">
        <f t="shared" si="3"/>
        <v>16.805818</v>
      </c>
    </row>
    <row r="174">
      <c r="A174" s="4" t="s">
        <v>11720</v>
      </c>
      <c r="B174" s="10">
        <f t="shared" si="1"/>
        <v>0</v>
      </c>
      <c r="C174" s="6">
        <f t="shared" si="2"/>
        <v>98.6</v>
      </c>
      <c r="D174" s="6">
        <f t="shared" si="3"/>
        <v>16.806346</v>
      </c>
    </row>
    <row r="175">
      <c r="A175" s="4" t="s">
        <v>11721</v>
      </c>
      <c r="B175" s="10">
        <f t="shared" si="1"/>
        <v>0</v>
      </c>
      <c r="C175" s="6">
        <f t="shared" si="2"/>
        <v>98.6</v>
      </c>
      <c r="D175" s="6">
        <f t="shared" si="3"/>
        <v>16.811028</v>
      </c>
    </row>
    <row r="176">
      <c r="A176" s="4" t="s">
        <v>11722</v>
      </c>
      <c r="B176" s="10">
        <f t="shared" si="1"/>
        <v>0</v>
      </c>
      <c r="C176" s="6">
        <f t="shared" si="2"/>
        <v>98.6</v>
      </c>
      <c r="D176" s="6">
        <f t="shared" si="3"/>
        <v>16.809844</v>
      </c>
    </row>
    <row r="177">
      <c r="A177" s="4" t="s">
        <v>11723</v>
      </c>
      <c r="B177" s="10">
        <f t="shared" si="1"/>
        <v>0</v>
      </c>
      <c r="C177" s="6">
        <f t="shared" si="2"/>
        <v>98.6</v>
      </c>
      <c r="D177" s="6">
        <f t="shared" si="3"/>
        <v>16.809226</v>
      </c>
    </row>
    <row r="178">
      <c r="A178" s="4" t="s">
        <v>11724</v>
      </c>
      <c r="B178" s="10">
        <f t="shared" si="1"/>
        <v>0</v>
      </c>
      <c r="C178" s="6">
        <f t="shared" si="2"/>
        <v>98.7</v>
      </c>
      <c r="D178" s="6">
        <f t="shared" si="3"/>
        <v>16.811876</v>
      </c>
    </row>
    <row r="179">
      <c r="A179" s="4" t="s">
        <v>11725</v>
      </c>
      <c r="B179" s="10">
        <f t="shared" si="1"/>
        <v>0</v>
      </c>
      <c r="C179" s="6">
        <f t="shared" si="2"/>
        <v>98.6</v>
      </c>
      <c r="D179" s="6">
        <f t="shared" si="3"/>
        <v>16.809914</v>
      </c>
    </row>
    <row r="180">
      <c r="A180" s="4" t="s">
        <v>11726</v>
      </c>
      <c r="B180" s="10">
        <f t="shared" si="1"/>
        <v>0</v>
      </c>
      <c r="C180" s="6">
        <f t="shared" si="2"/>
        <v>98.7</v>
      </c>
      <c r="D180" s="6">
        <f t="shared" si="3"/>
        <v>16.812568</v>
      </c>
    </row>
    <row r="181">
      <c r="A181" s="4" t="s">
        <v>11727</v>
      </c>
      <c r="B181" s="10">
        <f t="shared" si="1"/>
        <v>100</v>
      </c>
      <c r="C181" s="6">
        <f t="shared" si="2"/>
        <v>98.7</v>
      </c>
      <c r="D181" s="6">
        <f t="shared" si="3"/>
        <v>16.812367</v>
      </c>
    </row>
    <row r="182">
      <c r="A182" s="4" t="s">
        <v>11728</v>
      </c>
      <c r="B182" s="10">
        <f t="shared" si="1"/>
        <v>0</v>
      </c>
      <c r="C182" s="6">
        <f t="shared" si="2"/>
        <v>98.7</v>
      </c>
      <c r="D182" s="6">
        <f t="shared" si="3"/>
        <v>16.812793</v>
      </c>
    </row>
    <row r="183">
      <c r="A183" s="4" t="s">
        <v>11729</v>
      </c>
      <c r="B183" s="10">
        <f t="shared" si="1"/>
        <v>50</v>
      </c>
      <c r="C183" s="6">
        <f t="shared" si="2"/>
        <v>98.7</v>
      </c>
      <c r="D183" s="6">
        <f t="shared" si="3"/>
        <v>16.813064</v>
      </c>
    </row>
    <row r="184">
      <c r="A184" s="4" t="s">
        <v>11730</v>
      </c>
      <c r="B184" s="10">
        <f t="shared" si="1"/>
        <v>20</v>
      </c>
      <c r="C184" s="6">
        <f t="shared" si="2"/>
        <v>98.7</v>
      </c>
      <c r="D184" s="6">
        <f t="shared" si="3"/>
        <v>16.811569</v>
      </c>
    </row>
    <row r="185">
      <c r="A185" s="4" t="s">
        <v>11731</v>
      </c>
      <c r="B185" s="10">
        <f t="shared" si="1"/>
        <v>0</v>
      </c>
      <c r="C185" s="6">
        <f t="shared" si="2"/>
        <v>98.7</v>
      </c>
      <c r="D185" s="6">
        <f t="shared" si="3"/>
        <v>16.811642</v>
      </c>
    </row>
    <row r="186">
      <c r="A186" s="4" t="s">
        <v>11732</v>
      </c>
      <c r="B186" s="10">
        <f t="shared" si="1"/>
        <v>0</v>
      </c>
      <c r="C186" s="6">
        <f t="shared" si="2"/>
        <v>98.7</v>
      </c>
      <c r="D186" s="6">
        <f t="shared" si="3"/>
        <v>16.813207</v>
      </c>
    </row>
    <row r="187">
      <c r="A187" s="4" t="s">
        <v>11733</v>
      </c>
      <c r="B187" s="10">
        <f t="shared" si="1"/>
        <v>100</v>
      </c>
      <c r="C187" s="6">
        <f t="shared" si="2"/>
        <v>98.7</v>
      </c>
      <c r="D187" s="6">
        <f t="shared" si="3"/>
        <v>16.813961</v>
      </c>
    </row>
    <row r="188">
      <c r="A188" s="4" t="s">
        <v>11734</v>
      </c>
      <c r="B188" s="10">
        <f t="shared" si="1"/>
        <v>100</v>
      </c>
      <c r="C188" s="6">
        <f t="shared" si="2"/>
        <v>98.7</v>
      </c>
      <c r="D188" s="6">
        <f t="shared" si="3"/>
        <v>16.813076</v>
      </c>
    </row>
    <row r="189">
      <c r="A189" s="4" t="s">
        <v>11735</v>
      </c>
      <c r="B189" s="10">
        <f t="shared" si="1"/>
        <v>50</v>
      </c>
      <c r="C189" s="6">
        <f t="shared" si="2"/>
        <v>98.7</v>
      </c>
      <c r="D189" s="6">
        <f t="shared" si="3"/>
        <v>16.812666</v>
      </c>
    </row>
    <row r="190">
      <c r="A190" s="4" t="s">
        <v>11736</v>
      </c>
      <c r="B190" s="10">
        <f t="shared" si="1"/>
        <v>66.7</v>
      </c>
      <c r="C190" s="6">
        <f t="shared" si="2"/>
        <v>98.7</v>
      </c>
      <c r="D190" s="6">
        <f t="shared" si="3"/>
        <v>16.818569</v>
      </c>
    </row>
    <row r="191">
      <c r="A191" s="4" t="s">
        <v>11737</v>
      </c>
      <c r="B191" s="10">
        <f t="shared" si="1"/>
        <v>0</v>
      </c>
      <c r="C191" s="6">
        <f t="shared" si="2"/>
        <v>98.7</v>
      </c>
      <c r="D191" s="6">
        <f t="shared" si="3"/>
        <v>16.815845</v>
      </c>
    </row>
    <row r="192">
      <c r="A192" s="4" t="s">
        <v>11738</v>
      </c>
      <c r="B192" s="10">
        <f t="shared" si="1"/>
        <v>0</v>
      </c>
      <c r="C192" s="6">
        <f t="shared" si="2"/>
        <v>98.7</v>
      </c>
      <c r="D192" s="6">
        <f t="shared" si="3"/>
        <v>16.815464</v>
      </c>
    </row>
    <row r="193">
      <c r="A193" s="4" t="s">
        <v>11739</v>
      </c>
      <c r="B193" s="10">
        <f t="shared" si="1"/>
        <v>0</v>
      </c>
      <c r="C193" s="6">
        <f t="shared" si="2"/>
        <v>98.7</v>
      </c>
      <c r="D193" s="6">
        <f t="shared" si="3"/>
        <v>16.815742</v>
      </c>
    </row>
    <row r="194">
      <c r="A194" s="4" t="s">
        <v>11740</v>
      </c>
      <c r="B194" s="10">
        <f t="shared" si="1"/>
        <v>0</v>
      </c>
      <c r="C194" s="6">
        <f t="shared" si="2"/>
        <v>98.7</v>
      </c>
      <c r="D194" s="6">
        <f t="shared" si="3"/>
        <v>16.813727</v>
      </c>
    </row>
    <row r="195">
      <c r="A195" s="4" t="s">
        <v>11741</v>
      </c>
      <c r="B195" s="10">
        <f t="shared" si="1"/>
        <v>0</v>
      </c>
      <c r="C195" s="6">
        <f t="shared" si="2"/>
        <v>99.8</v>
      </c>
      <c r="D195" s="6">
        <f t="shared" si="3"/>
        <v>17.000607</v>
      </c>
    </row>
    <row r="196">
      <c r="A196" s="4" t="s">
        <v>11742</v>
      </c>
      <c r="B196" s="10">
        <f t="shared" si="1"/>
        <v>100</v>
      </c>
      <c r="C196" s="6">
        <f t="shared" si="2"/>
        <v>99.8</v>
      </c>
      <c r="D196" s="6">
        <f t="shared" si="3"/>
        <v>17.011699</v>
      </c>
    </row>
    <row r="197">
      <c r="A197" s="4" t="s">
        <v>11743</v>
      </c>
      <c r="B197" s="10">
        <f t="shared" si="1"/>
        <v>0</v>
      </c>
      <c r="C197" s="6">
        <f t="shared" si="2"/>
        <v>99.9</v>
      </c>
      <c r="D197" s="6">
        <f t="shared" si="3"/>
        <v>17.031999</v>
      </c>
    </row>
    <row r="198">
      <c r="A198" s="4" t="s">
        <v>11744</v>
      </c>
      <c r="B198" s="10">
        <f t="shared" si="1"/>
        <v>100</v>
      </c>
      <c r="C198" s="6">
        <f t="shared" si="2"/>
        <v>99.5</v>
      </c>
      <c r="D198" s="6">
        <f t="shared" si="3"/>
        <v>16.963641</v>
      </c>
    </row>
    <row r="199">
      <c r="A199" s="4" t="s">
        <v>11745</v>
      </c>
      <c r="B199" s="10">
        <f t="shared" si="1"/>
        <v>100</v>
      </c>
      <c r="C199" s="6">
        <f t="shared" si="2"/>
        <v>99.9</v>
      </c>
      <c r="D199" s="6">
        <f t="shared" si="3"/>
        <v>17.017561</v>
      </c>
    </row>
    <row r="200">
      <c r="A200" s="4" t="s">
        <v>11746</v>
      </c>
      <c r="B200" s="10">
        <f t="shared" si="1"/>
        <v>0</v>
      </c>
      <c r="C200" s="6">
        <f t="shared" si="2"/>
        <v>99.6</v>
      </c>
      <c r="D200" s="6">
        <f t="shared" si="3"/>
        <v>16.970629</v>
      </c>
    </row>
    <row r="201">
      <c r="A201" s="4" t="s">
        <v>11747</v>
      </c>
      <c r="B201" s="10">
        <f t="shared" si="1"/>
        <v>0</v>
      </c>
      <c r="C201" s="6">
        <f t="shared" si="2"/>
        <v>99.4</v>
      </c>
      <c r="D201" s="6">
        <f t="shared" si="3"/>
        <v>16.936251</v>
      </c>
    </row>
    <row r="202">
      <c r="A202" s="4" t="s">
        <v>11748</v>
      </c>
      <c r="B202" s="10">
        <f t="shared" si="1"/>
        <v>100</v>
      </c>
      <c r="C202" s="6">
        <f t="shared" si="2"/>
        <v>99.4</v>
      </c>
      <c r="D202" s="6">
        <f t="shared" si="3"/>
        <v>16.941322</v>
      </c>
    </row>
    <row r="203">
      <c r="A203" s="4" t="s">
        <v>11749</v>
      </c>
      <c r="B203" s="10">
        <f t="shared" si="1"/>
        <v>100</v>
      </c>
      <c r="C203" s="6">
        <f t="shared" si="2"/>
        <v>99.4</v>
      </c>
      <c r="D203" s="6">
        <f t="shared" si="3"/>
        <v>16.941215</v>
      </c>
    </row>
    <row r="204">
      <c r="A204" s="4" t="s">
        <v>11750</v>
      </c>
      <c r="B204" s="10">
        <f t="shared" si="1"/>
        <v>0</v>
      </c>
      <c r="C204" s="6">
        <f t="shared" si="2"/>
        <v>99.4</v>
      </c>
      <c r="D204" s="6">
        <f t="shared" si="3"/>
        <v>16.938201</v>
      </c>
    </row>
    <row r="205">
      <c r="A205" s="4" t="s">
        <v>11751</v>
      </c>
      <c r="B205" s="10">
        <f t="shared" si="1"/>
        <v>0</v>
      </c>
      <c r="C205" s="6">
        <f t="shared" si="2"/>
        <v>99.3</v>
      </c>
      <c r="D205" s="6">
        <f t="shared" si="3"/>
        <v>16.927834</v>
      </c>
    </row>
    <row r="206">
      <c r="A206" s="4" t="s">
        <v>11752</v>
      </c>
      <c r="B206" s="10">
        <f t="shared" si="1"/>
        <v>100</v>
      </c>
      <c r="C206" s="6">
        <f t="shared" si="2"/>
        <v>99.3</v>
      </c>
      <c r="D206" s="6">
        <f t="shared" si="3"/>
        <v>16.928616</v>
      </c>
    </row>
    <row r="207">
      <c r="A207" s="4" t="s">
        <v>11753</v>
      </c>
      <c r="B207" s="10">
        <f t="shared" si="1"/>
        <v>0</v>
      </c>
      <c r="C207" s="6">
        <f t="shared" si="2"/>
        <v>99.3</v>
      </c>
      <c r="D207" s="6">
        <f t="shared" si="3"/>
        <v>16.929927</v>
      </c>
    </row>
    <row r="208">
      <c r="A208" s="4" t="s">
        <v>11754</v>
      </c>
      <c r="B208" s="10">
        <f t="shared" si="1"/>
        <v>0</v>
      </c>
      <c r="C208" s="6">
        <f t="shared" si="2"/>
        <v>99.3</v>
      </c>
      <c r="D208" s="6">
        <f t="shared" si="3"/>
        <v>16.929488</v>
      </c>
    </row>
    <row r="209">
      <c r="A209" s="4" t="s">
        <v>11755</v>
      </c>
      <c r="B209" s="10">
        <f t="shared" si="1"/>
        <v>0</v>
      </c>
      <c r="C209" s="6">
        <f t="shared" si="2"/>
        <v>99.3</v>
      </c>
      <c r="D209" s="6">
        <f t="shared" si="3"/>
        <v>16.918069</v>
      </c>
    </row>
    <row r="210">
      <c r="A210" s="4" t="s">
        <v>11756</v>
      </c>
      <c r="B210" s="10">
        <f t="shared" si="1"/>
        <v>100</v>
      </c>
      <c r="C210" s="6">
        <f t="shared" si="2"/>
        <v>98.8</v>
      </c>
      <c r="D210" s="6">
        <f t="shared" si="3"/>
        <v>16.828608</v>
      </c>
    </row>
    <row r="211">
      <c r="A211" s="4" t="s">
        <v>11757</v>
      </c>
      <c r="B211" s="10">
        <f t="shared" si="1"/>
        <v>28.6</v>
      </c>
      <c r="C211" s="6">
        <f t="shared" si="2"/>
        <v>97.4</v>
      </c>
      <c r="D211" s="6">
        <f t="shared" si="3"/>
        <v>16.597684</v>
      </c>
    </row>
    <row r="212">
      <c r="A212" s="4" t="s">
        <v>11758</v>
      </c>
      <c r="B212" s="10">
        <f t="shared" si="1"/>
        <v>100</v>
      </c>
      <c r="C212" s="6">
        <f t="shared" si="2"/>
        <v>98.2</v>
      </c>
      <c r="D212" s="6">
        <f t="shared" si="3"/>
        <v>16.733376</v>
      </c>
    </row>
    <row r="213">
      <c r="A213" s="4" t="s">
        <v>11759</v>
      </c>
      <c r="B213" s="10">
        <f t="shared" si="1"/>
        <v>33.3</v>
      </c>
      <c r="C213" s="6">
        <f t="shared" si="2"/>
        <v>98.2</v>
      </c>
      <c r="D213" s="6">
        <f t="shared" si="3"/>
        <v>16.728399</v>
      </c>
    </row>
    <row r="214">
      <c r="A214" s="4" t="s">
        <v>11760</v>
      </c>
      <c r="B214" s="10">
        <f t="shared" si="1"/>
        <v>0</v>
      </c>
      <c r="C214" s="6">
        <f t="shared" si="2"/>
        <v>98.1</v>
      </c>
      <c r="D214" s="6">
        <f t="shared" si="3"/>
        <v>16.725024</v>
      </c>
    </row>
    <row r="215">
      <c r="A215" s="4" t="s">
        <v>11761</v>
      </c>
      <c r="B215" s="10">
        <f t="shared" si="1"/>
        <v>0</v>
      </c>
      <c r="C215" s="6">
        <f t="shared" si="2"/>
        <v>98.1</v>
      </c>
      <c r="D215" s="6">
        <f t="shared" si="3"/>
        <v>16.722116</v>
      </c>
    </row>
    <row r="216">
      <c r="A216" s="4" t="s">
        <v>11762</v>
      </c>
      <c r="B216" s="10">
        <f t="shared" si="1"/>
        <v>0</v>
      </c>
      <c r="C216" s="6">
        <f t="shared" si="2"/>
        <v>98.1</v>
      </c>
      <c r="D216" s="6">
        <f t="shared" si="3"/>
        <v>16.716615</v>
      </c>
    </row>
    <row r="217">
      <c r="A217" s="4" t="s">
        <v>11763</v>
      </c>
      <c r="B217" s="10">
        <f t="shared" si="1"/>
        <v>0</v>
      </c>
      <c r="C217" s="6">
        <f t="shared" si="2"/>
        <v>98.7</v>
      </c>
      <c r="D217" s="6">
        <f t="shared" si="3"/>
        <v>16.817954</v>
      </c>
    </row>
    <row r="218">
      <c r="A218" s="4" t="s">
        <v>11764</v>
      </c>
      <c r="B218" s="10">
        <f t="shared" si="1"/>
        <v>0</v>
      </c>
      <c r="C218" s="6">
        <f t="shared" si="2"/>
        <v>98.7</v>
      </c>
      <c r="D218" s="6">
        <f t="shared" si="3"/>
        <v>16.827547</v>
      </c>
    </row>
    <row r="219">
      <c r="A219" s="4" t="s">
        <v>11765</v>
      </c>
      <c r="B219" s="10">
        <f t="shared" si="1"/>
        <v>0</v>
      </c>
      <c r="C219" s="6">
        <f t="shared" si="2"/>
        <v>98.7</v>
      </c>
      <c r="D219" s="6">
        <f t="shared" si="3"/>
        <v>16.827301</v>
      </c>
    </row>
    <row r="220">
      <c r="A220" s="4" t="s">
        <v>11766</v>
      </c>
      <c r="B220" s="10">
        <f t="shared" si="1"/>
        <v>0</v>
      </c>
      <c r="C220" s="6">
        <f t="shared" si="2"/>
        <v>98.7</v>
      </c>
      <c r="D220" s="6">
        <f t="shared" si="3"/>
        <v>16.82724</v>
      </c>
    </row>
    <row r="221">
      <c r="A221" s="4" t="s">
        <v>11767</v>
      </c>
      <c r="B221" s="10">
        <f t="shared" si="1"/>
        <v>0</v>
      </c>
      <c r="C221" s="6">
        <f t="shared" si="2"/>
        <v>98.7</v>
      </c>
      <c r="D221" s="6">
        <f t="shared" si="3"/>
        <v>16.826761</v>
      </c>
    </row>
    <row r="222">
      <c r="A222" s="4" t="s">
        <v>11768</v>
      </c>
      <c r="B222" s="10">
        <f t="shared" si="1"/>
        <v>0</v>
      </c>
      <c r="C222" s="6">
        <f t="shared" si="2"/>
        <v>97.3</v>
      </c>
      <c r="D222" s="6">
        <f t="shared" si="3"/>
        <v>16.573743</v>
      </c>
    </row>
    <row r="223">
      <c r="A223" s="4" t="s">
        <v>11769</v>
      </c>
      <c r="B223" s="10">
        <f t="shared" si="1"/>
        <v>0</v>
      </c>
      <c r="C223" s="6">
        <f t="shared" si="2"/>
        <v>97.3</v>
      </c>
      <c r="D223" s="6">
        <f t="shared" si="3"/>
        <v>16.577273</v>
      </c>
    </row>
    <row r="224">
      <c r="A224" s="4" t="s">
        <v>11770</v>
      </c>
      <c r="B224" s="10">
        <f t="shared" si="1"/>
        <v>0</v>
      </c>
      <c r="C224" s="6">
        <f t="shared" si="2"/>
        <v>97.3</v>
      </c>
      <c r="D224" s="6">
        <f t="shared" si="3"/>
        <v>16.583618</v>
      </c>
    </row>
    <row r="225">
      <c r="A225" s="4" t="s">
        <v>11771</v>
      </c>
      <c r="B225" s="10">
        <f t="shared" si="1"/>
        <v>66.7</v>
      </c>
      <c r="C225" s="6">
        <f t="shared" si="2"/>
        <v>97.3</v>
      </c>
      <c r="D225" s="6">
        <f t="shared" si="3"/>
        <v>16.583245</v>
      </c>
    </row>
    <row r="226">
      <c r="A226" s="4" t="s">
        <v>11772</v>
      </c>
      <c r="B226" s="10">
        <f t="shared" si="1"/>
        <v>0</v>
      </c>
      <c r="C226" s="6">
        <f t="shared" si="2"/>
        <v>97.3</v>
      </c>
      <c r="D226" s="6">
        <f t="shared" si="3"/>
        <v>16.583344</v>
      </c>
    </row>
    <row r="227">
      <c r="A227" s="4" t="s">
        <v>11773</v>
      </c>
      <c r="B227" s="10">
        <f t="shared" si="1"/>
        <v>0</v>
      </c>
      <c r="C227" s="6">
        <f t="shared" si="2"/>
        <v>97.3</v>
      </c>
      <c r="D227" s="6">
        <f t="shared" si="3"/>
        <v>16.5837</v>
      </c>
    </row>
    <row r="228">
      <c r="A228" s="4" t="s">
        <v>11774</v>
      </c>
      <c r="B228" s="10">
        <f t="shared" si="1"/>
        <v>0</v>
      </c>
      <c r="C228" s="6">
        <f t="shared" si="2"/>
        <v>97.3</v>
      </c>
      <c r="D228" s="6">
        <f t="shared" si="3"/>
        <v>16.58388</v>
      </c>
    </row>
    <row r="229">
      <c r="A229" s="4" t="s">
        <v>11775</v>
      </c>
      <c r="B229" s="10">
        <f t="shared" si="1"/>
        <v>0</v>
      </c>
      <c r="C229" s="6">
        <f t="shared" si="2"/>
        <v>97.3</v>
      </c>
      <c r="D229" s="6">
        <f t="shared" si="3"/>
        <v>16.585883</v>
      </c>
    </row>
    <row r="230">
      <c r="A230" s="4" t="s">
        <v>11776</v>
      </c>
      <c r="B230" s="10">
        <f t="shared" si="1"/>
        <v>0</v>
      </c>
      <c r="C230" s="6">
        <f t="shared" si="2"/>
        <v>97.3</v>
      </c>
      <c r="D230" s="6">
        <f t="shared" si="3"/>
        <v>16.585932</v>
      </c>
    </row>
    <row r="231">
      <c r="A231" s="4" t="s">
        <v>11777</v>
      </c>
      <c r="B231" s="10">
        <f t="shared" si="1"/>
        <v>0</v>
      </c>
      <c r="C231" s="6">
        <f t="shared" si="2"/>
        <v>97.3</v>
      </c>
      <c r="D231" s="6">
        <f t="shared" si="3"/>
        <v>16.583888</v>
      </c>
    </row>
    <row r="232">
      <c r="A232" s="4" t="s">
        <v>11778</v>
      </c>
      <c r="B232" s="10">
        <f t="shared" si="1"/>
        <v>0</v>
      </c>
      <c r="C232" s="6">
        <f t="shared" si="2"/>
        <v>97.3</v>
      </c>
      <c r="D232" s="6">
        <f t="shared" si="3"/>
        <v>16.583458</v>
      </c>
    </row>
    <row r="233">
      <c r="A233" s="4" t="s">
        <v>11779</v>
      </c>
      <c r="B233" s="10">
        <f t="shared" si="1"/>
        <v>27.3</v>
      </c>
      <c r="C233" s="6">
        <f t="shared" si="2"/>
        <v>97.3</v>
      </c>
      <c r="D233" s="6">
        <f t="shared" si="3"/>
        <v>16.583663</v>
      </c>
    </row>
    <row r="234">
      <c r="A234" s="4" t="s">
        <v>11780</v>
      </c>
      <c r="B234" s="10">
        <f t="shared" si="1"/>
        <v>0</v>
      </c>
      <c r="C234" s="6">
        <f t="shared" si="2"/>
        <v>97.3</v>
      </c>
      <c r="D234" s="6">
        <f t="shared" si="3"/>
        <v>16.583274</v>
      </c>
    </row>
    <row r="235">
      <c r="A235" s="4" t="s">
        <v>11781</v>
      </c>
      <c r="B235" s="10">
        <f t="shared" si="1"/>
        <v>0</v>
      </c>
      <c r="C235" s="6">
        <f t="shared" si="2"/>
        <v>97.3</v>
      </c>
      <c r="D235" s="6">
        <f t="shared" si="3"/>
        <v>16.584859</v>
      </c>
    </row>
    <row r="236">
      <c r="A236" s="4" t="s">
        <v>11782</v>
      </c>
      <c r="B236" s="10">
        <f t="shared" si="1"/>
        <v>75</v>
      </c>
      <c r="C236" s="6">
        <f t="shared" si="2"/>
        <v>97.3</v>
      </c>
      <c r="D236" s="6">
        <f t="shared" si="3"/>
        <v>16.586653</v>
      </c>
    </row>
    <row r="237">
      <c r="A237" s="4" t="s">
        <v>11783</v>
      </c>
      <c r="B237" s="10">
        <f t="shared" si="1"/>
        <v>0</v>
      </c>
      <c r="C237" s="6">
        <f t="shared" si="2"/>
        <v>97.3</v>
      </c>
      <c r="D237" s="6">
        <f t="shared" si="3"/>
        <v>16.585822</v>
      </c>
    </row>
    <row r="238">
      <c r="A238" s="4" t="s">
        <v>11784</v>
      </c>
      <c r="B238" s="10">
        <f t="shared" si="1"/>
        <v>100</v>
      </c>
      <c r="C238" s="6">
        <f t="shared" si="2"/>
        <v>97.1</v>
      </c>
      <c r="D238" s="6">
        <f t="shared" si="3"/>
        <v>16.548626</v>
      </c>
    </row>
    <row r="239">
      <c r="A239" s="4" t="s">
        <v>11785</v>
      </c>
      <c r="B239" s="10">
        <f t="shared" si="1"/>
        <v>0</v>
      </c>
      <c r="C239" s="6">
        <f t="shared" si="2"/>
        <v>97.1</v>
      </c>
      <c r="D239" s="6">
        <f t="shared" si="3"/>
        <v>16.554622</v>
      </c>
    </row>
    <row r="240">
      <c r="A240" s="4" t="s">
        <v>11786</v>
      </c>
      <c r="B240" s="10">
        <f t="shared" si="1"/>
        <v>0</v>
      </c>
      <c r="C240" s="6">
        <f t="shared" si="2"/>
        <v>97.1</v>
      </c>
      <c r="D240" s="6">
        <f t="shared" si="3"/>
        <v>16.553484</v>
      </c>
    </row>
    <row r="241">
      <c r="A241" s="4" t="s">
        <v>11787</v>
      </c>
      <c r="B241" s="10">
        <f t="shared" si="1"/>
        <v>0</v>
      </c>
      <c r="C241" s="6">
        <f t="shared" si="2"/>
        <v>97.1</v>
      </c>
      <c r="D241" s="6">
        <f t="shared" si="3"/>
        <v>16.553086</v>
      </c>
    </row>
    <row r="242">
      <c r="A242" s="4" t="s">
        <v>11788</v>
      </c>
      <c r="B242" s="10">
        <f t="shared" si="1"/>
        <v>0</v>
      </c>
      <c r="C242" s="6">
        <f t="shared" si="2"/>
        <v>97.1</v>
      </c>
      <c r="D242" s="6">
        <f t="shared" si="3"/>
        <v>16.555159</v>
      </c>
    </row>
    <row r="243">
      <c r="A243" s="4" t="s">
        <v>11789</v>
      </c>
      <c r="B243" s="10">
        <f t="shared" si="1"/>
        <v>0</v>
      </c>
      <c r="C243" s="6">
        <f t="shared" si="2"/>
        <v>97.1</v>
      </c>
      <c r="D243" s="6">
        <f t="shared" si="3"/>
        <v>16.554471</v>
      </c>
    </row>
    <row r="244">
      <c r="A244" s="4" t="s">
        <v>11790</v>
      </c>
      <c r="B244" s="10">
        <f t="shared" si="1"/>
        <v>0</v>
      </c>
      <c r="C244" s="6">
        <f t="shared" si="2"/>
        <v>97.1</v>
      </c>
      <c r="D244" s="6">
        <f t="shared" si="3"/>
        <v>16.554319</v>
      </c>
    </row>
    <row r="245">
      <c r="A245" s="4" t="s">
        <v>11791</v>
      </c>
      <c r="B245" s="10">
        <f t="shared" si="1"/>
        <v>0</v>
      </c>
      <c r="C245" s="6">
        <f t="shared" si="2"/>
        <v>97.2</v>
      </c>
      <c r="D245" s="6">
        <f t="shared" si="3"/>
        <v>16.556806</v>
      </c>
    </row>
    <row r="246">
      <c r="A246" s="4" t="s">
        <v>11792</v>
      </c>
      <c r="B246" s="10">
        <f t="shared" si="1"/>
        <v>0</v>
      </c>
      <c r="C246" s="6">
        <f t="shared" si="2"/>
        <v>97.2</v>
      </c>
      <c r="D246" s="6">
        <f t="shared" si="3"/>
        <v>16.555671</v>
      </c>
    </row>
    <row r="247">
      <c r="A247" s="4" t="s">
        <v>11793</v>
      </c>
      <c r="B247" s="10">
        <f t="shared" si="1"/>
        <v>0</v>
      </c>
      <c r="C247" s="6">
        <f t="shared" si="2"/>
        <v>97.2</v>
      </c>
      <c r="D247" s="6">
        <f t="shared" si="3"/>
        <v>16.555601</v>
      </c>
    </row>
    <row r="248">
      <c r="A248" s="4" t="s">
        <v>11794</v>
      </c>
      <c r="B248" s="10">
        <f t="shared" si="1"/>
        <v>16.7</v>
      </c>
      <c r="C248" s="6">
        <f t="shared" si="2"/>
        <v>97.2</v>
      </c>
      <c r="D248" s="6">
        <f t="shared" si="3"/>
        <v>16.558559</v>
      </c>
    </row>
    <row r="249">
      <c r="A249" s="4" t="s">
        <v>11795</v>
      </c>
      <c r="B249" s="10">
        <f t="shared" si="1"/>
        <v>0</v>
      </c>
      <c r="C249" s="6">
        <f t="shared" si="2"/>
        <v>97.1</v>
      </c>
      <c r="D249" s="6">
        <f t="shared" si="3"/>
        <v>16.555106</v>
      </c>
    </row>
    <row r="250">
      <c r="A250" s="4" t="s">
        <v>11796</v>
      </c>
      <c r="B250" s="10">
        <f t="shared" si="1"/>
        <v>0</v>
      </c>
      <c r="C250" s="6">
        <f t="shared" si="2"/>
        <v>97.2</v>
      </c>
      <c r="D250" s="6">
        <f t="shared" si="3"/>
        <v>16.562741</v>
      </c>
    </row>
    <row r="251">
      <c r="A251" s="4" t="s">
        <v>11797</v>
      </c>
      <c r="B251" s="10">
        <f t="shared" si="1"/>
        <v>0</v>
      </c>
      <c r="C251" s="6">
        <f t="shared" si="2"/>
        <v>97.2</v>
      </c>
      <c r="D251" s="6">
        <f t="shared" si="3"/>
        <v>16.562032</v>
      </c>
    </row>
    <row r="252">
      <c r="A252" s="4" t="s">
        <v>11798</v>
      </c>
      <c r="B252" s="10">
        <f t="shared" si="1"/>
        <v>0</v>
      </c>
      <c r="C252" s="6">
        <f t="shared" si="2"/>
        <v>97.2</v>
      </c>
      <c r="D252" s="6">
        <f t="shared" si="3"/>
        <v>16.561459</v>
      </c>
    </row>
    <row r="253">
      <c r="A253" s="4" t="s">
        <v>11799</v>
      </c>
      <c r="B253" s="10">
        <f t="shared" si="1"/>
        <v>0</v>
      </c>
      <c r="C253" s="6">
        <f t="shared" si="2"/>
        <v>97.2</v>
      </c>
      <c r="D253" s="6">
        <f t="shared" si="3"/>
        <v>16.567771</v>
      </c>
    </row>
    <row r="254">
      <c r="A254" s="4" t="s">
        <v>11800</v>
      </c>
      <c r="B254" s="10">
        <f t="shared" si="1"/>
        <v>100</v>
      </c>
      <c r="C254" s="6">
        <f t="shared" si="2"/>
        <v>97.2</v>
      </c>
      <c r="D254" s="6">
        <f t="shared" si="3"/>
        <v>16.567758</v>
      </c>
    </row>
    <row r="255">
      <c r="A255" s="4" t="s">
        <v>11801</v>
      </c>
      <c r="B255" s="10">
        <f t="shared" si="1"/>
        <v>0</v>
      </c>
      <c r="C255" s="6">
        <f t="shared" si="2"/>
        <v>97.3</v>
      </c>
      <c r="D255" s="6">
        <f t="shared" si="3"/>
        <v>16.577601</v>
      </c>
    </row>
    <row r="256">
      <c r="A256" s="4" t="s">
        <v>11802</v>
      </c>
      <c r="B256" s="10">
        <f t="shared" si="1"/>
        <v>0</v>
      </c>
      <c r="C256" s="6">
        <f t="shared" si="2"/>
        <v>97.3</v>
      </c>
      <c r="D256" s="6">
        <f t="shared" si="3"/>
        <v>16.575377</v>
      </c>
    </row>
    <row r="257">
      <c r="A257" s="4" t="s">
        <v>11803</v>
      </c>
      <c r="B257" s="10">
        <f t="shared" si="1"/>
        <v>0</v>
      </c>
      <c r="C257" s="6">
        <f t="shared" si="2"/>
        <v>97.3</v>
      </c>
      <c r="D257" s="6">
        <f t="shared" si="3"/>
        <v>16.576417</v>
      </c>
    </row>
    <row r="258">
      <c r="A258" s="4" t="s">
        <v>11804</v>
      </c>
      <c r="B258" s="10">
        <f t="shared" si="1"/>
        <v>16.7</v>
      </c>
      <c r="C258" s="6">
        <f t="shared" si="2"/>
        <v>97.3</v>
      </c>
      <c r="D258" s="6">
        <f t="shared" si="3"/>
        <v>16.57831</v>
      </c>
    </row>
    <row r="259">
      <c r="A259" s="4" t="s">
        <v>11805</v>
      </c>
      <c r="B259" s="10">
        <f t="shared" si="1"/>
        <v>0</v>
      </c>
      <c r="C259" s="6">
        <f t="shared" si="2"/>
        <v>97.3</v>
      </c>
      <c r="D259" s="6">
        <f t="shared" si="3"/>
        <v>16.577355</v>
      </c>
    </row>
    <row r="260">
      <c r="A260" s="4" t="s">
        <v>11806</v>
      </c>
      <c r="B260" s="10">
        <f t="shared" si="1"/>
        <v>0</v>
      </c>
      <c r="C260" s="6">
        <f t="shared" si="2"/>
        <v>97.3</v>
      </c>
      <c r="D260" s="6">
        <f t="shared" si="3"/>
        <v>16.575848</v>
      </c>
    </row>
    <row r="261">
      <c r="A261" s="4" t="s">
        <v>11807</v>
      </c>
      <c r="B261" s="10">
        <f t="shared" si="1"/>
        <v>0</v>
      </c>
      <c r="C261" s="6">
        <f t="shared" si="2"/>
        <v>97.3</v>
      </c>
      <c r="D261" s="6">
        <f t="shared" si="3"/>
        <v>16.582139</v>
      </c>
    </row>
    <row r="262">
      <c r="A262" s="4" t="s">
        <v>11808</v>
      </c>
      <c r="B262" s="10">
        <f t="shared" si="1"/>
        <v>0</v>
      </c>
      <c r="C262" s="6">
        <f t="shared" si="2"/>
        <v>97.3</v>
      </c>
      <c r="D262" s="6">
        <f t="shared" si="3"/>
        <v>16.580521</v>
      </c>
    </row>
    <row r="263">
      <c r="A263" s="4" t="s">
        <v>11809</v>
      </c>
      <c r="B263" s="10">
        <f t="shared" si="1"/>
        <v>50</v>
      </c>
      <c r="C263" s="6">
        <f t="shared" si="2"/>
        <v>97.3</v>
      </c>
      <c r="D263" s="6">
        <f t="shared" si="3"/>
        <v>16.579006</v>
      </c>
    </row>
    <row r="264">
      <c r="A264" s="4" t="s">
        <v>11810</v>
      </c>
      <c r="B264" s="10">
        <f t="shared" si="1"/>
        <v>0</v>
      </c>
      <c r="C264" s="6">
        <f t="shared" si="2"/>
        <v>97.3</v>
      </c>
      <c r="D264" s="6">
        <f t="shared" si="3"/>
        <v>16.587857</v>
      </c>
    </row>
    <row r="265">
      <c r="A265" s="4" t="s">
        <v>11811</v>
      </c>
      <c r="B265" s="10">
        <f t="shared" si="1"/>
        <v>50</v>
      </c>
      <c r="C265" s="6">
        <f t="shared" si="2"/>
        <v>97.3</v>
      </c>
      <c r="D265" s="6">
        <f t="shared" si="3"/>
        <v>16.585916</v>
      </c>
    </row>
    <row r="266">
      <c r="A266" s="4" t="s">
        <v>11812</v>
      </c>
      <c r="B266" s="10">
        <f t="shared" si="1"/>
        <v>0</v>
      </c>
      <c r="C266" s="6">
        <f t="shared" si="2"/>
        <v>97.4</v>
      </c>
      <c r="D266" s="6">
        <f t="shared" si="3"/>
        <v>16.604246</v>
      </c>
    </row>
    <row r="267">
      <c r="A267" s="4" t="s">
        <v>11813</v>
      </c>
      <c r="B267" s="10">
        <f t="shared" si="1"/>
        <v>25</v>
      </c>
      <c r="C267" s="6">
        <f t="shared" si="2"/>
        <v>97.5</v>
      </c>
      <c r="D267" s="6">
        <f t="shared" si="3"/>
        <v>16.610107</v>
      </c>
    </row>
    <row r="268">
      <c r="A268" s="4" t="s">
        <v>11814</v>
      </c>
      <c r="B268" s="10">
        <f t="shared" si="1"/>
        <v>50</v>
      </c>
      <c r="C268" s="6">
        <f t="shared" si="2"/>
        <v>97.5</v>
      </c>
      <c r="D268" s="6">
        <f t="shared" si="3"/>
        <v>16.611823</v>
      </c>
    </row>
    <row r="269">
      <c r="A269" s="4" t="s">
        <v>11815</v>
      </c>
      <c r="B269" s="10">
        <f t="shared" si="1"/>
        <v>33.3</v>
      </c>
      <c r="C269" s="6">
        <f t="shared" si="2"/>
        <v>97.5</v>
      </c>
      <c r="D269" s="6">
        <f t="shared" si="3"/>
        <v>16.611356</v>
      </c>
    </row>
    <row r="270">
      <c r="A270" s="4" t="s">
        <v>11816</v>
      </c>
      <c r="B270" s="10">
        <f t="shared" si="1"/>
        <v>0</v>
      </c>
      <c r="C270" s="6">
        <f t="shared" si="2"/>
        <v>97.5</v>
      </c>
      <c r="D270" s="6">
        <f t="shared" si="3"/>
        <v>16.61109</v>
      </c>
    </row>
    <row r="271">
      <c r="A271" s="4" t="s">
        <v>11817</v>
      </c>
      <c r="B271" s="10">
        <f t="shared" si="1"/>
        <v>0</v>
      </c>
      <c r="C271" s="6">
        <f t="shared" si="2"/>
        <v>97.5</v>
      </c>
      <c r="D271" s="6">
        <f t="shared" si="3"/>
        <v>16.613171</v>
      </c>
    </row>
    <row r="272">
      <c r="A272" s="4" t="s">
        <v>11818</v>
      </c>
      <c r="B272" s="10">
        <f t="shared" si="1"/>
        <v>25</v>
      </c>
      <c r="C272" s="6">
        <f t="shared" si="2"/>
        <v>97.5</v>
      </c>
      <c r="D272" s="6">
        <f t="shared" si="3"/>
        <v>16.610832</v>
      </c>
    </row>
    <row r="273">
      <c r="A273" s="4" t="s">
        <v>11819</v>
      </c>
      <c r="B273" s="10">
        <f t="shared" si="1"/>
        <v>0</v>
      </c>
      <c r="C273" s="6">
        <f t="shared" si="2"/>
        <v>97.5</v>
      </c>
      <c r="D273" s="6">
        <f t="shared" si="3"/>
        <v>16.609886</v>
      </c>
    </row>
    <row r="274">
      <c r="A274" s="4" t="s">
        <v>11820</v>
      </c>
      <c r="B274" s="10">
        <f t="shared" si="1"/>
        <v>0</v>
      </c>
      <c r="C274" s="6">
        <f t="shared" si="2"/>
        <v>97.5</v>
      </c>
      <c r="D274" s="6">
        <f t="shared" si="3"/>
        <v>16.611287</v>
      </c>
    </row>
    <row r="275">
      <c r="A275" s="4" t="s">
        <v>11821</v>
      </c>
      <c r="B275" s="10">
        <f t="shared" si="1"/>
        <v>0</v>
      </c>
      <c r="C275" s="6">
        <f t="shared" si="2"/>
        <v>97.5</v>
      </c>
      <c r="D275" s="6">
        <f t="shared" si="3"/>
        <v>16.609554</v>
      </c>
    </row>
    <row r="276">
      <c r="A276" s="4" t="s">
        <v>11822</v>
      </c>
      <c r="B276" s="10">
        <f t="shared" si="1"/>
        <v>100</v>
      </c>
      <c r="C276" s="6">
        <f t="shared" si="2"/>
        <v>97.5</v>
      </c>
      <c r="D276" s="6">
        <f t="shared" si="3"/>
        <v>16.608645</v>
      </c>
    </row>
    <row r="277">
      <c r="A277" s="4" t="s">
        <v>11823</v>
      </c>
      <c r="B277" s="10">
        <f t="shared" si="1"/>
        <v>0</v>
      </c>
      <c r="C277" s="6">
        <f t="shared" si="2"/>
        <v>97.5</v>
      </c>
      <c r="D277" s="6">
        <f t="shared" si="3"/>
        <v>16.612401</v>
      </c>
    </row>
    <row r="278">
      <c r="A278" s="4" t="s">
        <v>11824</v>
      </c>
      <c r="B278" s="10">
        <f t="shared" si="1"/>
        <v>0</v>
      </c>
      <c r="C278" s="6">
        <f t="shared" si="2"/>
        <v>97.5</v>
      </c>
      <c r="D278" s="6">
        <f t="shared" si="3"/>
        <v>16.610447</v>
      </c>
    </row>
    <row r="279">
      <c r="A279" s="4" t="s">
        <v>11825</v>
      </c>
      <c r="B279" s="10">
        <f t="shared" si="1"/>
        <v>0</v>
      </c>
      <c r="C279" s="6">
        <f t="shared" si="2"/>
        <v>97.5</v>
      </c>
      <c r="D279" s="6">
        <f t="shared" si="3"/>
        <v>16.609382</v>
      </c>
    </row>
    <row r="280">
      <c r="A280" s="4" t="s">
        <v>11826</v>
      </c>
      <c r="B280" s="10">
        <f t="shared" si="1"/>
        <v>0</v>
      </c>
      <c r="C280" s="6">
        <f t="shared" si="2"/>
        <v>97.5</v>
      </c>
      <c r="D280" s="6">
        <f t="shared" si="3"/>
        <v>16.611377</v>
      </c>
    </row>
    <row r="281">
      <c r="A281" s="4" t="s">
        <v>11827</v>
      </c>
      <c r="B281" s="10">
        <f t="shared" si="1"/>
        <v>100</v>
      </c>
      <c r="C281" s="6">
        <f t="shared" si="2"/>
        <v>97.5</v>
      </c>
      <c r="D281" s="6">
        <f t="shared" si="3"/>
        <v>16.613642</v>
      </c>
    </row>
    <row r="282">
      <c r="A282" s="4" t="s">
        <v>11828</v>
      </c>
      <c r="B282" s="10">
        <f t="shared" si="1"/>
        <v>16.7</v>
      </c>
      <c r="C282" s="6">
        <f t="shared" si="2"/>
        <v>97.6</v>
      </c>
      <c r="D282" s="6">
        <f t="shared" si="3"/>
        <v>16.628842</v>
      </c>
    </row>
    <row r="283">
      <c r="A283" s="4" t="s">
        <v>11829</v>
      </c>
      <c r="B283" s="10">
        <f t="shared" si="1"/>
        <v>0</v>
      </c>
      <c r="C283" s="6">
        <f t="shared" si="2"/>
        <v>97.6</v>
      </c>
      <c r="D283" s="6">
        <f t="shared" si="3"/>
        <v>16.630341</v>
      </c>
    </row>
    <row r="284">
      <c r="A284" s="4" t="s">
        <v>11830</v>
      </c>
      <c r="B284" s="10">
        <f t="shared" si="1"/>
        <v>0</v>
      </c>
      <c r="C284" s="6">
        <f t="shared" si="2"/>
        <v>97.6</v>
      </c>
      <c r="D284" s="6">
        <f t="shared" si="3"/>
        <v>16.629116</v>
      </c>
    </row>
    <row r="285">
      <c r="A285" s="4" t="s">
        <v>11831</v>
      </c>
      <c r="B285" s="10">
        <f t="shared" si="1"/>
        <v>0</v>
      </c>
      <c r="C285" s="6">
        <f t="shared" si="2"/>
        <v>97.6</v>
      </c>
      <c r="D285" s="6">
        <f t="shared" si="3"/>
        <v>16.629055</v>
      </c>
    </row>
    <row r="286">
      <c r="A286" s="4" t="s">
        <v>11832</v>
      </c>
      <c r="B286" s="10">
        <f t="shared" si="1"/>
        <v>0</v>
      </c>
      <c r="C286" s="6">
        <f t="shared" si="2"/>
        <v>97.6</v>
      </c>
      <c r="D286" s="6">
        <f t="shared" si="3"/>
        <v>16.628334</v>
      </c>
    </row>
    <row r="287">
      <c r="A287" s="4" t="s">
        <v>11833</v>
      </c>
      <c r="B287" s="10">
        <f t="shared" si="1"/>
        <v>100</v>
      </c>
      <c r="C287" s="6">
        <f t="shared" si="2"/>
        <v>97.6</v>
      </c>
      <c r="D287" s="6">
        <f t="shared" si="3"/>
        <v>16.627277</v>
      </c>
    </row>
    <row r="288">
      <c r="A288" s="4" t="s">
        <v>11834</v>
      </c>
      <c r="B288" s="10">
        <f t="shared" si="1"/>
        <v>42.9</v>
      </c>
      <c r="C288" s="6">
        <f t="shared" si="2"/>
        <v>97.6</v>
      </c>
      <c r="D288" s="6">
        <f t="shared" si="3"/>
        <v>16.627367</v>
      </c>
    </row>
    <row r="289">
      <c r="A289" s="4" t="s">
        <v>11835</v>
      </c>
      <c r="B289" s="10">
        <f t="shared" si="1"/>
        <v>0</v>
      </c>
      <c r="C289" s="6">
        <f t="shared" si="2"/>
        <v>97.6</v>
      </c>
      <c r="D289" s="6">
        <f t="shared" si="3"/>
        <v>16.628588</v>
      </c>
    </row>
    <row r="290">
      <c r="A290" s="4" t="s">
        <v>11836</v>
      </c>
      <c r="B290" s="10">
        <f t="shared" si="1"/>
        <v>0</v>
      </c>
      <c r="C290" s="6">
        <f t="shared" si="2"/>
        <v>97.6</v>
      </c>
      <c r="D290" s="6">
        <f t="shared" si="3"/>
        <v>16.627773</v>
      </c>
    </row>
    <row r="291">
      <c r="A291" s="4" t="s">
        <v>11837</v>
      </c>
      <c r="B291" s="10">
        <f t="shared" si="1"/>
        <v>0</v>
      </c>
      <c r="C291" s="6">
        <f t="shared" si="2"/>
        <v>97.6</v>
      </c>
      <c r="D291" s="6">
        <f t="shared" si="3"/>
        <v>16.628277</v>
      </c>
    </row>
    <row r="292">
      <c r="A292" s="4" t="s">
        <v>11838</v>
      </c>
      <c r="B292" s="10">
        <f t="shared" si="1"/>
        <v>33.3</v>
      </c>
      <c r="C292" s="6">
        <f t="shared" si="2"/>
        <v>97.6</v>
      </c>
      <c r="D292" s="6">
        <f t="shared" si="3"/>
        <v>16.628998</v>
      </c>
    </row>
    <row r="293">
      <c r="A293" s="4" t="s">
        <v>11839</v>
      </c>
      <c r="B293" s="10">
        <f t="shared" si="1"/>
        <v>50</v>
      </c>
      <c r="C293" s="6">
        <f t="shared" si="2"/>
        <v>97.6</v>
      </c>
      <c r="D293" s="6">
        <f t="shared" si="3"/>
        <v>16.628629</v>
      </c>
    </row>
    <row r="294">
      <c r="A294" s="4" t="s">
        <v>11840</v>
      </c>
      <c r="B294" s="10">
        <f t="shared" si="1"/>
        <v>0</v>
      </c>
      <c r="C294" s="6">
        <f t="shared" si="2"/>
        <v>97.6</v>
      </c>
      <c r="D294" s="6">
        <f t="shared" si="3"/>
        <v>16.629059</v>
      </c>
    </row>
    <row r="295">
      <c r="A295" s="4" t="s">
        <v>11841</v>
      </c>
      <c r="B295" s="10">
        <f t="shared" si="1"/>
        <v>100</v>
      </c>
      <c r="C295" s="6">
        <f t="shared" si="2"/>
        <v>97.6</v>
      </c>
      <c r="D295" s="6">
        <f t="shared" si="3"/>
        <v>16.628314</v>
      </c>
    </row>
    <row r="296">
      <c r="A296" s="4" t="s">
        <v>11842</v>
      </c>
      <c r="B296" s="10">
        <f t="shared" si="1"/>
        <v>0</v>
      </c>
      <c r="C296" s="6">
        <f t="shared" si="2"/>
        <v>97.6</v>
      </c>
      <c r="D296" s="6">
        <f t="shared" si="3"/>
        <v>16.627982</v>
      </c>
    </row>
    <row r="297">
      <c r="A297" s="4" t="s">
        <v>11843</v>
      </c>
      <c r="B297" s="10">
        <f t="shared" si="1"/>
        <v>50</v>
      </c>
      <c r="C297" s="6">
        <f t="shared" si="2"/>
        <v>97.6</v>
      </c>
      <c r="D297" s="6">
        <f t="shared" si="3"/>
        <v>16.62867</v>
      </c>
    </row>
    <row r="298">
      <c r="A298" s="4" t="s">
        <v>11844</v>
      </c>
      <c r="B298" s="10">
        <f t="shared" si="1"/>
        <v>0</v>
      </c>
      <c r="C298" s="6">
        <f t="shared" si="2"/>
        <v>97.6</v>
      </c>
      <c r="D298" s="6">
        <f t="shared" si="3"/>
        <v>16.627523</v>
      </c>
    </row>
    <row r="299">
      <c r="A299" s="4" t="s">
        <v>11845</v>
      </c>
      <c r="B299" s="10">
        <f t="shared" si="1"/>
        <v>0</v>
      </c>
      <c r="C299" s="6">
        <f t="shared" si="2"/>
        <v>97.6</v>
      </c>
      <c r="D299" s="6">
        <f t="shared" si="3"/>
        <v>16.627138</v>
      </c>
    </row>
    <row r="300">
      <c r="A300" s="4" t="s">
        <v>11846</v>
      </c>
      <c r="B300" s="10">
        <f t="shared" si="1"/>
        <v>0</v>
      </c>
      <c r="C300" s="6">
        <f t="shared" si="2"/>
        <v>97.6</v>
      </c>
      <c r="D300" s="6">
        <f t="shared" si="3"/>
        <v>16.628084</v>
      </c>
    </row>
    <row r="301">
      <c r="A301" s="4" t="s">
        <v>11847</v>
      </c>
      <c r="B301" s="10">
        <f t="shared" si="1"/>
        <v>0</v>
      </c>
      <c r="C301" s="6">
        <f t="shared" si="2"/>
        <v>97.6</v>
      </c>
      <c r="D301" s="6">
        <f t="shared" si="3"/>
        <v>16.625332</v>
      </c>
    </row>
    <row r="302">
      <c r="A302" s="4" t="s">
        <v>11848</v>
      </c>
      <c r="B302" s="10">
        <f t="shared" si="1"/>
        <v>0</v>
      </c>
      <c r="C302" s="6">
        <f t="shared" si="2"/>
        <v>97.6</v>
      </c>
      <c r="D302" s="6">
        <f t="shared" si="3"/>
        <v>16.631398</v>
      </c>
    </row>
    <row r="303">
      <c r="A303" s="4" t="s">
        <v>11849</v>
      </c>
      <c r="B303" s="10">
        <f t="shared" si="1"/>
        <v>16.7</v>
      </c>
      <c r="C303" s="6">
        <f t="shared" si="2"/>
        <v>97.6</v>
      </c>
      <c r="D303" s="6">
        <f t="shared" si="3"/>
        <v>16.630894</v>
      </c>
    </row>
    <row r="304">
      <c r="A304" s="4" t="s">
        <v>11850</v>
      </c>
      <c r="B304" s="10">
        <f t="shared" si="1"/>
        <v>0</v>
      </c>
      <c r="C304" s="6">
        <f t="shared" si="2"/>
        <v>97.6</v>
      </c>
      <c r="D304" s="6">
        <f t="shared" si="3"/>
        <v>16.630906</v>
      </c>
    </row>
    <row r="305">
      <c r="A305" s="4" t="s">
        <v>11851</v>
      </c>
      <c r="B305" s="10">
        <f t="shared" si="1"/>
        <v>0</v>
      </c>
      <c r="C305" s="6">
        <f t="shared" si="2"/>
        <v>97.6</v>
      </c>
      <c r="D305" s="6">
        <f t="shared" si="3"/>
        <v>16.632795</v>
      </c>
    </row>
    <row r="306">
      <c r="A306" s="4" t="s">
        <v>11852</v>
      </c>
      <c r="B306" s="10">
        <f t="shared" si="1"/>
        <v>14.3</v>
      </c>
      <c r="C306" s="6">
        <f t="shared" si="2"/>
        <v>97.6</v>
      </c>
      <c r="D306" s="6">
        <f t="shared" si="3"/>
        <v>16.63277</v>
      </c>
    </row>
    <row r="307">
      <c r="A307" s="4" t="s">
        <v>11853</v>
      </c>
      <c r="B307" s="10">
        <f t="shared" si="1"/>
        <v>0</v>
      </c>
      <c r="C307" s="6">
        <f t="shared" si="2"/>
        <v>97.6</v>
      </c>
      <c r="D307" s="6">
        <f t="shared" si="3"/>
        <v>16.632049</v>
      </c>
    </row>
    <row r="308">
      <c r="A308" s="4" t="s">
        <v>11854</v>
      </c>
      <c r="B308" s="10">
        <f t="shared" si="1"/>
        <v>0</v>
      </c>
      <c r="C308" s="6">
        <f t="shared" si="2"/>
        <v>97.6</v>
      </c>
      <c r="D308" s="6">
        <f t="shared" si="3"/>
        <v>16.636858</v>
      </c>
    </row>
    <row r="309">
      <c r="A309" s="4" t="s">
        <v>11855</v>
      </c>
      <c r="B309" s="10">
        <f t="shared" si="1"/>
        <v>0</v>
      </c>
      <c r="C309" s="6">
        <f t="shared" si="2"/>
        <v>97.6</v>
      </c>
      <c r="D309" s="6">
        <f t="shared" si="3"/>
        <v>16.635383</v>
      </c>
    </row>
    <row r="310">
      <c r="A310" s="4" t="s">
        <v>11856</v>
      </c>
      <c r="B310" s="10">
        <f t="shared" si="1"/>
        <v>0</v>
      </c>
      <c r="C310" s="6">
        <f t="shared" si="2"/>
        <v>97.6</v>
      </c>
      <c r="D310" s="6">
        <f t="shared" si="3"/>
        <v>16.634847</v>
      </c>
    </row>
    <row r="311">
      <c r="A311" s="4" t="s">
        <v>11857</v>
      </c>
      <c r="B311" s="10">
        <f t="shared" si="1"/>
        <v>0</v>
      </c>
      <c r="C311" s="6">
        <f t="shared" si="2"/>
        <v>97.6</v>
      </c>
      <c r="D311" s="6">
        <f t="shared" si="3"/>
        <v>16.634265</v>
      </c>
    </row>
    <row r="312">
      <c r="A312" s="4" t="s">
        <v>11858</v>
      </c>
      <c r="B312" s="10">
        <f t="shared" si="1"/>
        <v>0</v>
      </c>
      <c r="C312" s="6">
        <f t="shared" si="2"/>
        <v>97.6</v>
      </c>
      <c r="D312" s="6">
        <f t="shared" si="3"/>
        <v>16.629334</v>
      </c>
    </row>
    <row r="313">
      <c r="A313" s="4" t="s">
        <v>11859</v>
      </c>
      <c r="B313" s="10">
        <f t="shared" si="1"/>
        <v>0</v>
      </c>
      <c r="C313" s="6">
        <f t="shared" si="2"/>
        <v>97.6</v>
      </c>
      <c r="D313" s="6">
        <f t="shared" si="3"/>
        <v>16.631889</v>
      </c>
    </row>
    <row r="314">
      <c r="A314" s="4" t="s">
        <v>11860</v>
      </c>
      <c r="B314" s="10">
        <f t="shared" si="1"/>
        <v>100</v>
      </c>
      <c r="C314" s="6">
        <f t="shared" si="2"/>
        <v>97.6</v>
      </c>
      <c r="D314" s="6">
        <f t="shared" si="3"/>
        <v>16.640745</v>
      </c>
    </row>
    <row r="315">
      <c r="A315" s="4" t="s">
        <v>11861</v>
      </c>
      <c r="B315" s="10">
        <f t="shared" si="1"/>
        <v>0</v>
      </c>
      <c r="C315" s="6">
        <f t="shared" si="2"/>
        <v>97.7</v>
      </c>
      <c r="D315" s="6">
        <f t="shared" si="3"/>
        <v>16.651821</v>
      </c>
    </row>
    <row r="316">
      <c r="A316" s="4" t="s">
        <v>11862</v>
      </c>
      <c r="B316" s="10">
        <f t="shared" si="1"/>
        <v>0</v>
      </c>
      <c r="C316" s="6">
        <f t="shared" si="2"/>
        <v>97.7</v>
      </c>
      <c r="D316" s="6">
        <f t="shared" si="3"/>
        <v>16.652267</v>
      </c>
    </row>
    <row r="317">
      <c r="A317" s="4" t="s">
        <v>11863</v>
      </c>
      <c r="B317" s="10">
        <f t="shared" si="1"/>
        <v>50</v>
      </c>
      <c r="C317" s="6">
        <f t="shared" si="2"/>
        <v>97.7</v>
      </c>
      <c r="D317" s="6">
        <f t="shared" si="3"/>
        <v>16.650797</v>
      </c>
    </row>
    <row r="318">
      <c r="A318" s="4" t="s">
        <v>11864</v>
      </c>
      <c r="B318" s="10">
        <f t="shared" si="1"/>
        <v>0</v>
      </c>
      <c r="C318" s="6">
        <f t="shared" si="2"/>
        <v>97.8</v>
      </c>
      <c r="D318" s="6">
        <f t="shared" si="3"/>
        <v>16.659697</v>
      </c>
    </row>
    <row r="319">
      <c r="A319" s="4" t="s">
        <v>11865</v>
      </c>
      <c r="B319" s="10">
        <f t="shared" si="1"/>
        <v>0</v>
      </c>
      <c r="C319" s="6">
        <f t="shared" si="2"/>
        <v>97.8</v>
      </c>
      <c r="D319" s="6">
        <f t="shared" si="3"/>
        <v>16.660586</v>
      </c>
    </row>
    <row r="320">
      <c r="A320" s="4" t="s">
        <v>11866</v>
      </c>
      <c r="B320" s="10">
        <f t="shared" si="1"/>
        <v>0</v>
      </c>
      <c r="C320" s="6">
        <f t="shared" si="2"/>
        <v>97.8</v>
      </c>
      <c r="D320" s="6">
        <f t="shared" si="3"/>
        <v>16.661434</v>
      </c>
    </row>
    <row r="321">
      <c r="A321" s="4" t="s">
        <v>11867</v>
      </c>
      <c r="B321" s="10">
        <f t="shared" si="1"/>
        <v>16.7</v>
      </c>
      <c r="C321" s="6">
        <f t="shared" si="2"/>
        <v>97.9</v>
      </c>
      <c r="D321" s="6">
        <f t="shared" si="3"/>
        <v>16.678686</v>
      </c>
    </row>
    <row r="322">
      <c r="A322" s="4" t="s">
        <v>11868</v>
      </c>
      <c r="B322" s="10">
        <f t="shared" si="1"/>
        <v>0</v>
      </c>
      <c r="C322" s="6">
        <f t="shared" si="2"/>
        <v>97.8</v>
      </c>
      <c r="D322" s="6">
        <f t="shared" si="3"/>
        <v>16.673693</v>
      </c>
    </row>
    <row r="323">
      <c r="A323" s="4" t="s">
        <v>11869</v>
      </c>
      <c r="B323" s="10">
        <f t="shared" si="1"/>
        <v>0</v>
      </c>
      <c r="C323" s="6">
        <f t="shared" si="2"/>
        <v>97.8</v>
      </c>
      <c r="D323" s="6">
        <f t="shared" si="3"/>
        <v>16.668979</v>
      </c>
    </row>
    <row r="324">
      <c r="A324" s="4" t="s">
        <v>11870</v>
      </c>
      <c r="B324" s="10">
        <f t="shared" si="1"/>
        <v>12.5</v>
      </c>
      <c r="C324" s="6">
        <f t="shared" si="2"/>
        <v>97.8</v>
      </c>
      <c r="D324" s="6">
        <f t="shared" si="3"/>
        <v>16.669253</v>
      </c>
    </row>
    <row r="325">
      <c r="A325" s="4" t="s">
        <v>11871</v>
      </c>
      <c r="B325" s="10">
        <f t="shared" si="1"/>
        <v>0</v>
      </c>
      <c r="C325" s="6">
        <f t="shared" si="2"/>
        <v>97.8</v>
      </c>
      <c r="D325" s="6">
        <f t="shared" si="3"/>
        <v>16.668692</v>
      </c>
    </row>
    <row r="326">
      <c r="A326" s="4" t="s">
        <v>11872</v>
      </c>
      <c r="B326" s="10">
        <f t="shared" si="1"/>
        <v>0</v>
      </c>
      <c r="C326" s="6">
        <f t="shared" si="2"/>
        <v>97.8</v>
      </c>
      <c r="D326" s="6">
        <f t="shared" si="3"/>
        <v>16.668643</v>
      </c>
    </row>
    <row r="327">
      <c r="A327" s="4" t="s">
        <v>11873</v>
      </c>
      <c r="B327" s="10">
        <f t="shared" si="1"/>
        <v>0</v>
      </c>
      <c r="C327" s="6">
        <f t="shared" si="2"/>
        <v>97.8</v>
      </c>
      <c r="D327" s="6">
        <f t="shared" si="3"/>
        <v>16.669253</v>
      </c>
    </row>
    <row r="328">
      <c r="A328" s="4" t="s">
        <v>11874</v>
      </c>
      <c r="B328" s="10">
        <f t="shared" si="1"/>
        <v>0</v>
      </c>
      <c r="C328" s="6">
        <f t="shared" si="2"/>
        <v>97.8</v>
      </c>
      <c r="D328" s="6">
        <f t="shared" si="3"/>
        <v>16.668786</v>
      </c>
    </row>
    <row r="329">
      <c r="A329" s="4" t="s">
        <v>11875</v>
      </c>
      <c r="B329" s="10">
        <f t="shared" si="1"/>
        <v>0</v>
      </c>
      <c r="C329" s="6">
        <f t="shared" si="2"/>
        <v>97.8</v>
      </c>
      <c r="D329" s="6">
        <f t="shared" si="3"/>
        <v>16.667951</v>
      </c>
    </row>
    <row r="330">
      <c r="A330" s="4" t="s">
        <v>11876</v>
      </c>
      <c r="B330" s="10">
        <f t="shared" si="1"/>
        <v>20</v>
      </c>
      <c r="C330" s="6">
        <f t="shared" si="2"/>
        <v>97.8</v>
      </c>
      <c r="D330" s="6">
        <f t="shared" si="3"/>
        <v>16.667963</v>
      </c>
    </row>
    <row r="331">
      <c r="A331" s="4" t="s">
        <v>11877</v>
      </c>
      <c r="B331" s="10">
        <f t="shared" si="1"/>
        <v>0</v>
      </c>
      <c r="C331" s="6">
        <f t="shared" si="2"/>
        <v>97.8</v>
      </c>
      <c r="D331" s="6">
        <f t="shared" si="3"/>
        <v>16.665571</v>
      </c>
    </row>
    <row r="332">
      <c r="A332" s="4" t="s">
        <v>11878</v>
      </c>
      <c r="B332" s="10">
        <f t="shared" si="1"/>
        <v>50</v>
      </c>
      <c r="C332" s="6">
        <f t="shared" si="2"/>
        <v>97.9</v>
      </c>
      <c r="D332" s="6">
        <f t="shared" si="3"/>
        <v>16.683511</v>
      </c>
    </row>
    <row r="333">
      <c r="A333" s="4" t="s">
        <v>11879</v>
      </c>
      <c r="B333" s="10">
        <f t="shared" si="1"/>
        <v>0</v>
      </c>
      <c r="C333" s="6">
        <f t="shared" si="2"/>
        <v>97.9</v>
      </c>
      <c r="D333" s="6">
        <f t="shared" si="3"/>
        <v>16.687955</v>
      </c>
    </row>
    <row r="334">
      <c r="A334" s="4" t="s">
        <v>11880</v>
      </c>
      <c r="B334" s="10">
        <f t="shared" si="1"/>
        <v>0</v>
      </c>
      <c r="C334" s="6">
        <f t="shared" si="2"/>
        <v>97.9</v>
      </c>
      <c r="D334" s="6">
        <f t="shared" si="3"/>
        <v>16.685019</v>
      </c>
    </row>
    <row r="335">
      <c r="A335" s="4" t="s">
        <v>11881</v>
      </c>
      <c r="B335" s="10">
        <f t="shared" si="1"/>
        <v>0</v>
      </c>
      <c r="C335" s="6">
        <f t="shared" si="2"/>
        <v>98</v>
      </c>
      <c r="D335" s="6">
        <f t="shared" si="3"/>
        <v>16.693211</v>
      </c>
    </row>
    <row r="336">
      <c r="A336" s="4" t="s">
        <v>11882</v>
      </c>
      <c r="B336" s="10">
        <f t="shared" si="1"/>
        <v>0</v>
      </c>
      <c r="C336" s="6">
        <f t="shared" si="2"/>
        <v>98.1</v>
      </c>
      <c r="D336" s="6">
        <f t="shared" si="3"/>
        <v>16.718557</v>
      </c>
    </row>
    <row r="337">
      <c r="A337" s="4" t="s">
        <v>11883</v>
      </c>
      <c r="B337" s="10">
        <f t="shared" si="1"/>
        <v>0</v>
      </c>
      <c r="C337" s="6">
        <f t="shared" si="2"/>
        <v>98.1</v>
      </c>
      <c r="D337" s="6">
        <f t="shared" si="3"/>
        <v>16.718</v>
      </c>
    </row>
    <row r="338">
      <c r="A338" s="4" t="s">
        <v>11884</v>
      </c>
      <c r="B338" s="10">
        <f t="shared" si="1"/>
        <v>50</v>
      </c>
      <c r="C338" s="6">
        <f t="shared" si="2"/>
        <v>98.1</v>
      </c>
      <c r="D338" s="6">
        <f t="shared" si="3"/>
        <v>16.711032</v>
      </c>
    </row>
    <row r="339">
      <c r="A339" s="4" t="s">
        <v>11885</v>
      </c>
      <c r="B339" s="10">
        <f t="shared" si="1"/>
        <v>0</v>
      </c>
      <c r="C339" s="6">
        <f t="shared" si="2"/>
        <v>98.1</v>
      </c>
      <c r="D339" s="6">
        <f t="shared" si="3"/>
        <v>16.713338</v>
      </c>
    </row>
    <row r="340">
      <c r="A340" s="4" t="s">
        <v>11886</v>
      </c>
      <c r="B340" s="10">
        <f t="shared" si="1"/>
        <v>50</v>
      </c>
      <c r="C340" s="6">
        <f t="shared" si="2"/>
        <v>98.1</v>
      </c>
      <c r="D340" s="6">
        <f t="shared" si="3"/>
        <v>16.711012</v>
      </c>
    </row>
    <row r="341">
      <c r="A341" s="4" t="s">
        <v>11887</v>
      </c>
      <c r="B341" s="10">
        <f t="shared" si="1"/>
        <v>0</v>
      </c>
      <c r="C341" s="6">
        <f t="shared" si="2"/>
        <v>98.1</v>
      </c>
      <c r="D341" s="6">
        <f t="shared" si="3"/>
        <v>16.710393</v>
      </c>
    </row>
    <row r="342">
      <c r="A342" s="4" t="s">
        <v>11888</v>
      </c>
      <c r="B342" s="10">
        <f t="shared" si="1"/>
        <v>20</v>
      </c>
      <c r="C342" s="6">
        <f t="shared" si="2"/>
        <v>98.1</v>
      </c>
      <c r="D342" s="6">
        <f t="shared" si="3"/>
        <v>16.711794</v>
      </c>
    </row>
    <row r="343">
      <c r="A343" s="4" t="s">
        <v>11889</v>
      </c>
      <c r="B343" s="10">
        <f t="shared" si="1"/>
        <v>0</v>
      </c>
      <c r="C343" s="6">
        <f t="shared" si="2"/>
        <v>98.1</v>
      </c>
      <c r="D343" s="6">
        <f t="shared" si="3"/>
        <v>16.720072</v>
      </c>
    </row>
    <row r="344">
      <c r="A344" s="4" t="s">
        <v>11890</v>
      </c>
      <c r="B344" s="10">
        <f t="shared" si="1"/>
        <v>100</v>
      </c>
      <c r="C344" s="6">
        <f t="shared" si="2"/>
        <v>98.2</v>
      </c>
      <c r="D344" s="6">
        <f t="shared" si="3"/>
        <v>16.726552</v>
      </c>
    </row>
    <row r="345">
      <c r="A345" s="4" t="s">
        <v>11891</v>
      </c>
      <c r="B345" s="10">
        <f t="shared" si="1"/>
        <v>100</v>
      </c>
      <c r="C345" s="6">
        <f t="shared" si="2"/>
        <v>98.1</v>
      </c>
      <c r="D345" s="6">
        <f t="shared" si="3"/>
        <v>16.723701</v>
      </c>
    </row>
    <row r="346">
      <c r="A346" s="4" t="s">
        <v>11892</v>
      </c>
      <c r="B346" s="10">
        <f t="shared" si="1"/>
        <v>50</v>
      </c>
      <c r="C346" s="6">
        <f t="shared" si="2"/>
        <v>98.1</v>
      </c>
      <c r="D346" s="6">
        <f t="shared" si="3"/>
        <v>16.721293</v>
      </c>
    </row>
    <row r="347">
      <c r="A347" s="4" t="s">
        <v>11893</v>
      </c>
      <c r="B347" s="10">
        <f t="shared" si="1"/>
        <v>0</v>
      </c>
      <c r="C347" s="6">
        <f t="shared" si="2"/>
        <v>98.2</v>
      </c>
      <c r="D347" s="6">
        <f t="shared" si="3"/>
        <v>16.728727</v>
      </c>
    </row>
    <row r="348">
      <c r="A348" s="4" t="s">
        <v>11894</v>
      </c>
      <c r="B348" s="10">
        <f t="shared" si="1"/>
        <v>0</v>
      </c>
      <c r="C348" s="6">
        <f t="shared" si="2"/>
        <v>98.2</v>
      </c>
      <c r="D348" s="6">
        <f t="shared" si="3"/>
        <v>16.727846</v>
      </c>
    </row>
    <row r="349">
      <c r="A349" s="4" t="s">
        <v>11895</v>
      </c>
      <c r="B349" s="10">
        <f t="shared" si="1"/>
        <v>0</v>
      </c>
      <c r="C349" s="6">
        <f t="shared" si="2"/>
        <v>98.1</v>
      </c>
      <c r="D349" s="6">
        <f t="shared" si="3"/>
        <v>16.72418</v>
      </c>
    </row>
    <row r="350">
      <c r="A350" s="4" t="s">
        <v>11896</v>
      </c>
      <c r="B350" s="10">
        <f t="shared" si="1"/>
        <v>0</v>
      </c>
      <c r="C350" s="6">
        <f t="shared" si="2"/>
        <v>98.2</v>
      </c>
      <c r="D350" s="6">
        <f t="shared" si="3"/>
        <v>16.726716</v>
      </c>
    </row>
    <row r="351">
      <c r="A351" s="4" t="s">
        <v>11897</v>
      </c>
      <c r="B351" s="10">
        <f t="shared" si="1"/>
        <v>0</v>
      </c>
      <c r="C351" s="6">
        <f t="shared" si="2"/>
        <v>98.1</v>
      </c>
      <c r="D351" s="6">
        <f t="shared" si="3"/>
        <v>16.725393</v>
      </c>
    </row>
    <row r="352">
      <c r="A352" s="4" t="s">
        <v>11898</v>
      </c>
      <c r="B352" s="10">
        <f t="shared" si="1"/>
        <v>25</v>
      </c>
      <c r="C352" s="6">
        <f t="shared" si="2"/>
        <v>98.1</v>
      </c>
      <c r="D352" s="6">
        <f t="shared" si="3"/>
        <v>16.723251</v>
      </c>
    </row>
    <row r="353">
      <c r="A353" s="4" t="s">
        <v>11899</v>
      </c>
      <c r="B353" s="10">
        <f t="shared" si="1"/>
        <v>0</v>
      </c>
      <c r="C353" s="6">
        <f t="shared" si="2"/>
        <v>98.2</v>
      </c>
      <c r="D353" s="6">
        <f t="shared" si="3"/>
        <v>16.728797</v>
      </c>
    </row>
    <row r="354">
      <c r="A354" s="4" t="s">
        <v>11900</v>
      </c>
      <c r="B354" s="10">
        <f t="shared" si="1"/>
        <v>75</v>
      </c>
      <c r="C354" s="6">
        <f t="shared" si="2"/>
        <v>98.2</v>
      </c>
      <c r="D354" s="6">
        <f t="shared" si="3"/>
        <v>16.72815</v>
      </c>
    </row>
    <row r="355">
      <c r="A355" s="4" t="s">
        <v>11901</v>
      </c>
      <c r="B355" s="10">
        <f t="shared" si="1"/>
        <v>0</v>
      </c>
      <c r="C355" s="6">
        <f t="shared" si="2"/>
        <v>98.1</v>
      </c>
      <c r="D355" s="6">
        <f t="shared" si="3"/>
        <v>16.72543</v>
      </c>
    </row>
    <row r="356">
      <c r="A356" s="4" t="s">
        <v>11902</v>
      </c>
      <c r="B356" s="10">
        <f t="shared" si="1"/>
        <v>28.6</v>
      </c>
      <c r="C356" s="6">
        <f t="shared" si="2"/>
        <v>98.1</v>
      </c>
      <c r="D356" s="6">
        <f t="shared" si="3"/>
        <v>16.725557</v>
      </c>
    </row>
    <row r="357">
      <c r="A357" s="4" t="s">
        <v>11903</v>
      </c>
      <c r="B357" s="10">
        <f t="shared" si="1"/>
        <v>0</v>
      </c>
      <c r="C357" s="6">
        <f t="shared" si="2"/>
        <v>98.1</v>
      </c>
      <c r="D357" s="6">
        <f t="shared" si="3"/>
        <v>16.721764</v>
      </c>
    </row>
    <row r="358">
      <c r="A358" s="4" t="s">
        <v>11904</v>
      </c>
      <c r="B358" s="10">
        <f t="shared" si="1"/>
        <v>14.3</v>
      </c>
      <c r="C358" s="6">
        <f t="shared" si="2"/>
        <v>98.2</v>
      </c>
      <c r="D358" s="6">
        <f t="shared" si="3"/>
        <v>16.727433</v>
      </c>
    </row>
    <row r="359">
      <c r="A359" s="4" t="s">
        <v>11905</v>
      </c>
      <c r="B359" s="10">
        <f t="shared" si="1"/>
        <v>0</v>
      </c>
      <c r="C359" s="6">
        <f t="shared" si="2"/>
        <v>98.2</v>
      </c>
      <c r="D359" s="6">
        <f t="shared" si="3"/>
        <v>16.736538</v>
      </c>
    </row>
    <row r="360">
      <c r="A360" s="4" t="s">
        <v>11906</v>
      </c>
      <c r="B360" s="10">
        <f t="shared" si="1"/>
        <v>100</v>
      </c>
      <c r="C360" s="6">
        <f t="shared" si="2"/>
        <v>98.1</v>
      </c>
      <c r="D360" s="6">
        <f t="shared" si="3"/>
        <v>16.719699</v>
      </c>
    </row>
    <row r="361">
      <c r="A361" s="4" t="s">
        <v>11907</v>
      </c>
      <c r="B361" s="10">
        <f t="shared" si="1"/>
        <v>0</v>
      </c>
      <c r="C361" s="6">
        <f t="shared" si="2"/>
        <v>98.1</v>
      </c>
      <c r="D361" s="6">
        <f t="shared" si="3"/>
        <v>16.719069</v>
      </c>
    </row>
    <row r="362">
      <c r="A362" s="4" t="s">
        <v>11908</v>
      </c>
      <c r="B362" s="10">
        <f t="shared" si="1"/>
        <v>0</v>
      </c>
      <c r="C362" s="6">
        <f t="shared" si="2"/>
        <v>98.2</v>
      </c>
      <c r="D362" s="6">
        <f t="shared" si="3"/>
        <v>16.728805</v>
      </c>
    </row>
    <row r="363">
      <c r="A363" s="4" t="s">
        <v>11909</v>
      </c>
      <c r="B363" s="10">
        <f t="shared" si="1"/>
        <v>0</v>
      </c>
      <c r="C363" s="6">
        <f t="shared" si="2"/>
        <v>98.1</v>
      </c>
      <c r="D363" s="6">
        <f t="shared" si="3"/>
        <v>16.723271</v>
      </c>
    </row>
    <row r="364">
      <c r="A364" s="4" t="s">
        <v>11910</v>
      </c>
      <c r="B364" s="10">
        <f t="shared" si="1"/>
        <v>100</v>
      </c>
      <c r="C364" s="6">
        <f t="shared" si="2"/>
        <v>98.2</v>
      </c>
      <c r="D364" s="6">
        <f t="shared" si="3"/>
        <v>16.733016</v>
      </c>
    </row>
    <row r="365">
      <c r="A365" s="4" t="s">
        <v>11911</v>
      </c>
      <c r="B365" s="10">
        <f t="shared" si="1"/>
        <v>0</v>
      </c>
      <c r="C365" s="6">
        <f t="shared" si="2"/>
        <v>98.2</v>
      </c>
      <c r="D365" s="6">
        <f t="shared" si="3"/>
        <v>16.728174</v>
      </c>
    </row>
    <row r="366">
      <c r="A366" s="4" t="s">
        <v>11912</v>
      </c>
      <c r="B366" s="10">
        <f t="shared" si="1"/>
        <v>0</v>
      </c>
      <c r="C366" s="6">
        <f t="shared" si="2"/>
        <v>98.1</v>
      </c>
      <c r="D366" s="6">
        <f t="shared" si="3"/>
        <v>16.7204</v>
      </c>
    </row>
    <row r="367">
      <c r="A367" s="4" t="s">
        <v>11913</v>
      </c>
      <c r="B367" s="10">
        <f t="shared" si="1"/>
        <v>0</v>
      </c>
      <c r="C367" s="6">
        <f t="shared" si="2"/>
        <v>98.1</v>
      </c>
      <c r="D367" s="6">
        <f t="shared" si="3"/>
        <v>16.724275</v>
      </c>
    </row>
    <row r="368">
      <c r="A368" s="4" t="s">
        <v>11914</v>
      </c>
      <c r="B368" s="10">
        <f t="shared" si="1"/>
        <v>0</v>
      </c>
      <c r="C368" s="6">
        <f t="shared" si="2"/>
        <v>98.1</v>
      </c>
      <c r="D368" s="6">
        <f t="shared" si="3"/>
        <v>16.718675</v>
      </c>
    </row>
    <row r="369">
      <c r="A369" s="4" t="s">
        <v>11915</v>
      </c>
      <c r="B369" s="10">
        <f t="shared" si="1"/>
        <v>0</v>
      </c>
      <c r="C369" s="6">
        <f t="shared" si="2"/>
        <v>98.1</v>
      </c>
      <c r="D369" s="6">
        <f t="shared" si="3"/>
        <v>16.721412</v>
      </c>
    </row>
    <row r="370">
      <c r="A370" s="4" t="s">
        <v>11916</v>
      </c>
      <c r="B370" s="10">
        <f t="shared" si="1"/>
        <v>0</v>
      </c>
      <c r="C370" s="6">
        <f t="shared" si="2"/>
        <v>98.1</v>
      </c>
      <c r="D370" s="6">
        <f t="shared" si="3"/>
        <v>16.722804</v>
      </c>
    </row>
    <row r="371">
      <c r="A371" s="4" t="s">
        <v>11917</v>
      </c>
      <c r="B371" s="10">
        <f t="shared" si="1"/>
        <v>100</v>
      </c>
      <c r="C371" s="6">
        <f t="shared" si="2"/>
        <v>98.1</v>
      </c>
      <c r="D371" s="6">
        <f t="shared" si="3"/>
        <v>16.721027</v>
      </c>
    </row>
    <row r="372">
      <c r="A372" s="4" t="s">
        <v>11918</v>
      </c>
      <c r="B372" s="10">
        <f t="shared" si="1"/>
        <v>60</v>
      </c>
      <c r="C372" s="6">
        <f t="shared" si="2"/>
        <v>98.1</v>
      </c>
      <c r="D372" s="6">
        <f t="shared" si="3"/>
        <v>16.719806</v>
      </c>
    </row>
    <row r="373">
      <c r="A373" s="4" t="s">
        <v>11919</v>
      </c>
      <c r="B373" s="10">
        <f t="shared" si="1"/>
        <v>11.1</v>
      </c>
      <c r="C373" s="6">
        <f t="shared" si="2"/>
        <v>98.1</v>
      </c>
      <c r="D373" s="6">
        <f t="shared" si="3"/>
        <v>16.718991</v>
      </c>
    </row>
    <row r="374">
      <c r="A374" s="4" t="s">
        <v>11920</v>
      </c>
      <c r="B374" s="10">
        <f t="shared" si="1"/>
        <v>0</v>
      </c>
      <c r="C374" s="6">
        <f t="shared" si="2"/>
        <v>98.1</v>
      </c>
      <c r="D374" s="6">
        <f t="shared" si="3"/>
        <v>16.722014</v>
      </c>
    </row>
    <row r="375">
      <c r="A375" s="4" t="s">
        <v>11921</v>
      </c>
      <c r="B375" s="10">
        <f t="shared" si="1"/>
        <v>0</v>
      </c>
      <c r="C375" s="6">
        <f t="shared" si="2"/>
        <v>98.1</v>
      </c>
      <c r="D375" s="6">
        <f t="shared" si="3"/>
        <v>16.716476</v>
      </c>
    </row>
    <row r="376">
      <c r="A376" s="4" t="s">
        <v>11922</v>
      </c>
      <c r="B376" s="10">
        <f t="shared" si="1"/>
        <v>0</v>
      </c>
      <c r="C376" s="6">
        <f t="shared" si="2"/>
        <v>98.1</v>
      </c>
      <c r="D376" s="6">
        <f t="shared" si="3"/>
        <v>16.716627</v>
      </c>
    </row>
    <row r="377">
      <c r="A377" s="4" t="s">
        <v>11923</v>
      </c>
      <c r="B377" s="10">
        <f t="shared" si="1"/>
        <v>66.7</v>
      </c>
      <c r="C377" s="6">
        <f t="shared" si="2"/>
        <v>98.1</v>
      </c>
      <c r="D377" s="6">
        <f t="shared" si="3"/>
        <v>16.724078</v>
      </c>
    </row>
    <row r="378">
      <c r="A378" s="4" t="s">
        <v>11924</v>
      </c>
      <c r="B378" s="10">
        <f t="shared" si="1"/>
        <v>0</v>
      </c>
      <c r="C378" s="6">
        <f t="shared" si="2"/>
        <v>98.1</v>
      </c>
      <c r="D378" s="6">
        <f t="shared" si="3"/>
        <v>16.719835</v>
      </c>
    </row>
    <row r="379">
      <c r="A379" s="4" t="s">
        <v>11925</v>
      </c>
      <c r="B379" s="10">
        <f t="shared" si="1"/>
        <v>0</v>
      </c>
      <c r="C379" s="6">
        <f t="shared" si="2"/>
        <v>98.1</v>
      </c>
      <c r="D379" s="6">
        <f t="shared" si="3"/>
        <v>16.715169</v>
      </c>
    </row>
    <row r="380">
      <c r="A380" s="4" t="s">
        <v>11926</v>
      </c>
      <c r="B380" s="10">
        <f t="shared" si="1"/>
        <v>0</v>
      </c>
      <c r="C380" s="6">
        <f t="shared" si="2"/>
        <v>98.1</v>
      </c>
      <c r="D380" s="6">
        <f t="shared" si="3"/>
        <v>16.722493</v>
      </c>
    </row>
    <row r="381">
      <c r="A381" s="4" t="s">
        <v>11927</v>
      </c>
      <c r="B381" s="10">
        <f t="shared" si="1"/>
        <v>100</v>
      </c>
      <c r="C381" s="6">
        <f t="shared" si="2"/>
        <v>98.1</v>
      </c>
      <c r="D381" s="6">
        <f t="shared" si="3"/>
        <v>16.71888</v>
      </c>
    </row>
    <row r="382">
      <c r="A382" s="4" t="s">
        <v>11928</v>
      </c>
      <c r="B382" s="10">
        <f t="shared" si="1"/>
        <v>0</v>
      </c>
      <c r="C382" s="6">
        <f t="shared" si="2"/>
        <v>98.1</v>
      </c>
      <c r="D382" s="6">
        <f t="shared" si="3"/>
        <v>16.715923</v>
      </c>
    </row>
    <row r="383">
      <c r="A383" s="4" t="s">
        <v>11929</v>
      </c>
      <c r="B383" s="10">
        <f t="shared" si="1"/>
        <v>0</v>
      </c>
      <c r="C383" s="6">
        <f t="shared" si="2"/>
        <v>98.1</v>
      </c>
      <c r="D383" s="6">
        <f t="shared" si="3"/>
        <v>16.722345</v>
      </c>
    </row>
    <row r="384">
      <c r="A384" s="4" t="s">
        <v>11930</v>
      </c>
      <c r="B384" s="10">
        <f t="shared" si="1"/>
        <v>100</v>
      </c>
      <c r="C384" s="6">
        <f t="shared" si="2"/>
        <v>98.1</v>
      </c>
      <c r="D384" s="6">
        <f t="shared" si="3"/>
        <v>16.720355</v>
      </c>
    </row>
    <row r="385">
      <c r="A385" s="4" t="s">
        <v>11931</v>
      </c>
      <c r="B385" s="10">
        <f t="shared" si="1"/>
        <v>0</v>
      </c>
      <c r="C385" s="6">
        <f t="shared" si="2"/>
        <v>98.2</v>
      </c>
      <c r="D385" s="6">
        <f t="shared" si="3"/>
        <v>16.728002</v>
      </c>
    </row>
    <row r="386">
      <c r="A386" s="4" t="s">
        <v>11932</v>
      </c>
      <c r="B386" s="10">
        <f t="shared" si="1"/>
        <v>100</v>
      </c>
      <c r="C386" s="6">
        <f t="shared" si="2"/>
        <v>97.9</v>
      </c>
      <c r="D386" s="6">
        <f t="shared" si="3"/>
        <v>16.681115</v>
      </c>
    </row>
    <row r="387">
      <c r="A387" s="4" t="s">
        <v>11933</v>
      </c>
      <c r="B387" s="10">
        <f t="shared" si="1"/>
        <v>0</v>
      </c>
      <c r="C387" s="6">
        <f t="shared" si="2"/>
        <v>97</v>
      </c>
      <c r="D387" s="6">
        <f t="shared" si="3"/>
        <v>16.531763</v>
      </c>
    </row>
    <row r="388">
      <c r="A388" s="4" t="s">
        <v>11934</v>
      </c>
      <c r="B388" s="10">
        <f t="shared" si="1"/>
        <v>9.1</v>
      </c>
      <c r="C388" s="6">
        <f t="shared" si="2"/>
        <v>96.1</v>
      </c>
      <c r="D388" s="6">
        <f t="shared" si="3"/>
        <v>16.369209</v>
      </c>
    </row>
    <row r="389">
      <c r="A389" s="4" t="s">
        <v>11935</v>
      </c>
      <c r="B389" s="10">
        <f t="shared" si="1"/>
        <v>0</v>
      </c>
      <c r="C389" s="6">
        <f t="shared" si="2"/>
        <v>95.4</v>
      </c>
      <c r="D389" s="6">
        <f t="shared" si="3"/>
        <v>16.263323</v>
      </c>
    </row>
    <row r="390">
      <c r="A390" s="4" t="s">
        <v>11936</v>
      </c>
      <c r="B390" s="10">
        <f t="shared" si="1"/>
        <v>100</v>
      </c>
      <c r="C390" s="6">
        <f t="shared" si="2"/>
        <v>91.1</v>
      </c>
      <c r="D390" s="6">
        <f t="shared" si="3"/>
        <v>15.525965</v>
      </c>
    </row>
    <row r="391">
      <c r="A391" s="4" t="s">
        <v>11937</v>
      </c>
      <c r="B391" s="10">
        <f t="shared" si="1"/>
        <v>0</v>
      </c>
      <c r="C391" s="6">
        <f t="shared" si="2"/>
        <v>90.7</v>
      </c>
      <c r="D391" s="6">
        <f t="shared" si="3"/>
        <v>15.457193</v>
      </c>
    </row>
    <row r="392">
      <c r="A392" s="4" t="s">
        <v>11938</v>
      </c>
      <c r="B392" s="10">
        <f t="shared" si="1"/>
        <v>0</v>
      </c>
      <c r="C392" s="6">
        <f t="shared" si="2"/>
        <v>90.4</v>
      </c>
      <c r="D392" s="6">
        <f t="shared" si="3"/>
        <v>15.399612</v>
      </c>
    </row>
    <row r="393">
      <c r="A393" s="4" t="s">
        <v>11939</v>
      </c>
      <c r="B393" s="10">
        <f t="shared" si="1"/>
        <v>0</v>
      </c>
      <c r="C393" s="6">
        <f t="shared" si="2"/>
        <v>90.3</v>
      </c>
      <c r="D393" s="6">
        <f t="shared" si="3"/>
        <v>15.380168</v>
      </c>
    </row>
    <row r="394">
      <c r="A394" s="4" t="s">
        <v>11940</v>
      </c>
      <c r="B394" s="10">
        <f t="shared" si="1"/>
        <v>0</v>
      </c>
      <c r="C394" s="6">
        <f t="shared" si="2"/>
        <v>90.1</v>
      </c>
      <c r="D394" s="6">
        <f t="shared" si="3"/>
        <v>15.355932</v>
      </c>
    </row>
    <row r="395">
      <c r="A395" s="4" t="s">
        <v>11941</v>
      </c>
      <c r="B395" s="10">
        <f t="shared" si="1"/>
        <v>0</v>
      </c>
      <c r="C395" s="6">
        <f t="shared" si="2"/>
        <v>90</v>
      </c>
      <c r="D395" s="6">
        <f t="shared" si="3"/>
        <v>15.33603</v>
      </c>
    </row>
    <row r="396">
      <c r="A396" s="4" t="s">
        <v>11942</v>
      </c>
      <c r="B396" s="10">
        <f t="shared" si="1"/>
        <v>0</v>
      </c>
      <c r="C396" s="6">
        <f t="shared" si="2"/>
        <v>89.9</v>
      </c>
      <c r="D396" s="6">
        <f t="shared" si="3"/>
        <v>15.317082</v>
      </c>
    </row>
    <row r="397">
      <c r="A397" s="4" t="s">
        <v>11943</v>
      </c>
      <c r="B397" s="10">
        <f t="shared" si="1"/>
        <v>0</v>
      </c>
      <c r="C397" s="6">
        <f t="shared" si="2"/>
        <v>89.8</v>
      </c>
      <c r="D397" s="6">
        <f t="shared" si="3"/>
        <v>15.3025</v>
      </c>
    </row>
    <row r="398">
      <c r="A398" s="4" t="s">
        <v>11944</v>
      </c>
      <c r="B398" s="10">
        <f t="shared" si="1"/>
        <v>0</v>
      </c>
      <c r="C398" s="6">
        <f t="shared" si="2"/>
        <v>89.6</v>
      </c>
      <c r="D398" s="6">
        <f t="shared" si="3"/>
        <v>15.273402</v>
      </c>
    </row>
    <row r="399">
      <c r="A399" s="4" t="s">
        <v>11945</v>
      </c>
      <c r="B399" s="10">
        <f t="shared" si="1"/>
        <v>0</v>
      </c>
      <c r="C399" s="6">
        <f t="shared" si="2"/>
        <v>80.8</v>
      </c>
      <c r="D399" s="6">
        <f t="shared" si="3"/>
        <v>13.766799</v>
      </c>
    </row>
    <row r="400">
      <c r="A400" s="4" t="s">
        <v>11946</v>
      </c>
      <c r="B400" s="10">
        <f t="shared" si="1"/>
        <v>0</v>
      </c>
      <c r="C400" s="6">
        <f t="shared" si="2"/>
        <v>71.2</v>
      </c>
      <c r="D400" s="6">
        <f t="shared" si="3"/>
        <v>12.138512</v>
      </c>
    </row>
    <row r="401">
      <c r="A401" s="4" t="s">
        <v>11947</v>
      </c>
      <c r="B401" s="10">
        <f t="shared" si="1"/>
        <v>0</v>
      </c>
      <c r="C401" s="6">
        <f t="shared" si="2"/>
        <v>65</v>
      </c>
      <c r="D401" s="6">
        <f t="shared" si="3"/>
        <v>11.072212</v>
      </c>
    </row>
    <row r="402">
      <c r="A402" s="4" t="s">
        <v>11948</v>
      </c>
      <c r="B402" s="10">
        <f t="shared" si="1"/>
        <v>100</v>
      </c>
      <c r="C402" s="6">
        <f t="shared" si="2"/>
        <v>66.5</v>
      </c>
      <c r="D402" s="6">
        <f t="shared" si="3"/>
        <v>11.328872</v>
      </c>
    </row>
    <row r="403">
      <c r="A403" s="4" t="s">
        <v>11949</v>
      </c>
      <c r="B403" s="10">
        <f t="shared" si="1"/>
        <v>0</v>
      </c>
      <c r="C403" s="6">
        <f t="shared" si="2"/>
        <v>66.5</v>
      </c>
      <c r="D403" s="6">
        <f t="shared" si="3"/>
        <v>11.327463</v>
      </c>
    </row>
  </sheetData>
  <mergeCells count="3">
    <mergeCell ref="G1:H1"/>
    <mergeCell ref="J1:K1"/>
    <mergeCell ref="M1:N1"/>
  </mergeCells>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30</v>
      </c>
    </row>
    <row r="2">
      <c r="A2" s="4" t="s">
        <v>11950</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row r="501">
      <c r="A501" s="4"/>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33</v>
      </c>
    </row>
    <row r="3">
      <c r="A3" s="4" t="s">
        <v>34</v>
      </c>
    </row>
    <row r="4">
      <c r="A4" s="4" t="s">
        <v>498</v>
      </c>
    </row>
    <row r="5">
      <c r="A5" s="4" t="s">
        <v>872</v>
      </c>
    </row>
    <row r="6">
      <c r="A6" s="4" t="s">
        <v>41</v>
      </c>
    </row>
    <row r="7">
      <c r="A7" s="4" t="s">
        <v>4866</v>
      </c>
    </row>
    <row r="8">
      <c r="A8" s="4" t="s">
        <v>130</v>
      </c>
    </row>
    <row r="9">
      <c r="A9" s="4" t="s">
        <v>5465</v>
      </c>
    </row>
    <row r="10">
      <c r="A10" s="4" t="s">
        <v>41</v>
      </c>
    </row>
    <row r="11">
      <c r="A11" s="4" t="s">
        <v>34</v>
      </c>
    </row>
    <row r="12">
      <c r="A12" s="4" t="s">
        <v>44</v>
      </c>
    </row>
    <row r="13">
      <c r="A13" s="4" t="s">
        <v>1369</v>
      </c>
    </row>
    <row r="14">
      <c r="A14" s="4" t="s">
        <v>81</v>
      </c>
    </row>
    <row r="15">
      <c r="A15" s="4" t="s">
        <v>11951</v>
      </c>
    </row>
    <row r="16">
      <c r="A16" s="4" t="s">
        <v>941</v>
      </c>
    </row>
    <row r="17">
      <c r="A17" s="4" t="s">
        <v>33</v>
      </c>
    </row>
    <row r="18">
      <c r="A18" s="4" t="s">
        <v>1359</v>
      </c>
    </row>
    <row r="19">
      <c r="A19" s="4" t="s">
        <v>88</v>
      </c>
    </row>
    <row r="20">
      <c r="A20" s="4" t="s">
        <v>75</v>
      </c>
    </row>
    <row r="21">
      <c r="A21" s="4" t="s">
        <v>48</v>
      </c>
    </row>
    <row r="22">
      <c r="A22" s="4" t="s">
        <v>35</v>
      </c>
    </row>
    <row r="23">
      <c r="A23" s="4" t="s">
        <v>526</v>
      </c>
    </row>
    <row r="24">
      <c r="A24" s="4" t="s">
        <v>33</v>
      </c>
    </row>
    <row r="25">
      <c r="A25" s="4" t="s">
        <v>506</v>
      </c>
    </row>
    <row r="26">
      <c r="A26" s="4" t="s">
        <v>39</v>
      </c>
    </row>
    <row r="27">
      <c r="A27" s="4" t="s">
        <v>40</v>
      </c>
    </row>
    <row r="28">
      <c r="A28" s="4" t="s">
        <v>126</v>
      </c>
    </row>
    <row r="29">
      <c r="A29" s="4" t="s">
        <v>139</v>
      </c>
    </row>
    <row r="30">
      <c r="A30" s="4" t="s">
        <v>126</v>
      </c>
    </row>
    <row r="31">
      <c r="A31" s="4" t="s">
        <v>1338</v>
      </c>
    </row>
    <row r="32">
      <c r="A32" s="4" t="s">
        <v>33</v>
      </c>
    </row>
    <row r="33">
      <c r="A33" s="4" t="s">
        <v>560</v>
      </c>
    </row>
    <row r="34">
      <c r="A34" s="4" t="s">
        <v>44</v>
      </c>
    </row>
    <row r="35">
      <c r="A35" s="4" t="s">
        <v>119</v>
      </c>
    </row>
    <row r="36">
      <c r="A36" s="4" t="s">
        <v>500</v>
      </c>
    </row>
    <row r="37">
      <c r="A37" s="4" t="s">
        <v>109</v>
      </c>
    </row>
    <row r="38">
      <c r="A38" s="4" t="s">
        <v>4864</v>
      </c>
    </row>
    <row r="39">
      <c r="A39" s="4" t="s">
        <v>50</v>
      </c>
    </row>
    <row r="40">
      <c r="A40" s="4" t="s">
        <v>40</v>
      </c>
    </row>
    <row r="41">
      <c r="A41" s="4" t="s">
        <v>33</v>
      </c>
    </row>
    <row r="42">
      <c r="A42" s="4" t="s">
        <v>34</v>
      </c>
    </row>
    <row r="43">
      <c r="A43" s="4" t="s">
        <v>498</v>
      </c>
    </row>
    <row r="44">
      <c r="A44" s="4" t="s">
        <v>951</v>
      </c>
    </row>
    <row r="45">
      <c r="A45" s="4" t="s">
        <v>901</v>
      </c>
    </row>
    <row r="46">
      <c r="A46" s="4" t="s">
        <v>115</v>
      </c>
    </row>
    <row r="47">
      <c r="A47" s="4" t="s">
        <v>970</v>
      </c>
    </row>
    <row r="48">
      <c r="A48" s="4" t="s">
        <v>88</v>
      </c>
    </row>
    <row r="49">
      <c r="A49" s="4" t="s">
        <v>89</v>
      </c>
    </row>
    <row r="50">
      <c r="A50" s="4" t="s">
        <v>33</v>
      </c>
    </row>
    <row r="51">
      <c r="A51" s="4" t="s">
        <v>62</v>
      </c>
    </row>
    <row r="52">
      <c r="A52" s="4" t="s">
        <v>3003</v>
      </c>
    </row>
    <row r="53">
      <c r="A53" s="4" t="s">
        <v>107</v>
      </c>
    </row>
    <row r="54">
      <c r="A54" s="4" t="s">
        <v>41</v>
      </c>
    </row>
    <row r="55">
      <c r="A55" s="4" t="s">
        <v>42</v>
      </c>
    </row>
    <row r="56">
      <c r="A56" s="4" t="s">
        <v>48</v>
      </c>
    </row>
    <row r="57">
      <c r="A57" s="4" t="s">
        <v>547</v>
      </c>
    </row>
    <row r="58">
      <c r="A58" s="4" t="s">
        <v>115</v>
      </c>
    </row>
    <row r="59">
      <c r="A59" s="4" t="s">
        <v>3268</v>
      </c>
    </row>
    <row r="60">
      <c r="A60" s="4" t="s">
        <v>33</v>
      </c>
    </row>
    <row r="61">
      <c r="A61" s="4" t="s">
        <v>34</v>
      </c>
    </row>
    <row r="62">
      <c r="A62" s="4" t="s">
        <v>44</v>
      </c>
    </row>
    <row r="63">
      <c r="A63" s="4" t="s">
        <v>513</v>
      </c>
    </row>
    <row r="64">
      <c r="A64" s="4" t="s">
        <v>902</v>
      </c>
    </row>
    <row r="65">
      <c r="A65" s="4" t="s">
        <v>11952</v>
      </c>
    </row>
    <row r="66">
      <c r="A66" s="4" t="s">
        <v>160</v>
      </c>
    </row>
    <row r="67">
      <c r="A67" s="4" t="s">
        <v>5451</v>
      </c>
    </row>
    <row r="68">
      <c r="A68" s="4" t="s">
        <v>11953</v>
      </c>
    </row>
    <row r="69">
      <c r="A69" s="4" t="s">
        <v>941</v>
      </c>
    </row>
    <row r="70">
      <c r="A70" s="4" t="s">
        <v>33</v>
      </c>
    </row>
    <row r="71">
      <c r="A71" s="4" t="s">
        <v>34</v>
      </c>
    </row>
    <row r="72">
      <c r="A72" s="4" t="s">
        <v>44</v>
      </c>
    </row>
    <row r="73">
      <c r="A73" s="4" t="s">
        <v>513</v>
      </c>
    </row>
    <row r="74">
      <c r="A74" s="4" t="s">
        <v>533</v>
      </c>
    </row>
    <row r="75">
      <c r="A75" s="4" t="s">
        <v>518</v>
      </c>
    </row>
    <row r="76">
      <c r="A76" s="4" t="s">
        <v>11954</v>
      </c>
    </row>
    <row r="77">
      <c r="A77" s="4" t="s">
        <v>7035</v>
      </c>
    </row>
    <row r="78">
      <c r="A78" s="4" t="s">
        <v>1230</v>
      </c>
    </row>
    <row r="79">
      <c r="A79" s="4" t="s">
        <v>140</v>
      </c>
    </row>
    <row r="80">
      <c r="A80" s="4" t="s">
        <v>33</v>
      </c>
    </row>
    <row r="81">
      <c r="A81" s="4" t="s">
        <v>34</v>
      </c>
    </row>
    <row r="82">
      <c r="A82" s="4" t="s">
        <v>44</v>
      </c>
    </row>
    <row r="83">
      <c r="A83" s="4" t="s">
        <v>513</v>
      </c>
    </row>
    <row r="84">
      <c r="A84" s="4" t="s">
        <v>533</v>
      </c>
    </row>
    <row r="85">
      <c r="A85" s="4" t="s">
        <v>518</v>
      </c>
    </row>
    <row r="86">
      <c r="A86" s="4" t="s">
        <v>1350</v>
      </c>
    </row>
    <row r="87">
      <c r="A87" s="4" t="s">
        <v>2617</v>
      </c>
    </row>
    <row r="88">
      <c r="A88" s="4" t="s">
        <v>160</v>
      </c>
    </row>
    <row r="89">
      <c r="A89" s="4" t="s">
        <v>527</v>
      </c>
    </row>
    <row r="90">
      <c r="A90" s="4" t="s">
        <v>33</v>
      </c>
    </row>
    <row r="91">
      <c r="A91" s="4" t="s">
        <v>34</v>
      </c>
    </row>
    <row r="92">
      <c r="A92" s="4" t="s">
        <v>107</v>
      </c>
    </row>
    <row r="93">
      <c r="A93" s="4" t="s">
        <v>41</v>
      </c>
    </row>
    <row r="94">
      <c r="A94" s="4" t="s">
        <v>42</v>
      </c>
    </row>
    <row r="95">
      <c r="A95" s="4" t="s">
        <v>48</v>
      </c>
    </row>
    <row r="96">
      <c r="A96" s="4" t="s">
        <v>529</v>
      </c>
    </row>
    <row r="97">
      <c r="A97" s="4" t="s">
        <v>33</v>
      </c>
    </row>
    <row r="98">
      <c r="A98" s="4" t="s">
        <v>569</v>
      </c>
    </row>
    <row r="99">
      <c r="A99" s="4" t="s">
        <v>51</v>
      </c>
    </row>
    <row r="100">
      <c r="A100" s="4" t="s">
        <v>516</v>
      </c>
    </row>
    <row r="101">
      <c r="A101" s="4" t="s">
        <v>525</v>
      </c>
    </row>
    <row r="102">
      <c r="A102" s="4" t="s">
        <v>551</v>
      </c>
    </row>
    <row r="103">
      <c r="A103" s="4" t="s">
        <v>40</v>
      </c>
    </row>
    <row r="104">
      <c r="A104" s="4" t="s">
        <v>53</v>
      </c>
    </row>
    <row r="105">
      <c r="A105" s="4" t="s">
        <v>33</v>
      </c>
    </row>
    <row r="106">
      <c r="A106" s="4" t="s">
        <v>500</v>
      </c>
    </row>
    <row r="107">
      <c r="A107" s="4" t="s">
        <v>48</v>
      </c>
    </row>
    <row r="108">
      <c r="A108" s="4" t="s">
        <v>139</v>
      </c>
    </row>
    <row r="109">
      <c r="A109" s="4" t="s">
        <v>129</v>
      </c>
    </row>
    <row r="110">
      <c r="A110" s="4" t="s">
        <v>62</v>
      </c>
    </row>
    <row r="111">
      <c r="A111" s="4" t="s">
        <v>506</v>
      </c>
    </row>
    <row r="112">
      <c r="A112" s="4" t="s">
        <v>525</v>
      </c>
    </row>
    <row r="113">
      <c r="A113" s="4" t="s">
        <v>39</v>
      </c>
    </row>
    <row r="114">
      <c r="A114" s="4" t="s">
        <v>40</v>
      </c>
    </row>
    <row r="115">
      <c r="A115" s="4" t="s">
        <v>33</v>
      </c>
    </row>
    <row r="116">
      <c r="A116" s="4" t="s">
        <v>34</v>
      </c>
    </row>
    <row r="117">
      <c r="A117" s="4" t="s">
        <v>497</v>
      </c>
    </row>
    <row r="118">
      <c r="A118" s="4" t="s">
        <v>498</v>
      </c>
    </row>
    <row r="119">
      <c r="A119" s="4" t="s">
        <v>11955</v>
      </c>
    </row>
    <row r="120">
      <c r="A120" s="4" t="s">
        <v>9955</v>
      </c>
    </row>
    <row r="121">
      <c r="A121" s="4" t="s">
        <v>500</v>
      </c>
    </row>
    <row r="122">
      <c r="A122" s="4" t="s">
        <v>33</v>
      </c>
    </row>
    <row r="123">
      <c r="A123" s="4" t="s">
        <v>1359</v>
      </c>
    </row>
    <row r="124">
      <c r="A124" s="4" t="s">
        <v>88</v>
      </c>
    </row>
    <row r="125">
      <c r="A125" s="4" t="s">
        <v>40</v>
      </c>
    </row>
    <row r="126">
      <c r="A126" s="4" t="s">
        <v>75</v>
      </c>
    </row>
    <row r="127">
      <c r="A127" s="4" t="s">
        <v>536</v>
      </c>
    </row>
    <row r="128">
      <c r="A128" s="4" t="s">
        <v>41</v>
      </c>
    </row>
    <row r="129">
      <c r="A129" s="4" t="s">
        <v>1382</v>
      </c>
    </row>
    <row r="130">
      <c r="A130" s="4" t="s">
        <v>3677</v>
      </c>
    </row>
    <row r="131">
      <c r="A131" s="4" t="s">
        <v>33</v>
      </c>
    </row>
    <row r="132">
      <c r="A132" s="4" t="s">
        <v>119</v>
      </c>
    </row>
    <row r="133">
      <c r="A133" s="4" t="s">
        <v>62</v>
      </c>
    </row>
    <row r="134">
      <c r="A134" s="4" t="s">
        <v>1350</v>
      </c>
    </row>
    <row r="135">
      <c r="A135" s="4" t="s">
        <v>106</v>
      </c>
    </row>
    <row r="136">
      <c r="A136" s="4" t="s">
        <v>88</v>
      </c>
    </row>
    <row r="137">
      <c r="A137" s="4" t="s">
        <v>40</v>
      </c>
    </row>
    <row r="138">
      <c r="A138" s="4" t="s">
        <v>75</v>
      </c>
    </row>
    <row r="139">
      <c r="A139" s="4" t="s">
        <v>33</v>
      </c>
    </row>
    <row r="140">
      <c r="A140" s="4" t="s">
        <v>64</v>
      </c>
    </row>
    <row r="141">
      <c r="A141" s="4" t="s">
        <v>40</v>
      </c>
    </row>
    <row r="142">
      <c r="A142" s="4" t="s">
        <v>147</v>
      </c>
    </row>
    <row r="143">
      <c r="A143" s="4" t="s">
        <v>48</v>
      </c>
    </row>
    <row r="144">
      <c r="A144" s="4" t="s">
        <v>1534</v>
      </c>
    </row>
    <row r="145">
      <c r="A145" s="4" t="s">
        <v>33</v>
      </c>
    </row>
    <row r="146">
      <c r="A146" s="4" t="s">
        <v>500</v>
      </c>
    </row>
    <row r="147">
      <c r="A147" s="4" t="s">
        <v>44</v>
      </c>
    </row>
    <row r="148">
      <c r="A148" s="4" t="s">
        <v>36</v>
      </c>
    </row>
    <row r="149">
      <c r="A149" s="4" t="s">
        <v>506</v>
      </c>
    </row>
    <row r="150">
      <c r="A150" s="4" t="s">
        <v>50</v>
      </c>
    </row>
    <row r="151">
      <c r="A151" s="4" t="s">
        <v>129</v>
      </c>
    </row>
    <row r="152">
      <c r="A152" s="4" t="s">
        <v>4887</v>
      </c>
    </row>
    <row r="153">
      <c r="A153" s="4" t="s">
        <v>33</v>
      </c>
    </row>
    <row r="154">
      <c r="A154" s="4" t="s">
        <v>34</v>
      </c>
    </row>
    <row r="155">
      <c r="A155" s="4" t="s">
        <v>44</v>
      </c>
    </row>
    <row r="156">
      <c r="A156" s="4" t="s">
        <v>513</v>
      </c>
    </row>
    <row r="157">
      <c r="A157" s="4" t="s">
        <v>533</v>
      </c>
    </row>
    <row r="158">
      <c r="A158" s="4" t="s">
        <v>518</v>
      </c>
    </row>
    <row r="159">
      <c r="A159" s="4" t="s">
        <v>506</v>
      </c>
    </row>
    <row r="160">
      <c r="A160" s="4" t="s">
        <v>41</v>
      </c>
    </row>
    <row r="161">
      <c r="A161" s="4" t="s">
        <v>139</v>
      </c>
    </row>
    <row r="162">
      <c r="A162" s="4" t="s">
        <v>33</v>
      </c>
    </row>
    <row r="163">
      <c r="A163" s="4" t="s">
        <v>34</v>
      </c>
    </row>
    <row r="164">
      <c r="A164" s="4" t="s">
        <v>90</v>
      </c>
    </row>
    <row r="165">
      <c r="A165" s="4" t="s">
        <v>44</v>
      </c>
    </row>
    <row r="166">
      <c r="A166" s="4" t="s">
        <v>513</v>
      </c>
    </row>
    <row r="167">
      <c r="A167" s="4" t="s">
        <v>533</v>
      </c>
    </row>
    <row r="168">
      <c r="A168" s="4" t="s">
        <v>518</v>
      </c>
    </row>
    <row r="169">
      <c r="A169" s="4" t="s">
        <v>34</v>
      </c>
    </row>
    <row r="170">
      <c r="A170" s="4" t="s">
        <v>51</v>
      </c>
    </row>
    <row r="171">
      <c r="A171" s="4" t="s">
        <v>5465</v>
      </c>
    </row>
    <row r="172">
      <c r="A172" s="4">
        <v>1.0</v>
      </c>
    </row>
    <row r="173">
      <c r="A173" s="4" t="s">
        <v>549</v>
      </c>
    </row>
    <row r="174">
      <c r="A174" s="4" t="s">
        <v>3008</v>
      </c>
    </row>
    <row r="175">
      <c r="A175" s="4" t="s">
        <v>103</v>
      </c>
    </row>
    <row r="176">
      <c r="A176" s="4" t="s">
        <v>33</v>
      </c>
    </row>
    <row r="177">
      <c r="A177" s="4" t="s">
        <v>560</v>
      </c>
    </row>
    <row r="178">
      <c r="A178" s="4" t="s">
        <v>140</v>
      </c>
    </row>
    <row r="179">
      <c r="A179" s="4" t="s">
        <v>546</v>
      </c>
    </row>
    <row r="180">
      <c r="A180" s="4" t="s">
        <v>44</v>
      </c>
    </row>
    <row r="181">
      <c r="A181" s="4" t="s">
        <v>119</v>
      </c>
    </row>
    <row r="182">
      <c r="A182" s="4" t="s">
        <v>500</v>
      </c>
    </row>
    <row r="183">
      <c r="A183" s="4" t="s">
        <v>33</v>
      </c>
    </row>
    <row r="184">
      <c r="A184" s="4" t="s">
        <v>34</v>
      </c>
    </row>
    <row r="185">
      <c r="A185" s="4" t="s">
        <v>497</v>
      </c>
    </row>
    <row r="186">
      <c r="A186" s="4" t="s">
        <v>498</v>
      </c>
    </row>
    <row r="187">
      <c r="A187" s="4" t="s">
        <v>3685</v>
      </c>
    </row>
    <row r="188">
      <c r="A188" s="4" t="s">
        <v>92</v>
      </c>
    </row>
    <row r="189">
      <c r="A189" s="4" t="s">
        <v>508</v>
      </c>
    </row>
    <row r="190">
      <c r="A190" s="4" t="s">
        <v>109</v>
      </c>
    </row>
    <row r="191">
      <c r="A191" s="4" t="s">
        <v>501</v>
      </c>
    </row>
    <row r="192">
      <c r="A192" s="4" t="s">
        <v>11956</v>
      </c>
    </row>
    <row r="193">
      <c r="A193" s="4" t="s">
        <v>9375</v>
      </c>
    </row>
    <row r="194">
      <c r="A194" s="4" t="s">
        <v>3681</v>
      </c>
    </row>
    <row r="195">
      <c r="A195" s="4" t="s">
        <v>11957</v>
      </c>
    </row>
    <row r="196">
      <c r="A196" s="4" t="s">
        <v>33</v>
      </c>
    </row>
    <row r="197">
      <c r="A197" s="4" t="s">
        <v>34</v>
      </c>
    </row>
    <row r="198">
      <c r="A198" s="4" t="s">
        <v>509</v>
      </c>
    </row>
    <row r="199">
      <c r="A199" s="4" t="s">
        <v>92</v>
      </c>
    </row>
    <row r="200">
      <c r="A200" s="4" t="s">
        <v>510</v>
      </c>
    </row>
    <row r="201">
      <c r="A201" s="4" t="s">
        <v>90</v>
      </c>
    </row>
    <row r="202">
      <c r="A202" s="4" t="s">
        <v>44</v>
      </c>
    </row>
    <row r="203">
      <c r="A203" s="4" t="s">
        <v>522</v>
      </c>
    </row>
    <row r="204">
      <c r="A204" s="4" t="s">
        <v>33</v>
      </c>
    </row>
    <row r="205">
      <c r="A205" s="4" t="s">
        <v>506</v>
      </c>
    </row>
    <row r="206">
      <c r="A206" s="4" t="s">
        <v>94</v>
      </c>
    </row>
    <row r="207">
      <c r="A207" s="4" t="s">
        <v>3254</v>
      </c>
    </row>
    <row r="208">
      <c r="A208" s="4" t="s">
        <v>500</v>
      </c>
    </row>
    <row r="209">
      <c r="A209" s="4" t="s">
        <v>520</v>
      </c>
    </row>
    <row r="210">
      <c r="A210" s="4" t="s">
        <v>33</v>
      </c>
    </row>
    <row r="211">
      <c r="A211" s="4" t="s">
        <v>62</v>
      </c>
    </row>
    <row r="212">
      <c r="A212" s="4" t="s">
        <v>523</v>
      </c>
    </row>
    <row r="213">
      <c r="A213" s="4" t="s">
        <v>88</v>
      </c>
    </row>
    <row r="214">
      <c r="A214" s="4" t="s">
        <v>40</v>
      </c>
    </row>
    <row r="215">
      <c r="A215" s="4" t="s">
        <v>75</v>
      </c>
    </row>
    <row r="216">
      <c r="A216" s="4" t="s">
        <v>33</v>
      </c>
    </row>
    <row r="217">
      <c r="A217" s="4" t="s">
        <v>34</v>
      </c>
    </row>
    <row r="218">
      <c r="A218" s="4" t="s">
        <v>88</v>
      </c>
    </row>
    <row r="219">
      <c r="A219" s="4" t="s">
        <v>40</v>
      </c>
    </row>
    <row r="220">
      <c r="A220" s="4" t="s">
        <v>75</v>
      </c>
    </row>
    <row r="221">
      <c r="A221" s="4" t="s">
        <v>48</v>
      </c>
    </row>
    <row r="222">
      <c r="A222" s="4" t="s">
        <v>35</v>
      </c>
    </row>
    <row r="223">
      <c r="A223" s="4" t="s">
        <v>107</v>
      </c>
    </row>
    <row r="224">
      <c r="A224" s="4" t="s">
        <v>41</v>
      </c>
    </row>
    <row r="225">
      <c r="A225" s="4" t="s">
        <v>42</v>
      </c>
    </row>
    <row r="226">
      <c r="A226" s="4" t="s">
        <v>33</v>
      </c>
    </row>
    <row r="227">
      <c r="A227" s="4" t="s">
        <v>34</v>
      </c>
    </row>
    <row r="228">
      <c r="A228" s="4" t="s">
        <v>44</v>
      </c>
    </row>
    <row r="229">
      <c r="A229" s="4" t="s">
        <v>119</v>
      </c>
    </row>
    <row r="230">
      <c r="A230" s="4" t="s">
        <v>500</v>
      </c>
    </row>
    <row r="231">
      <c r="A231" s="4" t="s">
        <v>109</v>
      </c>
    </row>
    <row r="232">
      <c r="A232" s="4" t="s">
        <v>4864</v>
      </c>
    </row>
    <row r="233">
      <c r="A233" s="4" t="s">
        <v>50</v>
      </c>
    </row>
    <row r="234">
      <c r="A234" s="4" t="s">
        <v>40</v>
      </c>
    </row>
    <row r="235">
      <c r="A235" s="4" t="s">
        <v>129</v>
      </c>
    </row>
    <row r="236">
      <c r="A236" s="4" t="s">
        <v>120</v>
      </c>
    </row>
    <row r="237">
      <c r="A237" s="4" t="s">
        <v>33</v>
      </c>
    </row>
    <row r="238">
      <c r="A238" s="4" t="s">
        <v>516</v>
      </c>
    </row>
    <row r="239">
      <c r="A239" s="4" t="s">
        <v>525</v>
      </c>
    </row>
    <row r="240">
      <c r="A240" s="4" t="s">
        <v>551</v>
      </c>
    </row>
    <row r="241">
      <c r="A241" s="4" t="s">
        <v>53</v>
      </c>
    </row>
    <row r="242">
      <c r="A242" s="4" t="s">
        <v>115</v>
      </c>
    </row>
    <row r="243">
      <c r="A243" s="4" t="s">
        <v>92</v>
      </c>
    </row>
    <row r="244">
      <c r="A244" s="4" t="s">
        <v>93</v>
      </c>
    </row>
    <row r="245">
      <c r="A245" s="4" t="s">
        <v>33</v>
      </c>
    </row>
    <row r="246">
      <c r="A246" s="4" t="s">
        <v>516</v>
      </c>
    </row>
    <row r="247">
      <c r="A247" s="4" t="s">
        <v>1354</v>
      </c>
    </row>
    <row r="248">
      <c r="A248" s="4" t="s">
        <v>139</v>
      </c>
    </row>
    <row r="249">
      <c r="A249" s="4" t="s">
        <v>48</v>
      </c>
    </row>
    <row r="250">
      <c r="A250" s="4" t="s">
        <v>500</v>
      </c>
    </row>
    <row r="251">
      <c r="A251" s="4" t="s">
        <v>520</v>
      </c>
    </row>
    <row r="252">
      <c r="A252" s="4" t="s">
        <v>33</v>
      </c>
    </row>
    <row r="253">
      <c r="A253" s="4" t="s">
        <v>500</v>
      </c>
    </row>
    <row r="254">
      <c r="A254" s="4" t="s">
        <v>48</v>
      </c>
    </row>
    <row r="255">
      <c r="A255" s="4" t="s">
        <v>139</v>
      </c>
    </row>
    <row r="256">
      <c r="A256" s="4" t="s">
        <v>44</v>
      </c>
    </row>
    <row r="257">
      <c r="A257" s="4" t="s">
        <v>119</v>
      </c>
    </row>
    <row r="258">
      <c r="A258" s="4" t="s">
        <v>62</v>
      </c>
    </row>
    <row r="259">
      <c r="A259" s="4" t="s">
        <v>523</v>
      </c>
    </row>
    <row r="260">
      <c r="A260" s="4" t="s">
        <v>553</v>
      </c>
    </row>
    <row r="261">
      <c r="A261" s="4" t="s">
        <v>155</v>
      </c>
    </row>
    <row r="262">
      <c r="A262" s="4" t="s">
        <v>44</v>
      </c>
    </row>
    <row r="263">
      <c r="A263" s="4" t="s">
        <v>11958</v>
      </c>
    </row>
    <row r="264">
      <c r="A264" s="4" t="s">
        <v>88</v>
      </c>
    </row>
    <row r="265">
      <c r="A265" s="4" t="s">
        <v>75</v>
      </c>
    </row>
    <row r="266">
      <c r="A266" s="4" t="s">
        <v>48</v>
      </c>
    </row>
    <row r="267">
      <c r="A267" s="4" t="s">
        <v>35</v>
      </c>
    </row>
    <row r="268">
      <c r="A268" s="4" t="s">
        <v>107</v>
      </c>
    </row>
    <row r="269">
      <c r="A269" s="4" t="s">
        <v>41</v>
      </c>
    </row>
    <row r="270">
      <c r="A270" s="4" t="s">
        <v>42</v>
      </c>
    </row>
    <row r="271">
      <c r="A271" s="4" t="s">
        <v>33</v>
      </c>
    </row>
    <row r="272">
      <c r="A272" s="4" t="s">
        <v>34</v>
      </c>
    </row>
    <row r="273">
      <c r="A273" s="4" t="s">
        <v>497</v>
      </c>
    </row>
    <row r="274">
      <c r="A274" s="4" t="s">
        <v>551</v>
      </c>
    </row>
    <row r="275">
      <c r="A275" s="4" t="s">
        <v>11959</v>
      </c>
    </row>
    <row r="276">
      <c r="A276" s="4" t="s">
        <v>115</v>
      </c>
    </row>
    <row r="277">
      <c r="A277" s="4" t="s">
        <v>92</v>
      </c>
    </row>
    <row r="278">
      <c r="A278" s="4" t="s">
        <v>139</v>
      </c>
    </row>
    <row r="279">
      <c r="A279" s="4" t="s">
        <v>129</v>
      </c>
    </row>
    <row r="280">
      <c r="A280" s="4" t="s">
        <v>11960</v>
      </c>
    </row>
    <row r="281">
      <c r="A281" s="4" t="s">
        <v>11961</v>
      </c>
    </row>
    <row r="282">
      <c r="A282" s="4" t="s">
        <v>33</v>
      </c>
    </row>
    <row r="283">
      <c r="A283" s="4" t="s">
        <v>34</v>
      </c>
    </row>
    <row r="284">
      <c r="A284" s="4" t="s">
        <v>497</v>
      </c>
    </row>
    <row r="285">
      <c r="A285" s="4" t="s">
        <v>498</v>
      </c>
    </row>
    <row r="286">
      <c r="A286" s="4" t="s">
        <v>499</v>
      </c>
    </row>
    <row r="287">
      <c r="A287" s="4" t="s">
        <v>119</v>
      </c>
    </row>
    <row r="288">
      <c r="A288" s="4" t="s">
        <v>500</v>
      </c>
    </row>
    <row r="289">
      <c r="A289" s="4" t="s">
        <v>33</v>
      </c>
    </row>
    <row r="290">
      <c r="A290" s="4" t="s">
        <v>34</v>
      </c>
    </row>
    <row r="291">
      <c r="A291" s="4" t="s">
        <v>44</v>
      </c>
    </row>
    <row r="292">
      <c r="A292" s="4" t="s">
        <v>513</v>
      </c>
    </row>
    <row r="293">
      <c r="A293" s="4" t="s">
        <v>533</v>
      </c>
    </row>
    <row r="294">
      <c r="A294" s="4" t="s">
        <v>518</v>
      </c>
    </row>
    <row r="295">
      <c r="A295" s="4" t="s">
        <v>34</v>
      </c>
    </row>
    <row r="296">
      <c r="A296" s="4" t="s">
        <v>529</v>
      </c>
    </row>
    <row r="297">
      <c r="A297" s="4" t="s">
        <v>48</v>
      </c>
    </row>
    <row r="298">
      <c r="A298" s="4" t="s">
        <v>924</v>
      </c>
    </row>
    <row r="299">
      <c r="A299" s="4" t="s">
        <v>39</v>
      </c>
    </row>
    <row r="300">
      <c r="A300" s="4" t="s">
        <v>40</v>
      </c>
    </row>
    <row r="301">
      <c r="A301" s="4" t="s">
        <v>129</v>
      </c>
    </row>
    <row r="302">
      <c r="A302" s="4" t="s">
        <v>62</v>
      </c>
    </row>
    <row r="303">
      <c r="A303" s="4" t="s">
        <v>1352</v>
      </c>
    </row>
    <row r="304">
      <c r="A304" s="4" t="s">
        <v>33</v>
      </c>
    </row>
    <row r="305">
      <c r="A305" s="4" t="s">
        <v>34</v>
      </c>
    </row>
    <row r="306">
      <c r="A306" s="4" t="s">
        <v>497</v>
      </c>
    </row>
    <row r="307">
      <c r="A307" s="4" t="s">
        <v>552</v>
      </c>
    </row>
    <row r="308">
      <c r="A308" s="4" t="s">
        <v>50</v>
      </c>
    </row>
    <row r="309">
      <c r="A309" s="4" t="s">
        <v>129</v>
      </c>
    </row>
    <row r="310">
      <c r="A310" s="4" t="s">
        <v>500</v>
      </c>
    </row>
    <row r="311">
      <c r="A311" s="4" t="s">
        <v>33</v>
      </c>
    </row>
    <row r="312">
      <c r="A312" s="4" t="s">
        <v>34</v>
      </c>
    </row>
    <row r="313">
      <c r="A313" s="4" t="s">
        <v>497</v>
      </c>
    </row>
    <row r="314">
      <c r="A314" s="4" t="s">
        <v>40</v>
      </c>
    </row>
    <row r="315">
      <c r="A315" s="4" t="s">
        <v>552</v>
      </c>
    </row>
    <row r="316">
      <c r="A316" s="4" t="s">
        <v>498</v>
      </c>
    </row>
    <row r="317">
      <c r="A317" s="4" t="s">
        <v>509</v>
      </c>
    </row>
    <row r="318">
      <c r="A318" s="4" t="s">
        <v>92</v>
      </c>
    </row>
    <row r="319">
      <c r="A319" s="4" t="s">
        <v>508</v>
      </c>
    </row>
    <row r="320">
      <c r="A320" s="4" t="s">
        <v>966</v>
      </c>
    </row>
    <row r="321">
      <c r="A321" s="4" t="s">
        <v>500</v>
      </c>
    </row>
    <row r="322">
      <c r="A322" s="4" t="s">
        <v>33</v>
      </c>
    </row>
    <row r="323">
      <c r="A323" s="4" t="s">
        <v>34</v>
      </c>
    </row>
    <row r="324">
      <c r="A324" s="4" t="s">
        <v>44</v>
      </c>
    </row>
    <row r="325">
      <c r="A325" s="4" t="s">
        <v>513</v>
      </c>
    </row>
    <row r="326">
      <c r="A326" s="4" t="s">
        <v>543</v>
      </c>
    </row>
    <row r="327">
      <c r="A327" s="4" t="s">
        <v>41</v>
      </c>
    </row>
    <row r="328">
      <c r="A328" s="4" t="s">
        <v>2606</v>
      </c>
    </row>
    <row r="329">
      <c r="A329" s="4" t="s">
        <v>2607</v>
      </c>
    </row>
    <row r="330">
      <c r="A330" s="4" t="s">
        <v>48</v>
      </c>
    </row>
    <row r="331">
      <c r="A331" s="4" t="s">
        <v>924</v>
      </c>
    </row>
    <row r="332">
      <c r="A332" s="4" t="s">
        <v>498</v>
      </c>
    </row>
    <row r="333">
      <c r="A333" s="4" t="s">
        <v>35</v>
      </c>
    </row>
    <row r="334">
      <c r="A334" s="4" t="s">
        <v>44</v>
      </c>
    </row>
    <row r="335">
      <c r="A335" s="4" t="s">
        <v>513</v>
      </c>
    </row>
    <row r="336">
      <c r="A336" s="4" t="s">
        <v>533</v>
      </c>
    </row>
    <row r="337">
      <c r="A337" s="4" t="s">
        <v>541</v>
      </c>
    </row>
    <row r="338">
      <c r="A338" s="4" t="s">
        <v>139</v>
      </c>
    </row>
    <row r="339">
      <c r="A339" s="4" t="s">
        <v>33</v>
      </c>
    </row>
    <row r="340">
      <c r="A340" s="4" t="s">
        <v>506</v>
      </c>
    </row>
    <row r="341">
      <c r="A341" s="4" t="s">
        <v>50</v>
      </c>
    </row>
    <row r="342">
      <c r="A342" s="4" t="s">
        <v>40</v>
      </c>
    </row>
    <row r="343">
      <c r="A343" s="4" t="s">
        <v>129</v>
      </c>
    </row>
    <row r="344">
      <c r="A344" s="4" t="s">
        <v>500</v>
      </c>
    </row>
    <row r="345">
      <c r="A345" s="4" t="s">
        <v>48</v>
      </c>
    </row>
    <row r="346">
      <c r="A346" s="4" t="s">
        <v>126</v>
      </c>
    </row>
    <row r="347">
      <c r="A347" s="4" t="s">
        <v>139</v>
      </c>
    </row>
    <row r="348">
      <c r="A348" s="4" t="s">
        <v>33</v>
      </c>
    </row>
    <row r="349">
      <c r="A349" s="4" t="s">
        <v>34</v>
      </c>
    </row>
    <row r="350">
      <c r="A350" s="4" t="s">
        <v>110</v>
      </c>
    </row>
    <row r="351">
      <c r="A351" s="4" t="s">
        <v>44</v>
      </c>
    </row>
    <row r="352">
      <c r="A352" s="4" t="s">
        <v>98</v>
      </c>
    </row>
    <row r="353">
      <c r="A353" s="4" t="s">
        <v>4871</v>
      </c>
    </row>
    <row r="354">
      <c r="A354" s="4" t="s">
        <v>48</v>
      </c>
    </row>
    <row r="355">
      <c r="A355" s="4" t="s">
        <v>1246</v>
      </c>
    </row>
    <row r="356">
      <c r="A356" s="4" t="s">
        <v>2614</v>
      </c>
    </row>
    <row r="357">
      <c r="A357" s="4" t="s">
        <v>40</v>
      </c>
    </row>
    <row r="358">
      <c r="A358" s="4" t="s">
        <v>512</v>
      </c>
    </row>
    <row r="359">
      <c r="A359" s="4" t="s">
        <v>115</v>
      </c>
    </row>
    <row r="360">
      <c r="A360" s="4" t="s">
        <v>970</v>
      </c>
    </row>
    <row r="361">
      <c r="A361" s="4" t="s">
        <v>33</v>
      </c>
    </row>
    <row r="362">
      <c r="A362" s="4" t="s">
        <v>34</v>
      </c>
    </row>
    <row r="363">
      <c r="A363" s="4" t="s">
        <v>107</v>
      </c>
    </row>
    <row r="364">
      <c r="A364" s="4" t="s">
        <v>41</v>
      </c>
    </row>
    <row r="365">
      <c r="A365" s="4" t="s">
        <v>42</v>
      </c>
    </row>
    <row r="366">
      <c r="A366" s="4" t="s">
        <v>48</v>
      </c>
    </row>
    <row r="367">
      <c r="A367" s="4" t="s">
        <v>529</v>
      </c>
    </row>
    <row r="368">
      <c r="A368" s="4" t="s">
        <v>33</v>
      </c>
    </row>
    <row r="369">
      <c r="A369" s="4" t="s">
        <v>34</v>
      </c>
    </row>
    <row r="370">
      <c r="A370" s="4" t="s">
        <v>565</v>
      </c>
    </row>
    <row r="371">
      <c r="A371" s="4" t="s">
        <v>40</v>
      </c>
    </row>
    <row r="372">
      <c r="A372" s="4" t="s">
        <v>119</v>
      </c>
    </row>
    <row r="373">
      <c r="A373" s="4" t="s">
        <v>166</v>
      </c>
    </row>
    <row r="374">
      <c r="A374" s="4" t="s">
        <v>109</v>
      </c>
    </row>
    <row r="375">
      <c r="A375" s="4" t="s">
        <v>501</v>
      </c>
    </row>
    <row r="376">
      <c r="A376" s="4" t="s">
        <v>33</v>
      </c>
    </row>
    <row r="377">
      <c r="A377" s="4" t="s">
        <v>34</v>
      </c>
    </row>
    <row r="378">
      <c r="A378" s="4" t="s">
        <v>44</v>
      </c>
    </row>
    <row r="379">
      <c r="A379" s="4" t="s">
        <v>513</v>
      </c>
    </row>
    <row r="380">
      <c r="A380" s="4" t="s">
        <v>533</v>
      </c>
    </row>
    <row r="381">
      <c r="A381" s="4" t="s">
        <v>116</v>
      </c>
    </row>
    <row r="382">
      <c r="A382" s="4" t="s">
        <v>1378</v>
      </c>
    </row>
    <row r="383">
      <c r="A383" s="4" t="s">
        <v>41</v>
      </c>
    </row>
    <row r="384">
      <c r="A384" s="4" t="s">
        <v>912</v>
      </c>
    </row>
    <row r="385">
      <c r="A385" s="4" t="s">
        <v>922</v>
      </c>
    </row>
    <row r="386">
      <c r="A386" s="4" t="s">
        <v>50</v>
      </c>
    </row>
    <row r="387">
      <c r="A387" s="4" t="s">
        <v>40</v>
      </c>
    </row>
    <row r="388">
      <c r="A388" s="4" t="s">
        <v>33</v>
      </c>
    </row>
    <row r="389">
      <c r="A389" s="4" t="s">
        <v>34</v>
      </c>
    </row>
    <row r="390">
      <c r="A390" s="4" t="s">
        <v>110</v>
      </c>
    </row>
    <row r="391">
      <c r="A391" s="4" t="s">
        <v>44</v>
      </c>
    </row>
    <row r="392">
      <c r="A392" s="4" t="s">
        <v>98</v>
      </c>
    </row>
    <row r="393">
      <c r="A393" s="4" t="s">
        <v>1355</v>
      </c>
    </row>
    <row r="394">
      <c r="A394" s="4" t="s">
        <v>48</v>
      </c>
    </row>
    <row r="395">
      <c r="A395" s="4" t="s">
        <v>1246</v>
      </c>
    </row>
    <row r="396">
      <c r="A396" s="4" t="s">
        <v>1356</v>
      </c>
    </row>
    <row r="397">
      <c r="A397" s="4" t="s">
        <v>33</v>
      </c>
    </row>
    <row r="398">
      <c r="A398" s="4" t="s">
        <v>34</v>
      </c>
    </row>
    <row r="399">
      <c r="A399" s="4" t="s">
        <v>44</v>
      </c>
    </row>
    <row r="400">
      <c r="A400" s="4" t="s">
        <v>513</v>
      </c>
    </row>
    <row r="401">
      <c r="A401" s="4" t="s">
        <v>902</v>
      </c>
    </row>
    <row r="402">
      <c r="A402" s="4" t="s">
        <v>901</v>
      </c>
    </row>
    <row r="403">
      <c r="A403" s="4" t="s">
        <v>41</v>
      </c>
    </row>
    <row r="404">
      <c r="A404" s="4" t="s">
        <v>888</v>
      </c>
    </row>
    <row r="405">
      <c r="A405" s="4" t="s">
        <v>11962</v>
      </c>
    </row>
    <row r="406">
      <c r="A406" s="4" t="s">
        <v>40</v>
      </c>
    </row>
    <row r="407">
      <c r="A407" s="4" t="s">
        <v>92</v>
      </c>
    </row>
    <row r="408">
      <c r="A408" s="4" t="s">
        <v>139</v>
      </c>
    </row>
    <row r="409">
      <c r="A409" s="4" t="s">
        <v>129</v>
      </c>
    </row>
    <row r="410">
      <c r="A410" s="4" t="s">
        <v>1538</v>
      </c>
    </row>
    <row r="411">
      <c r="A411" s="4" t="s">
        <v>57</v>
      </c>
    </row>
    <row r="412">
      <c r="A412" s="4" t="s">
        <v>33</v>
      </c>
    </row>
    <row r="413">
      <c r="A413" s="4" t="s">
        <v>1350</v>
      </c>
    </row>
    <row r="414">
      <c r="A414" s="4" t="s">
        <v>51</v>
      </c>
    </row>
    <row r="415">
      <c r="A415" s="4" t="s">
        <v>11963</v>
      </c>
    </row>
    <row r="416">
      <c r="A416" s="4" t="s">
        <v>497</v>
      </c>
    </row>
    <row r="417">
      <c r="A417" s="4" t="s">
        <v>498</v>
      </c>
    </row>
    <row r="418">
      <c r="A418" s="4" t="s">
        <v>11964</v>
      </c>
    </row>
    <row r="419">
      <c r="A419" s="4" t="s">
        <v>40</v>
      </c>
    </row>
    <row r="420">
      <c r="A420" s="4" t="s">
        <v>1366</v>
      </c>
    </row>
    <row r="421">
      <c r="A421" s="4" t="s">
        <v>33</v>
      </c>
    </row>
    <row r="422">
      <c r="A422" s="4" t="s">
        <v>34</v>
      </c>
    </row>
    <row r="423">
      <c r="A423" s="4" t="s">
        <v>44</v>
      </c>
    </row>
    <row r="424">
      <c r="A424" s="4" t="s">
        <v>513</v>
      </c>
    </row>
    <row r="425">
      <c r="A425" s="4" t="s">
        <v>533</v>
      </c>
    </row>
    <row r="426">
      <c r="A426" s="4" t="s">
        <v>518</v>
      </c>
    </row>
    <row r="427">
      <c r="A427" s="4" t="s">
        <v>939</v>
      </c>
    </row>
    <row r="428">
      <c r="A428" s="4" t="s">
        <v>544</v>
      </c>
    </row>
    <row r="429">
      <c r="A429" s="4" t="s">
        <v>140</v>
      </c>
    </row>
    <row r="430">
      <c r="A430" s="4" t="s">
        <v>1387</v>
      </c>
    </row>
    <row r="431">
      <c r="A431" s="4" t="s">
        <v>961</v>
      </c>
    </row>
    <row r="432">
      <c r="A432" s="4" t="s">
        <v>33</v>
      </c>
    </row>
    <row r="433">
      <c r="A433" s="4" t="s">
        <v>540</v>
      </c>
    </row>
    <row r="434">
      <c r="A434" s="4" t="s">
        <v>41</v>
      </c>
    </row>
    <row r="435">
      <c r="A435" s="4" t="s">
        <v>939</v>
      </c>
    </row>
    <row r="436">
      <c r="A436" s="4" t="s">
        <v>88</v>
      </c>
    </row>
    <row r="437">
      <c r="A437" s="4" t="s">
        <v>89</v>
      </c>
    </row>
    <row r="438">
      <c r="A438" s="4" t="s">
        <v>33</v>
      </c>
    </row>
    <row r="439">
      <c r="A439" s="4" t="s">
        <v>500</v>
      </c>
    </row>
    <row r="440">
      <c r="A440" s="4" t="s">
        <v>48</v>
      </c>
    </row>
    <row r="441">
      <c r="A441" s="4" t="s">
        <v>139</v>
      </c>
    </row>
    <row r="442">
      <c r="A442" s="4" t="s">
        <v>44</v>
      </c>
    </row>
    <row r="443">
      <c r="A443" s="4" t="s">
        <v>119</v>
      </c>
    </row>
    <row r="444">
      <c r="A444" s="4" t="s">
        <v>62</v>
      </c>
    </row>
    <row r="445">
      <c r="A445" s="4" t="s">
        <v>523</v>
      </c>
    </row>
    <row r="446">
      <c r="A446" s="4" t="s">
        <v>90</v>
      </c>
    </row>
    <row r="447">
      <c r="A447" s="4" t="s">
        <v>33</v>
      </c>
    </row>
    <row r="448">
      <c r="A448" s="4" t="s">
        <v>34</v>
      </c>
    </row>
    <row r="449">
      <c r="A449" s="4" t="s">
        <v>88</v>
      </c>
    </row>
    <row r="450">
      <c r="A450" s="4" t="s">
        <v>40</v>
      </c>
    </row>
    <row r="451">
      <c r="A451" s="4" t="s">
        <v>75</v>
      </c>
    </row>
    <row r="452">
      <c r="A452" s="4" t="s">
        <v>103</v>
      </c>
    </row>
    <row r="453">
      <c r="A453" s="4" t="s">
        <v>1222</v>
      </c>
    </row>
    <row r="454">
      <c r="A454" s="4" t="s">
        <v>556</v>
      </c>
    </row>
    <row r="455">
      <c r="A455" s="4" t="s">
        <v>1367</v>
      </c>
    </row>
    <row r="456">
      <c r="A456" s="4" t="s">
        <v>11965</v>
      </c>
    </row>
    <row r="457">
      <c r="A457" s="4" t="s">
        <v>1244</v>
      </c>
    </row>
    <row r="458">
      <c r="A458" s="4" t="s">
        <v>9390</v>
      </c>
    </row>
    <row r="459">
      <c r="A459" s="4" t="s">
        <v>33</v>
      </c>
    </row>
    <row r="460">
      <c r="A460" s="4" t="s">
        <v>34</v>
      </c>
    </row>
    <row r="461">
      <c r="A461" s="4" t="s">
        <v>509</v>
      </c>
    </row>
    <row r="462">
      <c r="A462" s="4" t="s">
        <v>92</v>
      </c>
    </row>
    <row r="463">
      <c r="A463" s="4" t="s">
        <v>510</v>
      </c>
    </row>
    <row r="464">
      <c r="A464" s="4" t="s">
        <v>33</v>
      </c>
    </row>
    <row r="465">
      <c r="A465" s="4" t="s">
        <v>506</v>
      </c>
    </row>
    <row r="466">
      <c r="A466" s="4" t="s">
        <v>497</v>
      </c>
    </row>
    <row r="467">
      <c r="A467" s="4" t="s">
        <v>498</v>
      </c>
    </row>
    <row r="468">
      <c r="A468" s="4" t="s">
        <v>509</v>
      </c>
    </row>
    <row r="469">
      <c r="A469" s="4" t="s">
        <v>9955</v>
      </c>
    </row>
    <row r="470">
      <c r="A470" s="4" t="s">
        <v>500</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3187</v>
      </c>
      <c r="D2" s="4" t="str">
        <f t="shared" ref="D2:D470" si="1">C2</f>
        <v>{"valorA":"preciso","valorB":1}</v>
      </c>
      <c r="E2" s="8" t="str">
        <f t="shared" ref="E2:E470" si="2">SUBSTITUTE(MID(C2,FIND(":",C2)+1,FIND(",",C2)-FIND(":",C2)-1),"""","")</f>
        <v>preciso</v>
      </c>
      <c r="F2" s="8" t="str">
        <f>IFERROR(__xludf.DUMMYFUNCTION("UNIQUE(E2:E470)"),"preciso")</f>
        <v>preciso</v>
      </c>
      <c r="G2" s="8" t="str">
        <f t="shared" ref="G2:G470" si="3">MID(C2,FIND("valorB",C2)+8,FIND("}",C2)-FIND("valorB",C2)-8)</f>
        <v>1</v>
      </c>
      <c r="H2" s="9">
        <f t="shared" ref="H2:H470" si="4">VALUE(SUBSTITUTE(G2,".",","))</f>
        <v>1</v>
      </c>
      <c r="I2" s="10">
        <f>IFERROR(__xludf.DUMMYFUNCTION("MAX(FILTER($H:$H,$E:$E=F2))"),1.0)</f>
        <v>1</v>
      </c>
    </row>
    <row r="3">
      <c r="A3" s="4"/>
      <c r="C3" s="4" t="s">
        <v>11966</v>
      </c>
      <c r="D3" s="4" t="str">
        <f t="shared" si="1"/>
        <v>{"valorA":"outro","valorB":1}</v>
      </c>
      <c r="E3" s="8" t="str">
        <f t="shared" si="2"/>
        <v>outro</v>
      </c>
      <c r="F3" s="8" t="str">
        <f>IFERROR(__xludf.DUMMYFUNCTION("""COMPUTED_VALUE"""),"outro")</f>
        <v>outro</v>
      </c>
      <c r="G3" s="8" t="str">
        <f t="shared" si="3"/>
        <v>1</v>
      </c>
      <c r="H3" s="9">
        <f t="shared" si="4"/>
        <v>1</v>
      </c>
      <c r="I3" s="10">
        <f>IFERROR(__xludf.DUMMYFUNCTION("MAX(FILTER($H:$H,$E:$E=F3))"),1.0)</f>
        <v>1</v>
      </c>
    </row>
    <row r="4">
      <c r="A4" s="4"/>
      <c r="C4" s="4" t="s">
        <v>11967</v>
      </c>
      <c r="D4" s="4" t="str">
        <f t="shared" si="1"/>
        <v>{"valorA":"mesmas","valorB":1}</v>
      </c>
      <c r="E4" s="8" t="str">
        <f t="shared" si="2"/>
        <v>mesmas</v>
      </c>
      <c r="F4" s="8" t="str">
        <f>IFERROR(__xludf.DUMMYFUNCTION("""COMPUTED_VALUE"""),"mesmas")</f>
        <v>mesmas</v>
      </c>
      <c r="G4" s="8" t="str">
        <f t="shared" si="3"/>
        <v>1</v>
      </c>
      <c r="H4" s="9">
        <f t="shared" si="4"/>
        <v>1</v>
      </c>
      <c r="I4" s="10">
        <f>IFERROR(__xludf.DUMMYFUNCTION("MAX(FILTER($H:$H,$E:$E=F4))"),1.0)</f>
        <v>1</v>
      </c>
    </row>
    <row r="5">
      <c r="A5" s="4"/>
      <c r="C5" s="4" t="s">
        <v>2634</v>
      </c>
      <c r="D5" s="4" t="str">
        <f t="shared" si="1"/>
        <v>{"valorA":"produto","valorB":1}</v>
      </c>
      <c r="E5" s="8" t="str">
        <f t="shared" si="2"/>
        <v>produto</v>
      </c>
      <c r="F5" s="8" t="str">
        <f>IFERROR(__xludf.DUMMYFUNCTION("""COMPUTED_VALUE"""),"produto")</f>
        <v>produto</v>
      </c>
      <c r="G5" s="8" t="str">
        <f t="shared" si="3"/>
        <v>1</v>
      </c>
      <c r="H5" s="9">
        <f t="shared" si="4"/>
        <v>1</v>
      </c>
      <c r="I5" s="10">
        <f>IFERROR(__xludf.DUMMYFUNCTION("MAX(FILTER($H:$H,$E:$E=F5))"),31.0)</f>
        <v>31</v>
      </c>
    </row>
    <row r="6">
      <c r="A6" s="4"/>
      <c r="C6" s="4" t="s">
        <v>11968</v>
      </c>
      <c r="D6" s="4" t="str">
        <f t="shared" si="1"/>
        <v>{"valorA":"tipo","valorB":1}</v>
      </c>
      <c r="E6" s="8" t="str">
        <f t="shared" si="2"/>
        <v>tipo</v>
      </c>
      <c r="F6" s="8" t="str">
        <f>IFERROR(__xludf.DUMMYFUNCTION("""COMPUTED_VALUE"""),"tipo")</f>
        <v>tipo</v>
      </c>
      <c r="G6" s="8" t="str">
        <f t="shared" si="3"/>
        <v>1</v>
      </c>
      <c r="H6" s="9">
        <f t="shared" si="4"/>
        <v>1</v>
      </c>
      <c r="I6" s="10">
        <f>IFERROR(__xludf.DUMMYFUNCTION("MAX(FILTER($H:$H,$E:$E=F6))"),2.0)</f>
        <v>2</v>
      </c>
    </row>
    <row r="7">
      <c r="A7" s="4"/>
      <c r="C7" s="4" t="s">
        <v>2639</v>
      </c>
      <c r="D7" s="4" t="str">
        <f t="shared" si="1"/>
        <v>{"valorA":"ótimo","valorB":1}</v>
      </c>
      <c r="E7" s="8" t="str">
        <f t="shared" si="2"/>
        <v>ótimo</v>
      </c>
      <c r="F7" s="8" t="str">
        <f>IFERROR(__xludf.DUMMYFUNCTION("""COMPUTED_VALUE"""),"ótimo")</f>
        <v>ótimo</v>
      </c>
      <c r="G7" s="8" t="str">
        <f t="shared" si="3"/>
        <v>1</v>
      </c>
      <c r="H7" s="9">
        <f t="shared" si="4"/>
        <v>1</v>
      </c>
      <c r="I7" s="10">
        <f>IFERROR(__xludf.DUMMYFUNCTION("MAX(FILTER($H:$H,$E:$E=F7))"),49.0)</f>
        <v>49</v>
      </c>
    </row>
    <row r="8">
      <c r="A8" s="4"/>
      <c r="C8" s="4" t="s">
        <v>2650</v>
      </c>
      <c r="D8" s="4" t="str">
        <f t="shared" si="1"/>
        <v>{"valorA":"produto","valorB":2}</v>
      </c>
      <c r="E8" s="8" t="str">
        <f t="shared" si="2"/>
        <v>produto</v>
      </c>
      <c r="F8" s="8" t="str">
        <f>IFERROR(__xludf.DUMMYFUNCTION("""COMPUTED_VALUE"""),"fazer")</f>
        <v>fazer</v>
      </c>
      <c r="G8" s="8" t="str">
        <f t="shared" si="3"/>
        <v>2</v>
      </c>
      <c r="H8" s="9">
        <f t="shared" si="4"/>
        <v>2</v>
      </c>
      <c r="I8" s="10">
        <f>IFERROR(__xludf.DUMMYFUNCTION("MAX(FILTER($H:$H,$E:$E=F8))"),1.0)</f>
        <v>1</v>
      </c>
    </row>
    <row r="9">
      <c r="A9" s="4"/>
      <c r="C9" s="4" t="s">
        <v>8080</v>
      </c>
      <c r="D9" s="4" t="str">
        <f t="shared" si="1"/>
        <v>{"valorA":"fazer","valorB":1}</v>
      </c>
      <c r="E9" s="8" t="str">
        <f t="shared" si="2"/>
        <v>fazer</v>
      </c>
      <c r="F9" s="8" t="str">
        <f>IFERROR(__xludf.DUMMYFUNCTION("""COMPUTED_VALUE"""),"não")</f>
        <v>não</v>
      </c>
      <c r="G9" s="8" t="str">
        <f t="shared" si="3"/>
        <v>1</v>
      </c>
      <c r="H9" s="9">
        <f t="shared" si="4"/>
        <v>1</v>
      </c>
      <c r="I9" s="10">
        <f>IFERROR(__xludf.DUMMYFUNCTION("MAX(FILTER($H:$H,$E:$E=F9))"),9.0)</f>
        <v>9</v>
      </c>
    </row>
    <row r="10">
      <c r="A10" s="4"/>
      <c r="C10" s="4" t="s">
        <v>3038</v>
      </c>
      <c r="D10" s="4" t="str">
        <f t="shared" si="1"/>
        <v>{"valorA":"não","valorB":1}</v>
      </c>
      <c r="E10" s="8" t="str">
        <f t="shared" si="2"/>
        <v>não</v>
      </c>
      <c r="F10" s="8" t="str">
        <f>IFERROR(__xludf.DUMMYFUNCTION("""COMPUTED_VALUE"""),"para")</f>
        <v>para</v>
      </c>
      <c r="G10" s="8" t="str">
        <f t="shared" si="3"/>
        <v>1</v>
      </c>
      <c r="H10" s="9">
        <f t="shared" si="4"/>
        <v>1</v>
      </c>
      <c r="I10" s="10">
        <f>IFERROR(__xludf.DUMMYFUNCTION("MAX(FILTER($H:$H,$E:$E=F10))"),22.0)</f>
        <v>22</v>
      </c>
    </row>
    <row r="11">
      <c r="A11" s="4"/>
      <c r="C11" s="4" t="s">
        <v>2627</v>
      </c>
      <c r="D11" s="4" t="str">
        <f t="shared" si="1"/>
        <v>{"valorA":"para","valorB":1}</v>
      </c>
      <c r="E11" s="8" t="str">
        <f t="shared" si="2"/>
        <v>para</v>
      </c>
      <c r="F11" s="8" t="str">
        <f>IFERROR(__xludf.DUMMYFUNCTION("""COMPUTED_VALUE"""),"coisas")</f>
        <v>coisas</v>
      </c>
      <c r="G11" s="8" t="str">
        <f t="shared" si="3"/>
        <v>1</v>
      </c>
      <c r="H11" s="9">
        <f t="shared" si="4"/>
        <v>1</v>
      </c>
      <c r="I11" s="10">
        <f>IFERROR(__xludf.DUMMYFUNCTION("MAX(FILTER($H:$H,$E:$E=F11))"),2.0)</f>
        <v>2</v>
      </c>
    </row>
    <row r="12">
      <c r="A12" s="4"/>
      <c r="C12" s="4" t="s">
        <v>11969</v>
      </c>
      <c r="D12" s="4" t="str">
        <f t="shared" si="1"/>
        <v>{"valorA":"coisas","valorB":1}</v>
      </c>
      <c r="E12" s="8" t="str">
        <f t="shared" si="2"/>
        <v>coisas</v>
      </c>
      <c r="F12" s="8" t="str">
        <f>IFERROR(__xludf.DUMMYFUNCTION("""COMPUTED_VALUE"""),"de")</f>
        <v>de</v>
      </c>
      <c r="G12" s="8" t="str">
        <f t="shared" si="3"/>
        <v>1</v>
      </c>
      <c r="H12" s="9">
        <f t="shared" si="4"/>
        <v>1</v>
      </c>
      <c r="I12" s="10">
        <f>IFERROR(__xludf.DUMMYFUNCTION("MAX(FILTER($H:$H,$E:$E=F12))"),13.0)</f>
        <v>13</v>
      </c>
    </row>
    <row r="13">
      <c r="A13" s="4"/>
      <c r="C13" s="4" t="s">
        <v>2680</v>
      </c>
      <c r="D13" s="4" t="str">
        <f t="shared" si="1"/>
        <v>{"valorA":"de","valorB":1}</v>
      </c>
      <c r="E13" s="8" t="str">
        <f t="shared" si="2"/>
        <v>de</v>
      </c>
      <c r="F13" s="8" t="str">
        <f>IFERROR(__xludf.DUMMYFUNCTION("""COMPUTED_VALUE"""),"nenhum")</f>
        <v>nenhum</v>
      </c>
      <c r="G13" s="8" t="str">
        <f t="shared" si="3"/>
        <v>1</v>
      </c>
      <c r="H13" s="9">
        <f t="shared" si="4"/>
        <v>1</v>
      </c>
      <c r="I13" s="10">
        <f>IFERROR(__xludf.DUMMYFUNCTION("MAX(FILTER($H:$H,$E:$E=F13))"),1.0)</f>
        <v>1</v>
      </c>
    </row>
    <row r="14">
      <c r="A14" s="4"/>
      <c r="C14" s="4" t="s">
        <v>2720</v>
      </c>
      <c r="D14" s="4" t="str">
        <f t="shared" si="1"/>
        <v>{"valorA":"de","valorB":2}</v>
      </c>
      <c r="E14" s="8" t="str">
        <f t="shared" si="2"/>
        <v>de</v>
      </c>
      <c r="F14" s="8" t="str">
        <f>IFERROR(__xludf.DUMMYFUNCTION("""COMPUTED_VALUE"""),"as")</f>
        <v>as</v>
      </c>
      <c r="G14" s="8" t="str">
        <f t="shared" si="3"/>
        <v>2</v>
      </c>
      <c r="H14" s="9">
        <f t="shared" si="4"/>
        <v>2</v>
      </c>
      <c r="I14" s="10">
        <f>IFERROR(__xludf.DUMMYFUNCTION("MAX(FILTER($H:$H,$E:$E=F14))"),1.0)</f>
        <v>1</v>
      </c>
    </row>
    <row r="15">
      <c r="A15" s="4"/>
      <c r="C15" s="4" t="s">
        <v>11970</v>
      </c>
      <c r="D15" s="4" t="str">
        <f t="shared" si="1"/>
        <v>{"valorA":"nenhum","valorB":1}</v>
      </c>
      <c r="E15" s="8" t="str">
        <f t="shared" si="2"/>
        <v>nenhum</v>
      </c>
      <c r="F15" s="8" t="str">
        <f>IFERROR(__xludf.DUMMYFUNCTION("""COMPUTED_VALUE"""),"laptop")</f>
        <v>laptop</v>
      </c>
      <c r="G15" s="8" t="str">
        <f t="shared" si="3"/>
        <v>1</v>
      </c>
      <c r="H15" s="9">
        <f t="shared" si="4"/>
        <v>1</v>
      </c>
      <c r="I15" s="10">
        <f>IFERROR(__xludf.DUMMYFUNCTION("MAX(FILTER($H:$H,$E:$E=F15))"),2.0)</f>
        <v>2</v>
      </c>
    </row>
    <row r="16">
      <c r="A16" s="4"/>
      <c r="C16" s="4" t="s">
        <v>2763</v>
      </c>
      <c r="D16" s="4" t="str">
        <f t="shared" si="1"/>
        <v>{"valorA":"as","valorB":1}</v>
      </c>
      <c r="E16" s="8" t="str">
        <f t="shared" si="2"/>
        <v>as</v>
      </c>
      <c r="F16" s="8" t="str">
        <f>IFERROR(__xludf.DUMMYFUNCTION("""COMPUTED_VALUE"""),"funciona")</f>
        <v>funciona</v>
      </c>
      <c r="G16" s="8" t="str">
        <f t="shared" si="3"/>
        <v>1</v>
      </c>
      <c r="H16" s="9">
        <f t="shared" si="4"/>
        <v>1</v>
      </c>
      <c r="I16" s="10">
        <f>IFERROR(__xludf.DUMMYFUNCTION("MAX(FILTER($H:$H,$E:$E=F16))"),9.0)</f>
        <v>9</v>
      </c>
    </row>
    <row r="17">
      <c r="A17" s="4"/>
      <c r="C17" s="4" t="s">
        <v>2652</v>
      </c>
      <c r="D17" s="4" t="str">
        <f t="shared" si="1"/>
        <v>{"valorA":"ótimo","valorB":2}</v>
      </c>
      <c r="E17" s="8" t="str">
        <f t="shared" si="2"/>
        <v>ótimo</v>
      </c>
      <c r="F17" s="8" t="str">
        <f>IFERROR(__xludf.DUMMYFUNCTION("""COMPUTED_VALUE"""),"é")</f>
        <v>é</v>
      </c>
      <c r="G17" s="8" t="str">
        <f t="shared" si="3"/>
        <v>2</v>
      </c>
      <c r="H17" s="9">
        <f t="shared" si="4"/>
        <v>2</v>
      </c>
      <c r="I17" s="10">
        <f>IFERROR(__xludf.DUMMYFUNCTION("MAX(FILTER($H:$H,$E:$E=F17))"),4.0)</f>
        <v>4</v>
      </c>
    </row>
    <row r="18">
      <c r="A18" s="4"/>
      <c r="C18" s="4" t="s">
        <v>3026</v>
      </c>
      <c r="D18" s="4" t="str">
        <f t="shared" si="1"/>
        <v>{"valorA":"laptop","valorB":1}</v>
      </c>
      <c r="E18" s="8" t="str">
        <f t="shared" si="2"/>
        <v>laptop</v>
      </c>
      <c r="F18" s="8" t="str">
        <f>IFERROR(__xludf.DUMMYFUNCTION("""COMPUTED_VALUE"""),"bem")</f>
        <v>bem</v>
      </c>
      <c r="G18" s="8" t="str">
        <f t="shared" si="3"/>
        <v>1</v>
      </c>
      <c r="H18" s="9">
        <f t="shared" si="4"/>
        <v>1</v>
      </c>
      <c r="I18" s="10">
        <f>IFERROR(__xludf.DUMMYFUNCTION("MAX(FILTER($H:$H,$E:$E=F18))"),7.0)</f>
        <v>7</v>
      </c>
    </row>
    <row r="19">
      <c r="A19" s="4"/>
      <c r="C19" s="4" t="s">
        <v>2624</v>
      </c>
      <c r="D19" s="4" t="str">
        <f t="shared" si="1"/>
        <v>{"valorA":"funciona","valorB":1}</v>
      </c>
      <c r="E19" s="8" t="str">
        <f t="shared" si="2"/>
        <v>funciona</v>
      </c>
      <c r="F19" s="8" t="str">
        <f>IFERROR(__xludf.DUMMYFUNCTION("""COMPUTED_VALUE"""),"e")</f>
        <v>e</v>
      </c>
      <c r="G19" s="8" t="str">
        <f t="shared" si="3"/>
        <v>1</v>
      </c>
      <c r="H19" s="9">
        <f t="shared" si="4"/>
        <v>1</v>
      </c>
      <c r="I19" s="10">
        <f>IFERROR(__xludf.DUMMYFUNCTION("MAX(FILTER($H:$H,$E:$E=F19))"),16.0)</f>
        <v>16</v>
      </c>
    </row>
    <row r="20">
      <c r="A20" s="4"/>
      <c r="C20" s="4" t="s">
        <v>2679</v>
      </c>
      <c r="D20" s="4" t="str">
        <f t="shared" si="1"/>
        <v>{"valorA":"é","valorB":1}</v>
      </c>
      <c r="E20" s="8" t="str">
        <f t="shared" si="2"/>
        <v>é</v>
      </c>
      <c r="F20" s="8" t="str">
        <f>IFERROR(__xludf.DUMMYFUNCTION("""COMPUTED_VALUE"""),"bonito")</f>
        <v>bonito</v>
      </c>
      <c r="G20" s="8" t="str">
        <f t="shared" si="3"/>
        <v>1</v>
      </c>
      <c r="H20" s="9">
        <f t="shared" si="4"/>
        <v>1</v>
      </c>
      <c r="I20" s="10">
        <f>IFERROR(__xludf.DUMMYFUNCTION("MAX(FILTER($H:$H,$E:$E=F20))"),1.0)</f>
        <v>1</v>
      </c>
    </row>
    <row r="21">
      <c r="A21" s="4"/>
      <c r="C21" s="4" t="s">
        <v>2675</v>
      </c>
      <c r="D21" s="4" t="str">
        <f t="shared" si="1"/>
        <v>{"valorA":"bem","valorB":1}</v>
      </c>
      <c r="E21" s="8" t="str">
        <f t="shared" si="2"/>
        <v>bem</v>
      </c>
      <c r="F21" s="8" t="str">
        <f>IFERROR(__xludf.DUMMYFUNCTION("""COMPUTED_VALUE"""),"gosto")</f>
        <v>gosto</v>
      </c>
      <c r="G21" s="8" t="str">
        <f t="shared" si="3"/>
        <v>1</v>
      </c>
      <c r="H21" s="9">
        <f t="shared" si="4"/>
        <v>1</v>
      </c>
      <c r="I21" s="10">
        <f>IFERROR(__xludf.DUMMYFUNCTION("MAX(FILTER($H:$H,$E:$E=F21))"),3.0)</f>
        <v>3</v>
      </c>
    </row>
    <row r="22">
      <c r="A22" s="4"/>
      <c r="C22" s="4" t="s">
        <v>2658</v>
      </c>
      <c r="D22" s="4" t="str">
        <f t="shared" si="1"/>
        <v>{"valorA":"e","valorB":1}</v>
      </c>
      <c r="E22" s="8" t="str">
        <f t="shared" si="2"/>
        <v>e</v>
      </c>
      <c r="F22" s="8" t="str">
        <f>IFERROR(__xludf.DUMMYFUNCTION("""COMPUTED_VALUE"""),"da")</f>
        <v>da</v>
      </c>
      <c r="G22" s="8" t="str">
        <f t="shared" si="3"/>
        <v>1</v>
      </c>
      <c r="H22" s="9">
        <f t="shared" si="4"/>
        <v>1</v>
      </c>
      <c r="I22" s="10">
        <f>IFERROR(__xludf.DUMMYFUNCTION("MAX(FILTER($H:$H,$E:$E=F22))"),3.0)</f>
        <v>3</v>
      </c>
    </row>
    <row r="23">
      <c r="A23" s="4"/>
      <c r="C23" s="4" t="s">
        <v>3751</v>
      </c>
      <c r="D23" s="4" t="str">
        <f t="shared" si="1"/>
        <v>{"valorA":"bonito","valorB":1}</v>
      </c>
      <c r="E23" s="8" t="str">
        <f t="shared" si="2"/>
        <v>bonito</v>
      </c>
      <c r="F23" s="8" t="str">
        <f>IFERROR(__xludf.DUMMYFUNCTION("""COMPUTED_VALUE"""),"televisor")</f>
        <v>televisor</v>
      </c>
      <c r="G23" s="8" t="str">
        <f t="shared" si="3"/>
        <v>1</v>
      </c>
      <c r="H23" s="9">
        <f t="shared" si="4"/>
        <v>1</v>
      </c>
      <c r="I23" s="10">
        <f>IFERROR(__xludf.DUMMYFUNCTION("MAX(FILTER($H:$H,$E:$E=F23))"),7.0)</f>
        <v>7</v>
      </c>
    </row>
    <row r="24">
      <c r="A24" s="4"/>
      <c r="C24" s="4" t="s">
        <v>2653</v>
      </c>
      <c r="D24" s="4" t="str">
        <f t="shared" si="1"/>
        <v>{"valorA":"ótimo","valorB":3}</v>
      </c>
      <c r="E24" s="8" t="str">
        <f t="shared" si="2"/>
        <v>ótimo</v>
      </c>
      <c r="F24" s="8" t="str">
        <f>IFERROR(__xludf.DUMMYFUNCTION("""COMPUTED_VALUE"""),"imagem")</f>
        <v>imagem</v>
      </c>
      <c r="G24" s="8" t="str">
        <f t="shared" si="3"/>
        <v>3</v>
      </c>
      <c r="H24" s="9">
        <f t="shared" si="4"/>
        <v>3</v>
      </c>
      <c r="I24" s="10">
        <f>IFERROR(__xludf.DUMMYFUNCTION("MAX(FILTER($H:$H,$E:$E=F24))"),1.0)</f>
        <v>1</v>
      </c>
    </row>
    <row r="25">
      <c r="A25" s="4"/>
      <c r="C25" s="4" t="s">
        <v>2895</v>
      </c>
      <c r="D25" s="4" t="str">
        <f t="shared" si="1"/>
        <v>{"valorA":"gosto","valorB":1}</v>
      </c>
      <c r="E25" s="8" t="str">
        <f t="shared" si="2"/>
        <v>gosto</v>
      </c>
      <c r="F25" s="8" t="str">
        <f>IFERROR(__xludf.DUMMYFUNCTION("""COMPUTED_VALUE"""),"muito")</f>
        <v>muito</v>
      </c>
      <c r="G25" s="8" t="str">
        <f t="shared" si="3"/>
        <v>1</v>
      </c>
      <c r="H25" s="9">
        <f t="shared" si="4"/>
        <v>1</v>
      </c>
      <c r="I25" s="10">
        <f>IFERROR(__xludf.DUMMYFUNCTION("MAX(FILTER($H:$H,$E:$E=F25))"),19.0)</f>
        <v>19</v>
      </c>
    </row>
    <row r="26">
      <c r="A26" s="4"/>
      <c r="C26" s="4" t="s">
        <v>2919</v>
      </c>
      <c r="D26" s="4" t="str">
        <f t="shared" si="1"/>
        <v>{"valorA":"da","valorB":1}</v>
      </c>
      <c r="E26" s="8" t="str">
        <f t="shared" si="2"/>
        <v>da</v>
      </c>
      <c r="F26" s="8" t="str">
        <f>IFERROR(__xludf.DUMMYFUNCTION("""COMPUTED_VALUE"""),"qualidade")</f>
        <v>qualidade</v>
      </c>
      <c r="G26" s="8" t="str">
        <f t="shared" si="3"/>
        <v>1</v>
      </c>
      <c r="H26" s="9">
        <f t="shared" si="4"/>
        <v>1</v>
      </c>
      <c r="I26" s="10">
        <f>IFERROR(__xludf.DUMMYFUNCTION("MAX(FILTER($H:$H,$E:$E=F26))"),10.0)</f>
        <v>10</v>
      </c>
    </row>
    <row r="27">
      <c r="A27" s="4"/>
      <c r="C27" s="4" t="s">
        <v>3031</v>
      </c>
      <c r="D27" s="4" t="str">
        <f t="shared" si="1"/>
        <v>{"valorA":"televisor","valorB":1}</v>
      </c>
      <c r="E27" s="8" t="str">
        <f t="shared" si="2"/>
        <v>televisor</v>
      </c>
      <c r="F27" s="8" t="str">
        <f>IFERROR(__xludf.DUMMYFUNCTION("""COMPUTED_VALUE"""),"tablet")</f>
        <v>tablet</v>
      </c>
      <c r="G27" s="8" t="str">
        <f t="shared" si="3"/>
        <v>1</v>
      </c>
      <c r="H27" s="9">
        <f t="shared" si="4"/>
        <v>1</v>
      </c>
      <c r="I27" s="10">
        <f>IFERROR(__xludf.DUMMYFUNCTION("MAX(FILTER($H:$H,$E:$E=F27))"),2.0)</f>
        <v>2</v>
      </c>
    </row>
    <row r="28">
      <c r="A28" s="4"/>
      <c r="C28" s="4" t="s">
        <v>3032</v>
      </c>
      <c r="D28" s="4" t="str">
        <f t="shared" si="1"/>
        <v>{"valorA":"imagem","valorB":1}</v>
      </c>
      <c r="E28" s="8" t="str">
        <f t="shared" si="2"/>
        <v>imagem</v>
      </c>
      <c r="F28" s="8" t="str">
        <f>IFERROR(__xludf.DUMMYFUNCTION("""COMPUTED_VALUE"""),"o")</f>
        <v>o</v>
      </c>
      <c r="G28" s="8" t="str">
        <f t="shared" si="3"/>
        <v>1</v>
      </c>
      <c r="H28" s="9">
        <f t="shared" si="4"/>
        <v>1</v>
      </c>
      <c r="I28" s="10">
        <f>IFERROR(__xludf.DUMMYFUNCTION("MAX(FILTER($H:$H,$E:$E=F28))"),8.0)</f>
        <v>8</v>
      </c>
    </row>
    <row r="29">
      <c r="A29" s="4"/>
      <c r="C29" s="4" t="s">
        <v>2947</v>
      </c>
      <c r="D29" s="4" t="str">
        <f t="shared" si="1"/>
        <v>{"valorA":"da","valorB":2}</v>
      </c>
      <c r="E29" s="8" t="str">
        <f t="shared" si="2"/>
        <v>da</v>
      </c>
      <c r="F29" s="8" t="str">
        <f>IFERROR(__xludf.DUMMYFUNCTION("""COMPUTED_VALUE"""),"preço")</f>
        <v>preço</v>
      </c>
      <c r="G29" s="8" t="str">
        <f t="shared" si="3"/>
        <v>2</v>
      </c>
      <c r="H29" s="9">
        <f t="shared" si="4"/>
        <v>2</v>
      </c>
      <c r="I29" s="10">
        <f>IFERROR(__xludf.DUMMYFUNCTION("MAX(FILTER($H:$H,$E:$E=F29))"),15.0)</f>
        <v>15</v>
      </c>
    </row>
    <row r="30">
      <c r="A30" s="4"/>
      <c r="C30" s="4" t="s">
        <v>2637</v>
      </c>
      <c r="D30" s="4" t="str">
        <f t="shared" si="1"/>
        <v>{"valorA":"muito","valorB":1}</v>
      </c>
      <c r="E30" s="8" t="str">
        <f t="shared" si="2"/>
        <v>muito</v>
      </c>
      <c r="F30" s="8" t="str">
        <f>IFERROR(__xludf.DUMMYFUNCTION("""COMPUTED_VALUE"""),"custou")</f>
        <v>custou</v>
      </c>
      <c r="G30" s="8" t="str">
        <f t="shared" si="3"/>
        <v>1</v>
      </c>
      <c r="H30" s="9">
        <f t="shared" si="4"/>
        <v>1</v>
      </c>
      <c r="I30" s="10">
        <f>IFERROR(__xludf.DUMMYFUNCTION("MAX(FILTER($H:$H,$E:$E=F30))"),2.0)</f>
        <v>2</v>
      </c>
    </row>
    <row r="31">
      <c r="A31" s="4"/>
      <c r="C31" s="4" t="s">
        <v>2878</v>
      </c>
      <c r="D31" s="4" t="str">
        <f t="shared" si="1"/>
        <v>{"valorA":"qualidade","valorB":1}</v>
      </c>
      <c r="E31" s="8" t="str">
        <f t="shared" si="2"/>
        <v>qualidade</v>
      </c>
      <c r="F31" s="8" t="str">
        <f>IFERROR(__xludf.DUMMYFUNCTION("""COMPUTED_VALUE"""),"que")</f>
        <v>que</v>
      </c>
      <c r="G31" s="8" t="str">
        <f t="shared" si="3"/>
        <v>1</v>
      </c>
      <c r="H31" s="9">
        <f t="shared" si="4"/>
        <v>1</v>
      </c>
      <c r="I31" s="10">
        <f>IFERROR(__xludf.DUMMYFUNCTION("MAX(FILTER($H:$H,$E:$E=F31))"),4.0)</f>
        <v>4</v>
      </c>
    </row>
    <row r="32">
      <c r="A32" s="4"/>
      <c r="C32" s="4" t="s">
        <v>2727</v>
      </c>
      <c r="D32" s="4" t="str">
        <f t="shared" si="1"/>
        <v>{"valorA":"para","valorB":2}</v>
      </c>
      <c r="E32" s="8" t="str">
        <f t="shared" si="2"/>
        <v>para</v>
      </c>
      <c r="F32" s="8" t="str">
        <f>IFERROR(__xludf.DUMMYFUNCTION("""COMPUTED_VALUE"""),"gostei")</f>
        <v>gostei</v>
      </c>
      <c r="G32" s="8" t="str">
        <f t="shared" si="3"/>
        <v>2</v>
      </c>
      <c r="H32" s="9">
        <f t="shared" si="4"/>
        <v>2</v>
      </c>
      <c r="I32" s="10">
        <f>IFERROR(__xludf.DUMMYFUNCTION("MAX(FILTER($H:$H,$E:$E=F32))"),6.0)</f>
        <v>6</v>
      </c>
    </row>
    <row r="33">
      <c r="A33" s="4"/>
      <c r="C33" s="4" t="s">
        <v>3028</v>
      </c>
      <c r="D33" s="4" t="str">
        <f t="shared" si="1"/>
        <v>{"valorA":"tablet","valorB":1}</v>
      </c>
      <c r="E33" s="8" t="str">
        <f t="shared" si="2"/>
        <v>tablet</v>
      </c>
      <c r="F33" s="8" t="str">
        <f>IFERROR(__xludf.DUMMYFUNCTION("""COMPUTED_VALUE"""),"problemas")</f>
        <v>problemas</v>
      </c>
      <c r="G33" s="8" t="str">
        <f t="shared" si="3"/>
        <v>1</v>
      </c>
      <c r="H33" s="9">
        <f t="shared" si="4"/>
        <v>1</v>
      </c>
      <c r="I33" s="10">
        <f>IFERROR(__xludf.DUMMYFUNCTION("MAX(FILTER($H:$H,$E:$E=F33))"),2.0)</f>
        <v>2</v>
      </c>
    </row>
    <row r="34">
      <c r="A34" s="4"/>
      <c r="C34" s="4" t="s">
        <v>2657</v>
      </c>
      <c r="D34" s="4" t="str">
        <f t="shared" si="1"/>
        <v>{"valorA":"ótimo","valorB":4}</v>
      </c>
      <c r="E34" s="8" t="str">
        <f t="shared" si="2"/>
        <v>ótimo</v>
      </c>
      <c r="F34" s="8" t="str">
        <f>IFERROR(__xludf.DUMMYFUNCTION("""COMPUTED_VALUE"""),"perfeitamente")</f>
        <v>perfeitamente</v>
      </c>
      <c r="G34" s="8" t="str">
        <f t="shared" si="3"/>
        <v>4</v>
      </c>
      <c r="H34" s="9">
        <f t="shared" si="4"/>
        <v>4</v>
      </c>
      <c r="I34" s="10">
        <f>IFERROR(__xludf.DUMMYFUNCTION("MAX(FILTER($H:$H,$E:$E=F34))"),2.0)</f>
        <v>2</v>
      </c>
    </row>
    <row r="35">
      <c r="A35" s="4"/>
      <c r="C35" s="4" t="s">
        <v>2638</v>
      </c>
      <c r="D35" s="4" t="str">
        <f t="shared" si="1"/>
        <v>{"valorA":"o","valorB":1}</v>
      </c>
      <c r="E35" s="8" t="str">
        <f t="shared" si="2"/>
        <v>o</v>
      </c>
      <c r="F35" s="8" t="str">
        <f>IFERROR(__xludf.DUMMYFUNCTION("""COMPUTED_VALUE"""),"tive")</f>
        <v>tive</v>
      </c>
      <c r="G35" s="8" t="str">
        <f t="shared" si="3"/>
        <v>1</v>
      </c>
      <c r="H35" s="9">
        <f t="shared" si="4"/>
        <v>1</v>
      </c>
      <c r="I35" s="10">
        <f>IFERROR(__xludf.DUMMYFUNCTION("MAX(FILTER($H:$H,$E:$E=F35))"),1.0)</f>
        <v>1</v>
      </c>
    </row>
    <row r="36">
      <c r="A36" s="4"/>
      <c r="C36" s="4" t="s">
        <v>2655</v>
      </c>
      <c r="D36" s="4" t="str">
        <f t="shared" si="1"/>
        <v>{"valorA":"preço","valorB":1}</v>
      </c>
      <c r="E36" s="8" t="str">
        <f t="shared" si="2"/>
        <v>preço</v>
      </c>
      <c r="F36" s="8" t="str">
        <f>IFERROR(__xludf.DUMMYFUNCTION("""COMPUTED_VALUE"""),"com")</f>
        <v>com</v>
      </c>
      <c r="G36" s="8" t="str">
        <f t="shared" si="3"/>
        <v>1</v>
      </c>
      <c r="H36" s="9">
        <f t="shared" si="4"/>
        <v>1</v>
      </c>
      <c r="I36" s="10">
        <f>IFERROR(__xludf.DUMMYFUNCTION("MAX(FILTER($H:$H,$E:$E=F36))"),5.0)</f>
        <v>5</v>
      </c>
    </row>
    <row r="37">
      <c r="A37" s="4"/>
      <c r="C37" s="4" t="s">
        <v>11971</v>
      </c>
      <c r="D37" s="4" t="str">
        <f t="shared" si="1"/>
        <v>{"valorA":"custou","valorB":1}</v>
      </c>
      <c r="E37" s="8" t="str">
        <f t="shared" si="2"/>
        <v>custou</v>
      </c>
      <c r="F37" s="8" t="str">
        <f>IFERROR(__xludf.DUMMYFUNCTION("""COMPUTED_VALUE"""),"ele")</f>
        <v>ele</v>
      </c>
      <c r="G37" s="8" t="str">
        <f t="shared" si="3"/>
        <v>1</v>
      </c>
      <c r="H37" s="9">
        <f t="shared" si="4"/>
        <v>1</v>
      </c>
      <c r="I37" s="10">
        <f>IFERROR(__xludf.DUMMYFUNCTION("MAX(FILTER($H:$H,$E:$E=F37))"),2.0)</f>
        <v>2</v>
      </c>
    </row>
    <row r="38">
      <c r="A38" s="4"/>
      <c r="C38" s="4" t="s">
        <v>2663</v>
      </c>
      <c r="D38" s="4" t="str">
        <f t="shared" si="1"/>
        <v>{"valorA":"muito","valorB":2}</v>
      </c>
      <c r="E38" s="8" t="str">
        <f t="shared" si="2"/>
        <v>muito</v>
      </c>
      <c r="F38" s="8" t="str">
        <f>IFERROR(__xludf.DUMMYFUNCTION("""COMPUTED_VALUE"""),"meu")</f>
        <v>meu</v>
      </c>
      <c r="G38" s="8" t="str">
        <f t="shared" si="3"/>
        <v>2</v>
      </c>
      <c r="H38" s="9">
        <f t="shared" si="4"/>
        <v>2</v>
      </c>
      <c r="I38" s="10">
        <f>IFERROR(__xludf.DUMMYFUNCTION("MAX(FILTER($H:$H,$E:$E=F38))"),7.0)</f>
        <v>7</v>
      </c>
    </row>
    <row r="39">
      <c r="A39" s="4"/>
      <c r="C39" s="4" t="s">
        <v>2642</v>
      </c>
      <c r="D39" s="4" t="str">
        <f t="shared" si="1"/>
        <v>{"valorA":"que","valorB":1}</v>
      </c>
      <c r="E39" s="8" t="str">
        <f t="shared" si="2"/>
        <v>que</v>
      </c>
      <c r="F39" s="8" t="str">
        <f>IFERROR(__xludf.DUMMYFUNCTION("""COMPUTED_VALUE"""),"fácil")</f>
        <v>fácil</v>
      </c>
      <c r="G39" s="8" t="str">
        <f t="shared" si="3"/>
        <v>1</v>
      </c>
      <c r="H39" s="9">
        <f t="shared" si="4"/>
        <v>1</v>
      </c>
      <c r="I39" s="10">
        <f>IFERROR(__xludf.DUMMYFUNCTION("MAX(FILTER($H:$H,$E:$E=F39))"),5.0)</f>
        <v>5</v>
      </c>
    </row>
    <row r="40">
      <c r="A40" s="4"/>
      <c r="C40" s="4" t="s">
        <v>2628</v>
      </c>
      <c r="D40" s="4" t="str">
        <f t="shared" si="1"/>
        <v>{"valorA":"gostei","valorB":1}</v>
      </c>
      <c r="E40" s="8" t="str">
        <f t="shared" si="2"/>
        <v>gostei</v>
      </c>
      <c r="F40" s="8" t="str">
        <f>IFERROR(__xludf.DUMMYFUNCTION("""COMPUTED_VALUE"""),"blender")</f>
        <v>blender</v>
      </c>
      <c r="G40" s="8" t="str">
        <f t="shared" si="3"/>
        <v>1</v>
      </c>
      <c r="H40" s="9">
        <f t="shared" si="4"/>
        <v>1</v>
      </c>
      <c r="I40" s="10">
        <f>IFERROR(__xludf.DUMMYFUNCTION("MAX(FILTER($H:$H,$E:$E=F40))"),1.0)</f>
        <v>1</v>
      </c>
    </row>
    <row r="41">
      <c r="A41" s="4"/>
      <c r="C41" s="4" t="s">
        <v>2661</v>
      </c>
      <c r="D41" s="4" t="str">
        <f t="shared" si="1"/>
        <v>{"valorA":"produto","valorB":3}</v>
      </c>
      <c r="E41" s="8" t="str">
        <f t="shared" si="2"/>
        <v>produto</v>
      </c>
      <c r="F41" s="8" t="str">
        <f>IFERROR(__xludf.DUMMYFUNCTION("""COMPUTED_VALUE"""),"limpa")</f>
        <v>limpa</v>
      </c>
      <c r="G41" s="8" t="str">
        <f t="shared" si="3"/>
        <v>3</v>
      </c>
      <c r="H41" s="9">
        <f t="shared" si="4"/>
        <v>3</v>
      </c>
      <c r="I41" s="10">
        <f>IFERROR(__xludf.DUMMYFUNCTION("MAX(FILTER($H:$H,$E:$E=F41))"),1.0)</f>
        <v>1</v>
      </c>
    </row>
    <row r="42">
      <c r="A42" s="4"/>
      <c r="C42" s="4" t="s">
        <v>2659</v>
      </c>
      <c r="D42" s="4" t="str">
        <f t="shared" si="1"/>
        <v>{"valorA":"ótimo","valorB":5}</v>
      </c>
      <c r="E42" s="8" t="str">
        <f t="shared" si="2"/>
        <v>ótimo</v>
      </c>
      <c r="F42" s="8" t="str">
        <f>IFERROR(__xludf.DUMMYFUNCTION("""COMPUTED_VALUE"""),"usar")</f>
        <v>usar</v>
      </c>
      <c r="G42" s="8" t="str">
        <f t="shared" si="3"/>
        <v>5</v>
      </c>
      <c r="H42" s="9">
        <f t="shared" si="4"/>
        <v>5</v>
      </c>
      <c r="I42" s="10">
        <f>IFERROR(__xludf.DUMMYFUNCTION("MAX(FILTER($H:$H,$E:$E=F42))"),5.0)</f>
        <v>5</v>
      </c>
    </row>
    <row r="43">
      <c r="A43" s="4"/>
      <c r="C43" s="4" t="s">
        <v>11972</v>
      </c>
      <c r="D43" s="4" t="str">
        <f t="shared" si="1"/>
        <v>{"valorA":"problemas","valorB":1}</v>
      </c>
      <c r="E43" s="8" t="str">
        <f t="shared" si="2"/>
        <v>problemas</v>
      </c>
      <c r="F43" s="8" t="str">
        <f>IFERROR(__xludf.DUMMYFUNCTION("""COMPUTED_VALUE"""),"facilidade")</f>
        <v>facilidade</v>
      </c>
      <c r="G43" s="8" t="str">
        <f t="shared" si="3"/>
        <v>1</v>
      </c>
      <c r="H43" s="9">
        <f t="shared" si="4"/>
        <v>1</v>
      </c>
      <c r="I43" s="10">
        <f>IFERROR(__xludf.DUMMYFUNCTION("MAX(FILTER($H:$H,$E:$E=F43))"),1.0)</f>
        <v>1</v>
      </c>
    </row>
    <row r="44">
      <c r="A44" s="4"/>
      <c r="C44" s="4" t="s">
        <v>2678</v>
      </c>
      <c r="D44" s="4" t="str">
        <f t="shared" si="1"/>
        <v>{"valorA":"funciona","valorB":2}</v>
      </c>
      <c r="E44" s="8" t="str">
        <f t="shared" si="2"/>
        <v>funciona</v>
      </c>
      <c r="F44" s="8" t="str">
        <f>IFERROR(__xludf.DUMMYFUNCTION("""COMPUTED_VALUE"""),"memoriar")</f>
        <v>memoriar</v>
      </c>
      <c r="G44" s="8" t="str">
        <f t="shared" si="3"/>
        <v>2</v>
      </c>
      <c r="H44" s="9">
        <f t="shared" si="4"/>
        <v>2</v>
      </c>
      <c r="I44" s="10">
        <f>IFERROR(__xludf.DUMMYFUNCTION("MAX(FILTER($H:$H,$E:$E=F44))"),1.0)</f>
        <v>1</v>
      </c>
    </row>
    <row r="45">
      <c r="A45" s="4"/>
      <c r="C45" s="4" t="s">
        <v>2646</v>
      </c>
      <c r="D45" s="4" t="str">
        <f t="shared" si="1"/>
        <v>{"valorA":"perfeitamente","valorB":1}</v>
      </c>
      <c r="E45" s="8" t="str">
        <f t="shared" si="2"/>
        <v>perfeitamente</v>
      </c>
      <c r="F45" s="8" t="str">
        <f>IFERROR(__xludf.DUMMYFUNCTION("""COMPUTED_VALUE"""),"quem")</f>
        <v>quem</v>
      </c>
      <c r="G45" s="8" t="str">
        <f t="shared" si="3"/>
        <v>1</v>
      </c>
      <c r="H45" s="9">
        <f t="shared" si="4"/>
        <v>1</v>
      </c>
      <c r="I45" s="10">
        <f>IFERROR(__xludf.DUMMYFUNCTION("MAX(FILTER($H:$H,$E:$E=F45))"),11.0)</f>
        <v>11</v>
      </c>
    </row>
    <row r="46">
      <c r="A46" s="4"/>
      <c r="C46" s="4" t="s">
        <v>3109</v>
      </c>
      <c r="D46" s="4" t="str">
        <f t="shared" si="1"/>
        <v>{"valorA":"não","valorB":2}</v>
      </c>
      <c r="E46" s="8" t="str">
        <f t="shared" si="2"/>
        <v>não</v>
      </c>
      <c r="F46" s="8" t="str">
        <f>IFERROR(__xludf.DUMMYFUNCTION("""COMPUTED_VALUE"""),"em")</f>
        <v>em</v>
      </c>
      <c r="G46" s="8" t="str">
        <f t="shared" si="3"/>
        <v>2</v>
      </c>
      <c r="H46" s="9">
        <f t="shared" si="4"/>
        <v>2</v>
      </c>
      <c r="I46" s="10">
        <f>IFERROR(__xludf.DUMMYFUNCTION("MAX(FILTER($H:$H,$E:$E=F46))"),2.0)</f>
        <v>2</v>
      </c>
    </row>
    <row r="47">
      <c r="A47" s="4"/>
      <c r="C47" s="4" t="s">
        <v>11973</v>
      </c>
      <c r="D47" s="4" t="str">
        <f t="shared" si="1"/>
        <v>{"valorA":"tive","valorB":1}</v>
      </c>
      <c r="E47" s="8" t="str">
        <f t="shared" si="2"/>
        <v>tive</v>
      </c>
      <c r="F47" s="8" t="str">
        <f>IFERROR(__xludf.DUMMYFUNCTION("""COMPUTED_VALUE"""),"dificuldade")</f>
        <v>dificuldade</v>
      </c>
      <c r="G47" s="8" t="str">
        <f t="shared" si="3"/>
        <v>1</v>
      </c>
      <c r="H47" s="9">
        <f t="shared" si="4"/>
        <v>1</v>
      </c>
      <c r="I47" s="10">
        <f>IFERROR(__xludf.DUMMYFUNCTION("MAX(FILTER($H:$H,$E:$E=F47))"),1.0)</f>
        <v>1</v>
      </c>
    </row>
    <row r="48">
      <c r="A48" s="4"/>
      <c r="C48" s="4" t="s">
        <v>2666</v>
      </c>
      <c r="D48" s="4" t="str">
        <f t="shared" si="1"/>
        <v>{"valorA":"com","valorB":1}</v>
      </c>
      <c r="E48" s="8" t="str">
        <f t="shared" si="2"/>
        <v>com</v>
      </c>
      <c r="F48" s="8" t="str">
        <f>IFERROR(__xludf.DUMMYFUNCTION("""COMPUTED_VALUE"""),"se")</f>
        <v>se</v>
      </c>
      <c r="G48" s="8" t="str">
        <f t="shared" si="3"/>
        <v>1</v>
      </c>
      <c r="H48" s="9">
        <f t="shared" si="4"/>
        <v>1</v>
      </c>
      <c r="I48" s="10">
        <f>IFERROR(__xludf.DUMMYFUNCTION("MAX(FILTER($H:$H,$E:$E=F48))"),1.0)</f>
        <v>1</v>
      </c>
    </row>
    <row r="49">
      <c r="A49" s="4"/>
      <c r="C49" s="4" t="s">
        <v>2672</v>
      </c>
      <c r="D49" s="4" t="str">
        <f t="shared" si="1"/>
        <v>{"valorA":"ele","valorB":1}</v>
      </c>
      <c r="E49" s="8" t="str">
        <f t="shared" si="2"/>
        <v>ele</v>
      </c>
      <c r="F49" s="8" t="str">
        <f>IFERROR(__xludf.DUMMYFUNCTION("""COMPUTED_VALUE"""),"tem")</f>
        <v>tem</v>
      </c>
      <c r="G49" s="8" t="str">
        <f t="shared" si="3"/>
        <v>1</v>
      </c>
      <c r="H49" s="9">
        <f t="shared" si="4"/>
        <v>1</v>
      </c>
      <c r="I49" s="10">
        <f>IFERROR(__xludf.DUMMYFUNCTION("MAX(FILTER($H:$H,$E:$E=F49))"),2.0)</f>
        <v>2</v>
      </c>
    </row>
    <row r="50">
      <c r="A50" s="4"/>
      <c r="C50" s="4" t="s">
        <v>2662</v>
      </c>
      <c r="D50" s="4" t="str">
        <f t="shared" si="1"/>
        <v>{"valorA":"ótimo","valorB":6}</v>
      </c>
      <c r="E50" s="8" t="str">
        <f t="shared" si="2"/>
        <v>ótimo</v>
      </c>
      <c r="F50" s="8" t="str">
        <f>IFERROR(__xludf.DUMMYFUNCTION("""COMPUTED_VALUE"""),"wireless")</f>
        <v>wireless</v>
      </c>
      <c r="G50" s="8" t="str">
        <f t="shared" si="3"/>
        <v>6</v>
      </c>
      <c r="H50" s="9">
        <f t="shared" si="4"/>
        <v>6</v>
      </c>
      <c r="I50" s="10">
        <f>IFERROR(__xludf.DUMMYFUNCTION("MAX(FILTER($H:$H,$E:$E=F50))"),1.0)</f>
        <v>1</v>
      </c>
    </row>
    <row r="51">
      <c r="A51" s="4"/>
      <c r="C51" s="4" t="s">
        <v>2670</v>
      </c>
      <c r="D51" s="4" t="str">
        <f t="shared" si="1"/>
        <v>{"valorA":"meu","valorB":1}</v>
      </c>
      <c r="E51" s="8" t="str">
        <f t="shared" si="2"/>
        <v>meu</v>
      </c>
      <c r="F51" s="8" t="str">
        <f>IFERROR(__xludf.DUMMYFUNCTION("""COMPUTED_VALUE"""),"um")</f>
        <v>um</v>
      </c>
      <c r="G51" s="8" t="str">
        <f t="shared" si="3"/>
        <v>1</v>
      </c>
      <c r="H51" s="9">
        <f t="shared" si="4"/>
        <v>1</v>
      </c>
      <c r="I51" s="10">
        <f>IFERROR(__xludf.DUMMYFUNCTION("MAX(FILTER($H:$H,$E:$E=F51))"),6.0)</f>
        <v>6</v>
      </c>
    </row>
    <row r="52">
      <c r="A52" s="4"/>
      <c r="C52" s="4" t="s">
        <v>2677</v>
      </c>
      <c r="D52" s="4" t="str">
        <f t="shared" si="1"/>
        <v>{"valorA":"fácil","valorB":1}</v>
      </c>
      <c r="E52" s="8" t="str">
        <f t="shared" si="2"/>
        <v>fácil</v>
      </c>
      <c r="F52" s="8" t="str">
        <f>IFERROR(__xludf.DUMMYFUNCTION("""COMPUTED_VALUE"""),"mouse")</f>
        <v>mouse</v>
      </c>
      <c r="G52" s="8" t="str">
        <f t="shared" si="3"/>
        <v>1</v>
      </c>
      <c r="H52" s="9">
        <f t="shared" si="4"/>
        <v>1</v>
      </c>
      <c r="I52" s="10">
        <f>IFERROR(__xludf.DUMMYFUNCTION("MAX(FILTER($H:$H,$E:$E=F52))"),1.0)</f>
        <v>1</v>
      </c>
    </row>
    <row r="53">
      <c r="A53" s="4"/>
      <c r="C53" s="4" t="s">
        <v>3087</v>
      </c>
      <c r="D53" s="4" t="str">
        <f t="shared" si="1"/>
        <v>{"valorA":"blender","valorB":1}</v>
      </c>
      <c r="E53" s="8" t="str">
        <f t="shared" si="2"/>
        <v>blender</v>
      </c>
      <c r="F53" s="8" t="str">
        <f>IFERROR(__xludf.DUMMYFUNCTION("""COMPUTED_VALUE"""),"confiável")</f>
        <v>confiável</v>
      </c>
      <c r="G53" s="8" t="str">
        <f t="shared" si="3"/>
        <v>1</v>
      </c>
      <c r="H53" s="9">
        <f t="shared" si="4"/>
        <v>1</v>
      </c>
      <c r="I53" s="10">
        <f>IFERROR(__xludf.DUMMYFUNCTION("MAX(FILTER($H:$H,$E:$E=F53))"),1.0)</f>
        <v>1</v>
      </c>
    </row>
    <row r="54">
      <c r="A54" s="4"/>
      <c r="C54" s="4" t="s">
        <v>2676</v>
      </c>
      <c r="D54" s="4" t="str">
        <f t="shared" si="1"/>
        <v>{"valorA":"e","valorB":2}</v>
      </c>
      <c r="E54" s="8" t="str">
        <f t="shared" si="2"/>
        <v>e</v>
      </c>
      <c r="F54" s="8" t="str">
        <f>IFERROR(__xludf.DUMMYFUNCTION("""COMPUTED_VALUE"""),"busca")</f>
        <v>busca</v>
      </c>
      <c r="G54" s="8" t="str">
        <f t="shared" si="3"/>
        <v>2</v>
      </c>
      <c r="H54" s="9">
        <f t="shared" si="4"/>
        <v>2</v>
      </c>
      <c r="I54" s="10">
        <f>IFERROR(__xludf.DUMMYFUNCTION("MAX(FILTER($H:$H,$E:$E=F54))"),8.0)</f>
        <v>8</v>
      </c>
    </row>
    <row r="55">
      <c r="A55" s="4"/>
      <c r="C55" s="4" t="s">
        <v>2736</v>
      </c>
      <c r="D55" s="4" t="str">
        <f t="shared" si="1"/>
        <v>{"valorA":"de","valorB":3}</v>
      </c>
      <c r="E55" s="8" t="str">
        <f t="shared" si="2"/>
        <v>de</v>
      </c>
      <c r="F55" s="8" t="str">
        <f>IFERROR(__xludf.DUMMYFUNCTION("""COMPUTED_VALUE"""),"excelente")</f>
        <v>excelente</v>
      </c>
      <c r="G55" s="8" t="str">
        <f t="shared" si="3"/>
        <v>3</v>
      </c>
      <c r="H55" s="9">
        <f t="shared" si="4"/>
        <v>3</v>
      </c>
      <c r="I55" s="10">
        <f>IFERROR(__xludf.DUMMYFUNCTION("MAX(FILTER($H:$H,$E:$E=F55))"),3.0)</f>
        <v>3</v>
      </c>
    </row>
    <row r="56">
      <c r="A56" s="4"/>
      <c r="C56" s="4" t="s">
        <v>2814</v>
      </c>
      <c r="D56" s="4" t="str">
        <f t="shared" si="1"/>
        <v>{"valorA":"com","valorB":2}</v>
      </c>
      <c r="E56" s="8" t="str">
        <f t="shared" si="2"/>
        <v>com</v>
      </c>
      <c r="F56" s="8" t="str">
        <f>IFERROR(__xludf.DUMMYFUNCTION("""COMPUTED_VALUE"""),"perfeito")</f>
        <v>perfeito</v>
      </c>
      <c r="G56" s="8" t="str">
        <f t="shared" si="3"/>
        <v>2</v>
      </c>
      <c r="H56" s="9">
        <f t="shared" si="4"/>
        <v>2</v>
      </c>
      <c r="I56" s="10">
        <f>IFERROR(__xludf.DUMMYFUNCTION("MAX(FILTER($H:$H,$E:$E=F56))"),1.0)</f>
        <v>1</v>
      </c>
    </row>
    <row r="57">
      <c r="A57" s="4"/>
      <c r="C57" s="4" t="s">
        <v>3323</v>
      </c>
      <c r="D57" s="4" t="str">
        <f t="shared" si="1"/>
        <v>{"valorA":"limpa","valorB":1}</v>
      </c>
      <c r="E57" s="8" t="str">
        <f t="shared" si="2"/>
        <v>limpa</v>
      </c>
      <c r="F57" s="8" t="str">
        <f>IFERROR(__xludf.DUMMYFUNCTION("""COMPUTED_VALUE"""),"brilho")</f>
        <v>brilho</v>
      </c>
      <c r="G57" s="8" t="str">
        <f t="shared" si="3"/>
        <v>1</v>
      </c>
      <c r="H57" s="9">
        <f t="shared" si="4"/>
        <v>1</v>
      </c>
      <c r="I57" s="10">
        <f>IFERROR(__xludf.DUMMYFUNCTION("MAX(FILTER($H:$H,$E:$E=F57))"),3.0)</f>
        <v>3</v>
      </c>
    </row>
    <row r="58">
      <c r="A58" s="4"/>
      <c r="C58" s="4" t="s">
        <v>2681</v>
      </c>
      <c r="D58" s="4" t="str">
        <f t="shared" si="1"/>
        <v>{"valorA":"usar","valorB":1}</v>
      </c>
      <c r="E58" s="8" t="str">
        <f t="shared" si="2"/>
        <v>usar</v>
      </c>
      <c r="F58" s="8" t="str">
        <f>IFERROR(__xludf.DUMMYFUNCTION("""COMPUTED_VALUE"""),"casa")</f>
        <v>casa</v>
      </c>
      <c r="G58" s="8" t="str">
        <f t="shared" si="3"/>
        <v>1</v>
      </c>
      <c r="H58" s="9">
        <f t="shared" si="4"/>
        <v>1</v>
      </c>
      <c r="I58" s="10">
        <f>IFERROR(__xludf.DUMMYFUNCTION("MAX(FILTER($H:$H,$E:$E=F58))"),1.0)</f>
        <v>1</v>
      </c>
    </row>
    <row r="59">
      <c r="A59" s="4"/>
      <c r="C59" s="4" t="s">
        <v>3352</v>
      </c>
      <c r="D59" s="4" t="str">
        <f t="shared" si="1"/>
        <v>{"valorA":"facilidade","valorB":1}</v>
      </c>
      <c r="E59" s="8" t="str">
        <f t="shared" si="2"/>
        <v>facilidade</v>
      </c>
      <c r="F59" s="8" t="str">
        <f>IFERROR(__xludf.DUMMYFUNCTION("""COMPUTED_VALUE"""),"econômico")</f>
        <v>econômico</v>
      </c>
      <c r="G59" s="8" t="str">
        <f t="shared" si="3"/>
        <v>1</v>
      </c>
      <c r="H59" s="9">
        <f t="shared" si="4"/>
        <v>1</v>
      </c>
      <c r="I59" s="10">
        <f>IFERROR(__xludf.DUMMYFUNCTION("MAX(FILTER($H:$H,$E:$E=F59))"),3.0)</f>
        <v>3</v>
      </c>
    </row>
    <row r="60">
      <c r="A60" s="4"/>
      <c r="C60" s="4" t="s">
        <v>2667</v>
      </c>
      <c r="D60" s="4" t="str">
        <f t="shared" si="1"/>
        <v>{"valorA":"produto","valorB":4}</v>
      </c>
      <c r="E60" s="8" t="str">
        <f t="shared" si="2"/>
        <v>produto</v>
      </c>
      <c r="F60" s="8" t="str">
        <f>IFERROR(__xludf.DUMMYFUNCTION("""COMPUTED_VALUE"""),"preçoqualidade")</f>
        <v>preçoqualidade</v>
      </c>
      <c r="G60" s="8" t="str">
        <f t="shared" si="3"/>
        <v>4</v>
      </c>
      <c r="H60" s="9">
        <f t="shared" si="4"/>
        <v>4</v>
      </c>
      <c r="I60" s="10">
        <f>IFERROR(__xludf.DUMMYFUNCTION("MAX(FILTER($H:$H,$E:$E=F60))"),1.0)</f>
        <v>1</v>
      </c>
    </row>
    <row r="61">
      <c r="A61" s="4"/>
      <c r="C61" s="4" t="s">
        <v>11974</v>
      </c>
      <c r="D61" s="4" t="str">
        <f t="shared" si="1"/>
        <v>{"valorA":"memoriar","valorB":1}</v>
      </c>
      <c r="E61" s="8" t="str">
        <f t="shared" si="2"/>
        <v>memoriar</v>
      </c>
      <c r="F61" s="8" t="str">
        <f>IFERROR(__xludf.DUMMYFUNCTION("""COMPUTED_VALUE"""),"fico")</f>
        <v>fico</v>
      </c>
      <c r="G61" s="8" t="str">
        <f t="shared" si="3"/>
        <v>1</v>
      </c>
      <c r="H61" s="9">
        <f t="shared" si="4"/>
        <v>1</v>
      </c>
      <c r="I61" s="10">
        <f>IFERROR(__xludf.DUMMYFUNCTION("MAX(FILTER($H:$H,$E:$E=F61))"),3.0)</f>
        <v>3</v>
      </c>
    </row>
    <row r="62">
      <c r="A62" s="4"/>
      <c r="C62" s="4" t="s">
        <v>2733</v>
      </c>
      <c r="D62" s="4" t="str">
        <f t="shared" si="1"/>
        <v>{"valorA":"quem","valorB":1}</v>
      </c>
      <c r="E62" s="8" t="str">
        <f t="shared" si="2"/>
        <v>quem</v>
      </c>
      <c r="F62" s="8" t="str">
        <f>IFERROR(__xludf.DUMMYFUNCTION("""COMPUTED_VALUE"""),"tv")</f>
        <v>tv</v>
      </c>
      <c r="G62" s="8" t="str">
        <f t="shared" si="3"/>
        <v>1</v>
      </c>
      <c r="H62" s="9">
        <f t="shared" si="4"/>
        <v>1</v>
      </c>
      <c r="I62" s="10">
        <f>IFERROR(__xludf.DUMMYFUNCTION("MAX(FILTER($H:$H,$E:$E=F62))"),3.0)</f>
        <v>3</v>
      </c>
    </row>
    <row r="63">
      <c r="A63" s="4"/>
      <c r="C63" s="4" t="s">
        <v>3189</v>
      </c>
      <c r="D63" s="4" t="str">
        <f t="shared" si="1"/>
        <v>{"valorA":"em","valorB":1}</v>
      </c>
      <c r="E63" s="8" t="str">
        <f t="shared" si="2"/>
        <v>em</v>
      </c>
      <c r="F63" s="8" t="str">
        <f>IFERROR(__xludf.DUMMYFUNCTION("""COMPUTED_VALUE"""),"desse")</f>
        <v>desse</v>
      </c>
      <c r="G63" s="8" t="str">
        <f t="shared" si="3"/>
        <v>1</v>
      </c>
      <c r="H63" s="9">
        <f t="shared" si="4"/>
        <v>1</v>
      </c>
      <c r="I63" s="10">
        <f>IFERROR(__xludf.DUMMYFUNCTION("MAX(FILTER($H:$H,$E:$E=F63))"),3.0)</f>
        <v>3</v>
      </c>
    </row>
    <row r="64">
      <c r="A64" s="4"/>
      <c r="C64" s="4" t="s">
        <v>2671</v>
      </c>
      <c r="D64" s="4" t="str">
        <f t="shared" si="1"/>
        <v>{"valorA":"ótimo","valorB":7}</v>
      </c>
      <c r="E64" s="8" t="str">
        <f t="shared" si="2"/>
        <v>ótimo</v>
      </c>
      <c r="F64" s="8" t="str">
        <f>IFERROR(__xludf.DUMMYFUNCTION("""COMPUTED_VALUE"""),"led")</f>
        <v>led</v>
      </c>
      <c r="G64" s="8" t="str">
        <f t="shared" si="3"/>
        <v>7</v>
      </c>
      <c r="H64" s="9">
        <f t="shared" si="4"/>
        <v>7</v>
      </c>
      <c r="I64" s="10">
        <f>IFERROR(__xludf.DUMMYFUNCTION("MAX(FILTER($H:$H,$E:$E=F64))"),3.0)</f>
        <v>3</v>
      </c>
    </row>
    <row r="65">
      <c r="A65" s="4"/>
      <c r="C65" s="4" t="s">
        <v>11975</v>
      </c>
      <c r="D65" s="4" t="str">
        <f t="shared" si="1"/>
        <v>{"valorA":"dificuldade","valorB":1}</v>
      </c>
      <c r="E65" s="8" t="str">
        <f t="shared" si="2"/>
        <v>dificuldade</v>
      </c>
      <c r="F65" s="8" t="str">
        <f>IFERROR(__xludf.DUMMYFUNCTION("""COMPUTED_VALUE"""),"satisfeito")</f>
        <v>satisfeito</v>
      </c>
      <c r="G65" s="8" t="str">
        <f t="shared" si="3"/>
        <v>1</v>
      </c>
      <c r="H65" s="9">
        <f t="shared" si="4"/>
        <v>1</v>
      </c>
      <c r="I65" s="10">
        <f>IFERROR(__xludf.DUMMYFUNCTION("MAX(FILTER($H:$H,$E:$E=F65))"),2.0)</f>
        <v>2</v>
      </c>
    </row>
    <row r="66">
      <c r="A66" s="4"/>
      <c r="C66" s="4" t="s">
        <v>11976</v>
      </c>
      <c r="D66" s="4" t="str">
        <f t="shared" si="1"/>
        <v>{"valorA":"se","valorB":1}</v>
      </c>
      <c r="E66" s="8" t="str">
        <f t="shared" si="2"/>
        <v>se</v>
      </c>
      <c r="F66" s="8" t="str">
        <f>IFERROR(__xludf.DUMMYFUNCTION("""COMPUTED_VALUE"""),"do")</f>
        <v>do</v>
      </c>
      <c r="G66" s="8" t="str">
        <f t="shared" si="3"/>
        <v>1</v>
      </c>
      <c r="H66" s="9">
        <f t="shared" si="4"/>
        <v>1</v>
      </c>
      <c r="I66" s="10">
        <f>IFERROR(__xludf.DUMMYFUNCTION("MAX(FILTER($H:$H,$E:$E=F66))"),8.0)</f>
        <v>8</v>
      </c>
    </row>
    <row r="67">
      <c r="A67" s="4"/>
      <c r="C67" s="4" t="s">
        <v>3480</v>
      </c>
      <c r="D67" s="4" t="str">
        <f t="shared" si="1"/>
        <v>{"valorA":"tem","valorB":1}</v>
      </c>
      <c r="E67" s="8" t="str">
        <f t="shared" si="2"/>
        <v>tem</v>
      </c>
      <c r="F67" s="8" t="str">
        <f>IFERROR(__xludf.DUMMYFUNCTION("""COMPUTED_VALUE"""),"valeram")</f>
        <v>valeram</v>
      </c>
      <c r="G67" s="8" t="str">
        <f t="shared" si="3"/>
        <v>1</v>
      </c>
      <c r="H67" s="9">
        <f t="shared" si="4"/>
        <v>1</v>
      </c>
      <c r="I67" s="10">
        <f>IFERROR(__xludf.DUMMYFUNCTION("MAX(FILTER($H:$H,$E:$E=F67))"),1.0)</f>
        <v>1</v>
      </c>
    </row>
    <row r="68">
      <c r="A68" s="4"/>
      <c r="C68" s="4" t="s">
        <v>2744</v>
      </c>
      <c r="D68" s="4" t="str">
        <f t="shared" si="1"/>
        <v>{"valorA":"para","valorB":3}</v>
      </c>
      <c r="E68" s="8" t="str">
        <f t="shared" si="2"/>
        <v>para</v>
      </c>
      <c r="F68" s="8" t="str">
        <f>IFERROR(__xludf.DUMMYFUNCTION("""COMPUTED_VALUE"""),"aquele")</f>
        <v>aquele</v>
      </c>
      <c r="G68" s="8" t="str">
        <f t="shared" si="3"/>
        <v>3</v>
      </c>
      <c r="H68" s="9">
        <f t="shared" si="4"/>
        <v>3</v>
      </c>
      <c r="I68" s="10">
        <f>IFERROR(__xludf.DUMMYFUNCTION("MAX(FILTER($H:$H,$E:$E=F68))"),2.0)</f>
        <v>2</v>
      </c>
    </row>
    <row r="69">
      <c r="A69" s="4"/>
      <c r="C69" s="4" t="s">
        <v>11977</v>
      </c>
      <c r="D69" s="4" t="str">
        <f t="shared" si="1"/>
        <v>{"valorA":"coisas","valorB":2}</v>
      </c>
      <c r="E69" s="8" t="str">
        <f t="shared" si="2"/>
        <v>coisas</v>
      </c>
      <c r="F69" s="8" t="str">
        <f>IFERROR(__xludf.DUMMYFUNCTION("""COMPUTED_VALUE"""),"mas")</f>
        <v>mas</v>
      </c>
      <c r="G69" s="8" t="str">
        <f t="shared" si="3"/>
        <v>2</v>
      </c>
      <c r="H69" s="9">
        <f t="shared" si="4"/>
        <v>2</v>
      </c>
      <c r="I69" s="10">
        <f>IFERROR(__xludf.DUMMYFUNCTION("MAX(FILTER($H:$H,$E:$E=F69))"),8.0)</f>
        <v>8</v>
      </c>
    </row>
    <row r="70">
      <c r="A70" s="4"/>
      <c r="C70" s="4" t="s">
        <v>2759</v>
      </c>
      <c r="D70" s="4" t="str">
        <f t="shared" si="1"/>
        <v>{"valorA":"para","valorB":4}</v>
      </c>
      <c r="E70" s="8" t="str">
        <f t="shared" si="2"/>
        <v>para</v>
      </c>
      <c r="F70" s="8" t="str">
        <f>IFERROR(__xludf.DUMMYFUNCTION("""COMPUTED_VALUE"""),"gostaria")</f>
        <v>gostaria</v>
      </c>
      <c r="G70" s="8" t="str">
        <f t="shared" si="3"/>
        <v>4</v>
      </c>
      <c r="H70" s="9">
        <f t="shared" si="4"/>
        <v>4</v>
      </c>
      <c r="I70" s="10">
        <f>IFERROR(__xludf.DUMMYFUNCTION("MAX(FILTER($H:$H,$E:$E=F70))"),1.0)</f>
        <v>1</v>
      </c>
    </row>
    <row r="71">
      <c r="A71" s="4"/>
      <c r="C71" s="4" t="s">
        <v>2674</v>
      </c>
      <c r="D71" s="4" t="str">
        <f t="shared" si="1"/>
        <v>{"valorA":"produto","valorB":5}</v>
      </c>
      <c r="E71" s="8" t="str">
        <f t="shared" si="2"/>
        <v>produto</v>
      </c>
      <c r="F71" s="8" t="str">
        <f>IFERROR(__xludf.DUMMYFUNCTION("""COMPUTED_VALUE"""),"comprálo")</f>
        <v>comprálo</v>
      </c>
      <c r="G71" s="8" t="str">
        <f t="shared" si="3"/>
        <v>5</v>
      </c>
      <c r="H71" s="9">
        <f t="shared" si="4"/>
        <v>5</v>
      </c>
      <c r="I71" s="10">
        <f>IFERROR(__xludf.DUMMYFUNCTION("MAX(FILTER($H:$H,$E:$E=F71))"),1.0)</f>
        <v>1</v>
      </c>
    </row>
    <row r="72">
      <c r="A72" s="4"/>
      <c r="C72" s="4" t="s">
        <v>2673</v>
      </c>
      <c r="D72" s="4" t="str">
        <f t="shared" si="1"/>
        <v>{"valorA":"ótimo","valorB":8}</v>
      </c>
      <c r="E72" s="8" t="str">
        <f t="shared" si="2"/>
        <v>ótimo</v>
      </c>
      <c r="F72" s="8" t="str">
        <f>IFERROR(__xludf.DUMMYFUNCTION("""COMPUTED_VALUE"""),"novamente")</f>
        <v>novamente</v>
      </c>
      <c r="G72" s="8" t="str">
        <f t="shared" si="3"/>
        <v>8</v>
      </c>
      <c r="H72" s="9">
        <f t="shared" si="4"/>
        <v>8</v>
      </c>
      <c r="I72" s="10">
        <f>IFERROR(__xludf.DUMMYFUNCTION("MAX(FILTER($H:$H,$E:$E=F72))"),1.0)</f>
        <v>1</v>
      </c>
    </row>
    <row r="73">
      <c r="A73" s="4"/>
      <c r="C73" s="4" t="s">
        <v>7076</v>
      </c>
      <c r="D73" s="4" t="str">
        <f t="shared" si="1"/>
        <v>{"valorA":"wireless","valorB":1}</v>
      </c>
      <c r="E73" s="8" t="str">
        <f t="shared" si="2"/>
        <v>wireless</v>
      </c>
      <c r="F73" s="8" t="str">
        <f>IFERROR(__xludf.DUMMYFUNCTION("""COMPUTED_VALUE"""),"solar")</f>
        <v>solar</v>
      </c>
      <c r="G73" s="8" t="str">
        <f t="shared" si="3"/>
        <v>1</v>
      </c>
      <c r="H73" s="9">
        <f t="shared" si="4"/>
        <v>1</v>
      </c>
      <c r="I73" s="10">
        <f>IFERROR(__xludf.DUMMYFUNCTION("MAX(FILTER($H:$H,$E:$E=F73))"),1.0)</f>
        <v>1</v>
      </c>
    </row>
    <row r="74">
      <c r="A74" s="4"/>
      <c r="C74" s="4" t="s">
        <v>2856</v>
      </c>
      <c r="D74" s="4" t="str">
        <f t="shared" si="1"/>
        <v>{"valorA":"quem","valorB":2}</v>
      </c>
      <c r="E74" s="8" t="str">
        <f t="shared" si="2"/>
        <v>quem</v>
      </c>
      <c r="F74" s="8" t="str">
        <f>IFERROR(__xludf.DUMMYFUNCTION("""COMPUTED_VALUE"""),"confortável")</f>
        <v>confortável</v>
      </c>
      <c r="G74" s="8" t="str">
        <f t="shared" si="3"/>
        <v>2</v>
      </c>
      <c r="H74" s="9">
        <f t="shared" si="4"/>
        <v>2</v>
      </c>
      <c r="I74" s="10">
        <f>IFERROR(__xludf.DUMMYFUNCTION("MAX(FILTER($H:$H,$E:$E=F74))"),1.0)</f>
        <v>1</v>
      </c>
    </row>
    <row r="75">
      <c r="A75" s="4"/>
      <c r="C75" s="4" t="s">
        <v>3025</v>
      </c>
      <c r="D75" s="4" t="str">
        <f t="shared" si="1"/>
        <v>{"valorA":"um","valorB":1}</v>
      </c>
      <c r="E75" s="8" t="str">
        <f t="shared" si="2"/>
        <v>um</v>
      </c>
      <c r="F75" s="8" t="str">
        <f>IFERROR(__xludf.DUMMYFUNCTION("""COMPUTED_VALUE"""),"carro")</f>
        <v>carro</v>
      </c>
      <c r="G75" s="8" t="str">
        <f t="shared" si="3"/>
        <v>1</v>
      </c>
      <c r="H75" s="9">
        <f t="shared" si="4"/>
        <v>1</v>
      </c>
      <c r="I75" s="10">
        <f>IFERROR(__xludf.DUMMYFUNCTION("MAX(FILTER($H:$H,$E:$E=F75))"),1.0)</f>
        <v>1</v>
      </c>
    </row>
    <row r="76">
      <c r="A76" s="4"/>
      <c r="C76" s="4" t="s">
        <v>11978</v>
      </c>
      <c r="D76" s="4" t="str">
        <f t="shared" si="1"/>
        <v>{"valorA":"mouse","valorB":1}</v>
      </c>
      <c r="E76" s="8" t="str">
        <f t="shared" si="2"/>
        <v>mouse</v>
      </c>
      <c r="F76" s="8" t="str">
        <f>IFERROR(__xludf.DUMMYFUNCTION("""COMPUTED_VALUE"""),"seguro")</f>
        <v>seguro</v>
      </c>
      <c r="G76" s="8" t="str">
        <f t="shared" si="3"/>
        <v>1</v>
      </c>
      <c r="H76" s="9">
        <f t="shared" si="4"/>
        <v>1</v>
      </c>
      <c r="I76" s="10">
        <f>IFERROR(__xludf.DUMMYFUNCTION("MAX(FILTER($H:$H,$E:$E=F76))"),1.0)</f>
        <v>1</v>
      </c>
    </row>
    <row r="77">
      <c r="A77" s="4"/>
      <c r="C77" s="4" t="s">
        <v>2622</v>
      </c>
      <c r="D77" s="4" t="str">
        <f t="shared" si="1"/>
        <v>{"valorA":"confiável","valorB":1}</v>
      </c>
      <c r="E77" s="8" t="str">
        <f t="shared" si="2"/>
        <v>confiável</v>
      </c>
      <c r="F77" s="8" t="str">
        <f>IFERROR(__xludf.DUMMYFUNCTION("""COMPUTED_VALUE"""),"esse")</f>
        <v>esse</v>
      </c>
      <c r="G77" s="8" t="str">
        <f t="shared" si="3"/>
        <v>1</v>
      </c>
      <c r="H77" s="9">
        <f t="shared" si="4"/>
        <v>1</v>
      </c>
      <c r="I77" s="10">
        <f>IFERROR(__xludf.DUMMYFUNCTION("MAX(FILTER($H:$H,$E:$E=F77))"),1.0)</f>
        <v>1</v>
      </c>
    </row>
    <row r="78">
      <c r="A78" s="4"/>
      <c r="C78" s="4" t="s">
        <v>3089</v>
      </c>
      <c r="D78" s="4" t="str">
        <f t="shared" si="1"/>
        <v>{"valorA":"busca","valorB":1}</v>
      </c>
      <c r="E78" s="8" t="str">
        <f t="shared" si="2"/>
        <v>busca</v>
      </c>
      <c r="F78" s="8" t="str">
        <f>IFERROR(__xludf.DUMMYFUNCTION("""COMPUTED_VALUE"""),"precio")</f>
        <v>precio</v>
      </c>
      <c r="G78" s="8" t="str">
        <f t="shared" si="3"/>
        <v>1</v>
      </c>
      <c r="H78" s="9">
        <f t="shared" si="4"/>
        <v>1</v>
      </c>
      <c r="I78" s="10">
        <f>IFERROR(__xludf.DUMMYFUNCTION("MAX(FILTER($H:$H,$E:$E=F78))"),1.0)</f>
        <v>1</v>
      </c>
    </row>
    <row r="79">
      <c r="A79" s="4"/>
      <c r="C79" s="4" t="s">
        <v>3034</v>
      </c>
      <c r="D79" s="4" t="str">
        <f t="shared" si="1"/>
        <v>{"valorA":"excelente","valorB":1}</v>
      </c>
      <c r="E79" s="8" t="str">
        <f t="shared" si="2"/>
        <v>excelente</v>
      </c>
      <c r="F79" s="8" t="str">
        <f>IFERROR(__xludf.DUMMYFUNCTION("""COMPUTED_VALUE"""),"recomendo")</f>
        <v>recomendo</v>
      </c>
      <c r="G79" s="8" t="str">
        <f t="shared" si="3"/>
        <v>1</v>
      </c>
      <c r="H79" s="9">
        <f t="shared" si="4"/>
        <v>1</v>
      </c>
      <c r="I79" s="10">
        <f>IFERROR(__xludf.DUMMYFUNCTION("MAX(FILTER($H:$H,$E:$E=F79))"),3.0)</f>
        <v>3</v>
      </c>
    </row>
    <row r="80">
      <c r="A80" s="4"/>
      <c r="C80" s="4" t="s">
        <v>2805</v>
      </c>
      <c r="D80" s="4" t="str">
        <f t="shared" si="1"/>
        <v>{"valorA":"para","valorB":5}</v>
      </c>
      <c r="E80" s="8" t="str">
        <f t="shared" si="2"/>
        <v>para</v>
      </c>
      <c r="F80" s="8" t="str">
        <f>IFERROR(__xludf.DUMMYFUNCTION("""COMPUTED_VALUE"""),"odeio")</f>
        <v>odeio</v>
      </c>
      <c r="G80" s="8" t="str">
        <f t="shared" si="3"/>
        <v>5</v>
      </c>
      <c r="H80" s="9">
        <f t="shared" si="4"/>
        <v>5</v>
      </c>
      <c r="I80" s="10">
        <f>IFERROR(__xludf.DUMMYFUNCTION("MAX(FILTER($H:$H,$E:$E=F80))"),1.0)</f>
        <v>1</v>
      </c>
    </row>
    <row r="81">
      <c r="A81" s="4"/>
      <c r="C81" s="4" t="s">
        <v>2684</v>
      </c>
      <c r="D81" s="4" t="str">
        <f t="shared" si="1"/>
        <v>{"valorA":"ótimo","valorB":9}</v>
      </c>
      <c r="E81" s="8" t="str">
        <f t="shared" si="2"/>
        <v>ótimo</v>
      </c>
      <c r="F81" s="8" t="str">
        <f>IFERROR(__xludf.DUMMYFUNCTION("""COMPUTED_VALUE"""),"me")</f>
        <v>me</v>
      </c>
      <c r="G81" s="8" t="str">
        <f t="shared" si="3"/>
        <v>9</v>
      </c>
      <c r="H81" s="9">
        <f t="shared" si="4"/>
        <v>9</v>
      </c>
      <c r="I81" s="10">
        <f>IFERROR(__xludf.DUMMYFUNCTION("MAX(FILTER($H:$H,$E:$E=F81))"),2.0)</f>
        <v>2</v>
      </c>
    </row>
    <row r="82">
      <c r="A82" s="4"/>
      <c r="C82" s="4" t="s">
        <v>2682</v>
      </c>
      <c r="D82" s="4" t="str">
        <f t="shared" si="1"/>
        <v>{"valorA":"produto","valorB":6}</v>
      </c>
      <c r="E82" s="8" t="str">
        <f t="shared" si="2"/>
        <v>produto</v>
      </c>
      <c r="F82" s="8" t="str">
        <f>IFERROR(__xludf.DUMMYFUNCTION("""COMPUTED_VALUE"""),"1")</f>
        <v>1</v>
      </c>
      <c r="G82" s="8" t="str">
        <f t="shared" si="3"/>
        <v>6</v>
      </c>
      <c r="H82" s="9">
        <f t="shared" si="4"/>
        <v>6</v>
      </c>
      <c r="I82" s="10">
        <f>IFERROR(__xludf.DUMMYFUNCTION("MAX(FILTER($H:$H,$E:$E=F82))"),1.0)</f>
        <v>1</v>
      </c>
    </row>
    <row r="83">
      <c r="A83" s="4"/>
      <c r="C83" s="4" t="s">
        <v>3181</v>
      </c>
      <c r="D83" s="4" t="str">
        <f t="shared" si="1"/>
        <v>{"valorA":"quem","valorB":3}</v>
      </c>
      <c r="E83" s="8" t="str">
        <f t="shared" si="2"/>
        <v>quem</v>
      </c>
      <c r="F83" s="8" t="str">
        <f>IFERROR(__xludf.DUMMYFUNCTION("""COMPUTED_VALUE"""),"eu")</f>
        <v>eu</v>
      </c>
      <c r="G83" s="8" t="str">
        <f t="shared" si="3"/>
        <v>3</v>
      </c>
      <c r="H83" s="9">
        <f t="shared" si="4"/>
        <v>3</v>
      </c>
      <c r="I83" s="10">
        <f>IFERROR(__xludf.DUMMYFUNCTION("MAX(FILTER($H:$H,$E:$E=F83))"),1.0)</f>
        <v>1</v>
      </c>
    </row>
    <row r="84">
      <c r="A84" s="4"/>
      <c r="C84" s="4" t="s">
        <v>3046</v>
      </c>
      <c r="D84" s="4" t="str">
        <f t="shared" si="1"/>
        <v>{"valorA":"um","valorB":2}</v>
      </c>
      <c r="E84" s="8" t="str">
        <f t="shared" si="2"/>
        <v>um</v>
      </c>
      <c r="F84" s="8" t="str">
        <f>IFERROR(__xludf.DUMMYFUNCTION("""COMPUTED_VALUE"""),"valor")</f>
        <v>valor</v>
      </c>
      <c r="G84" s="8" t="str">
        <f t="shared" si="3"/>
        <v>2</v>
      </c>
      <c r="H84" s="9">
        <f t="shared" si="4"/>
        <v>2</v>
      </c>
      <c r="I84" s="10">
        <f>IFERROR(__xludf.DUMMYFUNCTION("MAX(FILTER($H:$H,$E:$E=F84))"),1.0)</f>
        <v>1</v>
      </c>
    </row>
    <row r="85">
      <c r="A85" s="4"/>
      <c r="C85" s="4" t="s">
        <v>2864</v>
      </c>
      <c r="D85" s="4" t="str">
        <f t="shared" si="1"/>
        <v>{"valorA":"perfeito","valorB":1}</v>
      </c>
      <c r="E85" s="8" t="str">
        <f t="shared" si="2"/>
        <v>perfeito</v>
      </c>
      <c r="F85" s="8" t="str">
        <f>IFERROR(__xludf.DUMMYFUNCTION("""COMPUTED_VALUE"""),"fique")</f>
        <v>fique</v>
      </c>
      <c r="G85" s="8" t="str">
        <f t="shared" si="3"/>
        <v>1</v>
      </c>
      <c r="H85" s="9">
        <f t="shared" si="4"/>
        <v>1</v>
      </c>
      <c r="I85" s="10">
        <f>IFERROR(__xludf.DUMMYFUNCTION("MAX(FILTER($H:$H,$E:$E=F85))"),1.0)</f>
        <v>1</v>
      </c>
    </row>
    <row r="86">
      <c r="A86" s="4"/>
      <c r="C86" s="4" t="s">
        <v>3176</v>
      </c>
      <c r="D86" s="4" t="str">
        <f t="shared" si="1"/>
        <v>{"valorA":"busca","valorB":2}</v>
      </c>
      <c r="E86" s="8" t="str">
        <f t="shared" si="2"/>
        <v>busca</v>
      </c>
      <c r="F86" s="8" t="str">
        <f>IFERROR(__xludf.DUMMYFUNCTION("""COMPUTED_VALUE"""),"diferença")</f>
        <v>diferença</v>
      </c>
      <c r="G86" s="8" t="str">
        <f t="shared" si="3"/>
        <v>2</v>
      </c>
      <c r="H86" s="9">
        <f t="shared" si="4"/>
        <v>2</v>
      </c>
      <c r="I86" s="10">
        <f>IFERROR(__xludf.DUMMYFUNCTION("MAX(FILTER($H:$H,$E:$E=F86))"),2.0)</f>
        <v>2</v>
      </c>
    </row>
    <row r="87">
      <c r="A87" s="4"/>
      <c r="C87" s="4" t="s">
        <v>3132</v>
      </c>
      <c r="D87" s="4" t="str">
        <f t="shared" si="1"/>
        <v>{"valorA":"brilho","valorB":1}</v>
      </c>
      <c r="E87" s="8" t="str">
        <f t="shared" si="2"/>
        <v>brilho</v>
      </c>
      <c r="F87" s="8" t="str">
        <f>IFERROR(__xludf.DUMMYFUNCTION("""COMPUTED_VALUE"""),"paguei")</f>
        <v>paguei</v>
      </c>
      <c r="G87" s="8" t="str">
        <f t="shared" si="3"/>
        <v>1</v>
      </c>
      <c r="H87" s="9">
        <f t="shared" si="4"/>
        <v>1</v>
      </c>
      <c r="I87" s="10">
        <f>IFERROR(__xludf.DUMMYFUNCTION("MAX(FILTER($H:$H,$E:$E=F87))"),2.0)</f>
        <v>2</v>
      </c>
    </row>
    <row r="88">
      <c r="A88" s="4"/>
      <c r="C88" s="4" t="s">
        <v>3394</v>
      </c>
      <c r="D88" s="4" t="str">
        <f t="shared" si="1"/>
        <v>{"valorA":"em","valorB":2}</v>
      </c>
      <c r="E88" s="8" t="str">
        <f t="shared" si="2"/>
        <v>em</v>
      </c>
      <c r="F88" s="8" t="str">
        <f>IFERROR(__xludf.DUMMYFUNCTION("""COMPUTED_VALUE"""),"valeria")</f>
        <v>valeria</v>
      </c>
      <c r="G88" s="8" t="str">
        <f t="shared" si="3"/>
        <v>2</v>
      </c>
      <c r="H88" s="9">
        <f t="shared" si="4"/>
        <v>2</v>
      </c>
      <c r="I88" s="10">
        <f>IFERROR(__xludf.DUMMYFUNCTION("MAX(FILTER($H:$H,$E:$E=F88))"),1.0)</f>
        <v>1</v>
      </c>
    </row>
    <row r="89">
      <c r="A89" s="4"/>
      <c r="C89" s="4" t="s">
        <v>3184</v>
      </c>
      <c r="D89" s="4" t="str">
        <f t="shared" si="1"/>
        <v>{"valorA":"casa","valorB":1}</v>
      </c>
      <c r="E89" s="8" t="str">
        <f t="shared" si="2"/>
        <v>casa</v>
      </c>
      <c r="F89" s="8" t="str">
        <f>IFERROR(__xludf.DUMMYFUNCTION("""COMPUTED_VALUE"""),"alguns")</f>
        <v>alguns</v>
      </c>
      <c r="G89" s="8" t="str">
        <f t="shared" si="3"/>
        <v>1</v>
      </c>
      <c r="H89" s="9">
        <f t="shared" si="4"/>
        <v>1</v>
      </c>
      <c r="I89" s="10">
        <f>IFERROR(__xludf.DUMMYFUNCTION("MAX(FILTER($H:$H,$E:$E=F89))"),1.0)</f>
        <v>1</v>
      </c>
    </row>
    <row r="90">
      <c r="A90" s="4"/>
      <c r="C90" s="4" t="s">
        <v>3030</v>
      </c>
      <c r="D90" s="4" t="str">
        <f t="shared" si="1"/>
        <v>{"valorA":"econômico","valorB":1}</v>
      </c>
      <c r="E90" s="8" t="str">
        <f t="shared" si="2"/>
        <v>econômico</v>
      </c>
      <c r="F90" s="8" t="str">
        <f>IFERROR(__xludf.DUMMYFUNCTION("""COMPUTED_VALUE"""),"atento")</f>
        <v>atento</v>
      </c>
      <c r="G90" s="8" t="str">
        <f t="shared" si="3"/>
        <v>1</v>
      </c>
      <c r="H90" s="9">
        <f t="shared" si="4"/>
        <v>1</v>
      </c>
      <c r="I90" s="10">
        <f>IFERROR(__xludf.DUMMYFUNCTION("MAX(FILTER($H:$H,$E:$E=F90))"),1.0)</f>
        <v>1</v>
      </c>
    </row>
    <row r="91">
      <c r="A91" s="4"/>
      <c r="C91" s="4" t="s">
        <v>2738</v>
      </c>
      <c r="D91" s="4" t="str">
        <f t="shared" si="1"/>
        <v>{"valorA":"de","valorB":4}</v>
      </c>
      <c r="E91" s="8" t="str">
        <f t="shared" si="2"/>
        <v>de</v>
      </c>
      <c r="F91" s="8" t="str">
        <f>IFERROR(__xludf.DUMMYFUNCTION("""COMPUTED_VALUE"""),"a")</f>
        <v>a</v>
      </c>
      <c r="G91" s="8" t="str">
        <f t="shared" si="3"/>
        <v>4</v>
      </c>
      <c r="H91" s="9">
        <f t="shared" si="4"/>
        <v>4</v>
      </c>
      <c r="I91" s="10">
        <f>IFERROR(__xludf.DUMMYFUNCTION("MAX(FILTER($H:$H,$E:$E=F91))"),7.0)</f>
        <v>7</v>
      </c>
    </row>
    <row r="92">
      <c r="A92" s="4"/>
      <c r="C92" s="4" t="s">
        <v>2693</v>
      </c>
      <c r="D92" s="4" t="str">
        <f t="shared" si="1"/>
        <v>{"valorA":"produto","valorB":7}</v>
      </c>
      <c r="E92" s="8" t="str">
        <f t="shared" si="2"/>
        <v>produto</v>
      </c>
      <c r="F92" s="8" t="str">
        <f>IFERROR(__xludf.DUMMYFUNCTION("""COMPUTED_VALUE"""),"exempl")</f>
        <v>exempl</v>
      </c>
      <c r="G92" s="8" t="str">
        <f t="shared" si="3"/>
        <v>7</v>
      </c>
      <c r="H92" s="9">
        <f t="shared" si="4"/>
        <v>7</v>
      </c>
      <c r="I92" s="10">
        <f>IFERROR(__xludf.DUMMYFUNCTION("MAX(FILTER($H:$H,$E:$E=F92))"),1.0)</f>
        <v>1</v>
      </c>
    </row>
    <row r="93">
      <c r="A93" s="4"/>
      <c r="C93" s="4" t="s">
        <v>2690</v>
      </c>
      <c r="D93" s="4" t="str">
        <f t="shared" si="1"/>
        <v>{"valorA":"ótimo","valorB":10}</v>
      </c>
      <c r="E93" s="8" t="str">
        <f t="shared" si="2"/>
        <v>ótimo</v>
      </c>
      <c r="F93" s="8" t="str">
        <f>IFERROR(__xludf.DUMMYFUNCTION("""COMPUTED_VALUE"""),"valeu")</f>
        <v>valeu</v>
      </c>
      <c r="G93" s="8" t="str">
        <f t="shared" si="3"/>
        <v>10</v>
      </c>
      <c r="H93" s="9">
        <f t="shared" si="4"/>
        <v>10</v>
      </c>
      <c r="I93" s="10">
        <f>IFERROR(__xludf.DUMMYFUNCTION("MAX(FILTER($H:$H,$E:$E=F93))"),4.0)</f>
        <v>4</v>
      </c>
    </row>
    <row r="94">
      <c r="A94" s="4"/>
      <c r="C94" s="4" t="s">
        <v>2723</v>
      </c>
      <c r="D94" s="4" t="str">
        <f t="shared" si="1"/>
        <v>{"valorA":"usar","valorB":2}</v>
      </c>
      <c r="E94" s="8" t="str">
        <f t="shared" si="2"/>
        <v>usar</v>
      </c>
      <c r="F94" s="8" t="str">
        <f>IFERROR(__xludf.DUMMYFUNCTION("""COMPUTED_VALUE"""),"espera")</f>
        <v>espera</v>
      </c>
      <c r="G94" s="8" t="str">
        <f t="shared" si="3"/>
        <v>2</v>
      </c>
      <c r="H94" s="9">
        <f t="shared" si="4"/>
        <v>2</v>
      </c>
      <c r="I94" s="10">
        <f>IFERROR(__xludf.DUMMYFUNCTION("MAX(FILTER($H:$H,$E:$E=F94))"),2.0)</f>
        <v>2</v>
      </c>
    </row>
    <row r="95">
      <c r="A95" s="4"/>
      <c r="C95" s="4" t="s">
        <v>2722</v>
      </c>
      <c r="D95" s="4" t="str">
        <f t="shared" si="1"/>
        <v>{"valorA":"fácil","valorB":2}</v>
      </c>
      <c r="E95" s="8" t="str">
        <f t="shared" si="2"/>
        <v>fácil</v>
      </c>
      <c r="F95" s="8" t="str">
        <f>IFERROR(__xludf.DUMMYFUNCTION("""COMPUTED_VALUE"""),"todos")</f>
        <v>todos</v>
      </c>
      <c r="G95" s="8" t="str">
        <f t="shared" si="3"/>
        <v>2</v>
      </c>
      <c r="H95" s="9">
        <f t="shared" si="4"/>
        <v>2</v>
      </c>
      <c r="I95" s="10">
        <f>IFERROR(__xludf.DUMMYFUNCTION("MAX(FILTER($H:$H,$E:$E=F95))"),1.0)</f>
        <v>1</v>
      </c>
    </row>
    <row r="96">
      <c r="A96" s="4"/>
      <c r="C96" s="4" t="s">
        <v>2701</v>
      </c>
      <c r="D96" s="4" t="str">
        <f t="shared" si="1"/>
        <v>{"valorA":"e","valorB":3}</v>
      </c>
      <c r="E96" s="8" t="str">
        <f t="shared" si="2"/>
        <v>e</v>
      </c>
      <c r="F96" s="8" t="str">
        <f>IFERROR(__xludf.DUMMYFUNCTION("""COMPUTED_VALUE"""),"defeitos")</f>
        <v>defeitos</v>
      </c>
      <c r="G96" s="8" t="str">
        <f t="shared" si="3"/>
        <v>3</v>
      </c>
      <c r="H96" s="9">
        <f t="shared" si="4"/>
        <v>3</v>
      </c>
      <c r="I96" s="10">
        <f>IFERROR(__xludf.DUMMYFUNCTION("MAX(FILTER($H:$H,$E:$E=F96))"),1.0)</f>
        <v>1</v>
      </c>
    </row>
    <row r="97">
      <c r="A97" s="4"/>
      <c r="C97" s="4" t="s">
        <v>2698</v>
      </c>
      <c r="D97" s="4" t="str">
        <f t="shared" si="1"/>
        <v>{"valorA":"ótimo","valorB":11}</v>
      </c>
      <c r="E97" s="8" t="str">
        <f t="shared" si="2"/>
        <v>ótimo</v>
      </c>
      <c r="F97" s="8" t="str">
        <f>IFERROR(__xludf.DUMMYFUNCTION("""COMPUTED_VALUE"""),"bom")</f>
        <v>bom</v>
      </c>
      <c r="G97" s="8" t="str">
        <f t="shared" si="3"/>
        <v>11</v>
      </c>
      <c r="H97" s="9">
        <f t="shared" si="4"/>
        <v>11</v>
      </c>
      <c r="I97" s="10">
        <f>IFERROR(__xludf.DUMMYFUNCTION("MAX(FILTER($H:$H,$E:$E=F97))"),2.0)</f>
        <v>2</v>
      </c>
    </row>
    <row r="98">
      <c r="A98" s="4"/>
      <c r="C98" s="4" t="s">
        <v>7515</v>
      </c>
      <c r="D98" s="4" t="str">
        <f t="shared" si="1"/>
        <v>{"valorA":"preçoqualidade","valorB":1}</v>
      </c>
      <c r="E98" s="8" t="str">
        <f t="shared" si="2"/>
        <v>preçoqualidade</v>
      </c>
      <c r="F98" s="8" t="str">
        <f>IFERROR(__xludf.DUMMYFUNCTION("""COMPUTED_VALUE"""),"sem")</f>
        <v>sem</v>
      </c>
      <c r="G98" s="8" t="str">
        <f t="shared" si="3"/>
        <v>1</v>
      </c>
      <c r="H98" s="9">
        <f t="shared" si="4"/>
        <v>1</v>
      </c>
      <c r="I98" s="10">
        <f>IFERROR(__xludf.DUMMYFUNCTION("MAX(FILTER($H:$H,$E:$E=F98))"),1.0)</f>
        <v>1</v>
      </c>
    </row>
    <row r="99">
      <c r="A99" s="4"/>
      <c r="C99" s="4" t="s">
        <v>2923</v>
      </c>
      <c r="D99" s="4" t="str">
        <f t="shared" si="1"/>
        <v>{"valorA":"fico","valorB":1}</v>
      </c>
      <c r="E99" s="8" t="str">
        <f t="shared" si="2"/>
        <v>fico</v>
      </c>
      <c r="F99" s="8" t="str">
        <f>IFERROR(__xludf.DUMMYFUNCTION("""COMPUTED_VALUE"""),"scanner")</f>
        <v>scanner</v>
      </c>
      <c r="G99" s="8" t="str">
        <f t="shared" si="3"/>
        <v>1</v>
      </c>
      <c r="H99" s="9">
        <f t="shared" si="4"/>
        <v>1</v>
      </c>
      <c r="I99" s="10">
        <f>IFERROR(__xludf.DUMMYFUNCTION("MAX(FILTER($H:$H,$E:$E=F99))"),3.0)</f>
        <v>3</v>
      </c>
    </row>
    <row r="100">
      <c r="A100" s="4"/>
      <c r="C100" s="4" t="s">
        <v>2705</v>
      </c>
      <c r="D100" s="4" t="str">
        <f t="shared" si="1"/>
        <v>{"valorA":"muito","valorB":3}</v>
      </c>
      <c r="E100" s="8" t="str">
        <f t="shared" si="2"/>
        <v>muito</v>
      </c>
      <c r="F100" s="8" t="str">
        <f>IFERROR(__xludf.DUMMYFUNCTION("""COMPUTED_VALUE"""),"resultado")</f>
        <v>resultado</v>
      </c>
      <c r="G100" s="8" t="str">
        <f t="shared" si="3"/>
        <v>3</v>
      </c>
      <c r="H100" s="9">
        <f t="shared" si="4"/>
        <v>3</v>
      </c>
      <c r="I100" s="10">
        <f>IFERROR(__xludf.DUMMYFUNCTION("MAX(FILTER($H:$H,$E:$E=F100))"),1.0)</f>
        <v>1</v>
      </c>
    </row>
    <row r="101">
      <c r="A101" s="4"/>
      <c r="C101" s="4" t="s">
        <v>3131</v>
      </c>
      <c r="D101" s="4" t="str">
        <f t="shared" si="1"/>
        <v>{"valorA":"tv","valorB":1}</v>
      </c>
      <c r="E101" s="8" t="str">
        <f t="shared" si="2"/>
        <v>tv</v>
      </c>
      <c r="F101" s="8" t="str">
        <f>IFERROR(__xludf.DUMMYFUNCTION("""COMPUTED_VALUE"""),"compra")</f>
        <v>compra</v>
      </c>
      <c r="G101" s="8" t="str">
        <f t="shared" si="3"/>
        <v>1</v>
      </c>
      <c r="H101" s="9">
        <f t="shared" si="4"/>
        <v>1</v>
      </c>
      <c r="I101" s="10">
        <f>IFERROR(__xludf.DUMMYFUNCTION("MAX(FILTER($H:$H,$E:$E=F101))"),1.0)</f>
        <v>1</v>
      </c>
    </row>
    <row r="102">
      <c r="A102" s="4"/>
      <c r="C102" s="4" t="s">
        <v>2632</v>
      </c>
      <c r="D102" s="4" t="str">
        <f t="shared" si="1"/>
        <v>{"valorA":"desse","valorB":1}</v>
      </c>
      <c r="E102" s="8" t="str">
        <f t="shared" si="2"/>
        <v>desse</v>
      </c>
      <c r="F102" s="8" t="str">
        <f>IFERROR(__xludf.DUMMYFUNCTION("""COMPUTED_VALUE"""),"boa")</f>
        <v>boa</v>
      </c>
      <c r="G102" s="8" t="str">
        <f t="shared" si="3"/>
        <v>1</v>
      </c>
      <c r="H102" s="9">
        <f t="shared" si="4"/>
        <v>1</v>
      </c>
      <c r="I102" s="10">
        <f>IFERROR(__xludf.DUMMYFUNCTION("MAX(FILTER($H:$H,$E:$E=F102))"),1.0)</f>
        <v>1</v>
      </c>
    </row>
    <row r="103">
      <c r="A103" s="4"/>
      <c r="C103" s="4" t="s">
        <v>3396</v>
      </c>
      <c r="D103" s="4" t="str">
        <f t="shared" si="1"/>
        <v>{"valorA":"led","valorB":1}</v>
      </c>
      <c r="E103" s="8" t="str">
        <f t="shared" si="2"/>
        <v>led</v>
      </c>
      <c r="F103" s="8" t="str">
        <f>IFERROR(__xludf.DUMMYFUNCTION("""COMPUTED_VALUE"""),"ótima")</f>
        <v>ótima</v>
      </c>
      <c r="G103" s="8" t="str">
        <f t="shared" si="3"/>
        <v>1</v>
      </c>
      <c r="H103" s="9">
        <f t="shared" si="4"/>
        <v>1</v>
      </c>
      <c r="I103" s="10">
        <f>IFERROR(__xludf.DUMMYFUNCTION("MAX(FILTER($H:$H,$E:$E=F103))"),1.0)</f>
        <v>1</v>
      </c>
    </row>
    <row r="104">
      <c r="A104" s="4"/>
      <c r="C104" s="4" t="s">
        <v>2665</v>
      </c>
      <c r="D104" s="4" t="str">
        <f t="shared" si="1"/>
        <v>{"valorA":"satisfeito","valorB":1}</v>
      </c>
      <c r="E104" s="8" t="str">
        <f t="shared" si="2"/>
        <v>satisfeito</v>
      </c>
      <c r="F104" s="8" t="str">
        <f>IFERROR(__xludf.DUMMYFUNCTION("""COMPUTED_VALUE"""),"começar")</f>
        <v>começar</v>
      </c>
      <c r="G104" s="8" t="str">
        <f t="shared" si="3"/>
        <v>1</v>
      </c>
      <c r="H104" s="9">
        <f t="shared" si="4"/>
        <v>1</v>
      </c>
      <c r="I104" s="10">
        <f>IFERROR(__xludf.DUMMYFUNCTION("MAX(FILTER($H:$H,$E:$E=F104))"),1.0)</f>
        <v>1</v>
      </c>
    </row>
    <row r="105">
      <c r="A105" s="4"/>
      <c r="C105" s="4" t="s">
        <v>2702</v>
      </c>
      <c r="D105" s="4" t="str">
        <f t="shared" si="1"/>
        <v>{"valorA":"ótimo","valorB":12}</v>
      </c>
      <c r="E105" s="8" t="str">
        <f t="shared" si="2"/>
        <v>ótimo</v>
      </c>
      <c r="F105" s="8" t="str">
        <f>IFERROR(__xludf.DUMMYFUNCTION("""COMPUTED_VALUE"""),"câmera")</f>
        <v>câmera</v>
      </c>
      <c r="G105" s="8" t="str">
        <f t="shared" si="3"/>
        <v>12</v>
      </c>
      <c r="H105" s="9">
        <f t="shared" si="4"/>
        <v>12</v>
      </c>
      <c r="I105" s="10">
        <f>IFERROR(__xludf.DUMMYFUNCTION("MAX(FILTER($H:$H,$E:$E=F105))"),1.0)</f>
        <v>1</v>
      </c>
    </row>
    <row r="106">
      <c r="A106" s="4"/>
      <c r="C106" s="4" t="s">
        <v>2808</v>
      </c>
      <c r="D106" s="4" t="str">
        <f t="shared" si="1"/>
        <v>{"valorA":"preço","valorB":2}</v>
      </c>
      <c r="E106" s="8" t="str">
        <f t="shared" si="2"/>
        <v>preço</v>
      </c>
      <c r="F106" s="8" t="str">
        <f>IFERROR(__xludf.DUMMYFUNCTION("""COMPUTED_VALUE"""),"frustrado")</f>
        <v>frustrado</v>
      </c>
      <c r="G106" s="8" t="str">
        <f t="shared" si="3"/>
        <v>2</v>
      </c>
      <c r="H106" s="9">
        <f t="shared" si="4"/>
        <v>2</v>
      </c>
      <c r="I106" s="10">
        <f>IFERROR(__xludf.DUMMYFUNCTION("MAX(FILTER($H:$H,$E:$E=F106))"),1.0)</f>
        <v>1</v>
      </c>
    </row>
    <row r="107">
      <c r="A107" s="4"/>
      <c r="C107" s="4" t="s">
        <v>2920</v>
      </c>
      <c r="D107" s="4" t="str">
        <f t="shared" si="1"/>
        <v>{"valorA":"qualidade","valorB":2}</v>
      </c>
      <c r="E107" s="8" t="str">
        <f t="shared" si="2"/>
        <v>qualidade</v>
      </c>
      <c r="F107" s="8" t="str">
        <f>IFERROR(__xludf.DUMMYFUNCTION("""COMPUTED_VALUE"""),"usado")</f>
        <v>usado</v>
      </c>
      <c r="G107" s="8" t="str">
        <f t="shared" si="3"/>
        <v>2</v>
      </c>
      <c r="H107" s="9">
        <f t="shared" si="4"/>
        <v>2</v>
      </c>
      <c r="I107" s="10">
        <f>IFERROR(__xludf.DUMMYFUNCTION("MAX(FILTER($H:$H,$E:$E=F107))"),1.0)</f>
        <v>1</v>
      </c>
    </row>
    <row r="108">
      <c r="A108" s="4"/>
      <c r="C108" s="4" t="s">
        <v>2721</v>
      </c>
      <c r="D108" s="4" t="str">
        <f t="shared" si="1"/>
        <v>{"valorA":"e","valorB":4}</v>
      </c>
      <c r="E108" s="8" t="str">
        <f t="shared" si="2"/>
        <v>e</v>
      </c>
      <c r="F108" s="8" t="str">
        <f>IFERROR(__xludf.DUMMYFUNCTION("""COMPUTED_VALUE"""),"material")</f>
        <v>material</v>
      </c>
      <c r="G108" s="8" t="str">
        <f t="shared" si="3"/>
        <v>4</v>
      </c>
      <c r="H108" s="9">
        <f t="shared" si="4"/>
        <v>4</v>
      </c>
      <c r="I108" s="10">
        <f>IFERROR(__xludf.DUMMYFUNCTION("MAX(FILTER($H:$H,$E:$E=F108))"),1.0)</f>
        <v>1</v>
      </c>
    </row>
    <row r="109">
      <c r="A109" s="4"/>
      <c r="C109" s="4" t="s">
        <v>2654</v>
      </c>
      <c r="D109" s="4" t="str">
        <f t="shared" si="1"/>
        <v>{"valorA":"do","valorB":1}</v>
      </c>
      <c r="E109" s="8" t="str">
        <f t="shared" si="2"/>
        <v>do</v>
      </c>
      <c r="F109" s="8" t="str">
        <f>IFERROR(__xludf.DUMMYFUNCTION("""COMPUTED_VALUE"""),"valorizei")</f>
        <v>valorizei</v>
      </c>
      <c r="G109" s="8" t="str">
        <f t="shared" si="3"/>
        <v>1</v>
      </c>
      <c r="H109" s="9">
        <f t="shared" si="4"/>
        <v>1</v>
      </c>
      <c r="I109" s="10">
        <f>IFERROR(__xludf.DUMMYFUNCTION("MAX(FILTER($H:$H,$E:$E=F109))"),1.0)</f>
        <v>1</v>
      </c>
    </row>
    <row r="110">
      <c r="A110" s="4"/>
      <c r="C110" s="4" t="s">
        <v>2785</v>
      </c>
      <c r="D110" s="4" t="str">
        <f t="shared" si="1"/>
        <v>{"valorA":"muito","valorB":4}</v>
      </c>
      <c r="E110" s="8" t="str">
        <f t="shared" si="2"/>
        <v>muito</v>
      </c>
      <c r="F110" s="8" t="str">
        <f>IFERROR(__xludf.DUMMYFUNCTION("""COMPUTED_VALUE"""),"funcional")</f>
        <v>funcional</v>
      </c>
      <c r="G110" s="8" t="str">
        <f t="shared" si="3"/>
        <v>4</v>
      </c>
      <c r="H110" s="9">
        <f t="shared" si="4"/>
        <v>4</v>
      </c>
      <c r="I110" s="10">
        <f>IFERROR(__xludf.DUMMYFUNCTION("MAX(FILTER($H:$H,$E:$E=F110))"),2.0)</f>
        <v>2</v>
      </c>
    </row>
    <row r="111">
      <c r="A111" s="4"/>
      <c r="C111" s="4" t="s">
        <v>3918</v>
      </c>
      <c r="D111" s="4" t="str">
        <f t="shared" si="1"/>
        <v>{"valorA":"led","valorB":2}</v>
      </c>
      <c r="E111" s="8" t="str">
        <f t="shared" si="2"/>
        <v>led</v>
      </c>
      <c r="F111" s="8" t="str">
        <f>IFERROR(__xludf.DUMMYFUNCTION("""COMPUTED_VALUE"""),"aspirador")</f>
        <v>aspirador</v>
      </c>
      <c r="G111" s="8" t="str">
        <f t="shared" si="3"/>
        <v>2</v>
      </c>
      <c r="H111" s="9">
        <f t="shared" si="4"/>
        <v>2</v>
      </c>
      <c r="I111" s="10">
        <f>IFERROR(__xludf.DUMMYFUNCTION("MAX(FILTER($H:$H,$E:$E=F111))"),1.0)</f>
        <v>1</v>
      </c>
    </row>
    <row r="112">
      <c r="A112" s="4"/>
      <c r="C112" s="4" t="s">
        <v>2777</v>
      </c>
      <c r="D112" s="4" t="str">
        <f t="shared" si="1"/>
        <v>{"valorA":"meu","valorB":2}</v>
      </c>
      <c r="E112" s="8" t="str">
        <f t="shared" si="2"/>
        <v>meu</v>
      </c>
      <c r="F112" s="8" t="str">
        <f>IFERROR(__xludf.DUMMYFUNCTION("""COMPUTED_VALUE"""),"caro")</f>
        <v>caro</v>
      </c>
      <c r="G112" s="8" t="str">
        <f t="shared" si="3"/>
        <v>2</v>
      </c>
      <c r="H112" s="9">
        <f t="shared" si="4"/>
        <v>2</v>
      </c>
      <c r="I112" s="10">
        <f>IFERROR(__xludf.DUMMYFUNCTION("MAX(FILTER($H:$H,$E:$E=F112))"),2.0)</f>
        <v>2</v>
      </c>
    </row>
    <row r="113">
      <c r="A113" s="4"/>
      <c r="C113" s="4" t="s">
        <v>3059</v>
      </c>
      <c r="D113" s="4" t="str">
        <f t="shared" si="1"/>
        <v>{"valorA":"televisor","valorB":2}</v>
      </c>
      <c r="E113" s="8" t="str">
        <f t="shared" si="2"/>
        <v>televisor</v>
      </c>
      <c r="F113" s="8" t="str">
        <f>IFERROR(__xludf.DUMMYFUNCTION("""COMPUTED_VALUE"""),"no")</f>
        <v>no</v>
      </c>
      <c r="G113" s="8" t="str">
        <f t="shared" si="3"/>
        <v>2</v>
      </c>
      <c r="H113" s="9">
        <f t="shared" si="4"/>
        <v>2</v>
      </c>
      <c r="I113" s="10">
        <f>IFERROR(__xludf.DUMMYFUNCTION("MAX(FILTER($H:$H,$E:$E=F113))"),1.0)</f>
        <v>1</v>
      </c>
    </row>
    <row r="114">
      <c r="A114" s="4"/>
      <c r="C114" s="4" t="s">
        <v>2941</v>
      </c>
      <c r="D114" s="4" t="str">
        <f t="shared" si="1"/>
        <v>{"valorA":"gosto","valorB":2}</v>
      </c>
      <c r="E114" s="8" t="str">
        <f t="shared" si="2"/>
        <v>gosto</v>
      </c>
      <c r="F114" s="8" t="str">
        <f>IFERROR(__xludf.DUMMYFUNCTION("""COMPUTED_VALUE"""),"simples")</f>
        <v>simples</v>
      </c>
      <c r="G114" s="8" t="str">
        <f t="shared" si="3"/>
        <v>2</v>
      </c>
      <c r="H114" s="9">
        <f t="shared" si="4"/>
        <v>2</v>
      </c>
      <c r="I114" s="10">
        <f>IFERROR(__xludf.DUMMYFUNCTION("MAX(FILTER($H:$H,$E:$E=F114))"),1.0)</f>
        <v>1</v>
      </c>
    </row>
    <row r="115">
      <c r="A115" s="4"/>
      <c r="C115" s="4" t="s">
        <v>2710</v>
      </c>
      <c r="D115" s="4" t="str">
        <f t="shared" si="1"/>
        <v>{"valorA":"ótimo","valorB":13}</v>
      </c>
      <c r="E115" s="8" t="str">
        <f t="shared" si="2"/>
        <v>ótimo</v>
      </c>
      <c r="F115" s="8" t="str">
        <f>IFERROR(__xludf.DUMMYFUNCTION("""COMPUTED_VALUE"""),"algo")</f>
        <v>algo</v>
      </c>
      <c r="G115" s="8" t="str">
        <f t="shared" si="3"/>
        <v>13</v>
      </c>
      <c r="H115" s="9">
        <f t="shared" si="4"/>
        <v>13</v>
      </c>
      <c r="I115" s="10">
        <f>IFERROR(__xludf.DUMMYFUNCTION("MAX(FILTER($H:$H,$E:$E=F115))"),1.0)</f>
        <v>1</v>
      </c>
    </row>
    <row r="116">
      <c r="A116" s="4"/>
      <c r="C116" s="4" t="s">
        <v>2886</v>
      </c>
      <c r="D116" s="4" t="str">
        <f t="shared" si="1"/>
        <v>{"valorA":"preço","valorB":3}</v>
      </c>
      <c r="E116" s="8" t="str">
        <f t="shared" si="2"/>
        <v>preço</v>
      </c>
      <c r="F116" s="8" t="str">
        <f>IFERROR(__xludf.DUMMYFUNCTION("""COMPUTED_VALUE"""),"precisa")</f>
        <v>precisa</v>
      </c>
      <c r="G116" s="8" t="str">
        <f t="shared" si="3"/>
        <v>3</v>
      </c>
      <c r="H116" s="9">
        <f t="shared" si="4"/>
        <v>3</v>
      </c>
      <c r="I116" s="10">
        <f>IFERROR(__xludf.DUMMYFUNCTION("MAX(FILTER($H:$H,$E:$E=F116))"),1.0)</f>
        <v>1</v>
      </c>
    </row>
    <row r="117">
      <c r="A117" s="4"/>
      <c r="C117" s="4" t="s">
        <v>3142</v>
      </c>
      <c r="D117" s="4" t="str">
        <f t="shared" si="1"/>
        <v>{"valorA":"não","valorB":3}</v>
      </c>
      <c r="E117" s="8" t="str">
        <f t="shared" si="2"/>
        <v>não</v>
      </c>
      <c r="F117" s="8" t="str">
        <f>IFERROR(__xludf.DUMMYFUNCTION("""COMPUTED_VALUE"""),"alta")</f>
        <v>alta</v>
      </c>
      <c r="G117" s="8" t="str">
        <f t="shared" si="3"/>
        <v>3</v>
      </c>
      <c r="H117" s="9">
        <f t="shared" si="4"/>
        <v>3</v>
      </c>
      <c r="I117" s="10">
        <f>IFERROR(__xludf.DUMMYFUNCTION("MAX(FILTER($H:$H,$E:$E=F117))"),1.0)</f>
        <v>1</v>
      </c>
    </row>
    <row r="118">
      <c r="A118" s="4"/>
      <c r="C118" s="4" t="s">
        <v>2704</v>
      </c>
      <c r="D118" s="4" t="str">
        <f t="shared" si="1"/>
        <v>{"valorA":"produto","valorB":8}</v>
      </c>
      <c r="E118" s="8" t="str">
        <f t="shared" si="2"/>
        <v>produto</v>
      </c>
      <c r="F118" s="8" t="str">
        <f>IFERROR(__xludf.DUMMYFUNCTION("""COMPUTED_VALUE"""),"comprei")</f>
        <v>comprei</v>
      </c>
      <c r="G118" s="8" t="str">
        <f t="shared" si="3"/>
        <v>8</v>
      </c>
      <c r="H118" s="9">
        <f t="shared" si="4"/>
        <v>8</v>
      </c>
      <c r="I118" s="10">
        <f>IFERROR(__xludf.DUMMYFUNCTION("MAX(FILTER($H:$H,$E:$E=F118))"),2.0)</f>
        <v>2</v>
      </c>
    </row>
    <row r="119">
      <c r="A119" s="4"/>
      <c r="C119" s="4" t="s">
        <v>11979</v>
      </c>
      <c r="D119" s="4" t="str">
        <f t="shared" si="1"/>
        <v>{"valorA":"valeram","valorB":1}</v>
      </c>
      <c r="E119" s="8" t="str">
        <f t="shared" si="2"/>
        <v>valeram</v>
      </c>
      <c r="F119" s="8" t="str">
        <f>IFERROR(__xludf.DUMMYFUNCTION("""COMPUTED_VALUE"""),"ela")</f>
        <v>ela</v>
      </c>
      <c r="G119" s="8" t="str">
        <f t="shared" si="3"/>
        <v>1</v>
      </c>
      <c r="H119" s="9">
        <f t="shared" si="4"/>
        <v>1</v>
      </c>
      <c r="I119" s="10">
        <f>IFERROR(__xludf.DUMMYFUNCTION("MAX(FILTER($H:$H,$E:$E=F119))"),2.0)</f>
        <v>2</v>
      </c>
    </row>
    <row r="120">
      <c r="A120" s="4"/>
      <c r="C120" s="4" t="s">
        <v>11980</v>
      </c>
      <c r="D120" s="4" t="str">
        <f t="shared" si="1"/>
        <v>{"valorA":"aquele","valorB":1}</v>
      </c>
      <c r="E120" s="8" t="str">
        <f t="shared" si="2"/>
        <v>aquele</v>
      </c>
      <c r="F120" s="8" t="str">
        <f>IFERROR(__xludf.DUMMYFUNCTION("""COMPUTED_VALUE"""),"feliz")</f>
        <v>feliz</v>
      </c>
      <c r="G120" s="8" t="str">
        <f t="shared" si="3"/>
        <v>1</v>
      </c>
      <c r="H120" s="9">
        <f t="shared" si="4"/>
        <v>1</v>
      </c>
      <c r="I120" s="10">
        <f>IFERROR(__xludf.DUMMYFUNCTION("MAX(FILTER($H:$H,$E:$E=F120))"),1.0)</f>
        <v>1</v>
      </c>
    </row>
    <row r="121">
      <c r="A121" s="4"/>
      <c r="C121" s="4" t="s">
        <v>3036</v>
      </c>
      <c r="D121" s="4" t="str">
        <f t="shared" si="1"/>
        <v>{"valorA":"mas","valorB":1}</v>
      </c>
      <c r="E121" s="8" t="str">
        <f t="shared" si="2"/>
        <v>mas</v>
      </c>
      <c r="F121" s="8" t="str">
        <f>IFERROR(__xludf.DUMMYFUNCTION("""COMPUTED_VALUE"""),"minha")</f>
        <v>minha</v>
      </c>
      <c r="G121" s="8" t="str">
        <f t="shared" si="3"/>
        <v>1</v>
      </c>
      <c r="H121" s="9">
        <f t="shared" si="4"/>
        <v>1</v>
      </c>
      <c r="I121" s="10">
        <f>IFERROR(__xludf.DUMMYFUNCTION("MAX(FILTER($H:$H,$E:$E=F121))"),2.0)</f>
        <v>2</v>
      </c>
    </row>
    <row r="122">
      <c r="A122" s="4"/>
      <c r="C122" s="4" t="s">
        <v>2712</v>
      </c>
      <c r="D122" s="4" t="str">
        <f t="shared" si="1"/>
        <v>{"valorA":"funciona","valorB":3}</v>
      </c>
      <c r="E122" s="8" t="str">
        <f t="shared" si="2"/>
        <v>funciona</v>
      </c>
      <c r="F122" s="8" t="str">
        <f>IFERROR(__xludf.DUMMYFUNCTION("""COMPUTED_VALUE"""),"filha")</f>
        <v>filha</v>
      </c>
      <c r="G122" s="8" t="str">
        <f t="shared" si="3"/>
        <v>3</v>
      </c>
      <c r="H122" s="9">
        <f t="shared" si="4"/>
        <v>3</v>
      </c>
      <c r="I122" s="10">
        <f>IFERROR(__xludf.DUMMYFUNCTION("MAX(FILTER($H:$H,$E:$E=F122))"),1.0)</f>
        <v>1</v>
      </c>
    </row>
    <row r="123">
      <c r="A123" s="4"/>
      <c r="C123" s="4" t="s">
        <v>3706</v>
      </c>
      <c r="D123" s="4" t="str">
        <f t="shared" si="1"/>
        <v>{"valorA":"gostaria","valorB":1}</v>
      </c>
      <c r="E123" s="8" t="str">
        <f t="shared" si="2"/>
        <v>gostaria</v>
      </c>
      <c r="F123" s="8" t="str">
        <f>IFERROR(__xludf.DUMMYFUNCTION("""COMPUTED_VALUE"""),"está")</f>
        <v>está</v>
      </c>
      <c r="G123" s="8" t="str">
        <f t="shared" si="3"/>
        <v>1</v>
      </c>
      <c r="H123" s="9">
        <f t="shared" si="4"/>
        <v>1</v>
      </c>
      <c r="I123" s="10">
        <f>IFERROR(__xludf.DUMMYFUNCTION("MAX(FILTER($H:$H,$E:$E=F123))"),1.0)</f>
        <v>1</v>
      </c>
    </row>
    <row r="124">
      <c r="A124" s="4"/>
      <c r="C124" s="4" t="s">
        <v>2748</v>
      </c>
      <c r="D124" s="4" t="str">
        <f t="shared" si="1"/>
        <v>{"valorA":"de","valorB":5}</v>
      </c>
      <c r="E124" s="8" t="str">
        <f t="shared" si="2"/>
        <v>de</v>
      </c>
      <c r="F124" s="8" t="str">
        <f>IFERROR(__xludf.DUMMYFUNCTION("""COMPUTED_VALUE"""),"valorizado")</f>
        <v>valorizado</v>
      </c>
      <c r="G124" s="8" t="str">
        <f t="shared" si="3"/>
        <v>5</v>
      </c>
      <c r="H124" s="9">
        <f t="shared" si="4"/>
        <v>5</v>
      </c>
      <c r="I124" s="10">
        <f>IFERROR(__xludf.DUMMYFUNCTION("MAX(FILTER($H:$H,$E:$E=F124))"),1.0)</f>
        <v>1</v>
      </c>
    </row>
    <row r="125">
      <c r="A125" s="4"/>
      <c r="C125" s="4" t="s">
        <v>2718</v>
      </c>
      <c r="D125" s="4" t="str">
        <f t="shared" si="1"/>
        <v>{"valorA":"ótimo","valorB":14}</v>
      </c>
      <c r="E125" s="8" t="str">
        <f t="shared" si="2"/>
        <v>ótimo</v>
      </c>
      <c r="F125" s="8" t="str">
        <f>IFERROR(__xludf.DUMMYFUNCTION("""COMPUTED_VALUE"""),"dinheiro")</f>
        <v>dinheiro</v>
      </c>
      <c r="G125" s="8" t="str">
        <f t="shared" si="3"/>
        <v>14</v>
      </c>
      <c r="H125" s="9">
        <f t="shared" si="4"/>
        <v>14</v>
      </c>
      <c r="I125" s="10">
        <f>IFERROR(__xludf.DUMMYFUNCTION("MAX(FILTER($H:$H,$E:$E=F125))"),1.0)</f>
        <v>1</v>
      </c>
    </row>
    <row r="126">
      <c r="A126" s="4"/>
      <c r="C126" s="4" t="s">
        <v>3145</v>
      </c>
      <c r="D126" s="4" t="str">
        <f t="shared" si="1"/>
        <v>{"valorA":"laptop","valorB":2}</v>
      </c>
      <c r="E126" s="8" t="str">
        <f t="shared" si="2"/>
        <v>laptop</v>
      </c>
      <c r="F126" s="8" t="str">
        <f>IFERROR(__xludf.DUMMYFUNCTION("""COMPUTED_VALUE"""),"lavar")</f>
        <v>lavar</v>
      </c>
      <c r="G126" s="8" t="str">
        <f t="shared" si="3"/>
        <v>2</v>
      </c>
      <c r="H126" s="9">
        <f t="shared" si="4"/>
        <v>2</v>
      </c>
      <c r="I126" s="10">
        <f>IFERROR(__xludf.DUMMYFUNCTION("MAX(FILTER($H:$H,$E:$E=F126))"),1.0)</f>
        <v>1</v>
      </c>
    </row>
    <row r="127">
      <c r="A127" s="4"/>
      <c r="C127" s="4" t="s">
        <v>2792</v>
      </c>
      <c r="D127" s="4" t="str">
        <f t="shared" si="1"/>
        <v>{"valorA":"muito","valorB":5}</v>
      </c>
      <c r="E127" s="8" t="str">
        <f t="shared" si="2"/>
        <v>muito</v>
      </c>
      <c r="F127" s="8" t="str">
        <f>IFERROR(__xludf.DUMMYFUNCTION("""COMPUTED_VALUE"""),"máquina")</f>
        <v>máquina</v>
      </c>
      <c r="G127" s="8" t="str">
        <f t="shared" si="3"/>
        <v>5</v>
      </c>
      <c r="H127" s="9">
        <f t="shared" si="4"/>
        <v>5</v>
      </c>
      <c r="I127" s="10">
        <f>IFERROR(__xludf.DUMMYFUNCTION("MAX(FILTER($H:$H,$E:$E=F127))"),1.0)</f>
        <v>1</v>
      </c>
    </row>
    <row r="128">
      <c r="A128" s="4"/>
      <c r="C128" s="4" t="s">
        <v>2731</v>
      </c>
      <c r="D128" s="4" t="str">
        <f t="shared" si="1"/>
        <v>{"valorA":"bem","valorB":2}</v>
      </c>
      <c r="E128" s="8" t="str">
        <f t="shared" si="2"/>
        <v>bem</v>
      </c>
      <c r="F128" s="8" t="str">
        <f>IFERROR(__xludf.DUMMYFUNCTION("""COMPUTED_VALUE"""),"uma")</f>
        <v>uma</v>
      </c>
      <c r="G128" s="8" t="str">
        <f t="shared" si="3"/>
        <v>2</v>
      </c>
      <c r="H128" s="9">
        <f t="shared" si="4"/>
        <v>2</v>
      </c>
      <c r="I128" s="10">
        <f>IFERROR(__xludf.DUMMYFUNCTION("MAX(FILTER($H:$H,$E:$E=F128))"),1.0)</f>
        <v>1</v>
      </c>
    </row>
    <row r="129">
      <c r="A129" s="4"/>
      <c r="C129" s="4" t="s">
        <v>7049</v>
      </c>
      <c r="D129" s="4" t="str">
        <f t="shared" si="1"/>
        <v>{"valorA":"comprálo","valorB":1}</v>
      </c>
      <c r="E129" s="8" t="str">
        <f t="shared" si="2"/>
        <v>comprálo</v>
      </c>
      <c r="F129" s="8" t="str">
        <f>IFERROR(__xludf.DUMMYFUNCTION("""COMPUTED_VALUE"""),"roupas")</f>
        <v>roupas</v>
      </c>
      <c r="G129" s="8" t="str">
        <f t="shared" si="3"/>
        <v>1</v>
      </c>
      <c r="H129" s="9">
        <f t="shared" si="4"/>
        <v>1</v>
      </c>
      <c r="I129" s="10">
        <f>IFERROR(__xludf.DUMMYFUNCTION("MAX(FILTER($H:$H,$E:$E=F129))"),1.0)</f>
        <v>1</v>
      </c>
    </row>
    <row r="130">
      <c r="A130" s="4"/>
      <c r="C130" s="4" t="s">
        <v>3705</v>
      </c>
      <c r="D130" s="4" t="str">
        <f t="shared" si="1"/>
        <v>{"valorA":"novamente","valorB":1}</v>
      </c>
      <c r="E130" s="8" t="str">
        <f t="shared" si="2"/>
        <v>novamente</v>
      </c>
      <c r="F130" s="8" t="str">
        <f>IFERROR(__xludf.DUMMYFUNCTION("""COMPUTED_VALUE"""),"adora")</f>
        <v>adora</v>
      </c>
      <c r="G130" s="8" t="str">
        <f t="shared" si="3"/>
        <v>1</v>
      </c>
      <c r="H130" s="9">
        <f t="shared" si="4"/>
        <v>1</v>
      </c>
      <c r="I130" s="10">
        <f>IFERROR(__xludf.DUMMYFUNCTION("MAX(FILTER($H:$H,$E:$E=F130))"),1.0)</f>
        <v>1</v>
      </c>
    </row>
    <row r="131">
      <c r="A131" s="4"/>
      <c r="C131" s="4" t="s">
        <v>2726</v>
      </c>
      <c r="D131" s="4" t="str">
        <f t="shared" si="1"/>
        <v>{"valorA":"ótimo","valorB":15}</v>
      </c>
      <c r="E131" s="8" t="str">
        <f t="shared" si="2"/>
        <v>ótimo</v>
      </c>
      <c r="F131" s="8" t="str">
        <f>IFERROR(__xludf.DUMMYFUNCTION("""COMPUTED_VALUE"""),"mãe")</f>
        <v>mãe</v>
      </c>
      <c r="G131" s="8" t="str">
        <f t="shared" si="3"/>
        <v>15</v>
      </c>
      <c r="H131" s="9">
        <f t="shared" si="4"/>
        <v>15</v>
      </c>
      <c r="I131" s="10">
        <f>IFERROR(__xludf.DUMMYFUNCTION("MAX(FILTER($H:$H,$E:$E=F131))"),1.0)</f>
        <v>1</v>
      </c>
    </row>
    <row r="132">
      <c r="A132" s="4"/>
      <c r="C132" s="4" t="s">
        <v>2691</v>
      </c>
      <c r="D132" s="4" t="str">
        <f t="shared" si="1"/>
        <v>{"valorA":"o","valorB":2}</v>
      </c>
      <c r="E132" s="8" t="str">
        <f t="shared" si="2"/>
        <v>o</v>
      </c>
      <c r="F132" s="8" t="str">
        <f>IFERROR(__xludf.DUMMYFUNCTION("""COMPUTED_VALUE"""),"dormir")</f>
        <v>dormir</v>
      </c>
      <c r="G132" s="8" t="str">
        <f t="shared" si="3"/>
        <v>2</v>
      </c>
      <c r="H132" s="9">
        <f t="shared" si="4"/>
        <v>2</v>
      </c>
      <c r="I132" s="10">
        <f>IFERROR(__xludf.DUMMYFUNCTION("MAX(FILTER($H:$H,$E:$E=F132))"),1.0)</f>
        <v>1</v>
      </c>
    </row>
    <row r="133">
      <c r="A133" s="4"/>
      <c r="C133" s="4" t="s">
        <v>2897</v>
      </c>
      <c r="D133" s="4" t="str">
        <f t="shared" si="1"/>
        <v>{"valorA":"meu","valorB":3}</v>
      </c>
      <c r="E133" s="8" t="str">
        <f t="shared" si="2"/>
        <v>meu</v>
      </c>
      <c r="F133" s="8" t="str">
        <f>IFERROR(__xludf.DUMMYFUNCTION("""COMPUTED_VALUE"""),"melhorou")</f>
        <v>melhorou</v>
      </c>
      <c r="G133" s="8" t="str">
        <f t="shared" si="3"/>
        <v>3</v>
      </c>
      <c r="H133" s="9">
        <f t="shared" si="4"/>
        <v>3</v>
      </c>
      <c r="I133" s="10">
        <f>IFERROR(__xludf.DUMMYFUNCTION("MAX(FILTER($H:$H,$E:$E=F133))"),1.0)</f>
        <v>1</v>
      </c>
    </row>
    <row r="134">
      <c r="A134" s="4"/>
      <c r="C134" s="4" t="s">
        <v>3248</v>
      </c>
      <c r="D134" s="4" t="str">
        <f t="shared" si="1"/>
        <v>{"valorA":"brilho","valorB":2}</v>
      </c>
      <c r="E134" s="8" t="str">
        <f t="shared" si="2"/>
        <v>brilho</v>
      </c>
      <c r="F134" s="8" t="str">
        <f>IFERROR(__xludf.DUMMYFUNCTION("""COMPUTED_VALUE"""),"sono")</f>
        <v>sono</v>
      </c>
      <c r="G134" s="8" t="str">
        <f t="shared" si="3"/>
        <v>2</v>
      </c>
      <c r="H134" s="9">
        <f t="shared" si="4"/>
        <v>2</v>
      </c>
      <c r="I134" s="10">
        <f>IFERROR(__xludf.DUMMYFUNCTION("MAX(FILTER($H:$H,$E:$E=F134))"),1.0)</f>
        <v>1</v>
      </c>
    </row>
    <row r="135">
      <c r="A135" s="4"/>
      <c r="C135" s="4" t="s">
        <v>2715</v>
      </c>
      <c r="D135" s="4" t="str">
        <f t="shared" si="1"/>
        <v>{"valorA":"funciona","valorB":4}</v>
      </c>
      <c r="E135" s="8" t="str">
        <f t="shared" si="2"/>
        <v>funciona</v>
      </c>
      <c r="F135" s="8" t="str">
        <f>IFERROR(__xludf.DUMMYFUNCTION("""COMPUTED_VALUE"""),"comentário")</f>
        <v>comentário</v>
      </c>
      <c r="G135" s="8" t="str">
        <f t="shared" si="3"/>
        <v>4</v>
      </c>
      <c r="H135" s="9">
        <f t="shared" si="4"/>
        <v>4</v>
      </c>
      <c r="I135" s="10">
        <f>IFERROR(__xludf.DUMMYFUNCTION("MAX(FILTER($H:$H,$E:$E=F135))"),1.0)</f>
        <v>1</v>
      </c>
    </row>
    <row r="136">
      <c r="A136" s="4"/>
      <c r="C136" s="4" t="s">
        <v>2811</v>
      </c>
      <c r="D136" s="4" t="str">
        <f t="shared" si="1"/>
        <v>{"valorA":"muito","valorB":6}</v>
      </c>
      <c r="E136" s="8" t="str">
        <f t="shared" si="2"/>
        <v>muito</v>
      </c>
      <c r="F136" s="8" t="str">
        <f>IFERROR(__xludf.DUMMYFUNCTION("""COMPUTED_VALUE"""),"durou")</f>
        <v>durou</v>
      </c>
      <c r="G136" s="8" t="str">
        <f t="shared" si="3"/>
        <v>6</v>
      </c>
      <c r="H136" s="9">
        <f t="shared" si="4"/>
        <v>6</v>
      </c>
      <c r="I136" s="10">
        <f>IFERROR(__xludf.DUMMYFUNCTION("MAX(FILTER($H:$H,$E:$E=F136))"),1.0)</f>
        <v>1</v>
      </c>
    </row>
    <row r="137">
      <c r="A137" s="4"/>
      <c r="C137" s="4" t="s">
        <v>2782</v>
      </c>
      <c r="D137" s="4" t="str">
        <f t="shared" si="1"/>
        <v>{"valorA":"bem","valorB":3}</v>
      </c>
      <c r="E137" s="8" t="str">
        <f t="shared" si="2"/>
        <v>bem</v>
      </c>
      <c r="F137" s="8" t="str">
        <f>IFERROR(__xludf.DUMMYFUNCTION("""COMPUTED_VALUE"""),"tetoled")</f>
        <v>tetoled</v>
      </c>
      <c r="G137" s="8" t="str">
        <f t="shared" si="3"/>
        <v>3</v>
      </c>
      <c r="H137" s="9">
        <f t="shared" si="4"/>
        <v>3</v>
      </c>
      <c r="I137" s="10">
        <f>IFERROR(__xludf.DUMMYFUNCTION("MAX(FILTER($H:$H,$E:$E=F137))"),1.0)</f>
        <v>1</v>
      </c>
    </row>
    <row r="138">
      <c r="A138" s="4"/>
      <c r="C138" s="4" t="s">
        <v>7056</v>
      </c>
      <c r="D138" s="4" t="str">
        <f t="shared" si="1"/>
        <v>{"valorA":"solar","valorB":1}</v>
      </c>
      <c r="E138" s="8" t="str">
        <f t="shared" si="2"/>
        <v>solar</v>
      </c>
      <c r="F138" s="8" t="str">
        <f>IFERROR(__xludf.DUMMYFUNCTION("""COMPUTED_VALUE"""),"tempo")</f>
        <v>tempo</v>
      </c>
      <c r="G138" s="8" t="str">
        <f t="shared" si="3"/>
        <v>1</v>
      </c>
      <c r="H138" s="9">
        <f t="shared" si="4"/>
        <v>1</v>
      </c>
      <c r="I138" s="10">
        <f>IFERROR(__xludf.DUMMYFUNCTION("MAX(FILTER($H:$H,$E:$E=F138))"),1.0)</f>
        <v>1</v>
      </c>
    </row>
    <row r="139">
      <c r="A139" s="4"/>
      <c r="C139" s="4" t="s">
        <v>2729</v>
      </c>
      <c r="D139" s="4" t="str">
        <f t="shared" si="1"/>
        <v>{"valorA":"ótimo","valorB":16}</v>
      </c>
      <c r="E139" s="8" t="str">
        <f t="shared" si="2"/>
        <v>ótimo</v>
      </c>
      <c r="F139" s="8" t="str">
        <f>IFERROR(__xludf.DUMMYFUNCTION("""COMPUTED_VALUE"""),"computador")</f>
        <v>computador</v>
      </c>
      <c r="G139" s="8" t="str">
        <f t="shared" si="3"/>
        <v>16</v>
      </c>
      <c r="H139" s="9">
        <f t="shared" si="4"/>
        <v>16</v>
      </c>
      <c r="I139" s="10">
        <f>IFERROR(__xludf.DUMMYFUNCTION("MAX(FILTER($H:$H,$E:$E=F139))"),2.0)</f>
        <v>2</v>
      </c>
    </row>
    <row r="140">
      <c r="A140" s="4"/>
      <c r="C140" s="4" t="s">
        <v>2699</v>
      </c>
      <c r="D140" s="4" t="str">
        <f t="shared" si="1"/>
        <v>{"valorA":"confortável","valorB":1}</v>
      </c>
      <c r="E140" s="8" t="str">
        <f t="shared" si="2"/>
        <v>confortável</v>
      </c>
      <c r="F140" s="8" t="str">
        <f>IFERROR(__xludf.DUMMYFUNCTION("""COMPUTED_VALUE"""),"custobenefício")</f>
        <v>custobenefício</v>
      </c>
      <c r="G140" s="8" t="str">
        <f t="shared" si="3"/>
        <v>1</v>
      </c>
      <c r="H140" s="9">
        <f t="shared" si="4"/>
        <v>1</v>
      </c>
      <c r="I140" s="10">
        <f>IFERROR(__xludf.DUMMYFUNCTION("MAX(FILTER($H:$H,$E:$E=F140))"),1.0)</f>
        <v>1</v>
      </c>
    </row>
    <row r="141">
      <c r="A141" s="4"/>
      <c r="C141" s="4" t="s">
        <v>2769</v>
      </c>
      <c r="D141" s="4" t="str">
        <f t="shared" si="1"/>
        <v>{"valorA":"carro","valorB":1}</v>
      </c>
      <c r="E141" s="8" t="str">
        <f t="shared" si="2"/>
        <v>carro</v>
      </c>
      <c r="F141" s="8" t="str">
        <f>IFERROR(__xludf.DUMMYFUNCTION("""COMPUTED_VALUE"""),"portátil")</f>
        <v>portátil</v>
      </c>
      <c r="G141" s="8" t="str">
        <f t="shared" si="3"/>
        <v>1</v>
      </c>
      <c r="H141" s="9">
        <f t="shared" si="4"/>
        <v>1</v>
      </c>
      <c r="I141" s="10">
        <f>IFERROR(__xludf.DUMMYFUNCTION("MAX(FILTER($H:$H,$E:$E=F141))"),1.0)</f>
        <v>1</v>
      </c>
    </row>
    <row r="142">
      <c r="A142" s="4"/>
      <c r="C142" s="4" t="s">
        <v>2835</v>
      </c>
      <c r="D142" s="4" t="str">
        <f t="shared" si="1"/>
        <v>{"valorA":"muito","valorB":7}</v>
      </c>
      <c r="E142" s="8" t="str">
        <f t="shared" si="2"/>
        <v>muito</v>
      </c>
      <c r="F142" s="8" t="str">
        <f>IFERROR(__xludf.DUMMYFUNCTION("""COMPUTED_VALUE"""),"coment")</f>
        <v>coment</v>
      </c>
      <c r="G142" s="8" t="str">
        <f t="shared" si="3"/>
        <v>7</v>
      </c>
      <c r="H142" s="9">
        <f t="shared" si="4"/>
        <v>7</v>
      </c>
      <c r="I142" s="10">
        <f>IFERROR(__xludf.DUMMYFUNCTION("MAX(FILTER($H:$H,$E:$E=F142))"),1.0)</f>
        <v>1</v>
      </c>
    </row>
    <row r="143">
      <c r="A143" s="4"/>
      <c r="C143" s="4" t="s">
        <v>2740</v>
      </c>
      <c r="D143" s="4" t="str">
        <f t="shared" si="1"/>
        <v>{"valorA":"e","valorB":5}</v>
      </c>
      <c r="E143" s="8" t="str">
        <f t="shared" si="2"/>
        <v>e</v>
      </c>
      <c r="F143" s="8" t="str">
        <f>IFERROR(__xludf.DUMMYFUNCTION("""COMPUTED_VALUE"""),"monitor")</f>
        <v>monitor</v>
      </c>
      <c r="G143" s="8" t="str">
        <f t="shared" si="3"/>
        <v>5</v>
      </c>
      <c r="H143" s="9">
        <f t="shared" si="4"/>
        <v>5</v>
      </c>
      <c r="I143" s="10">
        <f>IFERROR(__xludf.DUMMYFUNCTION("MAX(FILTER($H:$H,$E:$E=F143))"),1.0)</f>
        <v>1</v>
      </c>
    </row>
    <row r="144">
      <c r="A144" s="4"/>
      <c r="C144" s="4" t="s">
        <v>2771</v>
      </c>
      <c r="D144" s="4" t="str">
        <f t="shared" si="1"/>
        <v>{"valorA":"seguro","valorB":1}</v>
      </c>
      <c r="E144" s="8" t="str">
        <f t="shared" si="2"/>
        <v>seguro</v>
      </c>
      <c r="F144" s="8" t="str">
        <f>IFERROR(__xludf.DUMMYFUNCTION("""COMPUTED_VALUE"""),"mucho")</f>
        <v>mucho</v>
      </c>
      <c r="G144" s="8" t="str">
        <f t="shared" si="3"/>
        <v>1</v>
      </c>
      <c r="H144" s="9">
        <f t="shared" si="4"/>
        <v>1</v>
      </c>
      <c r="I144" s="10">
        <f>IFERROR(__xludf.DUMMYFUNCTION("MAX(FILTER($H:$H,$E:$E=F144))"),1.0)</f>
        <v>1</v>
      </c>
    </row>
    <row r="145">
      <c r="A145" s="4"/>
      <c r="C145" s="4" t="s">
        <v>2827</v>
      </c>
      <c r="D145" s="4" t="str">
        <f t="shared" si="1"/>
        <v>{"valorA":"para","valorB":6}</v>
      </c>
      <c r="E145" s="8" t="str">
        <f t="shared" si="2"/>
        <v>para</v>
      </c>
      <c r="F145" s="8" t="str">
        <f>IFERROR(__xludf.DUMMYFUNCTION("""COMPUTED_VALUE"""),"ajuda")</f>
        <v>ajuda</v>
      </c>
      <c r="G145" s="8" t="str">
        <f t="shared" si="3"/>
        <v>6</v>
      </c>
      <c r="H145" s="9">
        <f t="shared" si="4"/>
        <v>6</v>
      </c>
      <c r="I145" s="10">
        <f>IFERROR(__xludf.DUMMYFUNCTION("MAX(FILTER($H:$H,$E:$E=F145))"),1.0)</f>
        <v>1</v>
      </c>
    </row>
    <row r="146">
      <c r="A146" s="4"/>
      <c r="C146" s="4" t="s">
        <v>3054</v>
      </c>
      <c r="D146" s="4" t="str">
        <f t="shared" si="1"/>
        <v>{"valorA":"preço","valorB":4}</v>
      </c>
      <c r="E146" s="8" t="str">
        <f t="shared" si="2"/>
        <v>preço</v>
      </c>
      <c r="F146" s="8" t="str">
        <f>IFERROR(__xludf.DUMMYFUNCTION("""COMPUTED_VALUE"""),"diária")</f>
        <v>diária</v>
      </c>
      <c r="G146" s="8" t="str">
        <f t="shared" si="3"/>
        <v>4</v>
      </c>
      <c r="H146" s="9">
        <f t="shared" si="4"/>
        <v>4</v>
      </c>
      <c r="I146" s="10">
        <f>IFERROR(__xludf.DUMMYFUNCTION("MAX(FILTER($H:$H,$E:$E=F146))"),1.0)</f>
        <v>1</v>
      </c>
    </row>
    <row r="147">
      <c r="A147" s="4"/>
      <c r="C147" s="4" t="s">
        <v>2630</v>
      </c>
      <c r="D147" s="4" t="str">
        <f t="shared" si="1"/>
        <v>{"valorA":"esse","valorB":1}</v>
      </c>
      <c r="E147" s="8" t="str">
        <f t="shared" si="2"/>
        <v>esse</v>
      </c>
      <c r="F147" s="8" t="str">
        <f>IFERROR(__xludf.DUMMYFUNCTION("""COMPUTED_VALUE"""),"na")</f>
        <v>na</v>
      </c>
      <c r="G147" s="8" t="str">
        <f t="shared" si="3"/>
        <v>1</v>
      </c>
      <c r="H147" s="9">
        <f t="shared" si="4"/>
        <v>1</v>
      </c>
      <c r="I147" s="10">
        <f>IFERROR(__xludf.DUMMYFUNCTION("MAX(FILTER($H:$H,$E:$E=F147))"),1.0)</f>
        <v>1</v>
      </c>
    </row>
    <row r="148">
      <c r="A148" s="4"/>
      <c r="C148" s="4" t="s">
        <v>2735</v>
      </c>
      <c r="D148" s="4" t="str">
        <f t="shared" si="1"/>
        <v>{"valorA":"ótimo","valorB":17}</v>
      </c>
      <c r="E148" s="8" t="str">
        <f t="shared" si="2"/>
        <v>ótimo</v>
      </c>
      <c r="F148" s="8" t="str">
        <f>IFERROR(__xludf.DUMMYFUNCTION("""COMPUTED_VALUE"""),"rotina")</f>
        <v>rotina</v>
      </c>
      <c r="G148" s="8" t="str">
        <f t="shared" si="3"/>
        <v>17</v>
      </c>
      <c r="H148" s="9">
        <f t="shared" si="4"/>
        <v>17</v>
      </c>
      <c r="I148" s="10">
        <f>IFERROR(__xludf.DUMMYFUNCTION("MAX(FILTER($H:$H,$E:$E=F148))"),1.0)</f>
        <v>1</v>
      </c>
    </row>
    <row r="149">
      <c r="A149" s="4"/>
      <c r="C149" s="4" t="s">
        <v>3078</v>
      </c>
      <c r="D149" s="4" t="str">
        <f t="shared" si="1"/>
        <v>{"valorA":"televisor","valorB":3}</v>
      </c>
      <c r="E149" s="8" t="str">
        <f t="shared" si="2"/>
        <v>televisor</v>
      </c>
      <c r="F149" s="8" t="str">
        <f>IFERROR(__xludf.DUMMYFUNCTION("""COMPUTED_VALUE"""),"nota")</f>
        <v>nota</v>
      </c>
      <c r="G149" s="8" t="str">
        <f t="shared" si="3"/>
        <v>3</v>
      </c>
      <c r="H149" s="9">
        <f t="shared" si="4"/>
        <v>3</v>
      </c>
      <c r="I149" s="10">
        <f>IFERROR(__xludf.DUMMYFUNCTION("MAX(FILTER($H:$H,$E:$E=F149))"),1.0)</f>
        <v>1</v>
      </c>
    </row>
    <row r="150">
      <c r="A150" s="4"/>
      <c r="C150" s="4" t="s">
        <v>7519</v>
      </c>
      <c r="D150" s="4" t="str">
        <f t="shared" si="1"/>
        <v>{"valorA":"precio","valorB":1}</v>
      </c>
      <c r="E150" s="8" t="str">
        <f t="shared" si="2"/>
        <v>precio</v>
      </c>
      <c r="F150" s="8"/>
      <c r="G150" s="8" t="str">
        <f t="shared" si="3"/>
        <v>1</v>
      </c>
      <c r="H150" s="9">
        <f t="shared" si="4"/>
        <v>1</v>
      </c>
      <c r="I150" s="6" t="str">
        <f>IFERROR(__xludf.DUMMYFUNCTION("MAX(FILTER($H:$H,$E:$E=F150))"),"#N/A")</f>
        <v>#N/A</v>
      </c>
    </row>
    <row r="151">
      <c r="A151" s="4"/>
      <c r="C151" s="4" t="s">
        <v>2707</v>
      </c>
      <c r="D151" s="4" t="str">
        <f t="shared" si="1"/>
        <v>{"valorA":"do","valorB":2}</v>
      </c>
      <c r="E151" s="8" t="str">
        <f t="shared" si="2"/>
        <v>do</v>
      </c>
      <c r="F151" s="8"/>
      <c r="G151" s="8" t="str">
        <f t="shared" si="3"/>
        <v>2</v>
      </c>
      <c r="H151" s="9">
        <f t="shared" si="4"/>
        <v>2</v>
      </c>
      <c r="I151" s="6" t="str">
        <f>IFERROR(__xludf.DUMMYFUNCTION("MAX(FILTER($H:$H,$E:$E=F151))"),"#N/A")</f>
        <v>#N/A</v>
      </c>
    </row>
    <row r="152">
      <c r="A152" s="4"/>
      <c r="C152" s="4" t="s">
        <v>2703</v>
      </c>
      <c r="D152" s="4" t="str">
        <f t="shared" si="1"/>
        <v>{"valorA":"gostei","valorB":2}</v>
      </c>
      <c r="E152" s="8" t="str">
        <f t="shared" si="2"/>
        <v>gostei</v>
      </c>
      <c r="F152" s="8"/>
      <c r="G152" s="8" t="str">
        <f t="shared" si="3"/>
        <v>2</v>
      </c>
      <c r="H152" s="9">
        <f t="shared" si="4"/>
        <v>2</v>
      </c>
      <c r="I152" s="6" t="str">
        <f>IFERROR(__xludf.DUMMYFUNCTION("MAX(FILTER($H:$H,$E:$E=F152))"),"#N/A")</f>
        <v>#N/A</v>
      </c>
    </row>
    <row r="153">
      <c r="A153" s="4"/>
      <c r="C153" s="4" t="s">
        <v>3162</v>
      </c>
      <c r="D153" s="4" t="str">
        <f t="shared" si="1"/>
        <v>{"valorA":"televisor","valorB":4}</v>
      </c>
      <c r="E153" s="8" t="str">
        <f t="shared" si="2"/>
        <v>televisor</v>
      </c>
      <c r="F153" s="8"/>
      <c r="G153" s="8" t="str">
        <f t="shared" si="3"/>
        <v>4</v>
      </c>
      <c r="H153" s="9">
        <f t="shared" si="4"/>
        <v>4</v>
      </c>
      <c r="I153" s="6" t="str">
        <f>IFERROR(__xludf.DUMMYFUNCTION("MAX(FILTER($H:$H,$E:$E=F153))"),"#N/A")</f>
        <v>#N/A</v>
      </c>
    </row>
    <row r="154">
      <c r="A154" s="4"/>
      <c r="C154" s="4" t="s">
        <v>3127</v>
      </c>
      <c r="D154" s="4" t="str">
        <f t="shared" si="1"/>
        <v>{"valorA":"qualidade","valorB":3}</v>
      </c>
      <c r="E154" s="8" t="str">
        <f t="shared" si="2"/>
        <v>qualidade</v>
      </c>
      <c r="F154" s="8"/>
      <c r="G154" s="8" t="str">
        <f t="shared" si="3"/>
        <v>3</v>
      </c>
      <c r="H154" s="9">
        <f t="shared" si="4"/>
        <v>3</v>
      </c>
      <c r="I154" s="6" t="str">
        <f>IFERROR(__xludf.DUMMYFUNCTION("MAX(FILTER($H:$H,$E:$E=F154))"),"#N/A")</f>
        <v>#N/A</v>
      </c>
    </row>
    <row r="155">
      <c r="A155" s="4"/>
      <c r="C155" s="4" t="s">
        <v>2746</v>
      </c>
      <c r="D155" s="4" t="str">
        <f t="shared" si="1"/>
        <v>{"valorA":"ótimo","valorB":18}</v>
      </c>
      <c r="E155" s="8" t="str">
        <f t="shared" si="2"/>
        <v>ótimo</v>
      </c>
      <c r="F155" s="8"/>
      <c r="G155" s="8" t="str">
        <f t="shared" si="3"/>
        <v>18</v>
      </c>
      <c r="H155" s="9">
        <f t="shared" si="4"/>
        <v>18</v>
      </c>
      <c r="I155" s="6" t="str">
        <f>IFERROR(__xludf.DUMMYFUNCTION("MAX(FILTER($H:$H,$E:$E=F155))"),"#N/A")</f>
        <v>#N/A</v>
      </c>
    </row>
    <row r="156">
      <c r="A156" s="4"/>
      <c r="C156" s="4" t="s">
        <v>3192</v>
      </c>
      <c r="D156" s="4" t="str">
        <f t="shared" si="1"/>
        <v>{"valorA":"quem","valorB":4}</v>
      </c>
      <c r="E156" s="8" t="str">
        <f t="shared" si="2"/>
        <v>quem</v>
      </c>
      <c r="F156" s="8"/>
      <c r="G156" s="8" t="str">
        <f t="shared" si="3"/>
        <v>4</v>
      </c>
      <c r="H156" s="9">
        <f t="shared" si="4"/>
        <v>4</v>
      </c>
      <c r="I156" s="6" t="str">
        <f>IFERROR(__xludf.DUMMYFUNCTION("MAX(FILTER($H:$H,$E:$E=F156))"),"#N/A")</f>
        <v>#N/A</v>
      </c>
    </row>
    <row r="157">
      <c r="A157" s="4"/>
      <c r="C157" s="4" t="s">
        <v>3194</v>
      </c>
      <c r="D157" s="4" t="str">
        <f t="shared" si="1"/>
        <v>{"valorA":"busca","valorB":3}</v>
      </c>
      <c r="E157" s="8" t="str">
        <f t="shared" si="2"/>
        <v>busca</v>
      </c>
      <c r="F157" s="8"/>
      <c r="G157" s="8" t="str">
        <f t="shared" si="3"/>
        <v>3</v>
      </c>
      <c r="H157" s="9">
        <f t="shared" si="4"/>
        <v>3</v>
      </c>
      <c r="I157" s="6" t="str">
        <f>IFERROR(__xludf.DUMMYFUNCTION("MAX(FILTER($H:$H,$E:$E=F157))"),"#N/A")</f>
        <v>#N/A</v>
      </c>
    </row>
    <row r="158">
      <c r="A158" s="4"/>
      <c r="C158" s="4" t="s">
        <v>2717</v>
      </c>
      <c r="D158" s="4" t="str">
        <f t="shared" si="1"/>
        <v>{"valorA":"produto","valorB":9}</v>
      </c>
      <c r="E158" s="8" t="str">
        <f t="shared" si="2"/>
        <v>produto</v>
      </c>
      <c r="F158" s="8"/>
      <c r="G158" s="8" t="str">
        <f t="shared" si="3"/>
        <v>9</v>
      </c>
      <c r="H158" s="9">
        <f t="shared" si="4"/>
        <v>9</v>
      </c>
      <c r="I158" s="6" t="str">
        <f>IFERROR(__xludf.DUMMYFUNCTION("MAX(FILTER($H:$H,$E:$E=F158))"),"#N/A")</f>
        <v>#N/A</v>
      </c>
    </row>
    <row r="159">
      <c r="A159" s="4"/>
      <c r="C159" s="4" t="s">
        <v>2876</v>
      </c>
      <c r="D159" s="4" t="str">
        <f t="shared" si="1"/>
        <v>{"valorA":"de","valorB":6}</v>
      </c>
      <c r="E159" s="8" t="str">
        <f t="shared" si="2"/>
        <v>de</v>
      </c>
      <c r="F159" s="8"/>
      <c r="G159" s="8" t="str">
        <f t="shared" si="3"/>
        <v>6</v>
      </c>
      <c r="H159" s="9">
        <f t="shared" si="4"/>
        <v>6</v>
      </c>
      <c r="I159" s="6" t="str">
        <f>IFERROR(__xludf.DUMMYFUNCTION("MAX(FILTER($H:$H,$E:$E=F159))"),"#N/A")</f>
        <v>#N/A</v>
      </c>
    </row>
    <row r="160">
      <c r="A160" s="4"/>
      <c r="C160" s="4" t="s">
        <v>3055</v>
      </c>
      <c r="D160" s="4" t="str">
        <f t="shared" si="1"/>
        <v>{"valorA":"um","valorB":3}</v>
      </c>
      <c r="E160" s="8" t="str">
        <f t="shared" si="2"/>
        <v>um</v>
      </c>
      <c r="F160" s="8"/>
      <c r="G160" s="8" t="str">
        <f t="shared" si="3"/>
        <v>3</v>
      </c>
      <c r="H160" s="9">
        <f t="shared" si="4"/>
        <v>3</v>
      </c>
      <c r="I160" s="6" t="str">
        <f>IFERROR(__xludf.DUMMYFUNCTION("MAX(FILTER($H:$H,$E:$E=F160))"),"#N/A")</f>
        <v>#N/A</v>
      </c>
    </row>
    <row r="161">
      <c r="A161" s="4"/>
      <c r="C161" s="4" t="s">
        <v>2840</v>
      </c>
      <c r="D161" s="4" t="str">
        <f t="shared" si="1"/>
        <v>{"valorA":"para","valorB":7}</v>
      </c>
      <c r="E161" s="8" t="str">
        <f t="shared" si="2"/>
        <v>para</v>
      </c>
      <c r="F161" s="8"/>
      <c r="G161" s="8" t="str">
        <f t="shared" si="3"/>
        <v>7</v>
      </c>
      <c r="H161" s="9">
        <f t="shared" si="4"/>
        <v>7</v>
      </c>
      <c r="I161" s="6" t="str">
        <f>IFERROR(__xludf.DUMMYFUNCTION("MAX(FILTER($H:$H,$E:$E=F161))"),"#N/A")</f>
        <v>#N/A</v>
      </c>
    </row>
    <row r="162">
      <c r="A162" s="4"/>
      <c r="C162" s="4" t="s">
        <v>2724</v>
      </c>
      <c r="D162" s="4" t="str">
        <f t="shared" si="1"/>
        <v>{"valorA":"recomendo","valorB":1}</v>
      </c>
      <c r="E162" s="8" t="str">
        <f t="shared" si="2"/>
        <v>recomendo</v>
      </c>
      <c r="F162" s="8"/>
      <c r="G162" s="8" t="str">
        <f t="shared" si="3"/>
        <v>1</v>
      </c>
      <c r="H162" s="9">
        <f t="shared" si="4"/>
        <v>1</v>
      </c>
      <c r="I162" s="6" t="str">
        <f>IFERROR(__xludf.DUMMYFUNCTION("MAX(FILTER($H:$H,$E:$E=F162))"),"#N/A")</f>
        <v>#N/A</v>
      </c>
    </row>
    <row r="163">
      <c r="A163" s="4"/>
      <c r="C163" s="4" t="s">
        <v>3147</v>
      </c>
      <c r="D163" s="4" t="str">
        <f t="shared" si="1"/>
        <v>{"valorA":"odeio","valorB":1}</v>
      </c>
      <c r="E163" s="8" t="str">
        <f t="shared" si="2"/>
        <v>odeio</v>
      </c>
      <c r="F163" s="8"/>
      <c r="G163" s="8" t="str">
        <f t="shared" si="3"/>
        <v>1</v>
      </c>
      <c r="H163" s="9">
        <f t="shared" si="4"/>
        <v>1</v>
      </c>
      <c r="I163" s="6" t="str">
        <f>IFERROR(__xludf.DUMMYFUNCTION("MAX(FILTER($H:$H,$E:$E=F163))"),"#N/A")</f>
        <v>#N/A</v>
      </c>
    </row>
    <row r="164">
      <c r="A164" s="4"/>
      <c r="C164" s="4" t="s">
        <v>3238</v>
      </c>
      <c r="D164" s="4" t="str">
        <f t="shared" si="1"/>
        <v>{"valorA":"quem","valorB":5}</v>
      </c>
      <c r="E164" s="8" t="str">
        <f t="shared" si="2"/>
        <v>quem</v>
      </c>
      <c r="F164" s="8"/>
      <c r="G164" s="8" t="str">
        <f t="shared" si="3"/>
        <v>5</v>
      </c>
      <c r="H164" s="9">
        <f t="shared" si="4"/>
        <v>5</v>
      </c>
      <c r="I164" s="6" t="str">
        <f>IFERROR(__xludf.DUMMYFUNCTION("MAX(FILTER($H:$H,$E:$E=F164))"),"#N/A")</f>
        <v>#N/A</v>
      </c>
    </row>
    <row r="165">
      <c r="A165" s="4"/>
      <c r="C165" s="4" t="s">
        <v>2725</v>
      </c>
      <c r="D165" s="4" t="str">
        <f t="shared" si="1"/>
        <v>{"valorA":"produto","valorB":10}</v>
      </c>
      <c r="E165" s="8" t="str">
        <f t="shared" si="2"/>
        <v>produto</v>
      </c>
      <c r="F165" s="8"/>
      <c r="G165" s="8" t="str">
        <f t="shared" si="3"/>
        <v>10</v>
      </c>
      <c r="H165" s="9">
        <f t="shared" si="4"/>
        <v>10</v>
      </c>
      <c r="I165" s="6" t="str">
        <f>IFERROR(__xludf.DUMMYFUNCTION("MAX(FILTER($H:$H,$E:$E=F165))"),"#N/A")</f>
        <v>#N/A</v>
      </c>
    </row>
    <row r="166">
      <c r="A166" s="4"/>
      <c r="C166" s="4" t="s">
        <v>2848</v>
      </c>
      <c r="D166" s="4" t="str">
        <f t="shared" si="1"/>
        <v>{"valorA":"me","valorB":1}</v>
      </c>
      <c r="E166" s="8" t="str">
        <f t="shared" si="2"/>
        <v>me</v>
      </c>
      <c r="F166" s="8"/>
      <c r="G166" s="8" t="str">
        <f t="shared" si="3"/>
        <v>1</v>
      </c>
      <c r="H166" s="9">
        <f t="shared" si="4"/>
        <v>1</v>
      </c>
      <c r="I166" s="6" t="str">
        <f>IFERROR(__xludf.DUMMYFUNCTION("MAX(FILTER($H:$H,$E:$E=F166))"),"#N/A")</f>
        <v>#N/A</v>
      </c>
    </row>
    <row r="167">
      <c r="A167" s="4"/>
      <c r="C167" s="4" t="s">
        <v>3753</v>
      </c>
      <c r="D167" s="4" t="str">
        <f t="shared" si="1"/>
        <v>{"valorA":"busca","valorB":4}</v>
      </c>
      <c r="E167" s="8" t="str">
        <f t="shared" si="2"/>
        <v>busca</v>
      </c>
      <c r="F167" s="8"/>
      <c r="G167" s="8" t="str">
        <f t="shared" si="3"/>
        <v>4</v>
      </c>
      <c r="H167" s="9">
        <f t="shared" si="4"/>
        <v>4</v>
      </c>
      <c r="I167" s="6" t="str">
        <f>IFERROR(__xludf.DUMMYFUNCTION("MAX(FILTER($H:$H,$E:$E=F167))"),"#N/A")</f>
        <v>#N/A</v>
      </c>
    </row>
    <row r="168">
      <c r="A168" s="4"/>
      <c r="C168" s="4" t="s">
        <v>2761</v>
      </c>
      <c r="D168" s="4" t="str">
        <f t="shared" si="1"/>
        <v>{"valorA":"ótimo","valorB":19}</v>
      </c>
      <c r="E168" s="8" t="str">
        <f t="shared" si="2"/>
        <v>ótimo</v>
      </c>
      <c r="F168" s="8"/>
      <c r="G168" s="8" t="str">
        <f t="shared" si="3"/>
        <v>19</v>
      </c>
      <c r="H168" s="9">
        <f t="shared" si="4"/>
        <v>19</v>
      </c>
      <c r="I168" s="6" t="str">
        <f>IFERROR(__xludf.DUMMYFUNCTION("MAX(FILTER($H:$H,$E:$E=F168))"),"#N/A")</f>
        <v>#N/A</v>
      </c>
    </row>
    <row r="169">
      <c r="A169" s="4"/>
      <c r="C169" s="4" t="s">
        <v>2728</v>
      </c>
      <c r="D169" s="4" t="str">
        <f t="shared" si="1"/>
        <v>{"valorA":"produto","valorB":11}</v>
      </c>
      <c r="E169" s="8" t="str">
        <f t="shared" si="2"/>
        <v>produto</v>
      </c>
      <c r="F169" s="8"/>
      <c r="G169" s="8" t="str">
        <f t="shared" si="3"/>
        <v>11</v>
      </c>
      <c r="H169" s="9">
        <f t="shared" si="4"/>
        <v>11</v>
      </c>
      <c r="I169" s="6" t="str">
        <f>IFERROR(__xludf.DUMMYFUNCTION("MAX(FILTER($H:$H,$E:$E=F169))"),"#N/A")</f>
        <v>#N/A</v>
      </c>
    </row>
    <row r="170">
      <c r="A170" s="4"/>
      <c r="C170" s="4" t="s">
        <v>2854</v>
      </c>
      <c r="D170" s="4" t="str">
        <f t="shared" si="1"/>
        <v>{"valorA":"para","valorB":8}</v>
      </c>
      <c r="E170" s="8" t="str">
        <f t="shared" si="2"/>
        <v>para</v>
      </c>
      <c r="F170" s="8"/>
      <c r="G170" s="8" t="str">
        <f t="shared" si="3"/>
        <v>8</v>
      </c>
      <c r="H170" s="9">
        <f t="shared" si="4"/>
        <v>8</v>
      </c>
      <c r="I170" s="6" t="str">
        <f>IFERROR(__xludf.DUMMYFUNCTION("MAX(FILTER($H:$H,$E:$E=F170))"),"#N/A")</f>
        <v>#N/A</v>
      </c>
    </row>
    <row r="171">
      <c r="A171" s="4"/>
      <c r="C171" s="4" t="s">
        <v>11981</v>
      </c>
      <c r="D171" s="4" t="str">
        <f t="shared" si="1"/>
        <v>{"valorA":"tipo","valorB":2}</v>
      </c>
      <c r="E171" s="8" t="str">
        <f t="shared" si="2"/>
        <v>tipo</v>
      </c>
      <c r="F171" s="8"/>
      <c r="G171" s="8" t="str">
        <f t="shared" si="3"/>
        <v>2</v>
      </c>
      <c r="H171" s="9">
        <f t="shared" si="4"/>
        <v>2</v>
      </c>
      <c r="I171" s="6" t="str">
        <f>IFERROR(__xludf.DUMMYFUNCTION("MAX(FILTER($H:$H,$E:$E=F171))"),"#N/A")</f>
        <v>#N/A</v>
      </c>
    </row>
    <row r="172">
      <c r="A172" s="4"/>
      <c r="C172" s="4" t="s">
        <v>11982</v>
      </c>
      <c r="D172" s="4" t="str">
        <f t="shared" si="1"/>
        <v>{"valorA":"1","valorB":1}</v>
      </c>
      <c r="E172" s="8" t="str">
        <f t="shared" si="2"/>
        <v>1</v>
      </c>
      <c r="F172" s="8"/>
      <c r="G172" s="8" t="str">
        <f t="shared" si="3"/>
        <v>1</v>
      </c>
      <c r="H172" s="9">
        <f t="shared" si="4"/>
        <v>1</v>
      </c>
      <c r="I172" s="6" t="str">
        <f>IFERROR(__xludf.DUMMYFUNCTION("MAX(FILTER($H:$H,$E:$E=F172))"),"#N/A")</f>
        <v>#N/A</v>
      </c>
    </row>
    <row r="173">
      <c r="A173" s="4"/>
      <c r="C173" s="4" t="s">
        <v>2843</v>
      </c>
      <c r="D173" s="4" t="str">
        <f t="shared" si="1"/>
        <v>{"valorA":"desse","valorB":2}</v>
      </c>
      <c r="E173" s="8" t="str">
        <f t="shared" si="2"/>
        <v>desse</v>
      </c>
      <c r="F173" s="8"/>
      <c r="G173" s="8" t="str">
        <f t="shared" si="3"/>
        <v>2</v>
      </c>
      <c r="H173" s="9">
        <f t="shared" si="4"/>
        <v>2</v>
      </c>
      <c r="I173" s="6" t="str">
        <f>IFERROR(__xludf.DUMMYFUNCTION("MAX(FILTER($H:$H,$E:$E=F173))"),"#N/A")</f>
        <v>#N/A</v>
      </c>
    </row>
    <row r="174">
      <c r="A174" s="4"/>
      <c r="C174" s="4" t="s">
        <v>3123</v>
      </c>
      <c r="D174" s="4" t="str">
        <f t="shared" si="1"/>
        <v>{"valorA":"um","valorB":4}</v>
      </c>
      <c r="E174" s="8" t="str">
        <f t="shared" si="2"/>
        <v>um</v>
      </c>
      <c r="F174" s="8"/>
      <c r="G174" s="8" t="str">
        <f t="shared" si="3"/>
        <v>4</v>
      </c>
      <c r="H174" s="9">
        <f t="shared" si="4"/>
        <v>4</v>
      </c>
      <c r="I174" s="6" t="str">
        <f>IFERROR(__xludf.DUMMYFUNCTION("MAX(FILTER($H:$H,$E:$E=F174))"),"#N/A")</f>
        <v>#N/A</v>
      </c>
    </row>
    <row r="175">
      <c r="A175" s="4"/>
      <c r="C175" s="4" t="s">
        <v>3146</v>
      </c>
      <c r="D175" s="4" t="str">
        <f t="shared" si="1"/>
        <v>{"valorA":"eu","valorB":1}</v>
      </c>
      <c r="E175" s="8" t="str">
        <f t="shared" si="2"/>
        <v>eu</v>
      </c>
      <c r="F175" s="8"/>
      <c r="G175" s="8" t="str">
        <f t="shared" si="3"/>
        <v>1</v>
      </c>
      <c r="H175" s="9">
        <f t="shared" si="4"/>
        <v>1</v>
      </c>
      <c r="I175" s="6" t="str">
        <f>IFERROR(__xludf.DUMMYFUNCTION("MAX(FILTER($H:$H,$E:$E=F175))"),"#N/A")</f>
        <v>#N/A</v>
      </c>
    </row>
    <row r="176">
      <c r="A176" s="4"/>
      <c r="C176" s="4" t="s">
        <v>3086</v>
      </c>
      <c r="D176" s="4" t="str">
        <f t="shared" si="1"/>
        <v>{"valorA":"preço","valorB":5}</v>
      </c>
      <c r="E176" s="8" t="str">
        <f t="shared" si="2"/>
        <v>preço</v>
      </c>
      <c r="F176" s="8"/>
      <c r="G176" s="8" t="str">
        <f t="shared" si="3"/>
        <v>5</v>
      </c>
      <c r="H176" s="9">
        <f t="shared" si="4"/>
        <v>5</v>
      </c>
      <c r="I176" s="6" t="str">
        <f>IFERROR(__xludf.DUMMYFUNCTION("MAX(FILTER($H:$H,$E:$E=F176))"),"#N/A")</f>
        <v>#N/A</v>
      </c>
    </row>
    <row r="177">
      <c r="A177" s="4"/>
      <c r="C177" s="4" t="s">
        <v>3065</v>
      </c>
      <c r="D177" s="4" t="str">
        <f t="shared" si="1"/>
        <v>{"valorA":"tablet","valorB":2}</v>
      </c>
      <c r="E177" s="8" t="str">
        <f t="shared" si="2"/>
        <v>tablet</v>
      </c>
      <c r="F177" s="8"/>
      <c r="G177" s="8" t="str">
        <f t="shared" si="3"/>
        <v>2</v>
      </c>
      <c r="H177" s="9">
        <f t="shared" si="4"/>
        <v>2</v>
      </c>
      <c r="I177" s="6" t="str">
        <f>IFERROR(__xludf.DUMMYFUNCTION("MAX(FILTER($H:$H,$E:$E=F177))"),"#N/A")</f>
        <v>#N/A</v>
      </c>
    </row>
    <row r="178">
      <c r="A178" s="4"/>
      <c r="C178" s="4" t="s">
        <v>3157</v>
      </c>
      <c r="D178" s="4" t="str">
        <f t="shared" si="1"/>
        <v>{"valorA":"excelente","valorB":2}</v>
      </c>
      <c r="E178" s="8" t="str">
        <f t="shared" si="2"/>
        <v>excelente</v>
      </c>
      <c r="F178" s="8"/>
      <c r="G178" s="8" t="str">
        <f t="shared" si="3"/>
        <v>2</v>
      </c>
      <c r="H178" s="9">
        <f t="shared" si="4"/>
        <v>2</v>
      </c>
      <c r="I178" s="6" t="str">
        <f>IFERROR(__xludf.DUMMYFUNCTION("MAX(FILTER($H:$H,$E:$E=F178))"),"#N/A")</f>
        <v>#N/A</v>
      </c>
    </row>
    <row r="179">
      <c r="A179" s="4"/>
      <c r="C179" s="4" t="s">
        <v>2766</v>
      </c>
      <c r="D179" s="4" t="str">
        <f t="shared" si="1"/>
        <v>{"valorA":"ótimo","valorB":20}</v>
      </c>
      <c r="E179" s="8" t="str">
        <f t="shared" si="2"/>
        <v>ótimo</v>
      </c>
      <c r="F179" s="8"/>
      <c r="G179" s="8" t="str">
        <f t="shared" si="3"/>
        <v>20</v>
      </c>
      <c r="H179" s="9">
        <f t="shared" si="4"/>
        <v>20</v>
      </c>
      <c r="I179" s="6" t="str">
        <f>IFERROR(__xludf.DUMMYFUNCTION("MAX(FILTER($H:$H,$E:$E=F179))"),"#N/A")</f>
        <v>#N/A</v>
      </c>
    </row>
    <row r="180">
      <c r="A180" s="4"/>
      <c r="C180" s="4" t="s">
        <v>2863</v>
      </c>
      <c r="D180" s="4" t="str">
        <f t="shared" si="1"/>
        <v>{"valorA":"para","valorB":9}</v>
      </c>
      <c r="E180" s="8" t="str">
        <f t="shared" si="2"/>
        <v>para</v>
      </c>
      <c r="F180" s="8"/>
      <c r="G180" s="8" t="str">
        <f t="shared" si="3"/>
        <v>9</v>
      </c>
      <c r="H180" s="9">
        <f t="shared" si="4"/>
        <v>9</v>
      </c>
      <c r="I180" s="6" t="str">
        <f>IFERROR(__xludf.DUMMYFUNCTION("MAX(FILTER($H:$H,$E:$E=F180))"),"#N/A")</f>
        <v>#N/A</v>
      </c>
    </row>
    <row r="181">
      <c r="A181" s="4"/>
      <c r="C181" s="4" t="s">
        <v>3379</v>
      </c>
      <c r="D181" s="4" t="str">
        <f t="shared" si="1"/>
        <v>{"valorA":"valor","valorB":1}</v>
      </c>
      <c r="E181" s="8" t="str">
        <f t="shared" si="2"/>
        <v>valor</v>
      </c>
      <c r="F181" s="8"/>
      <c r="G181" s="8" t="str">
        <f t="shared" si="3"/>
        <v>1</v>
      </c>
      <c r="H181" s="9">
        <f t="shared" si="4"/>
        <v>1</v>
      </c>
      <c r="I181" s="6" t="str">
        <f>IFERROR(__xludf.DUMMYFUNCTION("MAX(FILTER($H:$H,$E:$E=F181))"),"#N/A")</f>
        <v>#N/A</v>
      </c>
    </row>
    <row r="182">
      <c r="A182" s="4"/>
      <c r="C182" s="4" t="s">
        <v>2781</v>
      </c>
      <c r="D182" s="4" t="str">
        <f t="shared" si="1"/>
        <v>{"valorA":"o","valorB":3}</v>
      </c>
      <c r="E182" s="8" t="str">
        <f t="shared" si="2"/>
        <v>o</v>
      </c>
      <c r="F182" s="8"/>
      <c r="G182" s="8" t="str">
        <f t="shared" si="3"/>
        <v>3</v>
      </c>
      <c r="H182" s="9">
        <f t="shared" si="4"/>
        <v>3</v>
      </c>
      <c r="I182" s="6" t="str">
        <f>IFERROR(__xludf.DUMMYFUNCTION("MAX(FILTER($H:$H,$E:$E=F182))"),"#N/A")</f>
        <v>#N/A</v>
      </c>
    </row>
    <row r="183">
      <c r="A183" s="4"/>
      <c r="C183" s="4" t="s">
        <v>2779</v>
      </c>
      <c r="D183" s="4" t="str">
        <f t="shared" si="1"/>
        <v>{"valorA":"ótimo","valorB":21}</v>
      </c>
      <c r="E183" s="8" t="str">
        <f t="shared" si="2"/>
        <v>ótimo</v>
      </c>
      <c r="F183" s="8"/>
      <c r="G183" s="8" t="str">
        <f t="shared" si="3"/>
        <v>21</v>
      </c>
      <c r="H183" s="9">
        <f t="shared" si="4"/>
        <v>21</v>
      </c>
      <c r="I183" s="6" t="str">
        <f>IFERROR(__xludf.DUMMYFUNCTION("MAX(FILTER($H:$H,$E:$E=F183))"),"#N/A")</f>
        <v>#N/A</v>
      </c>
    </row>
    <row r="184">
      <c r="A184" s="4"/>
      <c r="C184" s="4" t="s">
        <v>3231</v>
      </c>
      <c r="D184" s="4" t="str">
        <f t="shared" si="1"/>
        <v>{"valorA":"não","valorB":4}</v>
      </c>
      <c r="E184" s="8" t="str">
        <f t="shared" si="2"/>
        <v>não</v>
      </c>
      <c r="F184" s="8"/>
      <c r="G184" s="8" t="str">
        <f t="shared" si="3"/>
        <v>4</v>
      </c>
      <c r="H184" s="9">
        <f t="shared" si="4"/>
        <v>4</v>
      </c>
      <c r="I184" s="6" t="str">
        <f>IFERROR(__xludf.DUMMYFUNCTION("MAX(FILTER($H:$H,$E:$E=F184))"),"#N/A")</f>
        <v>#N/A</v>
      </c>
    </row>
    <row r="185">
      <c r="A185" s="4"/>
      <c r="C185" s="4" t="s">
        <v>2758</v>
      </c>
      <c r="D185" s="4" t="str">
        <f t="shared" si="1"/>
        <v>{"valorA":"produto","valorB":12}</v>
      </c>
      <c r="E185" s="8" t="str">
        <f t="shared" si="2"/>
        <v>produto</v>
      </c>
      <c r="F185" s="8"/>
      <c r="G185" s="8" t="str">
        <f t="shared" si="3"/>
        <v>12</v>
      </c>
      <c r="H185" s="9">
        <f t="shared" si="4"/>
        <v>12</v>
      </c>
      <c r="I185" s="6" t="str">
        <f>IFERROR(__xludf.DUMMYFUNCTION("MAX(FILTER($H:$H,$E:$E=F185))"),"#N/A")</f>
        <v>#N/A</v>
      </c>
    </row>
    <row r="186">
      <c r="A186" s="4"/>
      <c r="C186" s="4" t="s">
        <v>3106</v>
      </c>
      <c r="D186" s="4" t="str">
        <f t="shared" si="1"/>
        <v>{"valorA":"mas","valorB":2}</v>
      </c>
      <c r="E186" s="8" t="str">
        <f t="shared" si="2"/>
        <v>mas</v>
      </c>
      <c r="F186" s="8"/>
      <c r="G186" s="8" t="str">
        <f t="shared" si="3"/>
        <v>2</v>
      </c>
      <c r="H186" s="9">
        <f t="shared" si="4"/>
        <v>2</v>
      </c>
      <c r="I186" s="6" t="str">
        <f>IFERROR(__xludf.DUMMYFUNCTION("MAX(FILTER($H:$H,$E:$E=F186))"),"#N/A")</f>
        <v>#N/A</v>
      </c>
    </row>
    <row r="187">
      <c r="A187" s="4"/>
      <c r="C187" s="4" t="s">
        <v>11983</v>
      </c>
      <c r="D187" s="4" t="str">
        <f t="shared" si="1"/>
        <v>{"valorA":"fique","valorB":1}</v>
      </c>
      <c r="E187" s="8" t="str">
        <f t="shared" si="2"/>
        <v>fique</v>
      </c>
      <c r="F187" s="8"/>
      <c r="G187" s="8" t="str">
        <f t="shared" si="3"/>
        <v>1</v>
      </c>
      <c r="H187" s="9">
        <f t="shared" si="4"/>
        <v>1</v>
      </c>
      <c r="I187" s="6" t="str">
        <f>IFERROR(__xludf.DUMMYFUNCTION("MAX(FILTER($H:$H,$E:$E=F187))"),"#N/A")</f>
        <v>#N/A</v>
      </c>
    </row>
    <row r="188">
      <c r="A188" s="4"/>
      <c r="C188" s="4" t="s">
        <v>2695</v>
      </c>
      <c r="D188" s="4" t="str">
        <f t="shared" si="1"/>
        <v>{"valorA":"que","valorB":2}</v>
      </c>
      <c r="E188" s="8" t="str">
        <f t="shared" si="2"/>
        <v>que</v>
      </c>
      <c r="F188" s="8"/>
      <c r="G188" s="8" t="str">
        <f t="shared" si="3"/>
        <v>2</v>
      </c>
      <c r="H188" s="9">
        <f t="shared" si="4"/>
        <v>2</v>
      </c>
      <c r="I188" s="6" t="str">
        <f>IFERROR(__xludf.DUMMYFUNCTION("MAX(FILTER($H:$H,$E:$E=F188))"),"#N/A")</f>
        <v>#N/A</v>
      </c>
    </row>
    <row r="189">
      <c r="A189" s="4"/>
      <c r="C189" s="4" t="s">
        <v>11984</v>
      </c>
      <c r="D189" s="4" t="str">
        <f t="shared" si="1"/>
        <v>{"valorA":"diferença","valorB":1}</v>
      </c>
      <c r="E189" s="8" t="str">
        <f t="shared" si="2"/>
        <v>diferença</v>
      </c>
      <c r="F189" s="8"/>
      <c r="G189" s="8" t="str">
        <f t="shared" si="3"/>
        <v>1</v>
      </c>
      <c r="H189" s="9">
        <f t="shared" si="4"/>
        <v>1</v>
      </c>
      <c r="I189" s="6" t="str">
        <f>IFERROR(__xludf.DUMMYFUNCTION("MAX(FILTER($H:$H,$E:$E=F189))"),"#N/A")</f>
        <v>#N/A</v>
      </c>
    </row>
    <row r="190">
      <c r="A190" s="4"/>
      <c r="C190" s="4" t="s">
        <v>2656</v>
      </c>
      <c r="D190" s="4" t="str">
        <f t="shared" si="1"/>
        <v>{"valorA":"paguei","valorB":1}</v>
      </c>
      <c r="E190" s="8" t="str">
        <f t="shared" si="2"/>
        <v>paguei</v>
      </c>
      <c r="F190" s="8"/>
      <c r="G190" s="8" t="str">
        <f t="shared" si="3"/>
        <v>1</v>
      </c>
      <c r="H190" s="9">
        <f t="shared" si="4"/>
        <v>1</v>
      </c>
      <c r="I190" s="6" t="str">
        <f>IFERROR(__xludf.DUMMYFUNCTION("MAX(FILTER($H:$H,$E:$E=F190))"),"#N/A")</f>
        <v>#N/A</v>
      </c>
    </row>
    <row r="191">
      <c r="A191" s="4"/>
      <c r="C191" s="4" t="s">
        <v>3720</v>
      </c>
      <c r="D191" s="4" t="str">
        <f t="shared" si="1"/>
        <v>{"valorA":"valeria","valorB":1}</v>
      </c>
      <c r="E191" s="8" t="str">
        <f t="shared" si="2"/>
        <v>valeria</v>
      </c>
      <c r="F191" s="8"/>
      <c r="G191" s="8" t="str">
        <f t="shared" si="3"/>
        <v>1</v>
      </c>
      <c r="H191" s="9">
        <f t="shared" si="4"/>
        <v>1</v>
      </c>
      <c r="I191" s="6" t="str">
        <f>IFERROR(__xludf.DUMMYFUNCTION("MAX(FILTER($H:$H,$E:$E=F191))"),"#N/A")</f>
        <v>#N/A</v>
      </c>
    </row>
    <row r="192">
      <c r="A192" s="4"/>
      <c r="C192" s="4" t="s">
        <v>3714</v>
      </c>
      <c r="D192" s="4" t="str">
        <f t="shared" si="1"/>
        <v>{"valorA":"alguns","valorB":1}</v>
      </c>
      <c r="E192" s="8" t="str">
        <f t="shared" si="2"/>
        <v>alguns</v>
      </c>
      <c r="F192" s="8"/>
      <c r="G192" s="8" t="str">
        <f t="shared" si="3"/>
        <v>1</v>
      </c>
      <c r="H192" s="9">
        <f t="shared" si="4"/>
        <v>1</v>
      </c>
      <c r="I192" s="6" t="str">
        <f>IFERROR(__xludf.DUMMYFUNCTION("MAX(FILTER($H:$H,$E:$E=F192))"),"#N/A")</f>
        <v>#N/A</v>
      </c>
    </row>
    <row r="193">
      <c r="A193" s="4"/>
      <c r="C193" s="4" t="s">
        <v>11985</v>
      </c>
      <c r="D193" s="4" t="str">
        <f t="shared" si="1"/>
        <v>{"valorA":"atento","valorB":1}</v>
      </c>
      <c r="E193" s="8" t="str">
        <f t="shared" si="2"/>
        <v>atento</v>
      </c>
      <c r="F193" s="8"/>
      <c r="G193" s="8" t="str">
        <f t="shared" si="3"/>
        <v>1</v>
      </c>
      <c r="H193" s="9">
        <f t="shared" si="4"/>
        <v>1</v>
      </c>
      <c r="I193" s="6" t="str">
        <f>IFERROR(__xludf.DUMMYFUNCTION("MAX(FILTER($H:$H,$E:$E=F193))"),"#N/A")</f>
        <v>#N/A</v>
      </c>
    </row>
    <row r="194">
      <c r="A194" s="4"/>
      <c r="C194" s="4" t="s">
        <v>2647</v>
      </c>
      <c r="D194" s="4" t="str">
        <f t="shared" si="1"/>
        <v>{"valorA":"a","valorB":1}</v>
      </c>
      <c r="E194" s="8" t="str">
        <f t="shared" si="2"/>
        <v>a</v>
      </c>
      <c r="F194" s="8"/>
      <c r="G194" s="8" t="str">
        <f t="shared" si="3"/>
        <v>1</v>
      </c>
      <c r="H194" s="9">
        <f t="shared" si="4"/>
        <v>1</v>
      </c>
      <c r="I194" s="6" t="str">
        <f>IFERROR(__xludf.DUMMYFUNCTION("MAX(FILTER($H:$H,$E:$E=F194))"),"#N/A")</f>
        <v>#N/A</v>
      </c>
    </row>
    <row r="195">
      <c r="A195" s="4"/>
      <c r="C195" s="4" t="s">
        <v>11986</v>
      </c>
      <c r="D195" s="4" t="str">
        <f t="shared" si="1"/>
        <v>{"valorA":"exempl","valorB":1}</v>
      </c>
      <c r="E195" s="8" t="str">
        <f t="shared" si="2"/>
        <v>exempl</v>
      </c>
      <c r="F195" s="8"/>
      <c r="G195" s="8" t="str">
        <f t="shared" si="3"/>
        <v>1</v>
      </c>
      <c r="H195" s="9">
        <f t="shared" si="4"/>
        <v>1</v>
      </c>
      <c r="I195" s="6" t="str">
        <f>IFERROR(__xludf.DUMMYFUNCTION("MAX(FILTER($H:$H,$E:$E=F195))"),"#N/A")</f>
        <v>#N/A</v>
      </c>
    </row>
    <row r="196">
      <c r="A196" s="4"/>
      <c r="C196" s="4" t="s">
        <v>2774</v>
      </c>
      <c r="D196" s="4" t="str">
        <f t="shared" si="1"/>
        <v>{"valorA":"produto","valorB":13}</v>
      </c>
      <c r="E196" s="8" t="str">
        <f t="shared" si="2"/>
        <v>produto</v>
      </c>
      <c r="F196" s="8"/>
      <c r="G196" s="8" t="str">
        <f t="shared" si="3"/>
        <v>13</v>
      </c>
      <c r="H196" s="9">
        <f t="shared" si="4"/>
        <v>13</v>
      </c>
      <c r="I196" s="6" t="str">
        <f>IFERROR(__xludf.DUMMYFUNCTION("MAX(FILTER($H:$H,$E:$E=F196))"),"#N/A")</f>
        <v>#N/A</v>
      </c>
    </row>
    <row r="197">
      <c r="A197" s="4"/>
      <c r="C197" s="4" t="s">
        <v>3037</v>
      </c>
      <c r="D197" s="4" t="str">
        <f t="shared" si="1"/>
        <v>{"valorA":"valeu","valorB":1}</v>
      </c>
      <c r="E197" s="8" t="str">
        <f t="shared" si="2"/>
        <v>valeu</v>
      </c>
      <c r="F197" s="8"/>
      <c r="G197" s="8" t="str">
        <f t="shared" si="3"/>
        <v>1</v>
      </c>
      <c r="H197" s="9">
        <f t="shared" si="4"/>
        <v>1</v>
      </c>
      <c r="I197" s="6" t="str">
        <f>IFERROR(__xludf.DUMMYFUNCTION("MAX(FILTER($H:$H,$E:$E=F197))"),"#N/A")</f>
        <v>#N/A</v>
      </c>
    </row>
    <row r="198">
      <c r="A198" s="4"/>
      <c r="C198" s="4" t="s">
        <v>2788</v>
      </c>
      <c r="D198" s="4" t="str">
        <f t="shared" si="1"/>
        <v>{"valorA":"ótimo","valorB":22}</v>
      </c>
      <c r="E198" s="8" t="str">
        <f t="shared" si="2"/>
        <v>ótimo</v>
      </c>
      <c r="F198" s="8"/>
      <c r="G198" s="8" t="str">
        <f t="shared" si="3"/>
        <v>22</v>
      </c>
      <c r="H198" s="9">
        <f t="shared" si="4"/>
        <v>22</v>
      </c>
      <c r="I198" s="6" t="str">
        <f>IFERROR(__xludf.DUMMYFUNCTION("MAX(FILTER($H:$H,$E:$E=F198))"),"#N/A")</f>
        <v>#N/A</v>
      </c>
    </row>
    <row r="199">
      <c r="A199" s="4"/>
      <c r="C199" s="4" t="s">
        <v>3161</v>
      </c>
      <c r="D199" s="4" t="str">
        <f t="shared" si="1"/>
        <v>{"valorA":"espera","valorB":1}</v>
      </c>
      <c r="E199" s="8" t="str">
        <f t="shared" si="2"/>
        <v>espera</v>
      </c>
      <c r="F199" s="8"/>
      <c r="G199" s="8" t="str">
        <f t="shared" si="3"/>
        <v>1</v>
      </c>
      <c r="H199" s="9">
        <f t="shared" si="4"/>
        <v>1</v>
      </c>
      <c r="I199" s="6" t="str">
        <f>IFERROR(__xludf.DUMMYFUNCTION("MAX(FILTER($H:$H,$E:$E=F199))"),"#N/A")</f>
        <v>#N/A</v>
      </c>
    </row>
    <row r="200">
      <c r="A200" s="4"/>
      <c r="C200" s="4" t="s">
        <v>3100</v>
      </c>
      <c r="D200" s="4" t="str">
        <f t="shared" si="1"/>
        <v>{"valorA":"todos","valorB":1}</v>
      </c>
      <c r="E200" s="8" t="str">
        <f t="shared" si="2"/>
        <v>todos</v>
      </c>
      <c r="F200" s="8"/>
      <c r="G200" s="8" t="str">
        <f t="shared" si="3"/>
        <v>1</v>
      </c>
      <c r="H200" s="9">
        <f t="shared" si="4"/>
        <v>1</v>
      </c>
      <c r="I200" s="6" t="str">
        <f>IFERROR(__xludf.DUMMYFUNCTION("MAX(FILTER($H:$H,$E:$E=F200))"),"#N/A")</f>
        <v>#N/A</v>
      </c>
    </row>
    <row r="201">
      <c r="A201" s="4"/>
      <c r="C201" s="4" t="s">
        <v>2660</v>
      </c>
      <c r="D201" s="4" t="str">
        <f t="shared" si="1"/>
        <v>{"valorA":"a","valorB":2}</v>
      </c>
      <c r="E201" s="8" t="str">
        <f t="shared" si="2"/>
        <v>a</v>
      </c>
      <c r="F201" s="8"/>
      <c r="G201" s="8" t="str">
        <f t="shared" si="3"/>
        <v>2</v>
      </c>
      <c r="H201" s="9">
        <f t="shared" si="4"/>
        <v>2</v>
      </c>
      <c r="I201" s="6" t="str">
        <f>IFERROR(__xludf.DUMMYFUNCTION("MAX(FILTER($H:$H,$E:$E=F201))"),"#N/A")</f>
        <v>#N/A</v>
      </c>
    </row>
    <row r="202">
      <c r="A202" s="4"/>
      <c r="C202" s="4" t="s">
        <v>3048</v>
      </c>
      <c r="D202" s="4" t="str">
        <f t="shared" si="1"/>
        <v>{"valorA":"recomendo","valorB":2}</v>
      </c>
      <c r="E202" s="8" t="str">
        <f t="shared" si="2"/>
        <v>recomendo</v>
      </c>
      <c r="F202" s="8"/>
      <c r="G202" s="8" t="str">
        <f t="shared" si="3"/>
        <v>2</v>
      </c>
      <c r="H202" s="9">
        <f t="shared" si="4"/>
        <v>2</v>
      </c>
      <c r="I202" s="6" t="str">
        <f>IFERROR(__xludf.DUMMYFUNCTION("MAX(FILTER($H:$H,$E:$E=F202))"),"#N/A")</f>
        <v>#N/A</v>
      </c>
    </row>
    <row r="203">
      <c r="A203" s="4"/>
      <c r="C203" s="4" t="s">
        <v>2969</v>
      </c>
      <c r="D203" s="4" t="str">
        <f t="shared" si="1"/>
        <v>{"valorA":"para","valorB":10}</v>
      </c>
      <c r="E203" s="8" t="str">
        <f t="shared" si="2"/>
        <v>para</v>
      </c>
      <c r="F203" s="8"/>
      <c r="G203" s="8" t="str">
        <f t="shared" si="3"/>
        <v>10</v>
      </c>
      <c r="H203" s="9">
        <f t="shared" si="4"/>
        <v>10</v>
      </c>
      <c r="I203" s="6" t="str">
        <f>IFERROR(__xludf.DUMMYFUNCTION("MAX(FILTER($H:$H,$E:$E=F203))"),"#N/A")</f>
        <v>#N/A</v>
      </c>
    </row>
    <row r="204">
      <c r="A204" s="4"/>
      <c r="C204" s="4" t="s">
        <v>3320</v>
      </c>
      <c r="D204" s="4" t="str">
        <f t="shared" si="1"/>
        <v>{"valorA":"defeitos","valorB":1}</v>
      </c>
      <c r="E204" s="8" t="str">
        <f t="shared" si="2"/>
        <v>defeitos</v>
      </c>
      <c r="F204" s="8"/>
      <c r="G204" s="8" t="str">
        <f t="shared" si="3"/>
        <v>1</v>
      </c>
      <c r="H204" s="9">
        <f t="shared" si="4"/>
        <v>1</v>
      </c>
      <c r="I204" s="6" t="str">
        <f>IFERROR(__xludf.DUMMYFUNCTION("MAX(FILTER($H:$H,$E:$E=F204))"),"#N/A")</f>
        <v>#N/A</v>
      </c>
    </row>
    <row r="205">
      <c r="A205" s="4"/>
      <c r="C205" s="4" t="s">
        <v>3168</v>
      </c>
      <c r="D205" s="4" t="str">
        <f t="shared" si="1"/>
        <v>{"valorA":"televisor","valorB":5}</v>
      </c>
      <c r="E205" s="8" t="str">
        <f t="shared" si="2"/>
        <v>televisor</v>
      </c>
      <c r="F205" s="8"/>
      <c r="G205" s="8" t="str">
        <f t="shared" si="3"/>
        <v>5</v>
      </c>
      <c r="H205" s="9">
        <f t="shared" si="4"/>
        <v>5</v>
      </c>
      <c r="I205" s="6" t="str">
        <f>IFERROR(__xludf.DUMMYFUNCTION("MAX(FILTER($H:$H,$E:$E=F205))"),"#N/A")</f>
        <v>#N/A</v>
      </c>
    </row>
    <row r="206">
      <c r="A206" s="4"/>
      <c r="C206" s="4" t="s">
        <v>3023</v>
      </c>
      <c r="D206" s="4" t="str">
        <f t="shared" si="1"/>
        <v>{"valorA":"bom","valorB":1}</v>
      </c>
      <c r="E206" s="8" t="str">
        <f t="shared" si="2"/>
        <v>bom</v>
      </c>
      <c r="F206" s="8"/>
      <c r="G206" s="8" t="str">
        <f t="shared" si="3"/>
        <v>1</v>
      </c>
      <c r="H206" s="9">
        <f t="shared" si="4"/>
        <v>1</v>
      </c>
      <c r="I206" s="6" t="str">
        <f>IFERROR(__xludf.DUMMYFUNCTION("MAX(FILTER($H:$H,$E:$E=F206))"),"#N/A")</f>
        <v>#N/A</v>
      </c>
    </row>
    <row r="207">
      <c r="A207" s="4"/>
      <c r="C207" s="4" t="s">
        <v>3493</v>
      </c>
      <c r="D207" s="4" t="str">
        <f t="shared" si="1"/>
        <v>{"valorA":"sem","valorB":1}</v>
      </c>
      <c r="E207" s="8" t="str">
        <f t="shared" si="2"/>
        <v>sem</v>
      </c>
      <c r="F207" s="8"/>
      <c r="G207" s="8" t="str">
        <f t="shared" si="3"/>
        <v>1</v>
      </c>
      <c r="H207" s="9">
        <f t="shared" si="4"/>
        <v>1</v>
      </c>
      <c r="I207" s="6" t="str">
        <f>IFERROR(__xludf.DUMMYFUNCTION("MAX(FILTER($H:$H,$E:$E=F207))"),"#N/A")</f>
        <v>#N/A</v>
      </c>
    </row>
    <row r="208">
      <c r="A208" s="4"/>
      <c r="C208" s="4" t="s">
        <v>2791</v>
      </c>
      <c r="D208" s="4" t="str">
        <f t="shared" si="1"/>
        <v>{"valorA":"ótimo","valorB":23}</v>
      </c>
      <c r="E208" s="8" t="str">
        <f t="shared" si="2"/>
        <v>ótimo</v>
      </c>
      <c r="F208" s="8"/>
      <c r="G208" s="8" t="str">
        <f t="shared" si="3"/>
        <v>23</v>
      </c>
      <c r="H208" s="9">
        <f t="shared" si="4"/>
        <v>23</v>
      </c>
      <c r="I208" s="6" t="str">
        <f>IFERROR(__xludf.DUMMYFUNCTION("MAX(FILTER($H:$H,$E:$E=F208))"),"#N/A")</f>
        <v>#N/A</v>
      </c>
    </row>
    <row r="209">
      <c r="A209" s="4"/>
      <c r="C209" s="4" t="s">
        <v>3097</v>
      </c>
      <c r="D209" s="4" t="str">
        <f t="shared" si="1"/>
        <v>{"valorA":"preço","valorB":6}</v>
      </c>
      <c r="E209" s="8" t="str">
        <f t="shared" si="2"/>
        <v>preço</v>
      </c>
      <c r="F209" s="8"/>
      <c r="G209" s="8" t="str">
        <f t="shared" si="3"/>
        <v>6</v>
      </c>
      <c r="H209" s="9">
        <f t="shared" si="4"/>
        <v>6</v>
      </c>
      <c r="I209" s="6" t="str">
        <f>IFERROR(__xludf.DUMMYFUNCTION("MAX(FILTER($H:$H,$E:$E=F209))"),"#N/A")</f>
        <v>#N/A</v>
      </c>
    </row>
    <row r="210">
      <c r="A210" s="4"/>
      <c r="C210" s="4" t="s">
        <v>2950</v>
      </c>
      <c r="D210" s="4" t="str">
        <f t="shared" si="1"/>
        <v>{"valorA":"meu","valorB":4}</v>
      </c>
      <c r="E210" s="8" t="str">
        <f t="shared" si="2"/>
        <v>meu</v>
      </c>
      <c r="F210" s="8"/>
      <c r="G210" s="8" t="str">
        <f t="shared" si="3"/>
        <v>4</v>
      </c>
      <c r="H210" s="9">
        <f t="shared" si="4"/>
        <v>4</v>
      </c>
      <c r="I210" s="6" t="str">
        <f>IFERROR(__xludf.DUMMYFUNCTION("MAX(FILTER($H:$H,$E:$E=F210))"),"#N/A")</f>
        <v>#N/A</v>
      </c>
    </row>
    <row r="211">
      <c r="A211" s="4"/>
      <c r="C211" s="4" t="s">
        <v>2635</v>
      </c>
      <c r="D211" s="4" t="str">
        <f t="shared" si="1"/>
        <v>{"valorA":"scanner","valorB":1}</v>
      </c>
      <c r="E211" s="8" t="str">
        <f t="shared" si="2"/>
        <v>scanner</v>
      </c>
      <c r="F211" s="8"/>
      <c r="G211" s="8" t="str">
        <f t="shared" si="3"/>
        <v>1</v>
      </c>
      <c r="H211" s="9">
        <f t="shared" si="4"/>
        <v>1</v>
      </c>
      <c r="I211" s="6" t="str">
        <f>IFERROR(__xludf.DUMMYFUNCTION("MAX(FILTER($H:$H,$E:$E=F211))"),"#N/A")</f>
        <v>#N/A</v>
      </c>
    </row>
    <row r="212">
      <c r="A212" s="4"/>
      <c r="C212" s="4" t="s">
        <v>2798</v>
      </c>
      <c r="D212" s="4" t="str">
        <f t="shared" si="1"/>
        <v>{"valorA":"ótimo","valorB":24}</v>
      </c>
      <c r="E212" s="8" t="str">
        <f t="shared" si="2"/>
        <v>ótimo</v>
      </c>
      <c r="F212" s="8"/>
      <c r="G212" s="8" t="str">
        <f t="shared" si="3"/>
        <v>24</v>
      </c>
      <c r="H212" s="9">
        <f t="shared" si="4"/>
        <v>24</v>
      </c>
      <c r="I212" s="6" t="str">
        <f>IFERROR(__xludf.DUMMYFUNCTION("MAX(FILTER($H:$H,$E:$E=F212))"),"#N/A")</f>
        <v>#N/A</v>
      </c>
    </row>
    <row r="213">
      <c r="A213" s="4"/>
      <c r="C213" s="4" t="s">
        <v>2756</v>
      </c>
      <c r="D213" s="4" t="str">
        <f t="shared" si="1"/>
        <v>{"valorA":"funciona","valorB":5}</v>
      </c>
      <c r="E213" s="8" t="str">
        <f t="shared" si="2"/>
        <v>funciona</v>
      </c>
      <c r="F213" s="8"/>
      <c r="G213" s="8" t="str">
        <f t="shared" si="3"/>
        <v>5</v>
      </c>
      <c r="H213" s="9">
        <f t="shared" si="4"/>
        <v>5</v>
      </c>
      <c r="I213" s="6" t="str">
        <f>IFERROR(__xludf.DUMMYFUNCTION("MAX(FILTER($H:$H,$E:$E=F213))"),"#N/A")</f>
        <v>#N/A</v>
      </c>
    </row>
    <row r="214">
      <c r="A214" s="4"/>
      <c r="C214" s="4" t="s">
        <v>2879</v>
      </c>
      <c r="D214" s="4" t="str">
        <f t="shared" si="1"/>
        <v>{"valorA":"bem","valorB":4}</v>
      </c>
      <c r="E214" s="8" t="str">
        <f t="shared" si="2"/>
        <v>bem</v>
      </c>
      <c r="F214" s="8"/>
      <c r="G214" s="8" t="str">
        <f t="shared" si="3"/>
        <v>4</v>
      </c>
      <c r="H214" s="9">
        <f t="shared" si="4"/>
        <v>4</v>
      </c>
      <c r="I214" s="6" t="str">
        <f>IFERROR(__xludf.DUMMYFUNCTION("MAX(FILTER($H:$H,$E:$E=F214))"),"#N/A")</f>
        <v>#N/A</v>
      </c>
    </row>
    <row r="215">
      <c r="A215" s="4"/>
      <c r="C215" s="4" t="s">
        <v>2894</v>
      </c>
      <c r="D215" s="4" t="str">
        <f t="shared" si="1"/>
        <v>{"valorA":"muito","valorB":8}</v>
      </c>
      <c r="E215" s="8" t="str">
        <f t="shared" si="2"/>
        <v>muito</v>
      </c>
      <c r="F215" s="8"/>
      <c r="G215" s="8" t="str">
        <f t="shared" si="3"/>
        <v>8</v>
      </c>
      <c r="H215" s="9">
        <f t="shared" si="4"/>
        <v>8</v>
      </c>
      <c r="I215" s="6" t="str">
        <f>IFERROR(__xludf.DUMMYFUNCTION("MAX(FILTER($H:$H,$E:$E=F215))"),"#N/A")</f>
        <v>#N/A</v>
      </c>
    </row>
    <row r="216">
      <c r="A216" s="4"/>
      <c r="C216" s="4" t="s">
        <v>2793</v>
      </c>
      <c r="D216" s="4" t="str">
        <f t="shared" si="1"/>
        <v>{"valorA":"produto","valorB":14}</v>
      </c>
      <c r="E216" s="8" t="str">
        <f t="shared" si="2"/>
        <v>produto</v>
      </c>
      <c r="F216" s="8"/>
      <c r="G216" s="8" t="str">
        <f t="shared" si="3"/>
        <v>14</v>
      </c>
      <c r="H216" s="9">
        <f t="shared" si="4"/>
        <v>14</v>
      </c>
      <c r="I216" s="6" t="str">
        <f>IFERROR(__xludf.DUMMYFUNCTION("MAX(FILTER($H:$H,$E:$E=F216))"),"#N/A")</f>
        <v>#N/A</v>
      </c>
    </row>
    <row r="217">
      <c r="A217" s="4"/>
      <c r="C217" s="4" t="s">
        <v>2765</v>
      </c>
      <c r="D217" s="4" t="str">
        <f t="shared" si="1"/>
        <v>{"valorA":"funciona","valorB":6}</v>
      </c>
      <c r="E217" s="8" t="str">
        <f t="shared" si="2"/>
        <v>funciona</v>
      </c>
      <c r="F217" s="8"/>
      <c r="G217" s="8" t="str">
        <f t="shared" si="3"/>
        <v>6</v>
      </c>
      <c r="H217" s="9">
        <f t="shared" si="4"/>
        <v>6</v>
      </c>
      <c r="I217" s="6" t="str">
        <f>IFERROR(__xludf.DUMMYFUNCTION("MAX(FILTER($H:$H,$E:$E=F217))"),"#N/A")</f>
        <v>#N/A</v>
      </c>
    </row>
    <row r="218">
      <c r="A218" s="4"/>
      <c r="C218" s="4" t="s">
        <v>2806</v>
      </c>
      <c r="D218" s="4" t="str">
        <f t="shared" si="1"/>
        <v>{"valorA":"ótimo","valorB":25}</v>
      </c>
      <c r="E218" s="8" t="str">
        <f t="shared" si="2"/>
        <v>ótimo</v>
      </c>
      <c r="F218" s="8"/>
      <c r="G218" s="8" t="str">
        <f t="shared" si="3"/>
        <v>25</v>
      </c>
      <c r="H218" s="9">
        <f t="shared" si="4"/>
        <v>25</v>
      </c>
      <c r="I218" s="6" t="str">
        <f>IFERROR(__xludf.DUMMYFUNCTION("MAX(FILTER($H:$H,$E:$E=F218))"),"#N/A")</f>
        <v>#N/A</v>
      </c>
    </row>
    <row r="219">
      <c r="A219" s="4"/>
      <c r="C219" s="4" t="s">
        <v>2719</v>
      </c>
      <c r="D219" s="4" t="str">
        <f t="shared" si="1"/>
        <v>{"valorA":"é","valorB":2}</v>
      </c>
      <c r="E219" s="8" t="str">
        <f t="shared" si="2"/>
        <v>é</v>
      </c>
      <c r="F219" s="8"/>
      <c r="G219" s="8" t="str">
        <f t="shared" si="3"/>
        <v>2</v>
      </c>
      <c r="H219" s="9">
        <f t="shared" si="4"/>
        <v>2</v>
      </c>
      <c r="I219" s="6" t="str">
        <f>IFERROR(__xludf.DUMMYFUNCTION("MAX(FILTER($H:$H,$E:$E=F219))"),"#N/A")</f>
        <v>#N/A</v>
      </c>
    </row>
    <row r="220">
      <c r="A220" s="4"/>
      <c r="C220" s="4" t="s">
        <v>2902</v>
      </c>
      <c r="D220" s="4" t="str">
        <f t="shared" si="1"/>
        <v>{"valorA":"bem","valorB":5}</v>
      </c>
      <c r="E220" s="8" t="str">
        <f t="shared" si="2"/>
        <v>bem</v>
      </c>
      <c r="F220" s="8"/>
      <c r="G220" s="8" t="str">
        <f t="shared" si="3"/>
        <v>5</v>
      </c>
      <c r="H220" s="9">
        <f t="shared" si="4"/>
        <v>5</v>
      </c>
      <c r="I220" s="6" t="str">
        <f>IFERROR(__xludf.DUMMYFUNCTION("MAX(FILTER($H:$H,$E:$E=F220))"),"#N/A")</f>
        <v>#N/A</v>
      </c>
    </row>
    <row r="221">
      <c r="A221" s="4"/>
      <c r="C221" s="4" t="s">
        <v>2750</v>
      </c>
      <c r="D221" s="4" t="str">
        <f t="shared" si="1"/>
        <v>{"valorA":"e","valorB":6}</v>
      </c>
      <c r="E221" s="8" t="str">
        <f t="shared" si="2"/>
        <v>e</v>
      </c>
      <c r="F221" s="8"/>
      <c r="G221" s="8" t="str">
        <f t="shared" si="3"/>
        <v>6</v>
      </c>
      <c r="H221" s="9">
        <f t="shared" si="4"/>
        <v>6</v>
      </c>
      <c r="I221" s="6" t="str">
        <f>IFERROR(__xludf.DUMMYFUNCTION("MAX(FILTER($H:$H,$E:$E=F221))"),"#N/A")</f>
        <v>#N/A</v>
      </c>
    </row>
    <row r="222">
      <c r="A222" s="4"/>
      <c r="C222" s="4" t="s">
        <v>2984</v>
      </c>
      <c r="D222" s="4" t="str">
        <f t="shared" si="1"/>
        <v>{"valorA":"de","valorB":7}</v>
      </c>
      <c r="E222" s="8" t="str">
        <f t="shared" si="2"/>
        <v>de</v>
      </c>
      <c r="F222" s="8"/>
      <c r="G222" s="8" t="str">
        <f t="shared" si="3"/>
        <v>7</v>
      </c>
      <c r="H222" s="9">
        <f t="shared" si="4"/>
        <v>7</v>
      </c>
      <c r="I222" s="6" t="str">
        <f>IFERROR(__xludf.DUMMYFUNCTION("MAX(FILTER($H:$H,$E:$E=F222))"),"#N/A")</f>
        <v>#N/A</v>
      </c>
    </row>
    <row r="223">
      <c r="A223" s="4"/>
      <c r="C223" s="4" t="s">
        <v>2739</v>
      </c>
      <c r="D223" s="4" t="str">
        <f t="shared" si="1"/>
        <v>{"valorA":"usar","valorB":3}</v>
      </c>
      <c r="E223" s="8" t="str">
        <f t="shared" si="2"/>
        <v>usar</v>
      </c>
      <c r="F223" s="8"/>
      <c r="G223" s="8" t="str">
        <f t="shared" si="3"/>
        <v>3</v>
      </c>
      <c r="H223" s="9">
        <f t="shared" si="4"/>
        <v>3</v>
      </c>
      <c r="I223" s="6" t="str">
        <f>IFERROR(__xludf.DUMMYFUNCTION("MAX(FILTER($H:$H,$E:$E=F223))"),"#N/A")</f>
        <v>#N/A</v>
      </c>
    </row>
    <row r="224">
      <c r="A224" s="4"/>
      <c r="C224" s="4" t="s">
        <v>2915</v>
      </c>
      <c r="D224" s="4" t="str">
        <f t="shared" si="1"/>
        <v>{"valorA":"muito","valorB":9}</v>
      </c>
      <c r="E224" s="8" t="str">
        <f t="shared" si="2"/>
        <v>muito</v>
      </c>
      <c r="F224" s="8"/>
      <c r="G224" s="8" t="str">
        <f t="shared" si="3"/>
        <v>9</v>
      </c>
      <c r="H224" s="9">
        <f t="shared" si="4"/>
        <v>9</v>
      </c>
      <c r="I224" s="6" t="str">
        <f>IFERROR(__xludf.DUMMYFUNCTION("MAX(FILTER($H:$H,$E:$E=F224))"),"#N/A")</f>
        <v>#N/A</v>
      </c>
    </row>
    <row r="225">
      <c r="A225" s="4"/>
      <c r="C225" s="4" t="s">
        <v>2741</v>
      </c>
      <c r="D225" s="4" t="str">
        <f t="shared" si="1"/>
        <v>{"valorA":"fácil","valorB":3}</v>
      </c>
      <c r="E225" s="8" t="str">
        <f t="shared" si="2"/>
        <v>fácil</v>
      </c>
      <c r="F225" s="8"/>
      <c r="G225" s="8" t="str">
        <f t="shared" si="3"/>
        <v>3</v>
      </c>
      <c r="H225" s="9">
        <f t="shared" si="4"/>
        <v>3</v>
      </c>
      <c r="I225" s="6" t="str">
        <f>IFERROR(__xludf.DUMMYFUNCTION("MAX(FILTER($H:$H,$E:$E=F225))"),"#N/A")</f>
        <v>#N/A</v>
      </c>
    </row>
    <row r="226">
      <c r="A226" s="4"/>
      <c r="C226" s="4" t="s">
        <v>2648</v>
      </c>
      <c r="D226" s="4" t="str">
        <f t="shared" si="1"/>
        <v>{"valorA":"resultado","valorB":1}</v>
      </c>
      <c r="E226" s="8" t="str">
        <f t="shared" si="2"/>
        <v>resultado</v>
      </c>
      <c r="F226" s="8"/>
      <c r="G226" s="8" t="str">
        <f t="shared" si="3"/>
        <v>1</v>
      </c>
      <c r="H226" s="9">
        <f t="shared" si="4"/>
        <v>1</v>
      </c>
      <c r="I226" s="6" t="str">
        <f>IFERROR(__xludf.DUMMYFUNCTION("MAX(FILTER($H:$H,$E:$E=F226))"),"#N/A")</f>
        <v>#N/A</v>
      </c>
    </row>
    <row r="227">
      <c r="A227" s="4"/>
      <c r="C227" s="4" t="s">
        <v>2796</v>
      </c>
      <c r="D227" s="4" t="str">
        <f t="shared" si="1"/>
        <v>{"valorA":"produto","valorB":15}</v>
      </c>
      <c r="E227" s="8" t="str">
        <f t="shared" si="2"/>
        <v>produto</v>
      </c>
      <c r="F227" s="8"/>
      <c r="G227" s="8" t="str">
        <f t="shared" si="3"/>
        <v>15</v>
      </c>
      <c r="H227" s="9">
        <f t="shared" si="4"/>
        <v>15</v>
      </c>
      <c r="I227" s="6" t="str">
        <f>IFERROR(__xludf.DUMMYFUNCTION("MAX(FILTER($H:$H,$E:$E=F227))"),"#N/A")</f>
        <v>#N/A</v>
      </c>
    </row>
    <row r="228">
      <c r="A228" s="4"/>
      <c r="C228" s="4" t="s">
        <v>2809</v>
      </c>
      <c r="D228" s="4" t="str">
        <f t="shared" si="1"/>
        <v>{"valorA":"ótimo","valorB":26}</v>
      </c>
      <c r="E228" s="8" t="str">
        <f t="shared" si="2"/>
        <v>ótimo</v>
      </c>
      <c r="F228" s="8"/>
      <c r="G228" s="8" t="str">
        <f t="shared" si="3"/>
        <v>26</v>
      </c>
      <c r="H228" s="9">
        <f t="shared" si="4"/>
        <v>26</v>
      </c>
      <c r="I228" s="6" t="str">
        <f>IFERROR(__xludf.DUMMYFUNCTION("MAX(FILTER($H:$H,$E:$E=F228))"),"#N/A")</f>
        <v>#N/A</v>
      </c>
    </row>
    <row r="229">
      <c r="A229" s="4"/>
      <c r="C229" s="4" t="s">
        <v>2708</v>
      </c>
      <c r="D229" s="4" t="str">
        <f t="shared" si="1"/>
        <v>{"valorA":"que","valorB":3}</v>
      </c>
      <c r="E229" s="8" t="str">
        <f t="shared" si="2"/>
        <v>que</v>
      </c>
      <c r="F229" s="8"/>
      <c r="G229" s="8" t="str">
        <f t="shared" si="3"/>
        <v>3</v>
      </c>
      <c r="H229" s="9">
        <f t="shared" si="4"/>
        <v>3</v>
      </c>
      <c r="I229" s="6" t="str">
        <f>IFERROR(__xludf.DUMMYFUNCTION("MAX(FILTER($H:$H,$E:$E=F229))"),"#N/A")</f>
        <v>#N/A</v>
      </c>
    </row>
    <row r="230">
      <c r="A230" s="4"/>
      <c r="C230" s="4" t="s">
        <v>11987</v>
      </c>
      <c r="D230" s="4" t="str">
        <f t="shared" si="1"/>
        <v>{"valorA":"custou","valorB":2}</v>
      </c>
      <c r="E230" s="8" t="str">
        <f t="shared" si="2"/>
        <v>custou</v>
      </c>
      <c r="F230" s="8"/>
      <c r="G230" s="8" t="str">
        <f t="shared" si="3"/>
        <v>2</v>
      </c>
      <c r="H230" s="9">
        <f t="shared" si="4"/>
        <v>2</v>
      </c>
      <c r="I230" s="6" t="str">
        <f>IFERROR(__xludf.DUMMYFUNCTION("MAX(FILTER($H:$H,$E:$E=F230))"),"#N/A")</f>
        <v>#N/A</v>
      </c>
    </row>
    <row r="231">
      <c r="A231" s="4"/>
      <c r="C231" s="4" t="s">
        <v>3104</v>
      </c>
      <c r="D231" s="4" t="str">
        <f t="shared" si="1"/>
        <v>{"valorA":"preço","valorB":7}</v>
      </c>
      <c r="E231" s="8" t="str">
        <f t="shared" si="2"/>
        <v>preço</v>
      </c>
      <c r="F231" s="8"/>
      <c r="G231" s="8" t="str">
        <f t="shared" si="3"/>
        <v>7</v>
      </c>
      <c r="H231" s="9">
        <f t="shared" si="4"/>
        <v>7</v>
      </c>
      <c r="I231" s="6" t="str">
        <f>IFERROR(__xludf.DUMMYFUNCTION("MAX(FILTER($H:$H,$E:$E=F231))"),"#N/A")</f>
        <v>#N/A</v>
      </c>
    </row>
    <row r="232">
      <c r="A232" s="4"/>
      <c r="C232" s="4" t="s">
        <v>2783</v>
      </c>
      <c r="D232" s="4" t="str">
        <f t="shared" si="1"/>
        <v>{"valorA":"do","valorB":3}</v>
      </c>
      <c r="E232" s="8" t="str">
        <f t="shared" si="2"/>
        <v>do</v>
      </c>
      <c r="F232" s="8"/>
      <c r="G232" s="8" t="str">
        <f t="shared" si="3"/>
        <v>3</v>
      </c>
      <c r="H232" s="9">
        <f t="shared" si="4"/>
        <v>3</v>
      </c>
      <c r="I232" s="6" t="str">
        <f>IFERROR(__xludf.DUMMYFUNCTION("MAX(FILTER($H:$H,$E:$E=F232))"),"#N/A")</f>
        <v>#N/A</v>
      </c>
    </row>
    <row r="233">
      <c r="A233" s="4"/>
      <c r="C233" s="4" t="s">
        <v>2934</v>
      </c>
      <c r="D233" s="4" t="str">
        <f t="shared" si="1"/>
        <v>{"valorA":"muito","valorB":10}</v>
      </c>
      <c r="E233" s="8" t="str">
        <f t="shared" si="2"/>
        <v>muito</v>
      </c>
      <c r="F233" s="8"/>
      <c r="G233" s="8" t="str">
        <f t="shared" si="3"/>
        <v>10</v>
      </c>
      <c r="H233" s="9">
        <f t="shared" si="4"/>
        <v>10</v>
      </c>
      <c r="I233" s="6" t="str">
        <f>IFERROR(__xludf.DUMMYFUNCTION("MAX(FILTER($H:$H,$E:$E=F233))"),"#N/A")</f>
        <v>#N/A</v>
      </c>
    </row>
    <row r="234">
      <c r="A234" s="4"/>
      <c r="C234" s="4" t="s">
        <v>3120</v>
      </c>
      <c r="D234" s="4" t="str">
        <f t="shared" si="1"/>
        <v>{"valorA":"para","valorB":11}</v>
      </c>
      <c r="E234" s="8" t="str">
        <f t="shared" si="2"/>
        <v>para</v>
      </c>
      <c r="F234" s="8"/>
      <c r="G234" s="8" t="str">
        <f t="shared" si="3"/>
        <v>11</v>
      </c>
      <c r="H234" s="9">
        <f t="shared" si="4"/>
        <v>11</v>
      </c>
      <c r="I234" s="6" t="str">
        <f>IFERROR(__xludf.DUMMYFUNCTION("MAX(FILTER($H:$H,$E:$E=F234))"),"#N/A")</f>
        <v>#N/A</v>
      </c>
    </row>
    <row r="235">
      <c r="A235" s="4"/>
      <c r="C235" s="4" t="s">
        <v>2810</v>
      </c>
      <c r="D235" s="4" t="str">
        <f t="shared" si="1"/>
        <v>{"valorA":"o","valorB":4}</v>
      </c>
      <c r="E235" s="8" t="str">
        <f t="shared" si="2"/>
        <v>o</v>
      </c>
      <c r="F235" s="8"/>
      <c r="G235" s="8" t="str">
        <f t="shared" si="3"/>
        <v>4</v>
      </c>
      <c r="H235" s="9">
        <f t="shared" si="4"/>
        <v>4</v>
      </c>
      <c r="I235" s="6" t="str">
        <f>IFERROR(__xludf.DUMMYFUNCTION("MAX(FILTER($H:$H,$E:$E=F235))"),"#N/A")</f>
        <v>#N/A</v>
      </c>
    </row>
    <row r="236">
      <c r="A236" s="4"/>
      <c r="C236" s="4" t="s">
        <v>2786</v>
      </c>
      <c r="D236" s="4" t="str">
        <f t="shared" si="1"/>
        <v>{"valorA":"gostei","valorB":3}</v>
      </c>
      <c r="E236" s="8" t="str">
        <f t="shared" si="2"/>
        <v>gostei</v>
      </c>
      <c r="F236" s="8"/>
      <c r="G236" s="8" t="str">
        <f t="shared" si="3"/>
        <v>3</v>
      </c>
      <c r="H236" s="9">
        <f t="shared" si="4"/>
        <v>3</v>
      </c>
      <c r="I236" s="6" t="str">
        <f>IFERROR(__xludf.DUMMYFUNCTION("MAX(FILTER($H:$H,$E:$E=F236))"),"#N/A")</f>
        <v>#N/A</v>
      </c>
    </row>
    <row r="237">
      <c r="A237" s="4"/>
      <c r="C237" s="4" t="s">
        <v>2818</v>
      </c>
      <c r="D237" s="4" t="str">
        <f t="shared" si="1"/>
        <v>{"valorA":"ótimo","valorB":27}</v>
      </c>
      <c r="E237" s="8" t="str">
        <f t="shared" si="2"/>
        <v>ótimo</v>
      </c>
      <c r="F237" s="8"/>
      <c r="G237" s="8" t="str">
        <f t="shared" si="3"/>
        <v>27</v>
      </c>
      <c r="H237" s="9">
        <f t="shared" si="4"/>
        <v>27</v>
      </c>
      <c r="I237" s="6" t="str">
        <f>IFERROR(__xludf.DUMMYFUNCTION("MAX(FILTER($H:$H,$E:$E=F237))"),"#N/A")</f>
        <v>#N/A</v>
      </c>
    </row>
    <row r="238">
      <c r="A238" s="4"/>
      <c r="C238" s="4" t="s">
        <v>3102</v>
      </c>
      <c r="D238" s="4" t="str">
        <f t="shared" si="1"/>
        <v>{"valorA":"fico","valorB":2}</v>
      </c>
      <c r="E238" s="8" t="str">
        <f t="shared" si="2"/>
        <v>fico</v>
      </c>
      <c r="F238" s="8"/>
      <c r="G238" s="8" t="str">
        <f t="shared" si="3"/>
        <v>2</v>
      </c>
      <c r="H238" s="9">
        <f t="shared" si="4"/>
        <v>2</v>
      </c>
      <c r="I238" s="6" t="str">
        <f>IFERROR(__xludf.DUMMYFUNCTION("MAX(FILTER($H:$H,$E:$E=F238))"),"#N/A")</f>
        <v>#N/A</v>
      </c>
    </row>
    <row r="239">
      <c r="A239" s="4"/>
      <c r="C239" s="4" t="s">
        <v>2927</v>
      </c>
      <c r="D239" s="4" t="str">
        <f t="shared" si="1"/>
        <v>{"valorA":"com","valorB":3}</v>
      </c>
      <c r="E239" s="8" t="str">
        <f t="shared" si="2"/>
        <v>com</v>
      </c>
      <c r="F239" s="8"/>
      <c r="G239" s="8" t="str">
        <f t="shared" si="3"/>
        <v>3</v>
      </c>
      <c r="H239" s="9">
        <f t="shared" si="4"/>
        <v>3</v>
      </c>
      <c r="I239" s="6" t="str">
        <f>IFERROR(__xludf.DUMMYFUNCTION("MAX(FILTER($H:$H,$E:$E=F239))"),"#N/A")</f>
        <v>#N/A</v>
      </c>
    </row>
    <row r="240">
      <c r="A240" s="4"/>
      <c r="C240" s="4" t="s">
        <v>2686</v>
      </c>
      <c r="D240" s="4" t="str">
        <f t="shared" si="1"/>
        <v>{"valorA":"a","valorB":3}</v>
      </c>
      <c r="E240" s="8" t="str">
        <f t="shared" si="2"/>
        <v>a</v>
      </c>
      <c r="F240" s="8"/>
      <c r="G240" s="8" t="str">
        <f t="shared" si="3"/>
        <v>3</v>
      </c>
      <c r="H240" s="9">
        <f t="shared" si="4"/>
        <v>3</v>
      </c>
      <c r="I240" s="6" t="str">
        <f>IFERROR(__xludf.DUMMYFUNCTION("MAX(FILTER($H:$H,$E:$E=F240))"),"#N/A")</f>
        <v>#N/A</v>
      </c>
    </row>
    <row r="241">
      <c r="A241" s="4"/>
      <c r="C241" s="4" t="s">
        <v>2794</v>
      </c>
      <c r="D241" s="4" t="str">
        <f t="shared" si="1"/>
        <v>{"valorA":"satisfeito","valorB":2}</v>
      </c>
      <c r="E241" s="8" t="str">
        <f t="shared" si="2"/>
        <v>satisfeito</v>
      </c>
      <c r="F241" s="8"/>
      <c r="G241" s="8" t="str">
        <f t="shared" si="3"/>
        <v>2</v>
      </c>
      <c r="H241" s="9">
        <f t="shared" si="4"/>
        <v>2</v>
      </c>
      <c r="I241" s="6" t="str">
        <f>IFERROR(__xludf.DUMMYFUNCTION("MAX(FILTER($H:$H,$E:$E=F241))"),"#N/A")</f>
        <v>#N/A</v>
      </c>
    </row>
    <row r="242">
      <c r="A242" s="4"/>
      <c r="C242" s="4" t="s">
        <v>3937</v>
      </c>
      <c r="D242" s="4" t="str">
        <f t="shared" si="1"/>
        <v>{"valorA":"led","valorB":3}</v>
      </c>
      <c r="E242" s="8" t="str">
        <f t="shared" si="2"/>
        <v>led</v>
      </c>
      <c r="F242" s="8"/>
      <c r="G242" s="8" t="str">
        <f t="shared" si="3"/>
        <v>3</v>
      </c>
      <c r="H242" s="9">
        <f t="shared" si="4"/>
        <v>3</v>
      </c>
      <c r="I242" s="6" t="str">
        <f>IFERROR(__xludf.DUMMYFUNCTION("MAX(FILTER($H:$H,$E:$E=F242))"),"#N/A")</f>
        <v>#N/A</v>
      </c>
    </row>
    <row r="243">
      <c r="A243" s="4"/>
      <c r="C243" s="4" t="s">
        <v>3460</v>
      </c>
      <c r="D243" s="4" t="str">
        <f t="shared" si="1"/>
        <v>{"valorA":"tv","valorB":2}</v>
      </c>
      <c r="E243" s="8" t="str">
        <f t="shared" si="2"/>
        <v>tv</v>
      </c>
      <c r="F243" s="8"/>
      <c r="G243" s="8" t="str">
        <f t="shared" si="3"/>
        <v>2</v>
      </c>
      <c r="H243" s="9">
        <f t="shared" si="4"/>
        <v>2</v>
      </c>
      <c r="I243" s="6" t="str">
        <f>IFERROR(__xludf.DUMMYFUNCTION("MAX(FILTER($H:$H,$E:$E=F243))"),"#N/A")</f>
        <v>#N/A</v>
      </c>
    </row>
    <row r="244">
      <c r="A244" s="4"/>
      <c r="C244" s="4" t="s">
        <v>2664</v>
      </c>
      <c r="D244" s="4" t="str">
        <f t="shared" si="1"/>
        <v>{"valorA":"compra","valorB":1}</v>
      </c>
      <c r="E244" s="8" t="str">
        <f t="shared" si="2"/>
        <v>compra</v>
      </c>
      <c r="F244" s="8"/>
      <c r="G244" s="8" t="str">
        <f t="shared" si="3"/>
        <v>1</v>
      </c>
      <c r="H244" s="9">
        <f t="shared" si="4"/>
        <v>1</v>
      </c>
      <c r="I244" s="6" t="str">
        <f>IFERROR(__xludf.DUMMYFUNCTION("MAX(FILTER($H:$H,$E:$E=F244))"),"#N/A")</f>
        <v>#N/A</v>
      </c>
    </row>
    <row r="245">
      <c r="A245" s="4"/>
      <c r="C245" s="4" t="s">
        <v>2828</v>
      </c>
      <c r="D245" s="4" t="str">
        <f t="shared" si="1"/>
        <v>{"valorA":"ótimo","valorB":28}</v>
      </c>
      <c r="E245" s="8" t="str">
        <f t="shared" si="2"/>
        <v>ótimo</v>
      </c>
      <c r="F245" s="8"/>
      <c r="G245" s="8" t="str">
        <f t="shared" si="3"/>
        <v>28</v>
      </c>
      <c r="H245" s="9">
        <f t="shared" si="4"/>
        <v>28</v>
      </c>
      <c r="I245" s="6" t="str">
        <f>IFERROR(__xludf.DUMMYFUNCTION("MAX(FILTER($H:$H,$E:$E=F245))"),"#N/A")</f>
        <v>#N/A</v>
      </c>
    </row>
    <row r="246">
      <c r="A246" s="4"/>
      <c r="C246" s="4" t="s">
        <v>3092</v>
      </c>
      <c r="D246" s="4" t="str">
        <f t="shared" si="1"/>
        <v>{"valorA":"boa","valorB":1}</v>
      </c>
      <c r="E246" s="8" t="str">
        <f t="shared" si="2"/>
        <v>boa</v>
      </c>
      <c r="F246" s="8"/>
      <c r="G246" s="8" t="str">
        <f t="shared" si="3"/>
        <v>1</v>
      </c>
      <c r="H246" s="9">
        <f t="shared" si="4"/>
        <v>1</v>
      </c>
      <c r="I246" s="6" t="str">
        <f>IFERROR(__xludf.DUMMYFUNCTION("MAX(FILTER($H:$H,$E:$E=F246))"),"#N/A")</f>
        <v>#N/A</v>
      </c>
    </row>
    <row r="247">
      <c r="A247" s="4"/>
      <c r="C247" s="4" t="s">
        <v>3167</v>
      </c>
      <c r="D247" s="4" t="str">
        <f t="shared" si="1"/>
        <v>{"valorA":"qualidade","valorB":4}</v>
      </c>
      <c r="E247" s="8" t="str">
        <f t="shared" si="2"/>
        <v>qualidade</v>
      </c>
      <c r="F247" s="8"/>
      <c r="G247" s="8" t="str">
        <f t="shared" si="3"/>
        <v>4</v>
      </c>
      <c r="H247" s="9">
        <f t="shared" si="4"/>
        <v>4</v>
      </c>
      <c r="I247" s="6" t="str">
        <f>IFERROR(__xludf.DUMMYFUNCTION("MAX(FILTER($H:$H,$E:$E=F247))"),"#N/A")</f>
        <v>#N/A</v>
      </c>
    </row>
    <row r="248">
      <c r="A248" s="4"/>
      <c r="C248" s="4" t="s">
        <v>11988</v>
      </c>
      <c r="D248" s="4" t="str">
        <f t="shared" si="1"/>
        <v>{"valorA":"tv","valorB":3}</v>
      </c>
      <c r="E248" s="8" t="str">
        <f t="shared" si="2"/>
        <v>tv</v>
      </c>
      <c r="F248" s="8"/>
      <c r="G248" s="8" t="str">
        <f t="shared" si="3"/>
        <v>3</v>
      </c>
      <c r="H248" s="9">
        <f t="shared" si="4"/>
        <v>3</v>
      </c>
      <c r="I248" s="6" t="str">
        <f>IFERROR(__xludf.DUMMYFUNCTION("MAX(FILTER($H:$H,$E:$E=F248))"),"#N/A")</f>
        <v>#N/A</v>
      </c>
    </row>
    <row r="249">
      <c r="A249" s="4"/>
      <c r="C249" s="4" t="s">
        <v>3044</v>
      </c>
      <c r="D249" s="4" t="str">
        <f t="shared" si="1"/>
        <v>{"valorA":"bom","valorB":2}</v>
      </c>
      <c r="E249" s="8" t="str">
        <f t="shared" si="2"/>
        <v>bom</v>
      </c>
      <c r="F249" s="8"/>
      <c r="G249" s="8" t="str">
        <f t="shared" si="3"/>
        <v>2</v>
      </c>
      <c r="H249" s="9">
        <f t="shared" si="4"/>
        <v>2</v>
      </c>
      <c r="I249" s="6" t="str">
        <f>IFERROR(__xludf.DUMMYFUNCTION("MAX(FILTER($H:$H,$E:$E=F249))"),"#N/A")</f>
        <v>#N/A</v>
      </c>
    </row>
    <row r="250">
      <c r="A250" s="4"/>
      <c r="C250" s="4" t="s">
        <v>2770</v>
      </c>
      <c r="D250" s="4" t="str">
        <f t="shared" si="1"/>
        <v>{"valorA":"e","valorB":7}</v>
      </c>
      <c r="E250" s="8" t="str">
        <f t="shared" si="2"/>
        <v>e</v>
      </c>
      <c r="F250" s="8"/>
      <c r="G250" s="8" t="str">
        <f t="shared" si="3"/>
        <v>7</v>
      </c>
      <c r="H250" s="9">
        <f t="shared" si="4"/>
        <v>7</v>
      </c>
      <c r="I250" s="6" t="str">
        <f>IFERROR(__xludf.DUMMYFUNCTION("MAX(FILTER($H:$H,$E:$E=F250))"),"#N/A")</f>
        <v>#N/A</v>
      </c>
    </row>
    <row r="251">
      <c r="A251" s="4"/>
      <c r="C251" s="4" t="s">
        <v>3107</v>
      </c>
      <c r="D251" s="4" t="str">
        <f t="shared" si="1"/>
        <v>{"valorA":"preço","valorB":8}</v>
      </c>
      <c r="E251" s="8" t="str">
        <f t="shared" si="2"/>
        <v>preço</v>
      </c>
      <c r="F251" s="8"/>
      <c r="G251" s="8" t="str">
        <f t="shared" si="3"/>
        <v>8</v>
      </c>
      <c r="H251" s="9">
        <f t="shared" si="4"/>
        <v>8</v>
      </c>
      <c r="I251" s="6" t="str">
        <f>IFERROR(__xludf.DUMMYFUNCTION("MAX(FILTER($H:$H,$E:$E=F251))"),"#N/A")</f>
        <v>#N/A</v>
      </c>
    </row>
    <row r="252">
      <c r="A252" s="4"/>
      <c r="C252" s="4" t="s">
        <v>3234</v>
      </c>
      <c r="D252" s="4" t="str">
        <f t="shared" si="1"/>
        <v>{"valorA":"qualidade","valorB":5}</v>
      </c>
      <c r="E252" s="8" t="str">
        <f t="shared" si="2"/>
        <v>qualidade</v>
      </c>
      <c r="F252" s="8"/>
      <c r="G252" s="8" t="str">
        <f t="shared" si="3"/>
        <v>5</v>
      </c>
      <c r="H252" s="9">
        <f t="shared" si="4"/>
        <v>5</v>
      </c>
      <c r="I252" s="6" t="str">
        <f>IFERROR(__xludf.DUMMYFUNCTION("MAX(FILTER($H:$H,$E:$E=F252))"),"#N/A")</f>
        <v>#N/A</v>
      </c>
    </row>
    <row r="253">
      <c r="A253" s="4"/>
      <c r="C253" s="4" t="s">
        <v>2831</v>
      </c>
      <c r="D253" s="4" t="str">
        <f t="shared" si="1"/>
        <v>{"valorA":"ótimo","valorB":29}</v>
      </c>
      <c r="E253" s="8" t="str">
        <f t="shared" si="2"/>
        <v>ótimo</v>
      </c>
      <c r="F253" s="8"/>
      <c r="G253" s="8" t="str">
        <f t="shared" si="3"/>
        <v>29</v>
      </c>
      <c r="H253" s="9">
        <f t="shared" si="4"/>
        <v>29</v>
      </c>
      <c r="I253" s="6" t="str">
        <f>IFERROR(__xludf.DUMMYFUNCTION("MAX(FILTER($H:$H,$E:$E=F253))"),"#N/A")</f>
        <v>#N/A</v>
      </c>
    </row>
    <row r="254">
      <c r="A254" s="4"/>
      <c r="C254" s="4" t="s">
        <v>3117</v>
      </c>
      <c r="D254" s="4" t="str">
        <f t="shared" si="1"/>
        <v>{"valorA":"preço","valorB":9}</v>
      </c>
      <c r="E254" s="8" t="str">
        <f t="shared" si="2"/>
        <v>preço</v>
      </c>
      <c r="F254" s="8"/>
      <c r="G254" s="8" t="str">
        <f t="shared" si="3"/>
        <v>9</v>
      </c>
      <c r="H254" s="9">
        <f t="shared" si="4"/>
        <v>9</v>
      </c>
      <c r="I254" s="6" t="str">
        <f>IFERROR(__xludf.DUMMYFUNCTION("MAX(FILTER($H:$H,$E:$E=F254))"),"#N/A")</f>
        <v>#N/A</v>
      </c>
    </row>
    <row r="255">
      <c r="A255" s="4"/>
      <c r="C255" s="4" t="s">
        <v>3174</v>
      </c>
      <c r="D255" s="4" t="str">
        <f t="shared" si="1"/>
        <v>{"valorA":"para","valorB":12}</v>
      </c>
      <c r="E255" s="8" t="str">
        <f t="shared" si="2"/>
        <v>para</v>
      </c>
      <c r="F255" s="8"/>
      <c r="G255" s="8" t="str">
        <f t="shared" si="3"/>
        <v>12</v>
      </c>
      <c r="H255" s="9">
        <f t="shared" si="4"/>
        <v>12</v>
      </c>
      <c r="I255" s="6" t="str">
        <f>IFERROR(__xludf.DUMMYFUNCTION("MAX(FILTER($H:$H,$E:$E=F255))"),"#N/A")</f>
        <v>#N/A</v>
      </c>
    </row>
    <row r="256">
      <c r="A256" s="4"/>
      <c r="C256" s="4" t="s">
        <v>2784</v>
      </c>
      <c r="D256" s="4" t="str">
        <f t="shared" si="1"/>
        <v>{"valorA":"e","valorB":8}</v>
      </c>
      <c r="E256" s="8" t="str">
        <f t="shared" si="2"/>
        <v>e</v>
      </c>
      <c r="F256" s="8"/>
      <c r="G256" s="8" t="str">
        <f t="shared" si="3"/>
        <v>8</v>
      </c>
      <c r="H256" s="9">
        <f t="shared" si="4"/>
        <v>8</v>
      </c>
      <c r="I256" s="6" t="str">
        <f>IFERROR(__xludf.DUMMYFUNCTION("MAX(FILTER($H:$H,$E:$E=F256))"),"#N/A")</f>
        <v>#N/A</v>
      </c>
    </row>
    <row r="257">
      <c r="A257" s="4"/>
      <c r="C257" s="4" t="s">
        <v>2967</v>
      </c>
      <c r="D257" s="4" t="str">
        <f t="shared" si="1"/>
        <v>{"valorA":"meu","valorB":5}</v>
      </c>
      <c r="E257" s="8" t="str">
        <f t="shared" si="2"/>
        <v>meu</v>
      </c>
      <c r="F257" s="8"/>
      <c r="G257" s="8" t="str">
        <f t="shared" si="3"/>
        <v>5</v>
      </c>
      <c r="H257" s="9">
        <f t="shared" si="4"/>
        <v>5</v>
      </c>
      <c r="I257" s="6" t="str">
        <f>IFERROR(__xludf.DUMMYFUNCTION("MAX(FILTER($H:$H,$E:$E=F257))"),"#N/A")</f>
        <v>#N/A</v>
      </c>
    </row>
    <row r="258">
      <c r="A258" s="4"/>
      <c r="C258" s="4" t="s">
        <v>11989</v>
      </c>
      <c r="D258" s="4" t="str">
        <f t="shared" si="1"/>
        <v>{"valorA":"scanner","valorB":2}</v>
      </c>
      <c r="E258" s="8" t="str">
        <f t="shared" si="2"/>
        <v>scanner</v>
      </c>
      <c r="F258" s="8"/>
      <c r="G258" s="8" t="str">
        <f t="shared" si="3"/>
        <v>2</v>
      </c>
      <c r="H258" s="9">
        <f t="shared" si="4"/>
        <v>2</v>
      </c>
      <c r="I258" s="6" t="str">
        <f>IFERROR(__xludf.DUMMYFUNCTION("MAX(FILTER($H:$H,$E:$E=F258))"),"#N/A")</f>
        <v>#N/A</v>
      </c>
    </row>
    <row r="259">
      <c r="A259" s="4"/>
      <c r="C259" s="4" t="s">
        <v>2883</v>
      </c>
      <c r="D259" s="4" t="str">
        <f t="shared" si="1"/>
        <v>{"valorA":"o","valorB":5}</v>
      </c>
      <c r="E259" s="8" t="str">
        <f t="shared" si="2"/>
        <v>o</v>
      </c>
      <c r="F259" s="8"/>
      <c r="G259" s="8" t="str">
        <f t="shared" si="3"/>
        <v>5</v>
      </c>
      <c r="H259" s="9">
        <f t="shared" si="4"/>
        <v>5</v>
      </c>
      <c r="I259" s="6" t="str">
        <f>IFERROR(__xludf.DUMMYFUNCTION("MAX(FILTER($H:$H,$E:$E=F259))"),"#N/A")</f>
        <v>#N/A</v>
      </c>
    </row>
    <row r="260">
      <c r="A260" s="4"/>
      <c r="C260" s="4" t="s">
        <v>2776</v>
      </c>
      <c r="D260" s="4" t="str">
        <f t="shared" si="1"/>
        <v>{"valorA":"funciona","valorB":7}</v>
      </c>
      <c r="E260" s="8" t="str">
        <f t="shared" si="2"/>
        <v>funciona</v>
      </c>
      <c r="F260" s="8"/>
      <c r="G260" s="8" t="str">
        <f t="shared" si="3"/>
        <v>7</v>
      </c>
      <c r="H260" s="9">
        <f t="shared" si="4"/>
        <v>7</v>
      </c>
      <c r="I260" s="6" t="str">
        <f>IFERROR(__xludf.DUMMYFUNCTION("MAX(FILTER($H:$H,$E:$E=F260))"),"#N/A")</f>
        <v>#N/A</v>
      </c>
    </row>
    <row r="261">
      <c r="A261" s="4"/>
      <c r="C261" s="4" t="s">
        <v>3114</v>
      </c>
      <c r="D261" s="4" t="str">
        <f t="shared" si="1"/>
        <v>{"valorA":"bem","valorB":6}</v>
      </c>
      <c r="E261" s="8" t="str">
        <f t="shared" si="2"/>
        <v>bem</v>
      </c>
      <c r="F261" s="8"/>
      <c r="G261" s="8" t="str">
        <f t="shared" si="3"/>
        <v>6</v>
      </c>
      <c r="H261" s="9">
        <f t="shared" si="4"/>
        <v>6</v>
      </c>
      <c r="I261" s="6" t="str">
        <f>IFERROR(__xludf.DUMMYFUNCTION("MAX(FILTER($H:$H,$E:$E=F261))"),"#N/A")</f>
        <v>#N/A</v>
      </c>
    </row>
    <row r="262">
      <c r="A262" s="4"/>
      <c r="C262" s="4" t="s">
        <v>3093</v>
      </c>
      <c r="D262" s="4" t="str">
        <f t="shared" si="1"/>
        <v>{"valorA":"ótima","valorB":1}</v>
      </c>
      <c r="E262" s="8" t="str">
        <f t="shared" si="2"/>
        <v>ótima</v>
      </c>
      <c r="F262" s="8"/>
      <c r="G262" s="8" t="str">
        <f t="shared" si="3"/>
        <v>1</v>
      </c>
      <c r="H262" s="9">
        <f t="shared" si="4"/>
        <v>1</v>
      </c>
      <c r="I262" s="6" t="str">
        <f>IFERROR(__xludf.DUMMYFUNCTION("MAX(FILTER($H:$H,$E:$E=F262))"),"#N/A")</f>
        <v>#N/A</v>
      </c>
    </row>
    <row r="263">
      <c r="A263" s="4"/>
      <c r="C263" s="4" t="s">
        <v>11990</v>
      </c>
      <c r="D263" s="4" t="str">
        <f t="shared" si="1"/>
        <v>{"valorA":"começar","valorB":1}</v>
      </c>
      <c r="E263" s="8" t="str">
        <f t="shared" si="2"/>
        <v>começar</v>
      </c>
      <c r="F263" s="8"/>
      <c r="G263" s="8" t="str">
        <f t="shared" si="3"/>
        <v>1</v>
      </c>
      <c r="H263" s="9">
        <f t="shared" si="4"/>
        <v>1</v>
      </c>
      <c r="I263" s="6" t="str">
        <f>IFERROR(__xludf.DUMMYFUNCTION("MAX(FILTER($H:$H,$E:$E=F263))"),"#N/A")</f>
        <v>#N/A</v>
      </c>
    </row>
    <row r="264">
      <c r="A264" s="4"/>
      <c r="C264" s="4" t="s">
        <v>2821</v>
      </c>
      <c r="D264" s="4" t="str">
        <f t="shared" si="1"/>
        <v>{"valorA":"e","valorB":9}</v>
      </c>
      <c r="E264" s="8" t="str">
        <f t="shared" si="2"/>
        <v>e</v>
      </c>
      <c r="F264" s="8"/>
      <c r="G264" s="8" t="str">
        <f t="shared" si="3"/>
        <v>9</v>
      </c>
      <c r="H264" s="9">
        <f t="shared" si="4"/>
        <v>9</v>
      </c>
      <c r="I264" s="6" t="str">
        <f>IFERROR(__xludf.DUMMYFUNCTION("MAX(FILTER($H:$H,$E:$E=F264))"),"#N/A")</f>
        <v>#N/A</v>
      </c>
    </row>
    <row r="265">
      <c r="A265" s="4"/>
      <c r="C265" s="4" t="s">
        <v>3051</v>
      </c>
      <c r="D265" s="4" t="str">
        <f t="shared" si="1"/>
        <v>{"valorA":"fácil","valorB":4}</v>
      </c>
      <c r="E265" s="8" t="str">
        <f t="shared" si="2"/>
        <v>fácil</v>
      </c>
      <c r="F265" s="8"/>
      <c r="G265" s="8" t="str">
        <f t="shared" si="3"/>
        <v>4</v>
      </c>
      <c r="H265" s="9">
        <f t="shared" si="4"/>
        <v>4</v>
      </c>
      <c r="I265" s="6" t="str">
        <f>IFERROR(__xludf.DUMMYFUNCTION("MAX(FILTER($H:$H,$E:$E=F265))"),"#N/A")</f>
        <v>#N/A</v>
      </c>
    </row>
    <row r="266">
      <c r="A266" s="4"/>
      <c r="C266" s="4" t="s">
        <v>2767</v>
      </c>
      <c r="D266" s="4" t="str">
        <f t="shared" si="1"/>
        <v>{"valorA":"é","valorB":3}</v>
      </c>
      <c r="E266" s="8" t="str">
        <f t="shared" si="2"/>
        <v>é</v>
      </c>
      <c r="F266" s="8"/>
      <c r="G266" s="8" t="str">
        <f t="shared" si="3"/>
        <v>3</v>
      </c>
      <c r="H266" s="9">
        <f t="shared" si="4"/>
        <v>3</v>
      </c>
      <c r="I266" s="6" t="str">
        <f>IFERROR(__xludf.DUMMYFUNCTION("MAX(FILTER($H:$H,$E:$E=F266))"),"#N/A")</f>
        <v>#N/A</v>
      </c>
    </row>
    <row r="267">
      <c r="A267" s="4"/>
      <c r="C267" s="4" t="s">
        <v>3069</v>
      </c>
      <c r="D267" s="4" t="str">
        <f t="shared" si="1"/>
        <v>{"valorA":"de","valorB":8}</v>
      </c>
      <c r="E267" s="8" t="str">
        <f t="shared" si="2"/>
        <v>de</v>
      </c>
      <c r="F267" s="8"/>
      <c r="G267" s="8" t="str">
        <f t="shared" si="3"/>
        <v>8</v>
      </c>
      <c r="H267" s="9">
        <f t="shared" si="4"/>
        <v>8</v>
      </c>
      <c r="I267" s="6" t="str">
        <f>IFERROR(__xludf.DUMMYFUNCTION("MAX(FILTER($H:$H,$E:$E=F267))"),"#N/A")</f>
        <v>#N/A</v>
      </c>
    </row>
    <row r="268">
      <c r="A268" s="4"/>
      <c r="C268" s="4" t="s">
        <v>3185</v>
      </c>
      <c r="D268" s="4" t="str">
        <f t="shared" si="1"/>
        <v>{"valorA":"para","valorB":13}</v>
      </c>
      <c r="E268" s="8" t="str">
        <f t="shared" si="2"/>
        <v>para</v>
      </c>
      <c r="F268" s="8"/>
      <c r="G268" s="8" t="str">
        <f t="shared" si="3"/>
        <v>13</v>
      </c>
      <c r="H268" s="9">
        <f t="shared" si="4"/>
        <v>13</v>
      </c>
      <c r="I268" s="6" t="str">
        <f>IFERROR(__xludf.DUMMYFUNCTION("MAX(FILTER($H:$H,$E:$E=F268))"),"#N/A")</f>
        <v>#N/A</v>
      </c>
    </row>
    <row r="269">
      <c r="A269" s="4"/>
      <c r="C269" s="4" t="s">
        <v>2799</v>
      </c>
      <c r="D269" s="4" t="str">
        <f t="shared" si="1"/>
        <v>{"valorA":"câmera","valorB":1}</v>
      </c>
      <c r="E269" s="8" t="str">
        <f t="shared" si="2"/>
        <v>câmera</v>
      </c>
      <c r="F269" s="8"/>
      <c r="G269" s="8" t="str">
        <f t="shared" si="3"/>
        <v>1</v>
      </c>
      <c r="H269" s="9">
        <f t="shared" si="4"/>
        <v>1</v>
      </c>
      <c r="I269" s="6" t="str">
        <f>IFERROR(__xludf.DUMMYFUNCTION("MAX(FILTER($H:$H,$E:$E=F269))"),"#N/A")</f>
        <v>#N/A</v>
      </c>
    </row>
    <row r="270">
      <c r="A270" s="4"/>
      <c r="C270" s="4" t="s">
        <v>3052</v>
      </c>
      <c r="D270" s="4" t="str">
        <f t="shared" si="1"/>
        <v>{"valorA":"usar","valorB":4}</v>
      </c>
      <c r="E270" s="8" t="str">
        <f t="shared" si="2"/>
        <v>usar</v>
      </c>
      <c r="F270" s="8"/>
      <c r="G270" s="8" t="str">
        <f t="shared" si="3"/>
        <v>4</v>
      </c>
      <c r="H270" s="9">
        <f t="shared" si="4"/>
        <v>4</v>
      </c>
      <c r="I270" s="6" t="str">
        <f>IFERROR(__xludf.DUMMYFUNCTION("MAX(FILTER($H:$H,$E:$E=F270))"),"#N/A")</f>
        <v>#N/A</v>
      </c>
    </row>
    <row r="271">
      <c r="A271" s="4"/>
      <c r="C271" s="4" t="s">
        <v>3144</v>
      </c>
      <c r="D271" s="4" t="str">
        <f t="shared" si="1"/>
        <v>{"valorA":"fico","valorB":3}</v>
      </c>
      <c r="E271" s="8" t="str">
        <f t="shared" si="2"/>
        <v>fico</v>
      </c>
      <c r="F271" s="8"/>
      <c r="G271" s="8" t="str">
        <f t="shared" si="3"/>
        <v>3</v>
      </c>
      <c r="H271" s="9">
        <f t="shared" si="4"/>
        <v>3</v>
      </c>
      <c r="I271" s="6" t="str">
        <f>IFERROR(__xludf.DUMMYFUNCTION("MAX(FILTER($H:$H,$E:$E=F271))"),"#N/A")</f>
        <v>#N/A</v>
      </c>
    </row>
    <row r="272">
      <c r="A272" s="4"/>
      <c r="C272" s="4" t="s">
        <v>11991</v>
      </c>
      <c r="D272" s="4" t="str">
        <f t="shared" si="1"/>
        <v>{"valorA":"frustrado","valorB":1}</v>
      </c>
      <c r="E272" s="8" t="str">
        <f t="shared" si="2"/>
        <v>frustrado</v>
      </c>
      <c r="F272" s="8"/>
      <c r="G272" s="8" t="str">
        <f t="shared" si="3"/>
        <v>1</v>
      </c>
      <c r="H272" s="9">
        <f t="shared" si="4"/>
        <v>1</v>
      </c>
      <c r="I272" s="6" t="str">
        <f>IFERROR(__xludf.DUMMYFUNCTION("MAX(FILTER($H:$H,$E:$E=F272))"),"#N/A")</f>
        <v>#N/A</v>
      </c>
    </row>
    <row r="273">
      <c r="A273" s="4"/>
      <c r="C273" s="4" t="s">
        <v>2801</v>
      </c>
      <c r="D273" s="4" t="str">
        <f t="shared" si="1"/>
        <v>{"valorA":"produto","valorB":16}</v>
      </c>
      <c r="E273" s="8" t="str">
        <f t="shared" si="2"/>
        <v>produto</v>
      </c>
      <c r="F273" s="8"/>
      <c r="G273" s="8" t="str">
        <f t="shared" si="3"/>
        <v>16</v>
      </c>
      <c r="H273" s="9">
        <f t="shared" si="4"/>
        <v>16</v>
      </c>
      <c r="I273" s="6" t="str">
        <f>IFERROR(__xludf.DUMMYFUNCTION("MAX(FILTER($H:$H,$E:$E=F273))"),"#N/A")</f>
        <v>#N/A</v>
      </c>
    </row>
    <row r="274">
      <c r="A274" s="4"/>
      <c r="C274" s="4" t="s">
        <v>2841</v>
      </c>
      <c r="D274" s="4" t="str">
        <f t="shared" si="1"/>
        <v>{"valorA":"ótimo","valorB":30}</v>
      </c>
      <c r="E274" s="8" t="str">
        <f t="shared" si="2"/>
        <v>ótimo</v>
      </c>
      <c r="F274" s="8"/>
      <c r="G274" s="8" t="str">
        <f t="shared" si="3"/>
        <v>30</v>
      </c>
      <c r="H274" s="9">
        <f t="shared" si="4"/>
        <v>30</v>
      </c>
      <c r="I274" s="6" t="str">
        <f>IFERROR(__xludf.DUMMYFUNCTION("MAX(FILTER($H:$H,$E:$E=F274))"),"#N/A")</f>
        <v>#N/A</v>
      </c>
    </row>
    <row r="275">
      <c r="A275" s="4"/>
      <c r="C275" s="4" t="s">
        <v>3133</v>
      </c>
      <c r="D275" s="4" t="str">
        <f t="shared" si="1"/>
        <v>{"valorA":"mas","valorB":3}</v>
      </c>
      <c r="E275" s="8" t="str">
        <f t="shared" si="2"/>
        <v>mas</v>
      </c>
      <c r="F275" s="8"/>
      <c r="G275" s="8" t="str">
        <f t="shared" si="3"/>
        <v>3</v>
      </c>
      <c r="H275" s="9">
        <f t="shared" si="4"/>
        <v>3</v>
      </c>
      <c r="I275" s="6" t="str">
        <f>IFERROR(__xludf.DUMMYFUNCTION("MAX(FILTER($H:$H,$E:$E=F275))"),"#N/A")</f>
        <v>#N/A</v>
      </c>
    </row>
    <row r="276">
      <c r="A276" s="4"/>
      <c r="C276" s="4" t="s">
        <v>3242</v>
      </c>
      <c r="D276" s="4" t="str">
        <f t="shared" si="1"/>
        <v>{"valorA":"qualidade","valorB":6}</v>
      </c>
      <c r="E276" s="8" t="str">
        <f t="shared" si="2"/>
        <v>qualidade</v>
      </c>
      <c r="F276" s="8"/>
      <c r="G276" s="8" t="str">
        <f t="shared" si="3"/>
        <v>6</v>
      </c>
      <c r="H276" s="9">
        <f t="shared" si="4"/>
        <v>6</v>
      </c>
      <c r="I276" s="6" t="str">
        <f>IFERROR(__xludf.DUMMYFUNCTION("MAX(FILTER($H:$H,$E:$E=F276))"),"#N/A")</f>
        <v>#N/A</v>
      </c>
    </row>
    <row r="277">
      <c r="A277" s="4"/>
      <c r="C277" s="4" t="s">
        <v>2956</v>
      </c>
      <c r="D277" s="4" t="str">
        <f t="shared" si="1"/>
        <v>{"valorA":"com","valorB":4}</v>
      </c>
      <c r="E277" s="8" t="str">
        <f t="shared" si="2"/>
        <v>com</v>
      </c>
      <c r="F277" s="8"/>
      <c r="G277" s="8" t="str">
        <f t="shared" si="3"/>
        <v>4</v>
      </c>
      <c r="H277" s="9">
        <f t="shared" si="4"/>
        <v>4</v>
      </c>
      <c r="I277" s="6" t="str">
        <f>IFERROR(__xludf.DUMMYFUNCTION("MAX(FILTER($H:$H,$E:$E=F277))"),"#N/A")</f>
        <v>#N/A</v>
      </c>
    </row>
    <row r="278">
      <c r="A278" s="4"/>
      <c r="C278" s="4" t="s">
        <v>2836</v>
      </c>
      <c r="D278" s="4" t="str">
        <f t="shared" si="1"/>
        <v>{"valorA":"do","valorB":4}</v>
      </c>
      <c r="E278" s="8" t="str">
        <f t="shared" si="2"/>
        <v>do</v>
      </c>
      <c r="F278" s="8"/>
      <c r="G278" s="8" t="str">
        <f t="shared" si="3"/>
        <v>4</v>
      </c>
      <c r="H278" s="9">
        <f t="shared" si="4"/>
        <v>4</v>
      </c>
      <c r="I278" s="6" t="str">
        <f>IFERROR(__xludf.DUMMYFUNCTION("MAX(FILTER($H:$H,$E:$E=F278))"),"#N/A")</f>
        <v>#N/A</v>
      </c>
    </row>
    <row r="279">
      <c r="A279" s="4"/>
      <c r="C279" s="4" t="s">
        <v>11992</v>
      </c>
      <c r="D279" s="4" t="str">
        <f t="shared" si="1"/>
        <v>{"valorA":"usado","valorB":1}</v>
      </c>
      <c r="E279" s="8" t="str">
        <f t="shared" si="2"/>
        <v>usado</v>
      </c>
      <c r="F279" s="8"/>
      <c r="G279" s="8" t="str">
        <f t="shared" si="3"/>
        <v>1</v>
      </c>
      <c r="H279" s="9">
        <f t="shared" si="4"/>
        <v>1</v>
      </c>
      <c r="I279" s="6" t="str">
        <f>IFERROR(__xludf.DUMMYFUNCTION("MAX(FILTER($H:$H,$E:$E=F279))"),"#N/A")</f>
        <v>#N/A</v>
      </c>
    </row>
    <row r="280">
      <c r="A280" s="4"/>
      <c r="C280" s="4" t="s">
        <v>2850</v>
      </c>
      <c r="D280" s="4" t="str">
        <f t="shared" si="1"/>
        <v>{"valorA":"a","valorB":4}</v>
      </c>
      <c r="E280" s="8" t="str">
        <f t="shared" si="2"/>
        <v>a</v>
      </c>
      <c r="F280" s="8"/>
      <c r="G280" s="8" t="str">
        <f t="shared" si="3"/>
        <v>4</v>
      </c>
      <c r="H280" s="9">
        <f t="shared" si="4"/>
        <v>4</v>
      </c>
      <c r="I280" s="6" t="str">
        <f>IFERROR(__xludf.DUMMYFUNCTION("MAX(FILTER($H:$H,$E:$E=F280))"),"#N/A")</f>
        <v>#N/A</v>
      </c>
    </row>
    <row r="281">
      <c r="A281" s="4"/>
      <c r="C281" s="4" t="s">
        <v>11993</v>
      </c>
      <c r="D281" s="4" t="str">
        <f t="shared" si="1"/>
        <v>{"valorA":"material","valorB":1}</v>
      </c>
      <c r="E281" s="8" t="str">
        <f t="shared" si="2"/>
        <v>material</v>
      </c>
      <c r="F281" s="8"/>
      <c r="G281" s="8" t="str">
        <f t="shared" si="3"/>
        <v>1</v>
      </c>
      <c r="H281" s="9">
        <f t="shared" si="4"/>
        <v>1</v>
      </c>
      <c r="I281" s="6" t="str">
        <f>IFERROR(__xludf.DUMMYFUNCTION("MAX(FILTER($H:$H,$E:$E=F281))"),"#N/A")</f>
        <v>#N/A</v>
      </c>
    </row>
    <row r="282">
      <c r="A282" s="4"/>
      <c r="C282" s="4" t="s">
        <v>2845</v>
      </c>
      <c r="D282" s="4" t="str">
        <f t="shared" si="1"/>
        <v>{"valorA":"ótimo","valorB":31}</v>
      </c>
      <c r="E282" s="8" t="str">
        <f t="shared" si="2"/>
        <v>ótimo</v>
      </c>
      <c r="F282" s="8"/>
      <c r="G282" s="8" t="str">
        <f t="shared" si="3"/>
        <v>31</v>
      </c>
      <c r="H282" s="9">
        <f t="shared" si="4"/>
        <v>31</v>
      </c>
      <c r="I282" s="6" t="str">
        <f>IFERROR(__xludf.DUMMYFUNCTION("MAX(FILTER($H:$H,$E:$E=F282))"),"#N/A")</f>
        <v>#N/A</v>
      </c>
    </row>
    <row r="283">
      <c r="A283" s="4"/>
      <c r="C283" s="4" t="s">
        <v>2812</v>
      </c>
      <c r="D283" s="4" t="str">
        <f t="shared" si="1"/>
        <v>{"valorA":"produto","valorB":17}</v>
      </c>
      <c r="E283" s="8" t="str">
        <f t="shared" si="2"/>
        <v>produto</v>
      </c>
      <c r="F283" s="8"/>
      <c r="G283" s="8" t="str">
        <f t="shared" si="3"/>
        <v>17</v>
      </c>
      <c r="H283" s="9">
        <f t="shared" si="4"/>
        <v>17</v>
      </c>
      <c r="I283" s="6" t="str">
        <f>IFERROR(__xludf.DUMMYFUNCTION("MAX(FILTER($H:$H,$E:$E=F283))"),"#N/A")</f>
        <v>#N/A</v>
      </c>
    </row>
    <row r="284">
      <c r="A284" s="4"/>
      <c r="C284" s="4" t="s">
        <v>3122</v>
      </c>
      <c r="D284" s="4" t="str">
        <f t="shared" si="1"/>
        <v>{"valorA":"preço","valorB":10}</v>
      </c>
      <c r="E284" s="8" t="str">
        <f t="shared" si="2"/>
        <v>preço</v>
      </c>
      <c r="F284" s="8"/>
      <c r="G284" s="8" t="str">
        <f t="shared" si="3"/>
        <v>10</v>
      </c>
      <c r="H284" s="9">
        <f t="shared" si="4"/>
        <v>10</v>
      </c>
      <c r="I284" s="6" t="str">
        <f>IFERROR(__xludf.DUMMYFUNCTION("MAX(FILTER($H:$H,$E:$E=F284))"),"#N/A")</f>
        <v>#N/A</v>
      </c>
    </row>
    <row r="285">
      <c r="A285" s="4"/>
      <c r="C285" s="4" t="s">
        <v>3199</v>
      </c>
      <c r="D285" s="4" t="str">
        <f t="shared" si="1"/>
        <v>{"valorA":"mas","valorB":4}</v>
      </c>
      <c r="E285" s="8" t="str">
        <f t="shared" si="2"/>
        <v>mas</v>
      </c>
      <c r="F285" s="8"/>
      <c r="G285" s="8" t="str">
        <f t="shared" si="3"/>
        <v>4</v>
      </c>
      <c r="H285" s="9">
        <f t="shared" si="4"/>
        <v>4</v>
      </c>
      <c r="I285" s="6" t="str">
        <f>IFERROR(__xludf.DUMMYFUNCTION("MAX(FILTER($H:$H,$E:$E=F285))"),"#N/A")</f>
        <v>#N/A</v>
      </c>
    </row>
    <row r="286">
      <c r="A286" s="4"/>
      <c r="C286" s="4" t="s">
        <v>11994</v>
      </c>
      <c r="D286" s="4" t="str">
        <f t="shared" si="1"/>
        <v>{"valorA":"não","valorB":5}</v>
      </c>
      <c r="E286" s="8" t="str">
        <f t="shared" si="2"/>
        <v>não</v>
      </c>
      <c r="F286" s="8"/>
      <c r="G286" s="8" t="str">
        <f t="shared" si="3"/>
        <v>5</v>
      </c>
      <c r="H286" s="9">
        <f t="shared" si="4"/>
        <v>5</v>
      </c>
      <c r="I286" s="6" t="str">
        <f>IFERROR(__xludf.DUMMYFUNCTION("MAX(FILTER($H:$H,$E:$E=F286))"),"#N/A")</f>
        <v>#N/A</v>
      </c>
    </row>
    <row r="287">
      <c r="A287" s="4"/>
      <c r="C287" s="4" t="s">
        <v>11995</v>
      </c>
      <c r="D287" s="4" t="str">
        <f t="shared" si="1"/>
        <v>{"valorA":"valorizei","valorB":1}</v>
      </c>
      <c r="E287" s="8" t="str">
        <f t="shared" si="2"/>
        <v>valorizei</v>
      </c>
      <c r="F287" s="8"/>
      <c r="G287" s="8" t="str">
        <f t="shared" si="3"/>
        <v>1</v>
      </c>
      <c r="H287" s="9">
        <f t="shared" si="4"/>
        <v>1</v>
      </c>
      <c r="I287" s="6" t="str">
        <f>IFERROR(__xludf.DUMMYFUNCTION("MAX(FILTER($H:$H,$E:$E=F287))"),"#N/A")</f>
        <v>#N/A</v>
      </c>
    </row>
    <row r="288">
      <c r="A288" s="4"/>
      <c r="C288" s="4" t="s">
        <v>2898</v>
      </c>
      <c r="D288" s="4" t="str">
        <f t="shared" si="1"/>
        <v>{"valorA":"o","valorB":6}</v>
      </c>
      <c r="E288" s="8" t="str">
        <f t="shared" si="2"/>
        <v>o</v>
      </c>
      <c r="F288" s="8"/>
      <c r="G288" s="8" t="str">
        <f t="shared" si="3"/>
        <v>6</v>
      </c>
      <c r="H288" s="9">
        <f t="shared" si="4"/>
        <v>6</v>
      </c>
      <c r="I288" s="6" t="str">
        <f>IFERROR(__xludf.DUMMYFUNCTION("MAX(FILTER($H:$H,$E:$E=F288))"),"#N/A")</f>
        <v>#N/A</v>
      </c>
    </row>
    <row r="289">
      <c r="A289" s="4"/>
      <c r="C289" s="4" t="s">
        <v>2855</v>
      </c>
      <c r="D289" s="4" t="str">
        <f t="shared" si="1"/>
        <v>{"valorA":"ótimo","valorB":32}</v>
      </c>
      <c r="E289" s="8" t="str">
        <f t="shared" si="2"/>
        <v>ótimo</v>
      </c>
      <c r="F289" s="8"/>
      <c r="G289" s="8" t="str">
        <f t="shared" si="3"/>
        <v>32</v>
      </c>
      <c r="H289" s="9">
        <f t="shared" si="4"/>
        <v>32</v>
      </c>
      <c r="I289" s="6" t="str">
        <f>IFERROR(__xludf.DUMMYFUNCTION("MAX(FILTER($H:$H,$E:$E=F289))"),"#N/A")</f>
        <v>#N/A</v>
      </c>
    </row>
    <row r="290">
      <c r="A290" s="4"/>
      <c r="C290" s="4" t="s">
        <v>2832</v>
      </c>
      <c r="D290" s="4" t="str">
        <f t="shared" si="1"/>
        <v>{"valorA":"produto","valorB":18}</v>
      </c>
      <c r="E290" s="8" t="str">
        <f t="shared" si="2"/>
        <v>produto</v>
      </c>
      <c r="F290" s="8"/>
      <c r="G290" s="8" t="str">
        <f t="shared" si="3"/>
        <v>18</v>
      </c>
      <c r="H290" s="9">
        <f t="shared" si="4"/>
        <v>18</v>
      </c>
      <c r="I290" s="6" t="str">
        <f>IFERROR(__xludf.DUMMYFUNCTION("MAX(FILTER($H:$H,$E:$E=F290))"),"#N/A")</f>
        <v>#N/A</v>
      </c>
    </row>
    <row r="291">
      <c r="A291" s="4"/>
      <c r="C291" s="4" t="s">
        <v>2867</v>
      </c>
      <c r="D291" s="4" t="str">
        <f t="shared" si="1"/>
        <v>{"valorA":"produto","valorB":19}</v>
      </c>
      <c r="E291" s="8" t="str">
        <f t="shared" si="2"/>
        <v>produto</v>
      </c>
      <c r="F291" s="8"/>
      <c r="G291" s="8" t="str">
        <f t="shared" si="3"/>
        <v>19</v>
      </c>
      <c r="H291" s="9">
        <f t="shared" si="4"/>
        <v>19</v>
      </c>
      <c r="I291" s="6" t="str">
        <f>IFERROR(__xludf.DUMMYFUNCTION("MAX(FILTER($H:$H,$E:$E=F291))"),"#N/A")</f>
        <v>#N/A</v>
      </c>
    </row>
    <row r="292">
      <c r="A292" s="4"/>
      <c r="C292" s="4" t="s">
        <v>11996</v>
      </c>
      <c r="D292" s="4" t="str">
        <f t="shared" si="1"/>
        <v>{"valorA":"busca","valorB":5}</v>
      </c>
      <c r="E292" s="8" t="str">
        <f t="shared" si="2"/>
        <v>busca</v>
      </c>
      <c r="F292" s="8"/>
      <c r="G292" s="8" t="str">
        <f t="shared" si="3"/>
        <v>5</v>
      </c>
      <c r="H292" s="9">
        <f t="shared" si="4"/>
        <v>5</v>
      </c>
      <c r="I292" s="6" t="str">
        <f>IFERROR(__xludf.DUMMYFUNCTION("MAX(FILTER($H:$H,$E:$E=F292))"),"#N/A")</f>
        <v>#N/A</v>
      </c>
    </row>
    <row r="293">
      <c r="A293" s="4"/>
      <c r="C293" s="4" t="s">
        <v>3760</v>
      </c>
      <c r="D293" s="4" t="str">
        <f t="shared" si="1"/>
        <v>{"valorA":"quem","valorB":6}</v>
      </c>
      <c r="E293" s="8" t="str">
        <f t="shared" si="2"/>
        <v>quem</v>
      </c>
      <c r="F293" s="8"/>
      <c r="G293" s="8" t="str">
        <f t="shared" si="3"/>
        <v>6</v>
      </c>
      <c r="H293" s="9">
        <f t="shared" si="4"/>
        <v>6</v>
      </c>
      <c r="I293" s="6" t="str">
        <f>IFERROR(__xludf.DUMMYFUNCTION("MAX(FILTER($H:$H,$E:$E=F293))"),"#N/A")</f>
        <v>#N/A</v>
      </c>
    </row>
    <row r="294">
      <c r="A294" s="4"/>
      <c r="C294" s="4" t="s">
        <v>2881</v>
      </c>
      <c r="D294" s="4" t="str">
        <f t="shared" si="1"/>
        <v>{"valorA":"e","valorB":10}</v>
      </c>
      <c r="E294" s="8" t="str">
        <f t="shared" si="2"/>
        <v>e</v>
      </c>
      <c r="F294" s="8"/>
      <c r="G294" s="8" t="str">
        <f t="shared" si="3"/>
        <v>10</v>
      </c>
      <c r="H294" s="9">
        <f t="shared" si="4"/>
        <v>10</v>
      </c>
      <c r="I294" s="6" t="str">
        <f>IFERROR(__xludf.DUMMYFUNCTION("MAX(FILTER($H:$H,$E:$E=F294))"),"#N/A")</f>
        <v>#N/A</v>
      </c>
    </row>
    <row r="295">
      <c r="A295" s="4"/>
      <c r="C295" s="4" t="s">
        <v>3179</v>
      </c>
      <c r="D295" s="4" t="str">
        <f t="shared" si="1"/>
        <v>{"valorA":"um","valorB":5}</v>
      </c>
      <c r="E295" s="8" t="str">
        <f t="shared" si="2"/>
        <v>um</v>
      </c>
      <c r="F295" s="8"/>
      <c r="G295" s="8" t="str">
        <f t="shared" si="3"/>
        <v>5</v>
      </c>
      <c r="H295" s="9">
        <f t="shared" si="4"/>
        <v>5</v>
      </c>
      <c r="I295" s="6" t="str">
        <f>IFERROR(__xludf.DUMMYFUNCTION("MAX(FILTER($H:$H,$E:$E=F295))"),"#N/A")</f>
        <v>#N/A</v>
      </c>
    </row>
    <row r="296">
      <c r="A296" s="4"/>
      <c r="C296" s="4" t="s">
        <v>2903</v>
      </c>
      <c r="D296" s="4" t="str">
        <f t="shared" si="1"/>
        <v>{"valorA":"do","valorB":5}</v>
      </c>
      <c r="E296" s="8" t="str">
        <f t="shared" si="2"/>
        <v>do</v>
      </c>
      <c r="F296" s="8"/>
      <c r="G296" s="8" t="str">
        <f t="shared" si="3"/>
        <v>5</v>
      </c>
      <c r="H296" s="9">
        <f t="shared" si="4"/>
        <v>5</v>
      </c>
      <c r="I296" s="6" t="str">
        <f>IFERROR(__xludf.DUMMYFUNCTION("MAX(FILTER($H:$H,$E:$E=F296))"),"#N/A")</f>
        <v>#N/A</v>
      </c>
    </row>
    <row r="297">
      <c r="A297" s="4"/>
      <c r="C297" s="4" t="s">
        <v>3193</v>
      </c>
      <c r="D297" s="4" t="str">
        <f t="shared" si="1"/>
        <v>{"valorA":"para","valorB":14}</v>
      </c>
      <c r="E297" s="8" t="str">
        <f t="shared" si="2"/>
        <v>para</v>
      </c>
      <c r="F297" s="8"/>
      <c r="G297" s="8" t="str">
        <f t="shared" si="3"/>
        <v>14</v>
      </c>
      <c r="H297" s="9">
        <f t="shared" si="4"/>
        <v>14</v>
      </c>
      <c r="I297" s="6" t="str">
        <f>IFERROR(__xludf.DUMMYFUNCTION("MAX(FILTER($H:$H,$E:$E=F297))"),"#N/A")</f>
        <v>#N/A</v>
      </c>
    </row>
    <row r="298">
      <c r="A298" s="4"/>
      <c r="C298" s="4" t="s">
        <v>2940</v>
      </c>
      <c r="D298" s="4" t="str">
        <f t="shared" si="1"/>
        <v>{"valorA":"muito","valorB":11}</v>
      </c>
      <c r="E298" s="8" t="str">
        <f t="shared" si="2"/>
        <v>muito</v>
      </c>
      <c r="F298" s="8"/>
      <c r="G298" s="8" t="str">
        <f t="shared" si="3"/>
        <v>11</v>
      </c>
      <c r="H298" s="9">
        <f t="shared" si="4"/>
        <v>11</v>
      </c>
      <c r="I298" s="6" t="str">
        <f>IFERROR(__xludf.DUMMYFUNCTION("MAX(FILTER($H:$H,$E:$E=F298))"),"#N/A")</f>
        <v>#N/A</v>
      </c>
    </row>
    <row r="299">
      <c r="A299" s="4"/>
      <c r="C299" s="4" t="s">
        <v>3382</v>
      </c>
      <c r="D299" s="4" t="str">
        <f t="shared" si="1"/>
        <v>{"valorA":"gosto","valorB":3}</v>
      </c>
      <c r="E299" s="8" t="str">
        <f t="shared" si="2"/>
        <v>gosto</v>
      </c>
      <c r="F299" s="8"/>
      <c r="G299" s="8" t="str">
        <f t="shared" si="3"/>
        <v>3</v>
      </c>
      <c r="H299" s="9">
        <f t="shared" si="4"/>
        <v>3</v>
      </c>
      <c r="I299" s="6" t="str">
        <f>IFERROR(__xludf.DUMMYFUNCTION("MAX(FILTER($H:$H,$E:$E=F299))"),"#N/A")</f>
        <v>#N/A</v>
      </c>
    </row>
    <row r="300">
      <c r="A300" s="4"/>
      <c r="C300" s="4" t="s">
        <v>3063</v>
      </c>
      <c r="D300" s="4" t="str">
        <f t="shared" si="1"/>
        <v>{"valorA":"econômico","valorB":2}</v>
      </c>
      <c r="E300" s="8" t="str">
        <f t="shared" si="2"/>
        <v>econômico</v>
      </c>
      <c r="F300" s="8"/>
      <c r="G300" s="8" t="str">
        <f t="shared" si="3"/>
        <v>2</v>
      </c>
      <c r="H300" s="9">
        <f t="shared" si="4"/>
        <v>2</v>
      </c>
      <c r="I300" s="6" t="str">
        <f>IFERROR(__xludf.DUMMYFUNCTION("MAX(FILTER($H:$H,$E:$E=F300))"),"#N/A")</f>
        <v>#N/A</v>
      </c>
    </row>
    <row r="301">
      <c r="A301" s="4"/>
      <c r="C301" s="4" t="s">
        <v>3752</v>
      </c>
      <c r="D301" s="4" t="str">
        <f t="shared" si="1"/>
        <v>{"valorA":"funcional","valorB":1}</v>
      </c>
      <c r="E301" s="8" t="str">
        <f t="shared" si="2"/>
        <v>funcional</v>
      </c>
      <c r="F301" s="8"/>
      <c r="G301" s="8" t="str">
        <f t="shared" si="3"/>
        <v>1</v>
      </c>
      <c r="H301" s="9">
        <f t="shared" si="4"/>
        <v>1</v>
      </c>
      <c r="I301" s="6" t="str">
        <f>IFERROR(__xludf.DUMMYFUNCTION("MAX(FILTER($H:$H,$E:$E=F301))"),"#N/A")</f>
        <v>#N/A</v>
      </c>
    </row>
    <row r="302">
      <c r="A302" s="4"/>
      <c r="C302" s="4" t="s">
        <v>2981</v>
      </c>
      <c r="D302" s="4" t="str">
        <f t="shared" si="1"/>
        <v>{"valorA":"meu","valorB":6}</v>
      </c>
      <c r="E302" s="8" t="str">
        <f t="shared" si="2"/>
        <v>meu</v>
      </c>
      <c r="F302" s="8"/>
      <c r="G302" s="8" t="str">
        <f t="shared" si="3"/>
        <v>6</v>
      </c>
      <c r="H302" s="9">
        <f t="shared" si="4"/>
        <v>6</v>
      </c>
      <c r="I302" s="6" t="str">
        <f>IFERROR(__xludf.DUMMYFUNCTION("MAX(FILTER($H:$H,$E:$E=F302))"),"#N/A")</f>
        <v>#N/A</v>
      </c>
    </row>
    <row r="303">
      <c r="A303" s="4"/>
      <c r="C303" s="4" t="s">
        <v>2217</v>
      </c>
      <c r="D303" s="4" t="str">
        <f t="shared" si="1"/>
        <v>{"valorA":"aspirador","valorB":1}</v>
      </c>
      <c r="E303" s="8" t="str">
        <f t="shared" si="2"/>
        <v>aspirador</v>
      </c>
      <c r="F303" s="8"/>
      <c r="G303" s="8" t="str">
        <f t="shared" si="3"/>
        <v>1</v>
      </c>
      <c r="H303" s="9">
        <f t="shared" si="4"/>
        <v>1</v>
      </c>
      <c r="I303" s="6" t="str">
        <f>IFERROR(__xludf.DUMMYFUNCTION("MAX(FILTER($H:$H,$E:$E=F303))"),"#N/A")</f>
        <v>#N/A</v>
      </c>
    </row>
    <row r="304">
      <c r="A304" s="4"/>
      <c r="C304" s="4" t="s">
        <v>2872</v>
      </c>
      <c r="D304" s="4" t="str">
        <f t="shared" si="1"/>
        <v>{"valorA":"produto","valorB":20}</v>
      </c>
      <c r="E304" s="8" t="str">
        <f t="shared" si="2"/>
        <v>produto</v>
      </c>
      <c r="F304" s="8"/>
      <c r="G304" s="8" t="str">
        <f t="shared" si="3"/>
        <v>20</v>
      </c>
      <c r="H304" s="9">
        <f t="shared" si="4"/>
        <v>20</v>
      </c>
      <c r="I304" s="6" t="str">
        <f>IFERROR(__xludf.DUMMYFUNCTION("MAX(FILTER($H:$H,$E:$E=F304))"),"#N/A")</f>
        <v>#N/A</v>
      </c>
    </row>
    <row r="305">
      <c r="A305" s="4"/>
      <c r="C305" s="4" t="s">
        <v>2859</v>
      </c>
      <c r="D305" s="4" t="str">
        <f t="shared" si="1"/>
        <v>{"valorA":"ótimo","valorB":33}</v>
      </c>
      <c r="E305" s="8" t="str">
        <f t="shared" si="2"/>
        <v>ótimo</v>
      </c>
      <c r="F305" s="8"/>
      <c r="G305" s="8" t="str">
        <f t="shared" si="3"/>
        <v>33</v>
      </c>
      <c r="H305" s="9">
        <f t="shared" si="4"/>
        <v>33</v>
      </c>
      <c r="I305" s="6" t="str">
        <f>IFERROR(__xludf.DUMMYFUNCTION("MAX(FILTER($H:$H,$E:$E=F305))"),"#N/A")</f>
        <v>#N/A</v>
      </c>
    </row>
    <row r="306">
      <c r="A306" s="4"/>
      <c r="C306" s="4" t="s">
        <v>3135</v>
      </c>
      <c r="D306" s="4" t="str">
        <f t="shared" si="1"/>
        <v>{"valorA":"preço","valorB":11}</v>
      </c>
      <c r="E306" s="8" t="str">
        <f t="shared" si="2"/>
        <v>preço</v>
      </c>
      <c r="F306" s="8"/>
      <c r="G306" s="8" t="str">
        <f t="shared" si="3"/>
        <v>11</v>
      </c>
      <c r="H306" s="9">
        <f t="shared" si="4"/>
        <v>11</v>
      </c>
      <c r="I306" s="6" t="str">
        <f>IFERROR(__xludf.DUMMYFUNCTION("MAX(FILTER($H:$H,$E:$E=F306))"),"#N/A")</f>
        <v>#N/A</v>
      </c>
    </row>
    <row r="307">
      <c r="A307" s="4"/>
      <c r="C307" s="4" t="s">
        <v>3134</v>
      </c>
      <c r="D307" s="4" t="str">
        <f t="shared" si="1"/>
        <v>{"valorA":"caro","valorB":1}</v>
      </c>
      <c r="E307" s="8" t="str">
        <f t="shared" si="2"/>
        <v>caro</v>
      </c>
      <c r="F307" s="8"/>
      <c r="G307" s="8" t="str">
        <f t="shared" si="3"/>
        <v>1</v>
      </c>
      <c r="H307" s="9">
        <f t="shared" si="4"/>
        <v>1</v>
      </c>
      <c r="I307" s="6" t="str">
        <f>IFERROR(__xludf.DUMMYFUNCTION("MAX(FILTER($H:$H,$E:$E=F307))"),"#N/A")</f>
        <v>#N/A</v>
      </c>
    </row>
    <row r="308">
      <c r="A308" s="4"/>
      <c r="C308" s="4" t="s">
        <v>3223</v>
      </c>
      <c r="D308" s="4" t="str">
        <f t="shared" si="1"/>
        <v>{"valorA":"mas","valorB":5}</v>
      </c>
      <c r="E308" s="8" t="str">
        <f t="shared" si="2"/>
        <v>mas</v>
      </c>
      <c r="F308" s="8"/>
      <c r="G308" s="8" t="str">
        <f t="shared" si="3"/>
        <v>5</v>
      </c>
      <c r="H308" s="9">
        <f t="shared" si="4"/>
        <v>5</v>
      </c>
      <c r="I308" s="6" t="str">
        <f>IFERROR(__xludf.DUMMYFUNCTION("MAX(FILTER($H:$H,$E:$E=F308))"),"#N/A")</f>
        <v>#N/A</v>
      </c>
    </row>
    <row r="309">
      <c r="A309" s="4"/>
      <c r="C309" s="4" t="s">
        <v>3742</v>
      </c>
      <c r="D309" s="4" t="str">
        <f t="shared" si="1"/>
        <v>{"valorA":"do","valorB":6}</v>
      </c>
      <c r="E309" s="8" t="str">
        <f t="shared" si="2"/>
        <v>do</v>
      </c>
      <c r="F309" s="8"/>
      <c r="G309" s="8" t="str">
        <f t="shared" si="3"/>
        <v>6</v>
      </c>
      <c r="H309" s="9">
        <f t="shared" si="4"/>
        <v>6</v>
      </c>
      <c r="I309" s="6" t="str">
        <f>IFERROR(__xludf.DUMMYFUNCTION("MAX(FILTER($H:$H,$E:$E=F309))"),"#N/A")</f>
        <v>#N/A</v>
      </c>
    </row>
    <row r="310">
      <c r="A310" s="4"/>
      <c r="C310" s="4" t="s">
        <v>2834</v>
      </c>
      <c r="D310" s="4" t="str">
        <f t="shared" si="1"/>
        <v>{"valorA":"gostei","valorB":4}</v>
      </c>
      <c r="E310" s="8" t="str">
        <f t="shared" si="2"/>
        <v>gostei</v>
      </c>
      <c r="F310" s="8"/>
      <c r="G310" s="8" t="str">
        <f t="shared" si="3"/>
        <v>4</v>
      </c>
      <c r="H310" s="9">
        <f t="shared" si="4"/>
        <v>4</v>
      </c>
      <c r="I310" s="6" t="str">
        <f>IFERROR(__xludf.DUMMYFUNCTION("MAX(FILTER($H:$H,$E:$E=F310))"),"#N/A")</f>
        <v>#N/A</v>
      </c>
    </row>
    <row r="311">
      <c r="A311" s="4"/>
      <c r="C311" s="4" t="s">
        <v>2890</v>
      </c>
      <c r="D311" s="4" t="str">
        <f t="shared" si="1"/>
        <v>{"valorA":"produto","valorB":21}</v>
      </c>
      <c r="E311" s="8" t="str">
        <f t="shared" si="2"/>
        <v>produto</v>
      </c>
      <c r="F311" s="8"/>
      <c r="G311" s="8" t="str">
        <f t="shared" si="3"/>
        <v>21</v>
      </c>
      <c r="H311" s="9">
        <f t="shared" si="4"/>
        <v>21</v>
      </c>
      <c r="I311" s="6" t="str">
        <f>IFERROR(__xludf.DUMMYFUNCTION("MAX(FILTER($H:$H,$E:$E=F311))"),"#N/A")</f>
        <v>#N/A</v>
      </c>
    </row>
    <row r="312">
      <c r="A312" s="4"/>
      <c r="C312" s="4" t="s">
        <v>11997</v>
      </c>
      <c r="D312" s="4" t="str">
        <f t="shared" si="1"/>
        <v>{"valorA":"diferença","valorB":2}</v>
      </c>
      <c r="E312" s="8" t="str">
        <f t="shared" si="2"/>
        <v>diferença</v>
      </c>
      <c r="F312" s="8"/>
      <c r="G312" s="8" t="str">
        <f t="shared" si="3"/>
        <v>2</v>
      </c>
      <c r="H312" s="9">
        <f t="shared" si="4"/>
        <v>2</v>
      </c>
      <c r="I312" s="6" t="str">
        <f>IFERROR(__xludf.DUMMYFUNCTION("MAX(FILTER($H:$H,$E:$E=F312))"),"#N/A")</f>
        <v>#N/A</v>
      </c>
    </row>
    <row r="313">
      <c r="A313" s="4"/>
      <c r="C313" s="4" t="s">
        <v>2866</v>
      </c>
      <c r="D313" s="4" t="str">
        <f t="shared" si="1"/>
        <v>{"valorA":"ótimo","valorB":34}</v>
      </c>
      <c r="E313" s="8" t="str">
        <f t="shared" si="2"/>
        <v>ótimo</v>
      </c>
      <c r="F313" s="8"/>
      <c r="G313" s="8" t="str">
        <f t="shared" si="3"/>
        <v>34</v>
      </c>
      <c r="H313" s="9">
        <f t="shared" si="4"/>
        <v>34</v>
      </c>
      <c r="I313" s="6" t="str">
        <f>IFERROR(__xludf.DUMMYFUNCTION("MAX(FILTER($H:$H,$E:$E=F313))"),"#N/A")</f>
        <v>#N/A</v>
      </c>
    </row>
    <row r="314">
      <c r="A314" s="4"/>
      <c r="C314" s="4" t="s">
        <v>3595</v>
      </c>
      <c r="D314" s="4" t="str">
        <f t="shared" si="1"/>
        <v>{"valorA":"no","valorB":1}</v>
      </c>
      <c r="E314" s="8" t="str">
        <f t="shared" si="2"/>
        <v>no</v>
      </c>
      <c r="F314" s="8"/>
      <c r="G314" s="8" t="str">
        <f t="shared" si="3"/>
        <v>1</v>
      </c>
      <c r="H314" s="9">
        <f t="shared" si="4"/>
        <v>1</v>
      </c>
      <c r="I314" s="6" t="str">
        <f>IFERROR(__xludf.DUMMYFUNCTION("MAX(FILTER($H:$H,$E:$E=F314))"),"#N/A")</f>
        <v>#N/A</v>
      </c>
    </row>
    <row r="315">
      <c r="A315" s="4"/>
      <c r="C315" s="4" t="s">
        <v>3225</v>
      </c>
      <c r="D315" s="4" t="str">
        <f t="shared" si="1"/>
        <v>{"valorA":"caro","valorB":2}</v>
      </c>
      <c r="E315" s="8" t="str">
        <f t="shared" si="2"/>
        <v>caro</v>
      </c>
      <c r="F315" s="8"/>
      <c r="G315" s="8" t="str">
        <f t="shared" si="3"/>
        <v>2</v>
      </c>
      <c r="H315" s="9">
        <f t="shared" si="4"/>
        <v>2</v>
      </c>
      <c r="I315" s="6" t="str">
        <f>IFERROR(__xludf.DUMMYFUNCTION("MAX(FILTER($H:$H,$E:$E=F315))"),"#N/A")</f>
        <v>#N/A</v>
      </c>
    </row>
    <row r="316">
      <c r="A316" s="4"/>
      <c r="C316" s="4" t="s">
        <v>2953</v>
      </c>
      <c r="D316" s="4" t="str">
        <f t="shared" si="1"/>
        <v>{"valorA":"muito","valorB":12}</v>
      </c>
      <c r="E316" s="8" t="str">
        <f t="shared" si="2"/>
        <v>muito</v>
      </c>
      <c r="F316" s="8"/>
      <c r="G316" s="8" t="str">
        <f t="shared" si="3"/>
        <v>12</v>
      </c>
      <c r="H316" s="9">
        <f t="shared" si="4"/>
        <v>12</v>
      </c>
      <c r="I316" s="6" t="str">
        <f>IFERROR(__xludf.DUMMYFUNCTION("MAX(FILTER($H:$H,$E:$E=F316))"),"#N/A")</f>
        <v>#N/A</v>
      </c>
    </row>
    <row r="317">
      <c r="A317" s="4"/>
      <c r="C317" s="4" t="s">
        <v>11998</v>
      </c>
      <c r="D317" s="4" t="str">
        <f t="shared" si="1"/>
        <v>{"valorA":"mas","valorB":6}</v>
      </c>
      <c r="E317" s="8" t="str">
        <f t="shared" si="2"/>
        <v>mas</v>
      </c>
      <c r="F317" s="8"/>
      <c r="G317" s="8" t="str">
        <f t="shared" si="3"/>
        <v>6</v>
      </c>
      <c r="H317" s="9">
        <f t="shared" si="4"/>
        <v>6</v>
      </c>
      <c r="I317" s="6" t="str">
        <f>IFERROR(__xludf.DUMMYFUNCTION("MAX(FILTER($H:$H,$E:$E=F317))"),"#N/A")</f>
        <v>#N/A</v>
      </c>
    </row>
    <row r="318">
      <c r="A318" s="4"/>
      <c r="C318" s="4" t="s">
        <v>11999</v>
      </c>
      <c r="D318" s="4" t="str">
        <f t="shared" si="1"/>
        <v>{"valorA":"não","valorB":6}</v>
      </c>
      <c r="E318" s="8" t="str">
        <f t="shared" si="2"/>
        <v>não</v>
      </c>
      <c r="F318" s="8"/>
      <c r="G318" s="8" t="str">
        <f t="shared" si="3"/>
        <v>6</v>
      </c>
      <c r="H318" s="9">
        <f t="shared" si="4"/>
        <v>6</v>
      </c>
      <c r="I318" s="6" t="str">
        <f>IFERROR(__xludf.DUMMYFUNCTION("MAX(FILTER($H:$H,$E:$E=F318))"),"#N/A")</f>
        <v>#N/A</v>
      </c>
    </row>
    <row r="319">
      <c r="A319" s="4"/>
      <c r="C319" s="4" t="s">
        <v>3108</v>
      </c>
      <c r="D319" s="4" t="str">
        <f t="shared" si="1"/>
        <v>{"valorA":"valeu","valorB":2}</v>
      </c>
      <c r="E319" s="8" t="str">
        <f t="shared" si="2"/>
        <v>valeu</v>
      </c>
      <c r="F319" s="8"/>
      <c r="G319" s="8" t="str">
        <f t="shared" si="3"/>
        <v>2</v>
      </c>
      <c r="H319" s="9">
        <f t="shared" si="4"/>
        <v>2</v>
      </c>
      <c r="I319" s="6" t="str">
        <f>IFERROR(__xludf.DUMMYFUNCTION("MAX(FILTER($H:$H,$E:$E=F319))"),"#N/A")</f>
        <v>#N/A</v>
      </c>
    </row>
    <row r="320">
      <c r="A320" s="4"/>
      <c r="C320" s="4" t="s">
        <v>2888</v>
      </c>
      <c r="D320" s="4" t="str">
        <f t="shared" si="1"/>
        <v>{"valorA":"a","valorB":5}</v>
      </c>
      <c r="E320" s="8" t="str">
        <f t="shared" si="2"/>
        <v>a</v>
      </c>
      <c r="F320" s="8"/>
      <c r="G320" s="8" t="str">
        <f t="shared" si="3"/>
        <v>5</v>
      </c>
      <c r="H320" s="9">
        <f t="shared" si="4"/>
        <v>5</v>
      </c>
      <c r="I320" s="6" t="str">
        <f>IFERROR(__xludf.DUMMYFUNCTION("MAX(FILTER($H:$H,$E:$E=F320))"),"#N/A")</f>
        <v>#N/A</v>
      </c>
    </row>
    <row r="321">
      <c r="A321" s="4"/>
      <c r="C321" s="4" t="s">
        <v>3172</v>
      </c>
      <c r="D321" s="4" t="str">
        <f t="shared" si="1"/>
        <v>{"valorA":"preço","valorB":12}</v>
      </c>
      <c r="E321" s="8" t="str">
        <f t="shared" si="2"/>
        <v>preço</v>
      </c>
      <c r="F321" s="8"/>
      <c r="G321" s="8" t="str">
        <f t="shared" si="3"/>
        <v>12</v>
      </c>
      <c r="H321" s="9">
        <f t="shared" si="4"/>
        <v>12</v>
      </c>
      <c r="I321" s="6" t="str">
        <f>IFERROR(__xludf.DUMMYFUNCTION("MAX(FILTER($H:$H,$E:$E=F321))"),"#N/A")</f>
        <v>#N/A</v>
      </c>
    </row>
    <row r="322">
      <c r="A322" s="4"/>
      <c r="C322" s="4" t="s">
        <v>2871</v>
      </c>
      <c r="D322" s="4" t="str">
        <f t="shared" si="1"/>
        <v>{"valorA":"ótimo","valorB":35}</v>
      </c>
      <c r="E322" s="8" t="str">
        <f t="shared" si="2"/>
        <v>ótimo</v>
      </c>
      <c r="F322" s="8"/>
      <c r="G322" s="8" t="str">
        <f t="shared" si="3"/>
        <v>35</v>
      </c>
      <c r="H322" s="9">
        <f t="shared" si="4"/>
        <v>35</v>
      </c>
      <c r="I322" s="6" t="str">
        <f>IFERROR(__xludf.DUMMYFUNCTION("MAX(FILTER($H:$H,$E:$E=F322))"),"#N/A")</f>
        <v>#N/A</v>
      </c>
    </row>
    <row r="323">
      <c r="A323" s="4"/>
      <c r="C323" s="4" t="s">
        <v>3072</v>
      </c>
      <c r="D323" s="4" t="str">
        <f t="shared" si="1"/>
        <v>{"valorA":"de","valorB":9}</v>
      </c>
      <c r="E323" s="8" t="str">
        <f t="shared" si="2"/>
        <v>de</v>
      </c>
      <c r="F323" s="8"/>
      <c r="G323" s="8" t="str">
        <f t="shared" si="3"/>
        <v>9</v>
      </c>
      <c r="H323" s="9">
        <f t="shared" si="4"/>
        <v>9</v>
      </c>
      <c r="I323" s="6" t="str">
        <f>IFERROR(__xludf.DUMMYFUNCTION("MAX(FILTER($H:$H,$E:$E=F323))"),"#N/A")</f>
        <v>#N/A</v>
      </c>
    </row>
    <row r="324">
      <c r="A324" s="4"/>
      <c r="C324" s="4" t="s">
        <v>2819</v>
      </c>
      <c r="D324" s="4" t="str">
        <f t="shared" si="1"/>
        <v>{"valorA":"é","valorB":4}</v>
      </c>
      <c r="E324" s="8" t="str">
        <f t="shared" si="2"/>
        <v>é</v>
      </c>
      <c r="F324" s="8"/>
      <c r="G324" s="8" t="str">
        <f t="shared" si="3"/>
        <v>4</v>
      </c>
      <c r="H324" s="9">
        <f t="shared" si="4"/>
        <v>4</v>
      </c>
      <c r="I324" s="6" t="str">
        <f>IFERROR(__xludf.DUMMYFUNCTION("MAX(FILTER($H:$H,$E:$E=F324))"),"#N/A")</f>
        <v>#N/A</v>
      </c>
    </row>
    <row r="325">
      <c r="A325" s="4"/>
      <c r="C325" s="4" t="s">
        <v>12000</v>
      </c>
      <c r="D325" s="4" t="str">
        <f t="shared" si="1"/>
        <v>{"valorA":"quem","valorB":7}</v>
      </c>
      <c r="E325" s="8" t="str">
        <f t="shared" si="2"/>
        <v>quem</v>
      </c>
      <c r="F325" s="8"/>
      <c r="G325" s="8" t="str">
        <f t="shared" si="3"/>
        <v>7</v>
      </c>
      <c r="H325" s="9">
        <f t="shared" si="4"/>
        <v>7</v>
      </c>
      <c r="I325" s="6" t="str">
        <f>IFERROR(__xludf.DUMMYFUNCTION("MAX(FILTER($H:$H,$E:$E=F325))"),"#N/A")</f>
        <v>#N/A</v>
      </c>
    </row>
    <row r="326">
      <c r="A326" s="4"/>
      <c r="C326" s="4" t="s">
        <v>12001</v>
      </c>
      <c r="D326" s="4" t="str">
        <f t="shared" si="1"/>
        <v>{"valorA":"qualidade","valorB":7}</v>
      </c>
      <c r="E326" s="8" t="str">
        <f t="shared" si="2"/>
        <v>qualidade</v>
      </c>
      <c r="F326" s="8"/>
      <c r="G326" s="8" t="str">
        <f t="shared" si="3"/>
        <v>7</v>
      </c>
      <c r="H326" s="9">
        <f t="shared" si="4"/>
        <v>7</v>
      </c>
      <c r="I326" s="6" t="str">
        <f>IFERROR(__xludf.DUMMYFUNCTION("MAX(FILTER($H:$H,$E:$E=F326))"),"#N/A")</f>
        <v>#N/A</v>
      </c>
    </row>
    <row r="327">
      <c r="A327" s="4"/>
      <c r="C327" s="4" t="s">
        <v>3103</v>
      </c>
      <c r="D327" s="4" t="str">
        <f t="shared" si="1"/>
        <v>{"valorA":"e","valorB":11}</v>
      </c>
      <c r="E327" s="8" t="str">
        <f t="shared" si="2"/>
        <v>e</v>
      </c>
      <c r="F327" s="8"/>
      <c r="G327" s="8" t="str">
        <f t="shared" si="3"/>
        <v>11</v>
      </c>
      <c r="H327" s="9">
        <f t="shared" si="4"/>
        <v>11</v>
      </c>
      <c r="I327" s="6" t="str">
        <f>IFERROR(__xludf.DUMMYFUNCTION("MAX(FILTER($H:$H,$E:$E=F327))"),"#N/A")</f>
        <v>#N/A</v>
      </c>
    </row>
    <row r="328">
      <c r="A328" s="4"/>
      <c r="C328" s="4" t="s">
        <v>2737</v>
      </c>
      <c r="D328" s="4" t="str">
        <f t="shared" si="1"/>
        <v>{"valorA":"simples","valorB":1}</v>
      </c>
      <c r="E328" s="8" t="str">
        <f t="shared" si="2"/>
        <v>simples</v>
      </c>
      <c r="F328" s="8"/>
      <c r="G328" s="8" t="str">
        <f t="shared" si="3"/>
        <v>1</v>
      </c>
      <c r="H328" s="9">
        <f t="shared" si="4"/>
        <v>1</v>
      </c>
      <c r="I328" s="6" t="str">
        <f>IFERROR(__xludf.DUMMYFUNCTION("MAX(FILTER($H:$H,$E:$E=F328))"),"#N/A")</f>
        <v>#N/A</v>
      </c>
    </row>
    <row r="329">
      <c r="A329" s="4"/>
      <c r="C329" s="4" t="s">
        <v>12002</v>
      </c>
      <c r="D329" s="4" t="str">
        <f t="shared" si="1"/>
        <v>{"valorA":"busca","valorB":6}</v>
      </c>
      <c r="E329" s="8" t="str">
        <f t="shared" si="2"/>
        <v>busca</v>
      </c>
      <c r="F329" s="8"/>
      <c r="G329" s="8" t="str">
        <f t="shared" si="3"/>
        <v>6</v>
      </c>
      <c r="H329" s="9">
        <f t="shared" si="4"/>
        <v>6</v>
      </c>
      <c r="I329" s="6" t="str">
        <f>IFERROR(__xludf.DUMMYFUNCTION("MAX(FILTER($H:$H,$E:$E=F329))"),"#N/A")</f>
        <v>#N/A</v>
      </c>
    </row>
    <row r="330">
      <c r="A330" s="4"/>
      <c r="C330" s="4" t="s">
        <v>2892</v>
      </c>
      <c r="D330" s="4" t="str">
        <f t="shared" si="1"/>
        <v>{"valorA":"produto","valorB":22}</v>
      </c>
      <c r="E330" s="8" t="str">
        <f t="shared" si="2"/>
        <v>produto</v>
      </c>
      <c r="F330" s="8"/>
      <c r="G330" s="8" t="str">
        <f t="shared" si="3"/>
        <v>22</v>
      </c>
      <c r="H330" s="9">
        <f t="shared" si="4"/>
        <v>22</v>
      </c>
      <c r="I330" s="6" t="str">
        <f>IFERROR(__xludf.DUMMYFUNCTION("MAX(FILTER($H:$H,$E:$E=F330))"),"#N/A")</f>
        <v>#N/A</v>
      </c>
    </row>
    <row r="331">
      <c r="A331" s="4"/>
      <c r="C331" s="4" t="s">
        <v>7540</v>
      </c>
      <c r="D331" s="4" t="str">
        <f t="shared" si="1"/>
        <v>{"valorA":"funcional","valorB":2}</v>
      </c>
      <c r="E331" s="8" t="str">
        <f t="shared" si="2"/>
        <v>funcional</v>
      </c>
      <c r="F331" s="8"/>
      <c r="G331" s="8" t="str">
        <f t="shared" si="3"/>
        <v>2</v>
      </c>
      <c r="H331" s="9">
        <f t="shared" si="4"/>
        <v>2</v>
      </c>
      <c r="I331" s="6" t="str">
        <f>IFERROR(__xludf.DUMMYFUNCTION("MAX(FILTER($H:$H,$E:$E=F331))"),"#N/A")</f>
        <v>#N/A</v>
      </c>
    </row>
    <row r="332">
      <c r="A332" s="4"/>
      <c r="C332" s="4" t="s">
        <v>12003</v>
      </c>
      <c r="D332" s="4" t="str">
        <f t="shared" si="1"/>
        <v>{"valorA":"quem","valorB":8}</v>
      </c>
      <c r="E332" s="8" t="str">
        <f t="shared" si="2"/>
        <v>quem</v>
      </c>
      <c r="F332" s="8"/>
      <c r="G332" s="8" t="str">
        <f t="shared" si="3"/>
        <v>8</v>
      </c>
      <c r="H332" s="9">
        <f t="shared" si="4"/>
        <v>8</v>
      </c>
      <c r="I332" s="6" t="str">
        <f>IFERROR(__xludf.DUMMYFUNCTION("MAX(FILTER($H:$H,$E:$E=F332))"),"#N/A")</f>
        <v>#N/A</v>
      </c>
    </row>
    <row r="333">
      <c r="A333" s="4"/>
      <c r="C333" s="4" t="s">
        <v>2742</v>
      </c>
      <c r="D333" s="4" t="str">
        <f t="shared" si="1"/>
        <v>{"valorA":"algo","valorB":1}</v>
      </c>
      <c r="E333" s="8" t="str">
        <f t="shared" si="2"/>
        <v>algo</v>
      </c>
      <c r="F333" s="8"/>
      <c r="G333" s="8" t="str">
        <f t="shared" si="3"/>
        <v>1</v>
      </c>
      <c r="H333" s="9">
        <f t="shared" si="4"/>
        <v>1</v>
      </c>
      <c r="I333" s="6" t="str">
        <f>IFERROR(__xludf.DUMMYFUNCTION("MAX(FILTER($H:$H,$E:$E=F333))"),"#N/A")</f>
        <v>#N/A</v>
      </c>
    </row>
    <row r="334">
      <c r="A334" s="4"/>
      <c r="C334" s="4" t="s">
        <v>3237</v>
      </c>
      <c r="D334" s="4" t="str">
        <f t="shared" si="1"/>
        <v>{"valorA":"para","valorB":15}</v>
      </c>
      <c r="E334" s="8" t="str">
        <f t="shared" si="2"/>
        <v>para</v>
      </c>
      <c r="F334" s="8"/>
      <c r="G334" s="8" t="str">
        <f t="shared" si="3"/>
        <v>15</v>
      </c>
      <c r="H334" s="9">
        <f t="shared" si="4"/>
        <v>15</v>
      </c>
      <c r="I334" s="6" t="str">
        <f>IFERROR(__xludf.DUMMYFUNCTION("MAX(FILTER($H:$H,$E:$E=F334))"),"#N/A")</f>
        <v>#N/A</v>
      </c>
    </row>
    <row r="335">
      <c r="A335" s="4"/>
      <c r="C335" s="4" t="s">
        <v>2745</v>
      </c>
      <c r="D335" s="4" t="str">
        <f t="shared" si="1"/>
        <v>{"valorA":"precisa","valorB":1}</v>
      </c>
      <c r="E335" s="8" t="str">
        <f t="shared" si="2"/>
        <v>precisa</v>
      </c>
      <c r="F335" s="8"/>
      <c r="G335" s="8" t="str">
        <f t="shared" si="3"/>
        <v>1</v>
      </c>
      <c r="H335" s="9">
        <f t="shared" si="4"/>
        <v>1</v>
      </c>
      <c r="I335" s="6" t="str">
        <f>IFERROR(__xludf.DUMMYFUNCTION("MAX(FILTER($H:$H,$E:$E=F335))"),"#N/A")</f>
        <v>#N/A</v>
      </c>
    </row>
    <row r="336">
      <c r="A336" s="4"/>
      <c r="C336" s="4" t="s">
        <v>12004</v>
      </c>
      <c r="D336" s="4" t="str">
        <f t="shared" si="1"/>
        <v>{"valorA":"não","valorB":7}</v>
      </c>
      <c r="E336" s="8" t="str">
        <f t="shared" si="2"/>
        <v>não</v>
      </c>
      <c r="F336" s="8"/>
      <c r="G336" s="8" t="str">
        <f t="shared" si="3"/>
        <v>7</v>
      </c>
      <c r="H336" s="9">
        <f t="shared" si="4"/>
        <v>7</v>
      </c>
      <c r="I336" s="6" t="str">
        <f>IFERROR(__xludf.DUMMYFUNCTION("MAX(FILTER($H:$H,$E:$E=F336))"),"#N/A")</f>
        <v>#N/A</v>
      </c>
    </row>
    <row r="337">
      <c r="A337" s="4"/>
      <c r="C337" s="4" t="s">
        <v>3756</v>
      </c>
      <c r="D337" s="4" t="str">
        <f t="shared" si="1"/>
        <v>{"valorA":"para","valorB":16}</v>
      </c>
      <c r="E337" s="8" t="str">
        <f t="shared" si="2"/>
        <v>para</v>
      </c>
      <c r="F337" s="8"/>
      <c r="G337" s="8" t="str">
        <f t="shared" si="3"/>
        <v>16</v>
      </c>
      <c r="H337" s="9">
        <f t="shared" si="4"/>
        <v>16</v>
      </c>
      <c r="I337" s="6" t="str">
        <f>IFERROR(__xludf.DUMMYFUNCTION("MAX(FILTER($H:$H,$E:$E=F337))"),"#N/A")</f>
        <v>#N/A</v>
      </c>
    </row>
    <row r="338">
      <c r="A338" s="4"/>
      <c r="C338" s="4" t="s">
        <v>2875</v>
      </c>
      <c r="D338" s="4" t="str">
        <f t="shared" si="1"/>
        <v>{"valorA":"alta","valorB":1}</v>
      </c>
      <c r="E338" s="8" t="str">
        <f t="shared" si="2"/>
        <v>alta</v>
      </c>
      <c r="F338" s="8"/>
      <c r="G338" s="8" t="str">
        <f t="shared" si="3"/>
        <v>1</v>
      </c>
      <c r="H338" s="9">
        <f t="shared" si="4"/>
        <v>1</v>
      </c>
      <c r="I338" s="6" t="str">
        <f>IFERROR(__xludf.DUMMYFUNCTION("MAX(FILTER($H:$H,$E:$E=F338))"),"#N/A")</f>
        <v>#N/A</v>
      </c>
    </row>
    <row r="339">
      <c r="A339" s="4"/>
      <c r="C339" s="4" t="s">
        <v>2884</v>
      </c>
      <c r="D339" s="4" t="str">
        <f t="shared" si="1"/>
        <v>{"valorA":"ótimo","valorB":36}</v>
      </c>
      <c r="E339" s="8" t="str">
        <f t="shared" si="2"/>
        <v>ótimo</v>
      </c>
      <c r="F339" s="8"/>
      <c r="G339" s="8" t="str">
        <f t="shared" si="3"/>
        <v>36</v>
      </c>
      <c r="H339" s="9">
        <f t="shared" si="4"/>
        <v>36</v>
      </c>
      <c r="I339" s="6" t="str">
        <f>IFERROR(__xludf.DUMMYFUNCTION("MAX(FILTER($H:$H,$E:$E=F339))"),"#N/A")</f>
        <v>#N/A</v>
      </c>
    </row>
    <row r="340">
      <c r="A340" s="4"/>
      <c r="C340" s="4" t="s">
        <v>2989</v>
      </c>
      <c r="D340" s="4" t="str">
        <f t="shared" si="1"/>
        <v>{"valorA":"muito","valorB":13}</v>
      </c>
      <c r="E340" s="8" t="str">
        <f t="shared" si="2"/>
        <v>muito</v>
      </c>
      <c r="F340" s="8"/>
      <c r="G340" s="8" t="str">
        <f t="shared" si="3"/>
        <v>13</v>
      </c>
      <c r="H340" s="9">
        <f t="shared" si="4"/>
        <v>13</v>
      </c>
      <c r="I340" s="6" t="str">
        <f>IFERROR(__xludf.DUMMYFUNCTION("MAX(FILTER($H:$H,$E:$E=F340))"),"#N/A")</f>
        <v>#N/A</v>
      </c>
    </row>
    <row r="341">
      <c r="A341" s="4"/>
      <c r="C341" s="4" t="s">
        <v>3188</v>
      </c>
      <c r="D341" s="4" t="str">
        <f t="shared" si="1"/>
        <v>{"valorA":"televisor","valorB":6}</v>
      </c>
      <c r="E341" s="8" t="str">
        <f t="shared" si="2"/>
        <v>televisor</v>
      </c>
      <c r="F341" s="8"/>
      <c r="G341" s="8" t="str">
        <f t="shared" si="3"/>
        <v>6</v>
      </c>
      <c r="H341" s="9">
        <f t="shared" si="4"/>
        <v>6</v>
      </c>
      <c r="I341" s="6" t="str">
        <f>IFERROR(__xludf.DUMMYFUNCTION("MAX(FILTER($H:$H,$E:$E=F341))"),"#N/A")</f>
        <v>#N/A</v>
      </c>
    </row>
    <row r="342">
      <c r="A342" s="4"/>
      <c r="C342" s="4" t="s">
        <v>2918</v>
      </c>
      <c r="D342" s="4" t="str">
        <f t="shared" si="1"/>
        <v>{"valorA":"gostei","valorB":5}</v>
      </c>
      <c r="E342" s="8" t="str">
        <f t="shared" si="2"/>
        <v>gostei</v>
      </c>
      <c r="F342" s="8"/>
      <c r="G342" s="8" t="str">
        <f t="shared" si="3"/>
        <v>5</v>
      </c>
      <c r="H342" s="9">
        <f t="shared" si="4"/>
        <v>5</v>
      </c>
      <c r="I342" s="6" t="str">
        <f>IFERROR(__xludf.DUMMYFUNCTION("MAX(FILTER($H:$H,$E:$E=F342))"),"#N/A")</f>
        <v>#N/A</v>
      </c>
    </row>
    <row r="343">
      <c r="A343" s="4"/>
      <c r="C343" s="4" t="s">
        <v>3210</v>
      </c>
      <c r="D343" s="4" t="str">
        <f t="shared" si="1"/>
        <v>{"valorA":"preço","valorB":13}</v>
      </c>
      <c r="E343" s="8" t="str">
        <f t="shared" si="2"/>
        <v>preço</v>
      </c>
      <c r="F343" s="8"/>
      <c r="G343" s="8" t="str">
        <f t="shared" si="3"/>
        <v>13</v>
      </c>
      <c r="H343" s="9">
        <f t="shared" si="4"/>
        <v>13</v>
      </c>
      <c r="I343" s="6" t="str">
        <f>IFERROR(__xludf.DUMMYFUNCTION("MAX(FILTER($H:$H,$E:$E=F343))"),"#N/A")</f>
        <v>#N/A</v>
      </c>
    </row>
    <row r="344">
      <c r="A344" s="4"/>
      <c r="C344" s="4" t="s">
        <v>12005</v>
      </c>
      <c r="D344" s="4" t="str">
        <f t="shared" si="1"/>
        <v>{"valorA":"qualidade","valorB":8}</v>
      </c>
      <c r="E344" s="8" t="str">
        <f t="shared" si="2"/>
        <v>qualidade</v>
      </c>
      <c r="F344" s="8"/>
      <c r="G344" s="8" t="str">
        <f t="shared" si="3"/>
        <v>8</v>
      </c>
      <c r="H344" s="9">
        <f t="shared" si="4"/>
        <v>8</v>
      </c>
      <c r="I344" s="6" t="str">
        <f>IFERROR(__xludf.DUMMYFUNCTION("MAX(FILTER($H:$H,$E:$E=F344))"),"#N/A")</f>
        <v>#N/A</v>
      </c>
    </row>
    <row r="345">
      <c r="A345" s="4"/>
      <c r="C345" s="4" t="s">
        <v>3755</v>
      </c>
      <c r="D345" s="4" t="str">
        <f t="shared" si="1"/>
        <v>{"valorA":"do","valorB":7}</v>
      </c>
      <c r="E345" s="8" t="str">
        <f t="shared" si="2"/>
        <v>do</v>
      </c>
      <c r="F345" s="8"/>
      <c r="G345" s="8" t="str">
        <f t="shared" si="3"/>
        <v>7</v>
      </c>
      <c r="H345" s="9">
        <f t="shared" si="4"/>
        <v>7</v>
      </c>
      <c r="I345" s="6" t="str">
        <f>IFERROR(__xludf.DUMMYFUNCTION("MAX(FILTER($H:$H,$E:$E=F345))"),"#N/A")</f>
        <v>#N/A</v>
      </c>
    </row>
    <row r="346">
      <c r="A346" s="4"/>
      <c r="C346" s="4" t="s">
        <v>3113</v>
      </c>
      <c r="D346" s="4" t="str">
        <f t="shared" si="1"/>
        <v>{"valorA":"e","valorB":12}</v>
      </c>
      <c r="E346" s="8" t="str">
        <f t="shared" si="2"/>
        <v>e</v>
      </c>
      <c r="F346" s="8"/>
      <c r="G346" s="8" t="str">
        <f t="shared" si="3"/>
        <v>12</v>
      </c>
      <c r="H346" s="9">
        <f t="shared" si="4"/>
        <v>12</v>
      </c>
      <c r="I346" s="6" t="str">
        <f>IFERROR(__xludf.DUMMYFUNCTION("MAX(FILTER($H:$H,$E:$E=F346))"),"#N/A")</f>
        <v>#N/A</v>
      </c>
    </row>
    <row r="347">
      <c r="A347" s="4"/>
      <c r="C347" s="4" t="s">
        <v>7092</v>
      </c>
      <c r="D347" s="4" t="str">
        <f t="shared" si="1"/>
        <v>{"valorA":"da","valorB":3}</v>
      </c>
      <c r="E347" s="8" t="str">
        <f t="shared" si="2"/>
        <v>da</v>
      </c>
      <c r="F347" s="8"/>
      <c r="G347" s="8" t="str">
        <f t="shared" si="3"/>
        <v>3</v>
      </c>
      <c r="H347" s="9">
        <f t="shared" si="4"/>
        <v>3</v>
      </c>
      <c r="I347" s="6" t="str">
        <f>IFERROR(__xludf.DUMMYFUNCTION("MAX(FILTER($H:$H,$E:$E=F347))"),"#N/A")</f>
        <v>#N/A</v>
      </c>
    </row>
    <row r="348">
      <c r="A348" s="4"/>
      <c r="C348" s="4" t="s">
        <v>2700</v>
      </c>
      <c r="D348" s="4" t="str">
        <f t="shared" si="1"/>
        <v>{"valorA":"comprei","valorB":1}</v>
      </c>
      <c r="E348" s="8" t="str">
        <f t="shared" si="2"/>
        <v>comprei</v>
      </c>
      <c r="F348" s="8"/>
      <c r="G348" s="8" t="str">
        <f t="shared" si="3"/>
        <v>1</v>
      </c>
      <c r="H348" s="9">
        <f t="shared" si="4"/>
        <v>1</v>
      </c>
      <c r="I348" s="6" t="str">
        <f>IFERROR(__xludf.DUMMYFUNCTION("MAX(FILTER($H:$H,$E:$E=F348))"),"#N/A")</f>
        <v>#N/A</v>
      </c>
    </row>
    <row r="349">
      <c r="A349" s="4"/>
      <c r="C349" s="4" t="s">
        <v>3398</v>
      </c>
      <c r="D349" s="4" t="str">
        <f t="shared" si="1"/>
        <v>{"valorA":"ela","valorB":1}</v>
      </c>
      <c r="E349" s="8" t="str">
        <f t="shared" si="2"/>
        <v>ela</v>
      </c>
      <c r="F349" s="8"/>
      <c r="G349" s="8" t="str">
        <f t="shared" si="3"/>
        <v>1</v>
      </c>
      <c r="H349" s="9">
        <f t="shared" si="4"/>
        <v>1</v>
      </c>
      <c r="I349" s="6" t="str">
        <f>IFERROR(__xludf.DUMMYFUNCTION("MAX(FILTER($H:$H,$E:$E=F349))"),"#N/A")</f>
        <v>#N/A</v>
      </c>
    </row>
    <row r="350">
      <c r="A350" s="4"/>
      <c r="C350" s="4" t="s">
        <v>2893</v>
      </c>
      <c r="D350" s="4" t="str">
        <f t="shared" si="1"/>
        <v>{"valorA":"ótimo","valorB":37}</v>
      </c>
      <c r="E350" s="8" t="str">
        <f t="shared" si="2"/>
        <v>ótimo</v>
      </c>
      <c r="F350" s="8"/>
      <c r="G350" s="8" t="str">
        <f t="shared" si="3"/>
        <v>37</v>
      </c>
      <c r="H350" s="9">
        <f t="shared" si="4"/>
        <v>37</v>
      </c>
      <c r="I350" s="6" t="str">
        <f>IFERROR(__xludf.DUMMYFUNCTION("MAX(FILTER($H:$H,$E:$E=F350))"),"#N/A")</f>
        <v>#N/A</v>
      </c>
    </row>
    <row r="351">
      <c r="A351" s="4"/>
      <c r="C351" s="4" t="s">
        <v>3130</v>
      </c>
      <c r="D351" s="4" t="str">
        <f t="shared" si="1"/>
        <v>{"valorA":"e","valorB":13}</v>
      </c>
      <c r="E351" s="8" t="str">
        <f t="shared" si="2"/>
        <v>e</v>
      </c>
      <c r="F351" s="8"/>
      <c r="G351" s="8" t="str">
        <f t="shared" si="3"/>
        <v>13</v>
      </c>
      <c r="H351" s="9">
        <f t="shared" si="4"/>
        <v>13</v>
      </c>
      <c r="I351" s="6" t="str">
        <f>IFERROR(__xludf.DUMMYFUNCTION("MAX(FILTER($H:$H,$E:$E=F351))"),"#N/A")</f>
        <v>#N/A</v>
      </c>
    </row>
    <row r="352">
      <c r="A352" s="4"/>
      <c r="C352" s="4" t="s">
        <v>2899</v>
      </c>
      <c r="D352" s="4" t="str">
        <f t="shared" si="1"/>
        <v>{"valorA":"produto","valorB":23}</v>
      </c>
      <c r="E352" s="8" t="str">
        <f t="shared" si="2"/>
        <v>produto</v>
      </c>
      <c r="F352" s="8"/>
      <c r="G352" s="8" t="str">
        <f t="shared" si="3"/>
        <v>23</v>
      </c>
      <c r="H352" s="9">
        <f t="shared" si="4"/>
        <v>23</v>
      </c>
      <c r="I352" s="6" t="str">
        <f>IFERROR(__xludf.DUMMYFUNCTION("MAX(FILTER($H:$H,$E:$E=F352))"),"#N/A")</f>
        <v>#N/A</v>
      </c>
    </row>
    <row r="353">
      <c r="A353" s="4"/>
      <c r="C353" s="4" t="s">
        <v>2926</v>
      </c>
      <c r="D353" s="4" t="str">
        <f t="shared" si="1"/>
        <v>{"valorA":"feliz","valorB":1}</v>
      </c>
      <c r="E353" s="8" t="str">
        <f t="shared" si="2"/>
        <v>feliz</v>
      </c>
      <c r="F353" s="8"/>
      <c r="G353" s="8" t="str">
        <f t="shared" si="3"/>
        <v>1</v>
      </c>
      <c r="H353" s="9">
        <f t="shared" si="4"/>
        <v>1</v>
      </c>
      <c r="I353" s="6" t="str">
        <f>IFERROR(__xludf.DUMMYFUNCTION("MAX(FILTER($H:$H,$E:$E=F353))"),"#N/A")</f>
        <v>#N/A</v>
      </c>
    </row>
    <row r="354">
      <c r="A354" s="4"/>
      <c r="C354" s="4" t="s">
        <v>3356</v>
      </c>
      <c r="D354" s="4" t="str">
        <f t="shared" si="1"/>
        <v>{"valorA":"com","valorB":5}</v>
      </c>
      <c r="E354" s="8" t="str">
        <f t="shared" si="2"/>
        <v>com</v>
      </c>
      <c r="F354" s="8"/>
      <c r="G354" s="8" t="str">
        <f t="shared" si="3"/>
        <v>5</v>
      </c>
      <c r="H354" s="9">
        <f t="shared" si="4"/>
        <v>5</v>
      </c>
      <c r="I354" s="6" t="str">
        <f>IFERROR(__xludf.DUMMYFUNCTION("MAX(FILTER($H:$H,$E:$E=F354))"),"#N/A")</f>
        <v>#N/A</v>
      </c>
    </row>
    <row r="355">
      <c r="A355" s="4"/>
      <c r="C355" s="4" t="s">
        <v>2844</v>
      </c>
      <c r="D355" s="4" t="str">
        <f t="shared" si="1"/>
        <v>{"valorA":"ele","valorB":2}</v>
      </c>
      <c r="E355" s="8" t="str">
        <f t="shared" si="2"/>
        <v>ele</v>
      </c>
      <c r="F355" s="8"/>
      <c r="G355" s="8" t="str">
        <f t="shared" si="3"/>
        <v>2</v>
      </c>
      <c r="H355" s="9">
        <f t="shared" si="4"/>
        <v>2</v>
      </c>
      <c r="I355" s="6" t="str">
        <f>IFERROR(__xludf.DUMMYFUNCTION("MAX(FILTER($H:$H,$E:$E=F355))"),"#N/A")</f>
        <v>#N/A</v>
      </c>
    </row>
    <row r="356">
      <c r="A356" s="4"/>
      <c r="C356" s="4" t="s">
        <v>3853</v>
      </c>
      <c r="D356" s="4" t="str">
        <f t="shared" si="1"/>
        <v>{"valorA":"minha","valorB":1}</v>
      </c>
      <c r="E356" s="8" t="str">
        <f t="shared" si="2"/>
        <v>minha</v>
      </c>
      <c r="F356" s="8"/>
      <c r="G356" s="8" t="str">
        <f t="shared" si="3"/>
        <v>1</v>
      </c>
      <c r="H356" s="9">
        <f t="shared" si="4"/>
        <v>1</v>
      </c>
      <c r="I356" s="6" t="str">
        <f>IFERROR(__xludf.DUMMYFUNCTION("MAX(FILTER($H:$H,$E:$E=F356))"),"#N/A")</f>
        <v>#N/A</v>
      </c>
    </row>
    <row r="357">
      <c r="A357" s="4"/>
      <c r="C357" s="4" t="s">
        <v>3758</v>
      </c>
      <c r="D357" s="4" t="str">
        <f t="shared" si="1"/>
        <v>{"valorA":"para","valorB":17}</v>
      </c>
      <c r="E357" s="8" t="str">
        <f t="shared" si="2"/>
        <v>para</v>
      </c>
      <c r="F357" s="8"/>
      <c r="G357" s="8" t="str">
        <f t="shared" si="3"/>
        <v>17</v>
      </c>
      <c r="H357" s="9">
        <f t="shared" si="4"/>
        <v>17</v>
      </c>
      <c r="I357" s="6" t="str">
        <f>IFERROR(__xludf.DUMMYFUNCTION("MAX(FILTER($H:$H,$E:$E=F357))"),"#N/A")</f>
        <v>#N/A</v>
      </c>
    </row>
    <row r="358">
      <c r="A358" s="4"/>
      <c r="C358" s="4" t="s">
        <v>12006</v>
      </c>
      <c r="D358" s="4" t="str">
        <f t="shared" si="1"/>
        <v>{"valorA":"filha","valorB":1}</v>
      </c>
      <c r="E358" s="8" t="str">
        <f t="shared" si="2"/>
        <v>filha</v>
      </c>
      <c r="F358" s="8"/>
      <c r="G358" s="8" t="str">
        <f t="shared" si="3"/>
        <v>1</v>
      </c>
      <c r="H358" s="9">
        <f t="shared" si="4"/>
        <v>1</v>
      </c>
      <c r="I358" s="6" t="str">
        <f>IFERROR(__xludf.DUMMYFUNCTION("MAX(FILTER($H:$H,$E:$E=F358))"),"#N/A")</f>
        <v>#N/A</v>
      </c>
    </row>
    <row r="359">
      <c r="A359" s="4"/>
      <c r="C359" s="4" t="s">
        <v>3166</v>
      </c>
      <c r="D359" s="4" t="str">
        <f t="shared" si="1"/>
        <v>{"valorA":"muito","valorB":14}</v>
      </c>
      <c r="E359" s="8" t="str">
        <f t="shared" si="2"/>
        <v>muito</v>
      </c>
      <c r="F359" s="8"/>
      <c r="G359" s="8" t="str">
        <f t="shared" si="3"/>
        <v>14</v>
      </c>
      <c r="H359" s="9">
        <f t="shared" si="4"/>
        <v>14</v>
      </c>
      <c r="I359" s="6" t="str">
        <f>IFERROR(__xludf.DUMMYFUNCTION("MAX(FILTER($H:$H,$E:$E=F359))"),"#N/A")</f>
        <v>#N/A</v>
      </c>
    </row>
    <row r="360">
      <c r="A360" s="4"/>
      <c r="C360" s="4" t="s">
        <v>2857</v>
      </c>
      <c r="D360" s="4" t="str">
        <f t="shared" si="1"/>
        <v>{"valorA":"está","valorB":1}</v>
      </c>
      <c r="E360" s="8" t="str">
        <f t="shared" si="2"/>
        <v>está</v>
      </c>
      <c r="F360" s="8"/>
      <c r="G360" s="8" t="str">
        <f t="shared" si="3"/>
        <v>1</v>
      </c>
      <c r="H360" s="9">
        <f t="shared" si="4"/>
        <v>1</v>
      </c>
      <c r="I360" s="6" t="str">
        <f>IFERROR(__xludf.DUMMYFUNCTION("MAX(FILTER($H:$H,$E:$E=F360))"),"#N/A")</f>
        <v>#N/A</v>
      </c>
    </row>
    <row r="361">
      <c r="A361" s="4"/>
      <c r="C361" s="4" t="s">
        <v>2901</v>
      </c>
      <c r="D361" s="4" t="str">
        <f t="shared" si="1"/>
        <v>{"valorA":"ótimo","valorB":38}</v>
      </c>
      <c r="E361" s="8" t="str">
        <f t="shared" si="2"/>
        <v>ótimo</v>
      </c>
      <c r="F361" s="8"/>
      <c r="G361" s="8" t="str">
        <f t="shared" si="3"/>
        <v>38</v>
      </c>
      <c r="H361" s="9">
        <f t="shared" si="4"/>
        <v>38</v>
      </c>
      <c r="I361" s="6" t="str">
        <f>IFERROR(__xludf.DUMMYFUNCTION("MAX(FILTER($H:$H,$E:$E=F361))"),"#N/A")</f>
        <v>#N/A</v>
      </c>
    </row>
    <row r="362">
      <c r="A362" s="4"/>
      <c r="C362" s="4" t="s">
        <v>2907</v>
      </c>
      <c r="D362" s="4" t="str">
        <f t="shared" si="1"/>
        <v>{"valorA":"produto","valorB":24}</v>
      </c>
      <c r="E362" s="8" t="str">
        <f t="shared" si="2"/>
        <v>produto</v>
      </c>
      <c r="F362" s="8"/>
      <c r="G362" s="8" t="str">
        <f t="shared" si="3"/>
        <v>24</v>
      </c>
      <c r="H362" s="9">
        <f t="shared" si="4"/>
        <v>24</v>
      </c>
      <c r="I362" s="6" t="str">
        <f>IFERROR(__xludf.DUMMYFUNCTION("MAX(FILTER($H:$H,$E:$E=F362))"),"#N/A")</f>
        <v>#N/A</v>
      </c>
    </row>
    <row r="363">
      <c r="A363" s="4"/>
      <c r="C363" s="4" t="s">
        <v>3061</v>
      </c>
      <c r="D363" s="4" t="str">
        <f t="shared" si="1"/>
        <v>{"valorA":"fácil","valorB":5}</v>
      </c>
      <c r="E363" s="8" t="str">
        <f t="shared" si="2"/>
        <v>fácil</v>
      </c>
      <c r="F363" s="8"/>
      <c r="G363" s="8" t="str">
        <f t="shared" si="3"/>
        <v>5</v>
      </c>
      <c r="H363" s="9">
        <f t="shared" si="4"/>
        <v>5</v>
      </c>
      <c r="I363" s="6" t="str">
        <f>IFERROR(__xludf.DUMMYFUNCTION("MAX(FILTER($H:$H,$E:$E=F363))"),"#N/A")</f>
        <v>#N/A</v>
      </c>
    </row>
    <row r="364">
      <c r="A364" s="4"/>
      <c r="C364" s="4" t="s">
        <v>3076</v>
      </c>
      <c r="D364" s="4" t="str">
        <f t="shared" si="1"/>
        <v>{"valorA":"de","valorB":10}</v>
      </c>
      <c r="E364" s="8" t="str">
        <f t="shared" si="2"/>
        <v>de</v>
      </c>
      <c r="F364" s="8"/>
      <c r="G364" s="8" t="str">
        <f t="shared" si="3"/>
        <v>10</v>
      </c>
      <c r="H364" s="9">
        <f t="shared" si="4"/>
        <v>10</v>
      </c>
      <c r="I364" s="6" t="str">
        <f>IFERROR(__xludf.DUMMYFUNCTION("MAX(FILTER($H:$H,$E:$E=F364))"),"#N/A")</f>
        <v>#N/A</v>
      </c>
    </row>
    <row r="365">
      <c r="A365" s="4"/>
      <c r="C365" s="4" t="s">
        <v>3062</v>
      </c>
      <c r="D365" s="4" t="str">
        <f t="shared" si="1"/>
        <v>{"valorA":"usar","valorB":5}</v>
      </c>
      <c r="E365" s="8" t="str">
        <f t="shared" si="2"/>
        <v>usar</v>
      </c>
      <c r="F365" s="8"/>
      <c r="G365" s="8" t="str">
        <f t="shared" si="3"/>
        <v>5</v>
      </c>
      <c r="H365" s="9">
        <f t="shared" si="4"/>
        <v>5</v>
      </c>
      <c r="I365" s="6" t="str">
        <f>IFERROR(__xludf.DUMMYFUNCTION("MAX(FILTER($H:$H,$E:$E=F365))"),"#N/A")</f>
        <v>#N/A</v>
      </c>
    </row>
    <row r="366">
      <c r="A366" s="4"/>
      <c r="C366" s="4" t="s">
        <v>3083</v>
      </c>
      <c r="D366" s="4" t="str">
        <f t="shared" si="1"/>
        <v>{"valorA":"econômico","valorB":3}</v>
      </c>
      <c r="E366" s="8" t="str">
        <f t="shared" si="2"/>
        <v>econômico</v>
      </c>
      <c r="F366" s="8"/>
      <c r="G366" s="8" t="str">
        <f t="shared" si="3"/>
        <v>3</v>
      </c>
      <c r="H366" s="9">
        <f t="shared" si="4"/>
        <v>3</v>
      </c>
      <c r="I366" s="6" t="str">
        <f>IFERROR(__xludf.DUMMYFUNCTION("MAX(FILTER($H:$H,$E:$E=F366))"),"#N/A")</f>
        <v>#N/A</v>
      </c>
    </row>
    <row r="367">
      <c r="A367" s="4"/>
      <c r="C367" s="4" t="s">
        <v>3140</v>
      </c>
      <c r="D367" s="4" t="str">
        <f t="shared" si="1"/>
        <v>{"valorA":"e","valorB":14}</v>
      </c>
      <c r="E367" s="8" t="str">
        <f t="shared" si="2"/>
        <v>e</v>
      </c>
      <c r="F367" s="8"/>
      <c r="G367" s="8" t="str">
        <f t="shared" si="3"/>
        <v>14</v>
      </c>
      <c r="H367" s="9">
        <f t="shared" si="4"/>
        <v>14</v>
      </c>
      <c r="I367" s="6" t="str">
        <f>IFERROR(__xludf.DUMMYFUNCTION("MAX(FILTER($H:$H,$E:$E=F367))"),"#N/A")</f>
        <v>#N/A</v>
      </c>
    </row>
    <row r="368">
      <c r="A368" s="4"/>
      <c r="C368" s="4" t="s">
        <v>2754</v>
      </c>
      <c r="D368" s="4" t="str">
        <f t="shared" si="1"/>
        <v>{"valorA":"que","valorB":4}</v>
      </c>
      <c r="E368" s="8" t="str">
        <f t="shared" si="2"/>
        <v>que</v>
      </c>
      <c r="F368" s="8"/>
      <c r="G368" s="8" t="str">
        <f t="shared" si="3"/>
        <v>4</v>
      </c>
      <c r="H368" s="9">
        <f t="shared" si="4"/>
        <v>4</v>
      </c>
      <c r="I368" s="6" t="str">
        <f>IFERROR(__xludf.DUMMYFUNCTION("MAX(FILTER($H:$H,$E:$E=F368))"),"#N/A")</f>
        <v>#N/A</v>
      </c>
    </row>
    <row r="369">
      <c r="A369" s="4"/>
      <c r="C369" s="4" t="s">
        <v>2916</v>
      </c>
      <c r="D369" s="4" t="str">
        <f t="shared" si="1"/>
        <v>{"valorA":"produto","valorB":25}</v>
      </c>
      <c r="E369" s="8" t="str">
        <f t="shared" si="2"/>
        <v>produto</v>
      </c>
      <c r="F369" s="8"/>
      <c r="G369" s="8" t="str">
        <f t="shared" si="3"/>
        <v>25</v>
      </c>
      <c r="H369" s="9">
        <f t="shared" si="4"/>
        <v>25</v>
      </c>
      <c r="I369" s="6" t="str">
        <f>IFERROR(__xludf.DUMMYFUNCTION("MAX(FILTER($H:$H,$E:$E=F369))"),"#N/A")</f>
        <v>#N/A</v>
      </c>
    </row>
    <row r="370">
      <c r="A370" s="4"/>
      <c r="C370" s="4" t="s">
        <v>3095</v>
      </c>
      <c r="D370" s="4" t="str">
        <f t="shared" si="1"/>
        <v>{"valorA":"valorizado","valorB":1}</v>
      </c>
      <c r="E370" s="8" t="str">
        <f t="shared" si="2"/>
        <v>valorizado</v>
      </c>
      <c r="F370" s="8"/>
      <c r="G370" s="8" t="str">
        <f t="shared" si="3"/>
        <v>1</v>
      </c>
      <c r="H370" s="9">
        <f t="shared" si="4"/>
        <v>1</v>
      </c>
      <c r="I370" s="6" t="str">
        <f>IFERROR(__xludf.DUMMYFUNCTION("MAX(FILTER($H:$H,$E:$E=F370))"),"#N/A")</f>
        <v>#N/A</v>
      </c>
    </row>
    <row r="371">
      <c r="A371" s="4"/>
      <c r="C371" s="4" t="s">
        <v>2905</v>
      </c>
      <c r="D371" s="4" t="str">
        <f t="shared" si="1"/>
        <v>{"valorA":"ótimo","valorB":39}</v>
      </c>
      <c r="E371" s="8" t="str">
        <f t="shared" si="2"/>
        <v>ótimo</v>
      </c>
      <c r="F371" s="8"/>
      <c r="G371" s="8" t="str">
        <f t="shared" si="3"/>
        <v>39</v>
      </c>
      <c r="H371" s="9">
        <f t="shared" si="4"/>
        <v>39</v>
      </c>
      <c r="I371" s="6" t="str">
        <f>IFERROR(__xludf.DUMMYFUNCTION("MAX(FILTER($H:$H,$E:$E=F371))"),"#N/A")</f>
        <v>#N/A</v>
      </c>
    </row>
    <row r="372">
      <c r="A372" s="4"/>
      <c r="C372" s="4" t="s">
        <v>3198</v>
      </c>
      <c r="D372" s="4" t="str">
        <f t="shared" si="1"/>
        <v>{"valorA":"muito","valorB":15}</v>
      </c>
      <c r="E372" s="8" t="str">
        <f t="shared" si="2"/>
        <v>muito</v>
      </c>
      <c r="F372" s="8"/>
      <c r="G372" s="8" t="str">
        <f t="shared" si="3"/>
        <v>15</v>
      </c>
      <c r="H372" s="9">
        <f t="shared" si="4"/>
        <v>15</v>
      </c>
      <c r="I372" s="6" t="str">
        <f>IFERROR(__xludf.DUMMYFUNCTION("MAX(FILTER($H:$H,$E:$E=F372))"),"#N/A")</f>
        <v>#N/A</v>
      </c>
    </row>
    <row r="373">
      <c r="A373" s="4"/>
      <c r="C373" s="4" t="s">
        <v>2942</v>
      </c>
      <c r="D373" s="4" t="str">
        <f t="shared" si="1"/>
        <v>{"valorA":"o","valorB":7}</v>
      </c>
      <c r="E373" s="8" t="str">
        <f t="shared" si="2"/>
        <v>o</v>
      </c>
      <c r="F373" s="8"/>
      <c r="G373" s="8" t="str">
        <f t="shared" si="3"/>
        <v>7</v>
      </c>
      <c r="H373" s="9">
        <f t="shared" si="4"/>
        <v>7</v>
      </c>
      <c r="I373" s="6" t="str">
        <f>IFERROR(__xludf.DUMMYFUNCTION("MAX(FILTER($H:$H,$E:$E=F373))"),"#N/A")</f>
        <v>#N/A</v>
      </c>
    </row>
    <row r="374">
      <c r="A374" s="4"/>
      <c r="C374" s="4" t="s">
        <v>3200</v>
      </c>
      <c r="D374" s="4" t="str">
        <f t="shared" si="1"/>
        <v>{"valorA":"dinheiro","valorB":1}</v>
      </c>
      <c r="E374" s="8" t="str">
        <f t="shared" si="2"/>
        <v>dinheiro</v>
      </c>
      <c r="F374" s="8"/>
      <c r="G374" s="8" t="str">
        <f t="shared" si="3"/>
        <v>1</v>
      </c>
      <c r="H374" s="9">
        <f t="shared" si="4"/>
        <v>1</v>
      </c>
      <c r="I374" s="6" t="str">
        <f>IFERROR(__xludf.DUMMYFUNCTION("MAX(FILTER($H:$H,$E:$E=F374))"),"#N/A")</f>
        <v>#N/A</v>
      </c>
    </row>
    <row r="375">
      <c r="A375" s="4"/>
      <c r="C375" s="4" t="s">
        <v>2885</v>
      </c>
      <c r="D375" s="4" t="str">
        <f t="shared" si="1"/>
        <v>{"valorA":"paguei","valorB":2}</v>
      </c>
      <c r="E375" s="8" t="str">
        <f t="shared" si="2"/>
        <v>paguei</v>
      </c>
      <c r="F375" s="8"/>
      <c r="G375" s="8" t="str">
        <f t="shared" si="3"/>
        <v>2</v>
      </c>
      <c r="H375" s="9">
        <f t="shared" si="4"/>
        <v>2</v>
      </c>
      <c r="I375" s="6" t="str">
        <f>IFERROR(__xludf.DUMMYFUNCTION("MAX(FILTER($H:$H,$E:$E=F375))"),"#N/A")</f>
        <v>#N/A</v>
      </c>
    </row>
    <row r="376">
      <c r="A376" s="4"/>
      <c r="C376" s="4" t="s">
        <v>12007</v>
      </c>
      <c r="D376" s="4" t="str">
        <f t="shared" si="1"/>
        <v>{"valorA":"busca","valorB":7}</v>
      </c>
      <c r="E376" s="8" t="str">
        <f t="shared" si="2"/>
        <v>busca</v>
      </c>
      <c r="F376" s="8"/>
      <c r="G376" s="8" t="str">
        <f t="shared" si="3"/>
        <v>7</v>
      </c>
      <c r="H376" s="9">
        <f t="shared" si="4"/>
        <v>7</v>
      </c>
      <c r="I376" s="6" t="str">
        <f>IFERROR(__xludf.DUMMYFUNCTION("MAX(FILTER($H:$H,$E:$E=F376))"),"#N/A")</f>
        <v>#N/A</v>
      </c>
    </row>
    <row r="377">
      <c r="A377" s="4"/>
      <c r="C377" s="4" t="s">
        <v>12008</v>
      </c>
      <c r="D377" s="4" t="str">
        <f t="shared" si="1"/>
        <v>{"valorA":"quem","valorB":9}</v>
      </c>
      <c r="E377" s="8" t="str">
        <f t="shared" si="2"/>
        <v>quem</v>
      </c>
      <c r="F377" s="8"/>
      <c r="G377" s="8" t="str">
        <f t="shared" si="3"/>
        <v>9</v>
      </c>
      <c r="H377" s="9">
        <f t="shared" si="4"/>
        <v>9</v>
      </c>
      <c r="I377" s="6" t="str">
        <f>IFERROR(__xludf.DUMMYFUNCTION("MAX(FILTER($H:$H,$E:$E=F377))"),"#N/A")</f>
        <v>#N/A</v>
      </c>
    </row>
    <row r="378">
      <c r="A378" s="4"/>
      <c r="C378" s="4" t="s">
        <v>3867</v>
      </c>
      <c r="D378" s="4" t="str">
        <f t="shared" si="1"/>
        <v>{"valorA":"lavar","valorB":1}</v>
      </c>
      <c r="E378" s="8" t="str">
        <f t="shared" si="2"/>
        <v>lavar</v>
      </c>
      <c r="F378" s="8"/>
      <c r="G378" s="8" t="str">
        <f t="shared" si="3"/>
        <v>1</v>
      </c>
      <c r="H378" s="9">
        <f t="shared" si="4"/>
        <v>1</v>
      </c>
      <c r="I378" s="6" t="str">
        <f>IFERROR(__xludf.DUMMYFUNCTION("MAX(FILTER($H:$H,$E:$E=F378))"),"#N/A")</f>
        <v>#N/A</v>
      </c>
    </row>
    <row r="379">
      <c r="A379" s="4"/>
      <c r="C379" s="4" t="s">
        <v>3778</v>
      </c>
      <c r="D379" s="4" t="str">
        <f t="shared" si="1"/>
        <v>{"valorA":"para","valorB":18}</v>
      </c>
      <c r="E379" s="8" t="str">
        <f t="shared" si="2"/>
        <v>para</v>
      </c>
      <c r="F379" s="8"/>
      <c r="G379" s="8" t="str">
        <f t="shared" si="3"/>
        <v>18</v>
      </c>
      <c r="H379" s="9">
        <f t="shared" si="4"/>
        <v>18</v>
      </c>
      <c r="I379" s="6" t="str">
        <f>IFERROR(__xludf.DUMMYFUNCTION("MAX(FILTER($H:$H,$E:$E=F379))"),"#N/A")</f>
        <v>#N/A</v>
      </c>
    </row>
    <row r="380">
      <c r="A380" s="4"/>
      <c r="C380" s="4" t="s">
        <v>3081</v>
      </c>
      <c r="D380" s="4" t="str">
        <f t="shared" si="1"/>
        <v>{"valorA":"de","valorB":11}</v>
      </c>
      <c r="E380" s="8" t="str">
        <f t="shared" si="2"/>
        <v>de</v>
      </c>
      <c r="F380" s="8"/>
      <c r="G380" s="8" t="str">
        <f t="shared" si="3"/>
        <v>11</v>
      </c>
      <c r="H380" s="9">
        <f t="shared" si="4"/>
        <v>11</v>
      </c>
      <c r="I380" s="6" t="str">
        <f>IFERROR(__xludf.DUMMYFUNCTION("MAX(FILTER($H:$H,$E:$E=F380))"),"#N/A")</f>
        <v>#N/A</v>
      </c>
    </row>
    <row r="381">
      <c r="A381" s="4"/>
      <c r="C381" s="4" t="s">
        <v>2914</v>
      </c>
      <c r="D381" s="4" t="str">
        <f t="shared" si="1"/>
        <v>{"valorA":"ótimo","valorB":40}</v>
      </c>
      <c r="E381" s="8" t="str">
        <f t="shared" si="2"/>
        <v>ótimo</v>
      </c>
      <c r="F381" s="8"/>
      <c r="G381" s="8" t="str">
        <f t="shared" si="3"/>
        <v>40</v>
      </c>
      <c r="H381" s="9">
        <f t="shared" si="4"/>
        <v>40</v>
      </c>
      <c r="I381" s="6" t="str">
        <f>IFERROR(__xludf.DUMMYFUNCTION("MAX(FILTER($H:$H,$E:$E=F381))"),"#N/A")</f>
        <v>#N/A</v>
      </c>
    </row>
    <row r="382">
      <c r="A382" s="4"/>
      <c r="C382" s="4" t="s">
        <v>2924</v>
      </c>
      <c r="D382" s="4" t="str">
        <f t="shared" si="1"/>
        <v>{"valorA":"produto","valorB":26}</v>
      </c>
      <c r="E382" s="8" t="str">
        <f t="shared" si="2"/>
        <v>produto</v>
      </c>
      <c r="F382" s="8"/>
      <c r="G382" s="8" t="str">
        <f t="shared" si="3"/>
        <v>26</v>
      </c>
      <c r="H382" s="9">
        <f t="shared" si="4"/>
        <v>26</v>
      </c>
      <c r="I382" s="6" t="str">
        <f>IFERROR(__xludf.DUMMYFUNCTION("MAX(FILTER($H:$H,$E:$E=F382))"),"#N/A")</f>
        <v>#N/A</v>
      </c>
    </row>
    <row r="383">
      <c r="A383" s="4"/>
      <c r="C383" s="4" t="s">
        <v>3363</v>
      </c>
      <c r="D383" s="4" t="str">
        <f t="shared" si="1"/>
        <v>{"valorA":"máquina","valorB":1}</v>
      </c>
      <c r="E383" s="8" t="str">
        <f t="shared" si="2"/>
        <v>máquina</v>
      </c>
      <c r="F383" s="8"/>
      <c r="G383" s="8" t="str">
        <f t="shared" si="3"/>
        <v>1</v>
      </c>
      <c r="H383" s="9">
        <f t="shared" si="4"/>
        <v>1</v>
      </c>
      <c r="I383" s="6" t="str">
        <f>IFERROR(__xludf.DUMMYFUNCTION("MAX(FILTER($H:$H,$E:$E=F383))"),"#N/A")</f>
        <v>#N/A</v>
      </c>
    </row>
    <row r="384">
      <c r="A384" s="4"/>
      <c r="C384" s="4" t="s">
        <v>3090</v>
      </c>
      <c r="D384" s="4" t="str">
        <f t="shared" si="1"/>
        <v>{"valorA":"uma","valorB":1}</v>
      </c>
      <c r="E384" s="8" t="str">
        <f t="shared" si="2"/>
        <v>uma</v>
      </c>
      <c r="F384" s="8"/>
      <c r="G384" s="8" t="str">
        <f t="shared" si="3"/>
        <v>1</v>
      </c>
      <c r="H384" s="9">
        <f t="shared" si="4"/>
        <v>1</v>
      </c>
      <c r="I384" s="6" t="str">
        <f>IFERROR(__xludf.DUMMYFUNCTION("MAX(FILTER($H:$H,$E:$E=F384))"),"#N/A")</f>
        <v>#N/A</v>
      </c>
    </row>
    <row r="385">
      <c r="A385" s="4"/>
      <c r="C385" s="4" t="s">
        <v>3215</v>
      </c>
      <c r="D385" s="4" t="str">
        <f t="shared" si="1"/>
        <v>{"valorA":"muito","valorB":16}</v>
      </c>
      <c r="E385" s="8" t="str">
        <f t="shared" si="2"/>
        <v>muito</v>
      </c>
      <c r="F385" s="8"/>
      <c r="G385" s="8" t="str">
        <f t="shared" si="3"/>
        <v>16</v>
      </c>
      <c r="H385" s="9">
        <f t="shared" si="4"/>
        <v>16</v>
      </c>
      <c r="I385" s="6" t="str">
        <f>IFERROR(__xludf.DUMMYFUNCTION("MAX(FILTER($H:$H,$E:$E=F385))"),"#N/A")</f>
        <v>#N/A</v>
      </c>
    </row>
    <row r="386">
      <c r="A386" s="4"/>
      <c r="C386" s="4" t="s">
        <v>2932</v>
      </c>
      <c r="D386" s="4" t="str">
        <f t="shared" si="1"/>
        <v>{"valorA":"gostei","valorB":6}</v>
      </c>
      <c r="E386" s="8" t="str">
        <f t="shared" si="2"/>
        <v>gostei</v>
      </c>
      <c r="F386" s="8"/>
      <c r="G386" s="8" t="str">
        <f t="shared" si="3"/>
        <v>6</v>
      </c>
      <c r="H386" s="9">
        <f t="shared" si="4"/>
        <v>6</v>
      </c>
      <c r="I386" s="6" t="str">
        <f>IFERROR(__xludf.DUMMYFUNCTION("MAX(FILTER($H:$H,$E:$E=F386))"),"#N/A")</f>
        <v>#N/A</v>
      </c>
    </row>
    <row r="387">
      <c r="A387" s="4"/>
      <c r="C387" s="4" t="s">
        <v>12009</v>
      </c>
      <c r="D387" s="4" t="str">
        <f t="shared" si="1"/>
        <v>{"valorA":"roupas","valorB":1}</v>
      </c>
      <c r="E387" s="8" t="str">
        <f t="shared" si="2"/>
        <v>roupas</v>
      </c>
      <c r="F387" s="8"/>
      <c r="G387" s="8" t="str">
        <f t="shared" si="3"/>
        <v>1</v>
      </c>
      <c r="H387" s="9">
        <f t="shared" si="4"/>
        <v>1</v>
      </c>
      <c r="I387" s="6" t="str">
        <f>IFERROR(__xludf.DUMMYFUNCTION("MAX(FILTER($H:$H,$E:$E=F387))"),"#N/A")</f>
        <v>#N/A</v>
      </c>
    </row>
    <row r="388">
      <c r="A388" s="4"/>
      <c r="C388" s="4" t="s">
        <v>2925</v>
      </c>
      <c r="D388" s="4" t="str">
        <f t="shared" si="1"/>
        <v>{"valorA":"ótimo","valorB":41}</v>
      </c>
      <c r="E388" s="8" t="str">
        <f t="shared" si="2"/>
        <v>ótimo</v>
      </c>
      <c r="F388" s="8"/>
      <c r="G388" s="8" t="str">
        <f t="shared" si="3"/>
        <v>41</v>
      </c>
      <c r="H388" s="9">
        <f t="shared" si="4"/>
        <v>41</v>
      </c>
      <c r="I388" s="6" t="str">
        <f>IFERROR(__xludf.DUMMYFUNCTION("MAX(FILTER($H:$H,$E:$E=F388))"),"#N/A")</f>
        <v>#N/A</v>
      </c>
    </row>
    <row r="389">
      <c r="A389" s="4"/>
      <c r="C389" s="4" t="s">
        <v>3164</v>
      </c>
      <c r="D389" s="4" t="str">
        <f t="shared" si="1"/>
        <v>{"valorA":"e","valorB":15}</v>
      </c>
      <c r="E389" s="8" t="str">
        <f t="shared" si="2"/>
        <v>e</v>
      </c>
      <c r="F389" s="8"/>
      <c r="G389" s="8" t="str">
        <f t="shared" si="3"/>
        <v>15</v>
      </c>
      <c r="H389" s="9">
        <f t="shared" si="4"/>
        <v>15</v>
      </c>
      <c r="I389" s="6" t="str">
        <f>IFERROR(__xludf.DUMMYFUNCTION("MAX(FILTER($H:$H,$E:$E=F389))"),"#N/A")</f>
        <v>#N/A</v>
      </c>
    </row>
    <row r="390">
      <c r="A390" s="4"/>
      <c r="C390" s="4" t="s">
        <v>3934</v>
      </c>
      <c r="D390" s="4" t="str">
        <f t="shared" si="1"/>
        <v>{"valorA":"minha","valorB":2}</v>
      </c>
      <c r="E390" s="8" t="str">
        <f t="shared" si="2"/>
        <v>minha</v>
      </c>
      <c r="F390" s="8"/>
      <c r="G390" s="8" t="str">
        <f t="shared" si="3"/>
        <v>2</v>
      </c>
      <c r="H390" s="9">
        <f t="shared" si="4"/>
        <v>2</v>
      </c>
      <c r="I390" s="6" t="str">
        <f>IFERROR(__xludf.DUMMYFUNCTION("MAX(FILTER($H:$H,$E:$E=F390))"),"#N/A")</f>
        <v>#N/A</v>
      </c>
    </row>
    <row r="391">
      <c r="A391" s="4"/>
      <c r="C391" s="4" t="s">
        <v>3782</v>
      </c>
      <c r="D391" s="4" t="str">
        <f t="shared" si="1"/>
        <v>{"valorA":"para","valorB":19}</v>
      </c>
      <c r="E391" s="8" t="str">
        <f t="shared" si="2"/>
        <v>para</v>
      </c>
      <c r="F391" s="8"/>
      <c r="G391" s="8" t="str">
        <f t="shared" si="3"/>
        <v>19</v>
      </c>
      <c r="H391" s="9">
        <f t="shared" si="4"/>
        <v>19</v>
      </c>
      <c r="I391" s="6" t="str">
        <f>IFERROR(__xludf.DUMMYFUNCTION("MAX(FILTER($H:$H,$E:$E=F391))"),"#N/A")</f>
        <v>#N/A</v>
      </c>
    </row>
    <row r="392">
      <c r="A392" s="4"/>
      <c r="C392" s="4" t="s">
        <v>2933</v>
      </c>
      <c r="D392" s="4" t="str">
        <f t="shared" si="1"/>
        <v>{"valorA":"produto","valorB":27}</v>
      </c>
      <c r="E392" s="8" t="str">
        <f t="shared" si="2"/>
        <v>produto</v>
      </c>
      <c r="F392" s="8"/>
      <c r="G392" s="8" t="str">
        <f t="shared" si="3"/>
        <v>27</v>
      </c>
      <c r="H392" s="9">
        <f t="shared" si="4"/>
        <v>27</v>
      </c>
      <c r="I392" s="6" t="str">
        <f>IFERROR(__xludf.DUMMYFUNCTION("MAX(FILTER($H:$H,$E:$E=F392))"),"#N/A")</f>
        <v>#N/A</v>
      </c>
    </row>
    <row r="393">
      <c r="A393" s="4"/>
      <c r="C393" s="4" t="s">
        <v>2711</v>
      </c>
      <c r="D393" s="4" t="str">
        <f t="shared" si="1"/>
        <v>{"valorA":"comprei","valorB":2}</v>
      </c>
      <c r="E393" s="8" t="str">
        <f t="shared" si="2"/>
        <v>comprei</v>
      </c>
      <c r="F393" s="8"/>
      <c r="G393" s="8" t="str">
        <f t="shared" si="3"/>
        <v>2</v>
      </c>
      <c r="H393" s="9">
        <f t="shared" si="4"/>
        <v>2</v>
      </c>
      <c r="I393" s="6" t="str">
        <f>IFERROR(__xludf.DUMMYFUNCTION("MAX(FILTER($H:$H,$E:$E=F393))"),"#N/A")</f>
        <v>#N/A</v>
      </c>
    </row>
    <row r="394">
      <c r="A394" s="4"/>
      <c r="C394" s="4" t="s">
        <v>2669</v>
      </c>
      <c r="D394" s="4" t="str">
        <f t="shared" si="1"/>
        <v>{"valorA":"adora","valorB":1}</v>
      </c>
      <c r="E394" s="8" t="str">
        <f t="shared" si="2"/>
        <v>adora</v>
      </c>
      <c r="F394" s="8"/>
      <c r="G394" s="8" t="str">
        <f t="shared" si="3"/>
        <v>1</v>
      </c>
      <c r="H394" s="9">
        <f t="shared" si="4"/>
        <v>1</v>
      </c>
      <c r="I394" s="6" t="str">
        <f>IFERROR(__xludf.DUMMYFUNCTION("MAX(FILTER($H:$H,$E:$E=F394))"),"#N/A")</f>
        <v>#N/A</v>
      </c>
    </row>
    <row r="395">
      <c r="A395" s="4"/>
      <c r="C395" s="4" t="s">
        <v>12010</v>
      </c>
      <c r="D395" s="4" t="str">
        <f t="shared" si="1"/>
        <v>{"valorA":"ela","valorB":2}</v>
      </c>
      <c r="E395" s="8" t="str">
        <f t="shared" si="2"/>
        <v>ela</v>
      </c>
      <c r="F395" s="8"/>
      <c r="G395" s="8" t="str">
        <f t="shared" si="3"/>
        <v>2</v>
      </c>
      <c r="H395" s="9">
        <f t="shared" si="4"/>
        <v>2</v>
      </c>
      <c r="I395" s="6" t="str">
        <f>IFERROR(__xludf.DUMMYFUNCTION("MAX(FILTER($H:$H,$E:$E=F395))"),"#N/A")</f>
        <v>#N/A</v>
      </c>
    </row>
    <row r="396">
      <c r="A396" s="4"/>
      <c r="C396" s="4" t="s">
        <v>12011</v>
      </c>
      <c r="D396" s="4" t="str">
        <f t="shared" si="1"/>
        <v>{"valorA":"mãe","valorB":1}</v>
      </c>
      <c r="E396" s="8" t="str">
        <f t="shared" si="2"/>
        <v>mãe</v>
      </c>
      <c r="F396" s="8"/>
      <c r="G396" s="8" t="str">
        <f t="shared" si="3"/>
        <v>1</v>
      </c>
      <c r="H396" s="9">
        <f t="shared" si="4"/>
        <v>1</v>
      </c>
      <c r="I396" s="6" t="str">
        <f>IFERROR(__xludf.DUMMYFUNCTION("MAX(FILTER($H:$H,$E:$E=F396))"),"#N/A")</f>
        <v>#N/A</v>
      </c>
    </row>
    <row r="397">
      <c r="A397" s="4"/>
      <c r="C397" s="4" t="s">
        <v>2938</v>
      </c>
      <c r="D397" s="4" t="str">
        <f t="shared" si="1"/>
        <v>{"valorA":"produto","valorB":28}</v>
      </c>
      <c r="E397" s="8" t="str">
        <f t="shared" si="2"/>
        <v>produto</v>
      </c>
      <c r="F397" s="8"/>
      <c r="G397" s="8" t="str">
        <f t="shared" si="3"/>
        <v>28</v>
      </c>
      <c r="H397" s="9">
        <f t="shared" si="4"/>
        <v>28</v>
      </c>
      <c r="I397" s="6" t="str">
        <f>IFERROR(__xludf.DUMMYFUNCTION("MAX(FILTER($H:$H,$E:$E=F397))"),"#N/A")</f>
        <v>#N/A</v>
      </c>
    </row>
    <row r="398">
      <c r="A398" s="4"/>
      <c r="C398" s="4" t="s">
        <v>2929</v>
      </c>
      <c r="D398" s="4" t="str">
        <f t="shared" si="1"/>
        <v>{"valorA":"ótimo","valorB":42}</v>
      </c>
      <c r="E398" s="8" t="str">
        <f t="shared" si="2"/>
        <v>ótimo</v>
      </c>
      <c r="F398" s="8"/>
      <c r="G398" s="8" t="str">
        <f t="shared" si="3"/>
        <v>42</v>
      </c>
      <c r="H398" s="9">
        <f t="shared" si="4"/>
        <v>42</v>
      </c>
      <c r="I398" s="6" t="str">
        <f>IFERROR(__xludf.DUMMYFUNCTION("MAX(FILTER($H:$H,$E:$E=F398))"),"#N/A")</f>
        <v>#N/A</v>
      </c>
    </row>
    <row r="399">
      <c r="A399" s="4"/>
      <c r="C399" s="4" t="s">
        <v>12012</v>
      </c>
      <c r="D399" s="4" t="str">
        <f t="shared" si="1"/>
        <v>{"valorA":"para","valorB":20}</v>
      </c>
      <c r="E399" s="8" t="str">
        <f t="shared" si="2"/>
        <v>para</v>
      </c>
      <c r="F399" s="8"/>
      <c r="G399" s="8" t="str">
        <f t="shared" si="3"/>
        <v>20</v>
      </c>
      <c r="H399" s="9">
        <f t="shared" si="4"/>
        <v>20</v>
      </c>
      <c r="I399" s="6" t="str">
        <f>IFERROR(__xludf.DUMMYFUNCTION("MAX(FILTER($H:$H,$E:$E=F399))"),"#N/A")</f>
        <v>#N/A</v>
      </c>
    </row>
    <row r="400">
      <c r="A400" s="4"/>
      <c r="C400" s="4" t="s">
        <v>3110</v>
      </c>
      <c r="D400" s="4" t="str">
        <f t="shared" si="1"/>
        <v>{"valorA":"de","valorB":12}</v>
      </c>
      <c r="E400" s="8" t="str">
        <f t="shared" si="2"/>
        <v>de</v>
      </c>
      <c r="F400" s="8"/>
      <c r="G400" s="8" t="str">
        <f t="shared" si="3"/>
        <v>12</v>
      </c>
      <c r="H400" s="9">
        <f t="shared" si="4"/>
        <v>12</v>
      </c>
      <c r="I400" s="6" t="str">
        <f>IFERROR(__xludf.DUMMYFUNCTION("MAX(FILTER($H:$H,$E:$E=F400))"),"#N/A")</f>
        <v>#N/A</v>
      </c>
    </row>
    <row r="401">
      <c r="A401" s="4"/>
      <c r="C401" s="4" t="s">
        <v>12013</v>
      </c>
      <c r="D401" s="4" t="str">
        <f t="shared" si="1"/>
        <v>{"valorA":"problemas","valorB":2}</v>
      </c>
      <c r="E401" s="8" t="str">
        <f t="shared" si="2"/>
        <v>problemas</v>
      </c>
      <c r="F401" s="8"/>
      <c r="G401" s="8" t="str">
        <f t="shared" si="3"/>
        <v>2</v>
      </c>
      <c r="H401" s="9">
        <f t="shared" si="4"/>
        <v>2</v>
      </c>
      <c r="I401" s="6" t="str">
        <f>IFERROR(__xludf.DUMMYFUNCTION("MAX(FILTER($H:$H,$E:$E=F401))"),"#N/A")</f>
        <v>#N/A</v>
      </c>
    </row>
    <row r="402">
      <c r="A402" s="4"/>
      <c r="C402" s="4" t="s">
        <v>12014</v>
      </c>
      <c r="D402" s="4" t="str">
        <f t="shared" si="1"/>
        <v>{"valorA":"quem","valorB":10}</v>
      </c>
      <c r="E402" s="8" t="str">
        <f t="shared" si="2"/>
        <v>quem</v>
      </c>
      <c r="F402" s="8"/>
      <c r="G402" s="8" t="str">
        <f t="shared" si="3"/>
        <v>10</v>
      </c>
      <c r="H402" s="9">
        <f t="shared" si="4"/>
        <v>10</v>
      </c>
      <c r="I402" s="6" t="str">
        <f>IFERROR(__xludf.DUMMYFUNCTION("MAX(FILTER($H:$H,$E:$E=F402))"),"#N/A")</f>
        <v>#N/A</v>
      </c>
    </row>
    <row r="403">
      <c r="A403" s="4"/>
      <c r="C403" s="4" t="s">
        <v>8103</v>
      </c>
      <c r="D403" s="4" t="str">
        <f t="shared" si="1"/>
        <v>{"valorA":"tem","valorB":2}</v>
      </c>
      <c r="E403" s="8" t="str">
        <f t="shared" si="2"/>
        <v>tem</v>
      </c>
      <c r="F403" s="8"/>
      <c r="G403" s="8" t="str">
        <f t="shared" si="3"/>
        <v>2</v>
      </c>
      <c r="H403" s="9">
        <f t="shared" si="4"/>
        <v>2</v>
      </c>
      <c r="I403" s="6" t="str">
        <f>IFERROR(__xludf.DUMMYFUNCTION("MAX(FILTER($H:$H,$E:$E=F403))"),"#N/A")</f>
        <v>#N/A</v>
      </c>
    </row>
    <row r="404">
      <c r="A404" s="4"/>
      <c r="C404" s="4" t="s">
        <v>3763</v>
      </c>
      <c r="D404" s="4" t="str">
        <f t="shared" si="1"/>
        <v>{"valorA":"do","valorB":8}</v>
      </c>
      <c r="E404" s="8" t="str">
        <f t="shared" si="2"/>
        <v>do</v>
      </c>
      <c r="F404" s="8"/>
      <c r="G404" s="8" t="str">
        <f t="shared" si="3"/>
        <v>8</v>
      </c>
      <c r="H404" s="9">
        <f t="shared" si="4"/>
        <v>8</v>
      </c>
      <c r="I404" s="6" t="str">
        <f>IFERROR(__xludf.DUMMYFUNCTION("MAX(FILTER($H:$H,$E:$E=F404))"),"#N/A")</f>
        <v>#N/A</v>
      </c>
    </row>
    <row r="405">
      <c r="A405" s="4"/>
      <c r="C405" s="4" t="s">
        <v>3906</v>
      </c>
      <c r="D405" s="4" t="str">
        <f t="shared" si="1"/>
        <v>{"valorA":"dormir","valorB":1}</v>
      </c>
      <c r="E405" s="8" t="str">
        <f t="shared" si="2"/>
        <v>dormir</v>
      </c>
      <c r="F405" s="8"/>
      <c r="G405" s="8" t="str">
        <f t="shared" si="3"/>
        <v>1</v>
      </c>
      <c r="H405" s="9">
        <f t="shared" si="4"/>
        <v>1</v>
      </c>
      <c r="I405" s="6" t="str">
        <f>IFERROR(__xludf.DUMMYFUNCTION("MAX(FILTER($H:$H,$E:$E=F405))"),"#N/A")</f>
        <v>#N/A</v>
      </c>
    </row>
    <row r="406">
      <c r="A406" s="4"/>
      <c r="C406" s="4" t="s">
        <v>3224</v>
      </c>
      <c r="D406" s="4" t="str">
        <f t="shared" si="1"/>
        <v>{"valorA":"muito","valorB":17}</v>
      </c>
      <c r="E406" s="8" t="str">
        <f t="shared" si="2"/>
        <v>muito</v>
      </c>
      <c r="F406" s="8"/>
      <c r="G406" s="8" t="str">
        <f t="shared" si="3"/>
        <v>17</v>
      </c>
      <c r="H406" s="9">
        <f t="shared" si="4"/>
        <v>17</v>
      </c>
      <c r="I406" s="6" t="str">
        <f>IFERROR(__xludf.DUMMYFUNCTION("MAX(FILTER($H:$H,$E:$E=F406))"),"#N/A")</f>
        <v>#N/A</v>
      </c>
    </row>
    <row r="407">
      <c r="A407" s="4"/>
      <c r="C407" s="4" t="s">
        <v>12015</v>
      </c>
      <c r="D407" s="4" t="str">
        <f t="shared" si="1"/>
        <v>{"valorA":"qualidade","valorB":9}</v>
      </c>
      <c r="E407" s="8" t="str">
        <f t="shared" si="2"/>
        <v>qualidade</v>
      </c>
      <c r="F407" s="8"/>
      <c r="G407" s="8" t="str">
        <f t="shared" si="3"/>
        <v>9</v>
      </c>
      <c r="H407" s="9">
        <f t="shared" si="4"/>
        <v>9</v>
      </c>
      <c r="I407" s="6" t="str">
        <f>IFERROR(__xludf.DUMMYFUNCTION("MAX(FILTER($H:$H,$E:$E=F407))"),"#N/A")</f>
        <v>#N/A</v>
      </c>
    </row>
    <row r="408">
      <c r="A408" s="4"/>
      <c r="C408" s="4" t="s">
        <v>12016</v>
      </c>
      <c r="D408" s="4" t="str">
        <f t="shared" si="1"/>
        <v>{"valorA":"melhorou","valorB":1}</v>
      </c>
      <c r="E408" s="8" t="str">
        <f t="shared" si="2"/>
        <v>melhorou</v>
      </c>
      <c r="F408" s="8"/>
      <c r="G408" s="8" t="str">
        <f t="shared" si="3"/>
        <v>1</v>
      </c>
      <c r="H408" s="9">
        <f t="shared" si="4"/>
        <v>1</v>
      </c>
      <c r="I408" s="6" t="str">
        <f>IFERROR(__xludf.DUMMYFUNCTION("MAX(FILTER($H:$H,$E:$E=F408))"),"#N/A")</f>
        <v>#N/A</v>
      </c>
    </row>
    <row r="409">
      <c r="A409" s="4"/>
      <c r="C409" s="4" t="s">
        <v>2911</v>
      </c>
      <c r="D409" s="4" t="str">
        <f t="shared" si="1"/>
        <v>{"valorA":"a","valorB":6}</v>
      </c>
      <c r="E409" s="8" t="str">
        <f t="shared" si="2"/>
        <v>a</v>
      </c>
      <c r="F409" s="8"/>
      <c r="G409" s="8" t="str">
        <f t="shared" si="3"/>
        <v>6</v>
      </c>
      <c r="H409" s="9">
        <f t="shared" si="4"/>
        <v>6</v>
      </c>
      <c r="I409" s="6" t="str">
        <f>IFERROR(__xludf.DUMMYFUNCTION("MAX(FILTER($H:$H,$E:$E=F409))"),"#N/A")</f>
        <v>#N/A</v>
      </c>
    </row>
    <row r="410">
      <c r="A410" s="4"/>
      <c r="C410" s="4" t="s">
        <v>12017</v>
      </c>
      <c r="D410" s="4" t="str">
        <f t="shared" si="1"/>
        <v>{"valorA":"sono","valorB":1}</v>
      </c>
      <c r="E410" s="8" t="str">
        <f t="shared" si="2"/>
        <v>sono</v>
      </c>
      <c r="F410" s="8"/>
      <c r="G410" s="8" t="str">
        <f t="shared" si="3"/>
        <v>1</v>
      </c>
      <c r="H410" s="9">
        <f t="shared" si="4"/>
        <v>1</v>
      </c>
      <c r="I410" s="6" t="str">
        <f>IFERROR(__xludf.DUMMYFUNCTION("MAX(FILTER($H:$H,$E:$E=F410))"),"#N/A")</f>
        <v>#N/A</v>
      </c>
    </row>
    <row r="411">
      <c r="A411" s="4"/>
      <c r="C411" s="4" t="s">
        <v>3416</v>
      </c>
      <c r="D411" s="4" t="str">
        <f t="shared" si="1"/>
        <v>{"valorA":"comentário","valorB":1}</v>
      </c>
      <c r="E411" s="8" t="str">
        <f t="shared" si="2"/>
        <v>comentário</v>
      </c>
      <c r="F411" s="8"/>
      <c r="G411" s="8" t="str">
        <f t="shared" si="3"/>
        <v>1</v>
      </c>
      <c r="H411" s="9">
        <f t="shared" si="4"/>
        <v>1</v>
      </c>
      <c r="I411" s="6" t="str">
        <f>IFERROR(__xludf.DUMMYFUNCTION("MAX(FILTER($H:$H,$E:$E=F411))"),"#N/A")</f>
        <v>#N/A</v>
      </c>
    </row>
    <row r="412">
      <c r="A412" s="4"/>
      <c r="C412" s="4" t="s">
        <v>12018</v>
      </c>
      <c r="D412" s="4" t="str">
        <f t="shared" si="1"/>
        <v>{"valorA":"brilho","valorB":3}</v>
      </c>
      <c r="E412" s="8" t="str">
        <f t="shared" si="2"/>
        <v>brilho</v>
      </c>
      <c r="F412" s="8"/>
      <c r="G412" s="8" t="str">
        <f t="shared" si="3"/>
        <v>3</v>
      </c>
      <c r="H412" s="9">
        <f t="shared" si="4"/>
        <v>3</v>
      </c>
      <c r="I412" s="6" t="str">
        <f>IFERROR(__xludf.DUMMYFUNCTION("MAX(FILTER($H:$H,$E:$E=F412))"),"#N/A")</f>
        <v>#N/A</v>
      </c>
    </row>
    <row r="413">
      <c r="A413" s="4"/>
      <c r="C413" s="4" t="s">
        <v>2935</v>
      </c>
      <c r="D413" s="4" t="str">
        <f t="shared" si="1"/>
        <v>{"valorA":"ótimo","valorB":43}</v>
      </c>
      <c r="E413" s="8" t="str">
        <f t="shared" si="2"/>
        <v>ótimo</v>
      </c>
      <c r="F413" s="8"/>
      <c r="G413" s="8" t="str">
        <f t="shared" si="3"/>
        <v>43</v>
      </c>
      <c r="H413" s="9">
        <f t="shared" si="4"/>
        <v>43</v>
      </c>
      <c r="I413" s="6" t="str">
        <f>IFERROR(__xludf.DUMMYFUNCTION("MAX(FILTER($H:$H,$E:$E=F413))"),"#N/A")</f>
        <v>#N/A</v>
      </c>
    </row>
    <row r="414">
      <c r="A414" s="4"/>
      <c r="C414" s="4" t="s">
        <v>7059</v>
      </c>
      <c r="D414" s="4" t="str">
        <f t="shared" si="1"/>
        <v>{"valorA":"desse","valorB":3}</v>
      </c>
      <c r="E414" s="8" t="str">
        <f t="shared" si="2"/>
        <v>desse</v>
      </c>
      <c r="F414" s="8"/>
      <c r="G414" s="8" t="str">
        <f t="shared" si="3"/>
        <v>3</v>
      </c>
      <c r="H414" s="9">
        <f t="shared" si="4"/>
        <v>3</v>
      </c>
      <c r="I414" s="6" t="str">
        <f>IFERROR(__xludf.DUMMYFUNCTION("MAX(FILTER($H:$H,$E:$E=F414))"),"#N/A")</f>
        <v>#N/A</v>
      </c>
    </row>
    <row r="415">
      <c r="A415" s="4"/>
      <c r="C415" s="4" t="s">
        <v>12019</v>
      </c>
      <c r="D415" s="4" t="str">
        <f t="shared" si="1"/>
        <v>{"valorA":"durou","valorB":1}</v>
      </c>
      <c r="E415" s="8" t="str">
        <f t="shared" si="2"/>
        <v>durou</v>
      </c>
      <c r="F415" s="8"/>
      <c r="G415" s="8" t="str">
        <f t="shared" si="3"/>
        <v>1</v>
      </c>
      <c r="H415" s="9">
        <f t="shared" si="4"/>
        <v>1</v>
      </c>
      <c r="I415" s="6" t="str">
        <f>IFERROR(__xludf.DUMMYFUNCTION("MAX(FILTER($H:$H,$E:$E=F415))"),"#N/A")</f>
        <v>#N/A</v>
      </c>
    </row>
    <row r="416">
      <c r="A416" s="4"/>
      <c r="C416" s="4" t="s">
        <v>12020</v>
      </c>
      <c r="D416" s="4" t="str">
        <f t="shared" si="1"/>
        <v>{"valorA":"tetoled","valorB":1}</v>
      </c>
      <c r="E416" s="8" t="str">
        <f t="shared" si="2"/>
        <v>tetoled</v>
      </c>
      <c r="F416" s="8"/>
      <c r="G416" s="8" t="str">
        <f t="shared" si="3"/>
        <v>1</v>
      </c>
      <c r="H416" s="9">
        <f t="shared" si="4"/>
        <v>1</v>
      </c>
      <c r="I416" s="6" t="str">
        <f>IFERROR(__xludf.DUMMYFUNCTION("MAX(FILTER($H:$H,$E:$E=F416))"),"#N/A")</f>
        <v>#N/A</v>
      </c>
    </row>
    <row r="417">
      <c r="A417" s="4"/>
      <c r="C417" s="4" t="s">
        <v>12021</v>
      </c>
      <c r="D417" s="4" t="str">
        <f t="shared" si="1"/>
        <v>{"valorA":"tempo","valorB":1}</v>
      </c>
      <c r="E417" s="8" t="str">
        <f t="shared" si="2"/>
        <v>tempo</v>
      </c>
      <c r="F417" s="8"/>
      <c r="G417" s="8" t="str">
        <f t="shared" si="3"/>
        <v>1</v>
      </c>
      <c r="H417" s="9">
        <f t="shared" si="4"/>
        <v>1</v>
      </c>
      <c r="I417" s="6" t="str">
        <f>IFERROR(__xludf.DUMMYFUNCTION("MAX(FILTER($H:$H,$E:$E=F417))"),"#N/A")</f>
        <v>#N/A</v>
      </c>
    </row>
    <row r="418">
      <c r="A418" s="4"/>
      <c r="C418" s="4" t="s">
        <v>12022</v>
      </c>
      <c r="D418" s="4" t="str">
        <f t="shared" si="1"/>
        <v>{"valorA":"não","valorB":8}</v>
      </c>
      <c r="E418" s="8" t="str">
        <f t="shared" si="2"/>
        <v>não</v>
      </c>
      <c r="F418" s="8"/>
      <c r="G418" s="8" t="str">
        <f t="shared" si="3"/>
        <v>8</v>
      </c>
      <c r="H418" s="9">
        <f t="shared" si="4"/>
        <v>8</v>
      </c>
      <c r="I418" s="6" t="str">
        <f>IFERROR(__xludf.DUMMYFUNCTION("MAX(FILTER($H:$H,$E:$E=F418))"),"#N/A")</f>
        <v>#N/A</v>
      </c>
    </row>
    <row r="419">
      <c r="A419" s="4"/>
      <c r="C419" s="4" t="s">
        <v>12023</v>
      </c>
      <c r="D419" s="4" t="str">
        <f t="shared" si="1"/>
        <v>{"valorA":"mas","valorB":7}</v>
      </c>
      <c r="E419" s="8" t="str">
        <f t="shared" si="2"/>
        <v>mas</v>
      </c>
      <c r="F419" s="8"/>
      <c r="G419" s="8" t="str">
        <f t="shared" si="3"/>
        <v>7</v>
      </c>
      <c r="H419" s="9">
        <f t="shared" si="4"/>
        <v>7</v>
      </c>
      <c r="I419" s="6" t="str">
        <f>IFERROR(__xludf.DUMMYFUNCTION("MAX(FILTER($H:$H,$E:$E=F419))"),"#N/A")</f>
        <v>#N/A</v>
      </c>
    </row>
    <row r="420">
      <c r="A420" s="4"/>
      <c r="C420" s="4" t="s">
        <v>3243</v>
      </c>
      <c r="D420" s="4" t="str">
        <f t="shared" si="1"/>
        <v>{"valorA":"muito","valorB":18}</v>
      </c>
      <c r="E420" s="8" t="str">
        <f t="shared" si="2"/>
        <v>muito</v>
      </c>
      <c r="F420" s="8"/>
      <c r="G420" s="8" t="str">
        <f t="shared" si="3"/>
        <v>18</v>
      </c>
      <c r="H420" s="9">
        <f t="shared" si="4"/>
        <v>18</v>
      </c>
      <c r="I420" s="6" t="str">
        <f>IFERROR(__xludf.DUMMYFUNCTION("MAX(FILTER($H:$H,$E:$E=F420))"),"#N/A")</f>
        <v>#N/A</v>
      </c>
    </row>
    <row r="421">
      <c r="A421" s="4"/>
      <c r="C421" s="4" t="s">
        <v>2944</v>
      </c>
      <c r="D421" s="4" t="str">
        <f t="shared" si="1"/>
        <v>{"valorA":"produto","valorB":29}</v>
      </c>
      <c r="E421" s="8" t="str">
        <f t="shared" si="2"/>
        <v>produto</v>
      </c>
      <c r="F421" s="8"/>
      <c r="G421" s="8" t="str">
        <f t="shared" si="3"/>
        <v>29</v>
      </c>
      <c r="H421" s="9">
        <f t="shared" si="4"/>
        <v>29</v>
      </c>
      <c r="I421" s="6" t="str">
        <f>IFERROR(__xludf.DUMMYFUNCTION("MAX(FILTER($H:$H,$E:$E=F421))"),"#N/A")</f>
        <v>#N/A</v>
      </c>
    </row>
    <row r="422">
      <c r="A422" s="4"/>
      <c r="C422" s="4" t="s">
        <v>12024</v>
      </c>
      <c r="D422" s="4" t="str">
        <f t="shared" si="1"/>
        <v>{"valorA":"busca","valorB":8}</v>
      </c>
      <c r="E422" s="8" t="str">
        <f t="shared" si="2"/>
        <v>busca</v>
      </c>
      <c r="F422" s="8"/>
      <c r="G422" s="8" t="str">
        <f t="shared" si="3"/>
        <v>8</v>
      </c>
      <c r="H422" s="9">
        <f t="shared" si="4"/>
        <v>8</v>
      </c>
      <c r="I422" s="6" t="str">
        <f>IFERROR(__xludf.DUMMYFUNCTION("MAX(FILTER($H:$H,$E:$E=F422))"),"#N/A")</f>
        <v>#N/A</v>
      </c>
    </row>
    <row r="423">
      <c r="A423" s="4"/>
      <c r="C423" s="4" t="s">
        <v>12025</v>
      </c>
      <c r="D423" s="4" t="str">
        <f t="shared" si="1"/>
        <v>{"valorA":"quem","valorB":11}</v>
      </c>
      <c r="E423" s="8" t="str">
        <f t="shared" si="2"/>
        <v>quem</v>
      </c>
      <c r="F423" s="8"/>
      <c r="G423" s="8" t="str">
        <f t="shared" si="3"/>
        <v>11</v>
      </c>
      <c r="H423" s="9">
        <f t="shared" si="4"/>
        <v>11</v>
      </c>
      <c r="I423" s="6" t="str">
        <f>IFERROR(__xludf.DUMMYFUNCTION("MAX(FILTER($H:$H,$E:$E=F423))"),"#N/A")</f>
        <v>#N/A</v>
      </c>
    </row>
    <row r="424">
      <c r="A424" s="4"/>
      <c r="C424" s="4" t="s">
        <v>3196</v>
      </c>
      <c r="D424" s="4" t="str">
        <f t="shared" si="1"/>
        <v>{"valorA":"um","valorB":6}</v>
      </c>
      <c r="E424" s="8" t="str">
        <f t="shared" si="2"/>
        <v>um</v>
      </c>
      <c r="F424" s="8"/>
      <c r="G424" s="8" t="str">
        <f t="shared" si="3"/>
        <v>6</v>
      </c>
      <c r="H424" s="9">
        <f t="shared" si="4"/>
        <v>6</v>
      </c>
      <c r="I424" s="6" t="str">
        <f>IFERROR(__xludf.DUMMYFUNCTION("MAX(FILTER($H:$H,$E:$E=F424))"),"#N/A")</f>
        <v>#N/A</v>
      </c>
    </row>
    <row r="425">
      <c r="A425" s="4"/>
      <c r="C425" s="4" t="s">
        <v>2945</v>
      </c>
      <c r="D425" s="4" t="str">
        <f t="shared" si="1"/>
        <v>{"valorA":"ótimo","valorB":44}</v>
      </c>
      <c r="E425" s="8" t="str">
        <f t="shared" si="2"/>
        <v>ótimo</v>
      </c>
      <c r="F425" s="8"/>
      <c r="G425" s="8" t="str">
        <f t="shared" si="3"/>
        <v>44</v>
      </c>
      <c r="H425" s="9">
        <f t="shared" si="4"/>
        <v>44</v>
      </c>
      <c r="I425" s="6" t="str">
        <f>IFERROR(__xludf.DUMMYFUNCTION("MAX(FILTER($H:$H,$E:$E=F425))"),"#N/A")</f>
        <v>#N/A</v>
      </c>
    </row>
    <row r="426">
      <c r="A426" s="4"/>
      <c r="C426" s="4" t="s">
        <v>12026</v>
      </c>
      <c r="D426" s="4" t="str">
        <f t="shared" si="1"/>
        <v>{"valorA":"para","valorB":21}</v>
      </c>
      <c r="E426" s="8" t="str">
        <f t="shared" si="2"/>
        <v>para</v>
      </c>
      <c r="F426" s="8"/>
      <c r="G426" s="8" t="str">
        <f t="shared" si="3"/>
        <v>21</v>
      </c>
      <c r="H426" s="9">
        <f t="shared" si="4"/>
        <v>21</v>
      </c>
      <c r="I426" s="6" t="str">
        <f>IFERROR(__xludf.DUMMYFUNCTION("MAX(FILTER($H:$H,$E:$E=F426))"),"#N/A")</f>
        <v>#N/A</v>
      </c>
    </row>
    <row r="427">
      <c r="A427" s="4"/>
      <c r="C427" s="4" t="s">
        <v>2180</v>
      </c>
      <c r="D427" s="4" t="str">
        <f t="shared" si="1"/>
        <v>{"valorA":"computador","valorB":1}</v>
      </c>
      <c r="E427" s="8" t="str">
        <f t="shared" si="2"/>
        <v>computador</v>
      </c>
      <c r="F427" s="8"/>
      <c r="G427" s="8" t="str">
        <f t="shared" si="3"/>
        <v>1</v>
      </c>
      <c r="H427" s="9">
        <f t="shared" si="4"/>
        <v>1</v>
      </c>
      <c r="I427" s="6" t="str">
        <f>IFERROR(__xludf.DUMMYFUNCTION("MAX(FILTER($H:$H,$E:$E=F427))"),"#N/A")</f>
        <v>#N/A</v>
      </c>
    </row>
    <row r="428">
      <c r="A428" s="4"/>
      <c r="C428" s="4" t="s">
        <v>12027</v>
      </c>
      <c r="D428" s="4" t="str">
        <f t="shared" si="1"/>
        <v>{"valorA":"custobenefício","valorB":1}</v>
      </c>
      <c r="E428" s="8" t="str">
        <f t="shared" si="2"/>
        <v>custobenefício</v>
      </c>
      <c r="F428" s="8"/>
      <c r="G428" s="8" t="str">
        <f t="shared" si="3"/>
        <v>1</v>
      </c>
      <c r="H428" s="9">
        <f t="shared" si="4"/>
        <v>1</v>
      </c>
      <c r="I428" s="6" t="str">
        <f>IFERROR(__xludf.DUMMYFUNCTION("MAX(FILTER($H:$H,$E:$E=F428))"),"#N/A")</f>
        <v>#N/A</v>
      </c>
    </row>
    <row r="429">
      <c r="A429" s="4"/>
      <c r="C429" s="4" t="s">
        <v>12028</v>
      </c>
      <c r="D429" s="4" t="str">
        <f t="shared" si="1"/>
        <v>{"valorA":"excelente","valorB":3}</v>
      </c>
      <c r="E429" s="8" t="str">
        <f t="shared" si="2"/>
        <v>excelente</v>
      </c>
      <c r="F429" s="8"/>
      <c r="G429" s="8" t="str">
        <f t="shared" si="3"/>
        <v>3</v>
      </c>
      <c r="H429" s="9">
        <f t="shared" si="4"/>
        <v>3</v>
      </c>
      <c r="I429" s="6" t="str">
        <f>IFERROR(__xludf.DUMMYFUNCTION("MAX(FILTER($H:$H,$E:$E=F429))"),"#N/A")</f>
        <v>#N/A</v>
      </c>
    </row>
    <row r="430">
      <c r="A430" s="4"/>
      <c r="C430" s="4" t="s">
        <v>3197</v>
      </c>
      <c r="D430" s="4" t="str">
        <f t="shared" si="1"/>
        <v>{"valorA":"portátil","valorB":1}</v>
      </c>
      <c r="E430" s="8" t="str">
        <f t="shared" si="2"/>
        <v>portátil</v>
      </c>
      <c r="F430" s="8"/>
      <c r="G430" s="8" t="str">
        <f t="shared" si="3"/>
        <v>1</v>
      </c>
      <c r="H430" s="9">
        <f t="shared" si="4"/>
        <v>1</v>
      </c>
      <c r="I430" s="6" t="str">
        <f>IFERROR(__xludf.DUMMYFUNCTION("MAX(FILTER($H:$H,$E:$E=F430))"),"#N/A")</f>
        <v>#N/A</v>
      </c>
    </row>
    <row r="431">
      <c r="A431" s="4"/>
      <c r="C431" s="4" t="s">
        <v>3341</v>
      </c>
      <c r="D431" s="4" t="str">
        <f t="shared" si="1"/>
        <v>{"valorA":"coment","valorB":1}</v>
      </c>
      <c r="E431" s="8" t="str">
        <f t="shared" si="2"/>
        <v>coment</v>
      </c>
      <c r="F431" s="8"/>
      <c r="G431" s="8" t="str">
        <f t="shared" si="3"/>
        <v>1</v>
      </c>
      <c r="H431" s="9">
        <f t="shared" si="4"/>
        <v>1</v>
      </c>
      <c r="I431" s="6" t="str">
        <f>IFERROR(__xludf.DUMMYFUNCTION("MAX(FILTER($H:$H,$E:$E=F431))"),"#N/A")</f>
        <v>#N/A</v>
      </c>
    </row>
    <row r="432">
      <c r="A432" s="4"/>
      <c r="C432" s="4" t="s">
        <v>2961</v>
      </c>
      <c r="D432" s="4" t="str">
        <f t="shared" si="1"/>
        <v>{"valorA":"ótimo","valorB":45}</v>
      </c>
      <c r="E432" s="8" t="str">
        <f t="shared" si="2"/>
        <v>ótimo</v>
      </c>
      <c r="F432" s="8"/>
      <c r="G432" s="8" t="str">
        <f t="shared" si="3"/>
        <v>45</v>
      </c>
      <c r="H432" s="9">
        <f t="shared" si="4"/>
        <v>45</v>
      </c>
      <c r="I432" s="6" t="str">
        <f>IFERROR(__xludf.DUMMYFUNCTION("MAX(FILTER($H:$H,$E:$E=F432))"),"#N/A")</f>
        <v>#N/A</v>
      </c>
    </row>
    <row r="433">
      <c r="A433" s="4"/>
      <c r="C433" s="4" t="s">
        <v>3704</v>
      </c>
      <c r="D433" s="4" t="str">
        <f t="shared" si="1"/>
        <v>{"valorA":"monitor","valorB":1}</v>
      </c>
      <c r="E433" s="8" t="str">
        <f t="shared" si="2"/>
        <v>monitor</v>
      </c>
      <c r="F433" s="8"/>
      <c r="G433" s="8" t="str">
        <f t="shared" si="3"/>
        <v>1</v>
      </c>
      <c r="H433" s="9">
        <f t="shared" si="4"/>
        <v>1</v>
      </c>
      <c r="I433" s="6" t="str">
        <f>IFERROR(__xludf.DUMMYFUNCTION("MAX(FILTER($H:$H,$E:$E=F433))"),"#N/A")</f>
        <v>#N/A</v>
      </c>
    </row>
    <row r="434">
      <c r="A434" s="4"/>
      <c r="C434" s="4" t="s">
        <v>2714</v>
      </c>
      <c r="D434" s="4" t="str">
        <f t="shared" si="1"/>
        <v>{"valorA":"perfeitamente","valorB":2}</v>
      </c>
      <c r="E434" s="8" t="str">
        <f t="shared" si="2"/>
        <v>perfeitamente</v>
      </c>
      <c r="F434" s="8"/>
      <c r="G434" s="8" t="str">
        <f t="shared" si="3"/>
        <v>2</v>
      </c>
      <c r="H434" s="9">
        <f t="shared" si="4"/>
        <v>2</v>
      </c>
      <c r="I434" s="6" t="str">
        <f>IFERROR(__xludf.DUMMYFUNCTION("MAX(FILTER($H:$H,$E:$E=F434))"),"#N/A")</f>
        <v>#N/A</v>
      </c>
    </row>
    <row r="435">
      <c r="A435" s="4"/>
      <c r="C435" s="4" t="s">
        <v>2198</v>
      </c>
      <c r="D435" s="4" t="str">
        <f t="shared" si="1"/>
        <v>{"valorA":"computador","valorB":2}</v>
      </c>
      <c r="E435" s="8" t="str">
        <f t="shared" si="2"/>
        <v>computador</v>
      </c>
      <c r="F435" s="8"/>
      <c r="G435" s="8" t="str">
        <f t="shared" si="3"/>
        <v>2</v>
      </c>
      <c r="H435" s="9">
        <f t="shared" si="4"/>
        <v>2</v>
      </c>
      <c r="I435" s="6" t="str">
        <f>IFERROR(__xludf.DUMMYFUNCTION("MAX(FILTER($H:$H,$E:$E=F435))"),"#N/A")</f>
        <v>#N/A</v>
      </c>
    </row>
    <row r="436">
      <c r="A436" s="4"/>
      <c r="C436" s="4" t="s">
        <v>3128</v>
      </c>
      <c r="D436" s="4" t="str">
        <f t="shared" si="1"/>
        <v>{"valorA":"de","valorB":13}</v>
      </c>
      <c r="E436" s="8" t="str">
        <f t="shared" si="2"/>
        <v>de</v>
      </c>
      <c r="F436" s="8"/>
      <c r="G436" s="8" t="str">
        <f t="shared" si="3"/>
        <v>13</v>
      </c>
      <c r="H436" s="9">
        <f t="shared" si="4"/>
        <v>13</v>
      </c>
      <c r="I436" s="6" t="str">
        <f>IFERROR(__xludf.DUMMYFUNCTION("MAX(FILTER($H:$H,$E:$E=F436))"),"#N/A")</f>
        <v>#N/A</v>
      </c>
    </row>
    <row r="437">
      <c r="A437" s="4"/>
      <c r="C437" s="4" t="s">
        <v>2816</v>
      </c>
      <c r="D437" s="4" t="str">
        <f t="shared" si="1"/>
        <v>{"valorA":"funciona","valorB":8}</v>
      </c>
      <c r="E437" s="8" t="str">
        <f t="shared" si="2"/>
        <v>funciona</v>
      </c>
      <c r="F437" s="8"/>
      <c r="G437" s="8" t="str">
        <f t="shared" si="3"/>
        <v>8</v>
      </c>
      <c r="H437" s="9">
        <f t="shared" si="4"/>
        <v>8</v>
      </c>
      <c r="I437" s="6" t="str">
        <f>IFERROR(__xludf.DUMMYFUNCTION("MAX(FILTER($H:$H,$E:$E=F437))"),"#N/A")</f>
        <v>#N/A</v>
      </c>
    </row>
    <row r="438">
      <c r="A438" s="4"/>
      <c r="C438" s="4" t="s">
        <v>2971</v>
      </c>
      <c r="D438" s="4" t="str">
        <f t="shared" si="1"/>
        <v>{"valorA":"ótimo","valorB":46}</v>
      </c>
      <c r="E438" s="8" t="str">
        <f t="shared" si="2"/>
        <v>ótimo</v>
      </c>
      <c r="F438" s="8"/>
      <c r="G438" s="8" t="str">
        <f t="shared" si="3"/>
        <v>46</v>
      </c>
      <c r="H438" s="9">
        <f t="shared" si="4"/>
        <v>46</v>
      </c>
      <c r="I438" s="6" t="str">
        <f>IFERROR(__xludf.DUMMYFUNCTION("MAX(FILTER($H:$H,$E:$E=F438))"),"#N/A")</f>
        <v>#N/A</v>
      </c>
    </row>
    <row r="439">
      <c r="A439" s="4"/>
      <c r="C439" s="4" t="s">
        <v>3217</v>
      </c>
      <c r="D439" s="4" t="str">
        <f t="shared" si="1"/>
        <v>{"valorA":"preço","valorB":14}</v>
      </c>
      <c r="E439" s="8" t="str">
        <f t="shared" si="2"/>
        <v>preço</v>
      </c>
      <c r="F439" s="8"/>
      <c r="G439" s="8" t="str">
        <f t="shared" si="3"/>
        <v>14</v>
      </c>
      <c r="H439" s="9">
        <f t="shared" si="4"/>
        <v>14</v>
      </c>
      <c r="I439" s="6" t="str">
        <f>IFERROR(__xludf.DUMMYFUNCTION("MAX(FILTER($H:$H,$E:$E=F439))"),"#N/A")</f>
        <v>#N/A</v>
      </c>
    </row>
    <row r="440">
      <c r="A440" s="4"/>
      <c r="C440" s="4" t="s">
        <v>12029</v>
      </c>
      <c r="D440" s="4" t="str">
        <f t="shared" si="1"/>
        <v>{"valorA":"scanner","valorB":3}</v>
      </c>
      <c r="E440" s="8" t="str">
        <f t="shared" si="2"/>
        <v>scanner</v>
      </c>
      <c r="F440" s="8"/>
      <c r="G440" s="8" t="str">
        <f t="shared" si="3"/>
        <v>3</v>
      </c>
      <c r="H440" s="9">
        <f t="shared" si="4"/>
        <v>3</v>
      </c>
      <c r="I440" s="6" t="str">
        <f>IFERROR(__xludf.DUMMYFUNCTION("MAX(FILTER($H:$H,$E:$E=F440))"),"#N/A")</f>
        <v>#N/A</v>
      </c>
    </row>
    <row r="441">
      <c r="A441" s="4"/>
      <c r="C441" s="4" t="s">
        <v>12030</v>
      </c>
      <c r="D441" s="4" t="str">
        <f t="shared" si="1"/>
        <v>{"valorA":"qualidade","valorB":10}</v>
      </c>
      <c r="E441" s="8" t="str">
        <f t="shared" si="2"/>
        <v>qualidade</v>
      </c>
      <c r="F441" s="8"/>
      <c r="G441" s="8" t="str">
        <f t="shared" si="3"/>
        <v>10</v>
      </c>
      <c r="H441" s="9">
        <f t="shared" si="4"/>
        <v>10</v>
      </c>
      <c r="I441" s="6" t="str">
        <f>IFERROR(__xludf.DUMMYFUNCTION("MAX(FILTER($H:$H,$E:$E=F441))"),"#N/A")</f>
        <v>#N/A</v>
      </c>
    </row>
    <row r="442">
      <c r="A442" s="4"/>
      <c r="C442" s="4" t="s">
        <v>3177</v>
      </c>
      <c r="D442" s="4" t="str">
        <f t="shared" si="1"/>
        <v>{"valorA":"e","valorB":16}</v>
      </c>
      <c r="E442" s="8" t="str">
        <f t="shared" si="2"/>
        <v>e</v>
      </c>
      <c r="F442" s="8"/>
      <c r="G442" s="8" t="str">
        <f t="shared" si="3"/>
        <v>16</v>
      </c>
      <c r="H442" s="9">
        <f t="shared" si="4"/>
        <v>16</v>
      </c>
      <c r="I442" s="6" t="str">
        <f>IFERROR(__xludf.DUMMYFUNCTION("MAX(FILTER($H:$H,$E:$E=F442))"),"#N/A")</f>
        <v>#N/A</v>
      </c>
    </row>
    <row r="443">
      <c r="A443" s="4"/>
      <c r="C443" s="4" t="s">
        <v>3629</v>
      </c>
      <c r="D443" s="4" t="str">
        <f t="shared" si="1"/>
        <v>{"valorA":"meu","valorB":7}</v>
      </c>
      <c r="E443" s="8" t="str">
        <f t="shared" si="2"/>
        <v>meu</v>
      </c>
      <c r="F443" s="8"/>
      <c r="G443" s="8" t="str">
        <f t="shared" si="3"/>
        <v>7</v>
      </c>
      <c r="H443" s="9">
        <f t="shared" si="4"/>
        <v>7</v>
      </c>
      <c r="I443" s="6" t="str">
        <f>IFERROR(__xludf.DUMMYFUNCTION("MAX(FILTER($H:$H,$E:$E=F443))"),"#N/A")</f>
        <v>#N/A</v>
      </c>
    </row>
    <row r="444">
      <c r="A444" s="4"/>
      <c r="C444" s="4" t="s">
        <v>12031</v>
      </c>
      <c r="D444" s="4" t="str">
        <f t="shared" si="1"/>
        <v>{"valorA":"para","valorB":22}</v>
      </c>
      <c r="E444" s="8" t="str">
        <f t="shared" si="2"/>
        <v>para</v>
      </c>
      <c r="F444" s="8"/>
      <c r="G444" s="8" t="str">
        <f t="shared" si="3"/>
        <v>22</v>
      </c>
      <c r="H444" s="9">
        <f t="shared" si="4"/>
        <v>22</v>
      </c>
      <c r="I444" s="6" t="str">
        <f>IFERROR(__xludf.DUMMYFUNCTION("MAX(FILTER($H:$H,$E:$E=F444))"),"#N/A")</f>
        <v>#N/A</v>
      </c>
    </row>
    <row r="445">
      <c r="A445" s="4"/>
      <c r="C445" s="4" t="s">
        <v>2983</v>
      </c>
      <c r="D445" s="4" t="str">
        <f t="shared" si="1"/>
        <v>{"valorA":"o","valorB":8}</v>
      </c>
      <c r="E445" s="8" t="str">
        <f t="shared" si="2"/>
        <v>o</v>
      </c>
      <c r="F445" s="8"/>
      <c r="G445" s="8" t="str">
        <f t="shared" si="3"/>
        <v>8</v>
      </c>
      <c r="H445" s="9">
        <f t="shared" si="4"/>
        <v>8</v>
      </c>
      <c r="I445" s="6" t="str">
        <f>IFERROR(__xludf.DUMMYFUNCTION("MAX(FILTER($H:$H,$E:$E=F445))"),"#N/A")</f>
        <v>#N/A</v>
      </c>
    </row>
    <row r="446">
      <c r="A446" s="4"/>
      <c r="C446" s="4" t="s">
        <v>3058</v>
      </c>
      <c r="D446" s="4" t="str">
        <f t="shared" si="1"/>
        <v>{"valorA":"recomendo","valorB":3}</v>
      </c>
      <c r="E446" s="8" t="str">
        <f t="shared" si="2"/>
        <v>recomendo</v>
      </c>
      <c r="F446" s="8"/>
      <c r="G446" s="8" t="str">
        <f t="shared" si="3"/>
        <v>3</v>
      </c>
      <c r="H446" s="9">
        <f t="shared" si="4"/>
        <v>3</v>
      </c>
      <c r="I446" s="6" t="str">
        <f>IFERROR(__xludf.DUMMYFUNCTION("MAX(FILTER($H:$H,$E:$E=F446))"),"#N/A")</f>
        <v>#N/A</v>
      </c>
    </row>
    <row r="447">
      <c r="A447" s="4"/>
      <c r="C447" s="4" t="s">
        <v>2977</v>
      </c>
      <c r="D447" s="4" t="str">
        <f t="shared" si="1"/>
        <v>{"valorA":"ótimo","valorB":47}</v>
      </c>
      <c r="E447" s="8" t="str">
        <f t="shared" si="2"/>
        <v>ótimo</v>
      </c>
      <c r="F447" s="8"/>
      <c r="G447" s="8" t="str">
        <f t="shared" si="3"/>
        <v>47</v>
      </c>
      <c r="H447" s="9">
        <f t="shared" si="4"/>
        <v>47</v>
      </c>
      <c r="I447" s="6" t="str">
        <f>IFERROR(__xludf.DUMMYFUNCTION("MAX(FILTER($H:$H,$E:$E=F447))"),"#N/A")</f>
        <v>#N/A</v>
      </c>
    </row>
    <row r="448">
      <c r="A448" s="4"/>
      <c r="C448" s="4" t="s">
        <v>2877</v>
      </c>
      <c r="D448" s="4" t="str">
        <f t="shared" si="1"/>
        <v>{"valorA":"funciona","valorB":9}</v>
      </c>
      <c r="E448" s="8" t="str">
        <f t="shared" si="2"/>
        <v>funciona</v>
      </c>
      <c r="F448" s="8"/>
      <c r="G448" s="8" t="str">
        <f t="shared" si="3"/>
        <v>9</v>
      </c>
      <c r="H448" s="9">
        <f t="shared" si="4"/>
        <v>9</v>
      </c>
      <c r="I448" s="6" t="str">
        <f>IFERROR(__xludf.DUMMYFUNCTION("MAX(FILTER($H:$H,$E:$E=F448))"),"#N/A")</f>
        <v>#N/A</v>
      </c>
    </row>
    <row r="449">
      <c r="A449" s="4"/>
      <c r="C449" s="4" t="s">
        <v>2959</v>
      </c>
      <c r="D449" s="4" t="str">
        <f t="shared" si="1"/>
        <v>{"valorA":"produto","valorB":30}</v>
      </c>
      <c r="E449" s="8" t="str">
        <f t="shared" si="2"/>
        <v>produto</v>
      </c>
      <c r="F449" s="8"/>
      <c r="G449" s="8" t="str">
        <f t="shared" si="3"/>
        <v>30</v>
      </c>
      <c r="H449" s="9">
        <f t="shared" si="4"/>
        <v>30</v>
      </c>
      <c r="I449" s="6" t="str">
        <f>IFERROR(__xludf.DUMMYFUNCTION("MAX(FILTER($H:$H,$E:$E=F449))"),"#N/A")</f>
        <v>#N/A</v>
      </c>
    </row>
    <row r="450">
      <c r="A450" s="4"/>
      <c r="C450" s="4" t="s">
        <v>3116</v>
      </c>
      <c r="D450" s="4" t="str">
        <f t="shared" si="1"/>
        <v>{"valorA":"bem","valorB":7}</v>
      </c>
      <c r="E450" s="8" t="str">
        <f t="shared" si="2"/>
        <v>bem</v>
      </c>
      <c r="F450" s="8"/>
      <c r="G450" s="8" t="str">
        <f t="shared" si="3"/>
        <v>7</v>
      </c>
      <c r="H450" s="9">
        <f t="shared" si="4"/>
        <v>7</v>
      </c>
      <c r="I450" s="6" t="str">
        <f>IFERROR(__xludf.DUMMYFUNCTION("MAX(FILTER($H:$H,$E:$E=F450))"),"#N/A")</f>
        <v>#N/A</v>
      </c>
    </row>
    <row r="451">
      <c r="A451" s="4"/>
      <c r="C451" s="4" t="s">
        <v>3155</v>
      </c>
      <c r="D451" s="4" t="str">
        <f t="shared" si="1"/>
        <v>{"valorA":"me","valorB":2}</v>
      </c>
      <c r="E451" s="8" t="str">
        <f t="shared" si="2"/>
        <v>me</v>
      </c>
      <c r="F451" s="8"/>
      <c r="G451" s="8" t="str">
        <f t="shared" si="3"/>
        <v>2</v>
      </c>
      <c r="H451" s="9">
        <f t="shared" si="4"/>
        <v>2</v>
      </c>
      <c r="I451" s="6" t="str">
        <f>IFERROR(__xludf.DUMMYFUNCTION("MAX(FILTER($H:$H,$E:$E=F451))"),"#N/A")</f>
        <v>#N/A</v>
      </c>
    </row>
    <row r="452">
      <c r="A452" s="4"/>
      <c r="C452" s="4" t="s">
        <v>12032</v>
      </c>
      <c r="D452" s="4" t="str">
        <f t="shared" si="1"/>
        <v>{"valorA":"mucho","valorB":1}</v>
      </c>
      <c r="E452" s="8" t="str">
        <f t="shared" si="2"/>
        <v>mucho</v>
      </c>
      <c r="F452" s="8"/>
      <c r="G452" s="8" t="str">
        <f t="shared" si="3"/>
        <v>1</v>
      </c>
      <c r="H452" s="9">
        <f t="shared" si="4"/>
        <v>1</v>
      </c>
      <c r="I452" s="6" t="str">
        <f>IFERROR(__xludf.DUMMYFUNCTION("MAX(FILTER($H:$H,$E:$E=F452))"),"#N/A")</f>
        <v>#N/A</v>
      </c>
    </row>
    <row r="453">
      <c r="A453" s="4"/>
      <c r="C453" s="4" t="s">
        <v>7070</v>
      </c>
      <c r="D453" s="4" t="str">
        <f t="shared" si="1"/>
        <v>{"valorA":"ajuda","valorB":1}</v>
      </c>
      <c r="E453" s="8" t="str">
        <f t="shared" si="2"/>
        <v>ajuda</v>
      </c>
      <c r="F453" s="8"/>
      <c r="G453" s="8" t="str">
        <f t="shared" si="3"/>
        <v>1</v>
      </c>
      <c r="H453" s="9">
        <f t="shared" si="4"/>
        <v>1</v>
      </c>
      <c r="I453" s="6" t="str">
        <f>IFERROR(__xludf.DUMMYFUNCTION("MAX(FILTER($H:$H,$E:$E=F453))"),"#N/A")</f>
        <v>#N/A</v>
      </c>
    </row>
    <row r="454">
      <c r="A454" s="4"/>
      <c r="C454" s="4" t="s">
        <v>3439</v>
      </c>
      <c r="D454" s="4" t="str">
        <f t="shared" si="1"/>
        <v>{"valorA":"muito","valorB":19}</v>
      </c>
      <c r="E454" s="8" t="str">
        <f t="shared" si="2"/>
        <v>muito</v>
      </c>
      <c r="F454" s="8"/>
      <c r="G454" s="8" t="str">
        <f t="shared" si="3"/>
        <v>19</v>
      </c>
      <c r="H454" s="9">
        <f t="shared" si="4"/>
        <v>19</v>
      </c>
      <c r="I454" s="6" t="str">
        <f>IFERROR(__xludf.DUMMYFUNCTION("MAX(FILTER($H:$H,$E:$E=F454))"),"#N/A")</f>
        <v>#N/A</v>
      </c>
    </row>
    <row r="455">
      <c r="A455" s="4"/>
      <c r="C455" s="4" t="s">
        <v>11540</v>
      </c>
      <c r="D455" s="4" t="str">
        <f t="shared" si="1"/>
        <v>{"valorA":"diária","valorB":1}</v>
      </c>
      <c r="E455" s="8" t="str">
        <f t="shared" si="2"/>
        <v>diária</v>
      </c>
      <c r="F455" s="8"/>
      <c r="G455" s="8" t="str">
        <f t="shared" si="3"/>
        <v>1</v>
      </c>
      <c r="H455" s="9">
        <f t="shared" si="4"/>
        <v>1</v>
      </c>
      <c r="I455" s="6" t="str">
        <f>IFERROR(__xludf.DUMMYFUNCTION("MAX(FILTER($H:$H,$E:$E=F455))"),"#N/A")</f>
        <v>#N/A</v>
      </c>
    </row>
    <row r="456">
      <c r="A456" s="4"/>
      <c r="C456" s="4" t="s">
        <v>3399</v>
      </c>
      <c r="D456" s="4" t="str">
        <f t="shared" si="1"/>
        <v>{"valorA":"na","valorB":1}</v>
      </c>
      <c r="E456" s="8" t="str">
        <f t="shared" si="2"/>
        <v>na</v>
      </c>
      <c r="F456" s="8"/>
      <c r="G456" s="8" t="str">
        <f t="shared" si="3"/>
        <v>1</v>
      </c>
      <c r="H456" s="9">
        <f t="shared" si="4"/>
        <v>1</v>
      </c>
      <c r="I456" s="6" t="str">
        <f>IFERROR(__xludf.DUMMYFUNCTION("MAX(FILTER($H:$H,$E:$E=F456))"),"#N/A")</f>
        <v>#N/A</v>
      </c>
    </row>
    <row r="457">
      <c r="A457" s="4"/>
      <c r="C457" s="4" t="s">
        <v>12033</v>
      </c>
      <c r="D457" s="4" t="str">
        <f t="shared" si="1"/>
        <v>{"valorA":"rotina","valorB":1}</v>
      </c>
      <c r="E457" s="8" t="str">
        <f t="shared" si="2"/>
        <v>rotina</v>
      </c>
      <c r="F457" s="8"/>
      <c r="G457" s="8" t="str">
        <f t="shared" si="3"/>
        <v>1</v>
      </c>
      <c r="H457" s="9">
        <f t="shared" si="4"/>
        <v>1</v>
      </c>
      <c r="I457" s="6" t="str">
        <f>IFERROR(__xludf.DUMMYFUNCTION("MAX(FILTER($H:$H,$E:$E=F457))"),"#N/A")</f>
        <v>#N/A</v>
      </c>
    </row>
    <row r="458">
      <c r="A458" s="4"/>
      <c r="C458" s="4" t="s">
        <v>12034</v>
      </c>
      <c r="D458" s="4" t="str">
        <f t="shared" si="1"/>
        <v>{"valorA":"nota","valorB":1}</v>
      </c>
      <c r="E458" s="8" t="str">
        <f t="shared" si="2"/>
        <v>nota</v>
      </c>
      <c r="F458" s="8"/>
      <c r="G458" s="8" t="str">
        <f t="shared" si="3"/>
        <v>1</v>
      </c>
      <c r="H458" s="9">
        <f t="shared" si="4"/>
        <v>1</v>
      </c>
      <c r="I458" s="6" t="str">
        <f>IFERROR(__xludf.DUMMYFUNCTION("MAX(FILTER($H:$H,$E:$E=F458))"),"#N/A")</f>
        <v>#N/A</v>
      </c>
    </row>
    <row r="459">
      <c r="A459" s="4"/>
      <c r="C459" s="4" t="s">
        <v>2986</v>
      </c>
      <c r="D459" s="4" t="str">
        <f t="shared" si="1"/>
        <v>{"valorA":"ótimo","valorB":48}</v>
      </c>
      <c r="E459" s="8" t="str">
        <f t="shared" si="2"/>
        <v>ótimo</v>
      </c>
      <c r="F459" s="8"/>
      <c r="G459" s="8" t="str">
        <f t="shared" si="3"/>
        <v>48</v>
      </c>
      <c r="H459" s="9">
        <f t="shared" si="4"/>
        <v>48</v>
      </c>
      <c r="I459" s="6" t="str">
        <f>IFERROR(__xludf.DUMMYFUNCTION("MAX(FILTER($H:$H,$E:$E=F459))"),"#N/A")</f>
        <v>#N/A</v>
      </c>
    </row>
    <row r="460">
      <c r="A460" s="4"/>
      <c r="C460" s="4" t="s">
        <v>2974</v>
      </c>
      <c r="D460" s="4" t="str">
        <f t="shared" si="1"/>
        <v>{"valorA":"produto","valorB":31}</v>
      </c>
      <c r="E460" s="8" t="str">
        <f t="shared" si="2"/>
        <v>produto</v>
      </c>
      <c r="F460" s="8"/>
      <c r="G460" s="8" t="str">
        <f t="shared" si="3"/>
        <v>31</v>
      </c>
      <c r="H460" s="9">
        <f t="shared" si="4"/>
        <v>31</v>
      </c>
      <c r="I460" s="6" t="str">
        <f>IFERROR(__xludf.DUMMYFUNCTION("MAX(FILTER($H:$H,$E:$E=F460))"),"#N/A")</f>
        <v>#N/A</v>
      </c>
    </row>
    <row r="461">
      <c r="A461" s="4"/>
      <c r="C461" s="4" t="s">
        <v>3709</v>
      </c>
      <c r="D461" s="4" t="str">
        <f t="shared" si="1"/>
        <v>{"valorA":"espera","valorB":2}</v>
      </c>
      <c r="E461" s="8" t="str">
        <f t="shared" si="2"/>
        <v>espera</v>
      </c>
      <c r="F461" s="8"/>
      <c r="G461" s="8" t="str">
        <f t="shared" si="3"/>
        <v>2</v>
      </c>
      <c r="H461" s="9">
        <f t="shared" si="4"/>
        <v>2</v>
      </c>
      <c r="I461" s="6" t="str">
        <f>IFERROR(__xludf.DUMMYFUNCTION("MAX(FILTER($H:$H,$E:$E=F461))"),"#N/A")</f>
        <v>#N/A</v>
      </c>
    </row>
    <row r="462">
      <c r="A462" s="4"/>
      <c r="C462" s="4" t="s">
        <v>2922</v>
      </c>
      <c r="D462" s="4" t="str">
        <f t="shared" si="1"/>
        <v>{"valorA":"a","valorB":7}</v>
      </c>
      <c r="E462" s="8" t="str">
        <f t="shared" si="2"/>
        <v>a</v>
      </c>
      <c r="F462" s="8"/>
      <c r="G462" s="8" t="str">
        <f t="shared" si="3"/>
        <v>7</v>
      </c>
      <c r="H462" s="9">
        <f t="shared" si="4"/>
        <v>7</v>
      </c>
      <c r="I462" s="6" t="str">
        <f>IFERROR(__xludf.DUMMYFUNCTION("MAX(FILTER($H:$H,$E:$E=F462))"),"#N/A")</f>
        <v>#N/A</v>
      </c>
    </row>
    <row r="463">
      <c r="A463" s="4"/>
      <c r="C463" s="4" t="s">
        <v>3152</v>
      </c>
      <c r="D463" s="4" t="str">
        <f t="shared" si="1"/>
        <v>{"valorA":"valeu","valorB":3}</v>
      </c>
      <c r="E463" s="8" t="str">
        <f t="shared" si="2"/>
        <v>valeu</v>
      </c>
      <c r="F463" s="8"/>
      <c r="G463" s="8" t="str">
        <f t="shared" si="3"/>
        <v>3</v>
      </c>
      <c r="H463" s="9">
        <f t="shared" si="4"/>
        <v>3</v>
      </c>
      <c r="I463" s="6" t="str">
        <f>IFERROR(__xludf.DUMMYFUNCTION("MAX(FILTER($H:$H,$E:$E=F463))"),"#N/A")</f>
        <v>#N/A</v>
      </c>
    </row>
    <row r="464">
      <c r="A464" s="4"/>
      <c r="C464" s="4" t="s">
        <v>3244</v>
      </c>
      <c r="D464" s="4" t="str">
        <f t="shared" si="1"/>
        <v>{"valorA":"ótimo","valorB":49}</v>
      </c>
      <c r="E464" s="8" t="str">
        <f t="shared" si="2"/>
        <v>ótimo</v>
      </c>
      <c r="F464" s="8"/>
      <c r="G464" s="8" t="str">
        <f t="shared" si="3"/>
        <v>49</v>
      </c>
      <c r="H464" s="9">
        <f t="shared" si="4"/>
        <v>49</v>
      </c>
      <c r="I464" s="6" t="str">
        <f>IFERROR(__xludf.DUMMYFUNCTION("MAX(FILTER($H:$H,$E:$E=F464))"),"#N/A")</f>
        <v>#N/A</v>
      </c>
    </row>
    <row r="465">
      <c r="A465" s="4"/>
      <c r="C465" s="4" t="s">
        <v>3749</v>
      </c>
      <c r="D465" s="4" t="str">
        <f t="shared" si="1"/>
        <v>{"valorA":"preço","valorB":15}</v>
      </c>
      <c r="E465" s="8" t="str">
        <f t="shared" si="2"/>
        <v>preço</v>
      </c>
      <c r="F465" s="8"/>
      <c r="G465" s="8" t="str">
        <f t="shared" si="3"/>
        <v>15</v>
      </c>
      <c r="H465" s="9">
        <f t="shared" si="4"/>
        <v>15</v>
      </c>
      <c r="I465" s="6" t="str">
        <f>IFERROR(__xludf.DUMMYFUNCTION("MAX(FILTER($H:$H,$E:$E=F465))"),"#N/A")</f>
        <v>#N/A</v>
      </c>
    </row>
    <row r="466">
      <c r="A466" s="4"/>
      <c r="C466" s="4" t="s">
        <v>12035</v>
      </c>
      <c r="D466" s="4" t="str">
        <f t="shared" si="1"/>
        <v>{"valorA":"aquele","valorB":2}</v>
      </c>
      <c r="E466" s="8" t="str">
        <f t="shared" si="2"/>
        <v>aquele</v>
      </c>
      <c r="F466" s="8"/>
      <c r="G466" s="8" t="str">
        <f t="shared" si="3"/>
        <v>2</v>
      </c>
      <c r="H466" s="9">
        <f t="shared" si="4"/>
        <v>2</v>
      </c>
      <c r="I466" s="6" t="str">
        <f>IFERROR(__xludf.DUMMYFUNCTION("MAX(FILTER($H:$H,$E:$E=F466))"),"#N/A")</f>
        <v>#N/A</v>
      </c>
    </row>
    <row r="467">
      <c r="A467" s="4"/>
      <c r="C467" s="4" t="s">
        <v>12036</v>
      </c>
      <c r="D467" s="4" t="str">
        <f t="shared" si="1"/>
        <v>{"valorA":"não","valorB":9}</v>
      </c>
      <c r="E467" s="8" t="str">
        <f t="shared" si="2"/>
        <v>não</v>
      </c>
      <c r="F467" s="8"/>
      <c r="G467" s="8" t="str">
        <f t="shared" si="3"/>
        <v>9</v>
      </c>
      <c r="H467" s="9">
        <f t="shared" si="4"/>
        <v>9</v>
      </c>
      <c r="I467" s="6" t="str">
        <f>IFERROR(__xludf.DUMMYFUNCTION("MAX(FILTER($H:$H,$E:$E=F467))"),"#N/A")</f>
        <v>#N/A</v>
      </c>
    </row>
    <row r="468">
      <c r="A468" s="4"/>
      <c r="C468" s="4" t="s">
        <v>12037</v>
      </c>
      <c r="D468" s="4" t="str">
        <f t="shared" si="1"/>
        <v>{"valorA":"mas","valorB":8}</v>
      </c>
      <c r="E468" s="8" t="str">
        <f t="shared" si="2"/>
        <v>mas</v>
      </c>
      <c r="F468" s="8"/>
      <c r="G468" s="8" t="str">
        <f t="shared" si="3"/>
        <v>8</v>
      </c>
      <c r="H468" s="9">
        <f t="shared" si="4"/>
        <v>8</v>
      </c>
      <c r="I468" s="6" t="str">
        <f>IFERROR(__xludf.DUMMYFUNCTION("MAX(FILTER($H:$H,$E:$E=F468))"),"#N/A")</f>
        <v>#N/A</v>
      </c>
    </row>
    <row r="469">
      <c r="A469" s="4"/>
      <c r="C469" s="4" t="s">
        <v>3163</v>
      </c>
      <c r="D469" s="4" t="str">
        <f t="shared" si="1"/>
        <v>{"valorA":"valeu","valorB":4}</v>
      </c>
      <c r="E469" s="8" t="str">
        <f t="shared" si="2"/>
        <v>valeu</v>
      </c>
      <c r="F469" s="8"/>
      <c r="G469" s="8" t="str">
        <f t="shared" si="3"/>
        <v>4</v>
      </c>
      <c r="H469" s="9">
        <f t="shared" si="4"/>
        <v>4</v>
      </c>
      <c r="I469" s="6" t="str">
        <f>IFERROR(__xludf.DUMMYFUNCTION("MAX(FILTER($H:$H,$E:$E=F469))"),"#N/A")</f>
        <v>#N/A</v>
      </c>
    </row>
    <row r="470">
      <c r="A470" s="4"/>
      <c r="C470" s="4" t="s">
        <v>3213</v>
      </c>
      <c r="D470" s="4" t="str">
        <f t="shared" si="1"/>
        <v>{"valorA":"televisor","valorB":7}</v>
      </c>
      <c r="E470" s="8" t="str">
        <f t="shared" si="2"/>
        <v>televisor</v>
      </c>
      <c r="F470" s="8"/>
      <c r="G470" s="8" t="str">
        <f t="shared" si="3"/>
        <v>7</v>
      </c>
      <c r="H470" s="9">
        <f t="shared" si="4"/>
        <v>7</v>
      </c>
      <c r="I470" s="6" t="str">
        <f>IFERROR(__xludf.DUMMYFUNCTION("MAX(FILTER($H:$H,$E:$E=F470))"),"#N/A")</f>
        <v>#N/A</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 t="s">
        <v>32</v>
      </c>
      <c r="B1" s="7" t="s">
        <v>8667</v>
      </c>
      <c r="C1" s="5" t="s">
        <v>8668</v>
      </c>
      <c r="D1" s="5" t="s">
        <v>8669</v>
      </c>
      <c r="F1" s="5"/>
      <c r="G1" s="22" t="s">
        <v>8670</v>
      </c>
      <c r="H1" s="23"/>
      <c r="J1" s="22" t="s">
        <v>8671</v>
      </c>
      <c r="K1" s="23"/>
      <c r="M1" s="22" t="s">
        <v>8672</v>
      </c>
      <c r="N1" s="23"/>
    </row>
    <row r="2">
      <c r="A2" s="4" t="s">
        <v>12038</v>
      </c>
      <c r="B2" s="10">
        <f t="shared" ref="B2:B470" si="1">VALUE(SUBSTITUTE(MID(A2,FIND("CPU usage is:",A2)+13,FIND("RAM memory",A2)-FIND("CPU usage is:",A2)-13),".",","))</f>
        <v>10</v>
      </c>
      <c r="C2" s="6">
        <f t="shared" ref="C2:C470" si="2">VALUE(SUBSTITUTE(SUBSTITUTE(MID(A2,FIND("RAM memory % used:",A2)+18,9),"RAM",""),".",","))</f>
        <v>97.7</v>
      </c>
      <c r="D2" s="6">
        <f t="shared" ref="D2:D470" si="3">VALUE(SUBSTITUTE(SUBSTITUTE(MID(A2,FIND("RAM Used (GB):",A2)+14,9),"RAM",""),".",","))</f>
        <v>16.649076</v>
      </c>
      <c r="G2" s="25" t="s">
        <v>4013</v>
      </c>
      <c r="H2" s="25" t="s">
        <v>4247</v>
      </c>
      <c r="J2" s="25" t="s">
        <v>4013</v>
      </c>
      <c r="K2" s="25" t="s">
        <v>4247</v>
      </c>
      <c r="M2" s="25" t="s">
        <v>4013</v>
      </c>
      <c r="N2" s="25" t="s">
        <v>4247</v>
      </c>
    </row>
    <row r="3">
      <c r="A3" s="4" t="s">
        <v>12039</v>
      </c>
      <c r="B3" s="10">
        <f t="shared" si="1"/>
        <v>0</v>
      </c>
      <c r="C3" s="6">
        <f t="shared" si="2"/>
        <v>98.9</v>
      </c>
      <c r="D3" s="6">
        <f t="shared" si="3"/>
        <v>16.846401</v>
      </c>
      <c r="G3" s="28">
        <f>AVERAGE(B2:B470)</f>
        <v>20.22345416</v>
      </c>
      <c r="H3" s="20">
        <f>STDEV(B2:B470)</f>
        <v>35.64314351</v>
      </c>
      <c r="J3" s="20">
        <f>AVERAGE(C2:C470)</f>
        <v>97.45245203</v>
      </c>
      <c r="K3" s="20">
        <f>STDEV(C2:C470)</f>
        <v>1.315611132</v>
      </c>
      <c r="M3" s="20">
        <f>AVERAGE(D2:D470)</f>
        <v>16.60709393</v>
      </c>
      <c r="N3" s="20">
        <f>STDEV(D2:D470)</f>
        <v>0.2238720798</v>
      </c>
    </row>
    <row r="4">
      <c r="A4" s="4" t="s">
        <v>12040</v>
      </c>
      <c r="B4" s="10">
        <f t="shared" si="1"/>
        <v>0</v>
      </c>
      <c r="C4" s="6">
        <f t="shared" si="2"/>
        <v>98.3</v>
      </c>
      <c r="D4" s="6">
        <f t="shared" si="3"/>
        <v>16.758509</v>
      </c>
    </row>
    <row r="5">
      <c r="A5" s="4" t="s">
        <v>12041</v>
      </c>
      <c r="B5" s="10">
        <f t="shared" si="1"/>
        <v>0</v>
      </c>
      <c r="C5" s="6">
        <f t="shared" si="2"/>
        <v>98.1</v>
      </c>
      <c r="D5" s="6">
        <f t="shared" si="3"/>
        <v>16.725516</v>
      </c>
    </row>
    <row r="6">
      <c r="A6" s="4" t="s">
        <v>12042</v>
      </c>
      <c r="B6" s="10">
        <f t="shared" si="1"/>
        <v>8.3</v>
      </c>
      <c r="C6" s="6">
        <f t="shared" si="2"/>
        <v>98.5</v>
      </c>
      <c r="D6" s="6">
        <f t="shared" si="3"/>
        <v>16.790654</v>
      </c>
    </row>
    <row r="7">
      <c r="A7" s="4" t="s">
        <v>12043</v>
      </c>
      <c r="B7" s="10">
        <f t="shared" si="1"/>
        <v>0</v>
      </c>
      <c r="C7" s="6">
        <f t="shared" si="2"/>
        <v>98.8</v>
      </c>
      <c r="D7" s="6">
        <f t="shared" si="3"/>
        <v>16.830504</v>
      </c>
    </row>
    <row r="8">
      <c r="A8" s="4" t="s">
        <v>12044</v>
      </c>
      <c r="B8" s="10">
        <f t="shared" si="1"/>
        <v>0</v>
      </c>
      <c r="C8" s="6">
        <f t="shared" si="2"/>
        <v>99.3</v>
      </c>
      <c r="D8" s="6">
        <f t="shared" si="3"/>
        <v>16.915865</v>
      </c>
    </row>
    <row r="9">
      <c r="A9" s="4" t="s">
        <v>12045</v>
      </c>
      <c r="B9" s="10">
        <f t="shared" si="1"/>
        <v>0</v>
      </c>
      <c r="C9" s="6">
        <f t="shared" si="2"/>
        <v>99.7</v>
      </c>
      <c r="D9" s="6">
        <f t="shared" si="3"/>
        <v>16.983904</v>
      </c>
    </row>
    <row r="10">
      <c r="A10" s="4" t="s">
        <v>12046</v>
      </c>
      <c r="B10" s="10">
        <f t="shared" si="1"/>
        <v>0</v>
      </c>
      <c r="C10" s="6">
        <f t="shared" si="2"/>
        <v>96.7</v>
      </c>
      <c r="D10" s="6">
        <f t="shared" si="3"/>
        <v>16.474308</v>
      </c>
    </row>
    <row r="11">
      <c r="A11" s="4" t="s">
        <v>12047</v>
      </c>
      <c r="B11" s="10">
        <f t="shared" si="1"/>
        <v>0</v>
      </c>
      <c r="C11" s="6">
        <f t="shared" si="2"/>
        <v>97.1</v>
      </c>
      <c r="D11" s="6">
        <f t="shared" si="3"/>
        <v>16.551911</v>
      </c>
    </row>
    <row r="12">
      <c r="A12" s="4" t="s">
        <v>12048</v>
      </c>
      <c r="B12" s="10">
        <f t="shared" si="1"/>
        <v>0</v>
      </c>
      <c r="C12" s="6">
        <f t="shared" si="2"/>
        <v>98.5</v>
      </c>
      <c r="D12" s="6">
        <f t="shared" si="3"/>
        <v>16.778526</v>
      </c>
    </row>
    <row r="13">
      <c r="A13" s="4" t="s">
        <v>12049</v>
      </c>
      <c r="B13" s="10">
        <f t="shared" si="1"/>
        <v>0</v>
      </c>
      <c r="C13" s="6">
        <f t="shared" si="2"/>
        <v>99.2</v>
      </c>
      <c r="D13" s="6">
        <f t="shared" si="3"/>
        <v>16.905805</v>
      </c>
    </row>
    <row r="14">
      <c r="A14" s="4" t="s">
        <v>12050</v>
      </c>
      <c r="B14" s="10">
        <f t="shared" si="1"/>
        <v>0</v>
      </c>
      <c r="C14" s="6">
        <f t="shared" si="2"/>
        <v>96.8</v>
      </c>
      <c r="D14" s="6">
        <f t="shared" si="3"/>
        <v>16.503414</v>
      </c>
    </row>
    <row r="15">
      <c r="A15" s="4" t="s">
        <v>12051</v>
      </c>
      <c r="B15" s="10">
        <f t="shared" si="1"/>
        <v>0</v>
      </c>
      <c r="C15" s="6">
        <f t="shared" si="2"/>
        <v>97.2</v>
      </c>
      <c r="D15" s="6">
        <f t="shared" si="3"/>
        <v>16.56664</v>
      </c>
    </row>
    <row r="16">
      <c r="A16" s="4" t="s">
        <v>12052</v>
      </c>
      <c r="B16" s="10">
        <f t="shared" si="1"/>
        <v>0</v>
      </c>
      <c r="C16" s="6">
        <f t="shared" si="2"/>
        <v>97.8</v>
      </c>
      <c r="D16" s="6">
        <f t="shared" si="3"/>
        <v>16.659091</v>
      </c>
    </row>
    <row r="17">
      <c r="A17" s="4" t="s">
        <v>12053</v>
      </c>
      <c r="B17" s="10">
        <f t="shared" si="1"/>
        <v>100</v>
      </c>
      <c r="C17" s="6">
        <f t="shared" si="2"/>
        <v>96.9</v>
      </c>
      <c r="D17" s="6">
        <f t="shared" si="3"/>
        <v>16.505982</v>
      </c>
    </row>
    <row r="18">
      <c r="A18" s="4" t="s">
        <v>12054</v>
      </c>
      <c r="B18" s="10">
        <f t="shared" si="1"/>
        <v>100</v>
      </c>
      <c r="C18" s="6">
        <f t="shared" si="2"/>
        <v>97.3</v>
      </c>
      <c r="D18" s="6">
        <f t="shared" si="3"/>
        <v>16.573726</v>
      </c>
    </row>
    <row r="19">
      <c r="A19" s="4" t="s">
        <v>12055</v>
      </c>
      <c r="B19" s="10">
        <f t="shared" si="1"/>
        <v>0</v>
      </c>
      <c r="C19" s="6">
        <f t="shared" si="2"/>
        <v>97.4</v>
      </c>
      <c r="D19" s="6">
        <f t="shared" si="3"/>
        <v>16.596865</v>
      </c>
    </row>
    <row r="20">
      <c r="A20" s="4" t="s">
        <v>12056</v>
      </c>
      <c r="B20" s="10">
        <f t="shared" si="1"/>
        <v>0</v>
      </c>
      <c r="C20" s="6">
        <f t="shared" si="2"/>
        <v>97.7</v>
      </c>
      <c r="D20" s="6">
        <f t="shared" si="3"/>
        <v>16.646045</v>
      </c>
    </row>
    <row r="21">
      <c r="A21" s="4" t="s">
        <v>12057</v>
      </c>
      <c r="B21" s="10">
        <f t="shared" si="1"/>
        <v>100</v>
      </c>
      <c r="C21" s="6">
        <f t="shared" si="2"/>
        <v>97.8</v>
      </c>
      <c r="D21" s="6">
        <f t="shared" si="3"/>
        <v>16.673419</v>
      </c>
    </row>
    <row r="22">
      <c r="A22" s="4" t="s">
        <v>12058</v>
      </c>
      <c r="B22" s="10">
        <f t="shared" si="1"/>
        <v>100</v>
      </c>
      <c r="C22" s="6">
        <f t="shared" si="2"/>
        <v>98.2</v>
      </c>
      <c r="D22" s="6">
        <f t="shared" si="3"/>
        <v>16.729006</v>
      </c>
    </row>
    <row r="23">
      <c r="A23" s="4" t="s">
        <v>12059</v>
      </c>
      <c r="B23" s="10">
        <f t="shared" si="1"/>
        <v>0</v>
      </c>
      <c r="C23" s="6">
        <f t="shared" si="2"/>
        <v>98.2</v>
      </c>
      <c r="D23" s="6">
        <f t="shared" si="3"/>
        <v>16.736018</v>
      </c>
    </row>
    <row r="24">
      <c r="A24" s="4" t="s">
        <v>12060</v>
      </c>
      <c r="B24" s="10">
        <f t="shared" si="1"/>
        <v>50</v>
      </c>
      <c r="C24" s="6">
        <f t="shared" si="2"/>
        <v>96.9</v>
      </c>
      <c r="D24" s="6">
        <f t="shared" si="3"/>
        <v>16.512663</v>
      </c>
    </row>
    <row r="25">
      <c r="A25" s="4" t="s">
        <v>12061</v>
      </c>
      <c r="B25" s="10">
        <f t="shared" si="1"/>
        <v>100</v>
      </c>
      <c r="C25" s="6">
        <f t="shared" si="2"/>
        <v>96.8</v>
      </c>
      <c r="D25" s="6">
        <f t="shared" si="3"/>
        <v>16.504172</v>
      </c>
    </row>
    <row r="26">
      <c r="A26" s="4" t="s">
        <v>12062</v>
      </c>
      <c r="B26" s="10">
        <f t="shared" si="1"/>
        <v>16.7</v>
      </c>
      <c r="C26" s="6">
        <f t="shared" si="2"/>
        <v>96.9</v>
      </c>
      <c r="D26" s="6">
        <f t="shared" si="3"/>
        <v>16.507756</v>
      </c>
    </row>
    <row r="27">
      <c r="A27" s="4" t="s">
        <v>12063</v>
      </c>
      <c r="B27" s="10">
        <f t="shared" si="1"/>
        <v>100</v>
      </c>
      <c r="C27" s="6">
        <f t="shared" si="2"/>
        <v>96.8</v>
      </c>
      <c r="D27" s="6">
        <f t="shared" si="3"/>
        <v>16.503742</v>
      </c>
    </row>
    <row r="28">
      <c r="A28" s="4" t="s">
        <v>12064</v>
      </c>
      <c r="B28" s="10">
        <f t="shared" si="1"/>
        <v>0</v>
      </c>
      <c r="C28" s="6">
        <f t="shared" si="2"/>
        <v>97</v>
      </c>
      <c r="D28" s="6">
        <f t="shared" si="3"/>
        <v>16.52883</v>
      </c>
    </row>
    <row r="29">
      <c r="A29" s="4" t="s">
        <v>12065</v>
      </c>
      <c r="B29" s="10">
        <f t="shared" si="1"/>
        <v>0</v>
      </c>
      <c r="C29" s="6">
        <f t="shared" si="2"/>
        <v>97.1</v>
      </c>
      <c r="D29" s="6">
        <f t="shared" si="3"/>
        <v>16.553648</v>
      </c>
    </row>
    <row r="30">
      <c r="A30" s="4" t="s">
        <v>12066</v>
      </c>
      <c r="B30" s="10">
        <f t="shared" si="1"/>
        <v>0</v>
      </c>
      <c r="C30" s="6">
        <f t="shared" si="2"/>
        <v>96.9</v>
      </c>
      <c r="D30" s="6">
        <f t="shared" si="3"/>
        <v>16.519737</v>
      </c>
    </row>
    <row r="31">
      <c r="A31" s="4" t="s">
        <v>12067</v>
      </c>
      <c r="B31" s="10">
        <f t="shared" si="1"/>
        <v>0</v>
      </c>
      <c r="C31" s="6">
        <f t="shared" si="2"/>
        <v>96.9</v>
      </c>
      <c r="D31" s="6">
        <f t="shared" si="3"/>
        <v>16.518197</v>
      </c>
    </row>
    <row r="32">
      <c r="A32" s="4" t="s">
        <v>12068</v>
      </c>
      <c r="B32" s="10">
        <f t="shared" si="1"/>
        <v>0</v>
      </c>
      <c r="C32" s="6">
        <f t="shared" si="2"/>
        <v>96.7</v>
      </c>
      <c r="D32" s="6">
        <f t="shared" si="3"/>
        <v>16.486932</v>
      </c>
    </row>
    <row r="33">
      <c r="A33" s="4" t="s">
        <v>12069</v>
      </c>
      <c r="B33" s="10">
        <f t="shared" si="1"/>
        <v>0</v>
      </c>
      <c r="C33" s="6">
        <f t="shared" si="2"/>
        <v>96.8</v>
      </c>
      <c r="D33" s="6">
        <f t="shared" si="3"/>
        <v>16.500625</v>
      </c>
    </row>
    <row r="34">
      <c r="A34" s="4" t="s">
        <v>12070</v>
      </c>
      <c r="B34" s="10">
        <f t="shared" si="1"/>
        <v>0</v>
      </c>
      <c r="C34" s="6">
        <f t="shared" si="2"/>
        <v>97.1</v>
      </c>
      <c r="D34" s="6">
        <f t="shared" si="3"/>
        <v>16.545198</v>
      </c>
    </row>
    <row r="35">
      <c r="A35" s="4" t="s">
        <v>12071</v>
      </c>
      <c r="B35" s="10">
        <f t="shared" si="1"/>
        <v>0</v>
      </c>
      <c r="C35" s="6">
        <f t="shared" si="2"/>
        <v>97.1</v>
      </c>
      <c r="D35" s="6">
        <f t="shared" si="3"/>
        <v>16.54605</v>
      </c>
    </row>
    <row r="36">
      <c r="A36" s="4" t="s">
        <v>12072</v>
      </c>
      <c r="B36" s="10">
        <f t="shared" si="1"/>
        <v>0</v>
      </c>
      <c r="C36" s="6">
        <f t="shared" si="2"/>
        <v>97.1</v>
      </c>
      <c r="D36" s="6">
        <f t="shared" si="3"/>
        <v>16.542924</v>
      </c>
    </row>
    <row r="37">
      <c r="A37" s="4" t="s">
        <v>12073</v>
      </c>
      <c r="B37" s="10">
        <f t="shared" si="1"/>
        <v>0</v>
      </c>
      <c r="C37" s="6">
        <f t="shared" si="2"/>
        <v>97.1</v>
      </c>
      <c r="D37" s="6">
        <f t="shared" si="3"/>
        <v>16.542703</v>
      </c>
    </row>
    <row r="38">
      <c r="A38" s="4" t="s">
        <v>12074</v>
      </c>
      <c r="B38" s="10">
        <f t="shared" si="1"/>
        <v>0</v>
      </c>
      <c r="C38" s="6">
        <f t="shared" si="2"/>
        <v>97.1</v>
      </c>
      <c r="D38" s="6">
        <f t="shared" si="3"/>
        <v>16.548306</v>
      </c>
    </row>
    <row r="39">
      <c r="A39" s="4" t="s">
        <v>12075</v>
      </c>
      <c r="B39" s="10">
        <f t="shared" si="1"/>
        <v>0</v>
      </c>
      <c r="C39" s="6">
        <f t="shared" si="2"/>
        <v>97.1</v>
      </c>
      <c r="D39" s="6">
        <f t="shared" si="3"/>
        <v>16.549986</v>
      </c>
    </row>
    <row r="40">
      <c r="A40" s="4" t="s">
        <v>12076</v>
      </c>
      <c r="B40" s="10">
        <f t="shared" si="1"/>
        <v>0</v>
      </c>
      <c r="C40" s="6">
        <f t="shared" si="2"/>
        <v>97.1</v>
      </c>
      <c r="D40" s="6">
        <f t="shared" si="3"/>
        <v>16.552878</v>
      </c>
    </row>
    <row r="41">
      <c r="A41" s="4" t="s">
        <v>12077</v>
      </c>
      <c r="B41" s="10">
        <f t="shared" si="1"/>
        <v>0</v>
      </c>
      <c r="C41" s="6">
        <f t="shared" si="2"/>
        <v>97.6</v>
      </c>
      <c r="D41" s="6">
        <f t="shared" si="3"/>
        <v>16.631857</v>
      </c>
    </row>
    <row r="42">
      <c r="A42" s="4" t="s">
        <v>12078</v>
      </c>
      <c r="B42" s="10">
        <f t="shared" si="1"/>
        <v>66.7</v>
      </c>
      <c r="C42" s="6">
        <f t="shared" si="2"/>
        <v>97.7</v>
      </c>
      <c r="D42" s="6">
        <f t="shared" si="3"/>
        <v>16.652169</v>
      </c>
    </row>
    <row r="43">
      <c r="A43" s="4" t="s">
        <v>12079</v>
      </c>
      <c r="B43" s="10">
        <f t="shared" si="1"/>
        <v>100</v>
      </c>
      <c r="C43" s="6">
        <f t="shared" si="2"/>
        <v>97.9</v>
      </c>
      <c r="D43" s="6">
        <f t="shared" si="3"/>
        <v>16.689307</v>
      </c>
    </row>
    <row r="44">
      <c r="A44" s="4" t="s">
        <v>12080</v>
      </c>
      <c r="B44" s="10">
        <f t="shared" si="1"/>
        <v>0</v>
      </c>
      <c r="C44" s="6">
        <f t="shared" si="2"/>
        <v>98</v>
      </c>
      <c r="D44" s="6">
        <f t="shared" si="3"/>
        <v>16.701657</v>
      </c>
    </row>
    <row r="45">
      <c r="A45" s="4" t="s">
        <v>12081</v>
      </c>
      <c r="B45" s="10">
        <f t="shared" si="1"/>
        <v>50</v>
      </c>
      <c r="C45" s="6">
        <f t="shared" si="2"/>
        <v>98</v>
      </c>
      <c r="D45" s="6">
        <f t="shared" si="3"/>
        <v>16.701931</v>
      </c>
    </row>
    <row r="46">
      <c r="A46" s="4" t="s">
        <v>12082</v>
      </c>
      <c r="B46" s="10">
        <f t="shared" si="1"/>
        <v>0</v>
      </c>
      <c r="C46" s="6">
        <f t="shared" si="2"/>
        <v>98</v>
      </c>
      <c r="D46" s="6">
        <f t="shared" si="3"/>
        <v>16.707481</v>
      </c>
    </row>
    <row r="47">
      <c r="A47" s="4" t="s">
        <v>12083</v>
      </c>
      <c r="B47" s="10">
        <f t="shared" si="1"/>
        <v>100</v>
      </c>
      <c r="C47" s="6">
        <f t="shared" si="2"/>
        <v>97.6</v>
      </c>
      <c r="D47" s="6">
        <f t="shared" si="3"/>
        <v>16.628359</v>
      </c>
    </row>
    <row r="48">
      <c r="A48" s="4" t="s">
        <v>12084</v>
      </c>
      <c r="B48" s="10">
        <f t="shared" si="1"/>
        <v>50</v>
      </c>
      <c r="C48" s="6">
        <f t="shared" si="2"/>
        <v>97.4</v>
      </c>
      <c r="D48" s="6">
        <f t="shared" si="3"/>
        <v>16.595963</v>
      </c>
    </row>
    <row r="49">
      <c r="A49" s="4" t="s">
        <v>12085</v>
      </c>
      <c r="B49" s="10">
        <f t="shared" si="1"/>
        <v>16.7</v>
      </c>
      <c r="C49" s="6">
        <f t="shared" si="2"/>
        <v>97.2</v>
      </c>
      <c r="D49" s="6">
        <f t="shared" si="3"/>
        <v>16.56902</v>
      </c>
    </row>
    <row r="50">
      <c r="A50" s="4" t="s">
        <v>12086</v>
      </c>
      <c r="B50" s="10">
        <f t="shared" si="1"/>
        <v>0</v>
      </c>
      <c r="C50" s="6">
        <f t="shared" si="2"/>
        <v>97.2</v>
      </c>
      <c r="D50" s="6">
        <f t="shared" si="3"/>
        <v>16.559714</v>
      </c>
    </row>
    <row r="51">
      <c r="A51" s="4" t="s">
        <v>12087</v>
      </c>
      <c r="B51" s="10">
        <f t="shared" si="1"/>
        <v>0</v>
      </c>
      <c r="C51" s="6">
        <f t="shared" si="2"/>
        <v>97.2</v>
      </c>
      <c r="D51" s="6">
        <f t="shared" si="3"/>
        <v>16.564875</v>
      </c>
    </row>
    <row r="52">
      <c r="A52" s="4" t="s">
        <v>12088</v>
      </c>
      <c r="B52" s="10">
        <f t="shared" si="1"/>
        <v>66.7</v>
      </c>
      <c r="C52" s="6">
        <f t="shared" si="2"/>
        <v>97.2</v>
      </c>
      <c r="D52" s="6">
        <f t="shared" si="3"/>
        <v>16.563777</v>
      </c>
    </row>
    <row r="53">
      <c r="A53" s="4" t="s">
        <v>12089</v>
      </c>
      <c r="B53" s="10">
        <f t="shared" si="1"/>
        <v>0</v>
      </c>
      <c r="C53" s="6">
        <f t="shared" si="2"/>
        <v>97.2</v>
      </c>
      <c r="D53" s="6">
        <f t="shared" si="3"/>
        <v>16.564895</v>
      </c>
    </row>
    <row r="54">
      <c r="A54" s="4" t="s">
        <v>12090</v>
      </c>
      <c r="B54" s="10">
        <f t="shared" si="1"/>
        <v>0</v>
      </c>
      <c r="C54" s="6">
        <f t="shared" si="2"/>
        <v>97.3</v>
      </c>
      <c r="D54" s="6">
        <f t="shared" si="3"/>
        <v>16.579825</v>
      </c>
    </row>
    <row r="55">
      <c r="A55" s="4" t="s">
        <v>12091</v>
      </c>
      <c r="B55" s="10">
        <f t="shared" si="1"/>
        <v>0</v>
      </c>
      <c r="C55" s="6">
        <f t="shared" si="2"/>
        <v>97.3</v>
      </c>
      <c r="D55" s="6">
        <f t="shared" si="3"/>
        <v>16.57831</v>
      </c>
    </row>
    <row r="56">
      <c r="A56" s="4" t="s">
        <v>12092</v>
      </c>
      <c r="B56" s="10">
        <f t="shared" si="1"/>
        <v>100</v>
      </c>
      <c r="C56" s="6">
        <f t="shared" si="2"/>
        <v>97.3</v>
      </c>
      <c r="D56" s="6">
        <f t="shared" si="3"/>
        <v>16.577642</v>
      </c>
    </row>
    <row r="57">
      <c r="A57" s="4" t="s">
        <v>12093</v>
      </c>
      <c r="B57" s="10">
        <f t="shared" si="1"/>
        <v>0</v>
      </c>
      <c r="C57" s="6">
        <f t="shared" si="2"/>
        <v>97.5</v>
      </c>
      <c r="D57" s="6">
        <f t="shared" si="3"/>
        <v>16.607105</v>
      </c>
    </row>
    <row r="58">
      <c r="A58" s="4" t="s">
        <v>12094</v>
      </c>
      <c r="B58" s="10">
        <f t="shared" si="1"/>
        <v>12.5</v>
      </c>
      <c r="C58" s="6">
        <f t="shared" si="2"/>
        <v>97.5</v>
      </c>
      <c r="D58" s="6">
        <f t="shared" si="3"/>
        <v>16.622473</v>
      </c>
    </row>
    <row r="59">
      <c r="A59" s="4" t="s">
        <v>12095</v>
      </c>
      <c r="B59" s="10">
        <f t="shared" si="1"/>
        <v>0</v>
      </c>
      <c r="C59" s="6">
        <f t="shared" si="2"/>
        <v>97.6</v>
      </c>
      <c r="D59" s="6">
        <f t="shared" si="3"/>
        <v>16.630018</v>
      </c>
    </row>
    <row r="60">
      <c r="A60" s="4" t="s">
        <v>12096</v>
      </c>
      <c r="B60" s="10">
        <f t="shared" si="1"/>
        <v>0</v>
      </c>
      <c r="C60" s="6">
        <f t="shared" si="2"/>
        <v>96.9</v>
      </c>
      <c r="D60" s="6">
        <f t="shared" si="3"/>
        <v>16.520282</v>
      </c>
    </row>
    <row r="61">
      <c r="A61" s="4" t="s">
        <v>12097</v>
      </c>
      <c r="B61" s="10">
        <f t="shared" si="1"/>
        <v>0</v>
      </c>
      <c r="C61" s="6">
        <f t="shared" si="2"/>
        <v>97.1</v>
      </c>
      <c r="D61" s="6">
        <f t="shared" si="3"/>
        <v>16.554749</v>
      </c>
    </row>
    <row r="62">
      <c r="A62" s="4" t="s">
        <v>12098</v>
      </c>
      <c r="B62" s="10">
        <f t="shared" si="1"/>
        <v>50</v>
      </c>
      <c r="C62" s="6">
        <f t="shared" si="2"/>
        <v>97.2</v>
      </c>
      <c r="D62" s="6">
        <f t="shared" si="3"/>
        <v>16.569249</v>
      </c>
    </row>
    <row r="63">
      <c r="A63" s="4" t="s">
        <v>12099</v>
      </c>
      <c r="B63" s="10">
        <f t="shared" si="1"/>
        <v>0</v>
      </c>
      <c r="C63" s="6">
        <f t="shared" si="2"/>
        <v>97.3</v>
      </c>
      <c r="D63" s="6">
        <f t="shared" si="3"/>
        <v>16.584294</v>
      </c>
    </row>
    <row r="64">
      <c r="A64" s="4" t="s">
        <v>12100</v>
      </c>
      <c r="B64" s="10">
        <f t="shared" si="1"/>
        <v>0</v>
      </c>
      <c r="C64" s="6">
        <f t="shared" si="2"/>
        <v>97.6</v>
      </c>
      <c r="D64" s="6">
        <f t="shared" si="3"/>
        <v>16.635518</v>
      </c>
    </row>
    <row r="65">
      <c r="A65" s="4" t="s">
        <v>12101</v>
      </c>
      <c r="B65" s="10">
        <f t="shared" si="1"/>
        <v>0</v>
      </c>
      <c r="C65" s="6">
        <f t="shared" si="2"/>
        <v>97.7</v>
      </c>
      <c r="D65" s="6">
        <f t="shared" si="3"/>
        <v>16.652455</v>
      </c>
    </row>
    <row r="66">
      <c r="A66" s="4" t="s">
        <v>12102</v>
      </c>
      <c r="B66" s="10">
        <f t="shared" si="1"/>
        <v>0</v>
      </c>
      <c r="C66" s="6">
        <f t="shared" si="2"/>
        <v>99.9</v>
      </c>
      <c r="D66" s="6">
        <f t="shared" si="3"/>
        <v>17.024385</v>
      </c>
    </row>
    <row r="67">
      <c r="A67" s="4" t="s">
        <v>12103</v>
      </c>
      <c r="B67" s="10">
        <f t="shared" si="1"/>
        <v>100</v>
      </c>
      <c r="C67" s="6">
        <f t="shared" si="2"/>
        <v>99.6</v>
      </c>
      <c r="D67" s="6">
        <f t="shared" si="3"/>
        <v>16.966397</v>
      </c>
    </row>
    <row r="68">
      <c r="A68" s="4" t="s">
        <v>12104</v>
      </c>
      <c r="B68" s="10">
        <f t="shared" si="1"/>
        <v>100</v>
      </c>
      <c r="C68" s="6">
        <f t="shared" si="2"/>
        <v>96.2</v>
      </c>
      <c r="D68" s="6">
        <f t="shared" si="3"/>
        <v>16.393547</v>
      </c>
    </row>
    <row r="69">
      <c r="A69" s="4" t="s">
        <v>12105</v>
      </c>
      <c r="B69" s="10">
        <f t="shared" si="1"/>
        <v>100</v>
      </c>
      <c r="C69" s="6">
        <f t="shared" si="2"/>
        <v>96</v>
      </c>
      <c r="D69" s="6">
        <f t="shared" si="3"/>
        <v>16.363347</v>
      </c>
    </row>
    <row r="70">
      <c r="A70" s="4" t="s">
        <v>12106</v>
      </c>
      <c r="B70" s="10">
        <f t="shared" si="1"/>
        <v>0</v>
      </c>
      <c r="C70" s="6">
        <f t="shared" si="2"/>
        <v>96.7</v>
      </c>
      <c r="D70" s="6">
        <f t="shared" si="3"/>
        <v>16.480833</v>
      </c>
    </row>
    <row r="71">
      <c r="A71" s="4" t="s">
        <v>12107</v>
      </c>
      <c r="B71" s="10">
        <f t="shared" si="1"/>
        <v>0</v>
      </c>
      <c r="C71" s="6">
        <f t="shared" si="2"/>
        <v>96.7</v>
      </c>
      <c r="D71" s="6">
        <f t="shared" si="3"/>
        <v>16.486596</v>
      </c>
    </row>
    <row r="72">
      <c r="A72" s="4" t="s">
        <v>12108</v>
      </c>
      <c r="B72" s="10">
        <f t="shared" si="1"/>
        <v>0</v>
      </c>
      <c r="C72" s="6">
        <f t="shared" si="2"/>
        <v>96.8</v>
      </c>
      <c r="D72" s="6">
        <f t="shared" si="3"/>
        <v>16.489832</v>
      </c>
    </row>
    <row r="73">
      <c r="A73" s="4" t="s">
        <v>12109</v>
      </c>
      <c r="B73" s="10">
        <f t="shared" si="1"/>
        <v>0</v>
      </c>
      <c r="C73" s="6">
        <f t="shared" si="2"/>
        <v>96.9</v>
      </c>
      <c r="D73" s="6">
        <f t="shared" si="3"/>
        <v>16.514326</v>
      </c>
    </row>
    <row r="74">
      <c r="A74" s="4" t="s">
        <v>12110</v>
      </c>
      <c r="B74" s="10">
        <f t="shared" si="1"/>
        <v>85.7</v>
      </c>
      <c r="C74" s="6">
        <f t="shared" si="2"/>
        <v>98.3</v>
      </c>
      <c r="D74" s="6">
        <f t="shared" si="3"/>
        <v>16.74371</v>
      </c>
    </row>
    <row r="75">
      <c r="A75" s="4" t="s">
        <v>12111</v>
      </c>
      <c r="B75" s="10">
        <f t="shared" si="1"/>
        <v>98.6</v>
      </c>
      <c r="C75" s="6">
        <f t="shared" si="2"/>
        <v>96.7</v>
      </c>
      <c r="D75" s="6">
        <f t="shared" si="3"/>
        <v>16.479182</v>
      </c>
    </row>
    <row r="76">
      <c r="A76" s="4" t="s">
        <v>12112</v>
      </c>
      <c r="B76" s="10">
        <f t="shared" si="1"/>
        <v>100</v>
      </c>
      <c r="C76" s="6">
        <f t="shared" si="2"/>
        <v>97.2</v>
      </c>
      <c r="D76" s="6">
        <f t="shared" si="3"/>
        <v>16.561479</v>
      </c>
    </row>
    <row r="77">
      <c r="A77" s="4" t="s">
        <v>12113</v>
      </c>
      <c r="B77" s="10">
        <f t="shared" si="1"/>
        <v>0</v>
      </c>
      <c r="C77" s="6">
        <f t="shared" si="2"/>
        <v>96.6</v>
      </c>
      <c r="D77" s="6">
        <f t="shared" si="3"/>
        <v>16.453632</v>
      </c>
    </row>
    <row r="78">
      <c r="A78" s="4" t="s">
        <v>12114</v>
      </c>
      <c r="B78" s="10">
        <f t="shared" si="1"/>
        <v>16.7</v>
      </c>
      <c r="C78" s="6">
        <f t="shared" si="2"/>
        <v>96.6</v>
      </c>
      <c r="D78" s="6">
        <f t="shared" si="3"/>
        <v>16.456929</v>
      </c>
    </row>
    <row r="79">
      <c r="A79" s="4" t="s">
        <v>12115</v>
      </c>
      <c r="B79" s="10">
        <f t="shared" si="1"/>
        <v>28.6</v>
      </c>
      <c r="C79" s="6">
        <f t="shared" si="2"/>
        <v>96.6</v>
      </c>
      <c r="D79" s="6">
        <f t="shared" si="3"/>
        <v>16.47004</v>
      </c>
    </row>
    <row r="80">
      <c r="A80" s="4" t="s">
        <v>12116</v>
      </c>
      <c r="B80" s="10">
        <f t="shared" si="1"/>
        <v>11.1</v>
      </c>
      <c r="C80" s="6">
        <f t="shared" si="2"/>
        <v>96.6</v>
      </c>
      <c r="D80" s="6">
        <f t="shared" si="3"/>
        <v>16.457121</v>
      </c>
    </row>
    <row r="81">
      <c r="A81" s="4" t="s">
        <v>12117</v>
      </c>
      <c r="B81" s="10">
        <f t="shared" si="1"/>
        <v>100</v>
      </c>
      <c r="C81" s="6">
        <f t="shared" si="2"/>
        <v>96.7</v>
      </c>
      <c r="D81" s="6">
        <f t="shared" si="3"/>
        <v>16.47335</v>
      </c>
    </row>
    <row r="82">
      <c r="A82" s="4" t="s">
        <v>12118</v>
      </c>
      <c r="B82" s="10">
        <f t="shared" si="1"/>
        <v>0</v>
      </c>
      <c r="C82" s="6">
        <f t="shared" si="2"/>
        <v>97.3</v>
      </c>
      <c r="D82" s="6">
        <f t="shared" si="3"/>
        <v>16.586616</v>
      </c>
    </row>
    <row r="83">
      <c r="A83" s="4" t="s">
        <v>12119</v>
      </c>
      <c r="B83" s="10">
        <f t="shared" si="1"/>
        <v>100</v>
      </c>
      <c r="C83" s="6">
        <f t="shared" si="2"/>
        <v>96.8</v>
      </c>
      <c r="D83" s="6">
        <f t="shared" si="3"/>
        <v>16.489553</v>
      </c>
    </row>
    <row r="84">
      <c r="A84" s="4" t="s">
        <v>12120</v>
      </c>
      <c r="B84" s="10">
        <f t="shared" si="1"/>
        <v>14.3</v>
      </c>
      <c r="C84" s="6">
        <f t="shared" si="2"/>
        <v>96.7</v>
      </c>
      <c r="D84" s="6">
        <f t="shared" si="3"/>
        <v>16.481738</v>
      </c>
    </row>
    <row r="85">
      <c r="A85" s="4" t="s">
        <v>12121</v>
      </c>
      <c r="B85" s="10">
        <f t="shared" si="1"/>
        <v>0</v>
      </c>
      <c r="C85" s="6">
        <f t="shared" si="2"/>
        <v>96.9</v>
      </c>
      <c r="D85" s="6">
        <f t="shared" si="3"/>
        <v>16.519462</v>
      </c>
    </row>
    <row r="86">
      <c r="A86" s="4" t="s">
        <v>12122</v>
      </c>
      <c r="B86" s="10">
        <f t="shared" si="1"/>
        <v>100</v>
      </c>
      <c r="C86" s="6">
        <f t="shared" si="2"/>
        <v>97</v>
      </c>
      <c r="D86" s="6">
        <f t="shared" si="3"/>
        <v>16.526221</v>
      </c>
    </row>
    <row r="87">
      <c r="A87" s="4" t="s">
        <v>12123</v>
      </c>
      <c r="B87" s="10">
        <f t="shared" si="1"/>
        <v>0</v>
      </c>
      <c r="C87" s="6">
        <f t="shared" si="2"/>
        <v>97</v>
      </c>
      <c r="D87" s="6">
        <f t="shared" si="3"/>
        <v>16.526352</v>
      </c>
    </row>
    <row r="88">
      <c r="A88" s="4" t="s">
        <v>12124</v>
      </c>
      <c r="B88" s="10">
        <f t="shared" si="1"/>
        <v>12.5</v>
      </c>
      <c r="C88" s="6">
        <f t="shared" si="2"/>
        <v>97</v>
      </c>
      <c r="D88" s="6">
        <f t="shared" si="3"/>
        <v>16.525885</v>
      </c>
    </row>
    <row r="89">
      <c r="A89" s="4" t="s">
        <v>12125</v>
      </c>
      <c r="B89" s="10">
        <f t="shared" si="1"/>
        <v>50</v>
      </c>
      <c r="C89" s="6">
        <f t="shared" si="2"/>
        <v>96.9</v>
      </c>
      <c r="D89" s="6">
        <f t="shared" si="3"/>
        <v>16.52054</v>
      </c>
    </row>
    <row r="90">
      <c r="A90" s="4" t="s">
        <v>12126</v>
      </c>
      <c r="B90" s="10">
        <f t="shared" si="1"/>
        <v>0</v>
      </c>
      <c r="C90" s="6">
        <f t="shared" si="2"/>
        <v>98.3</v>
      </c>
      <c r="D90" s="6">
        <f t="shared" si="3"/>
        <v>16.75053</v>
      </c>
    </row>
    <row r="91">
      <c r="A91" s="4" t="s">
        <v>12127</v>
      </c>
      <c r="B91" s="10">
        <f t="shared" si="1"/>
        <v>0</v>
      </c>
      <c r="C91" s="6">
        <f t="shared" si="2"/>
        <v>96.1</v>
      </c>
      <c r="D91" s="6">
        <f t="shared" si="3"/>
        <v>16.378875</v>
      </c>
    </row>
    <row r="92">
      <c r="A92" s="4" t="s">
        <v>12128</v>
      </c>
      <c r="B92" s="10">
        <f t="shared" si="1"/>
        <v>0</v>
      </c>
      <c r="C92" s="6">
        <f t="shared" si="2"/>
        <v>97.5</v>
      </c>
      <c r="D92" s="6">
        <f t="shared" si="3"/>
        <v>16.610562</v>
      </c>
    </row>
    <row r="93">
      <c r="A93" s="4" t="s">
        <v>12129</v>
      </c>
      <c r="B93" s="10">
        <f t="shared" si="1"/>
        <v>100</v>
      </c>
      <c r="C93" s="6">
        <f t="shared" si="2"/>
        <v>96.2</v>
      </c>
      <c r="D93" s="6">
        <f t="shared" si="3"/>
        <v>16.394997</v>
      </c>
    </row>
    <row r="94">
      <c r="A94" s="4" t="s">
        <v>12130</v>
      </c>
      <c r="B94" s="10">
        <f t="shared" si="1"/>
        <v>100</v>
      </c>
      <c r="C94" s="6">
        <f t="shared" si="2"/>
        <v>96.2</v>
      </c>
      <c r="D94" s="6">
        <f t="shared" si="3"/>
        <v>16.393162</v>
      </c>
    </row>
    <row r="95">
      <c r="A95" s="4" t="s">
        <v>12131</v>
      </c>
      <c r="B95" s="10">
        <f t="shared" si="1"/>
        <v>100</v>
      </c>
      <c r="C95" s="6">
        <f t="shared" si="2"/>
        <v>96.1</v>
      </c>
      <c r="D95" s="6">
        <f t="shared" si="3"/>
        <v>16.382799</v>
      </c>
    </row>
    <row r="96">
      <c r="A96" s="4" t="s">
        <v>12132</v>
      </c>
      <c r="B96" s="10">
        <f t="shared" si="1"/>
        <v>0</v>
      </c>
      <c r="C96" s="6">
        <f t="shared" si="2"/>
        <v>96.7</v>
      </c>
      <c r="D96" s="6">
        <f t="shared" si="3"/>
        <v>16.480403</v>
      </c>
    </row>
    <row r="97">
      <c r="A97" s="4" t="s">
        <v>12133</v>
      </c>
      <c r="B97" s="10">
        <f t="shared" si="1"/>
        <v>100</v>
      </c>
      <c r="C97" s="6">
        <f t="shared" si="2"/>
        <v>97.2</v>
      </c>
      <c r="D97" s="6">
        <f t="shared" si="3"/>
        <v>16.558989</v>
      </c>
    </row>
    <row r="98">
      <c r="A98" s="4" t="s">
        <v>12134</v>
      </c>
      <c r="B98" s="10">
        <f t="shared" si="1"/>
        <v>25</v>
      </c>
      <c r="C98" s="6">
        <f t="shared" si="2"/>
        <v>97.8</v>
      </c>
      <c r="D98" s="6">
        <f t="shared" si="3"/>
        <v>16.669872</v>
      </c>
    </row>
    <row r="99">
      <c r="A99" s="4" t="s">
        <v>12135</v>
      </c>
      <c r="B99" s="10">
        <f t="shared" si="1"/>
        <v>0</v>
      </c>
      <c r="C99" s="6">
        <f t="shared" si="2"/>
        <v>97.7</v>
      </c>
      <c r="D99" s="6">
        <f t="shared" si="3"/>
        <v>16.64163</v>
      </c>
    </row>
    <row r="100">
      <c r="A100" s="4" t="s">
        <v>12136</v>
      </c>
      <c r="B100" s="10">
        <f t="shared" si="1"/>
        <v>100</v>
      </c>
      <c r="C100" s="6">
        <f t="shared" si="2"/>
        <v>97.7</v>
      </c>
      <c r="D100" s="6">
        <f t="shared" si="3"/>
        <v>16.656642</v>
      </c>
    </row>
    <row r="101">
      <c r="A101" s="4" t="s">
        <v>12137</v>
      </c>
      <c r="B101" s="10">
        <f t="shared" si="1"/>
        <v>100</v>
      </c>
      <c r="C101" s="6">
        <f t="shared" si="2"/>
        <v>97.7</v>
      </c>
      <c r="D101" s="6">
        <f t="shared" si="3"/>
        <v>16.654663</v>
      </c>
    </row>
    <row r="102">
      <c r="A102" s="4" t="s">
        <v>12138</v>
      </c>
      <c r="B102" s="10">
        <f t="shared" si="1"/>
        <v>100</v>
      </c>
      <c r="C102" s="6">
        <f t="shared" si="2"/>
        <v>97.6</v>
      </c>
      <c r="D102" s="6">
        <f t="shared" si="3"/>
        <v>16.63644</v>
      </c>
    </row>
    <row r="103">
      <c r="A103" s="4" t="s">
        <v>12139</v>
      </c>
      <c r="B103" s="10">
        <f t="shared" si="1"/>
        <v>0</v>
      </c>
      <c r="C103" s="6">
        <f t="shared" si="2"/>
        <v>97.5</v>
      </c>
      <c r="D103" s="6">
        <f t="shared" si="3"/>
        <v>16.623251</v>
      </c>
    </row>
    <row r="104">
      <c r="A104" s="4" t="s">
        <v>12140</v>
      </c>
      <c r="B104" s="10">
        <f t="shared" si="1"/>
        <v>0</v>
      </c>
      <c r="C104" s="6">
        <f t="shared" si="2"/>
        <v>97.4</v>
      </c>
      <c r="D104" s="6">
        <f t="shared" si="3"/>
        <v>16.598351</v>
      </c>
    </row>
    <row r="105">
      <c r="A105" s="4" t="s">
        <v>12141</v>
      </c>
      <c r="B105" s="10">
        <f t="shared" si="1"/>
        <v>100</v>
      </c>
      <c r="C105" s="6">
        <f t="shared" si="2"/>
        <v>97.5</v>
      </c>
      <c r="D105" s="6">
        <f t="shared" si="3"/>
        <v>16.612794</v>
      </c>
    </row>
    <row r="106">
      <c r="A106" s="4" t="s">
        <v>12142</v>
      </c>
      <c r="B106" s="10">
        <f t="shared" si="1"/>
        <v>100</v>
      </c>
      <c r="C106" s="6">
        <f t="shared" si="2"/>
        <v>97.6</v>
      </c>
      <c r="D106" s="6">
        <f t="shared" si="3"/>
        <v>16.639504</v>
      </c>
    </row>
    <row r="107">
      <c r="A107" s="4" t="s">
        <v>12143</v>
      </c>
      <c r="B107" s="10">
        <f t="shared" si="1"/>
        <v>0</v>
      </c>
      <c r="C107" s="6">
        <f t="shared" si="2"/>
        <v>97.6</v>
      </c>
      <c r="D107" s="6">
        <f t="shared" si="3"/>
        <v>16.63225</v>
      </c>
    </row>
    <row r="108">
      <c r="A108" s="4" t="s">
        <v>12144</v>
      </c>
      <c r="B108" s="10">
        <f t="shared" si="1"/>
        <v>0</v>
      </c>
      <c r="C108" s="6">
        <f t="shared" si="2"/>
        <v>97.6</v>
      </c>
      <c r="D108" s="6">
        <f t="shared" si="3"/>
        <v>16.632877</v>
      </c>
    </row>
    <row r="109">
      <c r="A109" s="4" t="s">
        <v>12145</v>
      </c>
      <c r="B109" s="10">
        <f t="shared" si="1"/>
        <v>0</v>
      </c>
      <c r="C109" s="6">
        <f t="shared" si="2"/>
        <v>97.6</v>
      </c>
      <c r="D109" s="6">
        <f t="shared" si="3"/>
        <v>16.633421</v>
      </c>
    </row>
    <row r="110">
      <c r="A110" s="4" t="s">
        <v>12146</v>
      </c>
      <c r="B110" s="10">
        <f t="shared" si="1"/>
        <v>0</v>
      </c>
      <c r="C110" s="6">
        <f t="shared" si="2"/>
        <v>97.1</v>
      </c>
      <c r="D110" s="6">
        <f t="shared" si="3"/>
        <v>16.551215</v>
      </c>
    </row>
    <row r="111">
      <c r="A111" s="4" t="s">
        <v>12147</v>
      </c>
      <c r="B111" s="10">
        <f t="shared" si="1"/>
        <v>100</v>
      </c>
      <c r="C111" s="6">
        <f t="shared" si="2"/>
        <v>96.6</v>
      </c>
      <c r="D111" s="6">
        <f t="shared" si="3"/>
        <v>16.460087</v>
      </c>
    </row>
    <row r="112">
      <c r="A112" s="4" t="s">
        <v>12148</v>
      </c>
      <c r="B112" s="10">
        <f t="shared" si="1"/>
        <v>50</v>
      </c>
      <c r="C112" s="6">
        <f t="shared" si="2"/>
        <v>97.5</v>
      </c>
      <c r="D112" s="6">
        <f t="shared" si="3"/>
        <v>16.610811</v>
      </c>
    </row>
    <row r="113">
      <c r="A113" s="4" t="s">
        <v>12149</v>
      </c>
      <c r="B113" s="10">
        <f t="shared" si="1"/>
        <v>0</v>
      </c>
      <c r="C113" s="6">
        <f t="shared" si="2"/>
        <v>96</v>
      </c>
      <c r="D113" s="6">
        <f t="shared" si="3"/>
        <v>16.363241</v>
      </c>
    </row>
    <row r="114">
      <c r="A114" s="4" t="s">
        <v>12150</v>
      </c>
      <c r="B114" s="10">
        <f t="shared" si="1"/>
        <v>0</v>
      </c>
      <c r="C114" s="6">
        <f t="shared" si="2"/>
        <v>96</v>
      </c>
      <c r="D114" s="6">
        <f t="shared" si="3"/>
        <v>16.359546</v>
      </c>
    </row>
    <row r="115">
      <c r="A115" s="4" t="s">
        <v>12151</v>
      </c>
      <c r="B115" s="10">
        <f t="shared" si="1"/>
        <v>0</v>
      </c>
      <c r="C115" s="6">
        <f t="shared" si="2"/>
        <v>96.2</v>
      </c>
      <c r="D115" s="6">
        <f t="shared" si="3"/>
        <v>16.389193</v>
      </c>
    </row>
    <row r="116">
      <c r="A116" s="4" t="s">
        <v>12152</v>
      </c>
      <c r="B116" s="10">
        <f t="shared" si="1"/>
        <v>50</v>
      </c>
      <c r="C116" s="6">
        <f t="shared" si="2"/>
        <v>96.2</v>
      </c>
      <c r="D116" s="6">
        <f t="shared" si="3"/>
        <v>16.399425</v>
      </c>
    </row>
    <row r="117">
      <c r="A117" s="4" t="s">
        <v>12153</v>
      </c>
      <c r="B117" s="10">
        <f t="shared" si="1"/>
        <v>0</v>
      </c>
      <c r="C117" s="6">
        <f t="shared" si="2"/>
        <v>96.2</v>
      </c>
      <c r="D117" s="6">
        <f t="shared" si="3"/>
        <v>16.397107</v>
      </c>
    </row>
    <row r="118">
      <c r="A118" s="4" t="s">
        <v>12154</v>
      </c>
      <c r="B118" s="10">
        <f t="shared" si="1"/>
        <v>20</v>
      </c>
      <c r="C118" s="6">
        <f t="shared" si="2"/>
        <v>96.3</v>
      </c>
      <c r="D118" s="6">
        <f t="shared" si="3"/>
        <v>16.404783</v>
      </c>
    </row>
    <row r="119">
      <c r="A119" s="4" t="s">
        <v>12155</v>
      </c>
      <c r="B119" s="10">
        <f t="shared" si="1"/>
        <v>0</v>
      </c>
      <c r="C119" s="6">
        <f t="shared" si="2"/>
        <v>96.3</v>
      </c>
      <c r="D119" s="6">
        <f t="shared" si="3"/>
        <v>16.407347</v>
      </c>
    </row>
    <row r="120">
      <c r="A120" s="4" t="s">
        <v>12156</v>
      </c>
      <c r="B120" s="10">
        <f t="shared" si="1"/>
        <v>50</v>
      </c>
      <c r="C120" s="6">
        <f t="shared" si="2"/>
        <v>96.3</v>
      </c>
      <c r="D120" s="6">
        <f t="shared" si="3"/>
        <v>16.415993</v>
      </c>
    </row>
    <row r="121">
      <c r="A121" s="4" t="s">
        <v>12157</v>
      </c>
      <c r="B121" s="10">
        <f t="shared" si="1"/>
        <v>0</v>
      </c>
      <c r="C121" s="6">
        <f t="shared" si="2"/>
        <v>96.3</v>
      </c>
      <c r="D121" s="6">
        <f t="shared" si="3"/>
        <v>16.416677</v>
      </c>
    </row>
    <row r="122">
      <c r="A122" s="4" t="s">
        <v>12158</v>
      </c>
      <c r="B122" s="10">
        <f t="shared" si="1"/>
        <v>100</v>
      </c>
      <c r="C122" s="6">
        <f t="shared" si="2"/>
        <v>93.5</v>
      </c>
      <c r="D122" s="6">
        <f t="shared" si="3"/>
        <v>15.927529</v>
      </c>
    </row>
    <row r="123">
      <c r="A123" s="4" t="s">
        <v>12159</v>
      </c>
      <c r="B123" s="10">
        <f t="shared" si="1"/>
        <v>0</v>
      </c>
      <c r="C123" s="6">
        <f t="shared" si="2"/>
        <v>93.4</v>
      </c>
      <c r="D123" s="6">
        <f t="shared" si="3"/>
        <v>15.922688</v>
      </c>
    </row>
    <row r="124">
      <c r="A124" s="4" t="s">
        <v>12160</v>
      </c>
      <c r="B124" s="10">
        <f t="shared" si="1"/>
        <v>0</v>
      </c>
      <c r="C124" s="6">
        <f t="shared" si="2"/>
        <v>93.3</v>
      </c>
      <c r="D124" s="6">
        <f t="shared" si="3"/>
        <v>15.901376</v>
      </c>
    </row>
    <row r="125">
      <c r="A125" s="4" t="s">
        <v>12161</v>
      </c>
      <c r="B125" s="10">
        <f t="shared" si="1"/>
        <v>14.3</v>
      </c>
      <c r="C125" s="6">
        <f t="shared" si="2"/>
        <v>93.3</v>
      </c>
      <c r="D125" s="6">
        <f t="shared" si="3"/>
        <v>15.897587</v>
      </c>
    </row>
    <row r="126">
      <c r="A126" s="4" t="s">
        <v>12162</v>
      </c>
      <c r="B126" s="10">
        <f t="shared" si="1"/>
        <v>0</v>
      </c>
      <c r="C126" s="6">
        <f t="shared" si="2"/>
        <v>93.4</v>
      </c>
      <c r="D126" s="6">
        <f t="shared" si="3"/>
        <v>15.910916</v>
      </c>
    </row>
    <row r="127">
      <c r="A127" s="4" t="s">
        <v>12163</v>
      </c>
      <c r="B127" s="10">
        <f t="shared" si="1"/>
        <v>0</v>
      </c>
      <c r="C127" s="6">
        <f t="shared" si="2"/>
        <v>93.6</v>
      </c>
      <c r="D127" s="6">
        <f t="shared" si="3"/>
        <v>15.949598</v>
      </c>
    </row>
    <row r="128">
      <c r="A128" s="4" t="s">
        <v>12164</v>
      </c>
      <c r="B128" s="10">
        <f t="shared" si="1"/>
        <v>100</v>
      </c>
      <c r="C128" s="6">
        <f t="shared" si="2"/>
        <v>93.7</v>
      </c>
      <c r="D128" s="6">
        <f t="shared" si="3"/>
        <v>15.969136</v>
      </c>
    </row>
    <row r="129">
      <c r="A129" s="4" t="s">
        <v>12165</v>
      </c>
      <c r="B129" s="10">
        <f t="shared" si="1"/>
        <v>100</v>
      </c>
      <c r="C129" s="6">
        <f t="shared" si="2"/>
        <v>93.7</v>
      </c>
      <c r="D129" s="6">
        <f t="shared" si="3"/>
        <v>15.975944</v>
      </c>
    </row>
    <row r="130">
      <c r="A130" s="4" t="s">
        <v>12166</v>
      </c>
      <c r="B130" s="10">
        <f t="shared" si="1"/>
        <v>75</v>
      </c>
      <c r="C130" s="6">
        <f t="shared" si="2"/>
        <v>93.8</v>
      </c>
      <c r="D130" s="6">
        <f t="shared" si="3"/>
        <v>15.978819</v>
      </c>
    </row>
    <row r="131">
      <c r="A131" s="4" t="s">
        <v>12167</v>
      </c>
      <c r="B131" s="10">
        <f t="shared" si="1"/>
        <v>0</v>
      </c>
      <c r="C131" s="6">
        <f t="shared" si="2"/>
        <v>94.1</v>
      </c>
      <c r="D131" s="6">
        <f t="shared" si="3"/>
        <v>16.035934</v>
      </c>
    </row>
    <row r="132">
      <c r="A132" s="4" t="s">
        <v>12168</v>
      </c>
      <c r="B132" s="10">
        <f t="shared" si="1"/>
        <v>20</v>
      </c>
      <c r="C132" s="6">
        <f t="shared" si="2"/>
        <v>94.2</v>
      </c>
      <c r="D132" s="6">
        <f t="shared" si="3"/>
        <v>16.04653</v>
      </c>
    </row>
    <row r="133">
      <c r="A133" s="4" t="s">
        <v>12169</v>
      </c>
      <c r="B133" s="10">
        <f t="shared" si="1"/>
        <v>0</v>
      </c>
      <c r="C133" s="6">
        <f t="shared" si="2"/>
        <v>94.3</v>
      </c>
      <c r="D133" s="6">
        <f t="shared" si="3"/>
        <v>16.075759</v>
      </c>
    </row>
    <row r="134">
      <c r="A134" s="4" t="s">
        <v>12170</v>
      </c>
      <c r="B134" s="10">
        <f t="shared" si="1"/>
        <v>100</v>
      </c>
      <c r="C134" s="6">
        <f t="shared" si="2"/>
        <v>94.3</v>
      </c>
      <c r="D134" s="6">
        <f t="shared" si="3"/>
        <v>16.074813</v>
      </c>
    </row>
    <row r="135">
      <c r="A135" s="4" t="s">
        <v>12171</v>
      </c>
      <c r="B135" s="10">
        <f t="shared" si="1"/>
        <v>0</v>
      </c>
      <c r="C135" s="6">
        <f t="shared" si="2"/>
        <v>94.3</v>
      </c>
      <c r="D135" s="6">
        <f t="shared" si="3"/>
        <v>16.074149</v>
      </c>
    </row>
    <row r="136">
      <c r="A136" s="4" t="s">
        <v>12172</v>
      </c>
      <c r="B136" s="10">
        <f t="shared" si="1"/>
        <v>0</v>
      </c>
      <c r="C136" s="6">
        <f t="shared" si="2"/>
        <v>94.4</v>
      </c>
      <c r="D136" s="6">
        <f t="shared" si="3"/>
        <v>16.084611</v>
      </c>
    </row>
    <row r="137">
      <c r="A137" s="4" t="s">
        <v>12173</v>
      </c>
      <c r="B137" s="10">
        <f t="shared" si="1"/>
        <v>100</v>
      </c>
      <c r="C137" s="6">
        <f t="shared" si="2"/>
        <v>94.4</v>
      </c>
      <c r="D137" s="6">
        <f t="shared" si="3"/>
        <v>16.081063</v>
      </c>
    </row>
    <row r="138">
      <c r="A138" s="4" t="s">
        <v>12174</v>
      </c>
      <c r="B138" s="10">
        <f t="shared" si="1"/>
        <v>0</v>
      </c>
      <c r="C138" s="6">
        <f t="shared" si="2"/>
        <v>94.4</v>
      </c>
      <c r="D138" s="6">
        <f t="shared" si="3"/>
        <v>16.078635</v>
      </c>
    </row>
    <row r="139">
      <c r="A139" s="4" t="s">
        <v>12175</v>
      </c>
      <c r="B139" s="10">
        <f t="shared" si="1"/>
        <v>0</v>
      </c>
      <c r="C139" s="6">
        <f t="shared" si="2"/>
        <v>94.9</v>
      </c>
      <c r="D139" s="6">
        <f t="shared" si="3"/>
        <v>16.171855</v>
      </c>
    </row>
    <row r="140">
      <c r="A140" s="4" t="s">
        <v>12176</v>
      </c>
      <c r="B140" s="10">
        <f t="shared" si="1"/>
        <v>100</v>
      </c>
      <c r="C140" s="6">
        <f t="shared" si="2"/>
        <v>95</v>
      </c>
      <c r="D140" s="6">
        <f t="shared" si="3"/>
        <v>16.184033</v>
      </c>
    </row>
    <row r="141">
      <c r="A141" s="4" t="s">
        <v>12177</v>
      </c>
      <c r="B141" s="10">
        <f t="shared" si="1"/>
        <v>0</v>
      </c>
      <c r="C141" s="6">
        <f t="shared" si="2"/>
        <v>95.4</v>
      </c>
      <c r="D141" s="6">
        <f t="shared" si="3"/>
        <v>16.250433</v>
      </c>
    </row>
    <row r="142">
      <c r="A142" s="4" t="s">
        <v>12178</v>
      </c>
      <c r="B142" s="10">
        <f t="shared" si="1"/>
        <v>16.7</v>
      </c>
      <c r="C142" s="6">
        <f t="shared" si="2"/>
        <v>95.3</v>
      </c>
      <c r="D142" s="6">
        <f t="shared" si="3"/>
        <v>16.235417</v>
      </c>
    </row>
    <row r="143">
      <c r="A143" s="4" t="s">
        <v>12179</v>
      </c>
      <c r="B143" s="10">
        <f t="shared" si="1"/>
        <v>0</v>
      </c>
      <c r="C143" s="6">
        <f t="shared" si="2"/>
        <v>95.3</v>
      </c>
      <c r="D143" s="6">
        <f t="shared" si="3"/>
        <v>16.242388</v>
      </c>
    </row>
    <row r="144">
      <c r="A144" s="4" t="s">
        <v>12180</v>
      </c>
      <c r="B144" s="10">
        <f t="shared" si="1"/>
        <v>100</v>
      </c>
      <c r="C144" s="6">
        <f t="shared" si="2"/>
        <v>95.3</v>
      </c>
      <c r="D144" s="6">
        <f t="shared" si="3"/>
        <v>16.240775</v>
      </c>
    </row>
    <row r="145">
      <c r="A145" s="4" t="s">
        <v>12181</v>
      </c>
      <c r="B145" s="10">
        <f t="shared" si="1"/>
        <v>0</v>
      </c>
      <c r="C145" s="6">
        <f t="shared" si="2"/>
        <v>95.6</v>
      </c>
      <c r="D145" s="6">
        <f t="shared" si="3"/>
        <v>16.282972</v>
      </c>
    </row>
    <row r="146">
      <c r="A146" s="4" t="s">
        <v>12182</v>
      </c>
      <c r="B146" s="10">
        <f t="shared" si="1"/>
        <v>0</v>
      </c>
      <c r="C146" s="6">
        <f t="shared" si="2"/>
        <v>95.5</v>
      </c>
      <c r="D146" s="6">
        <f t="shared" si="3"/>
        <v>16.282001</v>
      </c>
    </row>
    <row r="147">
      <c r="A147" s="4" t="s">
        <v>12183</v>
      </c>
      <c r="B147" s="10">
        <f t="shared" si="1"/>
        <v>0</v>
      </c>
      <c r="C147" s="6">
        <f t="shared" si="2"/>
        <v>95.5</v>
      </c>
      <c r="D147" s="6">
        <f t="shared" si="3"/>
        <v>16.281714</v>
      </c>
    </row>
    <row r="148">
      <c r="A148" s="4" t="s">
        <v>12184</v>
      </c>
      <c r="B148" s="10">
        <f t="shared" si="1"/>
        <v>33.3</v>
      </c>
      <c r="C148" s="6">
        <f t="shared" si="2"/>
        <v>95.6</v>
      </c>
      <c r="D148" s="6">
        <f t="shared" si="3"/>
        <v>16.283922</v>
      </c>
    </row>
    <row r="149">
      <c r="A149" s="4" t="s">
        <v>12185</v>
      </c>
      <c r="B149" s="10">
        <f t="shared" si="1"/>
        <v>0</v>
      </c>
      <c r="C149" s="6">
        <f t="shared" si="2"/>
        <v>95.6</v>
      </c>
      <c r="D149" s="6">
        <f t="shared" si="3"/>
        <v>16.282951</v>
      </c>
    </row>
    <row r="150">
      <c r="A150" s="4" t="s">
        <v>12186</v>
      </c>
      <c r="B150" s="10">
        <f t="shared" si="1"/>
        <v>0</v>
      </c>
      <c r="C150" s="6">
        <f t="shared" si="2"/>
        <v>95.5</v>
      </c>
      <c r="D150" s="6">
        <f t="shared" si="3"/>
        <v>16.282247</v>
      </c>
    </row>
    <row r="151">
      <c r="A151" s="4" t="s">
        <v>12187</v>
      </c>
      <c r="B151" s="10">
        <f t="shared" si="1"/>
        <v>0</v>
      </c>
      <c r="C151" s="6">
        <f t="shared" si="2"/>
        <v>95.7</v>
      </c>
      <c r="D151" s="6">
        <f t="shared" si="3"/>
        <v>16.300666</v>
      </c>
    </row>
    <row r="152">
      <c r="A152" s="4" t="s">
        <v>12188</v>
      </c>
      <c r="B152" s="10">
        <f t="shared" si="1"/>
        <v>66.7</v>
      </c>
      <c r="C152" s="6">
        <f t="shared" si="2"/>
        <v>95.6</v>
      </c>
      <c r="D152" s="6">
        <f t="shared" si="3"/>
        <v>16.292999</v>
      </c>
    </row>
    <row r="153">
      <c r="A153" s="4" t="s">
        <v>12189</v>
      </c>
      <c r="B153" s="10">
        <f t="shared" si="1"/>
        <v>37.5</v>
      </c>
      <c r="C153" s="6">
        <f t="shared" si="2"/>
        <v>95.9</v>
      </c>
      <c r="D153" s="6">
        <f t="shared" si="3"/>
        <v>16.344719</v>
      </c>
    </row>
    <row r="154">
      <c r="A154" s="4" t="s">
        <v>12190</v>
      </c>
      <c r="B154" s="10">
        <f t="shared" si="1"/>
        <v>0</v>
      </c>
      <c r="C154" s="6">
        <f t="shared" si="2"/>
        <v>96.1</v>
      </c>
      <c r="D154" s="6">
        <f t="shared" si="3"/>
        <v>16.3712</v>
      </c>
    </row>
    <row r="155">
      <c r="A155" s="4" t="s">
        <v>12191</v>
      </c>
      <c r="B155" s="10">
        <f t="shared" si="1"/>
        <v>0</v>
      </c>
      <c r="C155" s="6">
        <f t="shared" si="2"/>
        <v>96.1</v>
      </c>
      <c r="D155" s="6">
        <f t="shared" si="3"/>
        <v>16.380362</v>
      </c>
    </row>
    <row r="156">
      <c r="A156" s="4" t="s">
        <v>12192</v>
      </c>
      <c r="B156" s="10">
        <f t="shared" si="1"/>
        <v>0</v>
      </c>
      <c r="C156" s="6">
        <f t="shared" si="2"/>
        <v>96.2</v>
      </c>
      <c r="D156" s="6">
        <f t="shared" si="3"/>
        <v>16.389529</v>
      </c>
    </row>
    <row r="157">
      <c r="A157" s="4" t="s">
        <v>12193</v>
      </c>
      <c r="B157" s="10">
        <f t="shared" si="1"/>
        <v>0</v>
      </c>
      <c r="C157" s="6">
        <f t="shared" si="2"/>
        <v>96.2</v>
      </c>
      <c r="D157" s="6">
        <f t="shared" si="3"/>
        <v>16.387342</v>
      </c>
    </row>
    <row r="158">
      <c r="A158" s="4" t="s">
        <v>12194</v>
      </c>
      <c r="B158" s="10">
        <f t="shared" si="1"/>
        <v>0</v>
      </c>
      <c r="C158" s="6">
        <f t="shared" si="2"/>
        <v>96.3</v>
      </c>
      <c r="D158" s="6">
        <f t="shared" si="3"/>
        <v>16.408399</v>
      </c>
    </row>
    <row r="159">
      <c r="A159" s="4" t="s">
        <v>12195</v>
      </c>
      <c r="B159" s="10">
        <f t="shared" si="1"/>
        <v>66.7</v>
      </c>
      <c r="C159" s="6">
        <f t="shared" si="2"/>
        <v>96.3</v>
      </c>
      <c r="D159" s="6">
        <f t="shared" si="3"/>
        <v>16.415891</v>
      </c>
    </row>
    <row r="160">
      <c r="A160" s="4" t="s">
        <v>12196</v>
      </c>
      <c r="B160" s="10">
        <f t="shared" si="1"/>
        <v>20</v>
      </c>
      <c r="C160" s="6">
        <f t="shared" si="2"/>
        <v>96.2</v>
      </c>
      <c r="D160" s="6">
        <f t="shared" si="3"/>
        <v>16.398348</v>
      </c>
    </row>
    <row r="161">
      <c r="A161" s="4" t="s">
        <v>12197</v>
      </c>
      <c r="B161" s="10">
        <f t="shared" si="1"/>
        <v>0</v>
      </c>
      <c r="C161" s="6">
        <f t="shared" si="2"/>
        <v>96.2</v>
      </c>
      <c r="D161" s="6">
        <f t="shared" si="3"/>
        <v>16.39843</v>
      </c>
    </row>
    <row r="162">
      <c r="A162" s="4" t="s">
        <v>12198</v>
      </c>
      <c r="B162" s="10">
        <f t="shared" si="1"/>
        <v>28.6</v>
      </c>
      <c r="C162" s="6">
        <f t="shared" si="2"/>
        <v>96.5</v>
      </c>
      <c r="D162" s="6">
        <f t="shared" si="3"/>
        <v>16.452124</v>
      </c>
    </row>
    <row r="163">
      <c r="A163" s="4" t="s">
        <v>12199</v>
      </c>
      <c r="B163" s="10">
        <f t="shared" si="1"/>
        <v>0</v>
      </c>
      <c r="C163" s="6">
        <f t="shared" si="2"/>
        <v>96.6</v>
      </c>
      <c r="D163" s="6">
        <f t="shared" si="3"/>
        <v>16.453701</v>
      </c>
    </row>
    <row r="164">
      <c r="A164" s="4" t="s">
        <v>12200</v>
      </c>
      <c r="B164" s="10">
        <f t="shared" si="1"/>
        <v>0</v>
      </c>
      <c r="C164" s="6">
        <f t="shared" si="2"/>
        <v>96.6</v>
      </c>
      <c r="D164" s="6">
        <f t="shared" si="3"/>
        <v>16.460136</v>
      </c>
    </row>
    <row r="165">
      <c r="A165" s="4" t="s">
        <v>12201</v>
      </c>
      <c r="B165" s="10">
        <f t="shared" si="1"/>
        <v>66.7</v>
      </c>
      <c r="C165" s="6">
        <f t="shared" si="2"/>
        <v>96.7</v>
      </c>
      <c r="D165" s="6">
        <f t="shared" si="3"/>
        <v>16.473808</v>
      </c>
    </row>
    <row r="166">
      <c r="A166" s="4" t="s">
        <v>12202</v>
      </c>
      <c r="B166" s="10">
        <f t="shared" si="1"/>
        <v>0</v>
      </c>
      <c r="C166" s="6">
        <f t="shared" si="2"/>
        <v>96.7</v>
      </c>
      <c r="D166" s="6">
        <f t="shared" si="3"/>
        <v>16.470429</v>
      </c>
    </row>
    <row r="167">
      <c r="A167" s="4" t="s">
        <v>12203</v>
      </c>
      <c r="B167" s="10">
        <f t="shared" si="1"/>
        <v>0</v>
      </c>
      <c r="C167" s="6">
        <f t="shared" si="2"/>
        <v>97.6</v>
      </c>
      <c r="D167" s="6">
        <f t="shared" si="3"/>
        <v>16.624697</v>
      </c>
    </row>
    <row r="168">
      <c r="A168" s="4" t="s">
        <v>12204</v>
      </c>
      <c r="B168" s="10">
        <f t="shared" si="1"/>
        <v>0</v>
      </c>
      <c r="C168" s="6">
        <f t="shared" si="2"/>
        <v>97.4</v>
      </c>
      <c r="D168" s="6">
        <f t="shared" si="3"/>
        <v>16.602632</v>
      </c>
    </row>
    <row r="169">
      <c r="A169" s="4" t="s">
        <v>12205</v>
      </c>
      <c r="B169" s="10">
        <f t="shared" si="1"/>
        <v>0</v>
      </c>
      <c r="C169" s="6">
        <f t="shared" si="2"/>
        <v>97.2</v>
      </c>
      <c r="D169" s="6">
        <f t="shared" si="3"/>
        <v>16.571219</v>
      </c>
    </row>
    <row r="170">
      <c r="A170" s="4" t="s">
        <v>12206</v>
      </c>
      <c r="B170" s="10">
        <f t="shared" si="1"/>
        <v>0</v>
      </c>
      <c r="C170" s="6">
        <f t="shared" si="2"/>
        <v>97.3</v>
      </c>
      <c r="D170" s="6">
        <f t="shared" si="3"/>
        <v>16.582414</v>
      </c>
    </row>
    <row r="171">
      <c r="A171" s="4" t="s">
        <v>12207</v>
      </c>
      <c r="B171" s="10">
        <f t="shared" si="1"/>
        <v>100</v>
      </c>
      <c r="C171" s="6">
        <f t="shared" si="2"/>
        <v>97.3</v>
      </c>
      <c r="D171" s="6">
        <f t="shared" si="3"/>
        <v>16.580698</v>
      </c>
    </row>
    <row r="172">
      <c r="A172" s="4" t="s">
        <v>12208</v>
      </c>
      <c r="B172" s="10">
        <f t="shared" si="1"/>
        <v>0</v>
      </c>
      <c r="C172" s="6">
        <f t="shared" si="2"/>
        <v>97.3</v>
      </c>
      <c r="D172" s="6">
        <f t="shared" si="3"/>
        <v>16.57747</v>
      </c>
    </row>
    <row r="173">
      <c r="A173" s="4" t="s">
        <v>12209</v>
      </c>
      <c r="B173" s="10">
        <f t="shared" si="1"/>
        <v>20</v>
      </c>
      <c r="C173" s="6">
        <f t="shared" si="2"/>
        <v>97.3</v>
      </c>
      <c r="D173" s="6">
        <f t="shared" si="3"/>
        <v>16.577798</v>
      </c>
    </row>
    <row r="174">
      <c r="A174" s="4" t="s">
        <v>12210</v>
      </c>
      <c r="B174" s="10">
        <f t="shared" si="1"/>
        <v>100</v>
      </c>
      <c r="C174" s="6">
        <f t="shared" si="2"/>
        <v>97</v>
      </c>
      <c r="D174" s="6">
        <f t="shared" si="3"/>
        <v>16.536502</v>
      </c>
    </row>
    <row r="175">
      <c r="A175" s="4" t="s">
        <v>12211</v>
      </c>
      <c r="B175" s="10">
        <f t="shared" si="1"/>
        <v>16.7</v>
      </c>
      <c r="C175" s="6">
        <f t="shared" si="2"/>
        <v>96.5</v>
      </c>
      <c r="D175" s="6">
        <f t="shared" si="3"/>
        <v>16.445042</v>
      </c>
    </row>
    <row r="176">
      <c r="A176" s="4" t="s">
        <v>12212</v>
      </c>
      <c r="B176" s="10">
        <f t="shared" si="1"/>
        <v>0</v>
      </c>
      <c r="C176" s="6">
        <f t="shared" si="2"/>
        <v>96.6</v>
      </c>
      <c r="D176" s="6">
        <f t="shared" si="3"/>
        <v>16.468353</v>
      </c>
    </row>
    <row r="177">
      <c r="A177" s="4" t="s">
        <v>12213</v>
      </c>
      <c r="B177" s="10">
        <f t="shared" si="1"/>
        <v>0</v>
      </c>
      <c r="C177" s="6">
        <f t="shared" si="2"/>
        <v>96.6</v>
      </c>
      <c r="D177" s="6">
        <f t="shared" si="3"/>
        <v>16.459382</v>
      </c>
    </row>
    <row r="178">
      <c r="A178" s="4" t="s">
        <v>12214</v>
      </c>
      <c r="B178" s="10">
        <f t="shared" si="1"/>
        <v>100</v>
      </c>
      <c r="C178" s="6">
        <f t="shared" si="2"/>
        <v>96.6</v>
      </c>
      <c r="D178" s="6">
        <f t="shared" si="3"/>
        <v>16.466341</v>
      </c>
    </row>
    <row r="179">
      <c r="A179" s="4" t="s">
        <v>12215</v>
      </c>
      <c r="B179" s="10">
        <f t="shared" si="1"/>
        <v>11.1</v>
      </c>
      <c r="C179" s="6">
        <f t="shared" si="2"/>
        <v>96.8</v>
      </c>
      <c r="D179" s="6">
        <f t="shared" si="3"/>
        <v>16.499826</v>
      </c>
    </row>
    <row r="180">
      <c r="A180" s="4" t="s">
        <v>12216</v>
      </c>
      <c r="B180" s="10">
        <f t="shared" si="1"/>
        <v>0</v>
      </c>
      <c r="C180" s="6">
        <f t="shared" si="2"/>
        <v>96.8</v>
      </c>
      <c r="D180" s="6">
        <f t="shared" si="3"/>
        <v>16.501096</v>
      </c>
    </row>
    <row r="181">
      <c r="A181" s="4" t="s">
        <v>12217</v>
      </c>
      <c r="B181" s="10">
        <f t="shared" si="1"/>
        <v>0</v>
      </c>
      <c r="C181" s="6">
        <f t="shared" si="2"/>
        <v>96.9</v>
      </c>
      <c r="D181" s="6">
        <f t="shared" si="3"/>
        <v>16.517488</v>
      </c>
    </row>
    <row r="182">
      <c r="A182" s="4" t="s">
        <v>12218</v>
      </c>
      <c r="B182" s="10">
        <f t="shared" si="1"/>
        <v>0</v>
      </c>
      <c r="C182" s="6">
        <f t="shared" si="2"/>
        <v>96.9</v>
      </c>
      <c r="D182" s="6">
        <f t="shared" si="3"/>
        <v>16.506478</v>
      </c>
    </row>
    <row r="183">
      <c r="A183" s="4" t="s">
        <v>12219</v>
      </c>
      <c r="B183" s="10">
        <f t="shared" si="1"/>
        <v>0</v>
      </c>
      <c r="C183" s="6">
        <f t="shared" si="2"/>
        <v>97.2</v>
      </c>
      <c r="D183" s="6">
        <f t="shared" si="3"/>
        <v>16.569122</v>
      </c>
    </row>
    <row r="184">
      <c r="A184" s="4" t="s">
        <v>12220</v>
      </c>
      <c r="B184" s="10">
        <f t="shared" si="1"/>
        <v>14.3</v>
      </c>
      <c r="C184" s="6">
        <f t="shared" si="2"/>
        <v>97.2</v>
      </c>
      <c r="D184" s="6">
        <f t="shared" si="3"/>
        <v>16.570433</v>
      </c>
    </row>
    <row r="185">
      <c r="A185" s="4" t="s">
        <v>12221</v>
      </c>
      <c r="B185" s="10">
        <f t="shared" si="1"/>
        <v>22.2</v>
      </c>
      <c r="C185" s="6">
        <f t="shared" si="2"/>
        <v>97.3</v>
      </c>
      <c r="D185" s="6">
        <f t="shared" si="3"/>
        <v>16.574685</v>
      </c>
    </row>
    <row r="186">
      <c r="A186" s="4" t="s">
        <v>12222</v>
      </c>
      <c r="B186" s="10">
        <f t="shared" si="1"/>
        <v>0</v>
      </c>
      <c r="C186" s="6">
        <f t="shared" si="2"/>
        <v>97.1</v>
      </c>
      <c r="D186" s="6">
        <f t="shared" si="3"/>
        <v>16.543707</v>
      </c>
    </row>
    <row r="187">
      <c r="A187" s="4" t="s">
        <v>12223</v>
      </c>
      <c r="B187" s="10">
        <f t="shared" si="1"/>
        <v>0</v>
      </c>
      <c r="C187" s="6">
        <f t="shared" si="2"/>
        <v>97</v>
      </c>
      <c r="D187" s="6">
        <f t="shared" si="3"/>
        <v>16.534986</v>
      </c>
    </row>
    <row r="188">
      <c r="A188" s="4" t="s">
        <v>12224</v>
      </c>
      <c r="B188" s="10">
        <f t="shared" si="1"/>
        <v>0</v>
      </c>
      <c r="C188" s="6">
        <f t="shared" si="2"/>
        <v>97.1</v>
      </c>
      <c r="D188" s="6">
        <f t="shared" si="3"/>
        <v>16.545366</v>
      </c>
    </row>
    <row r="189">
      <c r="A189" s="4" t="s">
        <v>12225</v>
      </c>
      <c r="B189" s="10">
        <f t="shared" si="1"/>
        <v>0</v>
      </c>
      <c r="C189" s="6">
        <f t="shared" si="2"/>
        <v>97.1</v>
      </c>
      <c r="D189" s="6">
        <f t="shared" si="3"/>
        <v>16.538865</v>
      </c>
    </row>
    <row r="190">
      <c r="A190" s="4" t="s">
        <v>12226</v>
      </c>
      <c r="B190" s="10">
        <f t="shared" si="1"/>
        <v>0</v>
      </c>
      <c r="C190" s="6">
        <f t="shared" si="2"/>
        <v>97</v>
      </c>
      <c r="D190" s="6">
        <f t="shared" si="3"/>
        <v>16.538308</v>
      </c>
    </row>
    <row r="191">
      <c r="A191" s="4" t="s">
        <v>12227</v>
      </c>
      <c r="B191" s="10">
        <f t="shared" si="1"/>
        <v>33.3</v>
      </c>
      <c r="C191" s="6">
        <f t="shared" si="2"/>
        <v>97.1</v>
      </c>
      <c r="D191" s="6">
        <f t="shared" si="3"/>
        <v>16.539459</v>
      </c>
    </row>
    <row r="192">
      <c r="A192" s="4" t="s">
        <v>12228</v>
      </c>
      <c r="B192" s="10">
        <f t="shared" si="1"/>
        <v>0</v>
      </c>
      <c r="C192" s="6">
        <f t="shared" si="2"/>
        <v>97.1</v>
      </c>
      <c r="D192" s="6">
        <f t="shared" si="3"/>
        <v>16.543711</v>
      </c>
    </row>
    <row r="193">
      <c r="A193" s="4" t="s">
        <v>12229</v>
      </c>
      <c r="B193" s="10">
        <f t="shared" si="1"/>
        <v>50</v>
      </c>
      <c r="C193" s="6">
        <f t="shared" si="2"/>
        <v>97.2</v>
      </c>
      <c r="D193" s="6">
        <f t="shared" si="3"/>
        <v>16.567812</v>
      </c>
    </row>
    <row r="194">
      <c r="A194" s="4" t="s">
        <v>12230</v>
      </c>
      <c r="B194" s="10">
        <f t="shared" si="1"/>
        <v>0</v>
      </c>
      <c r="C194" s="6">
        <f t="shared" si="2"/>
        <v>97.2</v>
      </c>
      <c r="D194" s="6">
        <f t="shared" si="3"/>
        <v>16.570511</v>
      </c>
    </row>
    <row r="195">
      <c r="A195" s="4" t="s">
        <v>12231</v>
      </c>
      <c r="B195" s="10">
        <f t="shared" si="1"/>
        <v>33.3</v>
      </c>
      <c r="C195" s="6">
        <f t="shared" si="2"/>
        <v>97.3</v>
      </c>
      <c r="D195" s="6">
        <f t="shared" si="3"/>
        <v>16.582201</v>
      </c>
    </row>
    <row r="196">
      <c r="A196" s="4" t="s">
        <v>12232</v>
      </c>
      <c r="B196" s="10">
        <f t="shared" si="1"/>
        <v>0</v>
      </c>
      <c r="C196" s="6">
        <f t="shared" si="2"/>
        <v>97.5</v>
      </c>
      <c r="D196" s="6">
        <f t="shared" si="3"/>
        <v>16.610689</v>
      </c>
    </row>
    <row r="197">
      <c r="A197" s="4" t="s">
        <v>12233</v>
      </c>
      <c r="B197" s="10">
        <f t="shared" si="1"/>
        <v>0</v>
      </c>
      <c r="C197" s="6">
        <f t="shared" si="2"/>
        <v>97.5</v>
      </c>
      <c r="D197" s="6">
        <f t="shared" si="3"/>
        <v>16.609812</v>
      </c>
    </row>
    <row r="198">
      <c r="A198" s="4" t="s">
        <v>12234</v>
      </c>
      <c r="B198" s="10">
        <f t="shared" si="1"/>
        <v>100</v>
      </c>
      <c r="C198" s="6">
        <f t="shared" si="2"/>
        <v>97.5</v>
      </c>
      <c r="D198" s="6">
        <f t="shared" si="3"/>
        <v>16.612499</v>
      </c>
    </row>
    <row r="199">
      <c r="A199" s="4" t="s">
        <v>12235</v>
      </c>
      <c r="B199" s="10">
        <f t="shared" si="1"/>
        <v>0</v>
      </c>
      <c r="C199" s="6">
        <f t="shared" si="2"/>
        <v>97.5</v>
      </c>
      <c r="D199" s="6">
        <f t="shared" si="3"/>
        <v>16.621035</v>
      </c>
    </row>
    <row r="200">
      <c r="A200" s="4" t="s">
        <v>12236</v>
      </c>
      <c r="B200" s="10">
        <f t="shared" si="1"/>
        <v>100</v>
      </c>
      <c r="C200" s="6">
        <f t="shared" si="2"/>
        <v>97.5</v>
      </c>
      <c r="D200" s="6">
        <f t="shared" si="3"/>
        <v>16.61981</v>
      </c>
    </row>
    <row r="201">
      <c r="A201" s="4" t="s">
        <v>12237</v>
      </c>
      <c r="B201" s="10">
        <f t="shared" si="1"/>
        <v>0</v>
      </c>
      <c r="C201" s="6">
        <f t="shared" si="2"/>
        <v>97.6</v>
      </c>
      <c r="D201" s="6">
        <f t="shared" si="3"/>
        <v>16.624189</v>
      </c>
    </row>
    <row r="202">
      <c r="A202" s="4" t="s">
        <v>12238</v>
      </c>
      <c r="B202" s="10">
        <f t="shared" si="1"/>
        <v>66.7</v>
      </c>
      <c r="C202" s="6">
        <f t="shared" si="2"/>
        <v>97.5</v>
      </c>
      <c r="D202" s="6">
        <f t="shared" si="3"/>
        <v>16.622284</v>
      </c>
    </row>
    <row r="203">
      <c r="A203" s="4" t="s">
        <v>12239</v>
      </c>
      <c r="B203" s="10">
        <f t="shared" si="1"/>
        <v>0</v>
      </c>
      <c r="C203" s="6">
        <f t="shared" si="2"/>
        <v>97.6</v>
      </c>
      <c r="D203" s="6">
        <f t="shared" si="3"/>
        <v>16.630235</v>
      </c>
    </row>
    <row r="204">
      <c r="A204" s="4" t="s">
        <v>12240</v>
      </c>
      <c r="B204" s="10">
        <f t="shared" si="1"/>
        <v>0</v>
      </c>
      <c r="C204" s="6">
        <f t="shared" si="2"/>
        <v>97.7</v>
      </c>
      <c r="D204" s="6">
        <f t="shared" si="3"/>
        <v>16.645828</v>
      </c>
    </row>
    <row r="205">
      <c r="A205" s="4" t="s">
        <v>12241</v>
      </c>
      <c r="B205" s="10">
        <f t="shared" si="1"/>
        <v>0</v>
      </c>
      <c r="C205" s="6">
        <f t="shared" si="2"/>
        <v>97.7</v>
      </c>
      <c r="D205" s="6">
        <f t="shared" si="3"/>
        <v>16.649482</v>
      </c>
    </row>
    <row r="206">
      <c r="A206" s="4" t="s">
        <v>12242</v>
      </c>
      <c r="B206" s="10">
        <f t="shared" si="1"/>
        <v>0</v>
      </c>
      <c r="C206" s="6">
        <f t="shared" si="2"/>
        <v>97.7</v>
      </c>
      <c r="D206" s="6">
        <f t="shared" si="3"/>
        <v>16.650108</v>
      </c>
    </row>
    <row r="207">
      <c r="A207" s="4" t="s">
        <v>12243</v>
      </c>
      <c r="B207" s="10">
        <f t="shared" si="1"/>
        <v>0</v>
      </c>
      <c r="C207" s="6">
        <f t="shared" si="2"/>
        <v>97.8</v>
      </c>
      <c r="D207" s="6">
        <f t="shared" si="3"/>
        <v>16.664244</v>
      </c>
    </row>
    <row r="208">
      <c r="A208" s="4" t="s">
        <v>12244</v>
      </c>
      <c r="B208" s="10">
        <f t="shared" si="1"/>
        <v>0</v>
      </c>
      <c r="C208" s="6">
        <f t="shared" si="2"/>
        <v>97.6</v>
      </c>
      <c r="D208" s="6">
        <f t="shared" si="3"/>
        <v>16.62772</v>
      </c>
    </row>
    <row r="209">
      <c r="A209" s="4" t="s">
        <v>12245</v>
      </c>
      <c r="B209" s="10">
        <f t="shared" si="1"/>
        <v>100</v>
      </c>
      <c r="C209" s="6">
        <f t="shared" si="2"/>
        <v>97.6</v>
      </c>
      <c r="D209" s="6">
        <f t="shared" si="3"/>
        <v>16.627253</v>
      </c>
    </row>
    <row r="210">
      <c r="A210" s="4" t="s">
        <v>12246</v>
      </c>
      <c r="B210" s="10">
        <f t="shared" si="1"/>
        <v>0</v>
      </c>
      <c r="C210" s="6">
        <f t="shared" si="2"/>
        <v>97.9</v>
      </c>
      <c r="D210" s="6">
        <f t="shared" si="3"/>
        <v>16.684896</v>
      </c>
    </row>
    <row r="211">
      <c r="A211" s="4" t="s">
        <v>12247</v>
      </c>
      <c r="B211" s="10">
        <f t="shared" si="1"/>
        <v>33.3</v>
      </c>
      <c r="C211" s="6">
        <f t="shared" si="2"/>
        <v>97.9</v>
      </c>
      <c r="D211" s="6">
        <f t="shared" si="3"/>
        <v>16.681046</v>
      </c>
    </row>
    <row r="212">
      <c r="A212" s="4" t="s">
        <v>12248</v>
      </c>
      <c r="B212" s="10">
        <f t="shared" si="1"/>
        <v>66.7</v>
      </c>
      <c r="C212" s="6">
        <f t="shared" si="2"/>
        <v>97.9</v>
      </c>
      <c r="D212" s="6">
        <f t="shared" si="3"/>
        <v>16.680599</v>
      </c>
    </row>
    <row r="213">
      <c r="A213" s="4" t="s">
        <v>12249</v>
      </c>
      <c r="B213" s="10">
        <f t="shared" si="1"/>
        <v>0</v>
      </c>
      <c r="C213" s="6">
        <f t="shared" si="2"/>
        <v>97.9</v>
      </c>
      <c r="D213" s="6">
        <f t="shared" si="3"/>
        <v>16.688603</v>
      </c>
    </row>
    <row r="214">
      <c r="A214" s="4" t="s">
        <v>12250</v>
      </c>
      <c r="B214" s="10">
        <f t="shared" si="1"/>
        <v>0</v>
      </c>
      <c r="C214" s="6">
        <f t="shared" si="2"/>
        <v>97.8</v>
      </c>
      <c r="D214" s="6">
        <f t="shared" si="3"/>
        <v>16.667136</v>
      </c>
    </row>
    <row r="215">
      <c r="A215" s="4" t="s">
        <v>12251</v>
      </c>
      <c r="B215" s="10">
        <f t="shared" si="1"/>
        <v>0</v>
      </c>
      <c r="C215" s="6">
        <f t="shared" si="2"/>
        <v>97.8</v>
      </c>
      <c r="D215" s="6">
        <f t="shared" si="3"/>
        <v>16.659808</v>
      </c>
    </row>
    <row r="216">
      <c r="A216" s="4" t="s">
        <v>12252</v>
      </c>
      <c r="B216" s="10">
        <f t="shared" si="1"/>
        <v>0</v>
      </c>
      <c r="C216" s="6">
        <f t="shared" si="2"/>
        <v>97.8</v>
      </c>
      <c r="D216" s="6">
        <f t="shared" si="3"/>
        <v>16.672927</v>
      </c>
    </row>
    <row r="217">
      <c r="A217" s="4" t="s">
        <v>12253</v>
      </c>
      <c r="B217" s="10">
        <f t="shared" si="1"/>
        <v>50</v>
      </c>
      <c r="C217" s="6">
        <f t="shared" si="2"/>
        <v>97.8</v>
      </c>
      <c r="D217" s="6">
        <f t="shared" si="3"/>
        <v>16.674807</v>
      </c>
    </row>
    <row r="218">
      <c r="A218" s="4" t="s">
        <v>12254</v>
      </c>
      <c r="B218" s="10">
        <f t="shared" si="1"/>
        <v>0</v>
      </c>
      <c r="C218" s="6">
        <f t="shared" si="2"/>
        <v>97.8</v>
      </c>
      <c r="D218" s="6">
        <f t="shared" si="3"/>
        <v>16.670646</v>
      </c>
    </row>
    <row r="219">
      <c r="A219" s="4" t="s">
        <v>12255</v>
      </c>
      <c r="B219" s="10">
        <f t="shared" si="1"/>
        <v>0</v>
      </c>
      <c r="C219" s="6">
        <f t="shared" si="2"/>
        <v>97.8</v>
      </c>
      <c r="D219" s="6">
        <f t="shared" si="3"/>
        <v>16.671223</v>
      </c>
    </row>
    <row r="220">
      <c r="A220" s="4" t="s">
        <v>12256</v>
      </c>
      <c r="B220" s="10">
        <f t="shared" si="1"/>
        <v>0</v>
      </c>
      <c r="C220" s="6">
        <f t="shared" si="2"/>
        <v>97.8</v>
      </c>
      <c r="D220" s="6">
        <f t="shared" si="3"/>
        <v>16.673464</v>
      </c>
    </row>
    <row r="221">
      <c r="A221" s="4" t="s">
        <v>12257</v>
      </c>
      <c r="B221" s="10">
        <f t="shared" si="1"/>
        <v>14.3</v>
      </c>
      <c r="C221" s="6">
        <f t="shared" si="2"/>
        <v>97.9</v>
      </c>
      <c r="D221" s="6">
        <f t="shared" si="3"/>
        <v>16.679612</v>
      </c>
    </row>
    <row r="222">
      <c r="A222" s="4" t="s">
        <v>12258</v>
      </c>
      <c r="B222" s="10">
        <f t="shared" si="1"/>
        <v>0</v>
      </c>
      <c r="C222" s="6">
        <f t="shared" si="2"/>
        <v>97.9</v>
      </c>
      <c r="D222" s="6">
        <f t="shared" si="3"/>
        <v>16.684298</v>
      </c>
    </row>
    <row r="223">
      <c r="A223" s="4" t="s">
        <v>12259</v>
      </c>
      <c r="B223" s="10">
        <f t="shared" si="1"/>
        <v>0</v>
      </c>
      <c r="C223" s="6">
        <f t="shared" si="2"/>
        <v>97.9</v>
      </c>
      <c r="D223" s="6">
        <f t="shared" si="3"/>
        <v>16.678309</v>
      </c>
    </row>
    <row r="224">
      <c r="A224" s="4" t="s">
        <v>12260</v>
      </c>
      <c r="B224" s="10">
        <f t="shared" si="1"/>
        <v>0</v>
      </c>
      <c r="C224" s="6">
        <f t="shared" si="2"/>
        <v>97.9</v>
      </c>
      <c r="D224" s="6">
        <f t="shared" si="3"/>
        <v>16.677466</v>
      </c>
    </row>
    <row r="225">
      <c r="A225" s="4" t="s">
        <v>12261</v>
      </c>
      <c r="B225" s="10">
        <f t="shared" si="1"/>
        <v>0</v>
      </c>
      <c r="C225" s="6">
        <f t="shared" si="2"/>
        <v>97.9</v>
      </c>
      <c r="D225" s="6">
        <f t="shared" si="3"/>
        <v>16.681738</v>
      </c>
    </row>
    <row r="226">
      <c r="A226" s="4" t="s">
        <v>11921</v>
      </c>
      <c r="B226" s="10">
        <f t="shared" si="1"/>
        <v>0</v>
      </c>
      <c r="C226" s="6">
        <f t="shared" si="2"/>
        <v>98.1</v>
      </c>
      <c r="D226" s="6">
        <f t="shared" si="3"/>
        <v>16.716476</v>
      </c>
    </row>
    <row r="227">
      <c r="A227" s="4" t="s">
        <v>12262</v>
      </c>
      <c r="B227" s="10">
        <f t="shared" si="1"/>
        <v>25</v>
      </c>
      <c r="C227" s="6">
        <f t="shared" si="2"/>
        <v>98.1</v>
      </c>
      <c r="D227" s="6">
        <f t="shared" si="3"/>
        <v>16.710062</v>
      </c>
    </row>
    <row r="228">
      <c r="A228" s="4" t="s">
        <v>12263</v>
      </c>
      <c r="B228" s="10">
        <f t="shared" si="1"/>
        <v>0</v>
      </c>
      <c r="C228" s="6">
        <f t="shared" si="2"/>
        <v>98.1</v>
      </c>
      <c r="D228" s="6">
        <f t="shared" si="3"/>
        <v>16.717352</v>
      </c>
    </row>
    <row r="229">
      <c r="A229" s="4" t="s">
        <v>12264</v>
      </c>
      <c r="B229" s="10">
        <f t="shared" si="1"/>
        <v>100</v>
      </c>
      <c r="C229" s="6">
        <f t="shared" si="2"/>
        <v>98.2</v>
      </c>
      <c r="D229" s="6">
        <f t="shared" si="3"/>
        <v>16.738586</v>
      </c>
    </row>
    <row r="230">
      <c r="A230" s="4" t="s">
        <v>12265</v>
      </c>
      <c r="B230" s="10">
        <f t="shared" si="1"/>
        <v>0</v>
      </c>
      <c r="C230" s="6">
        <f t="shared" si="2"/>
        <v>98.3</v>
      </c>
      <c r="D230" s="6">
        <f t="shared" si="3"/>
        <v>16.75334</v>
      </c>
    </row>
    <row r="231">
      <c r="A231" s="4" t="s">
        <v>12266</v>
      </c>
      <c r="B231" s="10">
        <f t="shared" si="1"/>
        <v>0</v>
      </c>
      <c r="C231" s="6">
        <f t="shared" si="2"/>
        <v>98.3</v>
      </c>
      <c r="D231" s="6">
        <f t="shared" si="3"/>
        <v>16.751185</v>
      </c>
    </row>
    <row r="232">
      <c r="A232" s="4" t="s">
        <v>12267</v>
      </c>
      <c r="B232" s="10">
        <f t="shared" si="1"/>
        <v>12.5</v>
      </c>
      <c r="C232" s="6">
        <f t="shared" si="2"/>
        <v>98.1</v>
      </c>
      <c r="D232" s="6">
        <f t="shared" si="3"/>
        <v>16.710139</v>
      </c>
    </row>
    <row r="233">
      <c r="A233" s="4" t="s">
        <v>12268</v>
      </c>
      <c r="B233" s="10">
        <f t="shared" si="1"/>
        <v>0</v>
      </c>
      <c r="C233" s="6">
        <f t="shared" si="2"/>
        <v>97.9</v>
      </c>
      <c r="D233" s="6">
        <f t="shared" si="3"/>
        <v>16.677183</v>
      </c>
    </row>
    <row r="234">
      <c r="A234" s="4" t="s">
        <v>12269</v>
      </c>
      <c r="B234" s="10">
        <f t="shared" si="1"/>
        <v>0</v>
      </c>
      <c r="C234" s="6">
        <f t="shared" si="2"/>
        <v>97.9</v>
      </c>
      <c r="D234" s="6">
        <f t="shared" si="3"/>
        <v>16.683728</v>
      </c>
    </row>
    <row r="235">
      <c r="A235" s="4" t="s">
        <v>12270</v>
      </c>
      <c r="B235" s="10">
        <f t="shared" si="1"/>
        <v>25</v>
      </c>
      <c r="C235" s="6">
        <f t="shared" si="2"/>
        <v>98</v>
      </c>
      <c r="D235" s="6">
        <f t="shared" si="3"/>
        <v>16.694169</v>
      </c>
    </row>
    <row r="236">
      <c r="A236" s="4" t="s">
        <v>12271</v>
      </c>
      <c r="B236" s="10">
        <f t="shared" si="1"/>
        <v>0</v>
      </c>
      <c r="C236" s="6">
        <f t="shared" si="2"/>
        <v>97.9</v>
      </c>
      <c r="D236" s="6">
        <f t="shared" si="3"/>
        <v>16.690786</v>
      </c>
    </row>
    <row r="237">
      <c r="A237" s="4" t="s">
        <v>12272</v>
      </c>
      <c r="B237" s="10">
        <f t="shared" si="1"/>
        <v>0</v>
      </c>
      <c r="C237" s="6">
        <f t="shared" si="2"/>
        <v>98.1</v>
      </c>
      <c r="D237" s="6">
        <f t="shared" si="3"/>
        <v>16.723722</v>
      </c>
    </row>
    <row r="238">
      <c r="A238" s="4" t="s">
        <v>12273</v>
      </c>
      <c r="B238" s="10">
        <f t="shared" si="1"/>
        <v>0</v>
      </c>
      <c r="C238" s="6">
        <f t="shared" si="2"/>
        <v>98.2</v>
      </c>
      <c r="D238" s="6">
        <f t="shared" si="3"/>
        <v>16.727216</v>
      </c>
    </row>
    <row r="239">
      <c r="A239" s="4" t="s">
        <v>12274</v>
      </c>
      <c r="B239" s="10">
        <f t="shared" si="1"/>
        <v>0</v>
      </c>
      <c r="C239" s="6">
        <f t="shared" si="2"/>
        <v>98.3</v>
      </c>
      <c r="D239" s="6">
        <f t="shared" si="3"/>
        <v>16.743981</v>
      </c>
    </row>
    <row r="240">
      <c r="A240" s="4" t="s">
        <v>12275</v>
      </c>
      <c r="B240" s="10">
        <f t="shared" si="1"/>
        <v>0</v>
      </c>
      <c r="C240" s="6">
        <f t="shared" si="2"/>
        <v>98.2</v>
      </c>
      <c r="D240" s="6">
        <f t="shared" si="3"/>
        <v>16.742068</v>
      </c>
    </row>
    <row r="241">
      <c r="A241" s="4" t="s">
        <v>12276</v>
      </c>
      <c r="B241" s="10">
        <f t="shared" si="1"/>
        <v>0</v>
      </c>
      <c r="C241" s="6">
        <f t="shared" si="2"/>
        <v>98.3</v>
      </c>
      <c r="D241" s="6">
        <f t="shared" si="3"/>
        <v>16.758984</v>
      </c>
    </row>
    <row r="242">
      <c r="A242" s="4" t="s">
        <v>12277</v>
      </c>
      <c r="B242" s="10">
        <f t="shared" si="1"/>
        <v>0</v>
      </c>
      <c r="C242" s="6">
        <f t="shared" si="2"/>
        <v>98.3</v>
      </c>
      <c r="D242" s="6">
        <f t="shared" si="3"/>
        <v>16.7535</v>
      </c>
    </row>
    <row r="243">
      <c r="A243" s="4" t="s">
        <v>12278</v>
      </c>
      <c r="B243" s="10">
        <f t="shared" si="1"/>
        <v>0</v>
      </c>
      <c r="C243" s="6">
        <f t="shared" si="2"/>
        <v>98.3</v>
      </c>
      <c r="D243" s="6">
        <f t="shared" si="3"/>
        <v>16.753283</v>
      </c>
    </row>
    <row r="244">
      <c r="A244" s="4" t="s">
        <v>12279</v>
      </c>
      <c r="B244" s="10">
        <f t="shared" si="1"/>
        <v>33.3</v>
      </c>
      <c r="C244" s="6">
        <f t="shared" si="2"/>
        <v>98.3</v>
      </c>
      <c r="D244" s="6">
        <f t="shared" si="3"/>
        <v>16.752263</v>
      </c>
    </row>
    <row r="245">
      <c r="A245" s="4" t="s">
        <v>12280</v>
      </c>
      <c r="B245" s="10">
        <f t="shared" si="1"/>
        <v>100</v>
      </c>
      <c r="C245" s="6">
        <f t="shared" si="2"/>
        <v>98.1</v>
      </c>
      <c r="D245" s="6">
        <f t="shared" si="3"/>
        <v>16.722976</v>
      </c>
    </row>
    <row r="246">
      <c r="A246" s="4" t="s">
        <v>12281</v>
      </c>
      <c r="B246" s="10">
        <f t="shared" si="1"/>
        <v>100</v>
      </c>
      <c r="C246" s="6">
        <f t="shared" si="2"/>
        <v>98.1</v>
      </c>
      <c r="D246" s="6">
        <f t="shared" si="3"/>
        <v>16.722857</v>
      </c>
    </row>
    <row r="247">
      <c r="A247" s="4" t="s">
        <v>12282</v>
      </c>
      <c r="B247" s="10">
        <f t="shared" si="1"/>
        <v>0</v>
      </c>
      <c r="C247" s="6">
        <f t="shared" si="2"/>
        <v>98</v>
      </c>
      <c r="D247" s="6">
        <f t="shared" si="3"/>
        <v>16.696836</v>
      </c>
    </row>
    <row r="248">
      <c r="A248" s="4" t="s">
        <v>12283</v>
      </c>
      <c r="B248" s="10">
        <f t="shared" si="1"/>
        <v>0</v>
      </c>
      <c r="C248" s="6">
        <f t="shared" si="2"/>
        <v>98</v>
      </c>
      <c r="D248" s="6">
        <f t="shared" si="3"/>
        <v>16.695275</v>
      </c>
    </row>
    <row r="249">
      <c r="A249" s="4" t="s">
        <v>12284</v>
      </c>
      <c r="B249" s="10">
        <f t="shared" si="1"/>
        <v>0</v>
      </c>
      <c r="C249" s="6">
        <f t="shared" si="2"/>
        <v>98</v>
      </c>
      <c r="D249" s="6">
        <f t="shared" si="3"/>
        <v>16.693182</v>
      </c>
    </row>
    <row r="250">
      <c r="A250" s="4" t="s">
        <v>12285</v>
      </c>
      <c r="B250" s="10">
        <f t="shared" si="1"/>
        <v>50</v>
      </c>
      <c r="C250" s="6">
        <f t="shared" si="2"/>
        <v>98</v>
      </c>
      <c r="D250" s="6">
        <f t="shared" si="3"/>
        <v>16.69235</v>
      </c>
    </row>
    <row r="251">
      <c r="A251" s="4" t="s">
        <v>12286</v>
      </c>
      <c r="B251" s="10">
        <f t="shared" si="1"/>
        <v>0</v>
      </c>
      <c r="C251" s="6">
        <f t="shared" si="2"/>
        <v>97.9</v>
      </c>
      <c r="D251" s="6">
        <f t="shared" si="3"/>
        <v>16.691306</v>
      </c>
    </row>
    <row r="252">
      <c r="A252" s="4" t="s">
        <v>12287</v>
      </c>
      <c r="B252" s="10">
        <f t="shared" si="1"/>
        <v>0</v>
      </c>
      <c r="C252" s="6">
        <f t="shared" si="2"/>
        <v>98</v>
      </c>
      <c r="D252" s="6">
        <f t="shared" si="3"/>
        <v>16.708186</v>
      </c>
    </row>
    <row r="253">
      <c r="A253" s="4" t="s">
        <v>12288</v>
      </c>
      <c r="B253" s="10">
        <f t="shared" si="1"/>
        <v>50</v>
      </c>
      <c r="C253" s="6">
        <f t="shared" si="2"/>
        <v>98</v>
      </c>
      <c r="D253" s="6">
        <f t="shared" si="3"/>
        <v>16.705519</v>
      </c>
    </row>
    <row r="254">
      <c r="A254" s="4" t="s">
        <v>12289</v>
      </c>
      <c r="B254" s="10">
        <f t="shared" si="1"/>
        <v>66.7</v>
      </c>
      <c r="C254" s="6">
        <f t="shared" si="2"/>
        <v>98</v>
      </c>
      <c r="D254" s="6">
        <f t="shared" si="3"/>
        <v>16.704851</v>
      </c>
    </row>
    <row r="255">
      <c r="A255" s="4" t="s">
        <v>12290</v>
      </c>
      <c r="B255" s="10">
        <f t="shared" si="1"/>
        <v>0</v>
      </c>
      <c r="C255" s="6">
        <f t="shared" si="2"/>
        <v>98</v>
      </c>
      <c r="D255" s="6">
        <f t="shared" si="3"/>
        <v>16.703074</v>
      </c>
    </row>
    <row r="256">
      <c r="A256" s="4" t="s">
        <v>12291</v>
      </c>
      <c r="B256" s="10">
        <f t="shared" si="1"/>
        <v>0</v>
      </c>
      <c r="C256" s="6">
        <f t="shared" si="2"/>
        <v>98</v>
      </c>
      <c r="D256" s="6">
        <f t="shared" si="3"/>
        <v>16.705384</v>
      </c>
    </row>
    <row r="257">
      <c r="A257" s="4" t="s">
        <v>12292</v>
      </c>
      <c r="B257" s="10">
        <f t="shared" si="1"/>
        <v>0</v>
      </c>
      <c r="C257" s="6">
        <f t="shared" si="2"/>
        <v>98.1</v>
      </c>
      <c r="D257" s="6">
        <f t="shared" si="3"/>
        <v>16.710471</v>
      </c>
    </row>
    <row r="258">
      <c r="A258" s="4" t="s">
        <v>12293</v>
      </c>
      <c r="B258" s="10">
        <f t="shared" si="1"/>
        <v>0</v>
      </c>
      <c r="C258" s="6">
        <f t="shared" si="2"/>
        <v>98</v>
      </c>
      <c r="D258" s="6">
        <f t="shared" si="3"/>
        <v>16.707121</v>
      </c>
    </row>
    <row r="259">
      <c r="A259" s="4" t="s">
        <v>12294</v>
      </c>
      <c r="B259" s="10">
        <f t="shared" si="1"/>
        <v>0</v>
      </c>
      <c r="C259" s="6">
        <f t="shared" si="2"/>
        <v>98</v>
      </c>
      <c r="D259" s="6">
        <f t="shared" si="3"/>
        <v>16.705277</v>
      </c>
    </row>
    <row r="260">
      <c r="A260" s="4" t="s">
        <v>12295</v>
      </c>
      <c r="B260" s="10">
        <f t="shared" si="1"/>
        <v>0</v>
      </c>
      <c r="C260" s="6">
        <f t="shared" si="2"/>
        <v>97.7</v>
      </c>
      <c r="D260" s="6">
        <f t="shared" si="3"/>
        <v>16.651333</v>
      </c>
    </row>
    <row r="261">
      <c r="A261" s="4" t="s">
        <v>11864</v>
      </c>
      <c r="B261" s="10">
        <f t="shared" si="1"/>
        <v>0</v>
      </c>
      <c r="C261" s="6">
        <f t="shared" si="2"/>
        <v>97.8</v>
      </c>
      <c r="D261" s="6">
        <f t="shared" si="3"/>
        <v>16.659697</v>
      </c>
    </row>
    <row r="262">
      <c r="A262" s="4" t="s">
        <v>12296</v>
      </c>
      <c r="B262" s="10">
        <f t="shared" si="1"/>
        <v>0</v>
      </c>
      <c r="C262" s="6">
        <f t="shared" si="2"/>
        <v>97.8</v>
      </c>
      <c r="D262" s="6">
        <f t="shared" si="3"/>
        <v>16.659271</v>
      </c>
    </row>
    <row r="263">
      <c r="A263" s="4" t="s">
        <v>12297</v>
      </c>
      <c r="B263" s="10">
        <f t="shared" si="1"/>
        <v>16.7</v>
      </c>
      <c r="C263" s="6">
        <f t="shared" si="2"/>
        <v>97.7</v>
      </c>
      <c r="D263" s="6">
        <f t="shared" si="3"/>
        <v>16.6547</v>
      </c>
    </row>
    <row r="264">
      <c r="A264" s="4" t="s">
        <v>12298</v>
      </c>
      <c r="B264" s="10">
        <f t="shared" si="1"/>
        <v>0</v>
      </c>
      <c r="C264" s="6">
        <f t="shared" si="2"/>
        <v>97.8</v>
      </c>
      <c r="D264" s="6">
        <f t="shared" si="3"/>
        <v>16.666402</v>
      </c>
    </row>
    <row r="265">
      <c r="A265" s="4" t="s">
        <v>12299</v>
      </c>
      <c r="B265" s="10">
        <f t="shared" si="1"/>
        <v>0</v>
      </c>
      <c r="C265" s="6">
        <f t="shared" si="2"/>
        <v>97.7</v>
      </c>
      <c r="D265" s="6">
        <f t="shared" si="3"/>
        <v>16.656322</v>
      </c>
    </row>
    <row r="266">
      <c r="A266" s="4" t="s">
        <v>12300</v>
      </c>
      <c r="B266" s="10">
        <f t="shared" si="1"/>
        <v>0</v>
      </c>
      <c r="C266" s="6">
        <f t="shared" si="2"/>
        <v>97.8</v>
      </c>
      <c r="D266" s="6">
        <f t="shared" si="3"/>
        <v>16.669609</v>
      </c>
    </row>
    <row r="267">
      <c r="A267" s="4" t="s">
        <v>12301</v>
      </c>
      <c r="B267" s="10">
        <f t="shared" si="1"/>
        <v>0</v>
      </c>
      <c r="C267" s="6">
        <f t="shared" si="2"/>
        <v>98</v>
      </c>
      <c r="D267" s="6">
        <f t="shared" si="3"/>
        <v>16.696037</v>
      </c>
    </row>
    <row r="268">
      <c r="A268" s="4" t="s">
        <v>12302</v>
      </c>
      <c r="B268" s="10">
        <f t="shared" si="1"/>
        <v>40</v>
      </c>
      <c r="C268" s="6">
        <f t="shared" si="2"/>
        <v>97.8</v>
      </c>
      <c r="D268" s="6">
        <f t="shared" si="3"/>
        <v>16.673927</v>
      </c>
    </row>
    <row r="269">
      <c r="A269" s="4" t="s">
        <v>12303</v>
      </c>
      <c r="B269" s="10">
        <f t="shared" si="1"/>
        <v>0</v>
      </c>
      <c r="C269" s="6">
        <f t="shared" si="2"/>
        <v>97.8</v>
      </c>
      <c r="D269" s="6">
        <f t="shared" si="3"/>
        <v>16.671096</v>
      </c>
    </row>
    <row r="270">
      <c r="A270" s="4" t="s">
        <v>12304</v>
      </c>
      <c r="B270" s="10">
        <f t="shared" si="1"/>
        <v>0</v>
      </c>
      <c r="C270" s="6">
        <f t="shared" si="2"/>
        <v>97.9</v>
      </c>
      <c r="D270" s="6">
        <f t="shared" si="3"/>
        <v>16.686669</v>
      </c>
    </row>
    <row r="271">
      <c r="A271" s="4" t="s">
        <v>12305</v>
      </c>
      <c r="B271" s="10">
        <f t="shared" si="1"/>
        <v>0</v>
      </c>
      <c r="C271" s="6">
        <f t="shared" si="2"/>
        <v>98</v>
      </c>
      <c r="D271" s="6">
        <f t="shared" si="3"/>
        <v>16.701636</v>
      </c>
    </row>
    <row r="272">
      <c r="A272" s="4" t="s">
        <v>12306</v>
      </c>
      <c r="B272" s="10">
        <f t="shared" si="1"/>
        <v>0</v>
      </c>
      <c r="C272" s="6">
        <f t="shared" si="2"/>
        <v>97.9</v>
      </c>
      <c r="D272" s="6">
        <f t="shared" si="3"/>
        <v>16.690913</v>
      </c>
    </row>
    <row r="273">
      <c r="A273" s="4" t="s">
        <v>12307</v>
      </c>
      <c r="B273" s="10">
        <f t="shared" si="1"/>
        <v>0</v>
      </c>
      <c r="C273" s="6">
        <f t="shared" si="2"/>
        <v>97.9</v>
      </c>
      <c r="D273" s="6">
        <f t="shared" si="3"/>
        <v>16.690282</v>
      </c>
    </row>
    <row r="274">
      <c r="A274" s="4" t="s">
        <v>12308</v>
      </c>
      <c r="B274" s="10">
        <f t="shared" si="1"/>
        <v>100</v>
      </c>
      <c r="C274" s="6">
        <f t="shared" si="2"/>
        <v>98.1</v>
      </c>
      <c r="D274" s="6">
        <f t="shared" si="3"/>
        <v>16.709001</v>
      </c>
    </row>
    <row r="275">
      <c r="A275" s="4" t="s">
        <v>12309</v>
      </c>
      <c r="B275" s="10">
        <f t="shared" si="1"/>
        <v>0</v>
      </c>
      <c r="C275" s="6">
        <f t="shared" si="2"/>
        <v>98</v>
      </c>
      <c r="D275" s="6">
        <f t="shared" si="3"/>
        <v>16.700428</v>
      </c>
    </row>
    <row r="276">
      <c r="A276" s="4" t="s">
        <v>12310</v>
      </c>
      <c r="B276" s="10">
        <f t="shared" si="1"/>
        <v>0</v>
      </c>
      <c r="C276" s="6">
        <f t="shared" si="2"/>
        <v>98</v>
      </c>
      <c r="D276" s="6">
        <f t="shared" si="3"/>
        <v>16.697438</v>
      </c>
    </row>
    <row r="277">
      <c r="A277" s="4" t="s">
        <v>12311</v>
      </c>
      <c r="B277" s="10">
        <f t="shared" si="1"/>
        <v>33.3</v>
      </c>
      <c r="C277" s="6">
        <f t="shared" si="2"/>
        <v>98</v>
      </c>
      <c r="D277" s="6">
        <f t="shared" si="3"/>
        <v>16.704921</v>
      </c>
    </row>
    <row r="278">
      <c r="A278" s="4" t="s">
        <v>12312</v>
      </c>
      <c r="B278" s="10">
        <f t="shared" si="1"/>
        <v>0</v>
      </c>
      <c r="C278" s="6">
        <f t="shared" si="2"/>
        <v>98</v>
      </c>
      <c r="D278" s="6">
        <f t="shared" si="3"/>
        <v>16.701956</v>
      </c>
    </row>
    <row r="279">
      <c r="A279" s="4" t="s">
        <v>12313</v>
      </c>
      <c r="B279" s="10">
        <f t="shared" si="1"/>
        <v>0</v>
      </c>
      <c r="C279" s="6">
        <f t="shared" si="2"/>
        <v>97.9</v>
      </c>
      <c r="D279" s="6">
        <f t="shared" si="3"/>
        <v>16.685457</v>
      </c>
    </row>
    <row r="280">
      <c r="A280" s="4" t="s">
        <v>12314</v>
      </c>
      <c r="B280" s="10">
        <f t="shared" si="1"/>
        <v>100</v>
      </c>
      <c r="C280" s="6">
        <f t="shared" si="2"/>
        <v>98</v>
      </c>
      <c r="D280" s="6">
        <f t="shared" si="3"/>
        <v>16.695422</v>
      </c>
    </row>
    <row r="281">
      <c r="A281" s="4" t="s">
        <v>12315</v>
      </c>
      <c r="B281" s="10">
        <f t="shared" si="1"/>
        <v>0</v>
      </c>
      <c r="C281" s="6">
        <f t="shared" si="2"/>
        <v>97.9</v>
      </c>
      <c r="D281" s="6">
        <f t="shared" si="3"/>
        <v>16.689639</v>
      </c>
    </row>
    <row r="282">
      <c r="A282" s="4" t="s">
        <v>12316</v>
      </c>
      <c r="B282" s="10">
        <f t="shared" si="1"/>
        <v>20</v>
      </c>
      <c r="C282" s="6">
        <f t="shared" si="2"/>
        <v>98</v>
      </c>
      <c r="D282" s="6">
        <f t="shared" si="3"/>
        <v>16.699318</v>
      </c>
    </row>
    <row r="283">
      <c r="A283" s="4" t="s">
        <v>12317</v>
      </c>
      <c r="B283" s="10">
        <f t="shared" si="1"/>
        <v>0</v>
      </c>
      <c r="C283" s="6">
        <f t="shared" si="2"/>
        <v>98</v>
      </c>
      <c r="D283" s="6">
        <f t="shared" si="3"/>
        <v>16.701022</v>
      </c>
    </row>
    <row r="284">
      <c r="A284" s="4" t="s">
        <v>12318</v>
      </c>
      <c r="B284" s="10">
        <f t="shared" si="1"/>
        <v>0</v>
      </c>
      <c r="C284" s="6">
        <f t="shared" si="2"/>
        <v>98</v>
      </c>
      <c r="D284" s="6">
        <f t="shared" si="3"/>
        <v>16.698998</v>
      </c>
    </row>
    <row r="285">
      <c r="A285" s="4" t="s">
        <v>12319</v>
      </c>
      <c r="B285" s="10">
        <f t="shared" si="1"/>
        <v>0</v>
      </c>
      <c r="C285" s="6">
        <f t="shared" si="2"/>
        <v>98</v>
      </c>
      <c r="D285" s="6">
        <f t="shared" si="3"/>
        <v>16.702283</v>
      </c>
    </row>
    <row r="286">
      <c r="A286" s="4" t="s">
        <v>12320</v>
      </c>
      <c r="B286" s="10">
        <f t="shared" si="1"/>
        <v>0</v>
      </c>
      <c r="C286" s="6">
        <f t="shared" si="2"/>
        <v>98</v>
      </c>
      <c r="D286" s="6">
        <f t="shared" si="3"/>
        <v>16.700846</v>
      </c>
    </row>
    <row r="287">
      <c r="A287" s="4" t="s">
        <v>12321</v>
      </c>
      <c r="B287" s="10">
        <f t="shared" si="1"/>
        <v>0</v>
      </c>
      <c r="C287" s="6">
        <f t="shared" si="2"/>
        <v>98</v>
      </c>
      <c r="D287" s="6">
        <f t="shared" si="3"/>
        <v>16.698884</v>
      </c>
    </row>
    <row r="288">
      <c r="A288" s="4" t="s">
        <v>12322</v>
      </c>
      <c r="B288" s="10">
        <f t="shared" si="1"/>
        <v>100</v>
      </c>
      <c r="C288" s="6">
        <f t="shared" si="2"/>
        <v>98.1</v>
      </c>
      <c r="D288" s="6">
        <f t="shared" si="3"/>
        <v>16.712921</v>
      </c>
    </row>
    <row r="289">
      <c r="A289" s="4" t="s">
        <v>12323</v>
      </c>
      <c r="B289" s="10">
        <f t="shared" si="1"/>
        <v>0</v>
      </c>
      <c r="C289" s="6">
        <f t="shared" si="2"/>
        <v>98.1</v>
      </c>
      <c r="D289" s="6">
        <f t="shared" si="3"/>
        <v>16.718532</v>
      </c>
    </row>
    <row r="290">
      <c r="A290" s="4" t="s">
        <v>12324</v>
      </c>
      <c r="B290" s="10">
        <f t="shared" si="1"/>
        <v>0</v>
      </c>
      <c r="C290" s="6">
        <f t="shared" si="2"/>
        <v>98.1</v>
      </c>
      <c r="D290" s="6">
        <f t="shared" si="3"/>
        <v>16.714969</v>
      </c>
    </row>
    <row r="291">
      <c r="A291" s="4" t="s">
        <v>12325</v>
      </c>
      <c r="B291" s="10">
        <f t="shared" si="1"/>
        <v>0</v>
      </c>
      <c r="C291" s="6">
        <f t="shared" si="2"/>
        <v>98.1</v>
      </c>
      <c r="D291" s="6">
        <f t="shared" si="3"/>
        <v>16.712085</v>
      </c>
    </row>
    <row r="292">
      <c r="A292" s="4" t="s">
        <v>12326</v>
      </c>
      <c r="B292" s="10">
        <f t="shared" si="1"/>
        <v>0</v>
      </c>
      <c r="C292" s="6">
        <f t="shared" si="2"/>
        <v>98.1</v>
      </c>
      <c r="D292" s="6">
        <f t="shared" si="3"/>
        <v>16.712101</v>
      </c>
    </row>
    <row r="293">
      <c r="A293" s="4" t="s">
        <v>12327</v>
      </c>
      <c r="B293" s="10">
        <f t="shared" si="1"/>
        <v>0</v>
      </c>
      <c r="C293" s="6">
        <f t="shared" si="2"/>
        <v>98.1</v>
      </c>
      <c r="D293" s="6">
        <f t="shared" si="3"/>
        <v>16.71478</v>
      </c>
    </row>
    <row r="294">
      <c r="A294" s="4" t="s">
        <v>12328</v>
      </c>
      <c r="B294" s="10">
        <f t="shared" si="1"/>
        <v>0</v>
      </c>
      <c r="C294" s="6">
        <f t="shared" si="2"/>
        <v>98.1</v>
      </c>
      <c r="D294" s="6">
        <f t="shared" si="3"/>
        <v>16.713207</v>
      </c>
    </row>
    <row r="295">
      <c r="A295" s="4" t="s">
        <v>12329</v>
      </c>
      <c r="B295" s="10">
        <f t="shared" si="1"/>
        <v>0</v>
      </c>
      <c r="C295" s="6">
        <f t="shared" si="2"/>
        <v>98.1</v>
      </c>
      <c r="D295" s="6">
        <f t="shared" si="3"/>
        <v>16.717541</v>
      </c>
    </row>
    <row r="296">
      <c r="A296" s="4" t="s">
        <v>12330</v>
      </c>
      <c r="B296" s="10">
        <f t="shared" si="1"/>
        <v>0</v>
      </c>
      <c r="C296" s="6">
        <f t="shared" si="2"/>
        <v>98.1</v>
      </c>
      <c r="D296" s="6">
        <f t="shared" si="3"/>
        <v>16.719396</v>
      </c>
    </row>
    <row r="297">
      <c r="A297" s="4" t="s">
        <v>12331</v>
      </c>
      <c r="B297" s="10">
        <f t="shared" si="1"/>
        <v>50</v>
      </c>
      <c r="C297" s="6">
        <f t="shared" si="2"/>
        <v>98.1</v>
      </c>
      <c r="D297" s="6">
        <f t="shared" si="3"/>
        <v>16.725766</v>
      </c>
    </row>
    <row r="298">
      <c r="A298" s="4" t="s">
        <v>12332</v>
      </c>
      <c r="B298" s="10">
        <f t="shared" si="1"/>
        <v>33.3</v>
      </c>
      <c r="C298" s="6">
        <f t="shared" si="2"/>
        <v>98.3</v>
      </c>
      <c r="D298" s="6">
        <f t="shared" si="3"/>
        <v>16.747937</v>
      </c>
    </row>
    <row r="299">
      <c r="A299" s="4" t="s">
        <v>12333</v>
      </c>
      <c r="B299" s="10">
        <f t="shared" si="1"/>
        <v>0</v>
      </c>
      <c r="C299" s="6">
        <f t="shared" si="2"/>
        <v>98.3</v>
      </c>
      <c r="D299" s="6">
        <f t="shared" si="3"/>
        <v>16.75257</v>
      </c>
    </row>
    <row r="300">
      <c r="A300" s="4" t="s">
        <v>12334</v>
      </c>
      <c r="B300" s="10">
        <f t="shared" si="1"/>
        <v>0</v>
      </c>
      <c r="C300" s="6">
        <f t="shared" si="2"/>
        <v>98.3</v>
      </c>
      <c r="D300" s="6">
        <f t="shared" si="3"/>
        <v>16.751628</v>
      </c>
    </row>
    <row r="301">
      <c r="A301" s="4" t="s">
        <v>12335</v>
      </c>
      <c r="B301" s="10">
        <f t="shared" si="1"/>
        <v>0</v>
      </c>
      <c r="C301" s="6">
        <f t="shared" si="2"/>
        <v>98.3</v>
      </c>
      <c r="D301" s="6">
        <f t="shared" si="3"/>
        <v>16.75037</v>
      </c>
    </row>
    <row r="302">
      <c r="A302" s="4" t="s">
        <v>12336</v>
      </c>
      <c r="B302" s="10">
        <f t="shared" si="1"/>
        <v>0</v>
      </c>
      <c r="C302" s="6">
        <f t="shared" si="2"/>
        <v>98.3</v>
      </c>
      <c r="D302" s="6">
        <f t="shared" si="3"/>
        <v>16.749961</v>
      </c>
    </row>
    <row r="303">
      <c r="A303" s="4" t="s">
        <v>12337</v>
      </c>
      <c r="B303" s="10">
        <f t="shared" si="1"/>
        <v>0</v>
      </c>
      <c r="C303" s="6">
        <f t="shared" si="2"/>
        <v>98.3</v>
      </c>
      <c r="D303" s="6">
        <f t="shared" si="3"/>
        <v>16.749359</v>
      </c>
    </row>
    <row r="304">
      <c r="A304" s="4" t="s">
        <v>12338</v>
      </c>
      <c r="B304" s="10">
        <f t="shared" si="1"/>
        <v>0</v>
      </c>
      <c r="C304" s="6">
        <f t="shared" si="2"/>
        <v>98.2</v>
      </c>
      <c r="D304" s="6">
        <f t="shared" si="3"/>
        <v>16.731652</v>
      </c>
    </row>
    <row r="305">
      <c r="A305" s="4" t="s">
        <v>12339</v>
      </c>
      <c r="B305" s="10">
        <f t="shared" si="1"/>
        <v>0</v>
      </c>
      <c r="C305" s="6">
        <f t="shared" si="2"/>
        <v>98.2</v>
      </c>
      <c r="D305" s="6">
        <f t="shared" si="3"/>
        <v>16.729165</v>
      </c>
    </row>
    <row r="306">
      <c r="A306" s="4" t="s">
        <v>12340</v>
      </c>
      <c r="B306" s="10">
        <f t="shared" si="1"/>
        <v>0</v>
      </c>
      <c r="C306" s="6">
        <f t="shared" si="2"/>
        <v>98.1</v>
      </c>
      <c r="D306" s="6">
        <f t="shared" si="3"/>
        <v>16.722915</v>
      </c>
    </row>
    <row r="307">
      <c r="A307" s="4" t="s">
        <v>12341</v>
      </c>
      <c r="B307" s="10">
        <f t="shared" si="1"/>
        <v>0</v>
      </c>
      <c r="C307" s="6">
        <f t="shared" si="2"/>
        <v>98.2</v>
      </c>
      <c r="D307" s="6">
        <f t="shared" si="3"/>
        <v>16.738168</v>
      </c>
    </row>
    <row r="308">
      <c r="A308" s="4" t="s">
        <v>12342</v>
      </c>
      <c r="B308" s="10">
        <f t="shared" si="1"/>
        <v>11.1</v>
      </c>
      <c r="C308" s="6">
        <f t="shared" si="2"/>
        <v>98.1</v>
      </c>
      <c r="D308" s="6">
        <f t="shared" si="3"/>
        <v>16.722145</v>
      </c>
    </row>
    <row r="309">
      <c r="A309" s="4" t="s">
        <v>12343</v>
      </c>
      <c r="B309" s="10">
        <f t="shared" si="1"/>
        <v>0</v>
      </c>
      <c r="C309" s="6">
        <f t="shared" si="2"/>
        <v>98.1</v>
      </c>
      <c r="D309" s="6">
        <f t="shared" si="3"/>
        <v>16.722075</v>
      </c>
    </row>
    <row r="310">
      <c r="A310" s="4" t="s">
        <v>12344</v>
      </c>
      <c r="B310" s="10">
        <f t="shared" si="1"/>
        <v>100</v>
      </c>
      <c r="C310" s="6">
        <f t="shared" si="2"/>
        <v>98.2</v>
      </c>
      <c r="D310" s="6">
        <f t="shared" si="3"/>
        <v>16.732889</v>
      </c>
    </row>
    <row r="311">
      <c r="A311" s="4" t="s">
        <v>12345</v>
      </c>
      <c r="B311" s="10">
        <f t="shared" si="1"/>
        <v>0</v>
      </c>
      <c r="C311" s="6">
        <f t="shared" si="2"/>
        <v>98.3</v>
      </c>
      <c r="D311" s="6">
        <f t="shared" si="3"/>
        <v>16.743989</v>
      </c>
    </row>
    <row r="312">
      <c r="A312" s="4" t="s">
        <v>12346</v>
      </c>
      <c r="B312" s="10">
        <f t="shared" si="1"/>
        <v>25</v>
      </c>
      <c r="C312" s="6">
        <f t="shared" si="2"/>
        <v>98.2</v>
      </c>
      <c r="D312" s="6">
        <f t="shared" si="3"/>
        <v>16.742768</v>
      </c>
    </row>
    <row r="313">
      <c r="A313" s="4" t="s">
        <v>12347</v>
      </c>
      <c r="B313" s="10">
        <f t="shared" si="1"/>
        <v>20</v>
      </c>
      <c r="C313" s="6">
        <f t="shared" si="2"/>
        <v>98.3</v>
      </c>
      <c r="D313" s="6">
        <f t="shared" si="3"/>
        <v>16.748081</v>
      </c>
    </row>
    <row r="314">
      <c r="A314" s="4" t="s">
        <v>12348</v>
      </c>
      <c r="B314" s="10">
        <f t="shared" si="1"/>
        <v>0</v>
      </c>
      <c r="C314" s="6">
        <f t="shared" si="2"/>
        <v>98.3</v>
      </c>
      <c r="D314" s="6">
        <f t="shared" si="3"/>
        <v>16.747614</v>
      </c>
    </row>
    <row r="315">
      <c r="A315" s="4" t="s">
        <v>12349</v>
      </c>
      <c r="B315" s="10">
        <f t="shared" si="1"/>
        <v>0</v>
      </c>
      <c r="C315" s="6">
        <f t="shared" si="2"/>
        <v>98.3</v>
      </c>
      <c r="D315" s="6">
        <f t="shared" si="3"/>
        <v>16.756879</v>
      </c>
    </row>
    <row r="316">
      <c r="A316" s="4" t="s">
        <v>12350</v>
      </c>
      <c r="B316" s="10">
        <f t="shared" si="1"/>
        <v>100</v>
      </c>
      <c r="C316" s="6">
        <f t="shared" si="2"/>
        <v>98.3</v>
      </c>
      <c r="D316" s="6">
        <f t="shared" si="3"/>
        <v>16.754384</v>
      </c>
    </row>
    <row r="317">
      <c r="A317" s="4" t="s">
        <v>12351</v>
      </c>
      <c r="B317" s="10">
        <f t="shared" si="1"/>
        <v>0</v>
      </c>
      <c r="C317" s="6">
        <f t="shared" si="2"/>
        <v>98.3</v>
      </c>
      <c r="D317" s="6">
        <f t="shared" si="3"/>
        <v>16.752959</v>
      </c>
    </row>
    <row r="318">
      <c r="A318" s="4" t="s">
        <v>12352</v>
      </c>
      <c r="B318" s="10">
        <f t="shared" si="1"/>
        <v>0</v>
      </c>
      <c r="C318" s="6">
        <f t="shared" si="2"/>
        <v>98.3</v>
      </c>
      <c r="D318" s="6">
        <f t="shared" si="3"/>
        <v>16.750206</v>
      </c>
    </row>
    <row r="319">
      <c r="A319" s="4" t="s">
        <v>12353</v>
      </c>
      <c r="B319" s="10">
        <f t="shared" si="1"/>
        <v>100</v>
      </c>
      <c r="C319" s="6">
        <f t="shared" si="2"/>
        <v>98.3</v>
      </c>
      <c r="D319" s="6">
        <f t="shared" si="3"/>
        <v>16.750325</v>
      </c>
    </row>
    <row r="320">
      <c r="A320" s="4" t="s">
        <v>12354</v>
      </c>
      <c r="B320" s="10">
        <f t="shared" si="1"/>
        <v>0</v>
      </c>
      <c r="C320" s="6">
        <f t="shared" si="2"/>
        <v>98.3</v>
      </c>
      <c r="D320" s="6">
        <f t="shared" si="3"/>
        <v>16.745693</v>
      </c>
    </row>
    <row r="321">
      <c r="A321" s="4" t="s">
        <v>12355</v>
      </c>
      <c r="B321" s="10">
        <f t="shared" si="1"/>
        <v>0</v>
      </c>
      <c r="C321" s="6">
        <f t="shared" si="2"/>
        <v>98.3</v>
      </c>
      <c r="D321" s="6">
        <f t="shared" si="3"/>
        <v>16.760053</v>
      </c>
    </row>
    <row r="322">
      <c r="A322" s="4" t="s">
        <v>12356</v>
      </c>
      <c r="B322" s="10">
        <f t="shared" si="1"/>
        <v>0</v>
      </c>
      <c r="C322" s="6">
        <f t="shared" si="2"/>
        <v>98.4</v>
      </c>
      <c r="D322" s="6">
        <f t="shared" si="3"/>
        <v>16.764313</v>
      </c>
    </row>
    <row r="323">
      <c r="A323" s="4" t="s">
        <v>12357</v>
      </c>
      <c r="B323" s="10">
        <f t="shared" si="1"/>
        <v>0</v>
      </c>
      <c r="C323" s="6">
        <f t="shared" si="2"/>
        <v>98.4</v>
      </c>
      <c r="D323" s="6">
        <f t="shared" si="3"/>
        <v>16.765091</v>
      </c>
    </row>
    <row r="324">
      <c r="A324" s="4" t="s">
        <v>12358</v>
      </c>
      <c r="B324" s="10">
        <f t="shared" si="1"/>
        <v>0</v>
      </c>
      <c r="C324" s="6">
        <f t="shared" si="2"/>
        <v>98.4</v>
      </c>
      <c r="D324" s="6">
        <f t="shared" si="3"/>
        <v>16.761241</v>
      </c>
    </row>
    <row r="325">
      <c r="A325" s="4" t="s">
        <v>12359</v>
      </c>
      <c r="B325" s="10">
        <f t="shared" si="1"/>
        <v>0</v>
      </c>
      <c r="C325" s="6">
        <f t="shared" si="2"/>
        <v>98.4</v>
      </c>
      <c r="D325" s="6">
        <f t="shared" si="3"/>
        <v>16.764497</v>
      </c>
    </row>
    <row r="326">
      <c r="A326" s="4" t="s">
        <v>12360</v>
      </c>
      <c r="B326" s="10">
        <f t="shared" si="1"/>
        <v>100</v>
      </c>
      <c r="C326" s="6">
        <f t="shared" si="2"/>
        <v>98.4</v>
      </c>
      <c r="D326" s="6">
        <f t="shared" si="3"/>
        <v>16.768581</v>
      </c>
    </row>
    <row r="327">
      <c r="A327" s="4" t="s">
        <v>12361</v>
      </c>
      <c r="B327" s="10">
        <f t="shared" si="1"/>
        <v>0</v>
      </c>
      <c r="C327" s="6">
        <f t="shared" si="2"/>
        <v>98.4</v>
      </c>
      <c r="D327" s="6">
        <f t="shared" si="3"/>
        <v>16.764436</v>
      </c>
    </row>
    <row r="328">
      <c r="A328" s="4" t="s">
        <v>12362</v>
      </c>
      <c r="B328" s="10">
        <f t="shared" si="1"/>
        <v>33.3</v>
      </c>
      <c r="C328" s="6">
        <f t="shared" si="2"/>
        <v>98.4</v>
      </c>
      <c r="D328" s="6">
        <f t="shared" si="3"/>
        <v>16.763199</v>
      </c>
    </row>
    <row r="329">
      <c r="A329" s="4" t="s">
        <v>12363</v>
      </c>
      <c r="B329" s="10">
        <f t="shared" si="1"/>
        <v>0</v>
      </c>
      <c r="C329" s="6">
        <f t="shared" si="2"/>
        <v>98.4</v>
      </c>
      <c r="D329" s="6">
        <f t="shared" si="3"/>
        <v>16.766668</v>
      </c>
    </row>
    <row r="330">
      <c r="A330" s="4" t="s">
        <v>12364</v>
      </c>
      <c r="B330" s="10">
        <f t="shared" si="1"/>
        <v>0</v>
      </c>
      <c r="C330" s="6">
        <f t="shared" si="2"/>
        <v>98.4</v>
      </c>
      <c r="D330" s="6">
        <f t="shared" si="3"/>
        <v>16.762699</v>
      </c>
    </row>
    <row r="331">
      <c r="A331" s="4" t="s">
        <v>12365</v>
      </c>
      <c r="B331" s="10">
        <f t="shared" si="1"/>
        <v>0</v>
      </c>
      <c r="C331" s="6">
        <f t="shared" si="2"/>
        <v>98.4</v>
      </c>
      <c r="D331" s="6">
        <f t="shared" si="3"/>
        <v>16.766119</v>
      </c>
    </row>
    <row r="332">
      <c r="A332" s="4" t="s">
        <v>12366</v>
      </c>
      <c r="B332" s="10">
        <f t="shared" si="1"/>
        <v>0</v>
      </c>
      <c r="C332" s="6">
        <f t="shared" si="2"/>
        <v>98.5</v>
      </c>
      <c r="D332" s="6">
        <f t="shared" si="3"/>
        <v>16.780185</v>
      </c>
    </row>
    <row r="333">
      <c r="A333" s="4" t="s">
        <v>12367</v>
      </c>
      <c r="B333" s="10">
        <f t="shared" si="1"/>
        <v>33.3</v>
      </c>
      <c r="C333" s="6">
        <f t="shared" si="2"/>
        <v>98.4</v>
      </c>
      <c r="D333" s="6">
        <f t="shared" si="3"/>
        <v>16.777011</v>
      </c>
    </row>
    <row r="334">
      <c r="A334" s="4" t="s">
        <v>12368</v>
      </c>
      <c r="B334" s="10">
        <f t="shared" si="1"/>
        <v>0</v>
      </c>
      <c r="C334" s="6">
        <f t="shared" si="2"/>
        <v>98.4</v>
      </c>
      <c r="D334" s="6">
        <f t="shared" si="3"/>
        <v>16.7675</v>
      </c>
    </row>
    <row r="335">
      <c r="A335" s="4" t="s">
        <v>12369</v>
      </c>
      <c r="B335" s="10">
        <f t="shared" si="1"/>
        <v>0</v>
      </c>
      <c r="C335" s="6">
        <f t="shared" si="2"/>
        <v>98.5</v>
      </c>
      <c r="D335" s="6">
        <f t="shared" si="3"/>
        <v>16.778944</v>
      </c>
    </row>
    <row r="336">
      <c r="A336" s="4" t="s">
        <v>12370</v>
      </c>
      <c r="B336" s="10">
        <f t="shared" si="1"/>
        <v>33.3</v>
      </c>
      <c r="C336" s="6">
        <f t="shared" si="2"/>
        <v>98.4</v>
      </c>
      <c r="D336" s="6">
        <f t="shared" si="3"/>
        <v>16.774594</v>
      </c>
    </row>
    <row r="337">
      <c r="A337" s="4" t="s">
        <v>12371</v>
      </c>
      <c r="B337" s="10">
        <f t="shared" si="1"/>
        <v>0</v>
      </c>
      <c r="C337" s="6">
        <f t="shared" si="2"/>
        <v>98.4</v>
      </c>
      <c r="D337" s="6">
        <f t="shared" si="3"/>
        <v>16.774676</v>
      </c>
    </row>
    <row r="338">
      <c r="A338" s="4" t="s">
        <v>12372</v>
      </c>
      <c r="B338" s="10">
        <f t="shared" si="1"/>
        <v>100</v>
      </c>
      <c r="C338" s="6">
        <f t="shared" si="2"/>
        <v>98.4</v>
      </c>
      <c r="D338" s="6">
        <f t="shared" si="3"/>
        <v>16.776773</v>
      </c>
    </row>
    <row r="339">
      <c r="A339" s="4" t="s">
        <v>12373</v>
      </c>
      <c r="B339" s="10">
        <f t="shared" si="1"/>
        <v>0</v>
      </c>
      <c r="C339" s="6">
        <f t="shared" si="2"/>
        <v>98.4</v>
      </c>
      <c r="D339" s="6">
        <f t="shared" si="3"/>
        <v>16.760487</v>
      </c>
    </row>
    <row r="340">
      <c r="A340" s="4" t="s">
        <v>12374</v>
      </c>
      <c r="B340" s="10">
        <f t="shared" si="1"/>
        <v>0</v>
      </c>
      <c r="C340" s="6">
        <f t="shared" si="2"/>
        <v>98.3</v>
      </c>
      <c r="D340" s="6">
        <f t="shared" si="3"/>
        <v>16.759259</v>
      </c>
    </row>
    <row r="341">
      <c r="A341" s="4" t="s">
        <v>12375</v>
      </c>
      <c r="B341" s="10">
        <f t="shared" si="1"/>
        <v>0</v>
      </c>
      <c r="C341" s="6">
        <f t="shared" si="2"/>
        <v>98.3</v>
      </c>
      <c r="D341" s="6">
        <f t="shared" si="3"/>
        <v>16.756269</v>
      </c>
    </row>
    <row r="342">
      <c r="A342" s="4" t="s">
        <v>12376</v>
      </c>
      <c r="B342" s="10">
        <f t="shared" si="1"/>
        <v>0</v>
      </c>
      <c r="C342" s="6">
        <f t="shared" si="2"/>
        <v>98.3</v>
      </c>
      <c r="D342" s="6">
        <f t="shared" si="3"/>
        <v>16.754618</v>
      </c>
    </row>
    <row r="343">
      <c r="A343" s="4" t="s">
        <v>12377</v>
      </c>
      <c r="B343" s="10">
        <f t="shared" si="1"/>
        <v>0</v>
      </c>
      <c r="C343" s="6">
        <f t="shared" si="2"/>
        <v>98.3</v>
      </c>
      <c r="D343" s="6">
        <f t="shared" si="3"/>
        <v>16.755019</v>
      </c>
    </row>
    <row r="344">
      <c r="A344" s="4" t="s">
        <v>12378</v>
      </c>
      <c r="B344" s="10">
        <f t="shared" si="1"/>
        <v>0</v>
      </c>
      <c r="C344" s="6">
        <f t="shared" si="2"/>
        <v>98.4</v>
      </c>
      <c r="D344" s="6">
        <f t="shared" si="3"/>
        <v>16.768831</v>
      </c>
    </row>
    <row r="345">
      <c r="A345" s="4" t="s">
        <v>12379</v>
      </c>
      <c r="B345" s="10">
        <f t="shared" si="1"/>
        <v>0</v>
      </c>
      <c r="C345" s="6">
        <f t="shared" si="2"/>
        <v>98.4</v>
      </c>
      <c r="D345" s="6">
        <f t="shared" si="3"/>
        <v>16.775995</v>
      </c>
    </row>
    <row r="346">
      <c r="A346" s="4" t="s">
        <v>12380</v>
      </c>
      <c r="B346" s="10">
        <f t="shared" si="1"/>
        <v>0</v>
      </c>
      <c r="C346" s="6">
        <f t="shared" si="2"/>
        <v>98.4</v>
      </c>
      <c r="D346" s="6">
        <f t="shared" si="3"/>
        <v>16.768196</v>
      </c>
    </row>
    <row r="347">
      <c r="A347" s="4" t="s">
        <v>12381</v>
      </c>
      <c r="B347" s="10">
        <f t="shared" si="1"/>
        <v>20</v>
      </c>
      <c r="C347" s="6">
        <f t="shared" si="2"/>
        <v>98.4</v>
      </c>
      <c r="D347" s="6">
        <f t="shared" si="3"/>
        <v>16.765112</v>
      </c>
    </row>
    <row r="348">
      <c r="A348" s="4" t="s">
        <v>12382</v>
      </c>
      <c r="B348" s="10">
        <f t="shared" si="1"/>
        <v>0</v>
      </c>
      <c r="C348" s="6">
        <f t="shared" si="2"/>
        <v>98.3</v>
      </c>
      <c r="D348" s="6">
        <f t="shared" si="3"/>
        <v>16.75932</v>
      </c>
    </row>
    <row r="349">
      <c r="A349" s="4" t="s">
        <v>12383</v>
      </c>
      <c r="B349" s="10">
        <f t="shared" si="1"/>
        <v>0</v>
      </c>
      <c r="C349" s="6">
        <f t="shared" si="2"/>
        <v>98.3</v>
      </c>
      <c r="D349" s="6">
        <f t="shared" si="3"/>
        <v>16.759185</v>
      </c>
    </row>
    <row r="350">
      <c r="A350" s="4" t="s">
        <v>12384</v>
      </c>
      <c r="B350" s="10">
        <f t="shared" si="1"/>
        <v>0</v>
      </c>
      <c r="C350" s="6">
        <f t="shared" si="2"/>
        <v>98.3</v>
      </c>
      <c r="D350" s="6">
        <f t="shared" si="3"/>
        <v>16.758722</v>
      </c>
    </row>
    <row r="351">
      <c r="A351" s="4" t="s">
        <v>12385</v>
      </c>
      <c r="B351" s="10">
        <f t="shared" si="1"/>
        <v>0</v>
      </c>
      <c r="C351" s="6">
        <f t="shared" si="2"/>
        <v>98.4</v>
      </c>
      <c r="D351" s="6">
        <f t="shared" si="3"/>
        <v>16.76725</v>
      </c>
    </row>
    <row r="352">
      <c r="A352" s="4" t="s">
        <v>12386</v>
      </c>
      <c r="B352" s="10">
        <f t="shared" si="1"/>
        <v>0</v>
      </c>
      <c r="C352" s="6">
        <f t="shared" si="2"/>
        <v>98.4</v>
      </c>
      <c r="D352" s="6">
        <f t="shared" si="3"/>
        <v>16.774033</v>
      </c>
    </row>
    <row r="353">
      <c r="A353" s="4" t="s">
        <v>12387</v>
      </c>
      <c r="B353" s="10">
        <f t="shared" si="1"/>
        <v>0</v>
      </c>
      <c r="C353" s="6">
        <f t="shared" si="2"/>
        <v>98.4</v>
      </c>
      <c r="D353" s="6">
        <f t="shared" si="3"/>
        <v>16.765874</v>
      </c>
    </row>
    <row r="354">
      <c r="A354" s="4" t="s">
        <v>12388</v>
      </c>
      <c r="B354" s="10">
        <f t="shared" si="1"/>
        <v>0</v>
      </c>
      <c r="C354" s="6">
        <f t="shared" si="2"/>
        <v>98.4</v>
      </c>
      <c r="D354" s="6">
        <f t="shared" si="3"/>
        <v>16.762359</v>
      </c>
    </row>
    <row r="355">
      <c r="A355" s="4" t="s">
        <v>12389</v>
      </c>
      <c r="B355" s="10">
        <f t="shared" si="1"/>
        <v>0</v>
      </c>
      <c r="C355" s="6">
        <f t="shared" si="2"/>
        <v>98.4</v>
      </c>
      <c r="D355" s="6">
        <f t="shared" si="3"/>
        <v>16.769847</v>
      </c>
    </row>
    <row r="356">
      <c r="A356" s="4" t="s">
        <v>12390</v>
      </c>
      <c r="B356" s="10">
        <f t="shared" si="1"/>
        <v>0</v>
      </c>
      <c r="C356" s="6">
        <f t="shared" si="2"/>
        <v>98.4</v>
      </c>
      <c r="D356" s="6">
        <f t="shared" si="3"/>
        <v>16.764248</v>
      </c>
    </row>
    <row r="357">
      <c r="A357" s="4" t="s">
        <v>12391</v>
      </c>
      <c r="B357" s="10">
        <f t="shared" si="1"/>
        <v>0</v>
      </c>
      <c r="C357" s="6">
        <f t="shared" si="2"/>
        <v>98.4</v>
      </c>
      <c r="D357" s="6">
        <f t="shared" si="3"/>
        <v>16.766672</v>
      </c>
    </row>
    <row r="358">
      <c r="A358" s="4" t="s">
        <v>12392</v>
      </c>
      <c r="B358" s="10">
        <f t="shared" si="1"/>
        <v>0</v>
      </c>
      <c r="C358" s="6">
        <f t="shared" si="2"/>
        <v>98.4</v>
      </c>
      <c r="D358" s="6">
        <f t="shared" si="3"/>
        <v>16.772907</v>
      </c>
    </row>
    <row r="359">
      <c r="A359" s="4" t="s">
        <v>12393</v>
      </c>
      <c r="B359" s="10">
        <f t="shared" si="1"/>
        <v>0</v>
      </c>
      <c r="C359" s="6">
        <f t="shared" si="2"/>
        <v>98.4</v>
      </c>
      <c r="D359" s="6">
        <f t="shared" si="3"/>
        <v>16.766816</v>
      </c>
    </row>
    <row r="360">
      <c r="A360" s="4" t="s">
        <v>12394</v>
      </c>
      <c r="B360" s="10">
        <f t="shared" si="1"/>
        <v>0</v>
      </c>
      <c r="C360" s="6">
        <f t="shared" si="2"/>
        <v>98.4</v>
      </c>
      <c r="D360" s="6">
        <f t="shared" si="3"/>
        <v>16.768385</v>
      </c>
    </row>
    <row r="361">
      <c r="A361" s="4" t="s">
        <v>12395</v>
      </c>
      <c r="B361" s="10">
        <f t="shared" si="1"/>
        <v>0</v>
      </c>
      <c r="C361" s="6">
        <f t="shared" si="2"/>
        <v>98.4</v>
      </c>
      <c r="D361" s="6">
        <f t="shared" si="3"/>
        <v>16.775385</v>
      </c>
    </row>
    <row r="362">
      <c r="A362" s="4" t="s">
        <v>12396</v>
      </c>
      <c r="B362" s="10">
        <f t="shared" si="1"/>
        <v>66.7</v>
      </c>
      <c r="C362" s="6">
        <f t="shared" si="2"/>
        <v>98.4</v>
      </c>
      <c r="D362" s="6">
        <f t="shared" si="3"/>
        <v>16.764661</v>
      </c>
    </row>
    <row r="363">
      <c r="A363" s="4" t="s">
        <v>12397</v>
      </c>
      <c r="B363" s="10">
        <f t="shared" si="1"/>
        <v>0</v>
      </c>
      <c r="C363" s="6">
        <f t="shared" si="2"/>
        <v>98.5</v>
      </c>
      <c r="D363" s="6">
        <f t="shared" si="3"/>
        <v>16.77717</v>
      </c>
    </row>
    <row r="364">
      <c r="A364" s="4" t="s">
        <v>12398</v>
      </c>
      <c r="B364" s="10">
        <f t="shared" si="1"/>
        <v>50</v>
      </c>
      <c r="C364" s="6">
        <f t="shared" si="2"/>
        <v>98.3</v>
      </c>
      <c r="D364" s="6">
        <f t="shared" si="3"/>
        <v>16.752238</v>
      </c>
    </row>
    <row r="365">
      <c r="A365" s="4" t="s">
        <v>12399</v>
      </c>
      <c r="B365" s="10">
        <f t="shared" si="1"/>
        <v>0</v>
      </c>
      <c r="C365" s="6">
        <f t="shared" si="2"/>
        <v>98.3</v>
      </c>
      <c r="D365" s="6">
        <f t="shared" si="3"/>
        <v>16.748564</v>
      </c>
    </row>
    <row r="366">
      <c r="A366" s="4" t="s">
        <v>12400</v>
      </c>
      <c r="B366" s="10">
        <f t="shared" si="1"/>
        <v>0</v>
      </c>
      <c r="C366" s="6">
        <f t="shared" si="2"/>
        <v>98.3</v>
      </c>
      <c r="D366" s="6">
        <f t="shared" si="3"/>
        <v>16.746397</v>
      </c>
    </row>
    <row r="367">
      <c r="A367" s="4" t="s">
        <v>12401</v>
      </c>
      <c r="B367" s="10">
        <f t="shared" si="1"/>
        <v>0</v>
      </c>
      <c r="C367" s="6">
        <f t="shared" si="2"/>
        <v>98.3</v>
      </c>
      <c r="D367" s="6">
        <f t="shared" si="3"/>
        <v>16.750395</v>
      </c>
    </row>
    <row r="368">
      <c r="A368" s="4" t="s">
        <v>12402</v>
      </c>
      <c r="B368" s="10">
        <f t="shared" si="1"/>
        <v>0</v>
      </c>
      <c r="C368" s="6">
        <f t="shared" si="2"/>
        <v>98.7</v>
      </c>
      <c r="D368" s="6">
        <f t="shared" si="3"/>
        <v>16.812916</v>
      </c>
    </row>
    <row r="369">
      <c r="A369" s="4" t="s">
        <v>12403</v>
      </c>
      <c r="B369" s="10">
        <f t="shared" si="1"/>
        <v>0</v>
      </c>
      <c r="C369" s="6">
        <f t="shared" si="2"/>
        <v>98.7</v>
      </c>
      <c r="D369" s="6">
        <f t="shared" si="3"/>
        <v>16.823484</v>
      </c>
    </row>
    <row r="370">
      <c r="A370" s="4" t="s">
        <v>12404</v>
      </c>
      <c r="B370" s="10">
        <f t="shared" si="1"/>
        <v>0</v>
      </c>
      <c r="C370" s="6">
        <f t="shared" si="2"/>
        <v>98.8</v>
      </c>
      <c r="D370" s="6">
        <f t="shared" si="3"/>
        <v>16.82885</v>
      </c>
    </row>
    <row r="371">
      <c r="A371" s="4" t="s">
        <v>12405</v>
      </c>
      <c r="B371" s="10">
        <f t="shared" si="1"/>
        <v>0</v>
      </c>
      <c r="C371" s="6">
        <f t="shared" si="2"/>
        <v>98.8</v>
      </c>
      <c r="D371" s="6">
        <f t="shared" si="3"/>
        <v>16.835182</v>
      </c>
    </row>
    <row r="372">
      <c r="A372" s="4" t="s">
        <v>12406</v>
      </c>
      <c r="B372" s="10">
        <f t="shared" si="1"/>
        <v>0</v>
      </c>
      <c r="C372" s="6">
        <f t="shared" si="2"/>
        <v>98.9</v>
      </c>
      <c r="D372" s="6">
        <f t="shared" si="3"/>
        <v>16.845807</v>
      </c>
    </row>
    <row r="373">
      <c r="A373" s="4" t="s">
        <v>12407</v>
      </c>
      <c r="B373" s="10">
        <f t="shared" si="1"/>
        <v>0</v>
      </c>
      <c r="C373" s="6">
        <f t="shared" si="2"/>
        <v>98.8</v>
      </c>
      <c r="D373" s="6">
        <f t="shared" si="3"/>
        <v>16.834691</v>
      </c>
    </row>
    <row r="374">
      <c r="A374" s="4" t="s">
        <v>12408</v>
      </c>
      <c r="B374" s="10">
        <f t="shared" si="1"/>
        <v>0</v>
      </c>
      <c r="C374" s="6">
        <f t="shared" si="2"/>
        <v>98.7</v>
      </c>
      <c r="D374" s="6">
        <f t="shared" si="3"/>
        <v>16.826507</v>
      </c>
    </row>
    <row r="375">
      <c r="A375" s="4" t="s">
        <v>12409</v>
      </c>
      <c r="B375" s="10">
        <f t="shared" si="1"/>
        <v>0</v>
      </c>
      <c r="C375" s="6">
        <f t="shared" si="2"/>
        <v>98.8</v>
      </c>
      <c r="D375" s="6">
        <f t="shared" si="3"/>
        <v>16.837976</v>
      </c>
    </row>
    <row r="376">
      <c r="A376" s="4" t="s">
        <v>12410</v>
      </c>
      <c r="B376" s="10">
        <f t="shared" si="1"/>
        <v>100</v>
      </c>
      <c r="C376" s="6">
        <f t="shared" si="2"/>
        <v>98.3</v>
      </c>
      <c r="D376" s="6">
        <f t="shared" si="3"/>
        <v>16.751529</v>
      </c>
    </row>
    <row r="377">
      <c r="A377" s="4" t="s">
        <v>12411</v>
      </c>
      <c r="B377" s="10">
        <f t="shared" si="1"/>
        <v>0</v>
      </c>
      <c r="C377" s="6">
        <f t="shared" si="2"/>
        <v>98.3</v>
      </c>
      <c r="D377" s="6">
        <f t="shared" si="3"/>
        <v>16.753106</v>
      </c>
    </row>
    <row r="378">
      <c r="A378" s="4" t="s">
        <v>12412</v>
      </c>
      <c r="B378" s="10">
        <f t="shared" si="1"/>
        <v>0</v>
      </c>
      <c r="C378" s="6">
        <f t="shared" si="2"/>
        <v>98.4</v>
      </c>
      <c r="D378" s="6">
        <f t="shared" si="3"/>
        <v>16.767877</v>
      </c>
    </row>
    <row r="379">
      <c r="A379" s="4" t="s">
        <v>12413</v>
      </c>
      <c r="B379" s="10">
        <f t="shared" si="1"/>
        <v>0</v>
      </c>
      <c r="C379" s="6">
        <f t="shared" si="2"/>
        <v>98.4</v>
      </c>
      <c r="D379" s="6">
        <f t="shared" si="3"/>
        <v>16.768229</v>
      </c>
    </row>
    <row r="380">
      <c r="A380" s="4" t="s">
        <v>12414</v>
      </c>
      <c r="B380" s="10">
        <f t="shared" si="1"/>
        <v>0</v>
      </c>
      <c r="C380" s="6">
        <f t="shared" si="2"/>
        <v>98.4</v>
      </c>
      <c r="D380" s="6">
        <f t="shared" si="3"/>
        <v>16.764977</v>
      </c>
    </row>
    <row r="381">
      <c r="A381" s="4" t="s">
        <v>12415</v>
      </c>
      <c r="B381" s="10">
        <f t="shared" si="1"/>
        <v>40</v>
      </c>
      <c r="C381" s="6">
        <f t="shared" si="2"/>
        <v>98.4</v>
      </c>
      <c r="D381" s="6">
        <f t="shared" si="3"/>
        <v>16.772399</v>
      </c>
    </row>
    <row r="382">
      <c r="A382" s="4" t="s">
        <v>12416</v>
      </c>
      <c r="B382" s="10">
        <f t="shared" si="1"/>
        <v>100</v>
      </c>
      <c r="C382" s="6">
        <f t="shared" si="2"/>
        <v>98.4</v>
      </c>
      <c r="D382" s="6">
        <f t="shared" si="3"/>
        <v>16.768327</v>
      </c>
    </row>
    <row r="383">
      <c r="A383" s="4" t="s">
        <v>12417</v>
      </c>
      <c r="B383" s="10">
        <f t="shared" si="1"/>
        <v>50</v>
      </c>
      <c r="C383" s="6">
        <f t="shared" si="2"/>
        <v>98.4</v>
      </c>
      <c r="D383" s="6">
        <f t="shared" si="3"/>
        <v>16.762507</v>
      </c>
    </row>
    <row r="384">
      <c r="A384" s="4" t="s">
        <v>12418</v>
      </c>
      <c r="B384" s="10">
        <f t="shared" si="1"/>
        <v>0</v>
      </c>
      <c r="C384" s="6">
        <f t="shared" si="2"/>
        <v>98.4</v>
      </c>
      <c r="D384" s="6">
        <f t="shared" si="3"/>
        <v>16.771657</v>
      </c>
    </row>
    <row r="385">
      <c r="A385" s="4" t="s">
        <v>12419</v>
      </c>
      <c r="B385" s="10">
        <f t="shared" si="1"/>
        <v>0</v>
      </c>
      <c r="C385" s="6">
        <f t="shared" si="2"/>
        <v>98.4</v>
      </c>
      <c r="D385" s="6">
        <f t="shared" si="3"/>
        <v>16.766431</v>
      </c>
    </row>
    <row r="386">
      <c r="A386" s="4" t="s">
        <v>12420</v>
      </c>
      <c r="B386" s="10">
        <f t="shared" si="1"/>
        <v>0</v>
      </c>
      <c r="C386" s="6">
        <f t="shared" si="2"/>
        <v>98.5</v>
      </c>
      <c r="D386" s="6">
        <f t="shared" si="3"/>
        <v>16.782712</v>
      </c>
    </row>
    <row r="387">
      <c r="A387" s="4" t="s">
        <v>12421</v>
      </c>
      <c r="B387" s="10">
        <f t="shared" si="1"/>
        <v>100</v>
      </c>
      <c r="C387" s="6">
        <f t="shared" si="2"/>
        <v>98.4</v>
      </c>
      <c r="D387" s="6">
        <f t="shared" si="3"/>
        <v>16.772804</v>
      </c>
    </row>
    <row r="388">
      <c r="A388" s="4" t="s">
        <v>12422</v>
      </c>
      <c r="B388" s="10">
        <f t="shared" si="1"/>
        <v>16.7</v>
      </c>
      <c r="C388" s="6">
        <f t="shared" si="2"/>
        <v>99.3</v>
      </c>
      <c r="D388" s="6">
        <f t="shared" si="3"/>
        <v>16.929611</v>
      </c>
    </row>
    <row r="389">
      <c r="A389" s="4" t="s">
        <v>12423</v>
      </c>
      <c r="B389" s="10">
        <f t="shared" si="1"/>
        <v>100</v>
      </c>
      <c r="C389" s="6">
        <f t="shared" si="2"/>
        <v>98.7</v>
      </c>
      <c r="D389" s="6">
        <f t="shared" si="3"/>
        <v>16.812171</v>
      </c>
    </row>
    <row r="390">
      <c r="A390" s="4" t="s">
        <v>12424</v>
      </c>
      <c r="B390" s="10">
        <f t="shared" si="1"/>
        <v>90</v>
      </c>
      <c r="C390" s="6">
        <f t="shared" si="2"/>
        <v>98.2</v>
      </c>
      <c r="D390" s="6">
        <f t="shared" si="3"/>
        <v>16.728481</v>
      </c>
    </row>
    <row r="391">
      <c r="A391" s="4" t="s">
        <v>12425</v>
      </c>
      <c r="B391" s="10">
        <f t="shared" si="1"/>
        <v>0</v>
      </c>
      <c r="C391" s="6">
        <f t="shared" si="2"/>
        <v>98.2</v>
      </c>
      <c r="D391" s="6">
        <f t="shared" si="3"/>
        <v>16.728944</v>
      </c>
    </row>
    <row r="392">
      <c r="A392" s="4" t="s">
        <v>12426</v>
      </c>
      <c r="B392" s="10">
        <f t="shared" si="1"/>
        <v>0</v>
      </c>
      <c r="C392" s="6">
        <f t="shared" si="2"/>
        <v>98.9</v>
      </c>
      <c r="D392" s="6">
        <f t="shared" si="3"/>
        <v>16.849711</v>
      </c>
    </row>
    <row r="393">
      <c r="A393" s="4" t="s">
        <v>12427</v>
      </c>
      <c r="B393" s="10">
        <f t="shared" si="1"/>
        <v>0</v>
      </c>
      <c r="C393" s="6">
        <f t="shared" si="2"/>
        <v>99.4</v>
      </c>
      <c r="D393" s="6">
        <f t="shared" si="3"/>
        <v>16.930742</v>
      </c>
    </row>
    <row r="394">
      <c r="A394" s="4" t="s">
        <v>12428</v>
      </c>
      <c r="B394" s="10">
        <f t="shared" si="1"/>
        <v>0</v>
      </c>
      <c r="C394" s="6">
        <f t="shared" si="2"/>
        <v>98.9</v>
      </c>
      <c r="D394" s="6">
        <f t="shared" si="3"/>
        <v>16.855961</v>
      </c>
    </row>
    <row r="395">
      <c r="A395" s="4" t="s">
        <v>12429</v>
      </c>
      <c r="B395" s="10">
        <f t="shared" si="1"/>
        <v>0</v>
      </c>
      <c r="C395" s="6">
        <f t="shared" si="2"/>
        <v>98.7</v>
      </c>
      <c r="D395" s="6">
        <f t="shared" si="3"/>
        <v>16.811601</v>
      </c>
    </row>
    <row r="396">
      <c r="A396" s="4" t="s">
        <v>12430</v>
      </c>
      <c r="B396" s="10">
        <f t="shared" si="1"/>
        <v>100</v>
      </c>
      <c r="C396" s="6">
        <f t="shared" si="2"/>
        <v>98.9</v>
      </c>
      <c r="D396" s="6">
        <f t="shared" si="3"/>
        <v>16.851292</v>
      </c>
    </row>
    <row r="397">
      <c r="A397" s="4" t="s">
        <v>12431</v>
      </c>
      <c r="B397" s="10">
        <f t="shared" si="1"/>
        <v>10</v>
      </c>
      <c r="C397" s="6">
        <f t="shared" si="2"/>
        <v>97.6</v>
      </c>
      <c r="D397" s="6">
        <f t="shared" si="3"/>
        <v>16.626774</v>
      </c>
    </row>
    <row r="398">
      <c r="A398" s="4" t="s">
        <v>12432</v>
      </c>
      <c r="B398" s="10">
        <f t="shared" si="1"/>
        <v>50</v>
      </c>
      <c r="C398" s="6">
        <f t="shared" si="2"/>
        <v>97.7</v>
      </c>
      <c r="D398" s="6">
        <f t="shared" si="3"/>
        <v>16.648036</v>
      </c>
    </row>
    <row r="399">
      <c r="A399" s="4" t="s">
        <v>12433</v>
      </c>
      <c r="B399" s="10">
        <f t="shared" si="1"/>
        <v>66.7</v>
      </c>
      <c r="C399" s="6">
        <f t="shared" si="2"/>
        <v>97.7</v>
      </c>
      <c r="D399" s="6">
        <f t="shared" si="3"/>
        <v>16.656031</v>
      </c>
    </row>
    <row r="400">
      <c r="A400" s="4" t="s">
        <v>12434</v>
      </c>
      <c r="B400" s="10">
        <f t="shared" si="1"/>
        <v>50</v>
      </c>
      <c r="C400" s="6">
        <f t="shared" si="2"/>
        <v>97.7</v>
      </c>
      <c r="D400" s="6">
        <f t="shared" si="3"/>
        <v>16.644907</v>
      </c>
    </row>
    <row r="401">
      <c r="A401" s="4" t="s">
        <v>12435</v>
      </c>
      <c r="B401" s="10">
        <f t="shared" si="1"/>
        <v>0</v>
      </c>
      <c r="C401" s="6">
        <f t="shared" si="2"/>
        <v>97.8</v>
      </c>
      <c r="D401" s="6">
        <f t="shared" si="3"/>
        <v>16.65982</v>
      </c>
    </row>
    <row r="402">
      <c r="A402" s="4" t="s">
        <v>12436</v>
      </c>
      <c r="B402" s="10">
        <f t="shared" si="1"/>
        <v>0</v>
      </c>
      <c r="C402" s="6">
        <f t="shared" si="2"/>
        <v>97.8</v>
      </c>
      <c r="D402" s="6">
        <f t="shared" si="3"/>
        <v>16.664825</v>
      </c>
    </row>
    <row r="403">
      <c r="A403" s="4" t="s">
        <v>12437</v>
      </c>
      <c r="B403" s="10">
        <f t="shared" si="1"/>
        <v>100</v>
      </c>
      <c r="C403" s="6">
        <f t="shared" si="2"/>
        <v>97.8</v>
      </c>
      <c r="D403" s="6">
        <f t="shared" si="3"/>
        <v>16.66965</v>
      </c>
    </row>
    <row r="404">
      <c r="A404" s="4" t="s">
        <v>12438</v>
      </c>
      <c r="B404" s="10">
        <f t="shared" si="1"/>
        <v>0</v>
      </c>
      <c r="C404" s="6">
        <f t="shared" si="2"/>
        <v>97.8</v>
      </c>
      <c r="D404" s="6">
        <f t="shared" si="3"/>
        <v>16.667283</v>
      </c>
    </row>
    <row r="405">
      <c r="A405" s="4" t="s">
        <v>12439</v>
      </c>
      <c r="B405" s="10">
        <f t="shared" si="1"/>
        <v>0</v>
      </c>
      <c r="C405" s="6">
        <f t="shared" si="2"/>
        <v>97.8</v>
      </c>
      <c r="D405" s="6">
        <f t="shared" si="3"/>
        <v>16.669597</v>
      </c>
    </row>
    <row r="406">
      <c r="A406" s="4" t="s">
        <v>12440</v>
      </c>
      <c r="B406" s="10">
        <f t="shared" si="1"/>
        <v>0</v>
      </c>
      <c r="C406" s="6">
        <f t="shared" si="2"/>
        <v>97.5</v>
      </c>
      <c r="D406" s="6">
        <f t="shared" si="3"/>
        <v>16.615718</v>
      </c>
    </row>
    <row r="407">
      <c r="A407" s="4" t="s">
        <v>12441</v>
      </c>
      <c r="B407" s="10">
        <f t="shared" si="1"/>
        <v>0</v>
      </c>
      <c r="C407" s="6">
        <f t="shared" si="2"/>
        <v>97.9</v>
      </c>
      <c r="D407" s="6">
        <f t="shared" si="3"/>
        <v>16.680763</v>
      </c>
    </row>
    <row r="408">
      <c r="A408" s="4" t="s">
        <v>12442</v>
      </c>
      <c r="B408" s="10">
        <f t="shared" si="1"/>
        <v>0</v>
      </c>
      <c r="C408" s="6">
        <f t="shared" si="2"/>
        <v>98</v>
      </c>
      <c r="D408" s="6">
        <f t="shared" si="3"/>
        <v>16.692531</v>
      </c>
    </row>
    <row r="409">
      <c r="A409" s="4" t="s">
        <v>12443</v>
      </c>
      <c r="B409" s="10">
        <f t="shared" si="1"/>
        <v>0</v>
      </c>
      <c r="C409" s="6">
        <f t="shared" si="2"/>
        <v>98</v>
      </c>
      <c r="D409" s="6">
        <f t="shared" si="3"/>
        <v>16.705753</v>
      </c>
    </row>
    <row r="410">
      <c r="A410" s="4" t="s">
        <v>12444</v>
      </c>
      <c r="B410" s="10">
        <f t="shared" si="1"/>
        <v>0</v>
      </c>
      <c r="C410" s="6">
        <f t="shared" si="2"/>
        <v>98.1</v>
      </c>
      <c r="D410" s="6">
        <f t="shared" si="3"/>
        <v>16.714235</v>
      </c>
    </row>
    <row r="411">
      <c r="A411" s="4" t="s">
        <v>12445</v>
      </c>
      <c r="B411" s="10">
        <f t="shared" si="1"/>
        <v>0</v>
      </c>
      <c r="C411" s="6">
        <f t="shared" si="2"/>
        <v>98.1</v>
      </c>
      <c r="D411" s="6">
        <f t="shared" si="3"/>
        <v>16.718028</v>
      </c>
    </row>
    <row r="412">
      <c r="A412" s="4" t="s">
        <v>12446</v>
      </c>
      <c r="B412" s="10">
        <f t="shared" si="1"/>
        <v>0</v>
      </c>
      <c r="C412" s="6">
        <f t="shared" si="2"/>
        <v>98.8</v>
      </c>
      <c r="D412" s="6">
        <f t="shared" si="3"/>
        <v>16.835297</v>
      </c>
    </row>
    <row r="413">
      <c r="A413" s="4" t="s">
        <v>12447</v>
      </c>
      <c r="B413" s="10">
        <f t="shared" si="1"/>
        <v>0</v>
      </c>
      <c r="C413" s="6">
        <f t="shared" si="2"/>
        <v>98.6</v>
      </c>
      <c r="D413" s="6">
        <f t="shared" si="3"/>
        <v>16.794419</v>
      </c>
    </row>
    <row r="414">
      <c r="A414" s="4" t="s">
        <v>12448</v>
      </c>
      <c r="B414" s="10">
        <f t="shared" si="1"/>
        <v>0</v>
      </c>
      <c r="C414" s="6">
        <f t="shared" si="2"/>
        <v>98.1</v>
      </c>
      <c r="D414" s="6">
        <f t="shared" si="3"/>
        <v>16.710414</v>
      </c>
    </row>
    <row r="415">
      <c r="A415" s="4" t="s">
        <v>12449</v>
      </c>
      <c r="B415" s="10">
        <f t="shared" si="1"/>
        <v>0</v>
      </c>
      <c r="C415" s="6">
        <f t="shared" si="2"/>
        <v>97.6</v>
      </c>
      <c r="D415" s="6">
        <f t="shared" si="3"/>
        <v>16.630706</v>
      </c>
    </row>
    <row r="416">
      <c r="A416" s="4" t="s">
        <v>12450</v>
      </c>
      <c r="B416" s="10">
        <f t="shared" si="1"/>
        <v>0</v>
      </c>
      <c r="C416" s="6">
        <f t="shared" si="2"/>
        <v>97.4</v>
      </c>
      <c r="D416" s="6">
        <f t="shared" si="3"/>
        <v>16.603602</v>
      </c>
    </row>
    <row r="417">
      <c r="A417" s="4" t="s">
        <v>12451</v>
      </c>
      <c r="B417" s="10">
        <f t="shared" si="1"/>
        <v>50</v>
      </c>
      <c r="C417" s="6">
        <f t="shared" si="2"/>
        <v>97.5</v>
      </c>
      <c r="D417" s="6">
        <f t="shared" si="3"/>
        <v>16.618344</v>
      </c>
    </row>
    <row r="418">
      <c r="A418" s="4" t="s">
        <v>12452</v>
      </c>
      <c r="B418" s="10">
        <f t="shared" si="1"/>
        <v>0</v>
      </c>
      <c r="C418" s="6">
        <f t="shared" si="2"/>
        <v>97.6</v>
      </c>
      <c r="D418" s="6">
        <f t="shared" si="3"/>
        <v>16.625516</v>
      </c>
    </row>
    <row r="419">
      <c r="A419" s="4" t="s">
        <v>12453</v>
      </c>
      <c r="B419" s="10">
        <f t="shared" si="1"/>
        <v>0</v>
      </c>
      <c r="C419" s="6">
        <f t="shared" si="2"/>
        <v>97.6</v>
      </c>
      <c r="D419" s="6">
        <f t="shared" si="3"/>
        <v>16.624721</v>
      </c>
    </row>
    <row r="420">
      <c r="A420" s="4" t="s">
        <v>12454</v>
      </c>
      <c r="B420" s="10">
        <f t="shared" si="1"/>
        <v>100</v>
      </c>
      <c r="C420" s="6">
        <f t="shared" si="2"/>
        <v>97.7</v>
      </c>
      <c r="D420" s="6">
        <f t="shared" si="3"/>
        <v>16.649773</v>
      </c>
    </row>
    <row r="421">
      <c r="A421" s="4" t="s">
        <v>12455</v>
      </c>
      <c r="B421" s="10">
        <f t="shared" si="1"/>
        <v>0</v>
      </c>
      <c r="C421" s="6">
        <f t="shared" si="2"/>
        <v>97</v>
      </c>
      <c r="D421" s="6">
        <f t="shared" si="3"/>
        <v>16.530247</v>
      </c>
    </row>
    <row r="422">
      <c r="A422" s="4" t="s">
        <v>12456</v>
      </c>
      <c r="B422" s="10">
        <f t="shared" si="1"/>
        <v>20</v>
      </c>
      <c r="C422" s="6">
        <f t="shared" si="2"/>
        <v>97</v>
      </c>
      <c r="D422" s="6">
        <f t="shared" si="3"/>
        <v>16.534089</v>
      </c>
    </row>
    <row r="423">
      <c r="A423" s="4" t="s">
        <v>12457</v>
      </c>
      <c r="B423" s="10">
        <f t="shared" si="1"/>
        <v>0</v>
      </c>
      <c r="C423" s="6">
        <f t="shared" si="2"/>
        <v>97</v>
      </c>
      <c r="D423" s="6">
        <f t="shared" si="3"/>
        <v>16.533696</v>
      </c>
    </row>
    <row r="424">
      <c r="A424" s="4" t="s">
        <v>12458</v>
      </c>
      <c r="B424" s="10">
        <f t="shared" si="1"/>
        <v>0</v>
      </c>
      <c r="C424" s="6">
        <f t="shared" si="2"/>
        <v>97</v>
      </c>
      <c r="D424" s="6">
        <f t="shared" si="3"/>
        <v>16.537452</v>
      </c>
    </row>
    <row r="425">
      <c r="A425" s="4" t="s">
        <v>12459</v>
      </c>
      <c r="B425" s="10">
        <f t="shared" si="1"/>
        <v>0</v>
      </c>
      <c r="C425" s="6">
        <f t="shared" si="2"/>
        <v>97.1</v>
      </c>
      <c r="D425" s="6">
        <f t="shared" si="3"/>
        <v>16.544403</v>
      </c>
    </row>
    <row r="426">
      <c r="A426" s="4" t="s">
        <v>12460</v>
      </c>
      <c r="B426" s="10">
        <f t="shared" si="1"/>
        <v>0</v>
      </c>
      <c r="C426" s="6">
        <f t="shared" si="2"/>
        <v>96.9</v>
      </c>
      <c r="D426" s="6">
        <f t="shared" si="3"/>
        <v>16.513351</v>
      </c>
    </row>
    <row r="427">
      <c r="A427" s="4" t="s">
        <v>12461</v>
      </c>
      <c r="B427" s="10">
        <f t="shared" si="1"/>
        <v>0</v>
      </c>
      <c r="C427" s="6">
        <f t="shared" si="2"/>
        <v>96.9</v>
      </c>
      <c r="D427" s="6">
        <f t="shared" si="3"/>
        <v>16.513458</v>
      </c>
    </row>
    <row r="428">
      <c r="A428" s="4" t="s">
        <v>12462</v>
      </c>
      <c r="B428" s="10">
        <f t="shared" si="1"/>
        <v>0</v>
      </c>
      <c r="C428" s="6">
        <f t="shared" si="2"/>
        <v>96.9</v>
      </c>
      <c r="D428" s="6">
        <f t="shared" si="3"/>
        <v>16.521293</v>
      </c>
    </row>
    <row r="429">
      <c r="A429" s="4" t="s">
        <v>12463</v>
      </c>
      <c r="B429" s="10">
        <f t="shared" si="1"/>
        <v>0</v>
      </c>
      <c r="C429" s="6">
        <f t="shared" si="2"/>
        <v>96.9</v>
      </c>
      <c r="D429" s="6">
        <f t="shared" si="3"/>
        <v>16.516829</v>
      </c>
    </row>
    <row r="430">
      <c r="A430" s="4" t="s">
        <v>12464</v>
      </c>
      <c r="B430" s="10">
        <f t="shared" si="1"/>
        <v>0</v>
      </c>
      <c r="C430" s="6">
        <f t="shared" si="2"/>
        <v>96.9</v>
      </c>
      <c r="D430" s="6">
        <f t="shared" si="3"/>
        <v>16.517369</v>
      </c>
    </row>
    <row r="431">
      <c r="A431" s="4" t="s">
        <v>12465</v>
      </c>
      <c r="B431" s="10">
        <f t="shared" si="1"/>
        <v>100</v>
      </c>
      <c r="C431" s="6">
        <f t="shared" si="2"/>
        <v>97</v>
      </c>
      <c r="D431" s="6">
        <f t="shared" si="3"/>
        <v>16.531034</v>
      </c>
    </row>
    <row r="432">
      <c r="A432" s="4" t="s">
        <v>12466</v>
      </c>
      <c r="B432" s="10">
        <f t="shared" si="1"/>
        <v>0</v>
      </c>
      <c r="C432" s="6">
        <f t="shared" si="2"/>
        <v>97.1</v>
      </c>
      <c r="D432" s="6">
        <f t="shared" si="3"/>
        <v>16.546721</v>
      </c>
    </row>
    <row r="433">
      <c r="A433" s="4" t="s">
        <v>12467</v>
      </c>
      <c r="B433" s="10">
        <f t="shared" si="1"/>
        <v>42.9</v>
      </c>
      <c r="C433" s="6">
        <f t="shared" si="2"/>
        <v>97.1</v>
      </c>
      <c r="D433" s="6">
        <f t="shared" si="3"/>
        <v>16.548851</v>
      </c>
    </row>
    <row r="434">
      <c r="A434" s="4" t="s">
        <v>12468</v>
      </c>
      <c r="B434" s="10">
        <f t="shared" si="1"/>
        <v>0</v>
      </c>
      <c r="C434" s="6">
        <f t="shared" si="2"/>
        <v>97.1</v>
      </c>
      <c r="D434" s="6">
        <f t="shared" si="3"/>
        <v>16.551075</v>
      </c>
    </row>
    <row r="435">
      <c r="A435" s="4" t="s">
        <v>12469</v>
      </c>
      <c r="B435" s="10">
        <f t="shared" si="1"/>
        <v>100</v>
      </c>
      <c r="C435" s="6">
        <f t="shared" si="2"/>
        <v>97.1</v>
      </c>
      <c r="D435" s="6">
        <f t="shared" si="3"/>
        <v>16.551522</v>
      </c>
    </row>
    <row r="436">
      <c r="A436" s="4" t="s">
        <v>12470</v>
      </c>
      <c r="B436" s="10">
        <f t="shared" si="1"/>
        <v>0</v>
      </c>
      <c r="C436" s="6">
        <f t="shared" si="2"/>
        <v>97.1</v>
      </c>
      <c r="D436" s="6">
        <f t="shared" si="3"/>
        <v>16.551006</v>
      </c>
    </row>
    <row r="437">
      <c r="A437" s="4" t="s">
        <v>12471</v>
      </c>
      <c r="B437" s="10">
        <f t="shared" si="1"/>
        <v>0</v>
      </c>
      <c r="C437" s="6">
        <f t="shared" si="2"/>
        <v>97.2</v>
      </c>
      <c r="D437" s="6">
        <f t="shared" si="3"/>
        <v>16.55692</v>
      </c>
    </row>
    <row r="438">
      <c r="A438" s="4" t="s">
        <v>12472</v>
      </c>
      <c r="B438" s="10">
        <f t="shared" si="1"/>
        <v>100</v>
      </c>
      <c r="C438" s="6">
        <f t="shared" si="2"/>
        <v>97.2</v>
      </c>
      <c r="D438" s="6">
        <f t="shared" si="3"/>
        <v>16.567418</v>
      </c>
    </row>
    <row r="439">
      <c r="A439" s="4" t="s">
        <v>12473</v>
      </c>
      <c r="B439" s="10">
        <f t="shared" si="1"/>
        <v>0</v>
      </c>
      <c r="C439" s="6">
        <f t="shared" si="2"/>
        <v>97.3</v>
      </c>
      <c r="D439" s="6">
        <f t="shared" si="3"/>
        <v>16.574255</v>
      </c>
    </row>
    <row r="440">
      <c r="A440" s="4" t="s">
        <v>12474</v>
      </c>
      <c r="B440" s="10">
        <f t="shared" si="1"/>
        <v>0</v>
      </c>
      <c r="C440" s="6">
        <f t="shared" si="2"/>
        <v>97.3</v>
      </c>
      <c r="D440" s="6">
        <f t="shared" si="3"/>
        <v>16.577228</v>
      </c>
    </row>
    <row r="441">
      <c r="A441" s="4" t="s">
        <v>12475</v>
      </c>
      <c r="B441" s="10">
        <f t="shared" si="1"/>
        <v>0</v>
      </c>
      <c r="C441" s="6">
        <f t="shared" si="2"/>
        <v>97.4</v>
      </c>
      <c r="D441" s="6">
        <f t="shared" si="3"/>
        <v>16.594669</v>
      </c>
    </row>
    <row r="442">
      <c r="A442" s="4" t="s">
        <v>12476</v>
      </c>
      <c r="B442" s="10">
        <f t="shared" si="1"/>
        <v>0</v>
      </c>
      <c r="C442" s="6">
        <f t="shared" si="2"/>
        <v>97.4</v>
      </c>
      <c r="D442" s="6">
        <f t="shared" si="3"/>
        <v>16.605077</v>
      </c>
    </row>
    <row r="443">
      <c r="A443" s="4" t="s">
        <v>12477</v>
      </c>
      <c r="B443" s="10">
        <f t="shared" si="1"/>
        <v>0</v>
      </c>
      <c r="C443" s="6">
        <f t="shared" si="2"/>
        <v>97.5</v>
      </c>
      <c r="D443" s="6">
        <f t="shared" si="3"/>
        <v>16.615022</v>
      </c>
    </row>
    <row r="444">
      <c r="A444" s="4" t="s">
        <v>12478</v>
      </c>
      <c r="B444" s="10">
        <f t="shared" si="1"/>
        <v>0</v>
      </c>
      <c r="C444" s="6">
        <f t="shared" si="2"/>
        <v>97.5</v>
      </c>
      <c r="D444" s="6">
        <f t="shared" si="3"/>
        <v>16.614076</v>
      </c>
    </row>
    <row r="445">
      <c r="A445" s="4" t="s">
        <v>12479</v>
      </c>
      <c r="B445" s="10">
        <f t="shared" si="1"/>
        <v>40</v>
      </c>
      <c r="C445" s="6">
        <f t="shared" si="2"/>
        <v>97.6</v>
      </c>
      <c r="D445" s="6">
        <f t="shared" si="3"/>
        <v>16.628699</v>
      </c>
    </row>
    <row r="446">
      <c r="A446" s="4" t="s">
        <v>12480</v>
      </c>
      <c r="B446" s="10">
        <f t="shared" si="1"/>
        <v>0</v>
      </c>
      <c r="C446" s="6">
        <f t="shared" si="2"/>
        <v>97.6</v>
      </c>
      <c r="D446" s="6">
        <f t="shared" si="3"/>
        <v>16.628064</v>
      </c>
    </row>
    <row r="447">
      <c r="A447" s="4" t="s">
        <v>12481</v>
      </c>
      <c r="B447" s="10">
        <f t="shared" si="1"/>
        <v>12.5</v>
      </c>
      <c r="C447" s="6">
        <f t="shared" si="2"/>
        <v>97.5</v>
      </c>
      <c r="D447" s="6">
        <f t="shared" si="3"/>
        <v>16.620896</v>
      </c>
    </row>
    <row r="448">
      <c r="A448" s="4" t="s">
        <v>12482</v>
      </c>
      <c r="B448" s="10">
        <f t="shared" si="1"/>
        <v>0</v>
      </c>
      <c r="C448" s="6">
        <f t="shared" si="2"/>
        <v>97.5</v>
      </c>
      <c r="D448" s="6">
        <f t="shared" si="3"/>
        <v>16.61596</v>
      </c>
    </row>
    <row r="449">
      <c r="A449" s="4" t="s">
        <v>12483</v>
      </c>
      <c r="B449" s="10">
        <f t="shared" si="1"/>
        <v>0</v>
      </c>
      <c r="C449" s="6">
        <f t="shared" si="2"/>
        <v>97.5</v>
      </c>
      <c r="D449" s="6">
        <f t="shared" si="3"/>
        <v>16.613928</v>
      </c>
    </row>
    <row r="450">
      <c r="A450" s="4" t="s">
        <v>12484</v>
      </c>
      <c r="B450" s="10">
        <f t="shared" si="1"/>
        <v>100</v>
      </c>
      <c r="C450" s="6">
        <f t="shared" si="2"/>
        <v>97.5</v>
      </c>
      <c r="D450" s="6">
        <f t="shared" si="3"/>
        <v>16.613863</v>
      </c>
    </row>
    <row r="451">
      <c r="A451" s="4" t="s">
        <v>12485</v>
      </c>
      <c r="B451" s="10">
        <f t="shared" si="1"/>
        <v>50</v>
      </c>
      <c r="C451" s="6">
        <f t="shared" si="2"/>
        <v>97.5</v>
      </c>
      <c r="D451" s="6">
        <f t="shared" si="3"/>
        <v>16.618737</v>
      </c>
    </row>
    <row r="452">
      <c r="A452" s="4" t="s">
        <v>12486</v>
      </c>
      <c r="B452" s="10">
        <f t="shared" si="1"/>
        <v>0</v>
      </c>
      <c r="C452" s="6">
        <f t="shared" si="2"/>
        <v>97.5</v>
      </c>
      <c r="D452" s="6">
        <f t="shared" si="3"/>
        <v>16.613462</v>
      </c>
    </row>
    <row r="453">
      <c r="A453" s="4" t="s">
        <v>12487</v>
      </c>
      <c r="B453" s="10">
        <f t="shared" si="1"/>
        <v>0</v>
      </c>
      <c r="C453" s="6">
        <f t="shared" si="2"/>
        <v>97.5</v>
      </c>
      <c r="D453" s="6">
        <f t="shared" si="3"/>
        <v>16.621137</v>
      </c>
    </row>
    <row r="454">
      <c r="A454" s="4" t="s">
        <v>12488</v>
      </c>
      <c r="B454" s="10">
        <f t="shared" si="1"/>
        <v>100</v>
      </c>
      <c r="C454" s="6">
        <f t="shared" si="2"/>
        <v>97.5</v>
      </c>
      <c r="D454" s="6">
        <f t="shared" si="3"/>
        <v>16.617074</v>
      </c>
    </row>
    <row r="455">
      <c r="A455" s="4" t="s">
        <v>12489</v>
      </c>
      <c r="B455" s="10">
        <f t="shared" si="1"/>
        <v>0</v>
      </c>
      <c r="C455" s="6">
        <f t="shared" si="2"/>
        <v>97.5</v>
      </c>
      <c r="D455" s="6">
        <f t="shared" si="3"/>
        <v>16.615759</v>
      </c>
    </row>
    <row r="456">
      <c r="A456" s="4" t="s">
        <v>12490</v>
      </c>
      <c r="B456" s="10">
        <f t="shared" si="1"/>
        <v>50</v>
      </c>
      <c r="C456" s="6">
        <f t="shared" si="2"/>
        <v>97.6</v>
      </c>
      <c r="D456" s="6">
        <f t="shared" si="3"/>
        <v>16.637796</v>
      </c>
    </row>
    <row r="457">
      <c r="A457" s="4" t="s">
        <v>12491</v>
      </c>
      <c r="B457" s="10">
        <f t="shared" si="1"/>
        <v>0</v>
      </c>
      <c r="C457" s="6">
        <f t="shared" si="2"/>
        <v>97.6</v>
      </c>
      <c r="D457" s="6">
        <f t="shared" si="3"/>
        <v>16.63542</v>
      </c>
    </row>
    <row r="458">
      <c r="A458" s="4" t="s">
        <v>12492</v>
      </c>
      <c r="B458" s="10">
        <f t="shared" si="1"/>
        <v>0</v>
      </c>
      <c r="C458" s="6">
        <f t="shared" si="2"/>
        <v>97.6</v>
      </c>
      <c r="D458" s="6">
        <f t="shared" si="3"/>
        <v>16.626012</v>
      </c>
    </row>
    <row r="459">
      <c r="A459" s="4" t="s">
        <v>12493</v>
      </c>
      <c r="B459" s="10">
        <f t="shared" si="1"/>
        <v>0</v>
      </c>
      <c r="C459" s="6">
        <f t="shared" si="2"/>
        <v>98</v>
      </c>
      <c r="D459" s="6">
        <f t="shared" si="3"/>
        <v>16.692211</v>
      </c>
    </row>
    <row r="460">
      <c r="A460" s="4" t="s">
        <v>12494</v>
      </c>
      <c r="B460" s="10">
        <f t="shared" si="1"/>
        <v>0</v>
      </c>
      <c r="C460" s="6">
        <f t="shared" si="2"/>
        <v>98.2</v>
      </c>
      <c r="D460" s="6">
        <f t="shared" si="3"/>
        <v>16.739516</v>
      </c>
    </row>
    <row r="461">
      <c r="A461" s="4" t="s">
        <v>12495</v>
      </c>
      <c r="B461" s="10">
        <f t="shared" si="1"/>
        <v>0</v>
      </c>
      <c r="C461" s="6">
        <f t="shared" si="2"/>
        <v>98.2</v>
      </c>
      <c r="D461" s="6">
        <f t="shared" si="3"/>
        <v>16.7395</v>
      </c>
    </row>
    <row r="462">
      <c r="A462" s="4" t="s">
        <v>12496</v>
      </c>
      <c r="B462" s="10">
        <f t="shared" si="1"/>
        <v>0</v>
      </c>
      <c r="C462" s="6">
        <f t="shared" si="2"/>
        <v>98.3</v>
      </c>
      <c r="D462" s="6">
        <f t="shared" si="3"/>
        <v>16.743395</v>
      </c>
    </row>
    <row r="463">
      <c r="A463" s="4" t="s">
        <v>12497</v>
      </c>
      <c r="B463" s="10">
        <f t="shared" si="1"/>
        <v>100</v>
      </c>
      <c r="C463" s="6">
        <f t="shared" si="2"/>
        <v>98.3</v>
      </c>
      <c r="D463" s="6">
        <f t="shared" si="3"/>
        <v>16.748412</v>
      </c>
    </row>
    <row r="464">
      <c r="A464" s="4" t="s">
        <v>12498</v>
      </c>
      <c r="B464" s="10">
        <f t="shared" si="1"/>
        <v>10</v>
      </c>
      <c r="C464" s="6">
        <f t="shared" si="2"/>
        <v>98.7</v>
      </c>
      <c r="D464" s="6">
        <f t="shared" si="3"/>
        <v>16.812924</v>
      </c>
    </row>
    <row r="465">
      <c r="A465" s="4" t="s">
        <v>12499</v>
      </c>
      <c r="B465" s="10">
        <f t="shared" si="1"/>
        <v>0</v>
      </c>
      <c r="C465" s="6">
        <f t="shared" si="2"/>
        <v>99</v>
      </c>
      <c r="D465" s="6">
        <f t="shared" si="3"/>
        <v>16.862654</v>
      </c>
    </row>
    <row r="466">
      <c r="A466" s="4" t="s">
        <v>12500</v>
      </c>
      <c r="B466" s="10">
        <f t="shared" si="1"/>
        <v>0</v>
      </c>
      <c r="C466" s="6">
        <f t="shared" si="2"/>
        <v>98.9</v>
      </c>
      <c r="D466" s="6">
        <f t="shared" si="3"/>
        <v>16.849571</v>
      </c>
    </row>
    <row r="467">
      <c r="A467" s="4" t="s">
        <v>12501</v>
      </c>
      <c r="B467" s="10">
        <f t="shared" si="1"/>
        <v>0</v>
      </c>
      <c r="C467" s="6">
        <f t="shared" si="2"/>
        <v>98.9</v>
      </c>
      <c r="D467" s="6">
        <f t="shared" si="3"/>
        <v>16.845762</v>
      </c>
    </row>
    <row r="468">
      <c r="A468" s="4" t="s">
        <v>12502</v>
      </c>
      <c r="B468" s="10">
        <f t="shared" si="1"/>
        <v>0</v>
      </c>
      <c r="C468" s="6">
        <f t="shared" si="2"/>
        <v>98.8</v>
      </c>
      <c r="D468" s="6">
        <f t="shared" si="3"/>
        <v>16.836411</v>
      </c>
    </row>
    <row r="469">
      <c r="A469" s="4" t="s">
        <v>12503</v>
      </c>
      <c r="B469" s="10">
        <f t="shared" si="1"/>
        <v>0</v>
      </c>
      <c r="C469" s="6">
        <f t="shared" si="2"/>
        <v>91.2</v>
      </c>
      <c r="D469" s="6">
        <f t="shared" si="3"/>
        <v>15.54826</v>
      </c>
    </row>
    <row r="470">
      <c r="A470" s="4" t="s">
        <v>12504</v>
      </c>
      <c r="B470" s="10">
        <f t="shared" si="1"/>
        <v>0</v>
      </c>
      <c r="C470" s="6">
        <f t="shared" si="2"/>
        <v>81.8</v>
      </c>
      <c r="D470" s="6">
        <f t="shared" si="3"/>
        <v>13.940113</v>
      </c>
    </row>
  </sheetData>
  <mergeCells count="3">
    <mergeCell ref="G1:H1"/>
    <mergeCell ref="J1:K1"/>
    <mergeCell ref="M1:N1"/>
  </mergeCells>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30</v>
      </c>
    </row>
    <row r="2">
      <c r="A2" s="4" t="s">
        <v>12505</v>
      </c>
    </row>
    <row r="3">
      <c r="A3" s="4"/>
    </row>
    <row r="4">
      <c r="A4" s="4"/>
    </row>
    <row r="5">
      <c r="A5" s="4"/>
    </row>
    <row r="6">
      <c r="A6" s="4"/>
    </row>
    <row r="7">
      <c r="A7" s="4"/>
    </row>
    <row r="8">
      <c r="A8" s="4"/>
    </row>
    <row r="9">
      <c r="A9" s="4"/>
    </row>
    <row r="10">
      <c r="A10" s="4"/>
    </row>
    <row r="11">
      <c r="A11" s="4"/>
    </row>
    <row r="12">
      <c r="A12" s="4"/>
    </row>
    <row r="13">
      <c r="A13" s="4"/>
    </row>
    <row r="14">
      <c r="A14" s="4"/>
    </row>
    <row r="15">
      <c r="A15" s="4"/>
    </row>
    <row r="16">
      <c r="A16" s="4"/>
    </row>
    <row r="17">
      <c r="A17" s="4"/>
    </row>
    <row r="18">
      <c r="A18" s="4"/>
    </row>
    <row r="19">
      <c r="A19" s="4"/>
    </row>
    <row r="20">
      <c r="A20" s="4"/>
    </row>
    <row r="21">
      <c r="A21" s="4"/>
    </row>
    <row r="22">
      <c r="A22" s="4"/>
    </row>
    <row r="23">
      <c r="A23" s="4"/>
    </row>
    <row r="24">
      <c r="A24" s="4"/>
    </row>
    <row r="25">
      <c r="A25" s="4"/>
    </row>
    <row r="26">
      <c r="A26" s="4"/>
    </row>
    <row r="27">
      <c r="A27" s="4"/>
    </row>
    <row r="28">
      <c r="A28" s="4"/>
    </row>
    <row r="29">
      <c r="A29" s="4"/>
    </row>
    <row r="30">
      <c r="A30" s="4"/>
    </row>
    <row r="31">
      <c r="A31" s="4"/>
    </row>
    <row r="32">
      <c r="A32" s="4"/>
    </row>
    <row r="33">
      <c r="A33" s="4"/>
    </row>
    <row r="34">
      <c r="A34" s="4"/>
    </row>
    <row r="35">
      <c r="A35" s="4"/>
    </row>
    <row r="36">
      <c r="A36" s="4"/>
    </row>
    <row r="37">
      <c r="A37" s="4"/>
    </row>
    <row r="38">
      <c r="A38" s="4"/>
    </row>
    <row r="39">
      <c r="A39" s="4"/>
    </row>
    <row r="40">
      <c r="A40" s="4"/>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row>
    <row r="55">
      <c r="A55" s="4"/>
    </row>
    <row r="56">
      <c r="A56" s="4"/>
    </row>
    <row r="57">
      <c r="A57" s="4"/>
    </row>
    <row r="58">
      <c r="A58" s="4"/>
    </row>
    <row r="59">
      <c r="A59" s="4"/>
    </row>
    <row r="60">
      <c r="A60" s="4"/>
    </row>
    <row r="61">
      <c r="A61" s="4"/>
    </row>
    <row r="62">
      <c r="A62" s="4"/>
    </row>
    <row r="63">
      <c r="A63" s="4"/>
    </row>
    <row r="64">
      <c r="A64" s="4"/>
    </row>
    <row r="65">
      <c r="A65" s="4"/>
    </row>
    <row r="66">
      <c r="A66" s="4"/>
    </row>
    <row r="67">
      <c r="A67" s="4"/>
    </row>
    <row r="68">
      <c r="A68" s="4"/>
    </row>
    <row r="69">
      <c r="A69" s="4"/>
    </row>
    <row r="70">
      <c r="A70" s="4"/>
    </row>
    <row r="71">
      <c r="A71" s="4"/>
    </row>
    <row r="72">
      <c r="A72" s="4"/>
    </row>
    <row r="73">
      <c r="A73" s="4"/>
    </row>
    <row r="74">
      <c r="A74" s="4"/>
    </row>
    <row r="75">
      <c r="A75" s="4"/>
    </row>
    <row r="76">
      <c r="A76" s="4"/>
    </row>
    <row r="77">
      <c r="A77" s="4"/>
    </row>
    <row r="78">
      <c r="A78" s="4"/>
    </row>
    <row r="79">
      <c r="A79" s="4"/>
    </row>
    <row r="80">
      <c r="A80" s="4"/>
    </row>
    <row r="81">
      <c r="A81" s="4"/>
    </row>
    <row r="82">
      <c r="A82" s="4"/>
    </row>
    <row r="83">
      <c r="A83" s="4"/>
    </row>
    <row r="84">
      <c r="A84" s="4"/>
    </row>
    <row r="85">
      <c r="A85" s="4"/>
    </row>
    <row r="86">
      <c r="A86" s="4"/>
    </row>
    <row r="87">
      <c r="A87" s="4"/>
    </row>
    <row r="88">
      <c r="A88" s="4"/>
    </row>
    <row r="89">
      <c r="A89" s="4"/>
    </row>
    <row r="90">
      <c r="A90" s="4"/>
    </row>
    <row r="91">
      <c r="A91" s="4"/>
    </row>
    <row r="92">
      <c r="A92" s="4"/>
    </row>
    <row r="93">
      <c r="A93" s="4"/>
    </row>
    <row r="94">
      <c r="A94" s="4"/>
    </row>
    <row r="95">
      <c r="A95" s="4"/>
    </row>
    <row r="96">
      <c r="A96" s="4"/>
    </row>
    <row r="97">
      <c r="A97" s="4"/>
    </row>
    <row r="98">
      <c r="A98" s="4"/>
    </row>
    <row r="99">
      <c r="A99" s="4"/>
    </row>
    <row r="100">
      <c r="A100" s="4"/>
    </row>
    <row r="101">
      <c r="A101" s="4"/>
    </row>
    <row r="102">
      <c r="A102" s="4"/>
    </row>
    <row r="103">
      <c r="A103" s="4"/>
    </row>
    <row r="104">
      <c r="A104" s="4"/>
    </row>
    <row r="105">
      <c r="A105" s="4"/>
    </row>
    <row r="106">
      <c r="A106" s="4"/>
    </row>
    <row r="107">
      <c r="A107" s="4"/>
    </row>
    <row r="108">
      <c r="A108" s="4"/>
    </row>
    <row r="109">
      <c r="A109" s="4"/>
    </row>
    <row r="110">
      <c r="A110" s="4"/>
    </row>
    <row r="111">
      <c r="A111" s="4"/>
    </row>
    <row r="112">
      <c r="A112" s="4"/>
    </row>
    <row r="113">
      <c r="A113" s="4"/>
    </row>
    <row r="114">
      <c r="A114" s="4"/>
    </row>
    <row r="115">
      <c r="A115" s="4"/>
    </row>
    <row r="116">
      <c r="A116" s="4"/>
    </row>
    <row r="117">
      <c r="A117" s="4"/>
    </row>
    <row r="118">
      <c r="A118" s="4"/>
    </row>
    <row r="119">
      <c r="A119" s="4"/>
    </row>
    <row r="120">
      <c r="A120" s="4"/>
    </row>
    <row r="121">
      <c r="A121" s="4"/>
    </row>
    <row r="122">
      <c r="A122" s="4"/>
    </row>
    <row r="123">
      <c r="A123" s="4"/>
    </row>
    <row r="124">
      <c r="A124" s="4"/>
    </row>
    <row r="125">
      <c r="A125" s="4"/>
    </row>
    <row r="126">
      <c r="A126" s="4"/>
    </row>
    <row r="127">
      <c r="A127" s="4"/>
    </row>
    <row r="128">
      <c r="A128" s="4"/>
    </row>
    <row r="129">
      <c r="A129" s="4"/>
    </row>
    <row r="130">
      <c r="A130" s="4"/>
    </row>
    <row r="131">
      <c r="A131" s="4"/>
    </row>
    <row r="132">
      <c r="A132" s="4"/>
    </row>
    <row r="133">
      <c r="A133" s="4"/>
    </row>
    <row r="134">
      <c r="A134" s="4"/>
    </row>
    <row r="135">
      <c r="A135" s="4"/>
    </row>
    <row r="136">
      <c r="A136" s="4"/>
    </row>
    <row r="137">
      <c r="A137" s="4"/>
    </row>
    <row r="138">
      <c r="A138" s="4"/>
    </row>
    <row r="139">
      <c r="A139" s="4"/>
    </row>
    <row r="140">
      <c r="A140" s="4"/>
    </row>
    <row r="141">
      <c r="A141" s="4"/>
    </row>
    <row r="142">
      <c r="A142" s="4"/>
    </row>
    <row r="143">
      <c r="A143" s="4"/>
    </row>
    <row r="144">
      <c r="A144" s="4"/>
    </row>
    <row r="145">
      <c r="A145" s="4"/>
    </row>
    <row r="146">
      <c r="A146" s="4"/>
    </row>
    <row r="147">
      <c r="A147" s="4"/>
    </row>
    <row r="148">
      <c r="A148" s="4"/>
    </row>
    <row r="149">
      <c r="A149" s="4"/>
    </row>
    <row r="150">
      <c r="A150" s="4"/>
    </row>
    <row r="151">
      <c r="A151" s="4"/>
    </row>
    <row r="152">
      <c r="A152" s="4"/>
    </row>
    <row r="153">
      <c r="A153" s="4"/>
    </row>
    <row r="154">
      <c r="A154" s="4"/>
    </row>
    <row r="155">
      <c r="A155" s="4"/>
    </row>
    <row r="156">
      <c r="A156" s="4"/>
    </row>
    <row r="157">
      <c r="A157" s="4"/>
    </row>
    <row r="158">
      <c r="A158" s="4"/>
    </row>
    <row r="159">
      <c r="A159" s="4"/>
    </row>
    <row r="160">
      <c r="A160" s="4"/>
    </row>
    <row r="161">
      <c r="A161" s="4"/>
    </row>
    <row r="162">
      <c r="A162" s="4"/>
    </row>
    <row r="163">
      <c r="A163" s="4"/>
    </row>
    <row r="164">
      <c r="A164" s="4"/>
    </row>
    <row r="165">
      <c r="A165" s="4"/>
    </row>
    <row r="166">
      <c r="A166" s="4"/>
    </row>
    <row r="167">
      <c r="A167" s="4"/>
    </row>
    <row r="168">
      <c r="A168" s="4"/>
    </row>
    <row r="169">
      <c r="A169" s="4"/>
    </row>
    <row r="170">
      <c r="A170" s="4"/>
    </row>
    <row r="171">
      <c r="A171" s="4"/>
    </row>
    <row r="172">
      <c r="A172" s="4"/>
    </row>
    <row r="173">
      <c r="A173" s="4"/>
    </row>
    <row r="174">
      <c r="A174" s="4"/>
    </row>
    <row r="175">
      <c r="A175" s="4"/>
    </row>
    <row r="176">
      <c r="A176" s="4"/>
    </row>
    <row r="177">
      <c r="A177" s="4"/>
    </row>
    <row r="178">
      <c r="A178" s="4"/>
    </row>
    <row r="179">
      <c r="A179" s="4"/>
    </row>
    <row r="180">
      <c r="A180" s="4"/>
    </row>
    <row r="181">
      <c r="A181" s="4"/>
    </row>
    <row r="182">
      <c r="A182" s="4"/>
    </row>
    <row r="183">
      <c r="A183" s="4"/>
    </row>
    <row r="184">
      <c r="A184" s="4"/>
    </row>
    <row r="185">
      <c r="A185" s="4"/>
    </row>
    <row r="186">
      <c r="A186" s="4"/>
    </row>
    <row r="187">
      <c r="A187" s="4"/>
    </row>
    <row r="188">
      <c r="A188" s="4"/>
    </row>
    <row r="189">
      <c r="A189" s="4"/>
    </row>
    <row r="190">
      <c r="A190" s="4"/>
    </row>
    <row r="191">
      <c r="A191" s="4"/>
    </row>
    <row r="192">
      <c r="A192" s="4"/>
    </row>
    <row r="193">
      <c r="A193" s="4"/>
    </row>
    <row r="194">
      <c r="A194" s="4"/>
    </row>
    <row r="195">
      <c r="A195" s="4"/>
    </row>
    <row r="196">
      <c r="A196" s="4"/>
    </row>
    <row r="197">
      <c r="A197" s="4"/>
    </row>
    <row r="198">
      <c r="A198" s="4"/>
    </row>
    <row r="199">
      <c r="A199" s="4"/>
    </row>
    <row r="200">
      <c r="A200" s="4"/>
    </row>
    <row r="201">
      <c r="A201" s="4"/>
    </row>
    <row r="202">
      <c r="A202" s="4"/>
    </row>
    <row r="203">
      <c r="A203" s="4"/>
    </row>
    <row r="204">
      <c r="A204" s="4"/>
    </row>
    <row r="205">
      <c r="A205" s="4"/>
    </row>
    <row r="206">
      <c r="A206" s="4"/>
    </row>
    <row r="207">
      <c r="A207" s="4"/>
    </row>
    <row r="208">
      <c r="A208" s="4"/>
    </row>
    <row r="209">
      <c r="A209" s="4"/>
    </row>
    <row r="210">
      <c r="A210" s="4"/>
    </row>
    <row r="211">
      <c r="A211" s="4"/>
    </row>
    <row r="212">
      <c r="A212" s="4"/>
    </row>
    <row r="213">
      <c r="A213" s="4"/>
    </row>
    <row r="214">
      <c r="A214" s="4"/>
    </row>
    <row r="215">
      <c r="A215" s="4"/>
    </row>
    <row r="216">
      <c r="A216" s="4"/>
    </row>
    <row r="217">
      <c r="A217" s="4"/>
    </row>
    <row r="218">
      <c r="A218" s="4"/>
    </row>
    <row r="219">
      <c r="A219" s="4"/>
    </row>
    <row r="220">
      <c r="A220" s="4"/>
    </row>
    <row r="221">
      <c r="A221" s="4"/>
    </row>
    <row r="222">
      <c r="A222" s="4"/>
    </row>
    <row r="223">
      <c r="A223" s="4"/>
    </row>
    <row r="224">
      <c r="A224" s="4"/>
    </row>
    <row r="225">
      <c r="A225" s="4"/>
    </row>
    <row r="226">
      <c r="A226" s="4"/>
    </row>
    <row r="227">
      <c r="A227" s="4"/>
    </row>
    <row r="228">
      <c r="A228" s="4"/>
    </row>
    <row r="229">
      <c r="A229" s="4"/>
    </row>
    <row r="230">
      <c r="A230" s="4"/>
    </row>
    <row r="231">
      <c r="A231" s="4"/>
    </row>
    <row r="232">
      <c r="A232" s="4"/>
    </row>
    <row r="233">
      <c r="A233" s="4"/>
    </row>
    <row r="234">
      <c r="A234" s="4"/>
    </row>
    <row r="235">
      <c r="A235" s="4"/>
    </row>
    <row r="236">
      <c r="A236" s="4"/>
    </row>
    <row r="237">
      <c r="A237" s="4"/>
    </row>
    <row r="238">
      <c r="A238" s="4"/>
    </row>
    <row r="239">
      <c r="A239" s="4"/>
    </row>
    <row r="240">
      <c r="A240" s="4"/>
    </row>
    <row r="241">
      <c r="A241" s="4"/>
    </row>
    <row r="242">
      <c r="A242" s="4"/>
    </row>
    <row r="243">
      <c r="A243" s="4"/>
    </row>
    <row r="244">
      <c r="A244" s="4"/>
    </row>
    <row r="245">
      <c r="A245" s="4"/>
    </row>
    <row r="246">
      <c r="A246" s="4"/>
    </row>
    <row r="247">
      <c r="A247" s="4"/>
    </row>
    <row r="248">
      <c r="A248" s="4"/>
    </row>
    <row r="249">
      <c r="A249" s="4"/>
    </row>
    <row r="250">
      <c r="A250" s="4"/>
    </row>
    <row r="251">
      <c r="A251" s="4"/>
    </row>
    <row r="252">
      <c r="A252" s="4"/>
    </row>
    <row r="253">
      <c r="A253" s="4"/>
    </row>
    <row r="254">
      <c r="A254" s="4"/>
    </row>
    <row r="255">
      <c r="A255" s="4"/>
    </row>
    <row r="256">
      <c r="A256" s="4"/>
    </row>
    <row r="257">
      <c r="A257" s="4"/>
    </row>
    <row r="258">
      <c r="A258" s="4"/>
    </row>
    <row r="259">
      <c r="A259" s="4"/>
    </row>
    <row r="260">
      <c r="A260" s="4"/>
    </row>
    <row r="261">
      <c r="A261" s="4"/>
    </row>
    <row r="262">
      <c r="A262" s="4"/>
    </row>
    <row r="263">
      <c r="A263" s="4"/>
    </row>
    <row r="264">
      <c r="A264" s="4"/>
    </row>
    <row r="265">
      <c r="A265" s="4"/>
    </row>
    <row r="266">
      <c r="A266" s="4"/>
    </row>
    <row r="267">
      <c r="A267" s="4"/>
    </row>
    <row r="268">
      <c r="A268" s="4"/>
    </row>
    <row r="269">
      <c r="A269" s="4"/>
    </row>
    <row r="270">
      <c r="A270" s="4"/>
    </row>
    <row r="271">
      <c r="A271" s="4"/>
    </row>
    <row r="272">
      <c r="A272" s="4"/>
    </row>
    <row r="273">
      <c r="A273" s="4"/>
    </row>
    <row r="274">
      <c r="A274" s="4"/>
    </row>
    <row r="275">
      <c r="A275" s="4"/>
    </row>
    <row r="276">
      <c r="A276" s="4"/>
    </row>
    <row r="277">
      <c r="A277" s="4"/>
    </row>
    <row r="278">
      <c r="A278" s="4"/>
    </row>
    <row r="279">
      <c r="A279" s="4"/>
    </row>
    <row r="280">
      <c r="A280" s="4"/>
    </row>
    <row r="281">
      <c r="A281" s="4"/>
    </row>
    <row r="282">
      <c r="A282" s="4"/>
    </row>
    <row r="283">
      <c r="A283" s="4"/>
    </row>
    <row r="284">
      <c r="A284" s="4"/>
    </row>
    <row r="285">
      <c r="A285" s="4"/>
    </row>
    <row r="286">
      <c r="A286" s="4"/>
    </row>
    <row r="287">
      <c r="A287" s="4"/>
    </row>
    <row r="288">
      <c r="A288" s="4"/>
    </row>
    <row r="289">
      <c r="A289" s="4"/>
    </row>
    <row r="290">
      <c r="A290" s="4"/>
    </row>
    <row r="291">
      <c r="A291" s="4"/>
    </row>
    <row r="292">
      <c r="A292" s="4"/>
    </row>
    <row r="293">
      <c r="A293" s="4"/>
    </row>
    <row r="294">
      <c r="A294" s="4"/>
    </row>
    <row r="295">
      <c r="A295" s="4"/>
    </row>
    <row r="296">
      <c r="A296" s="4"/>
    </row>
    <row r="297">
      <c r="A297" s="4"/>
    </row>
    <row r="298">
      <c r="A298" s="4"/>
    </row>
    <row r="299">
      <c r="A299" s="4"/>
    </row>
    <row r="300">
      <c r="A300" s="4"/>
    </row>
    <row r="301">
      <c r="A301" s="4"/>
    </row>
    <row r="302">
      <c r="A302" s="4"/>
    </row>
    <row r="303">
      <c r="A303" s="4"/>
    </row>
    <row r="304">
      <c r="A304" s="4"/>
    </row>
    <row r="305">
      <c r="A305" s="4"/>
    </row>
    <row r="306">
      <c r="A306" s="4"/>
    </row>
    <row r="307">
      <c r="A307" s="4"/>
    </row>
    <row r="308">
      <c r="A308" s="4"/>
    </row>
    <row r="309">
      <c r="A309" s="4"/>
    </row>
    <row r="310">
      <c r="A310" s="4"/>
    </row>
    <row r="311">
      <c r="A311" s="4"/>
    </row>
    <row r="312">
      <c r="A312" s="4"/>
    </row>
    <row r="313">
      <c r="A313" s="4"/>
    </row>
    <row r="314">
      <c r="A314" s="4"/>
    </row>
    <row r="315">
      <c r="A315" s="4"/>
    </row>
    <row r="316">
      <c r="A316" s="4"/>
    </row>
    <row r="317">
      <c r="A317" s="4"/>
    </row>
    <row r="318">
      <c r="A318" s="4"/>
    </row>
    <row r="319">
      <c r="A319" s="4"/>
    </row>
    <row r="320">
      <c r="A320" s="4"/>
    </row>
    <row r="321">
      <c r="A321" s="4"/>
    </row>
    <row r="322">
      <c r="A322" s="4"/>
    </row>
    <row r="323">
      <c r="A323" s="4"/>
    </row>
    <row r="324">
      <c r="A324" s="4"/>
    </row>
    <row r="325">
      <c r="A325" s="4"/>
    </row>
    <row r="326">
      <c r="A326" s="4"/>
    </row>
    <row r="327">
      <c r="A327" s="4"/>
    </row>
    <row r="328">
      <c r="A328" s="4"/>
    </row>
    <row r="329">
      <c r="A329" s="4"/>
    </row>
    <row r="330">
      <c r="A330" s="4"/>
    </row>
    <row r="331">
      <c r="A331" s="4"/>
    </row>
    <row r="332">
      <c r="A332" s="4"/>
    </row>
    <row r="333">
      <c r="A333" s="4"/>
    </row>
    <row r="334">
      <c r="A334" s="4"/>
    </row>
    <row r="335">
      <c r="A335" s="4"/>
    </row>
    <row r="336">
      <c r="A336" s="4"/>
    </row>
    <row r="337">
      <c r="A337" s="4"/>
    </row>
    <row r="338">
      <c r="A338" s="4"/>
    </row>
    <row r="339">
      <c r="A339" s="4"/>
    </row>
    <row r="340">
      <c r="A340" s="4"/>
    </row>
    <row r="341">
      <c r="A341" s="4"/>
    </row>
    <row r="342">
      <c r="A342" s="4"/>
    </row>
    <row r="343">
      <c r="A343" s="4"/>
    </row>
    <row r="344">
      <c r="A344" s="4"/>
    </row>
    <row r="345">
      <c r="A345" s="4"/>
    </row>
    <row r="346">
      <c r="A346" s="4"/>
    </row>
    <row r="347">
      <c r="A347" s="4"/>
    </row>
    <row r="348">
      <c r="A348" s="4"/>
    </row>
    <row r="349">
      <c r="A349" s="4"/>
    </row>
    <row r="350">
      <c r="A350" s="4"/>
    </row>
    <row r="351">
      <c r="A351" s="4"/>
    </row>
    <row r="352">
      <c r="A352" s="4"/>
    </row>
    <row r="353">
      <c r="A353" s="4"/>
    </row>
    <row r="354">
      <c r="A354" s="4"/>
    </row>
    <row r="355">
      <c r="A355" s="4"/>
    </row>
    <row r="356">
      <c r="A356" s="4"/>
    </row>
    <row r="357">
      <c r="A357" s="4"/>
    </row>
    <row r="358">
      <c r="A358" s="4"/>
    </row>
    <row r="359">
      <c r="A359" s="4"/>
    </row>
    <row r="360">
      <c r="A360" s="4"/>
    </row>
    <row r="361">
      <c r="A361" s="4"/>
    </row>
    <row r="362">
      <c r="A362" s="4"/>
    </row>
    <row r="363">
      <c r="A363" s="4"/>
    </row>
    <row r="364">
      <c r="A364" s="4"/>
    </row>
    <row r="365">
      <c r="A365" s="4"/>
    </row>
    <row r="366">
      <c r="A366" s="4"/>
    </row>
    <row r="367">
      <c r="A367" s="4"/>
    </row>
    <row r="368">
      <c r="A368" s="4"/>
    </row>
    <row r="369">
      <c r="A369" s="4"/>
    </row>
    <row r="370">
      <c r="A370" s="4"/>
    </row>
    <row r="371">
      <c r="A371" s="4"/>
    </row>
    <row r="372">
      <c r="A372" s="4"/>
    </row>
    <row r="373">
      <c r="A373" s="4"/>
    </row>
    <row r="374">
      <c r="A374" s="4"/>
    </row>
    <row r="375">
      <c r="A375" s="4"/>
    </row>
    <row r="376">
      <c r="A376" s="4"/>
    </row>
    <row r="377">
      <c r="A377" s="4"/>
    </row>
    <row r="378">
      <c r="A378" s="4"/>
    </row>
    <row r="379">
      <c r="A379" s="4"/>
    </row>
    <row r="380">
      <c r="A380" s="4"/>
    </row>
    <row r="381">
      <c r="A381" s="4"/>
    </row>
    <row r="382">
      <c r="A382" s="4"/>
    </row>
    <row r="383">
      <c r="A383" s="4"/>
    </row>
    <row r="384">
      <c r="A384" s="4"/>
    </row>
    <row r="385">
      <c r="A385" s="4"/>
    </row>
    <row r="386">
      <c r="A386" s="4"/>
    </row>
    <row r="387">
      <c r="A387" s="4"/>
    </row>
    <row r="388">
      <c r="A388" s="4"/>
    </row>
    <row r="389">
      <c r="A389" s="4"/>
    </row>
    <row r="390">
      <c r="A390" s="4"/>
    </row>
    <row r="391">
      <c r="A391" s="4"/>
    </row>
    <row r="392">
      <c r="A392" s="4"/>
    </row>
    <row r="393">
      <c r="A393" s="4"/>
    </row>
    <row r="394">
      <c r="A394" s="4"/>
    </row>
    <row r="395">
      <c r="A395" s="4"/>
    </row>
    <row r="396">
      <c r="A396" s="4"/>
    </row>
    <row r="397">
      <c r="A397" s="4"/>
    </row>
    <row r="398">
      <c r="A398" s="4"/>
    </row>
    <row r="399">
      <c r="A399" s="4"/>
    </row>
    <row r="400">
      <c r="A400" s="4"/>
    </row>
    <row r="401">
      <c r="A401" s="4"/>
    </row>
    <row r="402">
      <c r="A402" s="4"/>
    </row>
    <row r="403">
      <c r="A403" s="4"/>
    </row>
    <row r="404">
      <c r="A404" s="4"/>
    </row>
    <row r="405">
      <c r="A405" s="4"/>
    </row>
    <row r="406">
      <c r="A406" s="4"/>
    </row>
    <row r="407">
      <c r="A407" s="4"/>
    </row>
    <row r="408">
      <c r="A408" s="4"/>
    </row>
    <row r="409">
      <c r="A409" s="4"/>
    </row>
    <row r="410">
      <c r="A410" s="4"/>
    </row>
    <row r="411">
      <c r="A411" s="4"/>
    </row>
    <row r="412">
      <c r="A412" s="4"/>
    </row>
    <row r="413">
      <c r="A413" s="4"/>
    </row>
    <row r="414">
      <c r="A414" s="4"/>
    </row>
    <row r="415">
      <c r="A415" s="4"/>
    </row>
    <row r="416">
      <c r="A416" s="4"/>
    </row>
    <row r="417">
      <c r="A417" s="4"/>
    </row>
    <row r="418">
      <c r="A418" s="4"/>
    </row>
    <row r="419">
      <c r="A419" s="4"/>
    </row>
    <row r="420">
      <c r="A420" s="4"/>
    </row>
    <row r="421">
      <c r="A421" s="4"/>
    </row>
    <row r="422">
      <c r="A422" s="4"/>
    </row>
    <row r="423">
      <c r="A423" s="4"/>
    </row>
    <row r="424">
      <c r="A424" s="4"/>
    </row>
    <row r="425">
      <c r="A425" s="4"/>
    </row>
    <row r="426">
      <c r="A426" s="4"/>
    </row>
    <row r="427">
      <c r="A427" s="4"/>
    </row>
    <row r="428">
      <c r="A428" s="4"/>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row r="471">
      <c r="A471" s="4"/>
    </row>
    <row r="472">
      <c r="A472" s="4"/>
    </row>
    <row r="473">
      <c r="A473" s="4"/>
    </row>
    <row r="474">
      <c r="A474" s="4"/>
    </row>
    <row r="475">
      <c r="A475" s="4"/>
    </row>
    <row r="476">
      <c r="A476" s="4"/>
    </row>
    <row r="477">
      <c r="A477" s="4"/>
    </row>
    <row r="478">
      <c r="A478" s="4"/>
    </row>
    <row r="479">
      <c r="A479" s="4"/>
    </row>
    <row r="480">
      <c r="A480" s="4"/>
    </row>
    <row r="481">
      <c r="A481" s="4"/>
    </row>
    <row r="482">
      <c r="A482" s="4"/>
    </row>
    <row r="483">
      <c r="A483" s="4"/>
    </row>
    <row r="484">
      <c r="A484" s="4"/>
    </row>
    <row r="485">
      <c r="A485" s="4"/>
    </row>
    <row r="486">
      <c r="A486" s="4"/>
    </row>
    <row r="487">
      <c r="A487" s="4"/>
    </row>
    <row r="488">
      <c r="A488" s="4"/>
    </row>
    <row r="489">
      <c r="A489" s="4"/>
    </row>
    <row r="490">
      <c r="A490" s="4"/>
    </row>
    <row r="491">
      <c r="A491" s="4"/>
    </row>
    <row r="492">
      <c r="A492" s="4"/>
    </row>
    <row r="493">
      <c r="A493" s="4"/>
    </row>
    <row r="494">
      <c r="A494" s="4"/>
    </row>
    <row r="495">
      <c r="A495" s="4"/>
    </row>
    <row r="496">
      <c r="A496" s="4"/>
    </row>
    <row r="497">
      <c r="A497" s="4"/>
    </row>
    <row r="498">
      <c r="A498" s="4"/>
    </row>
    <row r="499">
      <c r="A499" s="4"/>
    </row>
    <row r="500">
      <c r="A500" s="4"/>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5" t="s">
        <v>32</v>
      </c>
    </row>
    <row r="2">
      <c r="A2" s="4" t="s">
        <v>33</v>
      </c>
    </row>
    <row r="3">
      <c r="A3" s="4" t="s">
        <v>876</v>
      </c>
    </row>
    <row r="4">
      <c r="A4" s="4" t="s">
        <v>964</v>
      </c>
    </row>
    <row r="5">
      <c r="A5" s="4" t="s">
        <v>44</v>
      </c>
    </row>
    <row r="6">
      <c r="A6" s="4" t="s">
        <v>92</v>
      </c>
    </row>
    <row r="7">
      <c r="A7" s="4" t="s">
        <v>527</v>
      </c>
    </row>
    <row r="8">
      <c r="A8" s="4" t="s">
        <v>90</v>
      </c>
    </row>
    <row r="9">
      <c r="A9" s="4" t="s">
        <v>33</v>
      </c>
    </row>
    <row r="10">
      <c r="A10" s="4" t="s">
        <v>113</v>
      </c>
    </row>
    <row r="11">
      <c r="A11" s="4" t="s">
        <v>1539</v>
      </c>
    </row>
    <row r="12">
      <c r="A12" s="4" t="s">
        <v>44</v>
      </c>
    </row>
    <row r="13">
      <c r="A13" s="4" t="s">
        <v>12506</v>
      </c>
    </row>
    <row r="14">
      <c r="A14" s="4" t="s">
        <v>119</v>
      </c>
    </row>
    <row r="15">
      <c r="A15" s="4" t="s">
        <v>12507</v>
      </c>
    </row>
    <row r="16">
      <c r="A16" s="4" t="s">
        <v>126</v>
      </c>
    </row>
    <row r="17">
      <c r="A17" s="4" t="s">
        <v>98</v>
      </c>
    </row>
    <row r="18">
      <c r="A18" s="4" t="s">
        <v>12508</v>
      </c>
    </row>
    <row r="19">
      <c r="A19" s="4" t="s">
        <v>509</v>
      </c>
    </row>
    <row r="20">
      <c r="A20" s="4" t="s">
        <v>92</v>
      </c>
    </row>
    <row r="21">
      <c r="A21" s="4" t="s">
        <v>122</v>
      </c>
    </row>
    <row r="22">
      <c r="A22" s="4" t="s">
        <v>33</v>
      </c>
    </row>
    <row r="23">
      <c r="A23" s="4" t="s">
        <v>540</v>
      </c>
    </row>
    <row r="24">
      <c r="A24" s="4" t="s">
        <v>88</v>
      </c>
    </row>
    <row r="25">
      <c r="A25" s="4" t="s">
        <v>89</v>
      </c>
    </row>
    <row r="26">
      <c r="A26" s="4" t="s">
        <v>33</v>
      </c>
    </row>
    <row r="27">
      <c r="A27" s="4" t="s">
        <v>5441</v>
      </c>
    </row>
    <row r="28">
      <c r="A28" s="4" t="s">
        <v>9968</v>
      </c>
    </row>
    <row r="29">
      <c r="A29" s="4" t="s">
        <v>167</v>
      </c>
    </row>
    <row r="30">
      <c r="A30" s="4" t="s">
        <v>47</v>
      </c>
    </row>
    <row r="31">
      <c r="A31" s="4" t="s">
        <v>41</v>
      </c>
    </row>
    <row r="32">
      <c r="A32" s="4" t="s">
        <v>42</v>
      </c>
    </row>
    <row r="33">
      <c r="A33" s="4" t="s">
        <v>873</v>
      </c>
    </row>
    <row r="34">
      <c r="A34" s="4" t="s">
        <v>119</v>
      </c>
    </row>
    <row r="35">
      <c r="A35" s="4" t="s">
        <v>897</v>
      </c>
    </row>
    <row r="36">
      <c r="A36" s="4" t="s">
        <v>9968</v>
      </c>
    </row>
    <row r="37">
      <c r="A37" s="4" t="s">
        <v>70</v>
      </c>
    </row>
    <row r="38">
      <c r="A38" s="4" t="s">
        <v>111</v>
      </c>
    </row>
    <row r="39">
      <c r="A39" s="4" t="s">
        <v>88</v>
      </c>
    </row>
    <row r="40">
      <c r="A40" s="4" t="s">
        <v>40</v>
      </c>
    </row>
    <row r="41">
      <c r="A41" s="4" t="s">
        <v>75</v>
      </c>
    </row>
    <row r="42">
      <c r="A42" s="4" t="s">
        <v>33</v>
      </c>
    </row>
    <row r="43">
      <c r="A43" s="4" t="s">
        <v>897</v>
      </c>
    </row>
    <row r="44">
      <c r="A44" s="4" t="s">
        <v>41</v>
      </c>
    </row>
    <row r="45">
      <c r="A45" s="4" t="s">
        <v>913</v>
      </c>
    </row>
    <row r="46">
      <c r="A46" s="4" t="s">
        <v>871</v>
      </c>
    </row>
    <row r="47">
      <c r="A47" s="4" t="s">
        <v>88</v>
      </c>
    </row>
    <row r="48">
      <c r="A48" s="4" t="s">
        <v>40</v>
      </c>
    </row>
    <row r="49">
      <c r="A49" s="4" t="s">
        <v>75</v>
      </c>
    </row>
    <row r="50">
      <c r="A50" s="4" t="s">
        <v>33</v>
      </c>
    </row>
    <row r="51">
      <c r="A51" s="4" t="s">
        <v>534</v>
      </c>
    </row>
    <row r="52">
      <c r="A52" s="4" t="s">
        <v>41</v>
      </c>
    </row>
    <row r="53">
      <c r="A53" s="4" t="s">
        <v>908</v>
      </c>
    </row>
    <row r="54">
      <c r="A54" s="4" t="s">
        <v>909</v>
      </c>
    </row>
    <row r="55">
      <c r="A55" s="4" t="s">
        <v>44</v>
      </c>
    </row>
    <row r="56">
      <c r="A56" s="4" t="s">
        <v>521</v>
      </c>
    </row>
    <row r="57">
      <c r="A57" s="4" t="s">
        <v>12509</v>
      </c>
    </row>
    <row r="58">
      <c r="A58" s="4" t="s">
        <v>12510</v>
      </c>
    </row>
    <row r="59">
      <c r="A59" s="4" t="s">
        <v>33</v>
      </c>
    </row>
    <row r="60">
      <c r="A60" s="4" t="s">
        <v>40</v>
      </c>
    </row>
    <row r="61">
      <c r="A61" s="4" t="s">
        <v>520</v>
      </c>
    </row>
    <row r="62">
      <c r="A62" s="4" t="s">
        <v>119</v>
      </c>
    </row>
    <row r="63">
      <c r="A63" s="4" t="s">
        <v>34</v>
      </c>
    </row>
    <row r="64">
      <c r="A64" s="4" t="s">
        <v>553</v>
      </c>
    </row>
    <row r="65">
      <c r="A65" s="4" t="s">
        <v>12511</v>
      </c>
    </row>
    <row r="66">
      <c r="A66" s="4" t="s">
        <v>41</v>
      </c>
    </row>
    <row r="67">
      <c r="A67" s="4" t="s">
        <v>914</v>
      </c>
    </row>
    <row r="68">
      <c r="A68" s="4" t="s">
        <v>88</v>
      </c>
    </row>
    <row r="69">
      <c r="A69" s="4" t="s">
        <v>40</v>
      </c>
    </row>
    <row r="70">
      <c r="A70" s="4" t="s">
        <v>75</v>
      </c>
    </row>
    <row r="71">
      <c r="A71" s="4" t="s">
        <v>33</v>
      </c>
    </row>
    <row r="72">
      <c r="A72" s="4" t="s">
        <v>876</v>
      </c>
    </row>
    <row r="73">
      <c r="A73" s="4" t="s">
        <v>88</v>
      </c>
    </row>
    <row r="74">
      <c r="A74" s="4" t="s">
        <v>40</v>
      </c>
    </row>
    <row r="75">
      <c r="A75" s="4" t="s">
        <v>75</v>
      </c>
    </row>
    <row r="76">
      <c r="A76" s="4" t="s">
        <v>877</v>
      </c>
    </row>
    <row r="77">
      <c r="A77" s="4" t="s">
        <v>119</v>
      </c>
    </row>
    <row r="78">
      <c r="A78" s="4" t="s">
        <v>923</v>
      </c>
    </row>
    <row r="79">
      <c r="A79" s="4" t="s">
        <v>126</v>
      </c>
    </row>
    <row r="80">
      <c r="A80" s="4" t="s">
        <v>93</v>
      </c>
    </row>
    <row r="81">
      <c r="A81" s="4" t="s">
        <v>553</v>
      </c>
    </row>
    <row r="82">
      <c r="A82" s="4" t="s">
        <v>12512</v>
      </c>
    </row>
    <row r="83">
      <c r="A83" s="4" t="s">
        <v>44</v>
      </c>
    </row>
    <row r="84">
      <c r="A84" s="4" t="s">
        <v>62</v>
      </c>
    </row>
    <row r="85">
      <c r="A85" s="4" t="s">
        <v>12513</v>
      </c>
    </row>
    <row r="86">
      <c r="A86" s="4" t="s">
        <v>969</v>
      </c>
    </row>
    <row r="87">
      <c r="A87" s="4" t="s">
        <v>9969</v>
      </c>
    </row>
    <row r="88">
      <c r="A88" s="4" t="s">
        <v>921</v>
      </c>
    </row>
    <row r="89">
      <c r="A89" s="4" t="s">
        <v>115</v>
      </c>
    </row>
    <row r="90">
      <c r="A90" s="4" t="s">
        <v>119</v>
      </c>
    </row>
    <row r="91">
      <c r="A91" s="4" t="s">
        <v>120</v>
      </c>
    </row>
    <row r="92">
      <c r="A92" s="4" t="s">
        <v>33</v>
      </c>
    </row>
    <row r="93">
      <c r="A93" s="4" t="s">
        <v>534</v>
      </c>
    </row>
    <row r="94">
      <c r="A94" s="4" t="s">
        <v>41</v>
      </c>
    </row>
    <row r="95">
      <c r="A95" s="4" t="s">
        <v>12514</v>
      </c>
    </row>
    <row r="96">
      <c r="A96" s="4" t="s">
        <v>871</v>
      </c>
    </row>
    <row r="97">
      <c r="A97" s="4" t="s">
        <v>88</v>
      </c>
    </row>
    <row r="98">
      <c r="A98" s="4" t="s">
        <v>75</v>
      </c>
    </row>
    <row r="99">
      <c r="A99" s="4" t="s">
        <v>33</v>
      </c>
    </row>
    <row r="100">
      <c r="A100" s="4" t="s">
        <v>36</v>
      </c>
    </row>
    <row r="101">
      <c r="A101" s="4" t="s">
        <v>108</v>
      </c>
    </row>
    <row r="102">
      <c r="A102" s="4" t="s">
        <v>88</v>
      </c>
    </row>
    <row r="103">
      <c r="A103" s="4" t="s">
        <v>75</v>
      </c>
    </row>
    <row r="104">
      <c r="A104" s="4" t="s">
        <v>48</v>
      </c>
    </row>
    <row r="105">
      <c r="A105" s="4" t="s">
        <v>2614</v>
      </c>
    </row>
    <row r="106">
      <c r="A106" s="4" t="s">
        <v>40</v>
      </c>
    </row>
    <row r="107">
      <c r="A107" s="4" t="s">
        <v>12515</v>
      </c>
    </row>
    <row r="108">
      <c r="A108" s="4" t="s">
        <v>1367</v>
      </c>
    </row>
    <row r="109">
      <c r="A109" s="4" t="s">
        <v>12516</v>
      </c>
    </row>
    <row r="110">
      <c r="A110" s="4" t="s">
        <v>33</v>
      </c>
    </row>
    <row r="111">
      <c r="A111" s="4" t="s">
        <v>876</v>
      </c>
    </row>
    <row r="112">
      <c r="A112" s="4" t="s">
        <v>88</v>
      </c>
    </row>
    <row r="113">
      <c r="A113" s="4" t="s">
        <v>89</v>
      </c>
    </row>
    <row r="114">
      <c r="A114" s="4" t="s">
        <v>877</v>
      </c>
    </row>
    <row r="115">
      <c r="A115" s="4" t="s">
        <v>109</v>
      </c>
    </row>
    <row r="116">
      <c r="A116" s="4" t="s">
        <v>549</v>
      </c>
    </row>
    <row r="117">
      <c r="A117" s="4" t="s">
        <v>12517</v>
      </c>
    </row>
    <row r="118">
      <c r="A118" s="4" t="s">
        <v>92</v>
      </c>
    </row>
    <row r="119">
      <c r="A119" s="4" t="s">
        <v>1364</v>
      </c>
    </row>
    <row r="120">
      <c r="A120" s="4" t="s">
        <v>115</v>
      </c>
    </row>
    <row r="121">
      <c r="A121" s="4" t="s">
        <v>33</v>
      </c>
    </row>
    <row r="122">
      <c r="A122" s="4" t="s">
        <v>534</v>
      </c>
    </row>
    <row r="123">
      <c r="A123" s="4" t="s">
        <v>41</v>
      </c>
    </row>
    <row r="124">
      <c r="A124" s="4" t="s">
        <v>8029</v>
      </c>
    </row>
    <row r="125">
      <c r="A125" s="4" t="s">
        <v>44</v>
      </c>
    </row>
    <row r="126">
      <c r="A126" s="4" t="s">
        <v>98</v>
      </c>
    </row>
    <row r="127">
      <c r="A127" s="4" t="s">
        <v>527</v>
      </c>
    </row>
    <row r="128">
      <c r="A128" s="4" t="s">
        <v>509</v>
      </c>
    </row>
    <row r="129">
      <c r="A129" s="4" t="s">
        <v>92</v>
      </c>
    </row>
    <row r="130">
      <c r="A130" s="4" t="s">
        <v>122</v>
      </c>
    </row>
    <row r="131">
      <c r="A131" s="4" t="s">
        <v>33</v>
      </c>
    </row>
    <row r="132">
      <c r="A132" s="4" t="s">
        <v>540</v>
      </c>
    </row>
    <row r="133">
      <c r="A133" s="4" t="s">
        <v>44</v>
      </c>
    </row>
    <row r="134">
      <c r="A134" s="4" t="s">
        <v>939</v>
      </c>
    </row>
    <row r="135">
      <c r="A135" s="4" t="s">
        <v>873</v>
      </c>
    </row>
    <row r="136">
      <c r="A136" s="4" t="s">
        <v>12518</v>
      </c>
    </row>
    <row r="137">
      <c r="A137" s="4" t="s">
        <v>960</v>
      </c>
    </row>
    <row r="138">
      <c r="A138" s="4" t="s">
        <v>40</v>
      </c>
    </row>
    <row r="139">
      <c r="A139" s="4" t="s">
        <v>520</v>
      </c>
    </row>
    <row r="140">
      <c r="A140" s="4" t="s">
        <v>553</v>
      </c>
    </row>
    <row r="141">
      <c r="A141" s="4" t="s">
        <v>925</v>
      </c>
    </row>
    <row r="142">
      <c r="A142" s="4" t="s">
        <v>525</v>
      </c>
    </row>
    <row r="143">
      <c r="A143" s="4" t="s">
        <v>12519</v>
      </c>
    </row>
    <row r="144">
      <c r="A144" s="4" t="s">
        <v>4882</v>
      </c>
    </row>
    <row r="145">
      <c r="A145" s="4" t="s">
        <v>3829</v>
      </c>
    </row>
    <row r="146">
      <c r="A146" s="4" t="s">
        <v>129</v>
      </c>
    </row>
    <row r="147">
      <c r="A147" s="4" t="s">
        <v>109</v>
      </c>
    </row>
    <row r="148">
      <c r="A148" s="4" t="s">
        <v>92</v>
      </c>
    </row>
    <row r="149">
      <c r="A149" s="4" t="s">
        <v>98</v>
      </c>
    </row>
    <row r="150">
      <c r="A150" s="4" t="s">
        <v>3787</v>
      </c>
    </row>
    <row r="151">
      <c r="A151" s="4" t="s">
        <v>48</v>
      </c>
    </row>
    <row r="152">
      <c r="A152" s="4" t="s">
        <v>1526</v>
      </c>
    </row>
    <row r="153">
      <c r="A153" s="4" t="s">
        <v>553</v>
      </c>
    </row>
    <row r="154">
      <c r="A154" s="4" t="s">
        <v>925</v>
      </c>
    </row>
    <row r="155">
      <c r="A155" s="4" t="s">
        <v>525</v>
      </c>
    </row>
    <row r="156">
      <c r="A156" s="4" t="s">
        <v>972</v>
      </c>
    </row>
    <row r="157">
      <c r="A157" s="4" t="s">
        <v>92</v>
      </c>
    </row>
    <row r="158">
      <c r="A158" s="4" t="s">
        <v>9365</v>
      </c>
    </row>
    <row r="159">
      <c r="A159" s="4" t="s">
        <v>40</v>
      </c>
    </row>
    <row r="160">
      <c r="A160" s="4" t="s">
        <v>75</v>
      </c>
    </row>
    <row r="161">
      <c r="A161" s="4" t="s">
        <v>33</v>
      </c>
    </row>
    <row r="162">
      <c r="A162" s="4" t="s">
        <v>897</v>
      </c>
    </row>
    <row r="163">
      <c r="A163" s="4" t="s">
        <v>41</v>
      </c>
    </row>
    <row r="164">
      <c r="A164" s="4" t="s">
        <v>896</v>
      </c>
    </row>
    <row r="165">
      <c r="A165" s="4" t="s">
        <v>929</v>
      </c>
    </row>
    <row r="166">
      <c r="A166" s="4" t="s">
        <v>899</v>
      </c>
    </row>
    <row r="167">
      <c r="A167" s="4" t="s">
        <v>40</v>
      </c>
    </row>
    <row r="168">
      <c r="A168" s="4" t="s">
        <v>49</v>
      </c>
    </row>
    <row r="169">
      <c r="A169" s="4" t="s">
        <v>33</v>
      </c>
    </row>
    <row r="170">
      <c r="A170" s="4" t="s">
        <v>113</v>
      </c>
    </row>
    <row r="171">
      <c r="A171" s="4" t="s">
        <v>41</v>
      </c>
    </row>
    <row r="172">
      <c r="A172" s="4" t="s">
        <v>12520</v>
      </c>
    </row>
    <row r="173">
      <c r="A173" s="4" t="s">
        <v>44</v>
      </c>
    </row>
    <row r="174">
      <c r="A174" s="4" t="s">
        <v>119</v>
      </c>
    </row>
    <row r="175">
      <c r="A175" s="4" t="s">
        <v>64</v>
      </c>
    </row>
    <row r="176">
      <c r="A176" s="4" t="s">
        <v>40</v>
      </c>
    </row>
    <row r="177">
      <c r="A177" s="4" t="s">
        <v>924</v>
      </c>
    </row>
    <row r="178">
      <c r="A178" s="4" t="s">
        <v>33</v>
      </c>
    </row>
    <row r="179">
      <c r="A179" s="4" t="s">
        <v>887</v>
      </c>
    </row>
    <row r="180">
      <c r="A180" s="4" t="s">
        <v>3789</v>
      </c>
    </row>
    <row r="181">
      <c r="A181" s="4" t="s">
        <v>115</v>
      </c>
    </row>
    <row r="182">
      <c r="A182" s="4" t="s">
        <v>12521</v>
      </c>
    </row>
    <row r="183">
      <c r="A183" s="4" t="s">
        <v>41</v>
      </c>
    </row>
    <row r="184">
      <c r="A184" s="4" t="s">
        <v>1354</v>
      </c>
    </row>
    <row r="185">
      <c r="A185" s="4" t="s">
        <v>139</v>
      </c>
    </row>
    <row r="186">
      <c r="A186" s="4" t="s">
        <v>33</v>
      </c>
    </row>
    <row r="187">
      <c r="A187" s="4" t="s">
        <v>897</v>
      </c>
    </row>
    <row r="188">
      <c r="A188" s="4" t="s">
        <v>41</v>
      </c>
    </row>
    <row r="189">
      <c r="A189" s="4" t="s">
        <v>913</v>
      </c>
    </row>
    <row r="190">
      <c r="A190" s="4" t="s">
        <v>8014</v>
      </c>
    </row>
    <row r="191">
      <c r="A191" s="4" t="s">
        <v>89</v>
      </c>
    </row>
    <row r="192">
      <c r="A192" s="4" t="s">
        <v>33</v>
      </c>
    </row>
    <row r="193">
      <c r="A193" s="4" t="s">
        <v>567</v>
      </c>
    </row>
    <row r="194">
      <c r="A194" s="4" t="s">
        <v>3257</v>
      </c>
    </row>
    <row r="195">
      <c r="A195" s="4" t="s">
        <v>549</v>
      </c>
    </row>
    <row r="196">
      <c r="A196" s="4" t="s">
        <v>5447</v>
      </c>
    </row>
    <row r="197">
      <c r="A197" s="4" t="s">
        <v>3259</v>
      </c>
    </row>
    <row r="198">
      <c r="A198" s="4" t="s">
        <v>3845</v>
      </c>
    </row>
    <row r="199">
      <c r="A199" s="4" t="s">
        <v>5417</v>
      </c>
    </row>
    <row r="200">
      <c r="A200" s="4" t="s">
        <v>83</v>
      </c>
    </row>
    <row r="201">
      <c r="A201" s="4" t="s">
        <v>553</v>
      </c>
    </row>
    <row r="202">
      <c r="A202" s="4" t="s">
        <v>1378</v>
      </c>
    </row>
    <row r="203">
      <c r="A203" s="4" t="s">
        <v>44</v>
      </c>
    </row>
    <row r="204">
      <c r="A204" s="4" t="s">
        <v>912</v>
      </c>
    </row>
    <row r="205">
      <c r="A205" s="4" t="s">
        <v>971</v>
      </c>
    </row>
    <row r="206">
      <c r="A206" s="4" t="s">
        <v>88</v>
      </c>
    </row>
    <row r="207">
      <c r="A207" s="4" t="s">
        <v>40</v>
      </c>
    </row>
    <row r="208">
      <c r="A208" s="4" t="s">
        <v>75</v>
      </c>
    </row>
    <row r="209">
      <c r="A209" s="4" t="s">
        <v>873</v>
      </c>
    </row>
    <row r="210">
      <c r="A210" s="4" t="s">
        <v>36</v>
      </c>
    </row>
    <row r="211">
      <c r="A211" s="4" t="s">
        <v>3003</v>
      </c>
    </row>
    <row r="212">
      <c r="A212" s="4" t="s">
        <v>88</v>
      </c>
    </row>
    <row r="213">
      <c r="A213" s="4" t="s">
        <v>40</v>
      </c>
    </row>
    <row r="214">
      <c r="A214" s="4" t="s">
        <v>75</v>
      </c>
    </row>
    <row r="215">
      <c r="A215" s="4" t="s">
        <v>3794</v>
      </c>
    </row>
    <row r="216">
      <c r="A216" s="4" t="s">
        <v>129</v>
      </c>
    </row>
    <row r="217">
      <c r="A217" s="4" t="s">
        <v>939</v>
      </c>
    </row>
    <row r="218">
      <c r="A218" s="4" t="s">
        <v>35</v>
      </c>
    </row>
    <row r="219">
      <c r="A219" s="4" t="s">
        <v>65</v>
      </c>
    </row>
    <row r="220">
      <c r="A220" s="4" t="s">
        <v>39</v>
      </c>
    </row>
    <row r="221">
      <c r="A221" s="4" t="s">
        <v>40</v>
      </c>
    </row>
    <row r="222">
      <c r="A222" s="4" t="s">
        <v>33</v>
      </c>
    </row>
    <row r="223">
      <c r="A223" s="4" t="s">
        <v>876</v>
      </c>
    </row>
    <row r="224">
      <c r="A224" s="4" t="s">
        <v>48</v>
      </c>
    </row>
    <row r="225">
      <c r="A225" s="4" t="s">
        <v>107</v>
      </c>
    </row>
    <row r="226">
      <c r="A226" s="4" t="s">
        <v>41</v>
      </c>
    </row>
    <row r="227">
      <c r="A227" s="4" t="s">
        <v>42</v>
      </c>
    </row>
    <row r="228">
      <c r="A228" s="4" t="s">
        <v>33</v>
      </c>
    </row>
    <row r="229">
      <c r="A229" s="4" t="s">
        <v>897</v>
      </c>
    </row>
    <row r="230">
      <c r="A230" s="4" t="s">
        <v>41</v>
      </c>
    </row>
    <row r="231">
      <c r="A231" s="4" t="s">
        <v>913</v>
      </c>
    </row>
    <row r="232">
      <c r="A232" s="4" t="s">
        <v>167</v>
      </c>
    </row>
    <row r="233">
      <c r="A233" s="4" t="s">
        <v>53</v>
      </c>
    </row>
    <row r="234">
      <c r="A234" s="4" t="s">
        <v>115</v>
      </c>
    </row>
    <row r="235">
      <c r="A235" s="4" t="s">
        <v>92</v>
      </c>
    </row>
    <row r="236">
      <c r="A236" s="4" t="s">
        <v>93</v>
      </c>
    </row>
    <row r="237">
      <c r="A237" s="4" t="s">
        <v>553</v>
      </c>
    </row>
    <row r="238">
      <c r="A238" s="4" t="s">
        <v>1501</v>
      </c>
    </row>
    <row r="239">
      <c r="A239" s="4" t="s">
        <v>44</v>
      </c>
    </row>
    <row r="240">
      <c r="A240" s="4" t="s">
        <v>119</v>
      </c>
    </row>
    <row r="241">
      <c r="A241" s="4" t="s">
        <v>8044</v>
      </c>
    </row>
    <row r="242">
      <c r="A242" s="4" t="s">
        <v>895</v>
      </c>
    </row>
    <row r="243">
      <c r="A243" s="4" t="s">
        <v>167</v>
      </c>
    </row>
    <row r="244">
      <c r="A244" s="4" t="s">
        <v>924</v>
      </c>
    </row>
    <row r="245">
      <c r="A245" s="4" t="s">
        <v>33</v>
      </c>
    </row>
    <row r="246">
      <c r="A246" s="4" t="s">
        <v>9942</v>
      </c>
    </row>
    <row r="247">
      <c r="A247" s="4" t="s">
        <v>44</v>
      </c>
    </row>
    <row r="248">
      <c r="A248" s="4" t="s">
        <v>119</v>
      </c>
    </row>
    <row r="249">
      <c r="A249" s="4" t="s">
        <v>12522</v>
      </c>
    </row>
    <row r="250">
      <c r="A250" s="4" t="s">
        <v>167</v>
      </c>
    </row>
    <row r="251">
      <c r="A251" s="4" t="s">
        <v>90</v>
      </c>
    </row>
    <row r="252">
      <c r="A252" s="4" t="s">
        <v>553</v>
      </c>
    </row>
    <row r="253">
      <c r="A253" s="4" t="s">
        <v>8030</v>
      </c>
    </row>
    <row r="254">
      <c r="A254" s="4" t="s">
        <v>525</v>
      </c>
    </row>
    <row r="255">
      <c r="A255" s="4" t="s">
        <v>109</v>
      </c>
    </row>
    <row r="256">
      <c r="A256" s="4" t="s">
        <v>110</v>
      </c>
    </row>
    <row r="257">
      <c r="A257" s="4" t="s">
        <v>111</v>
      </c>
    </row>
    <row r="258">
      <c r="A258" s="4" t="s">
        <v>947</v>
      </c>
    </row>
    <row r="259">
      <c r="A259" s="4" t="s">
        <v>40</v>
      </c>
    </row>
    <row r="260">
      <c r="A260" s="4" t="s">
        <v>1509</v>
      </c>
    </row>
    <row r="261">
      <c r="A261" s="4" t="s">
        <v>33</v>
      </c>
    </row>
    <row r="262">
      <c r="A262" s="4" t="s">
        <v>12523</v>
      </c>
    </row>
    <row r="263">
      <c r="A263" s="4" t="s">
        <v>41</v>
      </c>
    </row>
    <row r="264">
      <c r="A264" s="4" t="s">
        <v>12524</v>
      </c>
    </row>
    <row r="265">
      <c r="A265" s="4" t="s">
        <v>44</v>
      </c>
    </row>
    <row r="266">
      <c r="A266" s="4" t="s">
        <v>119</v>
      </c>
    </row>
    <row r="267">
      <c r="A267" s="4" t="s">
        <v>62</v>
      </c>
    </row>
    <row r="268">
      <c r="A268" s="4" t="s">
        <v>12525</v>
      </c>
    </row>
    <row r="269">
      <c r="A269" s="4" t="s">
        <v>39</v>
      </c>
    </row>
    <row r="270">
      <c r="A270" s="4" t="s">
        <v>40</v>
      </c>
    </row>
    <row r="271">
      <c r="A271" s="4" t="s">
        <v>553</v>
      </c>
    </row>
    <row r="272">
      <c r="A272" s="4" t="s">
        <v>866</v>
      </c>
    </row>
    <row r="273">
      <c r="A273" s="4" t="s">
        <v>41</v>
      </c>
    </row>
    <row r="274">
      <c r="A274" s="4" t="s">
        <v>867</v>
      </c>
    </row>
    <row r="275">
      <c r="A275" s="4" t="s">
        <v>972</v>
      </c>
    </row>
    <row r="276">
      <c r="A276" s="4" t="s">
        <v>92</v>
      </c>
    </row>
    <row r="277">
      <c r="A277" s="4" t="s">
        <v>12526</v>
      </c>
    </row>
    <row r="278">
      <c r="A278" s="4" t="s">
        <v>89</v>
      </c>
    </row>
    <row r="279">
      <c r="A279" s="4" t="s">
        <v>33</v>
      </c>
    </row>
    <row r="280">
      <c r="A280" s="4" t="s">
        <v>946</v>
      </c>
    </row>
    <row r="281">
      <c r="A281" s="4" t="s">
        <v>51</v>
      </c>
    </row>
    <row r="282">
      <c r="A282" s="4" t="s">
        <v>108</v>
      </c>
    </row>
    <row r="283">
      <c r="A283" s="4" t="s">
        <v>929</v>
      </c>
    </row>
    <row r="284">
      <c r="A284" s="4" t="s">
        <v>40</v>
      </c>
    </row>
    <row r="285">
      <c r="A285" s="4" t="s">
        <v>3804</v>
      </c>
    </row>
    <row r="286">
      <c r="A286" s="4" t="s">
        <v>48</v>
      </c>
    </row>
    <row r="287">
      <c r="A287" s="4" t="s">
        <v>8018</v>
      </c>
    </row>
    <row r="288">
      <c r="A288" s="4" t="s">
        <v>159</v>
      </c>
    </row>
    <row r="289">
      <c r="A289" s="4" t="s">
        <v>3819</v>
      </c>
    </row>
    <row r="290">
      <c r="A290" s="4" t="s">
        <v>115</v>
      </c>
    </row>
    <row r="291">
      <c r="A291" s="4" t="s">
        <v>33</v>
      </c>
    </row>
    <row r="292">
      <c r="A292" s="4" t="s">
        <v>887</v>
      </c>
    </row>
    <row r="293">
      <c r="A293" s="4" t="s">
        <v>9952</v>
      </c>
    </row>
    <row r="294">
      <c r="A294" s="4" t="s">
        <v>895</v>
      </c>
    </row>
    <row r="295">
      <c r="A295" s="4" t="s">
        <v>40</v>
      </c>
    </row>
    <row r="296">
      <c r="A296" s="4" t="s">
        <v>520</v>
      </c>
    </row>
    <row r="297">
      <c r="A297" s="4" t="s">
        <v>33</v>
      </c>
    </row>
    <row r="298">
      <c r="A298" s="4" t="s">
        <v>108</v>
      </c>
    </row>
    <row r="299">
      <c r="A299" s="4" t="s">
        <v>119</v>
      </c>
    </row>
    <row r="300">
      <c r="A300" s="4" t="s">
        <v>128</v>
      </c>
    </row>
    <row r="301">
      <c r="A301" s="4" t="s">
        <v>3676</v>
      </c>
    </row>
    <row r="302">
      <c r="A302" s="4" t="s">
        <v>109</v>
      </c>
    </row>
    <row r="303">
      <c r="A303" s="4" t="s">
        <v>968</v>
      </c>
    </row>
    <row r="304">
      <c r="A304" s="4" t="s">
        <v>110</v>
      </c>
    </row>
    <row r="305">
      <c r="A305" s="4" t="s">
        <v>33</v>
      </c>
    </row>
    <row r="306">
      <c r="A306" s="4" t="s">
        <v>113</v>
      </c>
    </row>
    <row r="307">
      <c r="A307" s="4" t="s">
        <v>44</v>
      </c>
    </row>
    <row r="308">
      <c r="A308" s="4" t="s">
        <v>119</v>
      </c>
    </row>
    <row r="309">
      <c r="A309" s="4" t="s">
        <v>3286</v>
      </c>
    </row>
    <row r="310">
      <c r="A310" s="4" t="s">
        <v>150</v>
      </c>
    </row>
    <row r="311">
      <c r="A311" s="4" t="s">
        <v>12527</v>
      </c>
    </row>
    <row r="312">
      <c r="A312" s="4" t="s">
        <v>40</v>
      </c>
    </row>
    <row r="313">
      <c r="A313" s="4" t="s">
        <v>526</v>
      </c>
    </row>
    <row r="314">
      <c r="A314" s="4" t="s">
        <v>553</v>
      </c>
    </row>
    <row r="315">
      <c r="A315" s="4" t="s">
        <v>866</v>
      </c>
    </row>
    <row r="316">
      <c r="A316" s="4" t="s">
        <v>44</v>
      </c>
    </row>
    <row r="317">
      <c r="A317" s="4" t="s">
        <v>12528</v>
      </c>
    </row>
    <row r="318">
      <c r="A318" s="4" t="s">
        <v>553</v>
      </c>
    </row>
    <row r="319">
      <c r="A319" s="4" t="s">
        <v>12529</v>
      </c>
    </row>
    <row r="320">
      <c r="A320" s="4" t="s">
        <v>525</v>
      </c>
    </row>
    <row r="321">
      <c r="A321" s="4" t="s">
        <v>509</v>
      </c>
    </row>
    <row r="322">
      <c r="A322" s="4" t="s">
        <v>92</v>
      </c>
    </row>
    <row r="323">
      <c r="A323" s="4" t="s">
        <v>122</v>
      </c>
    </row>
    <row r="324">
      <c r="A324" s="4" t="s">
        <v>119</v>
      </c>
    </row>
    <row r="325">
      <c r="A325" s="4" t="s">
        <v>3293</v>
      </c>
    </row>
    <row r="326">
      <c r="A326" s="4" t="s">
        <v>33</v>
      </c>
    </row>
    <row r="327">
      <c r="A327" s="4" t="s">
        <v>3289</v>
      </c>
    </row>
    <row r="328">
      <c r="A328" s="4" t="s">
        <v>3802</v>
      </c>
    </row>
    <row r="329">
      <c r="A329" s="4" t="s">
        <v>121</v>
      </c>
    </row>
    <row r="330">
      <c r="A330" s="4" t="s">
        <v>92</v>
      </c>
    </row>
    <row r="331">
      <c r="A331" s="4" t="s">
        <v>122</v>
      </c>
    </row>
    <row r="332">
      <c r="A332" s="4" t="s">
        <v>119</v>
      </c>
    </row>
    <row r="333">
      <c r="A333" s="4" t="s">
        <v>166</v>
      </c>
    </row>
    <row r="334">
      <c r="A334" s="4" t="s">
        <v>33</v>
      </c>
    </row>
    <row r="335">
      <c r="A335" s="4" t="s">
        <v>869</v>
      </c>
    </row>
    <row r="336">
      <c r="A336" s="4" t="s">
        <v>41</v>
      </c>
    </row>
    <row r="337">
      <c r="A337" s="4" t="s">
        <v>139</v>
      </c>
    </row>
    <row r="338">
      <c r="A338" s="4" t="s">
        <v>541</v>
      </c>
    </row>
    <row r="339">
      <c r="A339" s="4" t="s">
        <v>75</v>
      </c>
    </row>
    <row r="340">
      <c r="A340" s="4" t="s">
        <v>141</v>
      </c>
    </row>
    <row r="341">
      <c r="A341" s="4" t="s">
        <v>497</v>
      </c>
    </row>
    <row r="342">
      <c r="A342" s="4" t="s">
        <v>509</v>
      </c>
    </row>
    <row r="343">
      <c r="A343" s="4" t="s">
        <v>92</v>
      </c>
    </row>
    <row r="344">
      <c r="A344" s="4" t="s">
        <v>122</v>
      </c>
    </row>
    <row r="345">
      <c r="A345" s="4" t="s">
        <v>33</v>
      </c>
    </row>
    <row r="346">
      <c r="A346" s="4" t="s">
        <v>946</v>
      </c>
    </row>
    <row r="347">
      <c r="A347" s="4" t="s">
        <v>41</v>
      </c>
    </row>
    <row r="348">
      <c r="A348" s="4" t="s">
        <v>12530</v>
      </c>
    </row>
    <row r="349">
      <c r="A349" s="4" t="s">
        <v>92</v>
      </c>
    </row>
    <row r="350">
      <c r="A350" s="4" t="s">
        <v>12531</v>
      </c>
    </row>
    <row r="351">
      <c r="A351" s="4" t="s">
        <v>966</v>
      </c>
    </row>
    <row r="352">
      <c r="A352" s="4" t="s">
        <v>3831</v>
      </c>
    </row>
    <row r="353">
      <c r="A353" s="4" t="s">
        <v>12532</v>
      </c>
    </row>
    <row r="354">
      <c r="A354" s="4" t="s">
        <v>109</v>
      </c>
    </row>
    <row r="355">
      <c r="A355" s="4" t="s">
        <v>8019</v>
      </c>
    </row>
    <row r="356">
      <c r="A356" s="4" t="s">
        <v>518</v>
      </c>
    </row>
    <row r="357">
      <c r="A357" s="4" t="s">
        <v>520</v>
      </c>
    </row>
    <row r="358">
      <c r="A358" s="4" t="s">
        <v>3293</v>
      </c>
    </row>
    <row r="359">
      <c r="A359" s="4" t="s">
        <v>115</v>
      </c>
    </row>
    <row r="360">
      <c r="A360" s="4" t="s">
        <v>33</v>
      </c>
    </row>
    <row r="361">
      <c r="A361" s="4" t="s">
        <v>869</v>
      </c>
    </row>
    <row r="362">
      <c r="A362" s="4" t="s">
        <v>115</v>
      </c>
    </row>
    <row r="363">
      <c r="A363" s="4" t="s">
        <v>919</v>
      </c>
    </row>
    <row r="364">
      <c r="A364" s="4" t="s">
        <v>3678</v>
      </c>
    </row>
    <row r="365">
      <c r="A365" s="4" t="s">
        <v>549</v>
      </c>
    </row>
    <row r="366">
      <c r="A366" s="4" t="s">
        <v>90</v>
      </c>
    </row>
    <row r="367">
      <c r="A367" s="4" t="s">
        <v>33</v>
      </c>
    </row>
    <row r="368">
      <c r="A368" s="4" t="s">
        <v>939</v>
      </c>
    </row>
    <row r="369">
      <c r="A369" s="4" t="s">
        <v>544</v>
      </c>
    </row>
    <row r="370">
      <c r="A370" s="4" t="s">
        <v>159</v>
      </c>
    </row>
    <row r="371">
      <c r="A371" s="4" t="s">
        <v>935</v>
      </c>
    </row>
    <row r="372">
      <c r="A372" s="4" t="s">
        <v>44</v>
      </c>
    </row>
    <row r="373">
      <c r="A373" s="4" t="s">
        <v>12533</v>
      </c>
    </row>
    <row r="374">
      <c r="A374" s="4" t="s">
        <v>115</v>
      </c>
    </row>
    <row r="375">
      <c r="A375" s="4" t="s">
        <v>970</v>
      </c>
    </row>
    <row r="376">
      <c r="A376" s="4" t="s">
        <v>33</v>
      </c>
    </row>
    <row r="377">
      <c r="A377" s="4" t="s">
        <v>876</v>
      </c>
    </row>
    <row r="378">
      <c r="A378" s="4" t="s">
        <v>41</v>
      </c>
    </row>
    <row r="379">
      <c r="A379" s="4" t="s">
        <v>516</v>
      </c>
    </row>
    <row r="380">
      <c r="A380" s="4" t="s">
        <v>525</v>
      </c>
    </row>
    <row r="381">
      <c r="A381" s="4" t="s">
        <v>947</v>
      </c>
    </row>
    <row r="382">
      <c r="A382" s="4" t="s">
        <v>119</v>
      </c>
    </row>
    <row r="383">
      <c r="A383" s="4" t="s">
        <v>1505</v>
      </c>
    </row>
    <row r="384">
      <c r="A384" s="4" t="s">
        <v>3293</v>
      </c>
    </row>
    <row r="385">
      <c r="A385" s="4" t="s">
        <v>109</v>
      </c>
    </row>
    <row r="386">
      <c r="A386" s="4" t="s">
        <v>3803</v>
      </c>
    </row>
    <row r="387">
      <c r="A387" s="4" t="s">
        <v>1504</v>
      </c>
    </row>
    <row r="388">
      <c r="A388" s="4" t="s">
        <v>553</v>
      </c>
    </row>
    <row r="389">
      <c r="A389" s="4" t="s">
        <v>1503</v>
      </c>
    </row>
    <row r="390">
      <c r="A390" s="4" t="s">
        <v>44</v>
      </c>
    </row>
    <row r="391">
      <c r="A391" s="4" t="s">
        <v>119</v>
      </c>
    </row>
    <row r="392">
      <c r="A392" s="4" t="s">
        <v>62</v>
      </c>
    </row>
    <row r="393">
      <c r="A393" s="4" t="s">
        <v>64</v>
      </c>
    </row>
    <row r="394">
      <c r="A394" s="4" t="s">
        <v>115</v>
      </c>
    </row>
    <row r="395">
      <c r="A395" s="4" t="s">
        <v>521</v>
      </c>
    </row>
    <row r="396">
      <c r="A396" s="4" t="s">
        <v>12534</v>
      </c>
    </row>
    <row r="397">
      <c r="A397" s="4" t="s">
        <v>553</v>
      </c>
    </row>
    <row r="398">
      <c r="A398" s="4" t="s">
        <v>891</v>
      </c>
    </row>
    <row r="399">
      <c r="A399" s="4" t="s">
        <v>107</v>
      </c>
    </row>
    <row r="400">
      <c r="A400" s="4" t="s">
        <v>41</v>
      </c>
    </row>
    <row r="401">
      <c r="A401" s="4" t="s">
        <v>42</v>
      </c>
    </row>
    <row r="402">
      <c r="A402" s="4" t="s">
        <v>547</v>
      </c>
    </row>
    <row r="403">
      <c r="A403" s="4" t="s">
        <v>40</v>
      </c>
    </row>
    <row r="404">
      <c r="A404" s="4" t="s">
        <v>75</v>
      </c>
    </row>
    <row r="405">
      <c r="A405" s="4" t="s">
        <v>48</v>
      </c>
    </row>
    <row r="406">
      <c r="A406" s="4" t="s">
        <v>3820</v>
      </c>
    </row>
    <row r="407">
      <c r="A407" s="4" t="s">
        <v>1227</v>
      </c>
    </row>
    <row r="408">
      <c r="A408" s="4" t="s">
        <v>3834</v>
      </c>
    </row>
    <row r="409">
      <c r="A409" s="4" t="s">
        <v>33</v>
      </c>
    </row>
    <row r="410">
      <c r="A410" s="4" t="s">
        <v>131</v>
      </c>
    </row>
    <row r="411">
      <c r="A411" s="4" t="s">
        <v>869</v>
      </c>
    </row>
    <row r="412">
      <c r="A412" s="4" t="s">
        <v>115</v>
      </c>
    </row>
    <row r="413">
      <c r="A413" s="4" t="s">
        <v>500</v>
      </c>
    </row>
    <row r="414">
      <c r="A414" s="4" t="s">
        <v>159</v>
      </c>
    </row>
    <row r="415">
      <c r="A415" s="4" t="s">
        <v>7481</v>
      </c>
    </row>
    <row r="416">
      <c r="A416" s="4" t="s">
        <v>33</v>
      </c>
    </row>
    <row r="417">
      <c r="A417" s="4" t="s">
        <v>891</v>
      </c>
    </row>
    <row r="418">
      <c r="A418" s="4" t="s">
        <v>107</v>
      </c>
    </row>
    <row r="419">
      <c r="A419" s="4" t="s">
        <v>41</v>
      </c>
    </row>
    <row r="420">
      <c r="A420" s="4" t="s">
        <v>42</v>
      </c>
    </row>
    <row r="421">
      <c r="A421" s="4" t="s">
        <v>48</v>
      </c>
    </row>
    <row r="422">
      <c r="A422" s="4" t="s">
        <v>88</v>
      </c>
    </row>
    <row r="423">
      <c r="A423" s="4" t="s">
        <v>89</v>
      </c>
    </row>
    <row r="424">
      <c r="A424" s="4" t="s">
        <v>877</v>
      </c>
    </row>
    <row r="425">
      <c r="A425" s="4" t="s">
        <v>119</v>
      </c>
    </row>
    <row r="426">
      <c r="A426" s="4" t="s">
        <v>878</v>
      </c>
    </row>
    <row r="427">
      <c r="A427" s="4" t="s">
        <v>879</v>
      </c>
    </row>
    <row r="428">
      <c r="A428" s="4" t="s">
        <v>961</v>
      </c>
    </row>
    <row r="429">
      <c r="A429" s="4"/>
    </row>
    <row r="430">
      <c r="A430" s="4"/>
    </row>
    <row r="431">
      <c r="A431" s="4"/>
    </row>
    <row r="432">
      <c r="A432" s="4"/>
    </row>
    <row r="433">
      <c r="A433" s="4"/>
    </row>
    <row r="434">
      <c r="A434" s="4"/>
    </row>
    <row r="435">
      <c r="A435" s="4"/>
    </row>
    <row r="436">
      <c r="A436" s="4"/>
    </row>
    <row r="437">
      <c r="A437" s="4"/>
    </row>
    <row r="438">
      <c r="A438" s="4"/>
    </row>
    <row r="439">
      <c r="A439" s="4"/>
    </row>
    <row r="440">
      <c r="A440" s="4"/>
    </row>
    <row r="441">
      <c r="A441" s="4"/>
    </row>
    <row r="442">
      <c r="A442" s="4"/>
    </row>
    <row r="443">
      <c r="A443" s="4"/>
    </row>
    <row r="444">
      <c r="A444" s="4"/>
    </row>
    <row r="445">
      <c r="A445" s="4"/>
    </row>
    <row r="446">
      <c r="A446" s="4"/>
    </row>
    <row r="447">
      <c r="A447" s="4"/>
    </row>
    <row r="448">
      <c r="A448" s="4"/>
    </row>
    <row r="449">
      <c r="A449" s="4"/>
    </row>
    <row r="450">
      <c r="A450" s="4"/>
    </row>
    <row r="451">
      <c r="A451" s="4"/>
    </row>
    <row r="452">
      <c r="A452" s="4"/>
    </row>
    <row r="453">
      <c r="A453" s="4"/>
    </row>
    <row r="454">
      <c r="A454" s="4"/>
    </row>
    <row r="455">
      <c r="A455" s="4"/>
    </row>
    <row r="456">
      <c r="A456" s="4"/>
    </row>
    <row r="457">
      <c r="A457" s="4"/>
    </row>
    <row r="458">
      <c r="A458" s="4"/>
    </row>
    <row r="459">
      <c r="A459" s="4"/>
    </row>
    <row r="460">
      <c r="A460" s="4"/>
    </row>
    <row r="461">
      <c r="A461" s="4"/>
    </row>
    <row r="462">
      <c r="A462" s="4"/>
    </row>
    <row r="463">
      <c r="A463" s="4"/>
    </row>
    <row r="464">
      <c r="A464" s="4"/>
    </row>
    <row r="465">
      <c r="A465" s="4"/>
    </row>
    <row r="466">
      <c r="A466" s="4"/>
    </row>
    <row r="467">
      <c r="A467" s="4"/>
    </row>
    <row r="468">
      <c r="A468" s="4"/>
    </row>
    <row r="469">
      <c r="A469" s="4"/>
    </row>
    <row r="470">
      <c r="A470" s="4"/>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C1" s="5" t="s">
        <v>168</v>
      </c>
      <c r="D1" s="5" t="s">
        <v>169</v>
      </c>
      <c r="E1" s="5" t="s">
        <v>170</v>
      </c>
      <c r="F1" s="5" t="s">
        <v>171</v>
      </c>
      <c r="G1" s="5" t="s">
        <v>172</v>
      </c>
      <c r="H1" s="7" t="s">
        <v>173</v>
      </c>
      <c r="I1" s="5" t="s">
        <v>174</v>
      </c>
    </row>
    <row r="2">
      <c r="A2" s="4"/>
      <c r="C2" s="4" t="s">
        <v>2627</v>
      </c>
      <c r="D2" s="4" t="str">
        <f t="shared" ref="D2:D470" si="1">C2</f>
        <v>{"valorA":"para","valorB":1}</v>
      </c>
      <c r="E2" s="8" t="str">
        <f t="shared" ref="E2:E428" si="2">SUBSTITUTE(MID(C2,FIND(":",C2)+1,FIND(",",C2)-FIND(":",C2)-1),"""","")</f>
        <v>para</v>
      </c>
      <c r="F2" s="8" t="str">
        <f>IFERROR(__xludf.DUMMYFUNCTION("UNIQUE(E2:E470)"),"para")</f>
        <v>para</v>
      </c>
      <c r="G2" s="8" t="str">
        <f t="shared" ref="G2:G428" si="3">MID(C2,FIND("valorB",C2)+8,FIND("}",C2)-FIND("valorB",C2)-8)</f>
        <v>1</v>
      </c>
      <c r="H2" s="9">
        <f t="shared" ref="H2:H428" si="4">VALUE(SUBSTITUTE(G2,".",","))</f>
        <v>1</v>
      </c>
      <c r="I2" s="10">
        <f>IFERROR(__xludf.DUMMYFUNCTION("MAX(FILTER($H:$H,$E:$E=F2))"),15.0)</f>
        <v>15</v>
      </c>
    </row>
    <row r="3">
      <c r="A3" s="4"/>
      <c r="C3" s="4" t="s">
        <v>2724</v>
      </c>
      <c r="D3" s="4" t="str">
        <f t="shared" si="1"/>
        <v>{"valorA":"recomendo","valorB":1}</v>
      </c>
      <c r="E3" s="8" t="str">
        <f t="shared" si="2"/>
        <v>recomendo</v>
      </c>
      <c r="F3" s="8" t="str">
        <f>IFERROR(__xludf.DUMMYFUNCTION("""COMPUTED_VALUE"""),"recomendo")</f>
        <v>recomendo</v>
      </c>
      <c r="G3" s="8" t="str">
        <f t="shared" si="3"/>
        <v>1</v>
      </c>
      <c r="H3" s="9">
        <f t="shared" si="4"/>
        <v>1</v>
      </c>
      <c r="I3" s="10">
        <f>IFERROR(__xludf.DUMMYFUNCTION("MAX(FILTER($H:$H,$E:$E=F3))"),3.0)</f>
        <v>3</v>
      </c>
    </row>
    <row r="4">
      <c r="A4" s="4"/>
      <c r="C4" s="4" t="s">
        <v>2647</v>
      </c>
      <c r="D4" s="4" t="str">
        <f t="shared" si="1"/>
        <v>{"valorA":"a","valorB":1}</v>
      </c>
      <c r="E4" s="8" t="str">
        <f t="shared" si="2"/>
        <v>a</v>
      </c>
      <c r="F4" s="8" t="str">
        <f>IFERROR(__xludf.DUMMYFUNCTION("""COMPUTED_VALUE"""),"a")</f>
        <v>a</v>
      </c>
      <c r="G4" s="8" t="str">
        <f t="shared" si="3"/>
        <v>1</v>
      </c>
      <c r="H4" s="9">
        <f t="shared" si="4"/>
        <v>1</v>
      </c>
      <c r="I4" s="10">
        <f>IFERROR(__xludf.DUMMYFUNCTION("MAX(FILTER($H:$H,$E:$E=F4))"),12.0)</f>
        <v>12</v>
      </c>
    </row>
    <row r="5">
      <c r="A5" s="4"/>
      <c r="C5" s="4" t="s">
        <v>3184</v>
      </c>
      <c r="D5" s="4" t="str">
        <f t="shared" si="1"/>
        <v>{"valorA":"casa","valorB":1}</v>
      </c>
      <c r="E5" s="8" t="str">
        <f t="shared" si="2"/>
        <v>casa</v>
      </c>
      <c r="F5" s="8" t="str">
        <f>IFERROR(__xludf.DUMMYFUNCTION("""COMPUTED_VALUE"""),"casa")</f>
        <v>casa</v>
      </c>
      <c r="G5" s="8" t="str">
        <f t="shared" si="3"/>
        <v>1</v>
      </c>
      <c r="H5" s="9">
        <f t="shared" si="4"/>
        <v>1</v>
      </c>
      <c r="I5" s="10">
        <f>IFERROR(__xludf.DUMMYFUNCTION("MAX(FILTER($H:$H,$E:$E=F5))"),2.0)</f>
        <v>2</v>
      </c>
    </row>
    <row r="6">
      <c r="A6" s="4"/>
      <c r="C6" s="4" t="s">
        <v>2639</v>
      </c>
      <c r="D6" s="4" t="str">
        <f t="shared" si="1"/>
        <v>{"valorA":"ótimo","valorB":1}</v>
      </c>
      <c r="E6" s="8" t="str">
        <f t="shared" si="2"/>
        <v>ótimo</v>
      </c>
      <c r="F6" s="8" t="str">
        <f>IFERROR(__xludf.DUMMYFUNCTION("""COMPUTED_VALUE"""),"ótimo")</f>
        <v>ótimo</v>
      </c>
      <c r="G6" s="8" t="str">
        <f t="shared" si="3"/>
        <v>1</v>
      </c>
      <c r="H6" s="9">
        <f t="shared" si="4"/>
        <v>1</v>
      </c>
      <c r="I6" s="10">
        <f>IFERROR(__xludf.DUMMYFUNCTION("MAX(FILTER($H:$H,$E:$E=F6))"),34.0)</f>
        <v>34</v>
      </c>
    </row>
    <row r="7">
      <c r="A7" s="4"/>
      <c r="C7" s="4" t="s">
        <v>3974</v>
      </c>
      <c r="D7" s="4" t="str">
        <f t="shared" si="1"/>
        <v>{"valorA":"eletrônico","valorB":1}</v>
      </c>
      <c r="E7" s="8" t="str">
        <f t="shared" si="2"/>
        <v>eletrônico</v>
      </c>
      <c r="F7" s="8" t="str">
        <f>IFERROR(__xludf.DUMMYFUNCTION("""COMPUTED_VALUE"""),"eletrônico")</f>
        <v>eletrônico</v>
      </c>
      <c r="G7" s="8" t="str">
        <f t="shared" si="3"/>
        <v>1</v>
      </c>
      <c r="H7" s="9">
        <f t="shared" si="4"/>
        <v>1</v>
      </c>
      <c r="I7" s="10">
        <f>IFERROR(__xludf.DUMMYFUNCTION("MAX(FILTER($H:$H,$E:$E=F7))"),1.0)</f>
        <v>1</v>
      </c>
    </row>
    <row r="8">
      <c r="A8" s="4"/>
      <c r="C8" s="4" t="s">
        <v>3325</v>
      </c>
      <c r="D8" s="4" t="str">
        <f t="shared" si="1"/>
        <v>{"valorA":"aparelho","valorB":1}</v>
      </c>
      <c r="E8" s="8" t="str">
        <f t="shared" si="2"/>
        <v>aparelho</v>
      </c>
      <c r="F8" s="8" t="str">
        <f>IFERROR(__xludf.DUMMYFUNCTION("""COMPUTED_VALUE"""),"aparelho")</f>
        <v>aparelho</v>
      </c>
      <c r="G8" s="8" t="str">
        <f t="shared" si="3"/>
        <v>1</v>
      </c>
      <c r="H8" s="9">
        <f t="shared" si="4"/>
        <v>1</v>
      </c>
      <c r="I8" s="10">
        <f>IFERROR(__xludf.DUMMYFUNCTION("MAX(FILTER($H:$H,$E:$E=F8))"),5.0)</f>
        <v>5</v>
      </c>
    </row>
    <row r="9">
      <c r="A9" s="4"/>
      <c r="C9" s="4" t="s">
        <v>12535</v>
      </c>
      <c r="D9" s="4" t="str">
        <f t="shared" si="1"/>
        <v>{"valorA":"eletricista","valorB":1}</v>
      </c>
      <c r="E9" s="8" t="str">
        <f t="shared" si="2"/>
        <v>eletricista</v>
      </c>
      <c r="F9" s="8" t="str">
        <f>IFERROR(__xludf.DUMMYFUNCTION("""COMPUTED_VALUE"""),"eletricista")</f>
        <v>eletricista</v>
      </c>
      <c r="G9" s="8" t="str">
        <f t="shared" si="3"/>
        <v>1</v>
      </c>
      <c r="H9" s="9">
        <f t="shared" si="4"/>
        <v>1</v>
      </c>
      <c r="I9" s="10">
        <f>IFERROR(__xludf.DUMMYFUNCTION("MAX(FILTER($H:$H,$E:$E=F9))"),1.0)</f>
        <v>1</v>
      </c>
    </row>
    <row r="10">
      <c r="A10" s="4"/>
      <c r="C10" s="4" t="s">
        <v>2727</v>
      </c>
      <c r="D10" s="4" t="str">
        <f t="shared" si="1"/>
        <v>{"valorA":"para","valorB":2}</v>
      </c>
      <c r="E10" s="8" t="str">
        <f t="shared" si="2"/>
        <v>para</v>
      </c>
      <c r="F10" s="8" t="str">
        <f>IFERROR(__xludf.DUMMYFUNCTION("""COMPUTED_VALUE"""),"o")</f>
        <v>o</v>
      </c>
      <c r="G10" s="8" t="str">
        <f t="shared" si="3"/>
        <v>2</v>
      </c>
      <c r="H10" s="9">
        <f t="shared" si="4"/>
        <v>2</v>
      </c>
      <c r="I10" s="10">
        <f>IFERROR(__xludf.DUMMYFUNCTION("MAX(FILTER($H:$H,$E:$E=F10))"),16.0)</f>
        <v>16</v>
      </c>
    </row>
    <row r="11">
      <c r="A11" s="4"/>
      <c r="C11" s="4" t="s">
        <v>2652</v>
      </c>
      <c r="D11" s="4" t="str">
        <f t="shared" si="1"/>
        <v>{"valorA":"ótimo","valorB":2}</v>
      </c>
      <c r="E11" s="8" t="str">
        <f t="shared" si="2"/>
        <v>ótimo</v>
      </c>
      <c r="F11" s="8" t="str">
        <f>IFERROR(__xludf.DUMMYFUNCTION("""COMPUTED_VALUE"""),"da")</f>
        <v>da</v>
      </c>
      <c r="G11" s="8" t="str">
        <f t="shared" si="3"/>
        <v>2</v>
      </c>
      <c r="H11" s="9">
        <f t="shared" si="4"/>
        <v>2</v>
      </c>
      <c r="I11" s="10">
        <f>IFERROR(__xludf.DUMMYFUNCTION("MAX(FILTER($H:$H,$E:$E=F11))"),2.0)</f>
        <v>2</v>
      </c>
    </row>
    <row r="12">
      <c r="A12" s="4"/>
      <c r="C12" s="4" t="s">
        <v>2638</v>
      </c>
      <c r="D12" s="4" t="str">
        <f t="shared" si="1"/>
        <v>{"valorA":"o","valorB":1}</v>
      </c>
      <c r="E12" s="8" t="str">
        <f t="shared" si="2"/>
        <v>o</v>
      </c>
      <c r="F12" s="8" t="str">
        <f>IFERROR(__xludf.DUMMYFUNCTION("""COMPUTED_VALUE"""),"minha")</f>
        <v>minha</v>
      </c>
      <c r="G12" s="8" t="str">
        <f t="shared" si="3"/>
        <v>1</v>
      </c>
      <c r="H12" s="9">
        <f t="shared" si="4"/>
        <v>1</v>
      </c>
      <c r="I12" s="10">
        <f>IFERROR(__xludf.DUMMYFUNCTION("MAX(FILTER($H:$H,$E:$E=F12))"),3.0)</f>
        <v>3</v>
      </c>
    </row>
    <row r="13">
      <c r="A13" s="4"/>
      <c r="C13" s="4" t="s">
        <v>2919</v>
      </c>
      <c r="D13" s="4" t="str">
        <f t="shared" si="1"/>
        <v>{"valorA":"da","valorB":1}</v>
      </c>
      <c r="E13" s="8" t="str">
        <f t="shared" si="2"/>
        <v>da</v>
      </c>
      <c r="F13" s="8" t="str">
        <f>IFERROR(__xludf.DUMMYFUNCTION("""COMPUTED_VALUE"""),"valeu")</f>
        <v>valeu</v>
      </c>
      <c r="G13" s="8" t="str">
        <f t="shared" si="3"/>
        <v>1</v>
      </c>
      <c r="H13" s="9">
        <f t="shared" si="4"/>
        <v>1</v>
      </c>
      <c r="I13" s="10">
        <f>IFERROR(__xludf.DUMMYFUNCTION("MAX(FILTER($H:$H,$E:$E=F13))"),4.0)</f>
        <v>4</v>
      </c>
    </row>
    <row r="14">
      <c r="A14" s="4"/>
      <c r="C14" s="4" t="s">
        <v>3853</v>
      </c>
      <c r="D14" s="4" t="str">
        <f t="shared" si="1"/>
        <v>{"valorA":"minha","valorB":1}</v>
      </c>
      <c r="E14" s="8" t="str">
        <f t="shared" si="2"/>
        <v>minha</v>
      </c>
      <c r="F14" s="8" t="str">
        <f>IFERROR(__xludf.DUMMYFUNCTION("""COMPUTED_VALUE"""),"cabelo")</f>
        <v>cabelo</v>
      </c>
      <c r="G14" s="8" t="str">
        <f t="shared" si="3"/>
        <v>1</v>
      </c>
      <c r="H14" s="9">
        <f t="shared" si="4"/>
        <v>1</v>
      </c>
      <c r="I14" s="10">
        <f>IFERROR(__xludf.DUMMYFUNCTION("MAX(FILTER($H:$H,$E:$E=F14))"),3.0)</f>
        <v>3</v>
      </c>
    </row>
    <row r="15">
      <c r="A15" s="4"/>
      <c r="C15" s="4" t="s">
        <v>2660</v>
      </c>
      <c r="D15" s="4" t="str">
        <f t="shared" si="1"/>
        <v>{"valorA":"a","valorB":2}</v>
      </c>
      <c r="E15" s="8" t="str">
        <f t="shared" si="2"/>
        <v>a</v>
      </c>
      <c r="F15" s="8" t="str">
        <f>IFERROR(__xludf.DUMMYFUNCTION("""COMPUTED_VALUE"""),"pena")</f>
        <v>pena</v>
      </c>
      <c r="G15" s="8" t="str">
        <f t="shared" si="3"/>
        <v>2</v>
      </c>
      <c r="H15" s="9">
        <f t="shared" si="4"/>
        <v>2</v>
      </c>
      <c r="I15" s="10">
        <f>IFERROR(__xludf.DUMMYFUNCTION("MAX(FILTER($H:$H,$E:$E=F15))"),5.0)</f>
        <v>5</v>
      </c>
    </row>
    <row r="16">
      <c r="A16" s="4"/>
      <c r="C16" s="4" t="s">
        <v>3037</v>
      </c>
      <c r="D16" s="4" t="str">
        <f t="shared" si="1"/>
        <v>{"valorA":"valeu","valorB":1}</v>
      </c>
      <c r="E16" s="8" t="str">
        <f t="shared" si="2"/>
        <v>valeu</v>
      </c>
      <c r="F16" s="8" t="str">
        <f>IFERROR(__xludf.DUMMYFUNCTION("""COMPUTED_VALUE"""),"cabeçal")</f>
        <v>cabeçal</v>
      </c>
      <c r="G16" s="8" t="str">
        <f t="shared" si="3"/>
        <v>1</v>
      </c>
      <c r="H16" s="9">
        <f t="shared" si="4"/>
        <v>1</v>
      </c>
      <c r="I16" s="10">
        <f>IFERROR(__xludf.DUMMYFUNCTION("MAX(FILTER($H:$H,$E:$E=F16))"),1.0)</f>
        <v>1</v>
      </c>
    </row>
    <row r="17">
      <c r="A17" s="4"/>
      <c r="C17" s="4" t="s">
        <v>3462</v>
      </c>
      <c r="D17" s="4" t="str">
        <f t="shared" si="1"/>
        <v>{"valorA":"cabelo","valorB":1}</v>
      </c>
      <c r="E17" s="8" t="str">
        <f t="shared" si="2"/>
        <v>cabelo</v>
      </c>
      <c r="F17" s="8" t="str">
        <f>IFERROR(__xludf.DUMMYFUNCTION("""COMPUTED_VALUE"""),"revestir")</f>
        <v>revestir</v>
      </c>
      <c r="G17" s="8" t="str">
        <f t="shared" si="3"/>
        <v>1</v>
      </c>
      <c r="H17" s="9">
        <f t="shared" si="4"/>
        <v>1</v>
      </c>
      <c r="I17" s="10">
        <f>IFERROR(__xludf.DUMMYFUNCTION("MAX(FILTER($H:$H,$E:$E=F17))"),1.0)</f>
        <v>1</v>
      </c>
    </row>
    <row r="18">
      <c r="A18" s="4"/>
      <c r="C18" s="4" t="s">
        <v>2649</v>
      </c>
      <c r="D18" s="4" t="str">
        <f t="shared" si="1"/>
        <v>{"valorA":"pena","valorB":1}</v>
      </c>
      <c r="E18" s="8" t="str">
        <f t="shared" si="2"/>
        <v>pena</v>
      </c>
      <c r="F18" s="8" t="str">
        <f>IFERROR(__xludf.DUMMYFUNCTION("""COMPUTED_VALUE"""),"pc")</f>
        <v>pc</v>
      </c>
      <c r="G18" s="8" t="str">
        <f t="shared" si="3"/>
        <v>1</v>
      </c>
      <c r="H18" s="9">
        <f t="shared" si="4"/>
        <v>1</v>
      </c>
      <c r="I18" s="10">
        <f>IFERROR(__xludf.DUMMYFUNCTION("MAX(FILTER($H:$H,$E:$E=F18))"),1.0)</f>
        <v>1</v>
      </c>
    </row>
    <row r="19">
      <c r="A19" s="4"/>
      <c r="C19" s="4" t="s">
        <v>12536</v>
      </c>
      <c r="D19" s="4" t="str">
        <f t="shared" si="1"/>
        <v>{"valorA":"cabeçal","valorB":1}</v>
      </c>
      <c r="E19" s="8" t="str">
        <f t="shared" si="2"/>
        <v>cabeçal</v>
      </c>
      <c r="F19" s="8" t="str">
        <f>IFERROR(__xludf.DUMMYFUNCTION("""COMPUTED_VALUE"""),"monitor")</f>
        <v>monitor</v>
      </c>
      <c r="G19" s="8" t="str">
        <f t="shared" si="3"/>
        <v>1</v>
      </c>
      <c r="H19" s="9">
        <f t="shared" si="4"/>
        <v>1</v>
      </c>
      <c r="I19" s="10">
        <f>IFERROR(__xludf.DUMMYFUNCTION("MAX(FILTER($H:$H,$E:$E=F19))"),2.0)</f>
        <v>2</v>
      </c>
    </row>
    <row r="20">
      <c r="A20" s="4"/>
      <c r="C20" s="4" t="s">
        <v>12537</v>
      </c>
      <c r="D20" s="4" t="str">
        <f t="shared" si="1"/>
        <v>{"valorA":"revestir","valorB":1}</v>
      </c>
      <c r="E20" s="8" t="str">
        <f t="shared" si="2"/>
        <v>revestir</v>
      </c>
      <c r="F20" s="8" t="str">
        <f>IFERROR(__xludf.DUMMYFUNCTION("""COMPUTED_VALUE"""),"perfeitamente")</f>
        <v>perfeitamente</v>
      </c>
      <c r="G20" s="8" t="str">
        <f t="shared" si="3"/>
        <v>1</v>
      </c>
      <c r="H20" s="9">
        <f t="shared" si="4"/>
        <v>1</v>
      </c>
      <c r="I20" s="10">
        <f>IFERROR(__xludf.DUMMYFUNCTION("MAX(FILTER($H:$H,$E:$E=F20))"),5.0)</f>
        <v>5</v>
      </c>
    </row>
    <row r="21">
      <c r="A21" s="4"/>
      <c r="C21" s="4" t="s">
        <v>12538</v>
      </c>
      <c r="D21" s="4" t="str">
        <f t="shared" si="1"/>
        <v>{"valorA":"pc","valorB":1}</v>
      </c>
      <c r="E21" s="8" t="str">
        <f t="shared" si="2"/>
        <v>pc</v>
      </c>
      <c r="F21" s="8" t="str">
        <f>IFERROR(__xludf.DUMMYFUNCTION("""COMPUTED_VALUE"""),"funciona")</f>
        <v>funciona</v>
      </c>
      <c r="G21" s="8" t="str">
        <f t="shared" si="3"/>
        <v>1</v>
      </c>
      <c r="H21" s="9">
        <f t="shared" si="4"/>
        <v>1</v>
      </c>
      <c r="I21" s="10">
        <f>IFERROR(__xludf.DUMMYFUNCTION("MAX(FILTER($H:$H,$E:$E=F21))"),11.0)</f>
        <v>11</v>
      </c>
    </row>
    <row r="22">
      <c r="A22" s="4"/>
      <c r="C22" s="4" t="s">
        <v>3704</v>
      </c>
      <c r="D22" s="4" t="str">
        <f t="shared" si="1"/>
        <v>{"valorA":"monitor","valorB":1}</v>
      </c>
      <c r="E22" s="8" t="str">
        <f t="shared" si="2"/>
        <v>monitor</v>
      </c>
      <c r="F22" s="8" t="str">
        <f>IFERROR(__xludf.DUMMYFUNCTION("""COMPUTED_VALUE"""),"automático")</f>
        <v>automático</v>
      </c>
      <c r="G22" s="8" t="str">
        <f t="shared" si="3"/>
        <v>1</v>
      </c>
      <c r="H22" s="9">
        <f t="shared" si="4"/>
        <v>1</v>
      </c>
      <c r="I22" s="10">
        <f>IFERROR(__xludf.DUMMYFUNCTION("MAX(FILTER($H:$H,$E:$E=F22))"),2.0)</f>
        <v>2</v>
      </c>
    </row>
    <row r="23">
      <c r="A23" s="4"/>
      <c r="C23" s="4" t="s">
        <v>2653</v>
      </c>
      <c r="D23" s="4" t="str">
        <f t="shared" si="1"/>
        <v>{"valorA":"ótimo","valorB":3}</v>
      </c>
      <c r="E23" s="8" t="str">
        <f t="shared" si="2"/>
        <v>ótimo</v>
      </c>
      <c r="F23" s="8" t="str">
        <f>IFERROR(__xludf.DUMMYFUNCTION("""COMPUTED_VALUE"""),"tostador")</f>
        <v>tostador</v>
      </c>
      <c r="G23" s="8" t="str">
        <f t="shared" si="3"/>
        <v>3</v>
      </c>
      <c r="H23" s="9">
        <f t="shared" si="4"/>
        <v>3</v>
      </c>
      <c r="I23" s="10">
        <f>IFERROR(__xludf.DUMMYFUNCTION("MAX(FILTER($H:$H,$E:$E=F23))"),1.0)</f>
        <v>1</v>
      </c>
    </row>
    <row r="24">
      <c r="A24" s="4"/>
      <c r="C24" s="4" t="s">
        <v>2646</v>
      </c>
      <c r="D24" s="4" t="str">
        <f t="shared" si="1"/>
        <v>{"valorA":"perfeitamente","valorB":1}</v>
      </c>
      <c r="E24" s="8" t="str">
        <f t="shared" si="2"/>
        <v>perfeitamente</v>
      </c>
      <c r="F24" s="8" t="str">
        <f>IFERROR(__xludf.DUMMYFUNCTION("""COMPUTED_VALUE"""),"facil")</f>
        <v>facil</v>
      </c>
      <c r="G24" s="8" t="str">
        <f t="shared" si="3"/>
        <v>1</v>
      </c>
      <c r="H24" s="9">
        <f t="shared" si="4"/>
        <v>1</v>
      </c>
      <c r="I24" s="10">
        <f>IFERROR(__xludf.DUMMYFUNCTION("MAX(FILTER($H:$H,$E:$E=F24))"),1.0)</f>
        <v>1</v>
      </c>
    </row>
    <row r="25">
      <c r="A25" s="4"/>
      <c r="C25" s="4" t="s">
        <v>2624</v>
      </c>
      <c r="D25" s="4" t="str">
        <f t="shared" si="1"/>
        <v>{"valorA":"funciona","valorB":1}</v>
      </c>
      <c r="E25" s="8" t="str">
        <f t="shared" si="2"/>
        <v>funciona</v>
      </c>
      <c r="F25" s="8" t="str">
        <f>IFERROR(__xludf.DUMMYFUNCTION("""COMPUTED_VALUE"""),"super")</f>
        <v>super</v>
      </c>
      <c r="G25" s="8" t="str">
        <f t="shared" si="3"/>
        <v>1</v>
      </c>
      <c r="H25" s="9">
        <f t="shared" si="4"/>
        <v>1</v>
      </c>
      <c r="I25" s="10">
        <f>IFERROR(__xludf.DUMMYFUNCTION("MAX(FILTER($H:$H,$E:$E=F25))"),4.0)</f>
        <v>4</v>
      </c>
    </row>
    <row r="26">
      <c r="A26" s="4"/>
      <c r="C26" s="4" t="s">
        <v>12539</v>
      </c>
      <c r="D26" s="4" t="str">
        <f t="shared" si="1"/>
        <v>{"valorA":"automático","valorB":1}</v>
      </c>
      <c r="E26" s="8" t="str">
        <f t="shared" si="2"/>
        <v>automático</v>
      </c>
      <c r="F26" s="8" t="str">
        <f>IFERROR(__xludf.DUMMYFUNCTION("""COMPUTED_VALUE"""),"de")</f>
        <v>de</v>
      </c>
      <c r="G26" s="8" t="str">
        <f t="shared" si="3"/>
        <v>1</v>
      </c>
      <c r="H26" s="9">
        <f t="shared" si="4"/>
        <v>1</v>
      </c>
      <c r="I26" s="10">
        <f>IFERROR(__xludf.DUMMYFUNCTION("MAX(FILTER($H:$H,$E:$E=F26))"),19.0)</f>
        <v>19</v>
      </c>
    </row>
    <row r="27">
      <c r="A27" s="4"/>
      <c r="C27" s="4" t="s">
        <v>12540</v>
      </c>
      <c r="D27" s="4" t="str">
        <f t="shared" si="1"/>
        <v>{"valorA":"tostador","valorB":1}</v>
      </c>
      <c r="E27" s="8" t="str">
        <f t="shared" si="2"/>
        <v>tostador</v>
      </c>
      <c r="F27" s="8" t="str">
        <f>IFERROR(__xludf.DUMMYFUNCTION("""COMPUTED_VALUE"""),"usar")</f>
        <v>usar</v>
      </c>
      <c r="G27" s="8" t="str">
        <f t="shared" si="3"/>
        <v>1</v>
      </c>
      <c r="H27" s="9">
        <f t="shared" si="4"/>
        <v>1</v>
      </c>
      <c r="I27" s="10">
        <f>IFERROR(__xludf.DUMMYFUNCTION("MAX(FILTER($H:$H,$E:$E=F27))"),4.0)</f>
        <v>4</v>
      </c>
    </row>
    <row r="28">
      <c r="A28" s="4"/>
      <c r="C28" s="4" t="s">
        <v>2657</v>
      </c>
      <c r="D28" s="4" t="str">
        <f t="shared" si="1"/>
        <v>{"valorA":"ótimo","valorB":4}</v>
      </c>
      <c r="E28" s="8" t="str">
        <f t="shared" si="2"/>
        <v>ótimo</v>
      </c>
      <c r="F28" s="8" t="str">
        <f>IFERROR(__xludf.DUMMYFUNCTION("""COMPUTED_VALUE"""),"lavador")</f>
        <v>lavador</v>
      </c>
      <c r="G28" s="8" t="str">
        <f t="shared" si="3"/>
        <v>4</v>
      </c>
      <c r="H28" s="9">
        <f t="shared" si="4"/>
        <v>4</v>
      </c>
      <c r="I28" s="10">
        <f>IFERROR(__xludf.DUMMYFUNCTION("MAX(FILTER($H:$H,$E:$E=F28))"),5.0)</f>
        <v>5</v>
      </c>
    </row>
    <row r="29">
      <c r="A29" s="4"/>
      <c r="C29" s="4" t="s">
        <v>7055</v>
      </c>
      <c r="D29" s="4" t="str">
        <f t="shared" si="1"/>
        <v>{"valorA":"facil","valorB":1}</v>
      </c>
      <c r="E29" s="8" t="str">
        <f t="shared" si="2"/>
        <v>facil</v>
      </c>
      <c r="F29" s="8" t="str">
        <f>IFERROR(__xludf.DUMMYFUNCTION("""COMPUTED_VALUE"""),"comprado")</f>
        <v>comprado</v>
      </c>
      <c r="G29" s="8" t="str">
        <f t="shared" si="3"/>
        <v>1</v>
      </c>
      <c r="H29" s="9">
        <f t="shared" si="4"/>
        <v>1</v>
      </c>
      <c r="I29" s="10">
        <f>IFERROR(__xludf.DUMMYFUNCTION("MAX(FILTER($H:$H,$E:$E=F29))"),1.0)</f>
        <v>1</v>
      </c>
    </row>
    <row r="30">
      <c r="A30" s="4"/>
      <c r="C30" s="4" t="s">
        <v>3056</v>
      </c>
      <c r="D30" s="4" t="str">
        <f t="shared" si="1"/>
        <v>{"valorA":"super","valorB":1}</v>
      </c>
      <c r="E30" s="8" t="str">
        <f t="shared" si="2"/>
        <v>super</v>
      </c>
      <c r="F30" s="8" t="str">
        <f>IFERROR(__xludf.DUMMYFUNCTION("""COMPUTED_VALUE"""),"óptimo")</f>
        <v>óptimo</v>
      </c>
      <c r="G30" s="8" t="str">
        <f t="shared" si="3"/>
        <v>1</v>
      </c>
      <c r="H30" s="9">
        <f t="shared" si="4"/>
        <v>1</v>
      </c>
      <c r="I30" s="10">
        <f>IFERROR(__xludf.DUMMYFUNCTION("MAX(FILTER($H:$H,$E:$E=F30))"),3.0)</f>
        <v>3</v>
      </c>
    </row>
    <row r="31">
      <c r="A31" s="4"/>
      <c r="C31" s="4" t="s">
        <v>2680</v>
      </c>
      <c r="D31" s="4" t="str">
        <f t="shared" si="1"/>
        <v>{"valorA":"de","valorB":1}</v>
      </c>
      <c r="E31" s="8" t="str">
        <f t="shared" si="2"/>
        <v>de</v>
      </c>
      <c r="F31" s="8" t="str">
        <f>IFERROR(__xludf.DUMMYFUNCTION("""COMPUTED_VALUE"""),"ontem")</f>
        <v>ontem</v>
      </c>
      <c r="G31" s="8" t="str">
        <f t="shared" si="3"/>
        <v>1</v>
      </c>
      <c r="H31" s="9">
        <f t="shared" si="4"/>
        <v>1</v>
      </c>
      <c r="I31" s="10">
        <f>IFERROR(__xludf.DUMMYFUNCTION("MAX(FILTER($H:$H,$E:$E=F31))"),2.0)</f>
        <v>2</v>
      </c>
    </row>
    <row r="32">
      <c r="A32" s="4"/>
      <c r="C32" s="4" t="s">
        <v>2681</v>
      </c>
      <c r="D32" s="4" t="str">
        <f t="shared" si="1"/>
        <v>{"valorA":"usar","valorB":1}</v>
      </c>
      <c r="E32" s="8" t="str">
        <f t="shared" si="2"/>
        <v>usar</v>
      </c>
      <c r="F32" s="8" t="str">
        <f>IFERROR(__xludf.DUMMYFUNCTION("""COMPUTED_VALUE"""),"bem")</f>
        <v>bem</v>
      </c>
      <c r="G32" s="8" t="str">
        <f t="shared" si="3"/>
        <v>1</v>
      </c>
      <c r="H32" s="9">
        <f t="shared" si="4"/>
        <v>1</v>
      </c>
      <c r="I32" s="10">
        <f>IFERROR(__xludf.DUMMYFUNCTION("MAX(FILTER($H:$H,$E:$E=F32))"),11.0)</f>
        <v>11</v>
      </c>
    </row>
    <row r="33">
      <c r="A33" s="4"/>
      <c r="C33" s="4" t="s">
        <v>3317</v>
      </c>
      <c r="D33" s="4" t="str">
        <f t="shared" si="1"/>
        <v>{"valorA":"lavador","valorB":1}</v>
      </c>
      <c r="E33" s="8" t="str">
        <f t="shared" si="2"/>
        <v>lavador</v>
      </c>
      <c r="F33" s="8" t="str">
        <f>IFERROR(__xludf.DUMMYFUNCTION("""COMPUTED_VALUE"""),"muito")</f>
        <v>muito</v>
      </c>
      <c r="G33" s="8" t="str">
        <f t="shared" si="3"/>
        <v>1</v>
      </c>
      <c r="H33" s="9">
        <f t="shared" si="4"/>
        <v>1</v>
      </c>
      <c r="I33" s="10">
        <f>IFERROR(__xludf.DUMMYFUNCTION("MAX(FILTER($H:$H,$E:$E=F33))"),19.0)</f>
        <v>19</v>
      </c>
    </row>
    <row r="34">
      <c r="A34" s="4"/>
      <c r="C34" s="4" t="s">
        <v>3159</v>
      </c>
      <c r="D34" s="4" t="str">
        <f t="shared" si="1"/>
        <v>{"valorA":"comprado","valorB":1}</v>
      </c>
      <c r="E34" s="8" t="str">
        <f t="shared" si="2"/>
        <v>comprado</v>
      </c>
      <c r="F34" s="8" t="str">
        <f>IFERROR(__xludf.DUMMYFUNCTION("""COMPUTED_VALUE"""),"pratos")</f>
        <v>pratos</v>
      </c>
      <c r="G34" s="8" t="str">
        <f t="shared" si="3"/>
        <v>1</v>
      </c>
      <c r="H34" s="9">
        <f t="shared" si="4"/>
        <v>1</v>
      </c>
      <c r="I34" s="10">
        <f>IFERROR(__xludf.DUMMYFUNCTION("MAX(FILTER($H:$H,$E:$E=F34))"),3.0)</f>
        <v>3</v>
      </c>
    </row>
    <row r="35">
      <c r="A35" s="4"/>
      <c r="C35" s="4" t="s">
        <v>2691</v>
      </c>
      <c r="D35" s="4" t="str">
        <f t="shared" si="1"/>
        <v>{"valorA":"o","valorB":2}</v>
      </c>
      <c r="E35" s="8" t="str">
        <f t="shared" si="2"/>
        <v>o</v>
      </c>
      <c r="F35" s="8" t="str">
        <f>IFERROR(__xludf.DUMMYFUNCTION("""COMPUTED_VALUE"""),"tudo")</f>
        <v>tudo</v>
      </c>
      <c r="G35" s="8" t="str">
        <f t="shared" si="3"/>
        <v>2</v>
      </c>
      <c r="H35" s="9">
        <f t="shared" si="4"/>
        <v>2</v>
      </c>
      <c r="I35" s="10">
        <f>IFERROR(__xludf.DUMMYFUNCTION("MAX(FILTER($H:$H,$E:$E=F35))"),2.0)</f>
        <v>2</v>
      </c>
    </row>
    <row r="36">
      <c r="A36" s="4"/>
      <c r="C36" s="4" t="s">
        <v>3342</v>
      </c>
      <c r="D36" s="4" t="str">
        <f t="shared" si="1"/>
        <v>{"valorA":"óptimo","valorB":1}</v>
      </c>
      <c r="E36" s="8" t="str">
        <f t="shared" si="2"/>
        <v>óptimo</v>
      </c>
      <c r="F36" s="8" t="str">
        <f>IFERROR(__xludf.DUMMYFUNCTION("""COMPUTED_VALUE"""),"sistema")</f>
        <v>sistema</v>
      </c>
      <c r="G36" s="8" t="str">
        <f t="shared" si="3"/>
        <v>1</v>
      </c>
      <c r="H36" s="9">
        <f t="shared" si="4"/>
        <v>1</v>
      </c>
      <c r="I36" s="10">
        <f>IFERROR(__xludf.DUMMYFUNCTION("MAX(FILTER($H:$H,$E:$E=F36))"),3.0)</f>
        <v>3</v>
      </c>
    </row>
    <row r="37">
      <c r="A37" s="4"/>
      <c r="C37" s="4" t="s">
        <v>12541</v>
      </c>
      <c r="D37" s="4" t="str">
        <f t="shared" si="1"/>
        <v>{"valorA":"automático","valorB":2}</v>
      </c>
      <c r="E37" s="8" t="str">
        <f t="shared" si="2"/>
        <v>automático</v>
      </c>
      <c r="F37" s="8" t="str">
        <f>IFERROR(__xludf.DUMMYFUNCTION("""COMPUTED_VALUE"""),"clima")</f>
        <v>clima</v>
      </c>
      <c r="G37" s="8" t="str">
        <f t="shared" si="3"/>
        <v>2</v>
      </c>
      <c r="H37" s="9">
        <f t="shared" si="4"/>
        <v>2</v>
      </c>
      <c r="I37" s="10">
        <f>IFERROR(__xludf.DUMMYFUNCTION("MAX(FILTER($H:$H,$E:$E=F37))"),1.0)</f>
        <v>1</v>
      </c>
    </row>
    <row r="38">
      <c r="A38" s="4"/>
      <c r="C38" s="4" t="s">
        <v>2713</v>
      </c>
      <c r="D38" s="4" t="str">
        <f t="shared" si="1"/>
        <v>{"valorA":"ontem","valorB":1}</v>
      </c>
      <c r="E38" s="8" t="str">
        <f t="shared" si="2"/>
        <v>ontem</v>
      </c>
      <c r="F38" s="8" t="str">
        <f>IFERROR(__xludf.DUMMYFUNCTION("""COMPUTED_VALUE"""),"ar")</f>
        <v>ar</v>
      </c>
      <c r="G38" s="8" t="str">
        <f t="shared" si="3"/>
        <v>1</v>
      </c>
      <c r="H38" s="9">
        <f t="shared" si="4"/>
        <v>1</v>
      </c>
      <c r="I38" s="10">
        <f>IFERROR(__xludf.DUMMYFUNCTION("MAX(FILTER($H:$H,$E:$E=F38))"),1.0)</f>
        <v>1</v>
      </c>
    </row>
    <row r="39">
      <c r="A39" s="4"/>
      <c r="C39" s="4" t="s">
        <v>2678</v>
      </c>
      <c r="D39" s="4" t="str">
        <f t="shared" si="1"/>
        <v>{"valorA":"funciona","valorB":2}</v>
      </c>
      <c r="E39" s="8" t="str">
        <f t="shared" si="2"/>
        <v>funciona</v>
      </c>
      <c r="F39" s="8" t="str">
        <f>IFERROR(__xludf.DUMMYFUNCTION("""COMPUTED_VALUE"""),"quente")</f>
        <v>quente</v>
      </c>
      <c r="G39" s="8" t="str">
        <f t="shared" si="3"/>
        <v>2</v>
      </c>
      <c r="H39" s="9">
        <f t="shared" si="4"/>
        <v>2</v>
      </c>
      <c r="I39" s="10">
        <f>IFERROR(__xludf.DUMMYFUNCTION("MAX(FILTER($H:$H,$E:$E=F39))"),1.0)</f>
        <v>1</v>
      </c>
    </row>
    <row r="40">
      <c r="A40" s="4"/>
      <c r="C40" s="4" t="s">
        <v>2675</v>
      </c>
      <c r="D40" s="4" t="str">
        <f t="shared" si="1"/>
        <v>{"valorA":"bem","valorB":1}</v>
      </c>
      <c r="E40" s="8" t="str">
        <f t="shared" si="2"/>
        <v>bem</v>
      </c>
      <c r="F40" s="8" t="str">
        <f>IFERROR(__xludf.DUMMYFUNCTION("""COMPUTED_VALUE"""),"condicionado")</f>
        <v>condicionado</v>
      </c>
      <c r="G40" s="8" t="str">
        <f t="shared" si="3"/>
        <v>1</v>
      </c>
      <c r="H40" s="9">
        <f t="shared" si="4"/>
        <v>1</v>
      </c>
      <c r="I40" s="10">
        <f>IFERROR(__xludf.DUMMYFUNCTION("MAX(FILTER($H:$H,$E:$E=F40))"),1.0)</f>
        <v>1</v>
      </c>
    </row>
    <row r="41">
      <c r="A41" s="4"/>
      <c r="C41" s="4" t="s">
        <v>2637</v>
      </c>
      <c r="D41" s="4" t="str">
        <f t="shared" si="1"/>
        <v>{"valorA":"muito","valorB":1}</v>
      </c>
      <c r="E41" s="8" t="str">
        <f t="shared" si="2"/>
        <v>muito</v>
      </c>
      <c r="F41" s="8" t="str">
        <f>IFERROR(__xludf.DUMMYFUNCTION("""COMPUTED_VALUE"""),"este")</f>
        <v>este</v>
      </c>
      <c r="G41" s="8" t="str">
        <f t="shared" si="3"/>
        <v>1</v>
      </c>
      <c r="H41" s="9">
        <f t="shared" si="4"/>
        <v>1</v>
      </c>
      <c r="I41" s="10">
        <f>IFERROR(__xludf.DUMMYFUNCTION("MAX(FILTER($H:$H,$E:$E=F41))"),2.0)</f>
        <v>2</v>
      </c>
    </row>
    <row r="42">
      <c r="A42" s="4"/>
      <c r="C42" s="4" t="s">
        <v>2720</v>
      </c>
      <c r="D42" s="4" t="str">
        <f t="shared" si="1"/>
        <v>{"valorA":"de","valorB":2}</v>
      </c>
      <c r="E42" s="8" t="str">
        <f t="shared" si="2"/>
        <v>de</v>
      </c>
      <c r="F42" s="8" t="str">
        <f>IFERROR(__xludf.DUMMYFUNCTION("""COMPUTED_VALUE"""),"produto")</f>
        <v>produto</v>
      </c>
      <c r="G42" s="8" t="str">
        <f t="shared" si="3"/>
        <v>2</v>
      </c>
      <c r="H42" s="9">
        <f t="shared" si="4"/>
        <v>2</v>
      </c>
      <c r="I42" s="10">
        <f>IFERROR(__xludf.DUMMYFUNCTION("MAX(FILTER($H:$H,$E:$E=F42))"),1.0)</f>
        <v>1</v>
      </c>
    </row>
    <row r="43">
      <c r="A43" s="4"/>
      <c r="C43" s="4" t="s">
        <v>2663</v>
      </c>
      <c r="D43" s="4" t="str">
        <f t="shared" si="1"/>
        <v>{"valorA":"muito","valorB":2}</v>
      </c>
      <c r="E43" s="8" t="str">
        <f t="shared" si="2"/>
        <v>muito</v>
      </c>
      <c r="F43" s="8" t="str">
        <f>IFERROR(__xludf.DUMMYFUNCTION("""COMPUTED_VALUE"""),"bom")</f>
        <v>bom</v>
      </c>
      <c r="G43" s="8" t="str">
        <f t="shared" si="3"/>
        <v>2</v>
      </c>
      <c r="H43" s="9">
        <f t="shared" si="4"/>
        <v>2</v>
      </c>
      <c r="I43" s="10">
        <f>IFERROR(__xludf.DUMMYFUNCTION("MAX(FILTER($H:$H,$E:$E=F43))"),4.0)</f>
        <v>4</v>
      </c>
    </row>
    <row r="44">
      <c r="A44" s="4"/>
      <c r="C44" s="4" t="s">
        <v>3321</v>
      </c>
      <c r="D44" s="4" t="str">
        <f t="shared" si="1"/>
        <v>{"valorA":"lavador","valorB":2}</v>
      </c>
      <c r="E44" s="8" t="str">
        <f t="shared" si="2"/>
        <v>lavador</v>
      </c>
      <c r="F44" s="8" t="str">
        <f>IFERROR(__xludf.DUMMYFUNCTION("""COMPUTED_VALUE"""),"ótima")</f>
        <v>ótima</v>
      </c>
      <c r="G44" s="8" t="str">
        <f t="shared" si="3"/>
        <v>2</v>
      </c>
      <c r="H44" s="9">
        <f t="shared" si="4"/>
        <v>2</v>
      </c>
      <c r="I44" s="10">
        <f>IFERROR(__xludf.DUMMYFUNCTION("MAX(FILTER($H:$H,$E:$E=F44))"),12.0)</f>
        <v>12</v>
      </c>
    </row>
    <row r="45">
      <c r="A45" s="4"/>
      <c r="C45" s="4" t="s">
        <v>3319</v>
      </c>
      <c r="D45" s="4" t="str">
        <f t="shared" si="1"/>
        <v>{"valorA":"pratos","valorB":1}</v>
      </c>
      <c r="E45" s="8" t="str">
        <f t="shared" si="2"/>
        <v>pratos</v>
      </c>
      <c r="F45" s="8" t="str">
        <f>IFERROR(__xludf.DUMMYFUNCTION("""COMPUTED_VALUE"""),"cozinhar")</f>
        <v>cozinhar</v>
      </c>
      <c r="G45" s="8" t="str">
        <f t="shared" si="3"/>
        <v>1</v>
      </c>
      <c r="H45" s="9">
        <f t="shared" si="4"/>
        <v>1</v>
      </c>
      <c r="I45" s="10">
        <f>IFERROR(__xludf.DUMMYFUNCTION("MAX(FILTER($H:$H,$E:$E=F45))"),1.0)</f>
        <v>1</v>
      </c>
    </row>
    <row r="46">
      <c r="A46" s="4"/>
      <c r="C46" s="4" t="s">
        <v>2712</v>
      </c>
      <c r="D46" s="4" t="str">
        <f t="shared" si="1"/>
        <v>{"valorA":"funciona","valorB":3}</v>
      </c>
      <c r="E46" s="8" t="str">
        <f t="shared" si="2"/>
        <v>funciona</v>
      </c>
      <c r="F46" s="8" t="str">
        <f>IFERROR(__xludf.DUMMYFUNCTION("""COMPUTED_VALUE"""),"mola")</f>
        <v>mola</v>
      </c>
      <c r="G46" s="8" t="str">
        <f t="shared" si="3"/>
        <v>3</v>
      </c>
      <c r="H46" s="9">
        <f t="shared" si="4"/>
        <v>3</v>
      </c>
      <c r="I46" s="10">
        <f>IFERROR(__xludf.DUMMYFUNCTION("MAX(FILTER($H:$H,$E:$E=F46))"),1.0)</f>
        <v>1</v>
      </c>
    </row>
    <row r="47">
      <c r="A47" s="4"/>
      <c r="C47" s="4" t="s">
        <v>2659</v>
      </c>
      <c r="D47" s="4" t="str">
        <f t="shared" si="1"/>
        <v>{"valorA":"ótimo","valorB":5}</v>
      </c>
      <c r="E47" s="8" t="str">
        <f t="shared" si="2"/>
        <v>ótimo</v>
      </c>
      <c r="F47" s="8" t="str">
        <f>IFERROR(__xludf.DUMMYFUNCTION("""COMPUTED_VALUE"""),"dia")</f>
        <v>dia</v>
      </c>
      <c r="G47" s="8" t="str">
        <f t="shared" si="3"/>
        <v>5</v>
      </c>
      <c r="H47" s="9">
        <f t="shared" si="4"/>
        <v>5</v>
      </c>
      <c r="I47" s="10">
        <f>IFERROR(__xludf.DUMMYFUNCTION("MAX(FILTER($H:$H,$E:$E=F47))"),1.0)</f>
        <v>1</v>
      </c>
    </row>
    <row r="48">
      <c r="A48" s="4"/>
      <c r="C48" s="4" t="s">
        <v>3079</v>
      </c>
      <c r="D48" s="4" t="str">
        <f t="shared" si="1"/>
        <v>{"valorA":"tudo","valorB":1}</v>
      </c>
      <c r="E48" s="8" t="str">
        <f t="shared" si="2"/>
        <v>tudo</v>
      </c>
      <c r="F48" s="8" t="str">
        <f>IFERROR(__xludf.DUMMYFUNCTION("""COMPUTED_VALUE"""),"desde")</f>
        <v>desde</v>
      </c>
      <c r="G48" s="8" t="str">
        <f t="shared" si="3"/>
        <v>1</v>
      </c>
      <c r="H48" s="9">
        <f t="shared" si="4"/>
        <v>1</v>
      </c>
      <c r="I48" s="10">
        <f>IFERROR(__xludf.DUMMYFUNCTION("MAX(FILTER($H:$H,$E:$E=F48))"),3.0)</f>
        <v>3</v>
      </c>
    </row>
    <row r="49">
      <c r="A49" s="4"/>
      <c r="C49" s="4" t="s">
        <v>2731</v>
      </c>
      <c r="D49" s="4" t="str">
        <f t="shared" si="1"/>
        <v>{"valorA":"bem","valorB":2}</v>
      </c>
      <c r="E49" s="8" t="str">
        <f t="shared" si="2"/>
        <v>bem</v>
      </c>
      <c r="F49" s="8" t="str">
        <f>IFERROR(__xludf.DUMMYFUNCTION("""COMPUTED_VALUE"""),"compra")</f>
        <v>compra</v>
      </c>
      <c r="G49" s="8" t="str">
        <f t="shared" si="3"/>
        <v>2</v>
      </c>
      <c r="H49" s="9">
        <f t="shared" si="4"/>
        <v>2</v>
      </c>
      <c r="I49" s="10">
        <f>IFERROR(__xludf.DUMMYFUNCTION("MAX(FILTER($H:$H,$E:$E=F49))"),2.0)</f>
        <v>2</v>
      </c>
    </row>
    <row r="50">
      <c r="A50" s="4"/>
      <c r="C50" s="4" t="s">
        <v>2662</v>
      </c>
      <c r="D50" s="4" t="str">
        <f t="shared" si="1"/>
        <v>{"valorA":"ótimo","valorB":6}</v>
      </c>
      <c r="E50" s="8" t="str">
        <f t="shared" si="2"/>
        <v>ótimo</v>
      </c>
      <c r="F50" s="8" t="str">
        <f>IFERROR(__xludf.DUMMYFUNCTION("""COMPUTED_VALUE"""),"meu")</f>
        <v>meu</v>
      </c>
      <c r="G50" s="8" t="str">
        <f t="shared" si="3"/>
        <v>6</v>
      </c>
      <c r="H50" s="9">
        <f t="shared" si="4"/>
        <v>6</v>
      </c>
      <c r="I50" s="10">
        <f>IFERROR(__xludf.DUMMYFUNCTION("MAX(FILTER($H:$H,$E:$E=F50))"),3.0)</f>
        <v>3</v>
      </c>
    </row>
    <row r="51">
      <c r="A51" s="4"/>
      <c r="C51" s="4" t="s">
        <v>3442</v>
      </c>
      <c r="D51" s="4" t="str">
        <f t="shared" si="1"/>
        <v>{"valorA":"sistema","valorB":1}</v>
      </c>
      <c r="E51" s="8" t="str">
        <f t="shared" si="2"/>
        <v>sistema</v>
      </c>
      <c r="F51" s="8" t="str">
        <f>IFERROR(__xludf.DUMMYFUNCTION("""COMPUTED_VALUE"""),"satisfeita")</f>
        <v>satisfeita</v>
      </c>
      <c r="G51" s="8" t="str">
        <f t="shared" si="3"/>
        <v>1</v>
      </c>
      <c r="H51" s="9">
        <f t="shared" si="4"/>
        <v>1</v>
      </c>
      <c r="I51" s="10">
        <f>IFERROR(__xludf.DUMMYFUNCTION("MAX(FILTER($H:$H,$E:$E=F51))"),1.0)</f>
        <v>1</v>
      </c>
    </row>
    <row r="52">
      <c r="A52" s="4"/>
      <c r="C52" s="4" t="s">
        <v>2736</v>
      </c>
      <c r="D52" s="4" t="str">
        <f t="shared" si="1"/>
        <v>{"valorA":"de","valorB":3}</v>
      </c>
      <c r="E52" s="8" t="str">
        <f t="shared" si="2"/>
        <v>de</v>
      </c>
      <c r="F52" s="8" t="str">
        <f>IFERROR(__xludf.DUMMYFUNCTION("""COMPUTED_VALUE"""),"com")</f>
        <v>com</v>
      </c>
      <c r="G52" s="8" t="str">
        <f t="shared" si="3"/>
        <v>3</v>
      </c>
      <c r="H52" s="9">
        <f t="shared" si="4"/>
        <v>3</v>
      </c>
      <c r="I52" s="10">
        <f>IFERROR(__xludf.DUMMYFUNCTION("MAX(FILTER($H:$H,$E:$E=F52))"),10.0)</f>
        <v>10</v>
      </c>
    </row>
    <row r="53">
      <c r="A53" s="4"/>
      <c r="C53" s="4" t="s">
        <v>12542</v>
      </c>
      <c r="D53" s="4" t="str">
        <f t="shared" si="1"/>
        <v>{"valorA":"clima","valorB":1}</v>
      </c>
      <c r="E53" s="8" t="str">
        <f t="shared" si="2"/>
        <v>clima</v>
      </c>
      <c r="F53" s="8" t="str">
        <f>IFERROR(__xludf.DUMMYFUNCTION("""COMPUTED_VALUE"""),"resultado")</f>
        <v>resultado</v>
      </c>
      <c r="G53" s="8" t="str">
        <f t="shared" si="3"/>
        <v>1</v>
      </c>
      <c r="H53" s="9">
        <f t="shared" si="4"/>
        <v>1</v>
      </c>
      <c r="I53" s="10">
        <f>IFERROR(__xludf.DUMMYFUNCTION("MAX(FILTER($H:$H,$E:$E=F53))"),1.0)</f>
        <v>1</v>
      </c>
    </row>
    <row r="54">
      <c r="A54" s="4"/>
      <c r="C54" s="4" t="s">
        <v>3444</v>
      </c>
      <c r="D54" s="4" t="str">
        <f t="shared" si="1"/>
        <v>{"valorA":"ar","valorB":1}</v>
      </c>
      <c r="E54" s="8" t="str">
        <f t="shared" si="2"/>
        <v>ar</v>
      </c>
      <c r="F54" s="8" t="str">
        <f>IFERROR(__xludf.DUMMYFUNCTION("""COMPUTED_VALUE"""),"pissoado")</f>
        <v>pissoado</v>
      </c>
      <c r="G54" s="8" t="str">
        <f t="shared" si="3"/>
        <v>1</v>
      </c>
      <c r="H54" s="9">
        <f t="shared" si="4"/>
        <v>1</v>
      </c>
      <c r="I54" s="10">
        <f>IFERROR(__xludf.DUMMYFUNCTION("MAX(FILTER($H:$H,$E:$E=F54))"),1.0)</f>
        <v>1</v>
      </c>
    </row>
    <row r="55">
      <c r="A55" s="4"/>
      <c r="C55" s="4" t="s">
        <v>2744</v>
      </c>
      <c r="D55" s="4" t="str">
        <f t="shared" si="1"/>
        <v>{"valorA":"para","valorB":3}</v>
      </c>
      <c r="E55" s="8" t="str">
        <f t="shared" si="2"/>
        <v>para</v>
      </c>
      <c r="F55" s="8" t="str">
        <f>IFERROR(__xludf.DUMMYFUNCTION("""COMPUTED_VALUE"""),"escovadeira")</f>
        <v>escovadeira</v>
      </c>
      <c r="G55" s="8" t="str">
        <f t="shared" si="3"/>
        <v>3</v>
      </c>
      <c r="H55" s="9">
        <f t="shared" si="4"/>
        <v>3</v>
      </c>
      <c r="I55" s="10">
        <f>IFERROR(__xludf.DUMMYFUNCTION("MAX(FILTER($H:$H,$E:$E=F55))"),1.0)</f>
        <v>1</v>
      </c>
    </row>
    <row r="56">
      <c r="A56" s="4"/>
      <c r="C56" s="4" t="s">
        <v>12543</v>
      </c>
      <c r="D56" s="4" t="str">
        <f t="shared" si="1"/>
        <v>{"valorA":"quente","valorB":1}</v>
      </c>
      <c r="E56" s="8" t="str">
        <f t="shared" si="2"/>
        <v>quente</v>
      </c>
      <c r="F56" s="8" t="str">
        <f>IFERROR(__xludf.DUMMYFUNCTION("""COMPUTED_VALUE"""),"extremamente")</f>
        <v>extremamente</v>
      </c>
      <c r="G56" s="8" t="str">
        <f t="shared" si="3"/>
        <v>1</v>
      </c>
      <c r="H56" s="9">
        <f t="shared" si="4"/>
        <v>1</v>
      </c>
      <c r="I56" s="10">
        <f>IFERROR(__xludf.DUMMYFUNCTION("MAX(FILTER($H:$H,$E:$E=F56))"),1.0)</f>
        <v>1</v>
      </c>
    </row>
    <row r="57">
      <c r="A57" s="4"/>
      <c r="C57" s="4" t="s">
        <v>3441</v>
      </c>
      <c r="D57" s="4" t="str">
        <f t="shared" si="1"/>
        <v>{"valorA":"condicionado","valorB":1}</v>
      </c>
      <c r="E57" s="8" t="str">
        <f t="shared" si="2"/>
        <v>condicionado</v>
      </c>
      <c r="F57" s="8" t="str">
        <f>IFERROR(__xludf.DUMMYFUNCTION("""COMPUTED_VALUE"""),"estou")</f>
        <v>estou</v>
      </c>
      <c r="G57" s="8" t="str">
        <f t="shared" si="3"/>
        <v>1</v>
      </c>
      <c r="H57" s="9">
        <f t="shared" si="4"/>
        <v>1</v>
      </c>
      <c r="I57" s="10">
        <f>IFERROR(__xludf.DUMMYFUNCTION("MAX(FILTER($H:$H,$E:$E=F57))"),1.0)</f>
        <v>1</v>
      </c>
    </row>
    <row r="58">
      <c r="A58" s="4"/>
      <c r="C58" s="4" t="s">
        <v>2629</v>
      </c>
      <c r="D58" s="4" t="str">
        <f t="shared" si="1"/>
        <v>{"valorA":"este","valorB":1}</v>
      </c>
      <c r="E58" s="8" t="str">
        <f t="shared" si="2"/>
        <v>este</v>
      </c>
      <c r="F58" s="8" t="str">
        <f>IFERROR(__xludf.DUMMYFUNCTION("""COMPUTED_VALUE"""),"sonoplay")</f>
        <v>sonoplay</v>
      </c>
      <c r="G58" s="8" t="str">
        <f t="shared" si="3"/>
        <v>1</v>
      </c>
      <c r="H58" s="9">
        <f t="shared" si="4"/>
        <v>1</v>
      </c>
      <c r="I58" s="10">
        <f>IFERROR(__xludf.DUMMYFUNCTION("MAX(FILTER($H:$H,$E:$E=F58))"),1.0)</f>
        <v>1</v>
      </c>
    </row>
    <row r="59">
      <c r="A59" s="4"/>
      <c r="C59" s="4" t="s">
        <v>2634</v>
      </c>
      <c r="D59" s="4" t="str">
        <f t="shared" si="1"/>
        <v>{"valorA":"produto","valorB":1}</v>
      </c>
      <c r="E59" s="8" t="str">
        <f t="shared" si="2"/>
        <v>produto</v>
      </c>
      <c r="F59" s="8" t="str">
        <f>IFERROR(__xludf.DUMMYFUNCTION("""COMPUTED_VALUE"""),"esse")</f>
        <v>esse</v>
      </c>
      <c r="G59" s="8" t="str">
        <f t="shared" si="3"/>
        <v>1</v>
      </c>
      <c r="H59" s="9">
        <f t="shared" si="4"/>
        <v>1</v>
      </c>
      <c r="I59" s="10">
        <f>IFERROR(__xludf.DUMMYFUNCTION("MAX(FILTER($H:$H,$E:$E=F59))"),2.0)</f>
        <v>2</v>
      </c>
    </row>
    <row r="60">
      <c r="A60" s="4"/>
      <c r="C60" s="4" t="s">
        <v>2671</v>
      </c>
      <c r="D60" s="4" t="str">
        <f t="shared" si="1"/>
        <v>{"valorA":"ótimo","valorB":7}</v>
      </c>
      <c r="E60" s="8" t="str">
        <f t="shared" si="2"/>
        <v>ótimo</v>
      </c>
      <c r="F60" s="8" t="str">
        <f>IFERROR(__xludf.DUMMYFUNCTION("""COMPUTED_VALUE"""),"refrigerador")</f>
        <v>refrigerador</v>
      </c>
      <c r="G60" s="8" t="str">
        <f t="shared" si="3"/>
        <v>7</v>
      </c>
      <c r="H60" s="9">
        <f t="shared" si="4"/>
        <v>7</v>
      </c>
      <c r="I60" s="10">
        <f>IFERROR(__xludf.DUMMYFUNCTION("MAX(FILTER($H:$H,$E:$E=F60))"),3.0)</f>
        <v>3</v>
      </c>
    </row>
    <row r="61">
      <c r="A61" s="4"/>
      <c r="C61" s="4" t="s">
        <v>2705</v>
      </c>
      <c r="D61" s="4" t="str">
        <f t="shared" si="1"/>
        <v>{"valorA":"muito","valorB":3}</v>
      </c>
      <c r="E61" s="8" t="str">
        <f t="shared" si="2"/>
        <v>muito</v>
      </c>
      <c r="F61" s="8" t="str">
        <f>IFERROR(__xludf.DUMMYFUNCTION("""COMPUTED_VALUE"""),"e")</f>
        <v>e</v>
      </c>
      <c r="G61" s="8" t="str">
        <f t="shared" si="3"/>
        <v>3</v>
      </c>
      <c r="H61" s="9">
        <f t="shared" si="4"/>
        <v>3</v>
      </c>
      <c r="I61" s="10">
        <f>IFERROR(__xludf.DUMMYFUNCTION("MAX(FILTER($H:$H,$E:$E=F61))"),6.0)</f>
        <v>6</v>
      </c>
    </row>
    <row r="62">
      <c r="A62" s="4"/>
      <c r="C62" s="4" t="s">
        <v>3023</v>
      </c>
      <c r="D62" s="4" t="str">
        <f t="shared" si="1"/>
        <v>{"valorA":"bom","valorB":1}</v>
      </c>
      <c r="E62" s="8" t="str">
        <f t="shared" si="2"/>
        <v>bom</v>
      </c>
      <c r="F62" s="8" t="str">
        <f>IFERROR(__xludf.DUMMYFUNCTION("""COMPUTED_VALUE"""),"estético")</f>
        <v>estético</v>
      </c>
      <c r="G62" s="8" t="str">
        <f t="shared" si="3"/>
        <v>1</v>
      </c>
      <c r="H62" s="9">
        <f t="shared" si="4"/>
        <v>1</v>
      </c>
      <c r="I62" s="10">
        <f>IFERROR(__xludf.DUMMYFUNCTION("MAX(FILTER($H:$H,$E:$E=F62))"),1.0)</f>
        <v>1</v>
      </c>
    </row>
    <row r="63">
      <c r="A63" s="4"/>
      <c r="C63" s="4" t="s">
        <v>2781</v>
      </c>
      <c r="D63" s="4" t="str">
        <f t="shared" si="1"/>
        <v>{"valorA":"o","valorB":3}</v>
      </c>
      <c r="E63" s="8" t="str">
        <f t="shared" si="2"/>
        <v>o</v>
      </c>
      <c r="F63" s="8" t="str">
        <f>IFERROR(__xludf.DUMMYFUNCTION("""COMPUTED_VALUE"""),"sala")</f>
        <v>sala</v>
      </c>
      <c r="G63" s="8" t="str">
        <f t="shared" si="3"/>
        <v>3</v>
      </c>
      <c r="H63" s="9">
        <f t="shared" si="4"/>
        <v>3</v>
      </c>
      <c r="I63" s="10">
        <f>IFERROR(__xludf.DUMMYFUNCTION("MAX(FILTER($H:$H,$E:$E=F63))"),1.0)</f>
        <v>1</v>
      </c>
    </row>
    <row r="64">
      <c r="A64" s="4"/>
      <c r="C64" s="4" t="s">
        <v>3093</v>
      </c>
      <c r="D64" s="4" t="str">
        <f t="shared" si="1"/>
        <v>{"valorA":"ótima","valorB":1}</v>
      </c>
      <c r="E64" s="8" t="str">
        <f t="shared" si="2"/>
        <v>ótima</v>
      </c>
      <c r="F64" s="8" t="str">
        <f>IFERROR(__xludf.DUMMYFUNCTION("""COMPUTED_VALUE"""),"na")</f>
        <v>na</v>
      </c>
      <c r="G64" s="8" t="str">
        <f t="shared" si="3"/>
        <v>1</v>
      </c>
      <c r="H64" s="9">
        <f t="shared" si="4"/>
        <v>1</v>
      </c>
      <c r="I64" s="10">
        <f>IFERROR(__xludf.DUMMYFUNCTION("MAX(FILTER($H:$H,$E:$E=F64))"),1.0)</f>
        <v>1</v>
      </c>
    </row>
    <row r="65">
      <c r="A65" s="4"/>
      <c r="C65" s="4" t="s">
        <v>2782</v>
      </c>
      <c r="D65" s="4" t="str">
        <f t="shared" si="1"/>
        <v>{"valorA":"bem","valorB":3}</v>
      </c>
      <c r="E65" s="8" t="str">
        <f t="shared" si="2"/>
        <v>bem</v>
      </c>
      <c r="F65" s="8" t="str">
        <f>IFERROR(__xludf.DUMMYFUNCTION("""COMPUTED_VALUE"""),"está")</f>
        <v>está</v>
      </c>
      <c r="G65" s="8" t="str">
        <f t="shared" si="3"/>
        <v>3</v>
      </c>
      <c r="H65" s="9">
        <f t="shared" si="4"/>
        <v>3</v>
      </c>
      <c r="I65" s="10">
        <f>IFERROR(__xludf.DUMMYFUNCTION("MAX(FILTER($H:$H,$E:$E=F65))"),1.0)</f>
        <v>1</v>
      </c>
    </row>
    <row r="66">
      <c r="A66" s="4"/>
      <c r="C66" s="4" t="s">
        <v>2738</v>
      </c>
      <c r="D66" s="4" t="str">
        <f t="shared" si="1"/>
        <v>{"valorA":"de","valorB":4}</v>
      </c>
      <c r="E66" s="8" t="str">
        <f t="shared" si="2"/>
        <v>de</v>
      </c>
      <c r="F66" s="8" t="str">
        <f>IFERROR(__xludf.DUMMYFUNCTION("""COMPUTED_VALUE"""),"comecei")</f>
        <v>comecei</v>
      </c>
      <c r="G66" s="8" t="str">
        <f t="shared" si="3"/>
        <v>4</v>
      </c>
      <c r="H66" s="9">
        <f t="shared" si="4"/>
        <v>4</v>
      </c>
      <c r="I66" s="10">
        <f>IFERROR(__xludf.DUMMYFUNCTION("MAX(FILTER($H:$H,$E:$E=F66))"),1.0)</f>
        <v>1</v>
      </c>
    </row>
    <row r="67">
      <c r="A67" s="4"/>
      <c r="C67" s="4" t="s">
        <v>12544</v>
      </c>
      <c r="D67" s="4" t="str">
        <f t="shared" si="1"/>
        <v>{"valorA":"cozinhar","valorB":1}</v>
      </c>
      <c r="E67" s="8" t="str">
        <f t="shared" si="2"/>
        <v>cozinhar</v>
      </c>
      <c r="F67" s="8" t="str">
        <f>IFERROR(__xludf.DUMMYFUNCTION("""COMPUTED_VALUE"""),"usálo")</f>
        <v>usálo</v>
      </c>
      <c r="G67" s="8" t="str">
        <f t="shared" si="3"/>
        <v>1</v>
      </c>
      <c r="H67" s="9">
        <f t="shared" si="4"/>
        <v>1</v>
      </c>
      <c r="I67" s="10">
        <f>IFERROR(__xludf.DUMMYFUNCTION("MAX(FILTER($H:$H,$E:$E=F67))"),1.0)</f>
        <v>1</v>
      </c>
    </row>
    <row r="68">
      <c r="A68" s="4"/>
      <c r="C68" s="4" t="s">
        <v>2785</v>
      </c>
      <c r="D68" s="4" t="str">
        <f t="shared" si="1"/>
        <v>{"valorA":"muito","valorB":4}</v>
      </c>
      <c r="E68" s="8" t="str">
        <f t="shared" si="2"/>
        <v>muito</v>
      </c>
      <c r="F68" s="8" t="str">
        <f>IFERROR(__xludf.DUMMYFUNCTION("""COMPUTED_VALUE"""),"que")</f>
        <v>que</v>
      </c>
      <c r="G68" s="8" t="str">
        <f t="shared" si="3"/>
        <v>4</v>
      </c>
      <c r="H68" s="9">
        <f t="shared" si="4"/>
        <v>4</v>
      </c>
      <c r="I68" s="10">
        <f>IFERROR(__xludf.DUMMYFUNCTION("MAX(FILTER($H:$H,$E:$E=F68))"),6.0)</f>
        <v>6</v>
      </c>
    </row>
    <row r="69">
      <c r="A69" s="4"/>
      <c r="C69" s="4" t="s">
        <v>2715</v>
      </c>
      <c r="D69" s="4" t="str">
        <f t="shared" si="1"/>
        <v>{"valorA":"funciona","valorB":4}</v>
      </c>
      <c r="E69" s="8" t="str">
        <f t="shared" si="2"/>
        <v>funciona</v>
      </c>
      <c r="F69" s="8" t="str">
        <f>IFERROR(__xludf.DUMMYFUNCTION("""COMPUTED_VALUE"""),"eu")</f>
        <v>eu</v>
      </c>
      <c r="G69" s="8" t="str">
        <f t="shared" si="3"/>
        <v>4</v>
      </c>
      <c r="H69" s="9">
        <f t="shared" si="4"/>
        <v>4</v>
      </c>
      <c r="I69" s="10">
        <f>IFERROR(__xludf.DUMMYFUNCTION("MAX(FILTER($H:$H,$E:$E=F69))"),3.0)</f>
        <v>3</v>
      </c>
    </row>
    <row r="70">
      <c r="A70" s="4"/>
      <c r="C70" s="4" t="s">
        <v>12545</v>
      </c>
      <c r="D70" s="4" t="str">
        <f t="shared" si="1"/>
        <v>{"valorA":"mola","valorB":1}</v>
      </c>
      <c r="E70" s="8" t="str">
        <f t="shared" si="2"/>
        <v>mola</v>
      </c>
      <c r="F70" s="8" t="str">
        <f>IFERROR(__xludf.DUMMYFUNCTION("""COMPUTED_VALUE"""),"segurança")</f>
        <v>segurança</v>
      </c>
      <c r="G70" s="8" t="str">
        <f t="shared" si="3"/>
        <v>1</v>
      </c>
      <c r="H70" s="9">
        <f t="shared" si="4"/>
        <v>1</v>
      </c>
      <c r="I70" s="10">
        <f>IFERROR(__xludf.DUMMYFUNCTION("MAX(FILTER($H:$H,$E:$E=F70))"),1.0)</f>
        <v>1</v>
      </c>
    </row>
    <row r="71">
      <c r="A71" s="4"/>
      <c r="C71" s="4" t="s">
        <v>2673</v>
      </c>
      <c r="D71" s="4" t="str">
        <f t="shared" si="1"/>
        <v>{"valorA":"ótimo","valorB":8}</v>
      </c>
      <c r="E71" s="8" t="str">
        <f t="shared" si="2"/>
        <v>ótimo</v>
      </c>
      <c r="F71" s="8" t="str">
        <f>IFERROR(__xludf.DUMMYFUNCTION("""COMPUTED_VALUE"""),"computador")</f>
        <v>computador</v>
      </c>
      <c r="G71" s="8" t="str">
        <f t="shared" si="3"/>
        <v>8</v>
      </c>
      <c r="H71" s="9">
        <f t="shared" si="4"/>
        <v>8</v>
      </c>
      <c r="I71" s="10">
        <f>IFERROR(__xludf.DUMMYFUNCTION("MAX(FILTER($H:$H,$E:$E=F71))"),3.0)</f>
        <v>3</v>
      </c>
    </row>
    <row r="72">
      <c r="A72" s="4"/>
      <c r="C72" s="4" t="s">
        <v>2756</v>
      </c>
      <c r="D72" s="4" t="str">
        <f t="shared" si="1"/>
        <v>{"valorA":"funciona","valorB":5}</v>
      </c>
      <c r="E72" s="8" t="str">
        <f t="shared" si="2"/>
        <v>funciona</v>
      </c>
      <c r="F72" s="8" t="str">
        <f>IFERROR(__xludf.DUMMYFUNCTION("""COMPUTED_VALUE"""),"cortetrilho")</f>
        <v>cortetrilho</v>
      </c>
      <c r="G72" s="8" t="str">
        <f t="shared" si="3"/>
        <v>5</v>
      </c>
      <c r="H72" s="9">
        <f t="shared" si="4"/>
        <v>5</v>
      </c>
      <c r="I72" s="10">
        <f>IFERROR(__xludf.DUMMYFUNCTION("MAX(FILTER($H:$H,$E:$E=F72))"),1.0)</f>
        <v>1</v>
      </c>
    </row>
    <row r="73">
      <c r="A73" s="4"/>
      <c r="C73" s="4" t="s">
        <v>3327</v>
      </c>
      <c r="D73" s="4" t="str">
        <f t="shared" si="1"/>
        <v>{"valorA":"aparelho","valorB":2}</v>
      </c>
      <c r="E73" s="8" t="str">
        <f t="shared" si="2"/>
        <v>aparelho</v>
      </c>
      <c r="F73" s="8" t="str">
        <f>IFERROR(__xludf.DUMMYFUNCTION("""COMPUTED_VALUE"""),"achei")</f>
        <v>achei</v>
      </c>
      <c r="G73" s="8" t="str">
        <f t="shared" si="3"/>
        <v>2</v>
      </c>
      <c r="H73" s="9">
        <f t="shared" si="4"/>
        <v>2</v>
      </c>
      <c r="I73" s="10">
        <f>IFERROR(__xludf.DUMMYFUNCTION("MAX(FILTER($H:$H,$E:$E=F73))"),1.0)</f>
        <v>1</v>
      </c>
    </row>
    <row r="74">
      <c r="A74" s="4"/>
      <c r="C74" s="4" t="s">
        <v>2792</v>
      </c>
      <c r="D74" s="4" t="str">
        <f t="shared" si="1"/>
        <v>{"valorA":"muito","valorB":5}</v>
      </c>
      <c r="E74" s="8" t="str">
        <f t="shared" si="2"/>
        <v>muito</v>
      </c>
      <c r="F74" s="8" t="str">
        <f>IFERROR(__xludf.DUMMYFUNCTION("""COMPUTED_VALUE"""),"antiga")</f>
        <v>antiga</v>
      </c>
      <c r="G74" s="8" t="str">
        <f t="shared" si="3"/>
        <v>5</v>
      </c>
      <c r="H74" s="9">
        <f t="shared" si="4"/>
        <v>5</v>
      </c>
      <c r="I74" s="10">
        <f>IFERROR(__xludf.DUMMYFUNCTION("MAX(FILTER($H:$H,$E:$E=F74))"),1.0)</f>
        <v>1</v>
      </c>
    </row>
    <row r="75">
      <c r="A75" s="4"/>
      <c r="C75" s="4" t="s">
        <v>3894</v>
      </c>
      <c r="D75" s="4" t="str">
        <f t="shared" si="1"/>
        <v>{"valorA":"dia","valorB":1}</v>
      </c>
      <c r="E75" s="8" t="str">
        <f t="shared" si="2"/>
        <v>dia</v>
      </c>
      <c r="F75" s="8" t="str">
        <f>IFERROR(__xludf.DUMMYFUNCTION("""COMPUTED_VALUE"""),"consome")</f>
        <v>consome</v>
      </c>
      <c r="G75" s="8" t="str">
        <f t="shared" si="3"/>
        <v>1</v>
      </c>
      <c r="H75" s="9">
        <f t="shared" si="4"/>
        <v>1</v>
      </c>
      <c r="I75" s="10">
        <f>IFERROR(__xludf.DUMMYFUNCTION("MAX(FILTER($H:$H,$E:$E=F75))"),1.0)</f>
        <v>1</v>
      </c>
    </row>
    <row r="76">
      <c r="A76" s="4"/>
      <c r="C76" s="4" t="s">
        <v>3392</v>
      </c>
      <c r="D76" s="4" t="str">
        <f t="shared" si="1"/>
        <v>{"valorA":"desde","valorB":1}</v>
      </c>
      <c r="E76" s="8" t="str">
        <f t="shared" si="2"/>
        <v>desde</v>
      </c>
      <c r="F76" s="8" t="str">
        <f>IFERROR(__xludf.DUMMYFUNCTION("""COMPUTED_VALUE"""),"do")</f>
        <v>do</v>
      </c>
      <c r="G76" s="8" t="str">
        <f t="shared" si="3"/>
        <v>1</v>
      </c>
      <c r="H76" s="9">
        <f t="shared" si="4"/>
        <v>1</v>
      </c>
      <c r="I76" s="10">
        <f>IFERROR(__xludf.DUMMYFUNCTION("MAX(FILTER($H:$H,$E:$E=F76))"),2.0)</f>
        <v>2</v>
      </c>
    </row>
    <row r="77">
      <c r="A77" s="4"/>
      <c r="C77" s="4" t="s">
        <v>2879</v>
      </c>
      <c r="D77" s="4" t="str">
        <f t="shared" si="1"/>
        <v>{"valorA":"bem","valorB":4}</v>
      </c>
      <c r="E77" s="8" t="str">
        <f t="shared" si="2"/>
        <v>bem</v>
      </c>
      <c r="F77" s="8" t="str">
        <f>IFERROR(__xludf.DUMMYFUNCTION("""COMPUTED_VALUE"""),"menos")</f>
        <v>menos</v>
      </c>
      <c r="G77" s="8" t="str">
        <f t="shared" si="3"/>
        <v>4</v>
      </c>
      <c r="H77" s="9">
        <f t="shared" si="4"/>
        <v>4</v>
      </c>
      <c r="I77" s="10">
        <f>IFERROR(__xludf.DUMMYFUNCTION("MAX(FILTER($H:$H,$E:$E=F77))"),1.0)</f>
        <v>1</v>
      </c>
    </row>
    <row r="78">
      <c r="A78" s="4"/>
      <c r="C78" s="4" t="s">
        <v>2664</v>
      </c>
      <c r="D78" s="4" t="str">
        <f t="shared" si="1"/>
        <v>{"valorA":"compra","valorB":1}</v>
      </c>
      <c r="E78" s="8" t="str">
        <f t="shared" si="2"/>
        <v>compra</v>
      </c>
      <c r="F78" s="8" t="str">
        <f>IFERROR(__xludf.DUMMYFUNCTION("""COMPUTED_VALUE"""),"energia")</f>
        <v>energia</v>
      </c>
      <c r="G78" s="8" t="str">
        <f t="shared" si="3"/>
        <v>1</v>
      </c>
      <c r="H78" s="9">
        <f t="shared" si="4"/>
        <v>1</v>
      </c>
      <c r="I78" s="10">
        <f>IFERROR(__xludf.DUMMYFUNCTION("MAX(FILTER($H:$H,$E:$E=F78))"),1.0)</f>
        <v>1</v>
      </c>
    </row>
    <row r="79">
      <c r="A79" s="4"/>
      <c r="C79" s="4" t="s">
        <v>2810</v>
      </c>
      <c r="D79" s="4" t="str">
        <f t="shared" si="1"/>
        <v>{"valorA":"o","valorB":4}</v>
      </c>
      <c r="E79" s="8" t="str">
        <f t="shared" si="2"/>
        <v>o</v>
      </c>
      <c r="F79" s="8" t="str">
        <f>IFERROR(__xludf.DUMMYFUNCTION("""COMPUTED_VALUE"""),"led")</f>
        <v>led</v>
      </c>
      <c r="G79" s="8" t="str">
        <f t="shared" si="3"/>
        <v>4</v>
      </c>
      <c r="H79" s="9">
        <f t="shared" si="4"/>
        <v>4</v>
      </c>
      <c r="I79" s="10">
        <f>IFERROR(__xludf.DUMMYFUNCTION("MAX(FILTER($H:$H,$E:$E=F79))"),5.0)</f>
        <v>5</v>
      </c>
    </row>
    <row r="80">
      <c r="A80" s="4"/>
      <c r="C80" s="4" t="s">
        <v>2947</v>
      </c>
      <c r="D80" s="4" t="str">
        <f t="shared" si="1"/>
        <v>{"valorA":"da","valorB":2}</v>
      </c>
      <c r="E80" s="8" t="str">
        <f t="shared" si="2"/>
        <v>da</v>
      </c>
      <c r="F80" s="8" t="str">
        <f>IFERROR(__xludf.DUMMYFUNCTION("""COMPUTED_VALUE"""),"lâmpada")</f>
        <v>lâmpada</v>
      </c>
      <c r="G80" s="8" t="str">
        <f t="shared" si="3"/>
        <v>2</v>
      </c>
      <c r="H80" s="9">
        <f t="shared" si="4"/>
        <v>2</v>
      </c>
      <c r="I80" s="10">
        <f>IFERROR(__xludf.DUMMYFUNCTION("MAX(FILTER($H:$H,$E:$E=F80))"),2.0)</f>
        <v>2</v>
      </c>
    </row>
    <row r="81">
      <c r="A81" s="4"/>
      <c r="C81" s="4" t="s">
        <v>3314</v>
      </c>
      <c r="D81" s="4" t="str">
        <f t="shared" si="1"/>
        <v>{"valorA":"ótima","valorB":2}</v>
      </c>
      <c r="E81" s="8" t="str">
        <f t="shared" si="2"/>
        <v>ótima</v>
      </c>
      <c r="F81" s="8" t="str">
        <f>IFERROR(__xludf.DUMMYFUNCTION("""COMPUTED_VALUE"""),"brilhante")</f>
        <v>brilhante</v>
      </c>
      <c r="G81" s="8" t="str">
        <f t="shared" si="3"/>
        <v>2</v>
      </c>
      <c r="H81" s="9">
        <f t="shared" si="4"/>
        <v>2</v>
      </c>
      <c r="I81" s="10">
        <f>IFERROR(__xludf.DUMMYFUNCTION("MAX(FILTER($H:$H,$E:$E=F81))"),1.0)</f>
        <v>1</v>
      </c>
    </row>
    <row r="82">
      <c r="A82" s="4"/>
      <c r="C82" s="4" t="s">
        <v>2670</v>
      </c>
      <c r="D82" s="4" t="str">
        <f t="shared" si="1"/>
        <v>{"valorA":"meu","valorB":1}</v>
      </c>
      <c r="E82" s="8" t="str">
        <f t="shared" si="2"/>
        <v>meu</v>
      </c>
      <c r="F82" s="8" t="str">
        <f>IFERROR(__xludf.DUMMYFUNCTION("""COMPUTED_VALUE"""),"mantém")</f>
        <v>mantém</v>
      </c>
      <c r="G82" s="8" t="str">
        <f t="shared" si="3"/>
        <v>1</v>
      </c>
      <c r="H82" s="9">
        <f t="shared" si="4"/>
        <v>1</v>
      </c>
      <c r="I82" s="10">
        <f>IFERROR(__xludf.DUMMYFUNCTION("MAX(FILTER($H:$H,$E:$E=F82))"),2.0)</f>
        <v>2</v>
      </c>
    </row>
    <row r="83">
      <c r="A83" s="4"/>
      <c r="C83" s="4" t="s">
        <v>3357</v>
      </c>
      <c r="D83" s="4" t="str">
        <f t="shared" si="1"/>
        <v>{"valorA":"satisfeita","valorB":1}</v>
      </c>
      <c r="E83" s="8" t="str">
        <f t="shared" si="2"/>
        <v>satisfeita</v>
      </c>
      <c r="F83" s="8" t="str">
        <f>IFERROR(__xludf.DUMMYFUNCTION("""COMPUTED_VALUE"""),"cor")</f>
        <v>cor</v>
      </c>
      <c r="G83" s="8" t="str">
        <f t="shared" si="3"/>
        <v>1</v>
      </c>
      <c r="H83" s="9">
        <f t="shared" si="4"/>
        <v>1</v>
      </c>
      <c r="I83" s="10">
        <f>IFERROR(__xludf.DUMMYFUNCTION("MAX(FILTER($H:$H,$E:$E=F83))"),1.0)</f>
        <v>1</v>
      </c>
    </row>
    <row r="84">
      <c r="A84" s="4"/>
      <c r="C84" s="4" t="s">
        <v>2666</v>
      </c>
      <c r="D84" s="4" t="str">
        <f t="shared" si="1"/>
        <v>{"valorA":"com","valorB":1}</v>
      </c>
      <c r="E84" s="8" t="str">
        <f t="shared" si="2"/>
        <v>com</v>
      </c>
      <c r="F84" s="8" t="str">
        <f>IFERROR(__xludf.DUMMYFUNCTION("""COMPUTED_VALUE"""),"rápido")</f>
        <v>rápido</v>
      </c>
      <c r="G84" s="8" t="str">
        <f t="shared" si="3"/>
        <v>1</v>
      </c>
      <c r="H84" s="9">
        <f t="shared" si="4"/>
        <v>1</v>
      </c>
      <c r="I84" s="10">
        <f>IFERROR(__xludf.DUMMYFUNCTION("MAX(FILTER($H:$H,$E:$E=F84))"),1.0)</f>
        <v>1</v>
      </c>
    </row>
    <row r="85">
      <c r="A85" s="4"/>
      <c r="C85" s="4" t="s">
        <v>2648</v>
      </c>
      <c r="D85" s="4" t="str">
        <f t="shared" si="1"/>
        <v>{"valorA":"resultado","valorB":1}</v>
      </c>
      <c r="E85" s="8" t="str">
        <f t="shared" si="2"/>
        <v>resultado</v>
      </c>
      <c r="F85" s="8" t="str">
        <f>IFERROR(__xludf.DUMMYFUNCTION("""COMPUTED_VALUE"""),"roupa")</f>
        <v>roupa</v>
      </c>
      <c r="G85" s="8" t="str">
        <f t="shared" si="3"/>
        <v>1</v>
      </c>
      <c r="H85" s="9">
        <f t="shared" si="4"/>
        <v>1</v>
      </c>
      <c r="I85" s="10">
        <f>IFERROR(__xludf.DUMMYFUNCTION("MAX(FILTER($H:$H,$E:$E=F85))"),1.0)</f>
        <v>1</v>
      </c>
    </row>
    <row r="86">
      <c r="A86" s="4"/>
      <c r="C86" s="4" t="s">
        <v>12546</v>
      </c>
      <c r="D86" s="4" t="str">
        <f t="shared" si="1"/>
        <v>{"valorA":"pissoado","valorB":1}</v>
      </c>
      <c r="E86" s="8" t="str">
        <f t="shared" si="2"/>
        <v>pissoado</v>
      </c>
      <c r="F86" s="8" t="str">
        <f>IFERROR(__xludf.DUMMYFUNCTION("""COMPUTED_VALUE"""),"fica")</f>
        <v>fica</v>
      </c>
      <c r="G86" s="8" t="str">
        <f t="shared" si="3"/>
        <v>1</v>
      </c>
      <c r="H86" s="9">
        <f t="shared" si="4"/>
        <v>1</v>
      </c>
      <c r="I86" s="10">
        <f>IFERROR(__xludf.DUMMYFUNCTION("MAX(FILTER($H:$H,$E:$E=F86))"),2.0)</f>
        <v>2</v>
      </c>
    </row>
    <row r="87">
      <c r="A87" s="4"/>
      <c r="C87" s="4" t="s">
        <v>2759</v>
      </c>
      <c r="D87" s="4" t="str">
        <f t="shared" si="1"/>
        <v>{"valorA":"para","valorB":4}</v>
      </c>
      <c r="E87" s="8" t="str">
        <f t="shared" si="2"/>
        <v>para</v>
      </c>
      <c r="F87" s="8" t="str">
        <f>IFERROR(__xludf.DUMMYFUNCTION("""COMPUTED_VALUE"""),"limpo")</f>
        <v>limpo</v>
      </c>
      <c r="G87" s="8" t="str">
        <f t="shared" si="3"/>
        <v>4</v>
      </c>
      <c r="H87" s="9">
        <f t="shared" si="4"/>
        <v>4</v>
      </c>
      <c r="I87" s="10">
        <f>IFERROR(__xludf.DUMMYFUNCTION("MAX(FILTER($H:$H,$E:$E=F87))"),1.0)</f>
        <v>1</v>
      </c>
    </row>
    <row r="88">
      <c r="A88" s="4"/>
      <c r="C88" s="4" t="s">
        <v>12547</v>
      </c>
      <c r="D88" s="4" t="str">
        <f t="shared" si="1"/>
        <v>{"valorA":"escovadeira","valorB":1}</v>
      </c>
      <c r="E88" s="8" t="str">
        <f t="shared" si="2"/>
        <v>escovadeira</v>
      </c>
      <c r="F88" s="8" t="str">
        <f>IFERROR(__xludf.DUMMYFUNCTION("""COMPUTED_VALUE"""),"reboque")</f>
        <v>reboque</v>
      </c>
      <c r="G88" s="8" t="str">
        <f t="shared" si="3"/>
        <v>1</v>
      </c>
      <c r="H88" s="9">
        <f t="shared" si="4"/>
        <v>1</v>
      </c>
      <c r="I88" s="10">
        <f>IFERROR(__xludf.DUMMYFUNCTION("MAX(FILTER($H:$H,$E:$E=F88))"),1.0)</f>
        <v>1</v>
      </c>
    </row>
    <row r="89">
      <c r="A89" s="4"/>
      <c r="C89" s="4" t="s">
        <v>12548</v>
      </c>
      <c r="D89" s="4" t="str">
        <f t="shared" si="1"/>
        <v>{"valorA":"extremamente","valorB":1}</v>
      </c>
      <c r="E89" s="8" t="str">
        <f t="shared" si="2"/>
        <v>extremamente</v>
      </c>
      <c r="F89" s="8" t="str">
        <f>IFERROR(__xludf.DUMMYFUNCTION("""COMPUTED_VALUE"""),"carro")</f>
        <v>carro</v>
      </c>
      <c r="G89" s="8" t="str">
        <f t="shared" si="3"/>
        <v>1</v>
      </c>
      <c r="H89" s="9">
        <f t="shared" si="4"/>
        <v>1</v>
      </c>
      <c r="I89" s="10">
        <f>IFERROR(__xludf.DUMMYFUNCTION("MAX(FILTER($H:$H,$E:$E=F89))"),2.0)</f>
        <v>2</v>
      </c>
    </row>
    <row r="90">
      <c r="A90" s="4"/>
      <c r="C90" s="4" t="s">
        <v>3877</v>
      </c>
      <c r="D90" s="4" t="str">
        <f t="shared" si="1"/>
        <v>{"valorA":"estou","valorB":1}</v>
      </c>
      <c r="E90" s="8" t="str">
        <f t="shared" si="2"/>
        <v>estou</v>
      </c>
      <c r="F90" s="8" t="str">
        <f>IFERROR(__xludf.DUMMYFUNCTION("""COMPUTED_VALUE"""),"funcional")</f>
        <v>funcional</v>
      </c>
      <c r="G90" s="8" t="str">
        <f t="shared" si="3"/>
        <v>1</v>
      </c>
      <c r="H90" s="9">
        <f t="shared" si="4"/>
        <v>1</v>
      </c>
      <c r="I90" s="10">
        <f>IFERROR(__xludf.DUMMYFUNCTION("MAX(FILTER($H:$H,$E:$E=F90))"),2.0)</f>
        <v>2</v>
      </c>
    </row>
    <row r="91">
      <c r="A91" s="4"/>
      <c r="C91" s="4" t="s">
        <v>2883</v>
      </c>
      <c r="D91" s="4" t="str">
        <f t="shared" si="1"/>
        <v>{"valorA":"o","valorB":5}</v>
      </c>
      <c r="E91" s="8" t="str">
        <f t="shared" si="2"/>
        <v>o</v>
      </c>
      <c r="F91" s="8" t="str">
        <f>IFERROR(__xludf.DUMMYFUNCTION("""COMPUTED_VALUE"""),"rádio")</f>
        <v>rádio</v>
      </c>
      <c r="G91" s="8" t="str">
        <f t="shared" si="3"/>
        <v>5</v>
      </c>
      <c r="H91" s="9">
        <f t="shared" si="4"/>
        <v>5</v>
      </c>
      <c r="I91" s="10">
        <f>IFERROR(__xludf.DUMMYFUNCTION("MAX(FILTER($H:$H,$E:$E=F91))"),2.0)</f>
        <v>2</v>
      </c>
    </row>
    <row r="92">
      <c r="A92" s="4"/>
      <c r="C92" s="4" t="s">
        <v>2748</v>
      </c>
      <c r="D92" s="4" t="str">
        <f t="shared" si="1"/>
        <v>{"valorA":"de","valorB":5}</v>
      </c>
      <c r="E92" s="8" t="str">
        <f t="shared" si="2"/>
        <v>de</v>
      </c>
      <c r="F92" s="8" t="str">
        <f>IFERROR(__xludf.DUMMYFUNCTION("""COMPUTED_VALUE"""),"amfm")</f>
        <v>amfm</v>
      </c>
      <c r="G92" s="8" t="str">
        <f t="shared" si="3"/>
        <v>5</v>
      </c>
      <c r="H92" s="9">
        <f t="shared" si="4"/>
        <v>5</v>
      </c>
      <c r="I92" s="10">
        <f>IFERROR(__xludf.DUMMYFUNCTION("MAX(FILTER($H:$H,$E:$E=F92))"),1.0)</f>
        <v>1</v>
      </c>
    </row>
    <row r="93">
      <c r="A93" s="4"/>
      <c r="C93" s="4" t="s">
        <v>12549</v>
      </c>
      <c r="D93" s="4" t="str">
        <f t="shared" si="1"/>
        <v>{"valorA":"sonoplay","valorB":1}</v>
      </c>
      <c r="E93" s="8" t="str">
        <f t="shared" si="2"/>
        <v>sonoplay</v>
      </c>
      <c r="F93" s="8" t="str">
        <f>IFERROR(__xludf.DUMMYFUNCTION("""COMPUTED_VALUE"""),"altavoz")</f>
        <v>altavoz</v>
      </c>
      <c r="G93" s="8" t="str">
        <f t="shared" si="3"/>
        <v>1</v>
      </c>
      <c r="H93" s="9">
        <f t="shared" si="4"/>
        <v>1</v>
      </c>
      <c r="I93" s="10">
        <f>IFERROR(__xludf.DUMMYFUNCTION("MAX(FILTER($H:$H,$E:$E=F93))"),1.0)</f>
        <v>1</v>
      </c>
    </row>
    <row r="94">
      <c r="A94" s="4"/>
      <c r="C94" s="4" t="s">
        <v>2765</v>
      </c>
      <c r="D94" s="4" t="str">
        <f t="shared" si="1"/>
        <v>{"valorA":"funciona","valorB":6}</v>
      </c>
      <c r="E94" s="8" t="str">
        <f t="shared" si="2"/>
        <v>funciona</v>
      </c>
      <c r="F94" s="8" t="str">
        <f>IFERROR(__xludf.DUMMYFUNCTION("""COMPUTED_VALUE"""),"boa")</f>
        <v>boa</v>
      </c>
      <c r="G94" s="8" t="str">
        <f t="shared" si="3"/>
        <v>6</v>
      </c>
      <c r="H94" s="9">
        <f t="shared" si="4"/>
        <v>6</v>
      </c>
      <c r="I94" s="10">
        <f>IFERROR(__xludf.DUMMYFUNCTION("MAX(FILTER($H:$H,$E:$E=F94))"),1.0)</f>
        <v>1</v>
      </c>
    </row>
    <row r="95">
      <c r="A95" s="4"/>
      <c r="C95" s="4" t="s">
        <v>2684</v>
      </c>
      <c r="D95" s="4" t="str">
        <f t="shared" si="1"/>
        <v>{"valorA":"ótimo","valorB":9}</v>
      </c>
      <c r="E95" s="8" t="str">
        <f t="shared" si="2"/>
        <v>ótimo</v>
      </c>
      <c r="F95" s="8" t="str">
        <f>IFERROR(__xludf.DUMMYFUNCTION("""COMPUTED_VALUE"""),"qualidade")</f>
        <v>qualidade</v>
      </c>
      <c r="G95" s="8" t="str">
        <f t="shared" si="3"/>
        <v>9</v>
      </c>
      <c r="H95" s="9">
        <f t="shared" si="4"/>
        <v>9</v>
      </c>
      <c r="I95" s="10">
        <f>IFERROR(__xludf.DUMMYFUNCTION("MAX(FILTER($H:$H,$E:$E=F95))"),2.0)</f>
        <v>2</v>
      </c>
    </row>
    <row r="96">
      <c r="A96" s="4"/>
      <c r="C96" s="4" t="s">
        <v>3490</v>
      </c>
      <c r="D96" s="4" t="str">
        <f t="shared" si="1"/>
        <v>{"valorA":"sistema","valorB":2}</v>
      </c>
      <c r="E96" s="8" t="str">
        <f t="shared" si="2"/>
        <v>sistema</v>
      </c>
      <c r="F96" s="8" t="str">
        <f>IFERROR(__xludf.DUMMYFUNCTION("""COMPUTED_VALUE"""),"trabalha")</f>
        <v>trabalha</v>
      </c>
      <c r="G96" s="8" t="str">
        <f t="shared" si="3"/>
        <v>2</v>
      </c>
      <c r="H96" s="9">
        <f t="shared" si="4"/>
        <v>2</v>
      </c>
      <c r="I96" s="10">
        <f>IFERROR(__xludf.DUMMYFUNCTION("MAX(FILTER($H:$H,$E:$E=F96))"),1.0)</f>
        <v>1</v>
      </c>
    </row>
    <row r="97">
      <c r="A97" s="4"/>
      <c r="C97" s="4" t="s">
        <v>2902</v>
      </c>
      <c r="D97" s="4" t="str">
        <f t="shared" si="1"/>
        <v>{"valorA":"bem","valorB":5}</v>
      </c>
      <c r="E97" s="8" t="str">
        <f t="shared" si="2"/>
        <v>bem</v>
      </c>
      <c r="F97" s="8" t="str">
        <f>IFERROR(__xludf.DUMMYFUNCTION("""COMPUTED_VALUE"""),"eletrônicos")</f>
        <v>eletrônicos</v>
      </c>
      <c r="G97" s="8" t="str">
        <f t="shared" si="3"/>
        <v>5</v>
      </c>
      <c r="H97" s="9">
        <f t="shared" si="4"/>
        <v>5</v>
      </c>
      <c r="I97" s="10">
        <f>IFERROR(__xludf.DUMMYFUNCTION("MAX(FILTER($H:$H,$E:$E=F97))"),1.0)</f>
        <v>1</v>
      </c>
    </row>
    <row r="98">
      <c r="A98" s="4"/>
      <c r="C98" s="4" t="s">
        <v>3353</v>
      </c>
      <c r="D98" s="4" t="str">
        <f t="shared" si="1"/>
        <v>{"valorA":"tudo","valorB":2}</v>
      </c>
      <c r="E98" s="8" t="str">
        <f t="shared" si="2"/>
        <v>tudo</v>
      </c>
      <c r="F98" s="8" t="str">
        <f>IFERROR(__xludf.DUMMYFUNCTION("""COMPUTED_VALUE"""),"leitor")</f>
        <v>leitor</v>
      </c>
      <c r="G98" s="8" t="str">
        <f t="shared" si="3"/>
        <v>2</v>
      </c>
      <c r="H98" s="9">
        <f t="shared" si="4"/>
        <v>2</v>
      </c>
      <c r="I98" s="10">
        <f>IFERROR(__xludf.DUMMYFUNCTION("MAX(FILTER($H:$H,$E:$E=F98))"),1.0)</f>
        <v>1</v>
      </c>
    </row>
    <row r="99">
      <c r="A99" s="4"/>
      <c r="C99" s="4" t="s">
        <v>2776</v>
      </c>
      <c r="D99" s="4" t="str">
        <f t="shared" si="1"/>
        <v>{"valorA":"funciona","valorB":7}</v>
      </c>
      <c r="E99" s="8" t="str">
        <f t="shared" si="2"/>
        <v>funciona</v>
      </c>
      <c r="F99" s="8" t="str">
        <f>IFERROR(__xludf.DUMMYFUNCTION("""COMPUTED_VALUE"""),"adoro")</f>
        <v>adoro</v>
      </c>
      <c r="G99" s="8" t="str">
        <f t="shared" si="3"/>
        <v>7</v>
      </c>
      <c r="H99" s="9">
        <f t="shared" si="4"/>
        <v>7</v>
      </c>
      <c r="I99" s="10">
        <f>IFERROR(__xludf.DUMMYFUNCTION("MAX(FILTER($H:$H,$E:$E=F99))"),1.0)</f>
        <v>1</v>
      </c>
    </row>
    <row r="100">
      <c r="A100" s="4"/>
      <c r="C100" s="4" t="s">
        <v>2630</v>
      </c>
      <c r="D100" s="4" t="str">
        <f t="shared" si="1"/>
        <v>{"valorA":"esse","valorB":1}</v>
      </c>
      <c r="E100" s="8" t="str">
        <f t="shared" si="2"/>
        <v>esse</v>
      </c>
      <c r="F100" s="8" t="str">
        <f>IFERROR(__xludf.DUMMYFUNCTION("""COMPUTED_VALUE"""),"agora")</f>
        <v>agora</v>
      </c>
      <c r="G100" s="8" t="str">
        <f t="shared" si="3"/>
        <v>1</v>
      </c>
      <c r="H100" s="9">
        <f t="shared" si="4"/>
        <v>1</v>
      </c>
      <c r="I100" s="10">
        <f>IFERROR(__xludf.DUMMYFUNCTION("MAX(FILTER($H:$H,$E:$E=F100))"),1.0)</f>
        <v>1</v>
      </c>
    </row>
    <row r="101">
      <c r="A101" s="4"/>
      <c r="C101" s="4" t="s">
        <v>2690</v>
      </c>
      <c r="D101" s="4" t="str">
        <f t="shared" si="1"/>
        <v>{"valorA":"ótimo","valorB":10}</v>
      </c>
      <c r="E101" s="8" t="str">
        <f t="shared" si="2"/>
        <v>ótimo</v>
      </c>
      <c r="F101" s="8" t="str">
        <f>IFERROR(__xludf.DUMMYFUNCTION("""COMPUTED_VALUE"""),"livros")</f>
        <v>livros</v>
      </c>
      <c r="G101" s="8" t="str">
        <f t="shared" si="3"/>
        <v>10</v>
      </c>
      <c r="H101" s="9">
        <f t="shared" si="4"/>
        <v>10</v>
      </c>
      <c r="I101" s="10">
        <f>IFERROR(__xludf.DUMMYFUNCTION("MAX(FILTER($H:$H,$E:$E=F101))"),1.0)</f>
        <v>1</v>
      </c>
    </row>
    <row r="102">
      <c r="A102" s="4"/>
      <c r="C102" s="4" t="s">
        <v>3337</v>
      </c>
      <c r="D102" s="4" t="str">
        <f t="shared" si="1"/>
        <v>{"valorA":"refrigerador","valorB":1}</v>
      </c>
      <c r="E102" s="8" t="str">
        <f t="shared" si="2"/>
        <v>refrigerador</v>
      </c>
      <c r="F102" s="8" t="str">
        <f>IFERROR(__xludf.DUMMYFUNCTION("""COMPUTED_VALUE"""),"kindle")</f>
        <v>kindle</v>
      </c>
      <c r="G102" s="8" t="str">
        <f t="shared" si="3"/>
        <v>1</v>
      </c>
      <c r="H102" s="9">
        <f t="shared" si="4"/>
        <v>1</v>
      </c>
      <c r="I102" s="10">
        <f>IFERROR(__xludf.DUMMYFUNCTION("MAX(FILTER($H:$H,$E:$E=F102))"),1.0)</f>
        <v>1</v>
      </c>
    </row>
    <row r="103">
      <c r="A103" s="4"/>
      <c r="C103" s="4" t="s">
        <v>3114</v>
      </c>
      <c r="D103" s="4" t="str">
        <f t="shared" si="1"/>
        <v>{"valorA":"bem","valorB":6}</v>
      </c>
      <c r="E103" s="8" t="str">
        <f t="shared" si="2"/>
        <v>bem</v>
      </c>
      <c r="F103" s="8" t="str">
        <f>IFERROR(__xludf.DUMMYFUNCTION("""COMPUTED_VALUE"""),"ler")</f>
        <v>ler</v>
      </c>
      <c r="G103" s="8" t="str">
        <f t="shared" si="3"/>
        <v>6</v>
      </c>
      <c r="H103" s="9">
        <f t="shared" si="4"/>
        <v>6</v>
      </c>
      <c r="I103" s="10">
        <f>IFERROR(__xludf.DUMMYFUNCTION("MAX(FILTER($H:$H,$E:$E=F103))"),1.0)</f>
        <v>1</v>
      </c>
    </row>
    <row r="104">
      <c r="A104" s="4"/>
      <c r="C104" s="4" t="s">
        <v>2658</v>
      </c>
      <c r="D104" s="4" t="str">
        <f t="shared" si="1"/>
        <v>{"valorA":"e","valorB":1}</v>
      </c>
      <c r="E104" s="8" t="str">
        <f t="shared" si="2"/>
        <v>e</v>
      </c>
      <c r="F104" s="8" t="str">
        <f>IFERROR(__xludf.DUMMYFUNCTION("""COMPUTED_VALUE"""),"lavar")</f>
        <v>lavar</v>
      </c>
      <c r="G104" s="8" t="str">
        <f t="shared" si="3"/>
        <v>1</v>
      </c>
      <c r="H104" s="9">
        <f t="shared" si="4"/>
        <v>1</v>
      </c>
      <c r="I104" s="10">
        <f>IFERROR(__xludf.DUMMYFUNCTION("MAX(FILTER($H:$H,$E:$E=F104))"),1.0)</f>
        <v>1</v>
      </c>
    </row>
    <row r="105">
      <c r="A105" s="4"/>
      <c r="C105" s="4" t="s">
        <v>2811</v>
      </c>
      <c r="D105" s="4" t="str">
        <f t="shared" si="1"/>
        <v>{"valorA":"muito","valorB":6}</v>
      </c>
      <c r="E105" s="8" t="str">
        <f t="shared" si="2"/>
        <v>muito</v>
      </c>
      <c r="F105" s="8" t="str">
        <f>IFERROR(__xludf.DUMMYFUNCTION("""COMPUTED_VALUE"""),"máquina")</f>
        <v>máquina</v>
      </c>
      <c r="G105" s="8" t="str">
        <f t="shared" si="3"/>
        <v>6</v>
      </c>
      <c r="H105" s="9">
        <f t="shared" si="4"/>
        <v>6</v>
      </c>
      <c r="I105" s="10">
        <f>IFERROR(__xludf.DUMMYFUNCTION("MAX(FILTER($H:$H,$E:$E=F105))"),1.0)</f>
        <v>1</v>
      </c>
    </row>
    <row r="106">
      <c r="A106" s="4"/>
      <c r="C106" s="4" t="s">
        <v>12550</v>
      </c>
      <c r="D106" s="4" t="str">
        <f t="shared" si="1"/>
        <v>{"valorA":"estético","valorB":1}</v>
      </c>
      <c r="E106" s="8" t="str">
        <f t="shared" si="2"/>
        <v>estético</v>
      </c>
      <c r="F106" s="8" t="str">
        <f>IFERROR(__xludf.DUMMYFUNCTION("""COMPUTED_VALUE"""),"prataria")</f>
        <v>prataria</v>
      </c>
      <c r="G106" s="8" t="str">
        <f t="shared" si="3"/>
        <v>1</v>
      </c>
      <c r="H106" s="9">
        <f t="shared" si="4"/>
        <v>1</v>
      </c>
      <c r="I106" s="10">
        <f>IFERROR(__xludf.DUMMYFUNCTION("MAX(FILTER($H:$H,$E:$E=F106))"),1.0)</f>
        <v>1</v>
      </c>
    </row>
    <row r="107">
      <c r="A107" s="4"/>
      <c r="C107" s="4" t="s">
        <v>12551</v>
      </c>
      <c r="D107" s="4" t="str">
        <f t="shared" si="1"/>
        <v>{"valorA":"sala","valorB":1}</v>
      </c>
      <c r="E107" s="8" t="str">
        <f t="shared" si="2"/>
        <v>sala</v>
      </c>
      <c r="F107" s="8" t="str">
        <f>IFERROR(__xludf.DUMMYFUNCTION("""COMPUTED_VALUE"""),"blender")</f>
        <v>blender</v>
      </c>
      <c r="G107" s="8" t="str">
        <f t="shared" si="3"/>
        <v>1</v>
      </c>
      <c r="H107" s="9">
        <f t="shared" si="4"/>
        <v>1</v>
      </c>
      <c r="I107" s="10">
        <f>IFERROR(__xludf.DUMMYFUNCTION("MAX(FILTER($H:$H,$E:$E=F107))"),1.0)</f>
        <v>1</v>
      </c>
    </row>
    <row r="108">
      <c r="A108" s="4"/>
      <c r="C108" s="4" t="s">
        <v>3399</v>
      </c>
      <c r="D108" s="4" t="str">
        <f t="shared" si="1"/>
        <v>{"valorA":"na","valorB":1}</v>
      </c>
      <c r="E108" s="8" t="str">
        <f t="shared" si="2"/>
        <v>na</v>
      </c>
      <c r="F108" s="8" t="str">
        <f>IFERROR(__xludf.DUMMYFUNCTION("""COMPUTED_VALUE"""),"gosto")</f>
        <v>gosto</v>
      </c>
      <c r="G108" s="8" t="str">
        <f t="shared" si="3"/>
        <v>1</v>
      </c>
      <c r="H108" s="9">
        <f t="shared" si="4"/>
        <v>1</v>
      </c>
      <c r="I108" s="10">
        <f>IFERROR(__xludf.DUMMYFUNCTION("MAX(FILTER($H:$H,$E:$E=F108))"),2.0)</f>
        <v>2</v>
      </c>
    </row>
    <row r="109">
      <c r="A109" s="4"/>
      <c r="C109" s="4" t="s">
        <v>2857</v>
      </c>
      <c r="D109" s="4" t="str">
        <f t="shared" si="1"/>
        <v>{"valorA":"está","valorB":1}</v>
      </c>
      <c r="E109" s="8" t="str">
        <f t="shared" si="2"/>
        <v>está</v>
      </c>
      <c r="F109" s="8" t="str">
        <f>IFERROR(__xludf.DUMMYFUNCTION("""COMPUTED_VALUE"""),"óptico")</f>
        <v>óptico</v>
      </c>
      <c r="G109" s="8" t="str">
        <f t="shared" si="3"/>
        <v>1</v>
      </c>
      <c r="H109" s="9">
        <f t="shared" si="4"/>
        <v>1</v>
      </c>
      <c r="I109" s="10">
        <f>IFERROR(__xludf.DUMMYFUNCTION("MAX(FILTER($H:$H,$E:$E=F109))"),1.0)</f>
        <v>1</v>
      </c>
    </row>
    <row r="110">
      <c r="A110" s="4"/>
      <c r="C110" s="4" t="s">
        <v>2714</v>
      </c>
      <c r="D110" s="4" t="str">
        <f t="shared" si="1"/>
        <v>{"valorA":"perfeitamente","valorB":2}</v>
      </c>
      <c r="E110" s="8" t="str">
        <f t="shared" si="2"/>
        <v>perfeitamente</v>
      </c>
      <c r="F110" s="8" t="str">
        <f>IFERROR(__xludf.DUMMYFUNCTION("""COMPUTED_VALUE"""),"é")</f>
        <v>é</v>
      </c>
      <c r="G110" s="8" t="str">
        <f t="shared" si="3"/>
        <v>2</v>
      </c>
      <c r="H110" s="9">
        <f t="shared" si="4"/>
        <v>2</v>
      </c>
      <c r="I110" s="10">
        <f>IFERROR(__xludf.DUMMYFUNCTION("MAX(FILTER($H:$H,$E:$E=F110))"),1.0)</f>
        <v>1</v>
      </c>
    </row>
    <row r="111">
      <c r="A111" s="4"/>
      <c r="C111" s="4" t="s">
        <v>2816</v>
      </c>
      <c r="D111" s="4" t="str">
        <f t="shared" si="1"/>
        <v>{"valorA":"funciona","valorB":8}</v>
      </c>
      <c r="E111" s="8" t="str">
        <f t="shared" si="2"/>
        <v>funciona</v>
      </c>
      <c r="F111" s="8" t="str">
        <f>IFERROR(__xludf.DUMMYFUNCTION("""COMPUTED_VALUE"""),"incrível")</f>
        <v>incrível</v>
      </c>
      <c r="G111" s="8" t="str">
        <f t="shared" si="3"/>
        <v>8</v>
      </c>
      <c r="H111" s="9">
        <f t="shared" si="4"/>
        <v>8</v>
      </c>
      <c r="I111" s="10">
        <f>IFERROR(__xludf.DUMMYFUNCTION("MAX(FILTER($H:$H,$E:$E=F111))"),1.0)</f>
        <v>1</v>
      </c>
    </row>
    <row r="112">
      <c r="A112" s="4"/>
      <c r="C112" s="4" t="s">
        <v>12552</v>
      </c>
      <c r="D112" s="4" t="str">
        <f t="shared" si="1"/>
        <v>{"valorA":"comecei","valorB":1}</v>
      </c>
      <c r="E112" s="8" t="str">
        <f t="shared" si="2"/>
        <v>comecei</v>
      </c>
      <c r="F112" s="8" t="str">
        <f>IFERROR(__xludf.DUMMYFUNCTION("""COMPUTED_VALUE"""),"fácil")</f>
        <v>fácil</v>
      </c>
      <c r="G112" s="8" t="str">
        <f t="shared" si="3"/>
        <v>1</v>
      </c>
      <c r="H112" s="9">
        <f t="shared" si="4"/>
        <v>1</v>
      </c>
      <c r="I112" s="10">
        <f>IFERROR(__xludf.DUMMYFUNCTION("MAX(FILTER($H:$H,$E:$E=F112))"),3.0)</f>
        <v>3</v>
      </c>
    </row>
    <row r="113">
      <c r="A113" s="4"/>
      <c r="C113" s="4" t="s">
        <v>3355</v>
      </c>
      <c r="D113" s="4" t="str">
        <f t="shared" si="1"/>
        <v>{"valorA":"aparelho","valorB":3}</v>
      </c>
      <c r="E113" s="8" t="str">
        <f t="shared" si="2"/>
        <v>aparelho</v>
      </c>
      <c r="F113" s="8" t="str">
        <f>IFERROR(__xludf.DUMMYFUNCTION("""COMPUTED_VALUE"""),"satisfeito")</f>
        <v>satisfeito</v>
      </c>
      <c r="G113" s="8" t="str">
        <f t="shared" si="3"/>
        <v>3</v>
      </c>
      <c r="H113" s="9">
        <f t="shared" si="4"/>
        <v>3</v>
      </c>
      <c r="I113" s="10">
        <f>IFERROR(__xludf.DUMMYFUNCTION("MAX(FILTER($H:$H,$E:$E=F113))"),1.0)</f>
        <v>1</v>
      </c>
    </row>
    <row r="114">
      <c r="A114" s="4"/>
      <c r="C114" s="4" t="s">
        <v>2698</v>
      </c>
      <c r="D114" s="4" t="str">
        <f t="shared" si="1"/>
        <v>{"valorA":"ótimo","valorB":11}</v>
      </c>
      <c r="E114" s="8" t="str">
        <f t="shared" si="2"/>
        <v>ótimo</v>
      </c>
      <c r="F114" s="8" t="str">
        <f>IFERROR(__xludf.DUMMYFUNCTION("""COMPUTED_VALUE"""),"toalha")</f>
        <v>toalha</v>
      </c>
      <c r="G114" s="8" t="str">
        <f t="shared" si="3"/>
        <v>11</v>
      </c>
      <c r="H114" s="9">
        <f t="shared" si="4"/>
        <v>11</v>
      </c>
      <c r="I114" s="10">
        <f>IFERROR(__xludf.DUMMYFUNCTION("MAX(FILTER($H:$H,$E:$E=F114))"),1.0)</f>
        <v>1</v>
      </c>
    </row>
    <row r="115">
      <c r="A115" s="4"/>
      <c r="C115" s="4" t="s">
        <v>12553</v>
      </c>
      <c r="D115" s="4" t="str">
        <f t="shared" si="1"/>
        <v>{"valorA":"usálo","valorB":1}</v>
      </c>
      <c r="E115" s="8" t="str">
        <f t="shared" si="2"/>
        <v>usálo</v>
      </c>
      <c r="F115" s="8" t="str">
        <f>IFERROR(__xludf.DUMMYFUNCTION("""COMPUTED_VALUE"""),"acho")</f>
        <v>acho</v>
      </c>
      <c r="G115" s="8" t="str">
        <f t="shared" si="3"/>
        <v>1</v>
      </c>
      <c r="H115" s="9">
        <f t="shared" si="4"/>
        <v>1</v>
      </c>
      <c r="I115" s="10">
        <f>IFERROR(__xludf.DUMMYFUNCTION("MAX(FILTER($H:$H,$E:$E=F115))"),2.0)</f>
        <v>2</v>
      </c>
    </row>
    <row r="116">
      <c r="A116" s="4"/>
      <c r="C116" s="4" t="s">
        <v>3893</v>
      </c>
      <c r="D116" s="4" t="str">
        <f t="shared" si="1"/>
        <v>{"valorA":"desde","valorB":2}</v>
      </c>
      <c r="E116" s="8" t="str">
        <f t="shared" si="2"/>
        <v>desde</v>
      </c>
      <c r="F116" s="8" t="str">
        <f>IFERROR(__xludf.DUMMYFUNCTION("""COMPUTED_VALUE"""),"banheiro")</f>
        <v>banheiro</v>
      </c>
      <c r="G116" s="8" t="str">
        <f t="shared" si="3"/>
        <v>2</v>
      </c>
      <c r="H116" s="9">
        <f t="shared" si="4"/>
        <v>2</v>
      </c>
      <c r="I116" s="10">
        <f>IFERROR(__xludf.DUMMYFUNCTION("MAX(FILTER($H:$H,$E:$E=F116))"),1.0)</f>
        <v>1</v>
      </c>
    </row>
    <row r="117">
      <c r="A117" s="4"/>
      <c r="C117" s="4" t="s">
        <v>2642</v>
      </c>
      <c r="D117" s="4" t="str">
        <f t="shared" si="1"/>
        <v>{"valorA":"que","valorB":1}</v>
      </c>
      <c r="E117" s="8" t="str">
        <f t="shared" si="2"/>
        <v>que</v>
      </c>
      <c r="F117" s="8" t="str">
        <f>IFERROR(__xludf.DUMMYFUNCTION("""COMPUTED_VALUE"""),"balança")</f>
        <v>balança</v>
      </c>
      <c r="G117" s="8" t="str">
        <f t="shared" si="3"/>
        <v>1</v>
      </c>
      <c r="H117" s="9">
        <f t="shared" si="4"/>
        <v>1</v>
      </c>
      <c r="I117" s="10">
        <f>IFERROR(__xludf.DUMMYFUNCTION("MAX(FILTER($H:$H,$E:$E=F117))"),1.0)</f>
        <v>1</v>
      </c>
    </row>
    <row r="118">
      <c r="A118" s="4"/>
      <c r="C118" s="4" t="s">
        <v>2686</v>
      </c>
      <c r="D118" s="4" t="str">
        <f t="shared" si="1"/>
        <v>{"valorA":"a","valorB":3}</v>
      </c>
      <c r="E118" s="8" t="str">
        <f t="shared" si="2"/>
        <v>a</v>
      </c>
      <c r="F118" s="8" t="str">
        <f>IFERROR(__xludf.DUMMYFUNCTION("""COMPUTED_VALUE"""),"ginásio")</f>
        <v>ginásio</v>
      </c>
      <c r="G118" s="8" t="str">
        <f t="shared" si="3"/>
        <v>3</v>
      </c>
      <c r="H118" s="9">
        <f t="shared" si="4"/>
        <v>3</v>
      </c>
      <c r="I118" s="10">
        <f>IFERROR(__xludf.DUMMYFUNCTION("MAX(FILTER($H:$H,$E:$E=F118))"),1.0)</f>
        <v>1</v>
      </c>
    </row>
    <row r="119">
      <c r="A119" s="4"/>
      <c r="C119" s="4" t="s">
        <v>2814</v>
      </c>
      <c r="D119" s="4" t="str">
        <f t="shared" si="1"/>
        <v>{"valorA":"com","valorB":2}</v>
      </c>
      <c r="E119" s="8" t="str">
        <f t="shared" si="2"/>
        <v>com</v>
      </c>
      <c r="F119" s="8" t="str">
        <f>IFERROR(__xludf.DUMMYFUNCTION("""COMPUTED_VALUE"""),"luz")</f>
        <v>luz</v>
      </c>
      <c r="G119" s="8" t="str">
        <f t="shared" si="3"/>
        <v>2</v>
      </c>
      <c r="H119" s="9">
        <f t="shared" si="4"/>
        <v>2</v>
      </c>
      <c r="I119" s="10">
        <f>IFERROR(__xludf.DUMMYFUNCTION("MAX(FILTER($H:$H,$E:$E=F119))"),1.0)</f>
        <v>1</v>
      </c>
    </row>
    <row r="120">
      <c r="A120" s="4"/>
      <c r="C120" s="4" t="s">
        <v>3146</v>
      </c>
      <c r="D120" s="4" t="str">
        <f t="shared" si="1"/>
        <v>{"valorA":"eu","valorB":1}</v>
      </c>
      <c r="E120" s="8" t="str">
        <f t="shared" si="2"/>
        <v>eu</v>
      </c>
      <c r="F120" s="8" t="str">
        <f>IFERROR(__xludf.DUMMYFUNCTION("""COMPUTED_VALUE"""),"útil")</f>
        <v>útil</v>
      </c>
      <c r="G120" s="8" t="str">
        <f t="shared" si="3"/>
        <v>1</v>
      </c>
      <c r="H120" s="9">
        <f t="shared" si="4"/>
        <v>1</v>
      </c>
      <c r="I120" s="10">
        <f>IFERROR(__xludf.DUMMYFUNCTION("MAX(FILTER($H:$H,$E:$E=F120))"),1.0)</f>
        <v>1</v>
      </c>
    </row>
    <row r="121">
      <c r="A121" s="4"/>
      <c r="C121" s="4" t="s">
        <v>12554</v>
      </c>
      <c r="D121" s="4" t="str">
        <f t="shared" si="1"/>
        <v>{"valorA":"sistema","valorB":3}</v>
      </c>
      <c r="E121" s="8" t="str">
        <f t="shared" si="2"/>
        <v>sistema</v>
      </c>
      <c r="F121" s="8" t="str">
        <f>IFERROR(__xludf.DUMMYFUNCTION("""COMPUTED_VALUE"""),"comprei")</f>
        <v>comprei</v>
      </c>
      <c r="G121" s="8" t="str">
        <f t="shared" si="3"/>
        <v>3</v>
      </c>
      <c r="H121" s="9">
        <f t="shared" si="4"/>
        <v>3</v>
      </c>
      <c r="I121" s="10">
        <f>IFERROR(__xludf.DUMMYFUNCTION("MAX(FILTER($H:$H,$E:$E=F121))"),2.0)</f>
        <v>2</v>
      </c>
    </row>
    <row r="122">
      <c r="A122" s="4"/>
      <c r="C122" s="4" t="s">
        <v>3457</v>
      </c>
      <c r="D122" s="4" t="str">
        <f t="shared" si="1"/>
        <v>{"valorA":"casa","valorB":2}</v>
      </c>
      <c r="E122" s="8" t="str">
        <f t="shared" si="2"/>
        <v>casa</v>
      </c>
      <c r="F122" s="8" t="str">
        <f>IFERROR(__xludf.DUMMYFUNCTION("""COMPUTED_VALUE"""),"foi")</f>
        <v>foi</v>
      </c>
      <c r="G122" s="8" t="str">
        <f t="shared" si="3"/>
        <v>2</v>
      </c>
      <c r="H122" s="9">
        <f t="shared" si="4"/>
        <v>2</v>
      </c>
      <c r="I122" s="10">
        <f>IFERROR(__xludf.DUMMYFUNCTION("MAX(FILTER($H:$H,$E:$E=F122))"),2.0)</f>
        <v>2</v>
      </c>
    </row>
    <row r="123">
      <c r="A123" s="4"/>
      <c r="C123" s="4" t="s">
        <v>2876</v>
      </c>
      <c r="D123" s="4" t="str">
        <f t="shared" si="1"/>
        <v>{"valorA":"de","valorB":6}</v>
      </c>
      <c r="E123" s="8" t="str">
        <f t="shared" si="2"/>
        <v>de</v>
      </c>
      <c r="F123" s="8" t="str">
        <f>IFERROR(__xludf.DUMMYFUNCTION("""COMPUTED_VALUE"""),"pé")</f>
        <v>pé</v>
      </c>
      <c r="G123" s="8" t="str">
        <f t="shared" si="3"/>
        <v>6</v>
      </c>
      <c r="H123" s="9">
        <f t="shared" si="4"/>
        <v>6</v>
      </c>
      <c r="I123" s="10">
        <f>IFERROR(__xludf.DUMMYFUNCTION("MAX(FILTER($H:$H,$E:$E=F123))"),1.0)</f>
        <v>1</v>
      </c>
    </row>
    <row r="124">
      <c r="A124" s="4"/>
      <c r="C124" s="4" t="s">
        <v>2850</v>
      </c>
      <c r="D124" s="4" t="str">
        <f t="shared" si="1"/>
        <v>{"valorA":"a","valorB":4}</v>
      </c>
      <c r="E124" s="8" t="str">
        <f t="shared" si="2"/>
        <v>a</v>
      </c>
      <c r="F124" s="8" t="str">
        <f>IFERROR(__xludf.DUMMYFUNCTION("""COMPUTED_VALUE"""),"cachorro")</f>
        <v>cachorro</v>
      </c>
      <c r="G124" s="8" t="str">
        <f t="shared" si="3"/>
        <v>4</v>
      </c>
      <c r="H124" s="9">
        <f t="shared" si="4"/>
        <v>4</v>
      </c>
      <c r="I124" s="10">
        <f>IFERROR(__xludf.DUMMYFUNCTION("MAX(FILTER($H:$H,$E:$E=F124))"),1.0)</f>
        <v>1</v>
      </c>
    </row>
    <row r="125">
      <c r="A125" s="4"/>
      <c r="C125" s="4" t="s">
        <v>2702</v>
      </c>
      <c r="D125" s="4" t="str">
        <f t="shared" si="1"/>
        <v>{"valorA":"ótimo","valorB":12}</v>
      </c>
      <c r="E125" s="8" t="str">
        <f t="shared" si="2"/>
        <v>ótimo</v>
      </c>
      <c r="F125" s="8" t="str">
        <f>IFERROR(__xludf.DUMMYFUNCTION("""COMPUTED_VALUE"""),"pulga")</f>
        <v>pulga</v>
      </c>
      <c r="G125" s="8" t="str">
        <f t="shared" si="3"/>
        <v>12</v>
      </c>
      <c r="H125" s="9">
        <f t="shared" si="4"/>
        <v>12</v>
      </c>
      <c r="I125" s="10">
        <f>IFERROR(__xludf.DUMMYFUNCTION("MAX(FILTER($H:$H,$E:$E=F125))"),1.0)</f>
        <v>1</v>
      </c>
    </row>
    <row r="126">
      <c r="A126" s="4"/>
      <c r="C126" s="4" t="s">
        <v>3934</v>
      </c>
      <c r="D126" s="4" t="str">
        <f t="shared" si="1"/>
        <v>{"valorA":"minha","valorB":2}</v>
      </c>
      <c r="E126" s="8" t="str">
        <f t="shared" si="2"/>
        <v>minha</v>
      </c>
      <c r="F126" s="8" t="str">
        <f>IFERROR(__xludf.DUMMYFUNCTION("""COMPUTED_VALUE"""),"cadeira")</f>
        <v>cadeira</v>
      </c>
      <c r="G126" s="8" t="str">
        <f t="shared" si="3"/>
        <v>2</v>
      </c>
      <c r="H126" s="9">
        <f t="shared" si="4"/>
        <v>2</v>
      </c>
      <c r="I126" s="10">
        <f>IFERROR(__xludf.DUMMYFUNCTION("MAX(FILTER($H:$H,$E:$E=F126))"),2.0)</f>
        <v>2</v>
      </c>
    </row>
    <row r="127">
      <c r="A127" s="4"/>
      <c r="C127" s="4" t="s">
        <v>8096</v>
      </c>
      <c r="D127" s="4" t="str">
        <f t="shared" si="1"/>
        <v>{"valorA":"segurança","valorB":1}</v>
      </c>
      <c r="E127" s="8" t="str">
        <f t="shared" si="2"/>
        <v>segurança</v>
      </c>
      <c r="F127" s="8" t="str">
        <f>IFERROR(__xludf.DUMMYFUNCTION("""COMPUTED_VALUE"""),"postura")</f>
        <v>postura</v>
      </c>
      <c r="G127" s="8" t="str">
        <f t="shared" si="3"/>
        <v>1</v>
      </c>
      <c r="H127" s="9">
        <f t="shared" si="4"/>
        <v>1</v>
      </c>
      <c r="I127" s="10">
        <f>IFERROR(__xludf.DUMMYFUNCTION("MAX(FILTER($H:$H,$E:$E=F127))"),1.0)</f>
        <v>1</v>
      </c>
    </row>
    <row r="128">
      <c r="A128" s="4"/>
      <c r="C128" s="4" t="s">
        <v>2805</v>
      </c>
      <c r="D128" s="4" t="str">
        <f t="shared" si="1"/>
        <v>{"valorA":"para","valorB":5}</v>
      </c>
      <c r="E128" s="8" t="str">
        <f t="shared" si="2"/>
        <v>para</v>
      </c>
      <c r="F128" s="8" t="str">
        <f>IFERROR(__xludf.DUMMYFUNCTION("""COMPUTED_VALUE"""),"escritório")</f>
        <v>escritório</v>
      </c>
      <c r="G128" s="8" t="str">
        <f t="shared" si="3"/>
        <v>5</v>
      </c>
      <c r="H128" s="9">
        <f t="shared" si="4"/>
        <v>5</v>
      </c>
      <c r="I128" s="10">
        <f>IFERROR(__xludf.DUMMYFUNCTION("MAX(FILTER($H:$H,$E:$E=F128))"),1.0)</f>
        <v>1</v>
      </c>
    </row>
    <row r="129">
      <c r="A129" s="4"/>
      <c r="C129" s="4" t="s">
        <v>3108</v>
      </c>
      <c r="D129" s="4" t="str">
        <f t="shared" si="1"/>
        <v>{"valorA":"valeu","valorB":2}</v>
      </c>
      <c r="E129" s="8" t="str">
        <f t="shared" si="2"/>
        <v>valeu</v>
      </c>
      <c r="F129" s="8" t="str">
        <f>IFERROR(__xludf.DUMMYFUNCTION("""COMPUTED_VALUE"""),"modelo")</f>
        <v>modelo</v>
      </c>
      <c r="G129" s="8" t="str">
        <f t="shared" si="3"/>
        <v>2</v>
      </c>
      <c r="H129" s="9">
        <f t="shared" si="4"/>
        <v>2</v>
      </c>
      <c r="I129" s="10">
        <f>IFERROR(__xludf.DUMMYFUNCTION("MAX(FILTER($H:$H,$E:$E=F129))"),2.0)</f>
        <v>2</v>
      </c>
    </row>
    <row r="130">
      <c r="A130" s="4"/>
      <c r="C130" s="4" t="s">
        <v>2891</v>
      </c>
      <c r="D130" s="4" t="str">
        <f t="shared" si="1"/>
        <v>{"valorA":"pena","valorB":2}</v>
      </c>
      <c r="E130" s="8" t="str">
        <f t="shared" si="2"/>
        <v>pena</v>
      </c>
      <c r="F130" s="8" t="str">
        <f>IFERROR(__xludf.DUMMYFUNCTION("""COMPUTED_VALUE"""),"desse")</f>
        <v>desse</v>
      </c>
      <c r="G130" s="8" t="str">
        <f t="shared" si="3"/>
        <v>2</v>
      </c>
      <c r="H130" s="9">
        <f t="shared" si="4"/>
        <v>2</v>
      </c>
      <c r="I130" s="10">
        <f>IFERROR(__xludf.DUMMYFUNCTION("MAX(FILTER($H:$H,$E:$E=F130))"),1.0)</f>
        <v>1</v>
      </c>
    </row>
    <row r="131">
      <c r="A131" s="4"/>
      <c r="C131" s="4" t="s">
        <v>3783</v>
      </c>
      <c r="D131" s="4" t="str">
        <f t="shared" si="1"/>
        <v>{"valorA":"monitor","valorB":2}</v>
      </c>
      <c r="E131" s="8" t="str">
        <f t="shared" si="2"/>
        <v>monitor</v>
      </c>
      <c r="F131" s="8" t="str">
        <f>IFERROR(__xludf.DUMMYFUNCTION("""COMPUTED_VALUE"""),"bastante")</f>
        <v>bastante</v>
      </c>
      <c r="G131" s="8" t="str">
        <f t="shared" si="3"/>
        <v>2</v>
      </c>
      <c r="H131" s="9">
        <f t="shared" si="4"/>
        <v>2</v>
      </c>
      <c r="I131" s="10">
        <f>IFERROR(__xludf.DUMMYFUNCTION("MAX(FILTER($H:$H,$E:$E=F131))"),3.0)</f>
        <v>3</v>
      </c>
    </row>
    <row r="132">
      <c r="A132" s="4"/>
      <c r="C132" s="4" t="s">
        <v>2710</v>
      </c>
      <c r="D132" s="4" t="str">
        <f t="shared" si="1"/>
        <v>{"valorA":"ótimo","valorB":13}</v>
      </c>
      <c r="E132" s="8" t="str">
        <f t="shared" si="2"/>
        <v>ótimo</v>
      </c>
      <c r="F132" s="8" t="str">
        <f>IFERROR(__xludf.DUMMYFUNCTION("""COMPUTED_VALUE"""),"consumidor")</f>
        <v>consumidor</v>
      </c>
      <c r="G132" s="8" t="str">
        <f t="shared" si="3"/>
        <v>13</v>
      </c>
      <c r="H132" s="9">
        <f t="shared" si="4"/>
        <v>13</v>
      </c>
      <c r="I132" s="10">
        <f>IFERROR(__xludf.DUMMYFUNCTION("MAX(FILTER($H:$H,$E:$E=F132))"),1.0)</f>
        <v>1</v>
      </c>
    </row>
    <row r="133">
      <c r="A133" s="4"/>
      <c r="C133" s="4" t="s">
        <v>2827</v>
      </c>
      <c r="D133" s="4" t="str">
        <f t="shared" si="1"/>
        <v>{"valorA":"para","valorB":6}</v>
      </c>
      <c r="E133" s="8" t="str">
        <f t="shared" si="2"/>
        <v>para</v>
      </c>
      <c r="F133" s="8" t="str">
        <f>IFERROR(__xludf.DUMMYFUNCTION("""COMPUTED_VALUE"""),"frio")</f>
        <v>frio</v>
      </c>
      <c r="G133" s="8" t="str">
        <f t="shared" si="3"/>
        <v>6</v>
      </c>
      <c r="H133" s="9">
        <f t="shared" si="4"/>
        <v>6</v>
      </c>
      <c r="I133" s="10">
        <f>IFERROR(__xludf.DUMMYFUNCTION("MAX(FILTER($H:$H,$E:$E=F133))"),1.0)</f>
        <v>1</v>
      </c>
    </row>
    <row r="134">
      <c r="A134" s="4"/>
      <c r="C134" s="4" t="s">
        <v>2180</v>
      </c>
      <c r="D134" s="4" t="str">
        <f t="shared" si="1"/>
        <v>{"valorA":"computador","valorB":1}</v>
      </c>
      <c r="E134" s="8" t="str">
        <f t="shared" si="2"/>
        <v>computador</v>
      </c>
      <c r="F134" s="8" t="str">
        <f>IFERROR(__xludf.DUMMYFUNCTION("""COMPUTED_VALUE"""),"baixo")</f>
        <v>baixo</v>
      </c>
      <c r="G134" s="8" t="str">
        <f t="shared" si="3"/>
        <v>1</v>
      </c>
      <c r="H134" s="9">
        <f t="shared" si="4"/>
        <v>1</v>
      </c>
      <c r="I134" s="10">
        <f>IFERROR(__xludf.DUMMYFUNCTION("MAX(FILTER($H:$H,$E:$E=F134))"),1.0)</f>
        <v>1</v>
      </c>
    </row>
    <row r="135">
      <c r="A135" s="4"/>
      <c r="C135" s="4" t="s">
        <v>2835</v>
      </c>
      <c r="D135" s="4" t="str">
        <f t="shared" si="1"/>
        <v>{"valorA":"muito","valorB":7}</v>
      </c>
      <c r="E135" s="8" t="str">
        <f t="shared" si="2"/>
        <v>muito</v>
      </c>
      <c r="F135" s="8" t="str">
        <f>IFERROR(__xludf.DUMMYFUNCTION("""COMPUTED_VALUE"""),"fm")</f>
        <v>fm</v>
      </c>
      <c r="G135" s="8" t="str">
        <f t="shared" si="3"/>
        <v>7</v>
      </c>
      <c r="H135" s="9">
        <f t="shared" si="4"/>
        <v>7</v>
      </c>
      <c r="I135" s="10">
        <f>IFERROR(__xludf.DUMMYFUNCTION("MAX(FILTER($H:$H,$E:$E=F135))"),1.0)</f>
        <v>1</v>
      </c>
    </row>
    <row r="136">
      <c r="A136" s="4"/>
      <c r="C136" s="4" t="s">
        <v>3044</v>
      </c>
      <c r="D136" s="4" t="str">
        <f t="shared" si="1"/>
        <v>{"valorA":"bom","valorB":2}</v>
      </c>
      <c r="E136" s="8" t="str">
        <f t="shared" si="2"/>
        <v>bom</v>
      </c>
      <c r="F136" s="8" t="str">
        <f>IFERROR(__xludf.DUMMYFUNCTION("""COMPUTED_VALUE"""),"mais")</f>
        <v>mais</v>
      </c>
      <c r="G136" s="8" t="str">
        <f t="shared" si="3"/>
        <v>2</v>
      </c>
      <c r="H136" s="9">
        <f t="shared" si="4"/>
        <v>2</v>
      </c>
      <c r="I136" s="10">
        <f>IFERROR(__xludf.DUMMYFUNCTION("MAX(FILTER($H:$H,$E:$E=F136))"),1.0)</f>
        <v>1</v>
      </c>
    </row>
    <row r="137">
      <c r="A137" s="4"/>
      <c r="C137" s="4" t="s">
        <v>3463</v>
      </c>
      <c r="D137" s="4" t="str">
        <f t="shared" si="1"/>
        <v>{"valorA":"óptimo","valorB":2}</v>
      </c>
      <c r="E137" s="8" t="str">
        <f t="shared" si="2"/>
        <v>óptimo</v>
      </c>
      <c r="F137" s="8" t="str">
        <f>IFERROR(__xludf.DUMMYFUNCTION("""COMPUTED_VALUE"""),"já")</f>
        <v>já</v>
      </c>
      <c r="G137" s="8" t="str">
        <f t="shared" si="3"/>
        <v>2</v>
      </c>
      <c r="H137" s="9">
        <f t="shared" si="4"/>
        <v>2</v>
      </c>
      <c r="I137" s="10">
        <f>IFERROR(__xludf.DUMMYFUNCTION("MAX(FILTER($H:$H,$E:$E=F137))"),1.0)</f>
        <v>1</v>
      </c>
    </row>
    <row r="138">
      <c r="A138" s="4"/>
      <c r="C138" s="4" t="s">
        <v>12555</v>
      </c>
      <c r="D138" s="4" t="str">
        <f t="shared" si="1"/>
        <v>{"valorA":"cortetrilho","valorB":1}</v>
      </c>
      <c r="E138" s="8" t="str">
        <f t="shared" si="2"/>
        <v>cortetrilho</v>
      </c>
      <c r="F138" s="8" t="str">
        <f>IFERROR(__xludf.DUMMYFUNCTION("""COMPUTED_VALUE"""),"espaçoso")</f>
        <v>espaçoso</v>
      </c>
      <c r="G138" s="8" t="str">
        <f t="shared" si="3"/>
        <v>1</v>
      </c>
      <c r="H138" s="9">
        <f t="shared" si="4"/>
        <v>1</v>
      </c>
      <c r="I138" s="10">
        <f>IFERROR(__xludf.DUMMYFUNCTION("MAX(FILTER($H:$H,$E:$E=F138))"),1.0)</f>
        <v>1</v>
      </c>
    </row>
    <row r="139">
      <c r="A139" s="4"/>
      <c r="C139" s="4" t="s">
        <v>3374</v>
      </c>
      <c r="D139" s="4" t="str">
        <f t="shared" si="1"/>
        <v>{"valorA":"achei","valorB":1}</v>
      </c>
      <c r="E139" s="8" t="str">
        <f t="shared" si="2"/>
        <v>achei</v>
      </c>
      <c r="F139" s="8" t="str">
        <f>IFERROR(__xludf.DUMMYFUNCTION("""COMPUTED_VALUE"""),"estilo")</f>
        <v>estilo</v>
      </c>
      <c r="G139" s="8" t="str">
        <f t="shared" si="3"/>
        <v>1</v>
      </c>
      <c r="H139" s="9">
        <f t="shared" si="4"/>
        <v>1</v>
      </c>
      <c r="I139" s="10">
        <f>IFERROR(__xludf.DUMMYFUNCTION("MAX(FILTER($H:$H,$E:$E=F139))"),1.0)</f>
        <v>1</v>
      </c>
    </row>
    <row r="140">
      <c r="A140" s="4"/>
      <c r="C140" s="4" t="s">
        <v>3359</v>
      </c>
      <c r="D140" s="4" t="str">
        <f t="shared" si="1"/>
        <v>{"valorA":"ótima","valorB":3}</v>
      </c>
      <c r="E140" s="8" t="str">
        <f t="shared" si="2"/>
        <v>ótima</v>
      </c>
      <c r="F140" s="8" t="str">
        <f>IFERROR(__xludf.DUMMYFUNCTION("""COMPUTED_VALUE"""),"quarto")</f>
        <v>quarto</v>
      </c>
      <c r="G140" s="8" t="str">
        <f t="shared" si="3"/>
        <v>3</v>
      </c>
      <c r="H140" s="9">
        <f t="shared" si="4"/>
        <v>3</v>
      </c>
      <c r="I140" s="10">
        <f>IFERROR(__xludf.DUMMYFUNCTION("MAX(FILTER($H:$H,$E:$E=F140))"),1.0)</f>
        <v>1</v>
      </c>
    </row>
    <row r="141">
      <c r="A141" s="4"/>
      <c r="C141" s="4" t="s">
        <v>3849</v>
      </c>
      <c r="D141" s="4" t="str">
        <f t="shared" si="1"/>
        <v>{"valorA":"antiga","valorB":1}</v>
      </c>
      <c r="E141" s="8" t="str">
        <f t="shared" si="2"/>
        <v>antiga</v>
      </c>
      <c r="F141" s="8" t="str">
        <f>IFERROR(__xludf.DUMMYFUNCTION("""COMPUTED_VALUE"""),"minimalista")</f>
        <v>minimalista</v>
      </c>
      <c r="G141" s="8" t="str">
        <f t="shared" si="3"/>
        <v>1</v>
      </c>
      <c r="H141" s="9">
        <f t="shared" si="4"/>
        <v>1</v>
      </c>
      <c r="I141" s="10">
        <f>IFERROR(__xludf.DUMMYFUNCTION("MAX(FILTER($H:$H,$E:$E=F141))"),1.0)</f>
        <v>1</v>
      </c>
    </row>
    <row r="142">
      <c r="A142" s="4"/>
      <c r="C142" s="4" t="s">
        <v>12556</v>
      </c>
      <c r="D142" s="4" t="str">
        <f t="shared" si="1"/>
        <v>{"valorA":"consome","valorB":1}</v>
      </c>
      <c r="E142" s="8" t="str">
        <f t="shared" si="2"/>
        <v>consome</v>
      </c>
      <c r="F142" s="8" t="str">
        <f>IFERROR(__xludf.DUMMYFUNCTION("""COMPUTED_VALUE"""),"bonito")</f>
        <v>bonito</v>
      </c>
      <c r="G142" s="8" t="str">
        <f t="shared" si="3"/>
        <v>1</v>
      </c>
      <c r="H142" s="9">
        <f t="shared" si="4"/>
        <v>1</v>
      </c>
      <c r="I142" s="10">
        <f>IFERROR(__xludf.DUMMYFUNCTION("MAX(FILTER($H:$H,$E:$E=F142))"),1.0)</f>
        <v>1</v>
      </c>
    </row>
    <row r="143">
      <c r="A143" s="4"/>
      <c r="C143" s="4" t="s">
        <v>2695</v>
      </c>
      <c r="D143" s="4" t="str">
        <f t="shared" si="1"/>
        <v>{"valorA":"que","valorB":2}</v>
      </c>
      <c r="E143" s="8" t="str">
        <f t="shared" si="2"/>
        <v>que</v>
      </c>
      <c r="F143" s="8" t="str">
        <f>IFERROR(__xludf.DUMMYFUNCTION("""COMPUTED_VALUE"""),"escrever")</f>
        <v>escrever</v>
      </c>
      <c r="G143" s="8" t="str">
        <f t="shared" si="3"/>
        <v>2</v>
      </c>
      <c r="H143" s="9">
        <f t="shared" si="4"/>
        <v>2</v>
      </c>
      <c r="I143" s="10">
        <f>IFERROR(__xludf.DUMMYFUNCTION("MAX(FILTER($H:$H,$E:$E=F143))"),1.0)</f>
        <v>1</v>
      </c>
    </row>
    <row r="144">
      <c r="A144" s="4"/>
      <c r="C144" s="4" t="s">
        <v>2654</v>
      </c>
      <c r="D144" s="4" t="str">
        <f t="shared" si="1"/>
        <v>{"valorA":"do","valorB":1}</v>
      </c>
      <c r="E144" s="8" t="str">
        <f t="shared" si="2"/>
        <v>do</v>
      </c>
      <c r="F144" s="8" t="str">
        <f>IFERROR(__xludf.DUMMYFUNCTION("""COMPUTED_VALUE"""),"lámpada")</f>
        <v>lámpada</v>
      </c>
      <c r="G144" s="8" t="str">
        <f t="shared" si="3"/>
        <v>1</v>
      </c>
      <c r="H144" s="9">
        <f t="shared" si="4"/>
        <v>1</v>
      </c>
      <c r="I144" s="10">
        <f>IFERROR(__xludf.DUMMYFUNCTION("MAX(FILTER($H:$H,$E:$E=F144))"),1.0)</f>
        <v>1</v>
      </c>
    </row>
    <row r="145">
      <c r="A145" s="4"/>
      <c r="C145" s="4" t="s">
        <v>8070</v>
      </c>
      <c r="D145" s="4" t="str">
        <f t="shared" si="1"/>
        <v>{"valorA":"menos","valorB":1}</v>
      </c>
      <c r="E145" s="8" t="str">
        <f t="shared" si="2"/>
        <v>menos</v>
      </c>
      <c r="F145" s="8" t="str">
        <f>IFERROR(__xludf.DUMMYFUNCTION("""COMPUTED_VALUE"""),"investimento")</f>
        <v>investimento</v>
      </c>
      <c r="G145" s="8" t="str">
        <f t="shared" si="3"/>
        <v>1</v>
      </c>
      <c r="H145" s="9">
        <f t="shared" si="4"/>
        <v>1</v>
      </c>
      <c r="I145" s="10">
        <f>IFERROR(__xludf.DUMMYFUNCTION("MAX(FILTER($H:$H,$E:$E=F145))"),3.0)</f>
        <v>3</v>
      </c>
    </row>
    <row r="146">
      <c r="A146" s="4"/>
      <c r="C146" s="4" t="s">
        <v>3938</v>
      </c>
      <c r="D146" s="4" t="str">
        <f t="shared" si="1"/>
        <v>{"valorA":"energia","valorB":1}</v>
      </c>
      <c r="E146" s="8" t="str">
        <f t="shared" si="2"/>
        <v>energia</v>
      </c>
      <c r="F146" s="8" t="str">
        <f>IFERROR(__xludf.DUMMYFUNCTION("""COMPUTED_VALUE"""),"cadeirante")</f>
        <v>cadeirante</v>
      </c>
      <c r="G146" s="8" t="str">
        <f t="shared" si="3"/>
        <v>1</v>
      </c>
      <c r="H146" s="9">
        <f t="shared" si="4"/>
        <v>1</v>
      </c>
      <c r="I146" s="10">
        <f>IFERROR(__xludf.DUMMYFUNCTION("MAX(FILTER($H:$H,$E:$E=F146))"),1.0)</f>
        <v>1</v>
      </c>
    </row>
    <row r="147">
      <c r="A147" s="4"/>
      <c r="C147" s="4" t="s">
        <v>12557</v>
      </c>
      <c r="D147" s="4" t="str">
        <f t="shared" si="1"/>
        <v>{"valorA":"minha","valorB":3}</v>
      </c>
      <c r="E147" s="8" t="str">
        <f t="shared" si="2"/>
        <v>minha</v>
      </c>
      <c r="F147" s="8" t="str">
        <f>IFERROR(__xludf.DUMMYFUNCTION("""COMPUTED_VALUE"""),"motorizado")</f>
        <v>motorizado</v>
      </c>
      <c r="G147" s="8" t="str">
        <f t="shared" si="3"/>
        <v>3</v>
      </c>
      <c r="H147" s="9">
        <f t="shared" si="4"/>
        <v>3</v>
      </c>
      <c r="I147" s="10">
        <f>IFERROR(__xludf.DUMMYFUNCTION("MAX(FILTER($H:$H,$E:$E=F147))"),1.0)</f>
        <v>1</v>
      </c>
    </row>
    <row r="148">
      <c r="A148" s="4"/>
      <c r="C148" s="4" t="s">
        <v>3396</v>
      </c>
      <c r="D148" s="4" t="str">
        <f t="shared" si="1"/>
        <v>{"valorA":"led","valorB":1}</v>
      </c>
      <c r="E148" s="8" t="str">
        <f t="shared" si="2"/>
        <v>led</v>
      </c>
      <c r="F148" s="8" t="str">
        <f>IFERROR(__xludf.DUMMYFUNCTION("""COMPUTED_VALUE"""),"dinheiro")</f>
        <v>dinheiro</v>
      </c>
      <c r="G148" s="8" t="str">
        <f t="shared" si="3"/>
        <v>1</v>
      </c>
      <c r="H148" s="9">
        <f t="shared" si="4"/>
        <v>1</v>
      </c>
      <c r="I148" s="10">
        <f>IFERROR(__xludf.DUMMYFUNCTION("MAX(FILTER($H:$H,$E:$E=F148))"),1.0)</f>
        <v>1</v>
      </c>
    </row>
    <row r="149">
      <c r="A149" s="4"/>
      <c r="C149" s="4" t="s">
        <v>2888</v>
      </c>
      <c r="D149" s="4" t="str">
        <f t="shared" si="1"/>
        <v>{"valorA":"a","valorB":5}</v>
      </c>
      <c r="E149" s="8" t="str">
        <f t="shared" si="2"/>
        <v>a</v>
      </c>
      <c r="F149" s="8" t="str">
        <f>IFERROR(__xludf.DUMMYFUNCTION("""COMPUTED_VALUE"""),"vale")</f>
        <v>vale</v>
      </c>
      <c r="G149" s="8" t="str">
        <f t="shared" si="3"/>
        <v>5</v>
      </c>
      <c r="H149" s="9">
        <f t="shared" si="4"/>
        <v>5</v>
      </c>
      <c r="I149" s="10">
        <f>IFERROR(__xludf.DUMMYFUNCTION("MAX(FILTER($H:$H,$E:$E=F149))"),1.0)</f>
        <v>1</v>
      </c>
    </row>
    <row r="150">
      <c r="A150" s="4"/>
      <c r="C150" s="4" t="s">
        <v>3397</v>
      </c>
      <c r="D150" s="4" t="str">
        <f t="shared" si="1"/>
        <v>{"valorA":"lâmpada","valorB":1}</v>
      </c>
      <c r="E150" s="8" t="str">
        <f t="shared" si="2"/>
        <v>lâmpada</v>
      </c>
      <c r="F150" s="8" t="str">
        <f>IFERROR(__xludf.DUMMYFUNCTION("""COMPUTED_VALUE"""),"celular")</f>
        <v>celular</v>
      </c>
      <c r="G150" s="8" t="str">
        <f t="shared" si="3"/>
        <v>1</v>
      </c>
      <c r="H150" s="9">
        <f t="shared" si="4"/>
        <v>1</v>
      </c>
      <c r="I150" s="10">
        <f>IFERROR(__xludf.DUMMYFUNCTION("MAX(FILTER($H:$H,$E:$E=F150))"),3.0)</f>
        <v>3</v>
      </c>
    </row>
    <row r="151">
      <c r="A151" s="4"/>
      <c r="C151" s="4" t="s">
        <v>3400</v>
      </c>
      <c r="D151" s="4" t="str">
        <f t="shared" si="1"/>
        <v>{"valorA":"brilhante","valorB":1}</v>
      </c>
      <c r="E151" s="8" t="str">
        <f t="shared" si="2"/>
        <v>brilhante</v>
      </c>
      <c r="F151" s="8" t="str">
        <f>IFERROR(__xludf.DUMMYFUNCTION("""COMPUTED_VALUE"""),"mas")</f>
        <v>mas</v>
      </c>
      <c r="G151" s="8" t="str">
        <f t="shared" si="3"/>
        <v>1</v>
      </c>
      <c r="H151" s="9">
        <f t="shared" si="4"/>
        <v>1</v>
      </c>
      <c r="I151" s="10">
        <f>IFERROR(__xludf.DUMMYFUNCTION("MAX(FILTER($H:$H,$E:$E=F151))"),1.0)</f>
        <v>1</v>
      </c>
    </row>
    <row r="152">
      <c r="A152" s="4"/>
      <c r="C152" s="4" t="s">
        <v>2676</v>
      </c>
      <c r="D152" s="4" t="str">
        <f t="shared" si="1"/>
        <v>{"valorA":"e","valorB":2}</v>
      </c>
      <c r="E152" s="8" t="str">
        <f t="shared" si="2"/>
        <v>e</v>
      </c>
      <c r="F152" s="8" t="str">
        <f>IFERROR(__xludf.DUMMYFUNCTION("""COMPUTED_VALUE"""),"alta")</f>
        <v>alta</v>
      </c>
      <c r="G152" s="8" t="str">
        <f t="shared" si="3"/>
        <v>2</v>
      </c>
      <c r="H152" s="9">
        <f t="shared" si="4"/>
        <v>2</v>
      </c>
      <c r="I152" s="10">
        <f>IFERROR(__xludf.DUMMYFUNCTION("MAX(FILTER($H:$H,$E:$E=F152))"),1.0)</f>
        <v>1</v>
      </c>
    </row>
    <row r="153">
      <c r="A153" s="4"/>
      <c r="C153" s="4" t="s">
        <v>3366</v>
      </c>
      <c r="D153" s="4" t="str">
        <f t="shared" si="1"/>
        <v>{"valorA":"ótima","valorB":4}</v>
      </c>
      <c r="E153" s="8" t="str">
        <f t="shared" si="2"/>
        <v>ótima</v>
      </c>
      <c r="F153" s="8" t="str">
        <f>IFERROR(__xludf.DUMMYFUNCTION("""COMPUTED_VALUE"""),"custoso")</f>
        <v>custoso</v>
      </c>
      <c r="G153" s="8" t="str">
        <f t="shared" si="3"/>
        <v>4</v>
      </c>
      <c r="H153" s="9">
        <f t="shared" si="4"/>
        <v>4</v>
      </c>
      <c r="I153" s="10">
        <f>IFERROR(__xludf.DUMMYFUNCTION("MAX(FILTER($H:$H,$E:$E=F153))"),1.0)</f>
        <v>1</v>
      </c>
    </row>
    <row r="154">
      <c r="A154" s="4"/>
      <c r="C154" s="4" t="s">
        <v>3916</v>
      </c>
      <c r="D154" s="4" t="str">
        <f t="shared" si="1"/>
        <v>{"valorA":"lâmpada","valorB":2}</v>
      </c>
      <c r="E154" s="8" t="str">
        <f t="shared" si="2"/>
        <v>lâmpada</v>
      </c>
      <c r="F154" s="8" t="str">
        <f>IFERROR(__xludf.DUMMYFUNCTION("""COMPUTED_VALUE"""),"era")</f>
        <v>era</v>
      </c>
      <c r="G154" s="8" t="str">
        <f t="shared" si="3"/>
        <v>2</v>
      </c>
      <c r="H154" s="9">
        <f t="shared" si="4"/>
        <v>2</v>
      </c>
      <c r="I154" s="10">
        <f>IFERROR(__xludf.DUMMYFUNCTION("MAX(FILTER($H:$H,$E:$E=F154))"),1.0)</f>
        <v>1</v>
      </c>
    </row>
    <row r="155">
      <c r="A155" s="4"/>
      <c r="C155" s="4" t="s">
        <v>3918</v>
      </c>
      <c r="D155" s="4" t="str">
        <f t="shared" si="1"/>
        <v>{"valorA":"led","valorB":2}</v>
      </c>
      <c r="E155" s="8" t="str">
        <f t="shared" si="2"/>
        <v>led</v>
      </c>
      <c r="F155" s="8" t="str">
        <f>IFERROR(__xludf.DUMMYFUNCTION("""COMPUTED_VALUE"""),"no")</f>
        <v>no</v>
      </c>
      <c r="G155" s="8" t="str">
        <f t="shared" si="3"/>
        <v>2</v>
      </c>
      <c r="H155" s="9">
        <f t="shared" si="4"/>
        <v>2</v>
      </c>
      <c r="I155" s="10">
        <f>IFERROR(__xludf.DUMMYFUNCTION("MAX(FILTER($H:$H,$E:$E=F155))"),1.0)</f>
        <v>1</v>
      </c>
    </row>
    <row r="156">
      <c r="A156" s="4"/>
      <c r="C156" s="4" t="s">
        <v>2911</v>
      </c>
      <c r="D156" s="4" t="str">
        <f t="shared" si="1"/>
        <v>{"valorA":"a","valorB":6}</v>
      </c>
      <c r="E156" s="8" t="str">
        <f t="shared" si="2"/>
        <v>a</v>
      </c>
      <c r="F156" s="8" t="str">
        <f>IFERROR(__xludf.DUMMYFUNCTION("""COMPUTED_VALUE"""),"site")</f>
        <v>site</v>
      </c>
      <c r="G156" s="8" t="str">
        <f t="shared" si="3"/>
        <v>6</v>
      </c>
      <c r="H156" s="9">
        <f t="shared" si="4"/>
        <v>6</v>
      </c>
      <c r="I156" s="10">
        <f>IFERROR(__xludf.DUMMYFUNCTION("MAX(FILTER($H:$H,$E:$E=F156))"),1.0)</f>
        <v>1</v>
      </c>
    </row>
    <row r="157">
      <c r="A157" s="4"/>
      <c r="C157" s="4" t="s">
        <v>2894</v>
      </c>
      <c r="D157" s="4" t="str">
        <f t="shared" si="1"/>
        <v>{"valorA":"muito","valorB":8}</v>
      </c>
      <c r="E157" s="8" t="str">
        <f t="shared" si="2"/>
        <v>muito</v>
      </c>
      <c r="F157" s="8" t="str">
        <f>IFERROR(__xludf.DUMMYFUNCTION("""COMPUTED_VALUE"""),"pensei")</f>
        <v>pensei</v>
      </c>
      <c r="G157" s="8" t="str">
        <f t="shared" si="3"/>
        <v>8</v>
      </c>
      <c r="H157" s="9">
        <f t="shared" si="4"/>
        <v>8</v>
      </c>
      <c r="I157" s="10">
        <f>IFERROR(__xludf.DUMMYFUNCTION("MAX(FILTER($H:$H,$E:$E=F157))"),1.0)</f>
        <v>1</v>
      </c>
    </row>
    <row r="158">
      <c r="A158" s="4"/>
      <c r="C158" s="4" t="s">
        <v>8130</v>
      </c>
      <c r="D158" s="4" t="str">
        <f t="shared" si="1"/>
        <v>{"valorA":"mantém","valorB":1}</v>
      </c>
      <c r="E158" s="8" t="str">
        <f t="shared" si="2"/>
        <v>mantém</v>
      </c>
      <c r="F158" s="8" t="str">
        <f>IFERROR(__xludf.DUMMYFUNCTION("""COMPUTED_VALUE"""),"um")</f>
        <v>um</v>
      </c>
      <c r="G158" s="8" t="str">
        <f t="shared" si="3"/>
        <v>1</v>
      </c>
      <c r="H158" s="9">
        <f t="shared" si="4"/>
        <v>1</v>
      </c>
      <c r="I158" s="10">
        <f>IFERROR(__xludf.DUMMYFUNCTION("MAX(FILTER($H:$H,$E:$E=F158))"),1.0)</f>
        <v>1</v>
      </c>
    </row>
    <row r="159">
      <c r="A159" s="4"/>
      <c r="C159" s="4" t="s">
        <v>12558</v>
      </c>
      <c r="D159" s="4" t="str">
        <f t="shared" si="1"/>
        <v>{"valorA":"cor","valorB":1}</v>
      </c>
      <c r="E159" s="8" t="str">
        <f t="shared" si="2"/>
        <v>cor</v>
      </c>
      <c r="F159" s="8" t="str">
        <f>IFERROR(__xludf.DUMMYFUNCTION("""COMPUTED_VALUE"""),"esquiador")</f>
        <v>esquiador</v>
      </c>
      <c r="G159" s="8" t="str">
        <f t="shared" si="3"/>
        <v>1</v>
      </c>
      <c r="H159" s="9">
        <f t="shared" si="4"/>
        <v>1</v>
      </c>
      <c r="I159" s="10">
        <f>IFERROR(__xludf.DUMMYFUNCTION("MAX(FILTER($H:$H,$E:$E=F159))"),1.0)</f>
        <v>1</v>
      </c>
    </row>
    <row r="160">
      <c r="A160" s="4"/>
      <c r="C160" s="4" t="s">
        <v>3116</v>
      </c>
      <c r="D160" s="4" t="str">
        <f t="shared" si="1"/>
        <v>{"valorA":"bem","valorB":7}</v>
      </c>
      <c r="E160" s="8" t="str">
        <f t="shared" si="2"/>
        <v>bem</v>
      </c>
      <c r="F160" s="8" t="str">
        <f>IFERROR(__xludf.DUMMYFUNCTION("""COMPUTED_VALUE"""),"venda")</f>
        <v>venda</v>
      </c>
      <c r="G160" s="8" t="str">
        <f t="shared" si="3"/>
        <v>7</v>
      </c>
      <c r="H160" s="9">
        <f t="shared" si="4"/>
        <v>7</v>
      </c>
      <c r="I160" s="10">
        <f>IFERROR(__xludf.DUMMYFUNCTION("MAX(FILTER($H:$H,$E:$E=F160))"),1.0)</f>
        <v>1</v>
      </c>
    </row>
    <row r="161">
      <c r="A161" s="4"/>
      <c r="C161" s="4" t="s">
        <v>3067</v>
      </c>
      <c r="D161" s="4" t="str">
        <f t="shared" si="1"/>
        <v>{"valorA":"rápido","valorB":1}</v>
      </c>
      <c r="E161" s="8" t="str">
        <f t="shared" si="2"/>
        <v>rápido</v>
      </c>
      <c r="F161" s="8" t="str">
        <f>IFERROR(__xludf.DUMMYFUNCTION("""COMPUTED_VALUE"""),"muita")</f>
        <v>muita</v>
      </c>
      <c r="G161" s="8" t="str">
        <f t="shared" si="3"/>
        <v>1</v>
      </c>
      <c r="H161" s="9">
        <f t="shared" si="4"/>
        <v>1</v>
      </c>
      <c r="I161" s="10">
        <f>IFERROR(__xludf.DUMMYFUNCTION("MAX(FILTER($H:$H,$E:$E=F161))"),1.0)</f>
        <v>1</v>
      </c>
    </row>
    <row r="162">
      <c r="A162" s="4"/>
      <c r="C162" s="4" t="s">
        <v>3868</v>
      </c>
      <c r="D162" s="4" t="str">
        <f t="shared" si="1"/>
        <v>{"valorA":"roupa","valorB":1}</v>
      </c>
      <c r="E162" s="8" t="str">
        <f t="shared" si="2"/>
        <v>roupa</v>
      </c>
      <c r="F162" s="8" t="str">
        <f>IFERROR(__xludf.DUMMYFUNCTION("""COMPUTED_VALUE"""),"bateria")</f>
        <v>bateria</v>
      </c>
      <c r="G162" s="8" t="str">
        <f t="shared" si="3"/>
        <v>1</v>
      </c>
      <c r="H162" s="9">
        <f t="shared" si="4"/>
        <v>1</v>
      </c>
      <c r="I162" s="10">
        <f>IFERROR(__xludf.DUMMYFUNCTION("MAX(FILTER($H:$H,$E:$E=F162))"),1.0)</f>
        <v>1</v>
      </c>
    </row>
    <row r="163">
      <c r="A163" s="4"/>
      <c r="C163" s="4" t="s">
        <v>2915</v>
      </c>
      <c r="D163" s="4" t="str">
        <f t="shared" si="1"/>
        <v>{"valorA":"muito","valorB":9}</v>
      </c>
      <c r="E163" s="8" t="str">
        <f t="shared" si="2"/>
        <v>muito</v>
      </c>
      <c r="F163" s="8" t="str">
        <f>IFERROR(__xludf.DUMMYFUNCTION("""COMPUTED_VALUE"""),"leve")</f>
        <v>leve</v>
      </c>
      <c r="G163" s="8" t="str">
        <f t="shared" si="3"/>
        <v>9</v>
      </c>
      <c r="H163" s="9">
        <f t="shared" si="4"/>
        <v>9</v>
      </c>
      <c r="I163" s="10">
        <f>IFERROR(__xludf.DUMMYFUNCTION("MAX(FILTER($H:$H,$E:$E=F163))"),1.0)</f>
        <v>1</v>
      </c>
    </row>
    <row r="164">
      <c r="A164" s="4"/>
      <c r="C164" s="4" t="s">
        <v>2718</v>
      </c>
      <c r="D164" s="4" t="str">
        <f t="shared" si="1"/>
        <v>{"valorA":"ótimo","valorB":14}</v>
      </c>
      <c r="E164" s="8" t="str">
        <f t="shared" si="2"/>
        <v>ótimo</v>
      </c>
      <c r="F164" s="8" t="str">
        <f>IFERROR(__xludf.DUMMYFUNCTION("""COMPUTED_VALUE"""),"portátil")</f>
        <v>portátil</v>
      </c>
      <c r="G164" s="8" t="str">
        <f t="shared" si="3"/>
        <v>14</v>
      </c>
      <c r="H164" s="9">
        <f t="shared" si="4"/>
        <v>14</v>
      </c>
      <c r="I164" s="10">
        <f>IFERROR(__xludf.DUMMYFUNCTION("MAX(FILTER($H:$H,$E:$E=F164))"),1.0)</f>
        <v>1</v>
      </c>
    </row>
    <row r="165">
      <c r="A165" s="4"/>
      <c r="C165" s="4" t="s">
        <v>2984</v>
      </c>
      <c r="D165" s="4" t="str">
        <f t="shared" si="1"/>
        <v>{"valorA":"de","valorB":7}</v>
      </c>
      <c r="E165" s="8" t="str">
        <f t="shared" si="2"/>
        <v>de</v>
      </c>
      <c r="F165" s="8" t="str">
        <f>IFERROR(__xludf.DUMMYFUNCTION("""COMPUTED_VALUE"""),"viajar")</f>
        <v>viajar</v>
      </c>
      <c r="G165" s="8" t="str">
        <f t="shared" si="3"/>
        <v>7</v>
      </c>
      <c r="H165" s="9">
        <f t="shared" si="4"/>
        <v>7</v>
      </c>
      <c r="I165" s="10">
        <f>IFERROR(__xludf.DUMMYFUNCTION("MAX(FILTER($H:$H,$E:$E=F165))"),1.0)</f>
        <v>1</v>
      </c>
    </row>
    <row r="166">
      <c r="A166" s="4"/>
      <c r="C166" s="4" t="s">
        <v>3361</v>
      </c>
      <c r="D166" s="4" t="str">
        <f t="shared" si="1"/>
        <v>{"valorA":"fica","valorB":1}</v>
      </c>
      <c r="E166" s="8" t="str">
        <f t="shared" si="2"/>
        <v>fica</v>
      </c>
      <c r="F166" s="8" t="str">
        <f>IFERROR(__xludf.DUMMYFUNCTION("""COMPUTED_VALUE"""),"ele")</f>
        <v>ele</v>
      </c>
      <c r="G166" s="8" t="str">
        <f t="shared" si="3"/>
        <v>1</v>
      </c>
      <c r="H166" s="9">
        <f t="shared" si="4"/>
        <v>1</v>
      </c>
      <c r="I166" s="10">
        <f>IFERROR(__xludf.DUMMYFUNCTION("MAX(FILTER($H:$H,$E:$E=F166))"),1.0)</f>
        <v>1</v>
      </c>
    </row>
    <row r="167">
      <c r="A167" s="4"/>
      <c r="C167" s="4" t="s">
        <v>3350</v>
      </c>
      <c r="D167" s="4" t="str">
        <f t="shared" si="1"/>
        <v>{"valorA":"lavador","valorB":3}</v>
      </c>
      <c r="E167" s="8" t="str">
        <f t="shared" si="2"/>
        <v>lavador</v>
      </c>
      <c r="F167" s="8" t="str">
        <f>IFERROR(__xludf.DUMMYFUNCTION("""COMPUTED_VALUE"""),"melhor")</f>
        <v>melhor</v>
      </c>
      <c r="G167" s="8" t="str">
        <f t="shared" si="3"/>
        <v>3</v>
      </c>
      <c r="H167" s="9">
        <f t="shared" si="4"/>
        <v>3</v>
      </c>
      <c r="I167" s="10">
        <f>IFERROR(__xludf.DUMMYFUNCTION("MAX(FILTER($H:$H,$E:$E=F167))"),1.0)</f>
        <v>1</v>
      </c>
    </row>
    <row r="168">
      <c r="A168" s="4"/>
      <c r="C168" s="4" t="s">
        <v>3869</v>
      </c>
      <c r="D168" s="4" t="str">
        <f t="shared" si="1"/>
        <v>{"valorA":"limpo","valorB":1}</v>
      </c>
      <c r="E168" s="8" t="str">
        <f t="shared" si="2"/>
        <v>limpo</v>
      </c>
      <c r="F168" s="8" t="str">
        <f>IFERROR(__xludf.DUMMYFUNCTION("""COMPUTED_VALUE"""),"hoje")</f>
        <v>hoje</v>
      </c>
      <c r="G168" s="8" t="str">
        <f t="shared" si="3"/>
        <v>1</v>
      </c>
      <c r="H168" s="9">
        <f t="shared" si="4"/>
        <v>1</v>
      </c>
      <c r="I168" s="10">
        <f>IFERROR(__xludf.DUMMYFUNCTION("MAX(FILTER($H:$H,$E:$E=F168))"),1.0)</f>
        <v>1</v>
      </c>
    </row>
    <row r="169">
      <c r="A169" s="4"/>
      <c r="C169" s="4" t="s">
        <v>2726</v>
      </c>
      <c r="D169" s="4" t="str">
        <f t="shared" si="1"/>
        <v>{"valorA":"ótimo","valorB":15}</v>
      </c>
      <c r="E169" s="8" t="str">
        <f t="shared" si="2"/>
        <v>ótimo</v>
      </c>
      <c r="F169" s="8" t="str">
        <f>IFERROR(__xludf.DUMMYFUNCTION("""COMPUTED_VALUE"""),"fiz")</f>
        <v>fiz</v>
      </c>
      <c r="G169" s="8" t="str">
        <f t="shared" si="3"/>
        <v>15</v>
      </c>
      <c r="H169" s="9">
        <f t="shared" si="4"/>
        <v>15</v>
      </c>
      <c r="I169" s="10">
        <f>IFERROR(__xludf.DUMMYFUNCTION("MAX(FILTER($H:$H,$E:$E=F169))"),1.0)</f>
        <v>1</v>
      </c>
    </row>
    <row r="170">
      <c r="A170" s="4"/>
      <c r="C170" s="4" t="s">
        <v>2934</v>
      </c>
      <c r="D170" s="4" t="str">
        <f t="shared" si="1"/>
        <v>{"valorA":"muito","valorB":10}</v>
      </c>
      <c r="E170" s="8" t="str">
        <f t="shared" si="2"/>
        <v>muito</v>
      </c>
      <c r="F170" s="8" t="str">
        <f>IFERROR(__xludf.DUMMYFUNCTION("""COMPUTED_VALUE"""),"tv")</f>
        <v>tv</v>
      </c>
      <c r="G170" s="8" t="str">
        <f t="shared" si="3"/>
        <v>10</v>
      </c>
      <c r="H170" s="9">
        <f t="shared" si="4"/>
        <v>10</v>
      </c>
      <c r="I170" s="10">
        <f>IFERROR(__xludf.DUMMYFUNCTION("MAX(FILTER($H:$H,$E:$E=F170))"),1.0)</f>
        <v>1</v>
      </c>
    </row>
    <row r="171">
      <c r="A171" s="4"/>
      <c r="C171" s="4" t="s">
        <v>3850</v>
      </c>
      <c r="D171" s="4" t="str">
        <f t="shared" si="1"/>
        <v>{"valorA":"cabelo","valorB":2}</v>
      </c>
      <c r="E171" s="8" t="str">
        <f t="shared" si="2"/>
        <v>cabelo</v>
      </c>
      <c r="F171" s="8" t="str">
        <f>IFERROR(__xludf.DUMMYFUNCTION("""COMPUTED_VALUE"""),"shampoo")</f>
        <v>shampoo</v>
      </c>
      <c r="G171" s="8" t="str">
        <f t="shared" si="3"/>
        <v>2</v>
      </c>
      <c r="H171" s="9">
        <f t="shared" si="4"/>
        <v>2</v>
      </c>
      <c r="I171" s="10">
        <f>IFERROR(__xludf.DUMMYFUNCTION("MAX(FILTER($H:$H,$E:$E=F171))"),1.0)</f>
        <v>1</v>
      </c>
    </row>
    <row r="172">
      <c r="A172" s="4"/>
      <c r="C172" s="4" t="s">
        <v>3069</v>
      </c>
      <c r="D172" s="4" t="str">
        <f t="shared" si="1"/>
        <v>{"valorA":"de","valorB":8}</v>
      </c>
      <c r="E172" s="8" t="str">
        <f t="shared" si="2"/>
        <v>de</v>
      </c>
      <c r="F172" s="8" t="str">
        <f>IFERROR(__xludf.DUMMYFUNCTION("""COMPUTED_VALUE"""),"limpeza")</f>
        <v>limpeza</v>
      </c>
      <c r="G172" s="8" t="str">
        <f t="shared" si="3"/>
        <v>8</v>
      </c>
      <c r="H172" s="9">
        <f t="shared" si="4"/>
        <v>8</v>
      </c>
      <c r="I172" s="10">
        <f>IFERROR(__xludf.DUMMYFUNCTION("MAX(FILTER($H:$H,$E:$E=F172))"),1.0)</f>
        <v>1</v>
      </c>
    </row>
    <row r="173">
      <c r="A173" s="4"/>
      <c r="C173" s="4" t="s">
        <v>12559</v>
      </c>
      <c r="D173" s="4" t="str">
        <f t="shared" si="1"/>
        <v>{"valorA":"reboque","valorB":1}</v>
      </c>
      <c r="E173" s="8" t="str">
        <f t="shared" si="2"/>
        <v>reboque</v>
      </c>
      <c r="F173" s="8" t="str">
        <f>IFERROR(__xludf.DUMMYFUNCTION("""COMPUTED_VALUE"""),"consumo")</f>
        <v>consumo</v>
      </c>
      <c r="G173" s="8" t="str">
        <f t="shared" si="3"/>
        <v>1</v>
      </c>
      <c r="H173" s="9">
        <f t="shared" si="4"/>
        <v>1</v>
      </c>
      <c r="I173" s="10">
        <f>IFERROR(__xludf.DUMMYFUNCTION("MAX(FILTER($H:$H,$E:$E=F173))"),1.0)</f>
        <v>1</v>
      </c>
    </row>
    <row r="174">
      <c r="A174" s="4"/>
      <c r="C174" s="4" t="s">
        <v>2769</v>
      </c>
      <c r="D174" s="4" t="str">
        <f t="shared" si="1"/>
        <v>{"valorA":"carro","valorB":1}</v>
      </c>
      <c r="E174" s="8" t="str">
        <f t="shared" si="2"/>
        <v>carro</v>
      </c>
      <c r="F174" s="8" t="str">
        <f>IFERROR(__xludf.DUMMYFUNCTION("""COMPUTED_VALUE"""),"pouco")</f>
        <v>pouco</v>
      </c>
      <c r="G174" s="8" t="str">
        <f t="shared" si="3"/>
        <v>1</v>
      </c>
      <c r="H174" s="9">
        <f t="shared" si="4"/>
        <v>1</v>
      </c>
      <c r="I174" s="10">
        <f>IFERROR(__xludf.DUMMYFUNCTION("MAX(FILTER($H:$H,$E:$E=F174))"),1.0)</f>
        <v>1</v>
      </c>
    </row>
    <row r="175">
      <c r="A175" s="4"/>
      <c r="C175" s="4" t="s">
        <v>2840</v>
      </c>
      <c r="D175" s="4" t="str">
        <f t="shared" si="1"/>
        <v>{"valorA":"para","valorB":7}</v>
      </c>
      <c r="E175" s="8" t="str">
        <f t="shared" si="2"/>
        <v>para</v>
      </c>
      <c r="F175" s="8" t="str">
        <f>IFERROR(__xludf.DUMMYFUNCTION("""COMPUTED_VALUE"""),"lavadora")</f>
        <v>lavadora</v>
      </c>
      <c r="G175" s="8" t="str">
        <f t="shared" si="3"/>
        <v>7</v>
      </c>
      <c r="H175" s="9">
        <f t="shared" si="4"/>
        <v>7</v>
      </c>
      <c r="I175" s="10">
        <f>IFERROR(__xludf.DUMMYFUNCTION("MAX(FILTER($H:$H,$E:$E=F175))"),2.0)</f>
        <v>2</v>
      </c>
    </row>
    <row r="176">
      <c r="A176" s="4"/>
      <c r="C176" s="4" t="s">
        <v>3752</v>
      </c>
      <c r="D176" s="4" t="str">
        <f t="shared" si="1"/>
        <v>{"valorA":"funcional","valorB":1}</v>
      </c>
      <c r="E176" s="8" t="str">
        <f t="shared" si="2"/>
        <v>funcional</v>
      </c>
      <c r="F176" s="8" t="str">
        <f>IFERROR(__xludf.DUMMYFUNCTION("""COMPUTED_VALUE"""),"água")</f>
        <v>água</v>
      </c>
      <c r="G176" s="8" t="str">
        <f t="shared" si="3"/>
        <v>1</v>
      </c>
      <c r="H176" s="9">
        <f t="shared" si="4"/>
        <v>1</v>
      </c>
      <c r="I176" s="10">
        <f>IFERROR(__xludf.DUMMYFUNCTION("MAX(FILTER($H:$H,$E:$E=F176))"),1.0)</f>
        <v>1</v>
      </c>
    </row>
    <row r="177">
      <c r="A177" s="4"/>
      <c r="C177" s="4" t="s">
        <v>2898</v>
      </c>
      <c r="D177" s="4" t="str">
        <f t="shared" si="1"/>
        <v>{"valorA":"o","valorB":6}</v>
      </c>
      <c r="E177" s="8" t="str">
        <f t="shared" si="2"/>
        <v>o</v>
      </c>
      <c r="F177" s="8" t="str">
        <f>IFERROR(__xludf.DUMMYFUNCTION("""COMPUTED_VALUE"""),"limpa")</f>
        <v>limpa</v>
      </c>
      <c r="G177" s="8" t="str">
        <f t="shared" si="3"/>
        <v>6</v>
      </c>
      <c r="H177" s="9">
        <f t="shared" si="4"/>
        <v>6</v>
      </c>
      <c r="I177" s="10">
        <f>IFERROR(__xludf.DUMMYFUNCTION("MAX(FILTER($H:$H,$E:$E=F177))"),1.0)</f>
        <v>1</v>
      </c>
    </row>
    <row r="178">
      <c r="A178" s="4"/>
      <c r="C178" s="4" t="s">
        <v>3854</v>
      </c>
      <c r="D178" s="4" t="str">
        <f t="shared" si="1"/>
        <v>{"valorA":"rádio","valorB":1}</v>
      </c>
      <c r="E178" s="8" t="str">
        <f t="shared" si="2"/>
        <v>rádio</v>
      </c>
      <c r="F178" s="8" t="str">
        <f>IFERROR(__xludf.DUMMYFUNCTION("""COMPUTED_VALUE"""),"telefone")</f>
        <v>telefone</v>
      </c>
      <c r="G178" s="8" t="str">
        <f t="shared" si="3"/>
        <v>1</v>
      </c>
      <c r="H178" s="9">
        <f t="shared" si="4"/>
        <v>1</v>
      </c>
      <c r="I178" s="10">
        <f>IFERROR(__xludf.DUMMYFUNCTION("MAX(FILTER($H:$H,$E:$E=F178))"),1.0)</f>
        <v>1</v>
      </c>
    </row>
    <row r="179">
      <c r="A179" s="4"/>
      <c r="C179" s="4" t="s">
        <v>3852</v>
      </c>
      <c r="D179" s="4" t="str">
        <f t="shared" si="1"/>
        <v>{"valorA":"amfm","valorB":1}</v>
      </c>
      <c r="E179" s="8" t="str">
        <f t="shared" si="2"/>
        <v>amfm</v>
      </c>
      <c r="F179" s="8" t="str">
        <f>IFERROR(__xludf.DUMMYFUNCTION("""COMPUTED_VALUE"""),"razoável")</f>
        <v>razoável</v>
      </c>
      <c r="G179" s="8" t="str">
        <f t="shared" si="3"/>
        <v>1</v>
      </c>
      <c r="H179" s="9">
        <f t="shared" si="4"/>
        <v>1</v>
      </c>
      <c r="I179" s="10">
        <f>IFERROR(__xludf.DUMMYFUNCTION("MAX(FILTER($H:$H,$E:$E=F179))"),1.0)</f>
        <v>1</v>
      </c>
    </row>
    <row r="180">
      <c r="A180" s="4"/>
      <c r="C180" s="4" t="s">
        <v>12560</v>
      </c>
      <c r="D180" s="4" t="str">
        <f t="shared" si="1"/>
        <v>{"valorA":"altavoz","valorB":1}</v>
      </c>
      <c r="E180" s="8" t="str">
        <f t="shared" si="2"/>
        <v>altavoz</v>
      </c>
      <c r="F180" s="8" t="str">
        <f>IFERROR(__xludf.DUMMYFUNCTION("""COMPUTED_VALUE"""),"preço")</f>
        <v>preço</v>
      </c>
      <c r="G180" s="8" t="str">
        <f t="shared" si="3"/>
        <v>1</v>
      </c>
      <c r="H180" s="9">
        <f t="shared" si="4"/>
        <v>1</v>
      </c>
      <c r="I180" s="10">
        <f>IFERROR(__xludf.DUMMYFUNCTION("MAX(FILTER($H:$H,$E:$E=F180))"),1.0)</f>
        <v>1</v>
      </c>
    </row>
    <row r="181">
      <c r="A181" s="4"/>
      <c r="C181" s="4" t="s">
        <v>3072</v>
      </c>
      <c r="D181" s="4" t="str">
        <f t="shared" si="1"/>
        <v>{"valorA":"de","valorB":9}</v>
      </c>
      <c r="E181" s="8" t="str">
        <f t="shared" si="2"/>
        <v>de</v>
      </c>
      <c r="F181" s="8" t="str">
        <f>IFERROR(__xludf.DUMMYFUNCTION("""COMPUTED_VALUE"""),"coment")</f>
        <v>coment</v>
      </c>
      <c r="G181" s="8" t="str">
        <f t="shared" si="3"/>
        <v>9</v>
      </c>
      <c r="H181" s="9">
        <f t="shared" si="4"/>
        <v>9</v>
      </c>
      <c r="I181" s="10">
        <f>IFERROR(__xludf.DUMMYFUNCTION("MAX(FILTER($H:$H,$E:$E=F181))"),1.0)</f>
        <v>1</v>
      </c>
    </row>
    <row r="182">
      <c r="A182" s="4"/>
      <c r="C182" s="4" t="s">
        <v>2729</v>
      </c>
      <c r="D182" s="4" t="str">
        <f t="shared" si="1"/>
        <v>{"valorA":"ótimo","valorB":16}</v>
      </c>
      <c r="E182" s="8" t="str">
        <f t="shared" si="2"/>
        <v>ótimo</v>
      </c>
      <c r="F182" s="8" t="str">
        <f>IFERROR(__xludf.DUMMYFUNCTION("""COMPUTED_VALUE"""),"momento")</f>
        <v>momento</v>
      </c>
      <c r="G182" s="8" t="str">
        <f t="shared" si="3"/>
        <v>16</v>
      </c>
      <c r="H182" s="9">
        <f t="shared" si="4"/>
        <v>16</v>
      </c>
      <c r="I182" s="10">
        <f>IFERROR(__xludf.DUMMYFUNCTION("MAX(FILTER($H:$H,$E:$E=F182))"),1.0)</f>
        <v>1</v>
      </c>
    </row>
    <row r="183">
      <c r="A183" s="4"/>
      <c r="C183" s="4" t="s">
        <v>3092</v>
      </c>
      <c r="D183" s="4" t="str">
        <f t="shared" si="1"/>
        <v>{"valorA":"boa","valorB":1}</v>
      </c>
      <c r="E183" s="8" t="str">
        <f t="shared" si="2"/>
        <v>boa</v>
      </c>
      <c r="F183" s="8" t="str">
        <f>IFERROR(__xludf.DUMMYFUNCTION("""COMPUTED_VALUE"""),"primeiro")</f>
        <v>primeiro</v>
      </c>
      <c r="G183" s="8" t="str">
        <f t="shared" si="3"/>
        <v>1</v>
      </c>
      <c r="H183" s="9">
        <f t="shared" si="4"/>
        <v>1</v>
      </c>
      <c r="I183" s="10">
        <f>IFERROR(__xludf.DUMMYFUNCTION("MAX(FILTER($H:$H,$E:$E=F183))"),1.0)</f>
        <v>1</v>
      </c>
    </row>
    <row r="184">
      <c r="A184" s="4"/>
      <c r="C184" s="4" t="s">
        <v>2878</v>
      </c>
      <c r="D184" s="4" t="str">
        <f t="shared" si="1"/>
        <v>{"valorA":"qualidade","valorB":1}</v>
      </c>
      <c r="E184" s="8" t="str">
        <f t="shared" si="2"/>
        <v>qualidade</v>
      </c>
      <c r="F184" s="8"/>
      <c r="G184" s="8" t="str">
        <f t="shared" si="3"/>
        <v>1</v>
      </c>
      <c r="H184" s="9">
        <f t="shared" si="4"/>
        <v>1</v>
      </c>
      <c r="I184" s="10">
        <f>IFERROR(__xludf.DUMMYFUNCTION("MAX(FILTER($H:$H,$E:$E=F184))"),0.0)</f>
        <v>0</v>
      </c>
    </row>
    <row r="185">
      <c r="A185" s="4"/>
      <c r="C185" s="4" t="s">
        <v>2927</v>
      </c>
      <c r="D185" s="4" t="str">
        <f t="shared" si="1"/>
        <v>{"valorA":"com","valorB":3}</v>
      </c>
      <c r="E185" s="8" t="str">
        <f t="shared" si="2"/>
        <v>com</v>
      </c>
      <c r="F185" s="8"/>
      <c r="G185" s="8" t="str">
        <f t="shared" si="3"/>
        <v>3</v>
      </c>
      <c r="H185" s="9">
        <f t="shared" si="4"/>
        <v>3</v>
      </c>
      <c r="I185" s="10">
        <f>IFERROR(__xludf.DUMMYFUNCTION("MAX(FILTER($H:$H,$E:$E=F185))"),0.0)</f>
        <v>0</v>
      </c>
    </row>
    <row r="186">
      <c r="A186" s="4"/>
      <c r="C186" s="4" t="s">
        <v>3467</v>
      </c>
      <c r="D186" s="4" t="str">
        <f t="shared" si="1"/>
        <v>{"valorA":"lavador","valorB":4}</v>
      </c>
      <c r="E186" s="8" t="str">
        <f t="shared" si="2"/>
        <v>lavador</v>
      </c>
      <c r="F186" s="8"/>
      <c r="G186" s="8" t="str">
        <f t="shared" si="3"/>
        <v>4</v>
      </c>
      <c r="H186" s="9">
        <f t="shared" si="4"/>
        <v>4</v>
      </c>
      <c r="I186" s="10">
        <f>IFERROR(__xludf.DUMMYFUNCTION("MAX(FILTER($H:$H,$E:$E=F186))"),0.0)</f>
        <v>0</v>
      </c>
    </row>
    <row r="187">
      <c r="A187" s="4"/>
      <c r="C187" s="4" t="s">
        <v>2716</v>
      </c>
      <c r="D187" s="4" t="str">
        <f t="shared" si="1"/>
        <v>{"valorA":"perfeitamente","valorB":3}</v>
      </c>
      <c r="E187" s="8" t="str">
        <f t="shared" si="2"/>
        <v>perfeitamente</v>
      </c>
      <c r="F187" s="8"/>
      <c r="G187" s="8" t="str">
        <f t="shared" si="3"/>
        <v>3</v>
      </c>
      <c r="H187" s="9">
        <f t="shared" si="4"/>
        <v>3</v>
      </c>
      <c r="I187" s="10">
        <f>IFERROR(__xludf.DUMMYFUNCTION("MAX(FILTER($H:$H,$E:$E=F187))"),0.0)</f>
        <v>0</v>
      </c>
    </row>
    <row r="188">
      <c r="A188" s="4"/>
      <c r="C188" s="4" t="s">
        <v>2735</v>
      </c>
      <c r="D188" s="4" t="str">
        <f t="shared" si="1"/>
        <v>{"valorA":"ótimo","valorB":17}</v>
      </c>
      <c r="E188" s="8" t="str">
        <f t="shared" si="2"/>
        <v>ótimo</v>
      </c>
      <c r="F188" s="8"/>
      <c r="G188" s="8" t="str">
        <f t="shared" si="3"/>
        <v>17</v>
      </c>
      <c r="H188" s="9">
        <f t="shared" si="4"/>
        <v>17</v>
      </c>
      <c r="I188" s="10">
        <f>IFERROR(__xludf.DUMMYFUNCTION("MAX(FILTER($H:$H,$E:$E=F188))"),0.0)</f>
        <v>0</v>
      </c>
    </row>
    <row r="189">
      <c r="A189" s="4"/>
      <c r="C189" s="4" t="s">
        <v>3076</v>
      </c>
      <c r="D189" s="4" t="str">
        <f t="shared" si="1"/>
        <v>{"valorA":"de","valorB":10}</v>
      </c>
      <c r="E189" s="8" t="str">
        <f t="shared" si="2"/>
        <v>de</v>
      </c>
      <c r="F189" s="8"/>
      <c r="G189" s="8" t="str">
        <f t="shared" si="3"/>
        <v>10</v>
      </c>
      <c r="H189" s="9">
        <f t="shared" si="4"/>
        <v>10</v>
      </c>
      <c r="I189" s="10">
        <f>IFERROR(__xludf.DUMMYFUNCTION("MAX(FILTER($H:$H,$E:$E=F189))"),0.0)</f>
        <v>0</v>
      </c>
    </row>
    <row r="190">
      <c r="A190" s="4"/>
      <c r="C190" s="4" t="s">
        <v>3322</v>
      </c>
      <c r="D190" s="4" t="str">
        <f t="shared" si="1"/>
        <v>{"valorA":"pratos","valorB":2}</v>
      </c>
      <c r="E190" s="8" t="str">
        <f t="shared" si="2"/>
        <v>pratos</v>
      </c>
      <c r="F190" s="8"/>
      <c r="G190" s="8" t="str">
        <f t="shared" si="3"/>
        <v>2</v>
      </c>
      <c r="H190" s="9">
        <f t="shared" si="4"/>
        <v>2</v>
      </c>
      <c r="I190" s="10">
        <f>IFERROR(__xludf.DUMMYFUNCTION("MAX(FILTER($H:$H,$E:$E=F190))"),0.0)</f>
        <v>0</v>
      </c>
    </row>
    <row r="191">
      <c r="A191" s="4"/>
      <c r="C191" s="4" t="s">
        <v>8073</v>
      </c>
      <c r="D191" s="4" t="str">
        <f t="shared" si="1"/>
        <v>{"valorA":"trabalha","valorB":1}</v>
      </c>
      <c r="E191" s="8" t="str">
        <f t="shared" si="2"/>
        <v>trabalha</v>
      </c>
      <c r="F191" s="8"/>
      <c r="G191" s="8" t="str">
        <f t="shared" si="3"/>
        <v>1</v>
      </c>
      <c r="H191" s="9">
        <f t="shared" si="4"/>
        <v>1</v>
      </c>
      <c r="I191" s="10">
        <f>IFERROR(__xludf.DUMMYFUNCTION("MAX(FILTER($H:$H,$E:$E=F191))"),0.0)</f>
        <v>0</v>
      </c>
    </row>
    <row r="192">
      <c r="A192" s="4"/>
      <c r="C192" s="4" t="s">
        <v>2746</v>
      </c>
      <c r="D192" s="4" t="str">
        <f t="shared" si="1"/>
        <v>{"valorA":"ótimo","valorB":18}</v>
      </c>
      <c r="E192" s="8" t="str">
        <f t="shared" si="2"/>
        <v>ótimo</v>
      </c>
      <c r="F192" s="8"/>
      <c r="G192" s="8" t="str">
        <f t="shared" si="3"/>
        <v>18</v>
      </c>
      <c r="H192" s="9">
        <f t="shared" si="4"/>
        <v>18</v>
      </c>
      <c r="I192" s="10">
        <f>IFERROR(__xludf.DUMMYFUNCTION("MAX(FILTER($H:$H,$E:$E=F192))"),0.0)</f>
        <v>0</v>
      </c>
    </row>
    <row r="193">
      <c r="A193" s="4"/>
      <c r="C193" s="4" t="s">
        <v>12561</v>
      </c>
      <c r="D193" s="4" t="str">
        <f t="shared" si="1"/>
        <v>{"valorA":"eletrônicos","valorB":1}</v>
      </c>
      <c r="E193" s="8" t="str">
        <f t="shared" si="2"/>
        <v>eletrônicos</v>
      </c>
      <c r="F193" s="8"/>
      <c r="G193" s="8" t="str">
        <f t="shared" si="3"/>
        <v>1</v>
      </c>
      <c r="H193" s="9">
        <f t="shared" si="4"/>
        <v>1</v>
      </c>
      <c r="I193" s="10">
        <f>IFERROR(__xludf.DUMMYFUNCTION("MAX(FILTER($H:$H,$E:$E=F193))"),0.0)</f>
        <v>0</v>
      </c>
    </row>
    <row r="194">
      <c r="A194" s="4"/>
      <c r="C194" s="4" t="s">
        <v>3206</v>
      </c>
      <c r="D194" s="4" t="str">
        <f t="shared" si="1"/>
        <v>{"valorA":"leitor","valorB":1}</v>
      </c>
      <c r="E194" s="8" t="str">
        <f t="shared" si="2"/>
        <v>leitor</v>
      </c>
      <c r="F194" s="8"/>
      <c r="G194" s="8" t="str">
        <f t="shared" si="3"/>
        <v>1</v>
      </c>
      <c r="H194" s="9">
        <f t="shared" si="4"/>
        <v>1</v>
      </c>
      <c r="I194" s="10">
        <f>IFERROR(__xludf.DUMMYFUNCTION("MAX(FILTER($H:$H,$E:$E=F194))"),0.0)</f>
        <v>0</v>
      </c>
    </row>
    <row r="195">
      <c r="A195" s="4"/>
      <c r="C195" s="4" t="s">
        <v>12562</v>
      </c>
      <c r="D195" s="4" t="str">
        <f t="shared" si="1"/>
        <v>{"valorA":"adoro","valorB":1}</v>
      </c>
      <c r="E195" s="8" t="str">
        <f t="shared" si="2"/>
        <v>adoro</v>
      </c>
      <c r="F195" s="8"/>
      <c r="G195" s="8" t="str">
        <f t="shared" si="3"/>
        <v>1</v>
      </c>
      <c r="H195" s="9">
        <f t="shared" si="4"/>
        <v>1</v>
      </c>
      <c r="I195" s="10">
        <f>IFERROR(__xludf.DUMMYFUNCTION("MAX(FILTER($H:$H,$E:$E=F195))"),0.0)</f>
        <v>0</v>
      </c>
    </row>
    <row r="196">
      <c r="A196" s="4"/>
      <c r="C196" s="4" t="s">
        <v>3346</v>
      </c>
      <c r="D196" s="4" t="str">
        <f t="shared" si="1"/>
        <v>{"valorA":"agora","valorB":1}</v>
      </c>
      <c r="E196" s="8" t="str">
        <f t="shared" si="2"/>
        <v>agora</v>
      </c>
      <c r="F196" s="8"/>
      <c r="G196" s="8" t="str">
        <f t="shared" si="3"/>
        <v>1</v>
      </c>
      <c r="H196" s="9">
        <f t="shared" si="4"/>
        <v>1</v>
      </c>
      <c r="I196" s="10">
        <f>IFERROR(__xludf.DUMMYFUNCTION("MAX(FILTER($H:$H,$E:$E=F196))"),0.0)</f>
        <v>0</v>
      </c>
    </row>
    <row r="197">
      <c r="A197" s="4"/>
      <c r="C197" s="4" t="s">
        <v>3976</v>
      </c>
      <c r="D197" s="4" t="str">
        <f t="shared" si="1"/>
        <v>{"valorA":"livros","valorB":1}</v>
      </c>
      <c r="E197" s="8" t="str">
        <f t="shared" si="2"/>
        <v>livros</v>
      </c>
      <c r="F197" s="8"/>
      <c r="G197" s="8" t="str">
        <f t="shared" si="3"/>
        <v>1</v>
      </c>
      <c r="H197" s="9">
        <f t="shared" si="4"/>
        <v>1</v>
      </c>
      <c r="I197" s="10">
        <f>IFERROR(__xludf.DUMMYFUNCTION("MAX(FILTER($H:$H,$E:$E=F197))"),0.0)</f>
        <v>0</v>
      </c>
    </row>
    <row r="198">
      <c r="A198" s="4"/>
      <c r="C198" s="4" t="s">
        <v>3328</v>
      </c>
      <c r="D198" s="4" t="str">
        <f t="shared" si="1"/>
        <v>{"valorA":"kindle","valorB":1}</v>
      </c>
      <c r="E198" s="8" t="str">
        <f t="shared" si="2"/>
        <v>kindle</v>
      </c>
      <c r="F198" s="8"/>
      <c r="G198" s="8" t="str">
        <f t="shared" si="3"/>
        <v>1</v>
      </c>
      <c r="H198" s="9">
        <f t="shared" si="4"/>
        <v>1</v>
      </c>
      <c r="I198" s="10">
        <f>IFERROR(__xludf.DUMMYFUNCTION("MAX(FILTER($H:$H,$E:$E=F198))"),0.0)</f>
        <v>0</v>
      </c>
    </row>
    <row r="199">
      <c r="A199" s="4"/>
      <c r="C199" s="4" t="s">
        <v>3908</v>
      </c>
      <c r="D199" s="4" t="str">
        <f t="shared" si="1"/>
        <v>{"valorA":"eu","valorB":2}</v>
      </c>
      <c r="E199" s="8" t="str">
        <f t="shared" si="2"/>
        <v>eu</v>
      </c>
      <c r="F199" s="8"/>
      <c r="G199" s="8" t="str">
        <f t="shared" si="3"/>
        <v>2</v>
      </c>
      <c r="H199" s="9">
        <f t="shared" si="4"/>
        <v>2</v>
      </c>
      <c r="I199" s="10">
        <f>IFERROR(__xludf.DUMMYFUNCTION("MAX(FILTER($H:$H,$E:$E=F199))"),0.0)</f>
        <v>0</v>
      </c>
    </row>
    <row r="200">
      <c r="A200" s="4"/>
      <c r="C200" s="4" t="s">
        <v>3331</v>
      </c>
      <c r="D200" s="4" t="str">
        <f t="shared" si="1"/>
        <v>{"valorA":"ler","valorB":1}</v>
      </c>
      <c r="E200" s="8" t="str">
        <f t="shared" si="2"/>
        <v>ler</v>
      </c>
      <c r="F200" s="8"/>
      <c r="G200" s="8" t="str">
        <f t="shared" si="3"/>
        <v>1</v>
      </c>
      <c r="H200" s="9">
        <f t="shared" si="4"/>
        <v>1</v>
      </c>
      <c r="I200" s="10">
        <f>IFERROR(__xludf.DUMMYFUNCTION("MAX(FILTER($H:$H,$E:$E=F200))"),0.0)</f>
        <v>0</v>
      </c>
    </row>
    <row r="201">
      <c r="A201" s="4"/>
      <c r="C201" s="4" t="s">
        <v>2877</v>
      </c>
      <c r="D201" s="4" t="str">
        <f t="shared" si="1"/>
        <v>{"valorA":"funciona","valorB":9}</v>
      </c>
      <c r="E201" s="8" t="str">
        <f t="shared" si="2"/>
        <v>funciona</v>
      </c>
      <c r="F201" s="8"/>
      <c r="G201" s="8" t="str">
        <f t="shared" si="3"/>
        <v>9</v>
      </c>
      <c r="H201" s="9">
        <f t="shared" si="4"/>
        <v>9</v>
      </c>
      <c r="I201" s="10">
        <f>IFERROR(__xludf.DUMMYFUNCTION("MAX(FILTER($H:$H,$E:$E=F201))"),0.0)</f>
        <v>0</v>
      </c>
    </row>
    <row r="202">
      <c r="A202" s="4"/>
      <c r="C202" s="4" t="s">
        <v>3369</v>
      </c>
      <c r="D202" s="4" t="str">
        <f t="shared" si="1"/>
        <v>{"valorA":"ótima","valorB":5}</v>
      </c>
      <c r="E202" s="8" t="str">
        <f t="shared" si="2"/>
        <v>ótima</v>
      </c>
      <c r="F202" s="8"/>
      <c r="G202" s="8" t="str">
        <f t="shared" si="3"/>
        <v>5</v>
      </c>
      <c r="H202" s="9">
        <f t="shared" si="4"/>
        <v>5</v>
      </c>
      <c r="I202" s="10">
        <f>IFERROR(__xludf.DUMMYFUNCTION("MAX(FILTER($H:$H,$E:$E=F202))"),0.0)</f>
        <v>0</v>
      </c>
    </row>
    <row r="203">
      <c r="A203" s="4"/>
      <c r="C203" s="4" t="s">
        <v>3867</v>
      </c>
      <c r="D203" s="4" t="str">
        <f t="shared" si="1"/>
        <v>{"valorA":"lavar","valorB":1}</v>
      </c>
      <c r="E203" s="8" t="str">
        <f t="shared" si="2"/>
        <v>lavar</v>
      </c>
      <c r="F203" s="8"/>
      <c r="G203" s="8" t="str">
        <f t="shared" si="3"/>
        <v>1</v>
      </c>
      <c r="H203" s="9">
        <f t="shared" si="4"/>
        <v>1</v>
      </c>
      <c r="I203" s="10">
        <f>IFERROR(__xludf.DUMMYFUNCTION("MAX(FILTER($H:$H,$E:$E=F203))"),0.0)</f>
        <v>0</v>
      </c>
    </row>
    <row r="204">
      <c r="A204" s="4"/>
      <c r="C204" s="4" t="s">
        <v>2854</v>
      </c>
      <c r="D204" s="4" t="str">
        <f t="shared" si="1"/>
        <v>{"valorA":"para","valorB":8}</v>
      </c>
      <c r="E204" s="8" t="str">
        <f t="shared" si="2"/>
        <v>para</v>
      </c>
      <c r="F204" s="8"/>
      <c r="G204" s="8" t="str">
        <f t="shared" si="3"/>
        <v>8</v>
      </c>
      <c r="H204" s="9">
        <f t="shared" si="4"/>
        <v>8</v>
      </c>
      <c r="I204" s="10">
        <f>IFERROR(__xludf.DUMMYFUNCTION("MAX(FILTER($H:$H,$E:$E=F204))"),0.0)</f>
        <v>0</v>
      </c>
    </row>
    <row r="205">
      <c r="A205" s="4"/>
      <c r="C205" s="4" t="s">
        <v>3363</v>
      </c>
      <c r="D205" s="4" t="str">
        <f t="shared" si="1"/>
        <v>{"valorA":"máquina","valorB":1}</v>
      </c>
      <c r="E205" s="8" t="str">
        <f t="shared" si="2"/>
        <v>máquina</v>
      </c>
      <c r="F205" s="8"/>
      <c r="G205" s="8" t="str">
        <f t="shared" si="3"/>
        <v>1</v>
      </c>
      <c r="H205" s="9">
        <f t="shared" si="4"/>
        <v>1</v>
      </c>
      <c r="I205" s="10">
        <f>IFERROR(__xludf.DUMMYFUNCTION("MAX(FILTER($H:$H,$E:$E=F205))"),0.0)</f>
        <v>0</v>
      </c>
    </row>
    <row r="206">
      <c r="A206" s="4"/>
      <c r="C206" s="4" t="s">
        <v>2940</v>
      </c>
      <c r="D206" s="4" t="str">
        <f t="shared" si="1"/>
        <v>{"valorA":"muito","valorB":11}</v>
      </c>
      <c r="E206" s="8" t="str">
        <f t="shared" si="2"/>
        <v>muito</v>
      </c>
      <c r="F206" s="8"/>
      <c r="G206" s="8" t="str">
        <f t="shared" si="3"/>
        <v>11</v>
      </c>
      <c r="H206" s="9">
        <f t="shared" si="4"/>
        <v>11</v>
      </c>
      <c r="I206" s="10">
        <f>IFERROR(__xludf.DUMMYFUNCTION("MAX(FILTER($H:$H,$E:$E=F206))"),0.0)</f>
        <v>0</v>
      </c>
    </row>
    <row r="207">
      <c r="A207" s="4"/>
      <c r="C207" s="4" t="s">
        <v>3124</v>
      </c>
      <c r="D207" s="4" t="str">
        <f t="shared" si="1"/>
        <v>{"valorA":"bem","valorB":8}</v>
      </c>
      <c r="E207" s="8" t="str">
        <f t="shared" si="2"/>
        <v>bem</v>
      </c>
      <c r="F207" s="8"/>
      <c r="G207" s="8" t="str">
        <f t="shared" si="3"/>
        <v>8</v>
      </c>
      <c r="H207" s="9">
        <f t="shared" si="4"/>
        <v>8</v>
      </c>
      <c r="I207" s="10">
        <f>IFERROR(__xludf.DUMMYFUNCTION("MAX(FILTER($H:$H,$E:$E=F207))"),0.0)</f>
        <v>0</v>
      </c>
    </row>
    <row r="208">
      <c r="A208" s="4"/>
      <c r="C208" s="4" t="s">
        <v>3847</v>
      </c>
      <c r="D208" s="4" t="str">
        <f t="shared" si="1"/>
        <v>{"valorA":"prataria","valorB":1}</v>
      </c>
      <c r="E208" s="8" t="str">
        <f t="shared" si="2"/>
        <v>prataria</v>
      </c>
      <c r="F208" s="8"/>
      <c r="G208" s="8" t="str">
        <f t="shared" si="3"/>
        <v>1</v>
      </c>
      <c r="H208" s="9">
        <f t="shared" si="4"/>
        <v>1</v>
      </c>
      <c r="I208" s="10">
        <f>IFERROR(__xludf.DUMMYFUNCTION("MAX(FILTER($H:$H,$E:$E=F208))"),0.0)</f>
        <v>0</v>
      </c>
    </row>
    <row r="209">
      <c r="A209" s="4"/>
      <c r="C209" s="4" t="s">
        <v>3183</v>
      </c>
      <c r="D209" s="4" t="str">
        <f t="shared" si="1"/>
        <v>{"valorA":"bem","valorB":9}</v>
      </c>
      <c r="E209" s="8" t="str">
        <f t="shared" si="2"/>
        <v>bem</v>
      </c>
      <c r="F209" s="8"/>
      <c r="G209" s="8" t="str">
        <f t="shared" si="3"/>
        <v>9</v>
      </c>
      <c r="H209" s="9">
        <f t="shared" si="4"/>
        <v>9</v>
      </c>
      <c r="I209" s="10">
        <f>IFERROR(__xludf.DUMMYFUNCTION("MAX(FILTER($H:$H,$E:$E=F209))"),0.0)</f>
        <v>0</v>
      </c>
    </row>
    <row r="210">
      <c r="A210" s="4"/>
      <c r="C210" s="4" t="s">
        <v>2651</v>
      </c>
      <c r="D210" s="4" t="str">
        <f t="shared" si="1"/>
        <v>{"valorA":"esse","valorB":2}</v>
      </c>
      <c r="E210" s="8" t="str">
        <f t="shared" si="2"/>
        <v>esse</v>
      </c>
      <c r="F210" s="8"/>
      <c r="G210" s="8" t="str">
        <f t="shared" si="3"/>
        <v>2</v>
      </c>
      <c r="H210" s="9">
        <f t="shared" si="4"/>
        <v>2</v>
      </c>
      <c r="I210" s="10">
        <f>IFERROR(__xludf.DUMMYFUNCTION("MAX(FILTER($H:$H,$E:$E=F210))"),0.0)</f>
        <v>0</v>
      </c>
    </row>
    <row r="211">
      <c r="A211" s="4"/>
      <c r="C211" s="4" t="s">
        <v>2953</v>
      </c>
      <c r="D211" s="4" t="str">
        <f t="shared" si="1"/>
        <v>{"valorA":"muito","valorB":12}</v>
      </c>
      <c r="E211" s="8" t="str">
        <f t="shared" si="2"/>
        <v>muito</v>
      </c>
      <c r="F211" s="8"/>
      <c r="G211" s="8" t="str">
        <f t="shared" si="3"/>
        <v>12</v>
      </c>
      <c r="H211" s="9">
        <f t="shared" si="4"/>
        <v>12</v>
      </c>
      <c r="I211" s="10">
        <f>IFERROR(__xludf.DUMMYFUNCTION("MAX(FILTER($H:$H,$E:$E=F211))"),0.0)</f>
        <v>0</v>
      </c>
    </row>
    <row r="212">
      <c r="A212" s="4"/>
      <c r="C212" s="4" t="s">
        <v>12563</v>
      </c>
      <c r="D212" s="4" t="str">
        <f t="shared" si="1"/>
        <v>{"valorA":"óptimo","valorB":3}</v>
      </c>
      <c r="E212" s="8" t="str">
        <f t="shared" si="2"/>
        <v>óptimo</v>
      </c>
      <c r="F212" s="8"/>
      <c r="G212" s="8" t="str">
        <f t="shared" si="3"/>
        <v>3</v>
      </c>
      <c r="H212" s="9">
        <f t="shared" si="4"/>
        <v>3</v>
      </c>
      <c r="I212" s="10">
        <f>IFERROR(__xludf.DUMMYFUNCTION("MAX(FILTER($H:$H,$E:$E=F212))"),0.0)</f>
        <v>0</v>
      </c>
    </row>
    <row r="213">
      <c r="A213" s="4"/>
      <c r="C213" s="4" t="s">
        <v>3195</v>
      </c>
      <c r="D213" s="4" t="str">
        <f t="shared" si="1"/>
        <v>{"valorA":"funciona","valorB":10}</v>
      </c>
      <c r="E213" s="8" t="str">
        <f t="shared" si="2"/>
        <v>funciona</v>
      </c>
      <c r="F213" s="8"/>
      <c r="G213" s="8" t="str">
        <f t="shared" si="3"/>
        <v>10</v>
      </c>
      <c r="H213" s="9">
        <f t="shared" si="4"/>
        <v>10</v>
      </c>
      <c r="I213" s="10">
        <f>IFERROR(__xludf.DUMMYFUNCTION("MAX(FILTER($H:$H,$E:$E=F213))"),0.0)</f>
        <v>0</v>
      </c>
    </row>
    <row r="214">
      <c r="A214" s="4"/>
      <c r="C214" s="4" t="s">
        <v>3087</v>
      </c>
      <c r="D214" s="4" t="str">
        <f t="shared" si="1"/>
        <v>{"valorA":"blender","valorB":1}</v>
      </c>
      <c r="E214" s="8" t="str">
        <f t="shared" si="2"/>
        <v>blender</v>
      </c>
      <c r="F214" s="8"/>
      <c r="G214" s="8" t="str">
        <f t="shared" si="3"/>
        <v>1</v>
      </c>
      <c r="H214" s="9">
        <f t="shared" si="4"/>
        <v>1</v>
      </c>
      <c r="I214" s="10">
        <f>IFERROR(__xludf.DUMMYFUNCTION("MAX(FILTER($H:$H,$E:$E=F214))"),0.0)</f>
        <v>0</v>
      </c>
    </row>
    <row r="215">
      <c r="A215" s="4"/>
      <c r="C215" s="4" t="s">
        <v>2895</v>
      </c>
      <c r="D215" s="4" t="str">
        <f t="shared" si="1"/>
        <v>{"valorA":"gosto","valorB":1}</v>
      </c>
      <c r="E215" s="8" t="str">
        <f t="shared" si="2"/>
        <v>gosto</v>
      </c>
      <c r="F215" s="8"/>
      <c r="G215" s="8" t="str">
        <f t="shared" si="3"/>
        <v>1</v>
      </c>
      <c r="H215" s="9">
        <f t="shared" si="4"/>
        <v>1</v>
      </c>
      <c r="I215" s="10">
        <f>IFERROR(__xludf.DUMMYFUNCTION("MAX(FILTER($H:$H,$E:$E=F215))"),0.0)</f>
        <v>0</v>
      </c>
    </row>
    <row r="216">
      <c r="A216" s="4"/>
      <c r="C216" s="4" t="s">
        <v>3862</v>
      </c>
      <c r="D216" s="4" t="str">
        <f t="shared" si="1"/>
        <v>{"valorA":"óptico","valorB":1}</v>
      </c>
      <c r="E216" s="8" t="str">
        <f t="shared" si="2"/>
        <v>óptico</v>
      </c>
      <c r="F216" s="8"/>
      <c r="G216" s="8" t="str">
        <f t="shared" si="3"/>
        <v>1</v>
      </c>
      <c r="H216" s="9">
        <f t="shared" si="4"/>
        <v>1</v>
      </c>
      <c r="I216" s="10">
        <f>IFERROR(__xludf.DUMMYFUNCTION("MAX(FILTER($H:$H,$E:$E=F216))"),0.0)</f>
        <v>0</v>
      </c>
    </row>
    <row r="217">
      <c r="A217" s="4"/>
      <c r="C217" s="4" t="s">
        <v>2989</v>
      </c>
      <c r="D217" s="4" t="str">
        <f t="shared" si="1"/>
        <v>{"valorA":"muito","valorB":13}</v>
      </c>
      <c r="E217" s="8" t="str">
        <f t="shared" si="2"/>
        <v>muito</v>
      </c>
      <c r="F217" s="8"/>
      <c r="G217" s="8" t="str">
        <f t="shared" si="3"/>
        <v>13</v>
      </c>
      <c r="H217" s="9">
        <f t="shared" si="4"/>
        <v>13</v>
      </c>
      <c r="I217" s="10">
        <f>IFERROR(__xludf.DUMMYFUNCTION("MAX(FILTER($H:$H,$E:$E=F217))"),0.0)</f>
        <v>0</v>
      </c>
    </row>
    <row r="218">
      <c r="A218" s="4"/>
      <c r="C218" s="4" t="s">
        <v>2707</v>
      </c>
      <c r="D218" s="4" t="str">
        <f t="shared" si="1"/>
        <v>{"valorA":"do","valorB":2}</v>
      </c>
      <c r="E218" s="8" t="str">
        <f t="shared" si="2"/>
        <v>do</v>
      </c>
      <c r="F218" s="8"/>
      <c r="G218" s="8" t="str">
        <f t="shared" si="3"/>
        <v>2</v>
      </c>
      <c r="H218" s="9">
        <f t="shared" si="4"/>
        <v>2</v>
      </c>
      <c r="I218" s="10">
        <f>IFERROR(__xludf.DUMMYFUNCTION("MAX(FILTER($H:$H,$E:$E=F218))"),0.0)</f>
        <v>0</v>
      </c>
    </row>
    <row r="219">
      <c r="A219" s="4"/>
      <c r="C219" s="4" t="s">
        <v>2679</v>
      </c>
      <c r="D219" s="4" t="str">
        <f t="shared" si="1"/>
        <v>{"valorA":"é","valorB":1}</v>
      </c>
      <c r="E219" s="8" t="str">
        <f t="shared" si="2"/>
        <v>é</v>
      </c>
      <c r="F219" s="8"/>
      <c r="G219" s="8" t="str">
        <f t="shared" si="3"/>
        <v>1</v>
      </c>
      <c r="H219" s="9">
        <f t="shared" si="4"/>
        <v>1</v>
      </c>
      <c r="I219" s="10">
        <f>IFERROR(__xludf.DUMMYFUNCTION("MAX(FILTER($H:$H,$E:$E=F219))"),0.0)</f>
        <v>0</v>
      </c>
    </row>
    <row r="220">
      <c r="A220" s="4"/>
      <c r="C220" s="4" t="s">
        <v>2198</v>
      </c>
      <c r="D220" s="4" t="str">
        <f t="shared" si="1"/>
        <v>{"valorA":"computador","valorB":2}</v>
      </c>
      <c r="E220" s="8" t="str">
        <f t="shared" si="2"/>
        <v>computador</v>
      </c>
      <c r="F220" s="8"/>
      <c r="G220" s="8" t="str">
        <f t="shared" si="3"/>
        <v>2</v>
      </c>
      <c r="H220" s="9">
        <f t="shared" si="4"/>
        <v>2</v>
      </c>
      <c r="I220" s="10">
        <f>IFERROR(__xludf.DUMMYFUNCTION("MAX(FILTER($H:$H,$E:$E=F220))"),0.0)</f>
        <v>0</v>
      </c>
    </row>
    <row r="221">
      <c r="A221" s="4"/>
      <c r="C221" s="4" t="s">
        <v>2868</v>
      </c>
      <c r="D221" s="4" t="str">
        <f t="shared" si="1"/>
        <v>{"valorA":"incrível","valorB":1}</v>
      </c>
      <c r="E221" s="8" t="str">
        <f t="shared" si="2"/>
        <v>incrível</v>
      </c>
      <c r="F221" s="8"/>
      <c r="G221" s="8" t="str">
        <f t="shared" si="3"/>
        <v>1</v>
      </c>
      <c r="H221" s="9">
        <f t="shared" si="4"/>
        <v>1</v>
      </c>
      <c r="I221" s="10">
        <f>IFERROR(__xludf.DUMMYFUNCTION("MAX(FILTER($H:$H,$E:$E=F221))"),0.0)</f>
        <v>0</v>
      </c>
    </row>
    <row r="222">
      <c r="A222" s="4"/>
      <c r="C222" s="4" t="s">
        <v>3081</v>
      </c>
      <c r="D222" s="4" t="str">
        <f t="shared" si="1"/>
        <v>{"valorA":"de","valorB":11}</v>
      </c>
      <c r="E222" s="8" t="str">
        <f t="shared" si="2"/>
        <v>de</v>
      </c>
      <c r="F222" s="8"/>
      <c r="G222" s="8" t="str">
        <f t="shared" si="3"/>
        <v>11</v>
      </c>
      <c r="H222" s="9">
        <f t="shared" si="4"/>
        <v>11</v>
      </c>
      <c r="I222" s="10">
        <f>IFERROR(__xludf.DUMMYFUNCTION("MAX(FILTER($H:$H,$E:$E=F222))"),0.0)</f>
        <v>0</v>
      </c>
    </row>
    <row r="223">
      <c r="A223" s="4"/>
      <c r="C223" s="4" t="s">
        <v>2761</v>
      </c>
      <c r="D223" s="4" t="str">
        <f t="shared" si="1"/>
        <v>{"valorA":"ótimo","valorB":19}</v>
      </c>
      <c r="E223" s="8" t="str">
        <f t="shared" si="2"/>
        <v>ótimo</v>
      </c>
      <c r="F223" s="8"/>
      <c r="G223" s="8" t="str">
        <f t="shared" si="3"/>
        <v>19</v>
      </c>
      <c r="H223" s="9">
        <f t="shared" si="4"/>
        <v>19</v>
      </c>
      <c r="I223" s="10">
        <f>IFERROR(__xludf.DUMMYFUNCTION("MAX(FILTER($H:$H,$E:$E=F223))"),0.0)</f>
        <v>0</v>
      </c>
    </row>
    <row r="224">
      <c r="A224" s="4"/>
      <c r="C224" s="4" t="s">
        <v>3459</v>
      </c>
      <c r="D224" s="4" t="str">
        <f t="shared" si="1"/>
        <v>{"valorA":"aparelho","valorB":4}</v>
      </c>
      <c r="E224" s="8" t="str">
        <f t="shared" si="2"/>
        <v>aparelho</v>
      </c>
      <c r="F224" s="8"/>
      <c r="G224" s="8" t="str">
        <f t="shared" si="3"/>
        <v>4</v>
      </c>
      <c r="H224" s="9">
        <f t="shared" si="4"/>
        <v>4</v>
      </c>
      <c r="I224" s="10">
        <f>IFERROR(__xludf.DUMMYFUNCTION("MAX(FILTER($H:$H,$E:$E=F224))"),0.0)</f>
        <v>0</v>
      </c>
    </row>
    <row r="225">
      <c r="A225" s="4"/>
      <c r="C225" s="4" t="s">
        <v>2723</v>
      </c>
      <c r="D225" s="4" t="str">
        <f t="shared" si="1"/>
        <v>{"valorA":"usar","valorB":2}</v>
      </c>
      <c r="E225" s="8" t="str">
        <f t="shared" si="2"/>
        <v>usar</v>
      </c>
      <c r="F225" s="8"/>
      <c r="G225" s="8" t="str">
        <f t="shared" si="3"/>
        <v>2</v>
      </c>
      <c r="H225" s="9">
        <f t="shared" si="4"/>
        <v>2</v>
      </c>
      <c r="I225" s="10">
        <f>IFERROR(__xludf.DUMMYFUNCTION("MAX(FILTER($H:$H,$E:$E=F225))"),0.0)</f>
        <v>0</v>
      </c>
    </row>
    <row r="226">
      <c r="A226" s="4"/>
      <c r="C226" s="4" t="s">
        <v>2701</v>
      </c>
      <c r="D226" s="4" t="str">
        <f t="shared" si="1"/>
        <v>{"valorA":"e","valorB":3}</v>
      </c>
      <c r="E226" s="8" t="str">
        <f t="shared" si="2"/>
        <v>e</v>
      </c>
      <c r="F226" s="8"/>
      <c r="G226" s="8" t="str">
        <f t="shared" si="3"/>
        <v>3</v>
      </c>
      <c r="H226" s="9">
        <f t="shared" si="4"/>
        <v>3</v>
      </c>
      <c r="I226" s="10">
        <f>IFERROR(__xludf.DUMMYFUNCTION("MAX(FILTER($H:$H,$E:$E=F226))"),0.0)</f>
        <v>0</v>
      </c>
    </row>
    <row r="227">
      <c r="A227" s="4"/>
      <c r="C227" s="4" t="s">
        <v>2677</v>
      </c>
      <c r="D227" s="4" t="str">
        <f t="shared" si="1"/>
        <v>{"valorA":"fácil","valorB":1}</v>
      </c>
      <c r="E227" s="8" t="str">
        <f t="shared" si="2"/>
        <v>fácil</v>
      </c>
      <c r="F227" s="8"/>
      <c r="G227" s="8" t="str">
        <f t="shared" si="3"/>
        <v>1</v>
      </c>
      <c r="H227" s="9">
        <f t="shared" si="4"/>
        <v>1</v>
      </c>
      <c r="I227" s="10">
        <f>IFERROR(__xludf.DUMMYFUNCTION("MAX(FILTER($H:$H,$E:$E=F227))"),0.0)</f>
        <v>0</v>
      </c>
    </row>
    <row r="228">
      <c r="A228" s="4"/>
      <c r="C228" s="4" t="s">
        <v>2766</v>
      </c>
      <c r="D228" s="4" t="str">
        <f t="shared" si="1"/>
        <v>{"valorA":"ótimo","valorB":20}</v>
      </c>
      <c r="E228" s="8" t="str">
        <f t="shared" si="2"/>
        <v>ótimo</v>
      </c>
      <c r="F228" s="8"/>
      <c r="G228" s="8" t="str">
        <f t="shared" si="3"/>
        <v>20</v>
      </c>
      <c r="H228" s="9">
        <f t="shared" si="4"/>
        <v>20</v>
      </c>
      <c r="I228" s="10">
        <f>IFERROR(__xludf.DUMMYFUNCTION("MAX(FILTER($H:$H,$E:$E=F228))"),0.0)</f>
        <v>0</v>
      </c>
    </row>
    <row r="229">
      <c r="A229" s="4"/>
      <c r="C229" s="4" t="s">
        <v>12564</v>
      </c>
      <c r="D229" s="4" t="str">
        <f t="shared" si="1"/>
        <v>{"valorA":"super","valorB":2}</v>
      </c>
      <c r="E229" s="8" t="str">
        <f t="shared" si="2"/>
        <v>super</v>
      </c>
      <c r="F229" s="8"/>
      <c r="G229" s="8" t="str">
        <f t="shared" si="3"/>
        <v>2</v>
      </c>
      <c r="H229" s="9">
        <f t="shared" si="4"/>
        <v>2</v>
      </c>
      <c r="I229" s="10">
        <f>IFERROR(__xludf.DUMMYFUNCTION("MAX(FILTER($H:$H,$E:$E=F229))"),0.0)</f>
        <v>0</v>
      </c>
    </row>
    <row r="230">
      <c r="A230" s="4"/>
      <c r="C230" s="4" t="s">
        <v>2665</v>
      </c>
      <c r="D230" s="4" t="str">
        <f t="shared" si="1"/>
        <v>{"valorA":"satisfeito","valorB":1}</v>
      </c>
      <c r="E230" s="8" t="str">
        <f t="shared" si="2"/>
        <v>satisfeito</v>
      </c>
      <c r="F230" s="8"/>
      <c r="G230" s="8" t="str">
        <f t="shared" si="3"/>
        <v>1</v>
      </c>
      <c r="H230" s="9">
        <f t="shared" si="4"/>
        <v>1</v>
      </c>
      <c r="I230" s="10">
        <f>IFERROR(__xludf.DUMMYFUNCTION("MAX(FILTER($H:$H,$E:$E=F230))"),0.0)</f>
        <v>0</v>
      </c>
    </row>
    <row r="231">
      <c r="A231" s="4"/>
      <c r="C231" s="4" t="s">
        <v>3110</v>
      </c>
      <c r="D231" s="4" t="str">
        <f t="shared" si="1"/>
        <v>{"valorA":"de","valorB":12}</v>
      </c>
      <c r="E231" s="8" t="str">
        <f t="shared" si="2"/>
        <v>de</v>
      </c>
      <c r="F231" s="8"/>
      <c r="G231" s="8" t="str">
        <f t="shared" si="3"/>
        <v>12</v>
      </c>
      <c r="H231" s="9">
        <f t="shared" si="4"/>
        <v>12</v>
      </c>
      <c r="I231" s="10">
        <f>IFERROR(__xludf.DUMMYFUNCTION("MAX(FILTER($H:$H,$E:$E=F231))"),0.0)</f>
        <v>0</v>
      </c>
    </row>
    <row r="232">
      <c r="A232" s="4"/>
      <c r="C232" s="4" t="s">
        <v>3351</v>
      </c>
      <c r="D232" s="4" t="str">
        <f t="shared" si="1"/>
        <v>{"valorA":"pratos","valorB":3}</v>
      </c>
      <c r="E232" s="8" t="str">
        <f t="shared" si="2"/>
        <v>pratos</v>
      </c>
      <c r="F232" s="8"/>
      <c r="G232" s="8" t="str">
        <f t="shared" si="3"/>
        <v>3</v>
      </c>
      <c r="H232" s="9">
        <f t="shared" si="4"/>
        <v>3</v>
      </c>
      <c r="I232" s="10">
        <f>IFERROR(__xludf.DUMMYFUNCTION("MAX(FILTER($H:$H,$E:$E=F232))"),0.0)</f>
        <v>0</v>
      </c>
    </row>
    <row r="233">
      <c r="A233" s="4"/>
      <c r="C233" s="4" t="s">
        <v>2922</v>
      </c>
      <c r="D233" s="4" t="str">
        <f t="shared" si="1"/>
        <v>{"valorA":"a","valorB":7}</v>
      </c>
      <c r="E233" s="8" t="str">
        <f t="shared" si="2"/>
        <v>a</v>
      </c>
      <c r="F233" s="8"/>
      <c r="G233" s="8" t="str">
        <f t="shared" si="3"/>
        <v>7</v>
      </c>
      <c r="H233" s="9">
        <f t="shared" si="4"/>
        <v>7</v>
      </c>
      <c r="I233" s="10">
        <f>IFERROR(__xludf.DUMMYFUNCTION("MAX(FILTER($H:$H,$E:$E=F233))"),0.0)</f>
        <v>0</v>
      </c>
    </row>
    <row r="234">
      <c r="A234" s="4"/>
      <c r="C234" s="4" t="s">
        <v>2956</v>
      </c>
      <c r="D234" s="4" t="str">
        <f t="shared" si="1"/>
        <v>{"valorA":"com","valorB":4}</v>
      </c>
      <c r="E234" s="8" t="str">
        <f t="shared" si="2"/>
        <v>com</v>
      </c>
      <c r="F234" s="8"/>
      <c r="G234" s="8" t="str">
        <f t="shared" si="3"/>
        <v>4</v>
      </c>
      <c r="H234" s="9">
        <f t="shared" si="4"/>
        <v>4</v>
      </c>
      <c r="I234" s="10">
        <f>IFERROR(__xludf.DUMMYFUNCTION("MAX(FILTER($H:$H,$E:$E=F234))"),0.0)</f>
        <v>0</v>
      </c>
    </row>
    <row r="235">
      <c r="A235" s="4"/>
      <c r="C235" s="4" t="s">
        <v>8085</v>
      </c>
      <c r="D235" s="4" t="str">
        <f t="shared" si="1"/>
        <v>{"valorA":"lavador","valorB":5}</v>
      </c>
      <c r="E235" s="8" t="str">
        <f t="shared" si="2"/>
        <v>lavador</v>
      </c>
      <c r="F235" s="8"/>
      <c r="G235" s="8" t="str">
        <f t="shared" si="3"/>
        <v>5</v>
      </c>
      <c r="H235" s="9">
        <f t="shared" si="4"/>
        <v>5</v>
      </c>
      <c r="I235" s="10">
        <f>IFERROR(__xludf.DUMMYFUNCTION("MAX(FILTER($H:$H,$E:$E=F235))"),0.0)</f>
        <v>0</v>
      </c>
    </row>
    <row r="236">
      <c r="A236" s="4"/>
      <c r="C236" s="4" t="s">
        <v>2687</v>
      </c>
      <c r="D236" s="4" t="str">
        <f t="shared" si="1"/>
        <v>{"valorA":"compra","valorB":2}</v>
      </c>
      <c r="E236" s="8" t="str">
        <f t="shared" si="2"/>
        <v>compra</v>
      </c>
      <c r="F236" s="8"/>
      <c r="G236" s="8" t="str">
        <f t="shared" si="3"/>
        <v>2</v>
      </c>
      <c r="H236" s="9">
        <f t="shared" si="4"/>
        <v>2</v>
      </c>
      <c r="I236" s="10">
        <f>IFERROR(__xludf.DUMMYFUNCTION("MAX(FILTER($H:$H,$E:$E=F236))"),0.0)</f>
        <v>0</v>
      </c>
    </row>
    <row r="237">
      <c r="A237" s="4"/>
      <c r="C237" s="4" t="s">
        <v>3384</v>
      </c>
      <c r="D237" s="4" t="str">
        <f t="shared" si="1"/>
        <v>{"valorA":"ótima","valorB":6}</v>
      </c>
      <c r="E237" s="8" t="str">
        <f t="shared" si="2"/>
        <v>ótima</v>
      </c>
      <c r="F237" s="8"/>
      <c r="G237" s="8" t="str">
        <f t="shared" si="3"/>
        <v>6</v>
      </c>
      <c r="H237" s="9">
        <f t="shared" si="4"/>
        <v>6</v>
      </c>
      <c r="I237" s="10">
        <f>IFERROR(__xludf.DUMMYFUNCTION("MAX(FILTER($H:$H,$E:$E=F237))"),0.0)</f>
        <v>0</v>
      </c>
    </row>
    <row r="238">
      <c r="A238" s="4"/>
      <c r="C238" s="4" t="s">
        <v>3970</v>
      </c>
      <c r="D238" s="4" t="str">
        <f t="shared" si="1"/>
        <v>{"valorA":"toalha","valorB":1}</v>
      </c>
      <c r="E238" s="8" t="str">
        <f t="shared" si="2"/>
        <v>toalha</v>
      </c>
      <c r="F238" s="8"/>
      <c r="G238" s="8" t="str">
        <f t="shared" si="3"/>
        <v>1</v>
      </c>
      <c r="H238" s="9">
        <f t="shared" si="4"/>
        <v>1</v>
      </c>
      <c r="I238" s="10">
        <f>IFERROR(__xludf.DUMMYFUNCTION("MAX(FILTER($H:$H,$E:$E=F238))"),0.0)</f>
        <v>0</v>
      </c>
    </row>
    <row r="239">
      <c r="A239" s="4"/>
      <c r="C239" s="4" t="s">
        <v>3449</v>
      </c>
      <c r="D239" s="4" t="str">
        <f t="shared" si="1"/>
        <v>{"valorA":"acho","valorB":1}</v>
      </c>
      <c r="E239" s="8" t="str">
        <f t="shared" si="2"/>
        <v>acho</v>
      </c>
      <c r="F239" s="8"/>
      <c r="G239" s="8" t="str">
        <f t="shared" si="3"/>
        <v>1</v>
      </c>
      <c r="H239" s="9">
        <f t="shared" si="4"/>
        <v>1</v>
      </c>
      <c r="I239" s="10">
        <f>IFERROR(__xludf.DUMMYFUNCTION("MAX(FILTER($H:$H,$E:$E=F239))"),0.0)</f>
        <v>0</v>
      </c>
    </row>
    <row r="240">
      <c r="A240" s="4"/>
      <c r="C240" s="4" t="s">
        <v>2863</v>
      </c>
      <c r="D240" s="4" t="str">
        <f t="shared" si="1"/>
        <v>{"valorA":"para","valorB":9}</v>
      </c>
      <c r="E240" s="8" t="str">
        <f t="shared" si="2"/>
        <v>para</v>
      </c>
      <c r="F240" s="8"/>
      <c r="G240" s="8" t="str">
        <f t="shared" si="3"/>
        <v>9</v>
      </c>
      <c r="H240" s="9">
        <f t="shared" si="4"/>
        <v>9</v>
      </c>
      <c r="I240" s="10">
        <f>IFERROR(__xludf.DUMMYFUNCTION("MAX(FILTER($H:$H,$E:$E=F240))"),0.0)</f>
        <v>0</v>
      </c>
    </row>
    <row r="241">
      <c r="A241" s="4"/>
      <c r="C241" s="4" t="s">
        <v>2942</v>
      </c>
      <c r="D241" s="4" t="str">
        <f t="shared" si="1"/>
        <v>{"valorA":"o","valorB":7}</v>
      </c>
      <c r="E241" s="8" t="str">
        <f t="shared" si="2"/>
        <v>o</v>
      </c>
      <c r="F241" s="8"/>
      <c r="G241" s="8" t="str">
        <f t="shared" si="3"/>
        <v>7</v>
      </c>
      <c r="H241" s="9">
        <f t="shared" si="4"/>
        <v>7</v>
      </c>
      <c r="I241" s="10">
        <f>IFERROR(__xludf.DUMMYFUNCTION("MAX(FILTER($H:$H,$E:$E=F241))"),0.0)</f>
        <v>0</v>
      </c>
    </row>
    <row r="242">
      <c r="A242" s="4"/>
      <c r="C242" s="4" t="s">
        <v>8131</v>
      </c>
      <c r="D242" s="4" t="str">
        <f t="shared" si="1"/>
        <v>{"valorA":"banheiro","valorB":1}</v>
      </c>
      <c r="E242" s="8" t="str">
        <f t="shared" si="2"/>
        <v>banheiro</v>
      </c>
      <c r="F242" s="8"/>
      <c r="G242" s="8" t="str">
        <f t="shared" si="3"/>
        <v>1</v>
      </c>
      <c r="H242" s="9">
        <f t="shared" si="4"/>
        <v>1</v>
      </c>
      <c r="I242" s="10">
        <f>IFERROR(__xludf.DUMMYFUNCTION("MAX(FILTER($H:$H,$E:$E=F242))"),0.0)</f>
        <v>0</v>
      </c>
    </row>
    <row r="243">
      <c r="A243" s="4"/>
      <c r="C243" s="4" t="s">
        <v>7540</v>
      </c>
      <c r="D243" s="4" t="str">
        <f t="shared" si="1"/>
        <v>{"valorA":"funcional","valorB":2}</v>
      </c>
      <c r="E243" s="8" t="str">
        <f t="shared" si="2"/>
        <v>funcional</v>
      </c>
      <c r="F243" s="8"/>
      <c r="G243" s="8" t="str">
        <f t="shared" si="3"/>
        <v>2</v>
      </c>
      <c r="H243" s="9">
        <f t="shared" si="4"/>
        <v>2</v>
      </c>
      <c r="I243" s="10">
        <f>IFERROR(__xludf.DUMMYFUNCTION("MAX(FILTER($H:$H,$E:$E=F243))"),0.0)</f>
        <v>0</v>
      </c>
    </row>
    <row r="244">
      <c r="A244" s="4"/>
      <c r="C244" s="4" t="s">
        <v>12565</v>
      </c>
      <c r="D244" s="4" t="str">
        <f t="shared" si="1"/>
        <v>{"valorA":"super","valorB":3}</v>
      </c>
      <c r="E244" s="8" t="str">
        <f t="shared" si="2"/>
        <v>super</v>
      </c>
      <c r="F244" s="8"/>
      <c r="G244" s="8" t="str">
        <f t="shared" si="3"/>
        <v>3</v>
      </c>
      <c r="H244" s="9">
        <f t="shared" si="4"/>
        <v>3</v>
      </c>
      <c r="I244" s="10">
        <f>IFERROR(__xludf.DUMMYFUNCTION("MAX(FILTER($H:$H,$E:$E=F244))"),0.0)</f>
        <v>0</v>
      </c>
    </row>
    <row r="245">
      <c r="A245" s="4"/>
      <c r="C245" s="4" t="s">
        <v>3048</v>
      </c>
      <c r="D245" s="4" t="str">
        <f t="shared" si="1"/>
        <v>{"valorA":"recomendo","valorB":2}</v>
      </c>
      <c r="E245" s="8" t="str">
        <f t="shared" si="2"/>
        <v>recomendo</v>
      </c>
      <c r="F245" s="8"/>
      <c r="G245" s="8" t="str">
        <f t="shared" si="3"/>
        <v>2</v>
      </c>
      <c r="H245" s="9">
        <f t="shared" si="4"/>
        <v>2</v>
      </c>
      <c r="I245" s="10">
        <f>IFERROR(__xludf.DUMMYFUNCTION("MAX(FILTER($H:$H,$E:$E=F245))"),0.0)</f>
        <v>0</v>
      </c>
    </row>
    <row r="246">
      <c r="A246" s="4"/>
      <c r="C246" s="4" t="s">
        <v>2779</v>
      </c>
      <c r="D246" s="4" t="str">
        <f t="shared" si="1"/>
        <v>{"valorA":"ótimo","valorB":21}</v>
      </c>
      <c r="E246" s="8" t="str">
        <f t="shared" si="2"/>
        <v>ótimo</v>
      </c>
      <c r="F246" s="8"/>
      <c r="G246" s="8" t="str">
        <f t="shared" si="3"/>
        <v>21</v>
      </c>
      <c r="H246" s="9">
        <f t="shared" si="4"/>
        <v>21</v>
      </c>
      <c r="I246" s="10">
        <f>IFERROR(__xludf.DUMMYFUNCTION("MAX(FILTER($H:$H,$E:$E=F246))"),0.0)</f>
        <v>0</v>
      </c>
    </row>
    <row r="247">
      <c r="A247" s="4"/>
      <c r="C247" s="4" t="s">
        <v>12566</v>
      </c>
      <c r="D247" s="4" t="str">
        <f t="shared" si="1"/>
        <v>{"valorA":"super","valorB":4}</v>
      </c>
      <c r="E247" s="8" t="str">
        <f t="shared" si="2"/>
        <v>super</v>
      </c>
      <c r="F247" s="8"/>
      <c r="G247" s="8" t="str">
        <f t="shared" si="3"/>
        <v>4</v>
      </c>
      <c r="H247" s="9">
        <f t="shared" si="4"/>
        <v>4</v>
      </c>
      <c r="I247" s="10">
        <f>IFERROR(__xludf.DUMMYFUNCTION("MAX(FILTER($H:$H,$E:$E=F247))"),0.0)</f>
        <v>0</v>
      </c>
    </row>
    <row r="248">
      <c r="A248" s="4"/>
      <c r="C248" s="4" t="s">
        <v>12567</v>
      </c>
      <c r="D248" s="4" t="str">
        <f t="shared" si="1"/>
        <v>{"valorA":"balança","valorB":1}</v>
      </c>
      <c r="E248" s="8" t="str">
        <f t="shared" si="2"/>
        <v>balança</v>
      </c>
      <c r="F248" s="8"/>
      <c r="G248" s="8" t="str">
        <f t="shared" si="3"/>
        <v>1</v>
      </c>
      <c r="H248" s="9">
        <f t="shared" si="4"/>
        <v>1</v>
      </c>
      <c r="I248" s="10">
        <f>IFERROR(__xludf.DUMMYFUNCTION("MAX(FILTER($H:$H,$E:$E=F248))"),0.0)</f>
        <v>0</v>
      </c>
    </row>
    <row r="249">
      <c r="A249" s="4"/>
      <c r="C249" s="4" t="s">
        <v>2969</v>
      </c>
      <c r="D249" s="4" t="str">
        <f t="shared" si="1"/>
        <v>{"valorA":"para","valorB":10}</v>
      </c>
      <c r="E249" s="8" t="str">
        <f t="shared" si="2"/>
        <v>para</v>
      </c>
      <c r="F249" s="8"/>
      <c r="G249" s="8" t="str">
        <f t="shared" si="3"/>
        <v>10</v>
      </c>
      <c r="H249" s="9">
        <f t="shared" si="4"/>
        <v>10</v>
      </c>
      <c r="I249" s="10">
        <f>IFERROR(__xludf.DUMMYFUNCTION("MAX(FILTER($H:$H,$E:$E=F249))"),0.0)</f>
        <v>0</v>
      </c>
    </row>
    <row r="250">
      <c r="A250" s="4"/>
      <c r="C250" s="4" t="s">
        <v>2983</v>
      </c>
      <c r="D250" s="4" t="str">
        <f t="shared" si="1"/>
        <v>{"valorA":"o","valorB":8}</v>
      </c>
      <c r="E250" s="8" t="str">
        <f t="shared" si="2"/>
        <v>o</v>
      </c>
      <c r="F250" s="8"/>
      <c r="G250" s="8" t="str">
        <f t="shared" si="3"/>
        <v>8</v>
      </c>
      <c r="H250" s="9">
        <f t="shared" si="4"/>
        <v>8</v>
      </c>
      <c r="I250" s="10">
        <f>IFERROR(__xludf.DUMMYFUNCTION("MAX(FILTER($H:$H,$E:$E=F250))"),0.0)</f>
        <v>0</v>
      </c>
    </row>
    <row r="251">
      <c r="A251" s="4"/>
      <c r="C251" s="4" t="s">
        <v>12568</v>
      </c>
      <c r="D251" s="4" t="str">
        <f t="shared" si="1"/>
        <v>{"valorA":"ginásio","valorB":1}</v>
      </c>
      <c r="E251" s="8" t="str">
        <f t="shared" si="2"/>
        <v>ginásio</v>
      </c>
      <c r="F251" s="8"/>
      <c r="G251" s="8" t="str">
        <f t="shared" si="3"/>
        <v>1</v>
      </c>
      <c r="H251" s="9">
        <f t="shared" si="4"/>
        <v>1</v>
      </c>
      <c r="I251" s="10">
        <f>IFERROR(__xludf.DUMMYFUNCTION("MAX(FILTER($H:$H,$E:$E=F251))"),0.0)</f>
        <v>0</v>
      </c>
    </row>
    <row r="252">
      <c r="A252" s="4"/>
      <c r="C252" s="4" t="s">
        <v>2708</v>
      </c>
      <c r="D252" s="4" t="str">
        <f t="shared" si="1"/>
        <v>{"valorA":"que","valorB":3}</v>
      </c>
      <c r="E252" s="8" t="str">
        <f t="shared" si="2"/>
        <v>que</v>
      </c>
      <c r="F252" s="8"/>
      <c r="G252" s="8" t="str">
        <f t="shared" si="3"/>
        <v>3</v>
      </c>
      <c r="H252" s="9">
        <f t="shared" si="4"/>
        <v>3</v>
      </c>
      <c r="I252" s="10">
        <f>IFERROR(__xludf.DUMMYFUNCTION("MAX(FILTER($H:$H,$E:$E=F252))"),0.0)</f>
        <v>0</v>
      </c>
    </row>
    <row r="253">
      <c r="A253" s="4"/>
      <c r="C253" s="4" t="s">
        <v>8102</v>
      </c>
      <c r="D253" s="4" t="str">
        <f t="shared" si="1"/>
        <v>{"valorA":"luz","valorB":1}</v>
      </c>
      <c r="E253" s="8" t="str">
        <f t="shared" si="2"/>
        <v>luz</v>
      </c>
      <c r="F253" s="8"/>
      <c r="G253" s="8" t="str">
        <f t="shared" si="3"/>
        <v>1</v>
      </c>
      <c r="H253" s="9">
        <f t="shared" si="4"/>
        <v>1</v>
      </c>
      <c r="I253" s="10">
        <f>IFERROR(__xludf.DUMMYFUNCTION("MAX(FILTER($H:$H,$E:$E=F253))"),0.0)</f>
        <v>0</v>
      </c>
    </row>
    <row r="254">
      <c r="A254" s="4"/>
      <c r="C254" s="4" t="s">
        <v>3395</v>
      </c>
      <c r="D254" s="4" t="str">
        <f t="shared" si="1"/>
        <v>{"valorA":"ótima","valorB":7}</v>
      </c>
      <c r="E254" s="8" t="str">
        <f t="shared" si="2"/>
        <v>ótima</v>
      </c>
      <c r="F254" s="8"/>
      <c r="G254" s="8" t="str">
        <f t="shared" si="3"/>
        <v>7</v>
      </c>
      <c r="H254" s="9">
        <f t="shared" si="4"/>
        <v>7</v>
      </c>
      <c r="I254" s="10">
        <f>IFERROR(__xludf.DUMMYFUNCTION("MAX(FILTER($H:$H,$E:$E=F254))"),0.0)</f>
        <v>0</v>
      </c>
    </row>
    <row r="255">
      <c r="A255" s="4"/>
      <c r="C255" s="4" t="s">
        <v>2826</v>
      </c>
      <c r="D255" s="4" t="str">
        <f t="shared" si="1"/>
        <v>{"valorA":"ontem","valorB":2}</v>
      </c>
      <c r="E255" s="8" t="str">
        <f t="shared" si="2"/>
        <v>ontem</v>
      </c>
      <c r="F255" s="8"/>
      <c r="G255" s="8" t="str">
        <f t="shared" si="3"/>
        <v>2</v>
      </c>
      <c r="H255" s="9">
        <f t="shared" si="4"/>
        <v>2</v>
      </c>
      <c r="I255" s="10">
        <f>IFERROR(__xludf.DUMMYFUNCTION("MAX(FILTER($H:$H,$E:$E=F255))"),0.0)</f>
        <v>0</v>
      </c>
    </row>
    <row r="256">
      <c r="A256" s="4"/>
      <c r="C256" s="4" t="s">
        <v>3166</v>
      </c>
      <c r="D256" s="4" t="str">
        <f t="shared" si="1"/>
        <v>{"valorA":"muito","valorB":14}</v>
      </c>
      <c r="E256" s="8" t="str">
        <f t="shared" si="2"/>
        <v>muito</v>
      </c>
      <c r="F256" s="8"/>
      <c r="G256" s="8" t="str">
        <f t="shared" si="3"/>
        <v>14</v>
      </c>
      <c r="H256" s="9">
        <f t="shared" si="4"/>
        <v>14</v>
      </c>
      <c r="I256" s="10">
        <f>IFERROR(__xludf.DUMMYFUNCTION("MAX(FILTER($H:$H,$E:$E=F256))"),0.0)</f>
        <v>0</v>
      </c>
    </row>
    <row r="257">
      <c r="A257" s="4"/>
      <c r="C257" s="4" t="s">
        <v>3937</v>
      </c>
      <c r="D257" s="4" t="str">
        <f t="shared" si="1"/>
        <v>{"valorA":"led","valorB":3}</v>
      </c>
      <c r="E257" s="8" t="str">
        <f t="shared" si="2"/>
        <v>led</v>
      </c>
      <c r="F257" s="8"/>
      <c r="G257" s="8" t="str">
        <f t="shared" si="3"/>
        <v>3</v>
      </c>
      <c r="H257" s="9">
        <f t="shared" si="4"/>
        <v>3</v>
      </c>
      <c r="I257" s="10">
        <f>IFERROR(__xludf.DUMMYFUNCTION("MAX(FILTER($H:$H,$E:$E=F257))"),0.0)</f>
        <v>0</v>
      </c>
    </row>
    <row r="258">
      <c r="A258" s="4"/>
      <c r="C258" s="4" t="s">
        <v>2963</v>
      </c>
      <c r="D258" s="4" t="str">
        <f t="shared" si="1"/>
        <v>{"valorA":"útil","valorB":1}</v>
      </c>
      <c r="E258" s="8" t="str">
        <f t="shared" si="2"/>
        <v>útil</v>
      </c>
      <c r="F258" s="8"/>
      <c r="G258" s="8" t="str">
        <f t="shared" si="3"/>
        <v>1</v>
      </c>
      <c r="H258" s="9">
        <f t="shared" si="4"/>
        <v>1</v>
      </c>
      <c r="I258" s="10">
        <f>IFERROR(__xludf.DUMMYFUNCTION("MAX(FILTER($H:$H,$E:$E=F258))"),0.0)</f>
        <v>0</v>
      </c>
    </row>
    <row r="259">
      <c r="A259" s="4"/>
      <c r="C259" s="4" t="s">
        <v>2700</v>
      </c>
      <c r="D259" s="4" t="str">
        <f t="shared" si="1"/>
        <v>{"valorA":"comprei","valorB":1}</v>
      </c>
      <c r="E259" s="8" t="str">
        <f t="shared" si="2"/>
        <v>comprei</v>
      </c>
      <c r="F259" s="8"/>
      <c r="G259" s="8" t="str">
        <f t="shared" si="3"/>
        <v>1</v>
      </c>
      <c r="H259" s="9">
        <f t="shared" si="4"/>
        <v>1</v>
      </c>
      <c r="I259" s="10">
        <f>IFERROR(__xludf.DUMMYFUNCTION("MAX(FILTER($H:$H,$E:$E=F259))"),0.0)</f>
        <v>0</v>
      </c>
    </row>
    <row r="260">
      <c r="A260" s="4"/>
      <c r="C260" s="4" t="s">
        <v>3409</v>
      </c>
      <c r="D260" s="4" t="str">
        <f t="shared" si="1"/>
        <v>{"valorA":"foi","valorB":1}</v>
      </c>
      <c r="E260" s="8" t="str">
        <f t="shared" si="2"/>
        <v>foi</v>
      </c>
      <c r="F260" s="8"/>
      <c r="G260" s="8" t="str">
        <f t="shared" si="3"/>
        <v>1</v>
      </c>
      <c r="H260" s="9">
        <f t="shared" si="4"/>
        <v>1</v>
      </c>
      <c r="I260" s="10">
        <f>IFERROR(__xludf.DUMMYFUNCTION("MAX(FILTER($H:$H,$E:$E=F260))"),0.0)</f>
        <v>0</v>
      </c>
    </row>
    <row r="261">
      <c r="A261" s="4"/>
      <c r="C261" s="4" t="s">
        <v>2777</v>
      </c>
      <c r="D261" s="4" t="str">
        <f t="shared" si="1"/>
        <v>{"valorA":"meu","valorB":2}</v>
      </c>
      <c r="E261" s="8" t="str">
        <f t="shared" si="2"/>
        <v>meu</v>
      </c>
      <c r="F261" s="8"/>
      <c r="G261" s="8" t="str">
        <f t="shared" si="3"/>
        <v>2</v>
      </c>
      <c r="H261" s="9">
        <f t="shared" si="4"/>
        <v>2</v>
      </c>
      <c r="I261" s="10">
        <f>IFERROR(__xludf.DUMMYFUNCTION("MAX(FILTER($H:$H,$E:$E=F261))"),0.0)</f>
        <v>0</v>
      </c>
    </row>
    <row r="262">
      <c r="A262" s="4"/>
      <c r="C262" s="4" t="s">
        <v>12569</v>
      </c>
      <c r="D262" s="4" t="str">
        <f t="shared" si="1"/>
        <v>{"valorA":"pé","valorB":1}</v>
      </c>
      <c r="E262" s="8" t="str">
        <f t="shared" si="2"/>
        <v>pé</v>
      </c>
      <c r="F262" s="8"/>
      <c r="G262" s="8" t="str">
        <f t="shared" si="3"/>
        <v>1</v>
      </c>
      <c r="H262" s="9">
        <f t="shared" si="4"/>
        <v>1</v>
      </c>
      <c r="I262" s="10">
        <f>IFERROR(__xludf.DUMMYFUNCTION("MAX(FILTER($H:$H,$E:$E=F262))"),0.0)</f>
        <v>0</v>
      </c>
    </row>
    <row r="263">
      <c r="A263" s="4"/>
      <c r="C263" s="4" t="s">
        <v>3198</v>
      </c>
      <c r="D263" s="4" t="str">
        <f t="shared" si="1"/>
        <v>{"valorA":"muito","valorB":15}</v>
      </c>
      <c r="E263" s="8" t="str">
        <f t="shared" si="2"/>
        <v>muito</v>
      </c>
      <c r="F263" s="8"/>
      <c r="G263" s="8" t="str">
        <f t="shared" si="3"/>
        <v>15</v>
      </c>
      <c r="H263" s="9">
        <f t="shared" si="4"/>
        <v>15</v>
      </c>
      <c r="I263" s="10">
        <f>IFERROR(__xludf.DUMMYFUNCTION("MAX(FILTER($H:$H,$E:$E=F263))"),0.0)</f>
        <v>0</v>
      </c>
    </row>
    <row r="264">
      <c r="A264" s="4"/>
      <c r="C264" s="4" t="s">
        <v>3128</v>
      </c>
      <c r="D264" s="4" t="str">
        <f t="shared" si="1"/>
        <v>{"valorA":"de","valorB":13}</v>
      </c>
      <c r="E264" s="8" t="str">
        <f t="shared" si="2"/>
        <v>de</v>
      </c>
      <c r="F264" s="8"/>
      <c r="G264" s="8" t="str">
        <f t="shared" si="3"/>
        <v>13</v>
      </c>
      <c r="H264" s="9">
        <f t="shared" si="4"/>
        <v>13</v>
      </c>
      <c r="I264" s="10">
        <f>IFERROR(__xludf.DUMMYFUNCTION("MAX(FILTER($H:$H,$E:$E=F264))"),0.0)</f>
        <v>0</v>
      </c>
    </row>
    <row r="265">
      <c r="A265" s="4"/>
      <c r="C265" s="4" t="s">
        <v>12570</v>
      </c>
      <c r="D265" s="4" t="str">
        <f t="shared" si="1"/>
        <v>{"valorA":"cachorro","valorB":1}</v>
      </c>
      <c r="E265" s="8" t="str">
        <f t="shared" si="2"/>
        <v>cachorro</v>
      </c>
      <c r="F265" s="8"/>
      <c r="G265" s="8" t="str">
        <f t="shared" si="3"/>
        <v>1</v>
      </c>
      <c r="H265" s="9">
        <f t="shared" si="4"/>
        <v>1</v>
      </c>
      <c r="I265" s="10">
        <f>IFERROR(__xludf.DUMMYFUNCTION("MAX(FILTER($H:$H,$E:$E=F265))"),0.0)</f>
        <v>0</v>
      </c>
    </row>
    <row r="266">
      <c r="A266" s="4"/>
      <c r="C266" s="4" t="s">
        <v>2788</v>
      </c>
      <c r="D266" s="4" t="str">
        <f t="shared" si="1"/>
        <v>{"valorA":"ótimo","valorB":22}</v>
      </c>
      <c r="E266" s="8" t="str">
        <f t="shared" si="2"/>
        <v>ótimo</v>
      </c>
      <c r="F266" s="8"/>
      <c r="G266" s="8" t="str">
        <f t="shared" si="3"/>
        <v>22</v>
      </c>
      <c r="H266" s="9">
        <f t="shared" si="4"/>
        <v>22</v>
      </c>
      <c r="I266" s="10">
        <f>IFERROR(__xludf.DUMMYFUNCTION("MAX(FILTER($H:$H,$E:$E=F266))"),0.0)</f>
        <v>0</v>
      </c>
    </row>
    <row r="267">
      <c r="A267" s="4"/>
      <c r="C267" s="4" t="s">
        <v>3120</v>
      </c>
      <c r="D267" s="4" t="str">
        <f t="shared" si="1"/>
        <v>{"valorA":"para","valorB":11}</v>
      </c>
      <c r="E267" s="8" t="str">
        <f t="shared" si="2"/>
        <v>para</v>
      </c>
      <c r="F267" s="8"/>
      <c r="G267" s="8" t="str">
        <f t="shared" si="3"/>
        <v>11</v>
      </c>
      <c r="H267" s="9">
        <f t="shared" si="4"/>
        <v>11</v>
      </c>
      <c r="I267" s="10">
        <f>IFERROR(__xludf.DUMMYFUNCTION("MAX(FILTER($H:$H,$E:$E=F267))"),0.0)</f>
        <v>0</v>
      </c>
    </row>
    <row r="268">
      <c r="A268" s="4"/>
      <c r="C268" s="4" t="s">
        <v>2941</v>
      </c>
      <c r="D268" s="4" t="str">
        <f t="shared" si="1"/>
        <v>{"valorA":"gosto","valorB":2}</v>
      </c>
      <c r="E268" s="8" t="str">
        <f t="shared" si="2"/>
        <v>gosto</v>
      </c>
      <c r="F268" s="8"/>
      <c r="G268" s="8" t="str">
        <f t="shared" si="3"/>
        <v>2</v>
      </c>
      <c r="H268" s="9">
        <f t="shared" si="4"/>
        <v>2</v>
      </c>
      <c r="I268" s="10">
        <f>IFERROR(__xludf.DUMMYFUNCTION("MAX(FILTER($H:$H,$E:$E=F268))"),0.0)</f>
        <v>0</v>
      </c>
    </row>
    <row r="269">
      <c r="A269" s="4"/>
      <c r="C269" s="4" t="s">
        <v>12571</v>
      </c>
      <c r="D269" s="4" t="str">
        <f t="shared" si="1"/>
        <v>{"valorA":"pulga","valorB":1}</v>
      </c>
      <c r="E269" s="8" t="str">
        <f t="shared" si="2"/>
        <v>pulga</v>
      </c>
      <c r="F269" s="8"/>
      <c r="G269" s="8" t="str">
        <f t="shared" si="3"/>
        <v>1</v>
      </c>
      <c r="H269" s="9">
        <f t="shared" si="4"/>
        <v>1</v>
      </c>
      <c r="I269" s="10">
        <f>IFERROR(__xludf.DUMMYFUNCTION("MAX(FILTER($H:$H,$E:$E=F269))"),0.0)</f>
        <v>0</v>
      </c>
    </row>
    <row r="270">
      <c r="A270" s="4"/>
      <c r="C270" s="4" t="s">
        <v>3407</v>
      </c>
      <c r="D270" s="4" t="str">
        <f t="shared" si="1"/>
        <v>{"valorA":"o","valorB":9}</v>
      </c>
      <c r="E270" s="8" t="str">
        <f t="shared" si="2"/>
        <v>o</v>
      </c>
      <c r="F270" s="8"/>
      <c r="G270" s="8" t="str">
        <f t="shared" si="3"/>
        <v>9</v>
      </c>
      <c r="H270" s="9">
        <f t="shared" si="4"/>
        <v>9</v>
      </c>
      <c r="I270" s="10">
        <f>IFERROR(__xludf.DUMMYFUNCTION("MAX(FILTER($H:$H,$E:$E=F270))"),0.0)</f>
        <v>0</v>
      </c>
    </row>
    <row r="271">
      <c r="A271" s="4"/>
      <c r="C271" s="4" t="s">
        <v>2955</v>
      </c>
      <c r="D271" s="4" t="str">
        <f t="shared" si="1"/>
        <v>{"valorA":"a","valorB":8}</v>
      </c>
      <c r="E271" s="8" t="str">
        <f t="shared" si="2"/>
        <v>a</v>
      </c>
      <c r="F271" s="8"/>
      <c r="G271" s="8" t="str">
        <f t="shared" si="3"/>
        <v>8</v>
      </c>
      <c r="H271" s="9">
        <f t="shared" si="4"/>
        <v>8</v>
      </c>
      <c r="I271" s="10">
        <f>IFERROR(__xludf.DUMMYFUNCTION("MAX(FILTER($H:$H,$E:$E=F271))"),0.0)</f>
        <v>0</v>
      </c>
    </row>
    <row r="272">
      <c r="A272" s="4"/>
      <c r="C272" s="4" t="s">
        <v>3136</v>
      </c>
      <c r="D272" s="4" t="str">
        <f t="shared" si="1"/>
        <v>{"valorA":"de","valorB":14}</v>
      </c>
      <c r="E272" s="8" t="str">
        <f t="shared" si="2"/>
        <v>de</v>
      </c>
      <c r="F272" s="8"/>
      <c r="G272" s="8" t="str">
        <f t="shared" si="3"/>
        <v>14</v>
      </c>
      <c r="H272" s="9">
        <f t="shared" si="4"/>
        <v>14</v>
      </c>
      <c r="I272" s="10">
        <f>IFERROR(__xludf.DUMMYFUNCTION("MAX(FILTER($H:$H,$E:$E=F272))"),0.0)</f>
        <v>0</v>
      </c>
    </row>
    <row r="273">
      <c r="A273" s="4"/>
      <c r="C273" s="4" t="s">
        <v>3436</v>
      </c>
      <c r="D273" s="4" t="str">
        <f t="shared" si="1"/>
        <v>{"valorA":"ótima","valorB":8}</v>
      </c>
      <c r="E273" s="8" t="str">
        <f t="shared" si="2"/>
        <v>ótima</v>
      </c>
      <c r="F273" s="8"/>
      <c r="G273" s="8" t="str">
        <f t="shared" si="3"/>
        <v>8</v>
      </c>
      <c r="H273" s="9">
        <f t="shared" si="4"/>
        <v>8</v>
      </c>
      <c r="I273" s="10">
        <f>IFERROR(__xludf.DUMMYFUNCTION("MAX(FILTER($H:$H,$E:$E=F273))"),0.0)</f>
        <v>0</v>
      </c>
    </row>
    <row r="274">
      <c r="A274" s="4"/>
      <c r="C274" s="4" t="s">
        <v>2697</v>
      </c>
      <c r="D274" s="4" t="str">
        <f t="shared" si="1"/>
        <v>{"valorA":"cadeira","valorB":1}</v>
      </c>
      <c r="E274" s="8" t="str">
        <f t="shared" si="2"/>
        <v>cadeira</v>
      </c>
      <c r="F274" s="8"/>
      <c r="G274" s="8" t="str">
        <f t="shared" si="3"/>
        <v>1</v>
      </c>
      <c r="H274" s="9">
        <f t="shared" si="4"/>
        <v>1</v>
      </c>
      <c r="I274" s="10">
        <f>IFERROR(__xludf.DUMMYFUNCTION("MAX(FILTER($H:$H,$E:$E=F274))"),0.0)</f>
        <v>0</v>
      </c>
    </row>
    <row r="275">
      <c r="A275" s="4"/>
      <c r="C275" s="4" t="s">
        <v>12572</v>
      </c>
      <c r="D275" s="4" t="str">
        <f t="shared" si="1"/>
        <v>{"valorA":"mantém","valorB":2}</v>
      </c>
      <c r="E275" s="8" t="str">
        <f t="shared" si="2"/>
        <v>mantém</v>
      </c>
      <c r="F275" s="8"/>
      <c r="G275" s="8" t="str">
        <f t="shared" si="3"/>
        <v>2</v>
      </c>
      <c r="H275" s="9">
        <f t="shared" si="4"/>
        <v>2</v>
      </c>
      <c r="I275" s="10">
        <f>IFERROR(__xludf.DUMMYFUNCTION("MAX(FILTER($H:$H,$E:$E=F275))"),0.0)</f>
        <v>0</v>
      </c>
    </row>
    <row r="276">
      <c r="A276" s="4"/>
      <c r="C276" s="4" t="s">
        <v>2757</v>
      </c>
      <c r="D276" s="4" t="str">
        <f t="shared" si="1"/>
        <v>{"valorA":"perfeitamente","valorB":4}</v>
      </c>
      <c r="E276" s="8" t="str">
        <f t="shared" si="2"/>
        <v>perfeitamente</v>
      </c>
      <c r="F276" s="8"/>
      <c r="G276" s="8" t="str">
        <f t="shared" si="3"/>
        <v>4</v>
      </c>
      <c r="H276" s="9">
        <f t="shared" si="4"/>
        <v>4</v>
      </c>
      <c r="I276" s="10">
        <f>IFERROR(__xludf.DUMMYFUNCTION("MAX(FILTER($H:$H,$E:$E=F276))"),0.0)</f>
        <v>0</v>
      </c>
    </row>
    <row r="277">
      <c r="A277" s="4"/>
      <c r="C277" s="4" t="s">
        <v>12573</v>
      </c>
      <c r="D277" s="4" t="str">
        <f t="shared" si="1"/>
        <v>{"valorA":"postura","valorB":1}</v>
      </c>
      <c r="E277" s="8" t="str">
        <f t="shared" si="2"/>
        <v>postura</v>
      </c>
      <c r="F277" s="8"/>
      <c r="G277" s="8" t="str">
        <f t="shared" si="3"/>
        <v>1</v>
      </c>
      <c r="H277" s="9">
        <f t="shared" si="4"/>
        <v>1</v>
      </c>
      <c r="I277" s="10">
        <f>IFERROR(__xludf.DUMMYFUNCTION("MAX(FILTER($H:$H,$E:$E=F277))"),0.0)</f>
        <v>0</v>
      </c>
    </row>
    <row r="278">
      <c r="A278" s="4"/>
      <c r="C278" s="4" t="s">
        <v>2753</v>
      </c>
      <c r="D278" s="4" t="str">
        <f t="shared" si="1"/>
        <v>{"valorA":"escritório","valorB":1}</v>
      </c>
      <c r="E278" s="8" t="str">
        <f t="shared" si="2"/>
        <v>escritório</v>
      </c>
      <c r="F278" s="8"/>
      <c r="G278" s="8" t="str">
        <f t="shared" si="3"/>
        <v>1</v>
      </c>
      <c r="H278" s="9">
        <f t="shared" si="4"/>
        <v>1</v>
      </c>
      <c r="I278" s="10">
        <f>IFERROR(__xludf.DUMMYFUNCTION("MAX(FILTER($H:$H,$E:$E=F278))"),0.0)</f>
        <v>0</v>
      </c>
    </row>
    <row r="279">
      <c r="A279" s="4"/>
      <c r="C279" s="4" t="s">
        <v>2791</v>
      </c>
      <c r="D279" s="4" t="str">
        <f t="shared" si="1"/>
        <v>{"valorA":"ótimo","valorB":23}</v>
      </c>
      <c r="E279" s="8" t="str">
        <f t="shared" si="2"/>
        <v>ótimo</v>
      </c>
      <c r="F279" s="8"/>
      <c r="G279" s="8" t="str">
        <f t="shared" si="3"/>
        <v>23</v>
      </c>
      <c r="H279" s="9">
        <f t="shared" si="4"/>
        <v>23</v>
      </c>
      <c r="I279" s="10">
        <f>IFERROR(__xludf.DUMMYFUNCTION("MAX(FILTER($H:$H,$E:$E=F279))"),0.0)</f>
        <v>0</v>
      </c>
    </row>
    <row r="280">
      <c r="A280" s="4"/>
      <c r="C280" s="4" t="s">
        <v>3336</v>
      </c>
      <c r="D280" s="4" t="str">
        <f t="shared" si="1"/>
        <v>{"valorA":"modelo","valorB":1}</v>
      </c>
      <c r="E280" s="8" t="str">
        <f t="shared" si="2"/>
        <v>modelo</v>
      </c>
      <c r="F280" s="8"/>
      <c r="G280" s="8" t="str">
        <f t="shared" si="3"/>
        <v>1</v>
      </c>
      <c r="H280" s="9">
        <f t="shared" si="4"/>
        <v>1</v>
      </c>
      <c r="I280" s="10">
        <f>IFERROR(__xludf.DUMMYFUNCTION("MAX(FILTER($H:$H,$E:$E=F280))"),0.0)</f>
        <v>0</v>
      </c>
    </row>
    <row r="281">
      <c r="A281" s="4"/>
      <c r="C281" s="4" t="s">
        <v>2632</v>
      </c>
      <c r="D281" s="4" t="str">
        <f t="shared" si="1"/>
        <v>{"valorA":"desse","valorB":1}</v>
      </c>
      <c r="E281" s="8" t="str">
        <f t="shared" si="2"/>
        <v>desse</v>
      </c>
      <c r="F281" s="8"/>
      <c r="G281" s="8" t="str">
        <f t="shared" si="3"/>
        <v>1</v>
      </c>
      <c r="H281" s="9">
        <f t="shared" si="4"/>
        <v>1</v>
      </c>
      <c r="I281" s="10">
        <f>IFERROR(__xludf.DUMMYFUNCTION("MAX(FILTER($H:$H,$E:$E=F281))"),0.0)</f>
        <v>0</v>
      </c>
    </row>
    <row r="282">
      <c r="A282" s="4"/>
      <c r="C282" s="4" t="s">
        <v>3888</v>
      </c>
      <c r="D282" s="4" t="str">
        <f t="shared" si="1"/>
        <v>{"valorA":"fica","valorB":2}</v>
      </c>
      <c r="E282" s="8" t="str">
        <f t="shared" si="2"/>
        <v>fica</v>
      </c>
      <c r="F282" s="8"/>
      <c r="G282" s="8" t="str">
        <f t="shared" si="3"/>
        <v>2</v>
      </c>
      <c r="H282" s="9">
        <f t="shared" si="4"/>
        <v>2</v>
      </c>
      <c r="I282" s="10">
        <f>IFERROR(__xludf.DUMMYFUNCTION("MAX(FILTER($H:$H,$E:$E=F282))"),0.0)</f>
        <v>0</v>
      </c>
    </row>
    <row r="283">
      <c r="A283" s="4"/>
      <c r="C283" s="4" t="s">
        <v>2721</v>
      </c>
      <c r="D283" s="4" t="str">
        <f t="shared" si="1"/>
        <v>{"valorA":"e","valorB":4}</v>
      </c>
      <c r="E283" s="8" t="str">
        <f t="shared" si="2"/>
        <v>e</v>
      </c>
      <c r="F283" s="8"/>
      <c r="G283" s="8" t="str">
        <f t="shared" si="3"/>
        <v>4</v>
      </c>
      <c r="H283" s="9">
        <f t="shared" si="4"/>
        <v>4</v>
      </c>
      <c r="I283" s="10">
        <f>IFERROR(__xludf.DUMMYFUNCTION("MAX(FILTER($H:$H,$E:$E=F283))"),0.0)</f>
        <v>0</v>
      </c>
    </row>
    <row r="284">
      <c r="A284" s="4"/>
      <c r="C284" s="4" t="s">
        <v>3305</v>
      </c>
      <c r="D284" s="4" t="str">
        <f t="shared" si="1"/>
        <v>{"valorA":"bastante","valorB":1}</v>
      </c>
      <c r="E284" s="8" t="str">
        <f t="shared" si="2"/>
        <v>bastante</v>
      </c>
      <c r="F284" s="8"/>
      <c r="G284" s="8" t="str">
        <f t="shared" si="3"/>
        <v>1</v>
      </c>
      <c r="H284" s="9">
        <f t="shared" si="4"/>
        <v>1</v>
      </c>
      <c r="I284" s="10">
        <f>IFERROR(__xludf.DUMMYFUNCTION("MAX(FILTER($H:$H,$E:$E=F284))"),0.0)</f>
        <v>0</v>
      </c>
    </row>
    <row r="285">
      <c r="A285" s="4"/>
      <c r="C285" s="4" t="s">
        <v>3618</v>
      </c>
      <c r="D285" s="4" t="str">
        <f t="shared" si="1"/>
        <v>{"valorA":"refrigerador","valorB":2}</v>
      </c>
      <c r="E285" s="8" t="str">
        <f t="shared" si="2"/>
        <v>refrigerador</v>
      </c>
      <c r="F285" s="8"/>
      <c r="G285" s="8" t="str">
        <f t="shared" si="3"/>
        <v>2</v>
      </c>
      <c r="H285" s="9">
        <f t="shared" si="4"/>
        <v>2</v>
      </c>
      <c r="I285" s="10">
        <f>IFERROR(__xludf.DUMMYFUNCTION("MAX(FILTER($H:$H,$E:$E=F285))"),0.0)</f>
        <v>0</v>
      </c>
    </row>
    <row r="286">
      <c r="A286" s="4"/>
      <c r="C286" s="4" t="s">
        <v>8077</v>
      </c>
      <c r="D286" s="4" t="str">
        <f t="shared" si="1"/>
        <v>{"valorA":"consumidor","valorB":1}</v>
      </c>
      <c r="E286" s="8" t="str">
        <f t="shared" si="2"/>
        <v>consumidor</v>
      </c>
      <c r="F286" s="8"/>
      <c r="G286" s="8" t="str">
        <f t="shared" si="3"/>
        <v>1</v>
      </c>
      <c r="H286" s="9">
        <f t="shared" si="4"/>
        <v>1</v>
      </c>
      <c r="I286" s="10">
        <f>IFERROR(__xludf.DUMMYFUNCTION("MAX(FILTER($H:$H,$E:$E=F286))"),0.0)</f>
        <v>0</v>
      </c>
    </row>
    <row r="287">
      <c r="A287" s="4"/>
      <c r="C287" s="4" t="s">
        <v>3878</v>
      </c>
      <c r="D287" s="4" t="str">
        <f t="shared" si="1"/>
        <v>{"valorA":"frio","valorB":1}</v>
      </c>
      <c r="E287" s="8" t="str">
        <f t="shared" si="2"/>
        <v>frio</v>
      </c>
      <c r="F287" s="8"/>
      <c r="G287" s="8" t="str">
        <f t="shared" si="3"/>
        <v>1</v>
      </c>
      <c r="H287" s="9">
        <f t="shared" si="4"/>
        <v>1</v>
      </c>
      <c r="I287" s="10">
        <f>IFERROR(__xludf.DUMMYFUNCTION("MAX(FILTER($H:$H,$E:$E=F287))"),0.0)</f>
        <v>0</v>
      </c>
    </row>
    <row r="288">
      <c r="A288" s="4"/>
      <c r="C288" s="4" t="s">
        <v>3356</v>
      </c>
      <c r="D288" s="4" t="str">
        <f t="shared" si="1"/>
        <v>{"valorA":"com","valorB":5}</v>
      </c>
      <c r="E288" s="8" t="str">
        <f t="shared" si="2"/>
        <v>com</v>
      </c>
      <c r="F288" s="8"/>
      <c r="G288" s="8" t="str">
        <f t="shared" si="3"/>
        <v>5</v>
      </c>
      <c r="H288" s="9">
        <f t="shared" si="4"/>
        <v>5</v>
      </c>
      <c r="I288" s="10">
        <f>IFERROR(__xludf.DUMMYFUNCTION("MAX(FILTER($H:$H,$E:$E=F288))"),0.0)</f>
        <v>0</v>
      </c>
    </row>
    <row r="289">
      <c r="A289" s="4"/>
      <c r="C289" s="4" t="s">
        <v>3215</v>
      </c>
      <c r="D289" s="4" t="str">
        <f t="shared" si="1"/>
        <v>{"valorA":"muito","valorB":16}</v>
      </c>
      <c r="E289" s="8" t="str">
        <f t="shared" si="2"/>
        <v>muito</v>
      </c>
      <c r="F289" s="8"/>
      <c r="G289" s="8" t="str">
        <f t="shared" si="3"/>
        <v>16</v>
      </c>
      <c r="H289" s="9">
        <f t="shared" si="4"/>
        <v>16</v>
      </c>
      <c r="I289" s="10">
        <f>IFERROR(__xludf.DUMMYFUNCTION("MAX(FILTER($H:$H,$E:$E=F289))"),0.0)</f>
        <v>0</v>
      </c>
    </row>
    <row r="290">
      <c r="A290" s="4"/>
      <c r="C290" s="4" t="s">
        <v>3914</v>
      </c>
      <c r="D290" s="4" t="str">
        <f t="shared" si="1"/>
        <v>{"valorA":"baixo","valorB":1}</v>
      </c>
      <c r="E290" s="8" t="str">
        <f t="shared" si="2"/>
        <v>baixo</v>
      </c>
      <c r="F290" s="8"/>
      <c r="G290" s="8" t="str">
        <f t="shared" si="3"/>
        <v>1</v>
      </c>
      <c r="H290" s="9">
        <f t="shared" si="4"/>
        <v>1</v>
      </c>
      <c r="I290" s="10">
        <f>IFERROR(__xludf.DUMMYFUNCTION("MAX(FILTER($H:$H,$E:$E=F290))"),0.0)</f>
        <v>0</v>
      </c>
    </row>
    <row r="291">
      <c r="A291" s="4"/>
      <c r="C291" s="4" t="s">
        <v>2798</v>
      </c>
      <c r="D291" s="4" t="str">
        <f t="shared" si="1"/>
        <v>{"valorA":"ótimo","valorB":24}</v>
      </c>
      <c r="E291" s="8" t="str">
        <f t="shared" si="2"/>
        <v>ótimo</v>
      </c>
      <c r="F291" s="8"/>
      <c r="G291" s="8" t="str">
        <f t="shared" si="3"/>
        <v>24</v>
      </c>
      <c r="H291" s="9">
        <f t="shared" si="4"/>
        <v>24</v>
      </c>
      <c r="I291" s="10">
        <f>IFERROR(__xludf.DUMMYFUNCTION("MAX(FILTER($H:$H,$E:$E=F291))"),0.0)</f>
        <v>0</v>
      </c>
    </row>
    <row r="292">
      <c r="A292" s="4"/>
      <c r="C292" s="4" t="s">
        <v>12574</v>
      </c>
      <c r="D292" s="4" t="str">
        <f t="shared" si="1"/>
        <v>{"valorA":"rádio","valorB":2}</v>
      </c>
      <c r="E292" s="8" t="str">
        <f t="shared" si="2"/>
        <v>rádio</v>
      </c>
      <c r="F292" s="8"/>
      <c r="G292" s="8" t="str">
        <f t="shared" si="3"/>
        <v>2</v>
      </c>
      <c r="H292" s="9">
        <f t="shared" si="4"/>
        <v>2</v>
      </c>
      <c r="I292" s="10">
        <f>IFERROR(__xludf.DUMMYFUNCTION("MAX(FILTER($H:$H,$E:$E=F292))"),0.0)</f>
        <v>0</v>
      </c>
    </row>
    <row r="293">
      <c r="A293" s="4"/>
      <c r="C293" s="4" t="s">
        <v>3057</v>
      </c>
      <c r="D293" s="4" t="str">
        <f t="shared" si="1"/>
        <v>{"valorA":"bom","valorB":3}</v>
      </c>
      <c r="E293" s="8" t="str">
        <f t="shared" si="2"/>
        <v>bom</v>
      </c>
      <c r="F293" s="8"/>
      <c r="G293" s="8" t="str">
        <f t="shared" si="3"/>
        <v>3</v>
      </c>
      <c r="H293" s="9">
        <f t="shared" si="4"/>
        <v>3</v>
      </c>
      <c r="I293" s="10">
        <f>IFERROR(__xludf.DUMMYFUNCTION("MAX(FILTER($H:$H,$E:$E=F293))"),0.0)</f>
        <v>0</v>
      </c>
    </row>
    <row r="294">
      <c r="A294" s="4"/>
      <c r="C294" s="4" t="s">
        <v>12575</v>
      </c>
      <c r="D294" s="4" t="str">
        <f t="shared" si="1"/>
        <v>{"valorA":"acho","valorB":2}</v>
      </c>
      <c r="E294" s="8" t="str">
        <f t="shared" si="2"/>
        <v>acho</v>
      </c>
      <c r="F294" s="8"/>
      <c r="G294" s="8" t="str">
        <f t="shared" si="3"/>
        <v>2</v>
      </c>
      <c r="H294" s="9">
        <f t="shared" si="4"/>
        <v>2</v>
      </c>
      <c r="I294" s="10">
        <f>IFERROR(__xludf.DUMMYFUNCTION("MAX(FILTER($H:$H,$E:$E=F294))"),0.0)</f>
        <v>0</v>
      </c>
    </row>
    <row r="295">
      <c r="A295" s="4"/>
      <c r="C295" s="4" t="s">
        <v>12576</v>
      </c>
      <c r="D295" s="4" t="str">
        <f t="shared" si="1"/>
        <v>{"valorA":"fm","valorB":1}</v>
      </c>
      <c r="E295" s="8" t="str">
        <f t="shared" si="2"/>
        <v>fm</v>
      </c>
      <c r="F295" s="8"/>
      <c r="G295" s="8" t="str">
        <f t="shared" si="3"/>
        <v>1</v>
      </c>
      <c r="H295" s="9">
        <f t="shared" si="4"/>
        <v>1</v>
      </c>
      <c r="I295" s="10">
        <f>IFERROR(__xludf.DUMMYFUNCTION("MAX(FILTER($H:$H,$E:$E=F295))"),0.0)</f>
        <v>0</v>
      </c>
    </row>
    <row r="296">
      <c r="A296" s="4"/>
      <c r="C296" s="4" t="s">
        <v>3224</v>
      </c>
      <c r="D296" s="4" t="str">
        <f t="shared" si="1"/>
        <v>{"valorA":"muito","valorB":17}</v>
      </c>
      <c r="E296" s="8" t="str">
        <f t="shared" si="2"/>
        <v>muito</v>
      </c>
      <c r="F296" s="8"/>
      <c r="G296" s="8" t="str">
        <f t="shared" si="3"/>
        <v>17</v>
      </c>
      <c r="H296" s="9">
        <f t="shared" si="4"/>
        <v>17</v>
      </c>
      <c r="I296" s="10">
        <f>IFERROR(__xludf.DUMMYFUNCTION("MAX(FILTER($H:$H,$E:$E=F296))"),0.0)</f>
        <v>0</v>
      </c>
    </row>
    <row r="297">
      <c r="A297" s="4"/>
      <c r="C297" s="4" t="s">
        <v>2772</v>
      </c>
      <c r="D297" s="4" t="str">
        <f t="shared" si="1"/>
        <v>{"valorA":"mais","valorB":1}</v>
      </c>
      <c r="E297" s="8" t="str">
        <f t="shared" si="2"/>
        <v>mais</v>
      </c>
      <c r="F297" s="8"/>
      <c r="G297" s="8" t="str">
        <f t="shared" si="3"/>
        <v>1</v>
      </c>
      <c r="H297" s="9">
        <f t="shared" si="4"/>
        <v>1</v>
      </c>
      <c r="I297" s="10">
        <f>IFERROR(__xludf.DUMMYFUNCTION("MAX(FILTER($H:$H,$E:$E=F297))"),0.0)</f>
        <v>0</v>
      </c>
    </row>
    <row r="298">
      <c r="A298" s="4"/>
      <c r="C298" s="4" t="s">
        <v>2754</v>
      </c>
      <c r="D298" s="4" t="str">
        <f t="shared" si="1"/>
        <v>{"valorA":"que","valorB":4}</v>
      </c>
      <c r="E298" s="8" t="str">
        <f t="shared" si="2"/>
        <v>que</v>
      </c>
      <c r="F298" s="8"/>
      <c r="G298" s="8" t="str">
        <f t="shared" si="3"/>
        <v>4</v>
      </c>
      <c r="H298" s="9">
        <f t="shared" si="4"/>
        <v>4</v>
      </c>
      <c r="I298" s="10">
        <f>IFERROR(__xludf.DUMMYFUNCTION("MAX(FILTER($H:$H,$E:$E=F298))"),0.0)</f>
        <v>0</v>
      </c>
    </row>
    <row r="299">
      <c r="A299" s="4"/>
      <c r="C299" s="4" t="s">
        <v>12577</v>
      </c>
      <c r="D299" s="4" t="str">
        <f t="shared" si="1"/>
        <v>{"valorA":"refrigerador","valorB":3}</v>
      </c>
      <c r="E299" s="8" t="str">
        <f t="shared" si="2"/>
        <v>refrigerador</v>
      </c>
      <c r="F299" s="8"/>
      <c r="G299" s="8" t="str">
        <f t="shared" si="3"/>
        <v>3</v>
      </c>
      <c r="H299" s="9">
        <f t="shared" si="4"/>
        <v>3</v>
      </c>
      <c r="I299" s="10">
        <f>IFERROR(__xludf.DUMMYFUNCTION("MAX(FILTER($H:$H,$E:$E=F299))"),0.0)</f>
        <v>0</v>
      </c>
    </row>
    <row r="300">
      <c r="A300" s="4"/>
      <c r="C300" s="4" t="s">
        <v>2806</v>
      </c>
      <c r="D300" s="4" t="str">
        <f t="shared" si="1"/>
        <v>{"valorA":"ótimo","valorB":25}</v>
      </c>
      <c r="E300" s="8" t="str">
        <f t="shared" si="2"/>
        <v>ótimo</v>
      </c>
      <c r="F300" s="8"/>
      <c r="G300" s="8" t="str">
        <f t="shared" si="3"/>
        <v>25</v>
      </c>
      <c r="H300" s="9">
        <f t="shared" si="4"/>
        <v>25</v>
      </c>
      <c r="I300" s="10">
        <f>IFERROR(__xludf.DUMMYFUNCTION("MAX(FILTER($H:$H,$E:$E=F300))"),0.0)</f>
        <v>0</v>
      </c>
    </row>
    <row r="301">
      <c r="A301" s="4"/>
      <c r="C301" s="4" t="s">
        <v>12578</v>
      </c>
      <c r="D301" s="4" t="str">
        <f t="shared" si="1"/>
        <v>{"valorA":"já","valorB":1}</v>
      </c>
      <c r="E301" s="8" t="str">
        <f t="shared" si="2"/>
        <v>já</v>
      </c>
      <c r="F301" s="8"/>
      <c r="G301" s="8" t="str">
        <f t="shared" si="3"/>
        <v>1</v>
      </c>
      <c r="H301" s="9">
        <f t="shared" si="4"/>
        <v>1</v>
      </c>
      <c r="I301" s="10">
        <f>IFERROR(__xludf.DUMMYFUNCTION("MAX(FILTER($H:$H,$E:$E=F301))"),0.0)</f>
        <v>0</v>
      </c>
    </row>
    <row r="302">
      <c r="A302" s="4"/>
      <c r="C302" s="4" t="s">
        <v>3703</v>
      </c>
      <c r="D302" s="4" t="str">
        <f t="shared" si="1"/>
        <v>{"valorA":"espaçoso","valorB":1}</v>
      </c>
      <c r="E302" s="8" t="str">
        <f t="shared" si="2"/>
        <v>espaçoso</v>
      </c>
      <c r="F302" s="8"/>
      <c r="G302" s="8" t="str">
        <f t="shared" si="3"/>
        <v>1</v>
      </c>
      <c r="H302" s="9">
        <f t="shared" si="4"/>
        <v>1</v>
      </c>
      <c r="I302" s="10">
        <f>IFERROR(__xludf.DUMMYFUNCTION("MAX(FILTER($H:$H,$E:$E=F302))"),0.0)</f>
        <v>0</v>
      </c>
    </row>
    <row r="303">
      <c r="A303" s="4"/>
      <c r="C303" s="4" t="s">
        <v>3413</v>
      </c>
      <c r="D303" s="4" t="str">
        <f t="shared" si="1"/>
        <v>{"valorA":"o","valorB":10}</v>
      </c>
      <c r="E303" s="8" t="str">
        <f t="shared" si="2"/>
        <v>o</v>
      </c>
      <c r="F303" s="8"/>
      <c r="G303" s="8" t="str">
        <f t="shared" si="3"/>
        <v>10</v>
      </c>
      <c r="H303" s="9">
        <f t="shared" si="4"/>
        <v>10</v>
      </c>
      <c r="I303" s="10">
        <f>IFERROR(__xludf.DUMMYFUNCTION("MAX(FILTER($H:$H,$E:$E=F303))"),0.0)</f>
        <v>0</v>
      </c>
    </row>
    <row r="304">
      <c r="A304" s="4"/>
      <c r="C304" s="4" t="s">
        <v>2711</v>
      </c>
      <c r="D304" s="4" t="str">
        <f t="shared" si="1"/>
        <v>{"valorA":"comprei","valorB":2}</v>
      </c>
      <c r="E304" s="8" t="str">
        <f t="shared" si="2"/>
        <v>comprei</v>
      </c>
      <c r="F304" s="8"/>
      <c r="G304" s="8" t="str">
        <f t="shared" si="3"/>
        <v>2</v>
      </c>
      <c r="H304" s="9">
        <f t="shared" si="4"/>
        <v>2</v>
      </c>
      <c r="I304" s="10">
        <f>IFERROR(__xludf.DUMMYFUNCTION("MAX(FILTER($H:$H,$E:$E=F304))"),0.0)</f>
        <v>0</v>
      </c>
    </row>
    <row r="305">
      <c r="A305" s="4"/>
      <c r="C305" s="4" t="s">
        <v>3405</v>
      </c>
      <c r="D305" s="4" t="str">
        <f t="shared" si="1"/>
        <v>{"valorA":"estilo","valorB":1}</v>
      </c>
      <c r="E305" s="8" t="str">
        <f t="shared" si="2"/>
        <v>estilo</v>
      </c>
      <c r="F305" s="8"/>
      <c r="G305" s="8" t="str">
        <f t="shared" si="3"/>
        <v>1</v>
      </c>
      <c r="H305" s="9">
        <f t="shared" si="4"/>
        <v>1</v>
      </c>
      <c r="I305" s="10">
        <f>IFERROR(__xludf.DUMMYFUNCTION("MAX(FILTER($H:$H,$E:$E=F305))"),0.0)</f>
        <v>0</v>
      </c>
    </row>
    <row r="306">
      <c r="A306" s="4"/>
      <c r="C306" s="4" t="s">
        <v>3243</v>
      </c>
      <c r="D306" s="4" t="str">
        <f t="shared" si="1"/>
        <v>{"valorA":"muito","valorB":18}</v>
      </c>
      <c r="E306" s="8" t="str">
        <f t="shared" si="2"/>
        <v>muito</v>
      </c>
      <c r="F306" s="8"/>
      <c r="G306" s="8" t="str">
        <f t="shared" si="3"/>
        <v>18</v>
      </c>
      <c r="H306" s="9">
        <f t="shared" si="4"/>
        <v>18</v>
      </c>
      <c r="I306" s="10">
        <f>IFERROR(__xludf.DUMMYFUNCTION("MAX(FILTER($H:$H,$E:$E=F306))"),0.0)</f>
        <v>0</v>
      </c>
    </row>
    <row r="307">
      <c r="A307" s="4"/>
      <c r="C307" s="4" t="s">
        <v>3859</v>
      </c>
      <c r="D307" s="4" t="str">
        <f t="shared" si="1"/>
        <v>{"valorA":"cabelo","valorB":3}</v>
      </c>
      <c r="E307" s="8" t="str">
        <f t="shared" si="2"/>
        <v>cabelo</v>
      </c>
      <c r="F307" s="8"/>
      <c r="G307" s="8" t="str">
        <f t="shared" si="3"/>
        <v>3</v>
      </c>
      <c r="H307" s="9">
        <f t="shared" si="4"/>
        <v>3</v>
      </c>
      <c r="I307" s="10">
        <f>IFERROR(__xludf.DUMMYFUNCTION("MAX(FILTER($H:$H,$E:$E=F307))"),0.0)</f>
        <v>0</v>
      </c>
    </row>
    <row r="308">
      <c r="A308" s="4"/>
      <c r="C308" s="4" t="s">
        <v>2809</v>
      </c>
      <c r="D308" s="4" t="str">
        <f t="shared" si="1"/>
        <v>{"valorA":"ótimo","valorB":26}</v>
      </c>
      <c r="E308" s="8" t="str">
        <f t="shared" si="2"/>
        <v>ótimo</v>
      </c>
      <c r="F308" s="8"/>
      <c r="G308" s="8" t="str">
        <f t="shared" si="3"/>
        <v>26</v>
      </c>
      <c r="H308" s="9">
        <f t="shared" si="4"/>
        <v>26</v>
      </c>
      <c r="I308" s="10">
        <f>IFERROR(__xludf.DUMMYFUNCTION("MAX(FILTER($H:$H,$E:$E=F308))"),0.0)</f>
        <v>0</v>
      </c>
    </row>
    <row r="309">
      <c r="A309" s="4"/>
      <c r="C309" s="4" t="s">
        <v>3428</v>
      </c>
      <c r="D309" s="4" t="str">
        <f t="shared" si="1"/>
        <v>{"valorA":"quarto","valorB":1}</v>
      </c>
      <c r="E309" s="8" t="str">
        <f t="shared" si="2"/>
        <v>quarto</v>
      </c>
      <c r="F309" s="8"/>
      <c r="G309" s="8" t="str">
        <f t="shared" si="3"/>
        <v>1</v>
      </c>
      <c r="H309" s="9">
        <f t="shared" si="4"/>
        <v>1</v>
      </c>
      <c r="I309" s="10">
        <f>IFERROR(__xludf.DUMMYFUNCTION("MAX(FILTER($H:$H,$E:$E=F309))"),0.0)</f>
        <v>0</v>
      </c>
    </row>
    <row r="310">
      <c r="A310" s="4"/>
      <c r="C310" s="4" t="s">
        <v>12579</v>
      </c>
      <c r="D310" s="4" t="str">
        <f t="shared" si="1"/>
        <v>{"valorA":"minimalista","valorB":1}</v>
      </c>
      <c r="E310" s="8" t="str">
        <f t="shared" si="2"/>
        <v>minimalista</v>
      </c>
      <c r="F310" s="8"/>
      <c r="G310" s="8" t="str">
        <f t="shared" si="3"/>
        <v>1</v>
      </c>
      <c r="H310" s="9">
        <f t="shared" si="4"/>
        <v>1</v>
      </c>
      <c r="I310" s="10">
        <f>IFERROR(__xludf.DUMMYFUNCTION("MAX(FILTER($H:$H,$E:$E=F310))"),0.0)</f>
        <v>0</v>
      </c>
    </row>
    <row r="311">
      <c r="A311" s="4"/>
      <c r="C311" s="4" t="s">
        <v>3751</v>
      </c>
      <c r="D311" s="4" t="str">
        <f t="shared" si="1"/>
        <v>{"valorA":"bonito","valorB":1}</v>
      </c>
      <c r="E311" s="8" t="str">
        <f t="shared" si="2"/>
        <v>bonito</v>
      </c>
      <c r="F311" s="8"/>
      <c r="G311" s="8" t="str">
        <f t="shared" si="3"/>
        <v>1</v>
      </c>
      <c r="H311" s="9">
        <f t="shared" si="4"/>
        <v>1</v>
      </c>
      <c r="I311" s="10">
        <f>IFERROR(__xludf.DUMMYFUNCTION("MAX(FILTER($H:$H,$E:$E=F311))"),0.0)</f>
        <v>0</v>
      </c>
    </row>
    <row r="312">
      <c r="A312" s="4"/>
      <c r="C312" s="4" t="s">
        <v>3174</v>
      </c>
      <c r="D312" s="4" t="str">
        <f t="shared" si="1"/>
        <v>{"valorA":"para","valorB":12}</v>
      </c>
      <c r="E312" s="8" t="str">
        <f t="shared" si="2"/>
        <v>para</v>
      </c>
      <c r="F312" s="8"/>
      <c r="G312" s="8" t="str">
        <f t="shared" si="3"/>
        <v>12</v>
      </c>
      <c r="H312" s="9">
        <f t="shared" si="4"/>
        <v>12</v>
      </c>
      <c r="I312" s="10">
        <f>IFERROR(__xludf.DUMMYFUNCTION("MAX(FILTER($H:$H,$E:$E=F312))"),0.0)</f>
        <v>0</v>
      </c>
    </row>
    <row r="313">
      <c r="A313" s="4"/>
      <c r="C313" s="4" t="s">
        <v>3424</v>
      </c>
      <c r="D313" s="4" t="str">
        <f t="shared" si="1"/>
        <v>{"valorA":"o","valorB":11}</v>
      </c>
      <c r="E313" s="8" t="str">
        <f t="shared" si="2"/>
        <v>o</v>
      </c>
      <c r="F313" s="8"/>
      <c r="G313" s="8" t="str">
        <f t="shared" si="3"/>
        <v>11</v>
      </c>
      <c r="H313" s="9">
        <f t="shared" si="4"/>
        <v>11</v>
      </c>
      <c r="I313" s="10">
        <f>IFERROR(__xludf.DUMMYFUNCTION("MAX(FILTER($H:$H,$E:$E=F313))"),0.0)</f>
        <v>0</v>
      </c>
    </row>
    <row r="314">
      <c r="A314" s="4"/>
      <c r="C314" s="4" t="s">
        <v>3447</v>
      </c>
      <c r="D314" s="4" t="str">
        <f t="shared" si="1"/>
        <v>{"valorA":"ótima","valorB":9}</v>
      </c>
      <c r="E314" s="8" t="str">
        <f t="shared" si="2"/>
        <v>ótima</v>
      </c>
      <c r="F314" s="8"/>
      <c r="G314" s="8" t="str">
        <f t="shared" si="3"/>
        <v>9</v>
      </c>
      <c r="H314" s="9">
        <f t="shared" si="4"/>
        <v>9</v>
      </c>
      <c r="I314" s="10">
        <f>IFERROR(__xludf.DUMMYFUNCTION("MAX(FILTER($H:$H,$E:$E=F314))"),0.0)</f>
        <v>0</v>
      </c>
    </row>
    <row r="315">
      <c r="A315" s="4"/>
      <c r="C315" s="4" t="s">
        <v>2751</v>
      </c>
      <c r="D315" s="4" t="str">
        <f t="shared" si="1"/>
        <v>{"valorA":"cadeira","valorB":2}</v>
      </c>
      <c r="E315" s="8" t="str">
        <f t="shared" si="2"/>
        <v>cadeira</v>
      </c>
      <c r="F315" s="8"/>
      <c r="G315" s="8" t="str">
        <f t="shared" si="3"/>
        <v>2</v>
      </c>
      <c r="H315" s="9">
        <f t="shared" si="4"/>
        <v>2</v>
      </c>
      <c r="I315" s="10">
        <f>IFERROR(__xludf.DUMMYFUNCTION("MAX(FILTER($H:$H,$E:$E=F315))"),0.0)</f>
        <v>0</v>
      </c>
    </row>
    <row r="316">
      <c r="A316" s="4"/>
      <c r="C316" s="4" t="s">
        <v>3185</v>
      </c>
      <c r="D316" s="4" t="str">
        <f t="shared" si="1"/>
        <v>{"valorA":"para","valorB":13}</v>
      </c>
      <c r="E316" s="8" t="str">
        <f t="shared" si="2"/>
        <v>para</v>
      </c>
      <c r="F316" s="8"/>
      <c r="G316" s="8" t="str">
        <f t="shared" si="3"/>
        <v>13</v>
      </c>
      <c r="H316" s="9">
        <f t="shared" si="4"/>
        <v>13</v>
      </c>
      <c r="I316" s="10">
        <f>IFERROR(__xludf.DUMMYFUNCTION("MAX(FILTER($H:$H,$E:$E=F316))"),0.0)</f>
        <v>0</v>
      </c>
    </row>
    <row r="317">
      <c r="A317" s="4"/>
      <c r="C317" s="4" t="s">
        <v>12580</v>
      </c>
      <c r="D317" s="4" t="str">
        <f t="shared" si="1"/>
        <v>{"valorA":"escrever","valorB":1}</v>
      </c>
      <c r="E317" s="8" t="str">
        <f t="shared" si="2"/>
        <v>escrever</v>
      </c>
      <c r="F317" s="8"/>
      <c r="G317" s="8" t="str">
        <f t="shared" si="3"/>
        <v>1</v>
      </c>
      <c r="H317" s="9">
        <f t="shared" si="4"/>
        <v>1</v>
      </c>
      <c r="I317" s="10">
        <f>IFERROR(__xludf.DUMMYFUNCTION("MAX(FILTER($H:$H,$E:$E=F317))"),0.0)</f>
        <v>0</v>
      </c>
    </row>
    <row r="318">
      <c r="A318" s="4"/>
      <c r="C318" s="4" t="s">
        <v>12581</v>
      </c>
      <c r="D318" s="4" t="str">
        <f t="shared" si="1"/>
        <v>{"valorA":"lámpada","valorB":1}</v>
      </c>
      <c r="E318" s="8" t="str">
        <f t="shared" si="2"/>
        <v>lámpada</v>
      </c>
      <c r="F318" s="8"/>
      <c r="G318" s="8" t="str">
        <f t="shared" si="3"/>
        <v>1</v>
      </c>
      <c r="H318" s="9">
        <f t="shared" si="4"/>
        <v>1</v>
      </c>
      <c r="I318" s="10">
        <f>IFERROR(__xludf.DUMMYFUNCTION("MAX(FILTER($H:$H,$E:$E=F318))"),0.0)</f>
        <v>0</v>
      </c>
    </row>
    <row r="319">
      <c r="A319" s="4"/>
      <c r="C319" s="4" t="s">
        <v>3475</v>
      </c>
      <c r="D319" s="4" t="str">
        <f t="shared" si="1"/>
        <v>{"valorA":"ótima","valorB":10}</v>
      </c>
      <c r="E319" s="8" t="str">
        <f t="shared" si="2"/>
        <v>ótima</v>
      </c>
      <c r="F319" s="8"/>
      <c r="G319" s="8" t="str">
        <f t="shared" si="3"/>
        <v>10</v>
      </c>
      <c r="H319" s="9">
        <f t="shared" si="4"/>
        <v>10</v>
      </c>
      <c r="I319" s="10">
        <f>IFERROR(__xludf.DUMMYFUNCTION("MAX(FILTER($H:$H,$E:$E=F319))"),0.0)</f>
        <v>0</v>
      </c>
    </row>
    <row r="320">
      <c r="A320" s="4"/>
      <c r="C320" s="4" t="s">
        <v>12582</v>
      </c>
      <c r="D320" s="4" t="str">
        <f t="shared" si="1"/>
        <v>{"valorA":"led","valorB":4}</v>
      </c>
      <c r="E320" s="8" t="str">
        <f t="shared" si="2"/>
        <v>led</v>
      </c>
      <c r="F320" s="8"/>
      <c r="G320" s="8" t="str">
        <f t="shared" si="3"/>
        <v>4</v>
      </c>
      <c r="H320" s="9">
        <f t="shared" si="4"/>
        <v>4</v>
      </c>
      <c r="I320" s="10">
        <f>IFERROR(__xludf.DUMMYFUNCTION("MAX(FILTER($H:$H,$E:$E=F320))"),0.0)</f>
        <v>0</v>
      </c>
    </row>
    <row r="321">
      <c r="A321" s="4"/>
      <c r="C321" s="4" t="s">
        <v>3152</v>
      </c>
      <c r="D321" s="4" t="str">
        <f t="shared" si="1"/>
        <v>{"valorA":"valeu","valorB":3}</v>
      </c>
      <c r="E321" s="8" t="str">
        <f t="shared" si="2"/>
        <v>valeu</v>
      </c>
      <c r="F321" s="8"/>
      <c r="G321" s="8" t="str">
        <f t="shared" si="3"/>
        <v>3</v>
      </c>
      <c r="H321" s="9">
        <f t="shared" si="4"/>
        <v>3</v>
      </c>
      <c r="I321" s="10">
        <f>IFERROR(__xludf.DUMMYFUNCTION("MAX(FILTER($H:$H,$E:$E=F321))"),0.0)</f>
        <v>0</v>
      </c>
    </row>
    <row r="322">
      <c r="A322" s="4"/>
      <c r="C322" s="4" t="s">
        <v>3452</v>
      </c>
      <c r="D322" s="4" t="str">
        <f t="shared" si="1"/>
        <v>{"valorA":"o","valorB":12}</v>
      </c>
      <c r="E322" s="8" t="str">
        <f t="shared" si="2"/>
        <v>o</v>
      </c>
      <c r="F322" s="8"/>
      <c r="G322" s="8" t="str">
        <f t="shared" si="3"/>
        <v>12</v>
      </c>
      <c r="H322" s="9">
        <f t="shared" si="4"/>
        <v>12</v>
      </c>
      <c r="I322" s="10">
        <f>IFERROR(__xludf.DUMMYFUNCTION("MAX(FILTER($H:$H,$E:$E=F322))"),0.0)</f>
        <v>0</v>
      </c>
    </row>
    <row r="323">
      <c r="A323" s="4"/>
      <c r="C323" s="4" t="s">
        <v>3226</v>
      </c>
      <c r="D323" s="4" t="str">
        <f t="shared" si="1"/>
        <v>{"valorA":"a","valorB":9}</v>
      </c>
      <c r="E323" s="8" t="str">
        <f t="shared" si="2"/>
        <v>a</v>
      </c>
      <c r="F323" s="8"/>
      <c r="G323" s="8" t="str">
        <f t="shared" si="3"/>
        <v>9</v>
      </c>
      <c r="H323" s="9">
        <f t="shared" si="4"/>
        <v>9</v>
      </c>
      <c r="I323" s="10">
        <f>IFERROR(__xludf.DUMMYFUNCTION("MAX(FILTER($H:$H,$E:$E=F323))"),0.0)</f>
        <v>0</v>
      </c>
    </row>
    <row r="324">
      <c r="A324" s="4"/>
      <c r="C324" s="4" t="s">
        <v>2906</v>
      </c>
      <c r="D324" s="4" t="str">
        <f t="shared" si="1"/>
        <v>{"valorA":"pena","valorB":3}</v>
      </c>
      <c r="E324" s="8" t="str">
        <f t="shared" si="2"/>
        <v>pena</v>
      </c>
      <c r="F324" s="8"/>
      <c r="G324" s="8" t="str">
        <f t="shared" si="3"/>
        <v>3</v>
      </c>
      <c r="H324" s="9">
        <f t="shared" si="4"/>
        <v>3</v>
      </c>
      <c r="I324" s="10">
        <f>IFERROR(__xludf.DUMMYFUNCTION("MAX(FILTER($H:$H,$E:$E=F324))"),0.0)</f>
        <v>0</v>
      </c>
    </row>
    <row r="325">
      <c r="A325" s="4"/>
      <c r="C325" s="4" t="s">
        <v>3453</v>
      </c>
      <c r="D325" s="4" t="str">
        <f t="shared" si="1"/>
        <v>{"valorA":"investimento","valorB":1}</v>
      </c>
      <c r="E325" s="8" t="str">
        <f t="shared" si="2"/>
        <v>investimento</v>
      </c>
      <c r="F325" s="8"/>
      <c r="G325" s="8" t="str">
        <f t="shared" si="3"/>
        <v>1</v>
      </c>
      <c r="H325" s="9">
        <f t="shared" si="4"/>
        <v>1</v>
      </c>
      <c r="I325" s="10">
        <f>IFERROR(__xludf.DUMMYFUNCTION("MAX(FILTER($H:$H,$E:$E=F325))"),0.0)</f>
        <v>0</v>
      </c>
    </row>
    <row r="326">
      <c r="A326" s="4"/>
      <c r="C326" s="4" t="s">
        <v>3432</v>
      </c>
      <c r="D326" s="4" t="str">
        <f t="shared" si="1"/>
        <v>{"valorA":"cadeirante","valorB":1}</v>
      </c>
      <c r="E326" s="8" t="str">
        <f t="shared" si="2"/>
        <v>cadeirante</v>
      </c>
      <c r="F326" s="8"/>
      <c r="G326" s="8" t="str">
        <f t="shared" si="3"/>
        <v>1</v>
      </c>
      <c r="H326" s="9">
        <f t="shared" si="4"/>
        <v>1</v>
      </c>
      <c r="I326" s="10">
        <f>IFERROR(__xludf.DUMMYFUNCTION("MAX(FILTER($H:$H,$E:$E=F326))"),0.0)</f>
        <v>0</v>
      </c>
    </row>
    <row r="327">
      <c r="A327" s="4"/>
      <c r="C327" s="4" t="s">
        <v>2818</v>
      </c>
      <c r="D327" s="4" t="str">
        <f t="shared" si="1"/>
        <v>{"valorA":"ótimo","valorB":27}</v>
      </c>
      <c r="E327" s="8" t="str">
        <f t="shared" si="2"/>
        <v>ótimo</v>
      </c>
      <c r="F327" s="8"/>
      <c r="G327" s="8" t="str">
        <f t="shared" si="3"/>
        <v>27</v>
      </c>
      <c r="H327" s="9">
        <f t="shared" si="4"/>
        <v>27</v>
      </c>
      <c r="I327" s="10">
        <f>IFERROR(__xludf.DUMMYFUNCTION("MAX(FILTER($H:$H,$E:$E=F327))"),0.0)</f>
        <v>0</v>
      </c>
    </row>
    <row r="328">
      <c r="A328" s="4"/>
      <c r="C328" s="4" t="s">
        <v>3768</v>
      </c>
      <c r="D328" s="4" t="str">
        <f t="shared" si="1"/>
        <v>{"valorA":"a","valorB":10}</v>
      </c>
      <c r="E328" s="8" t="str">
        <f t="shared" si="2"/>
        <v>a</v>
      </c>
      <c r="F328" s="8"/>
      <c r="G328" s="8" t="str">
        <f t="shared" si="3"/>
        <v>10</v>
      </c>
      <c r="H328" s="9">
        <f t="shared" si="4"/>
        <v>10</v>
      </c>
      <c r="I328" s="10">
        <f>IFERROR(__xludf.DUMMYFUNCTION("MAX(FILTER($H:$H,$E:$E=F328))"),0.0)</f>
        <v>0</v>
      </c>
    </row>
    <row r="329">
      <c r="A329" s="4"/>
      <c r="C329" s="4" t="s">
        <v>3876</v>
      </c>
      <c r="D329" s="4" t="str">
        <f t="shared" si="1"/>
        <v>{"valorA":"motorizado","valorB":1}</v>
      </c>
      <c r="E329" s="8" t="str">
        <f t="shared" si="2"/>
        <v>motorizado</v>
      </c>
      <c r="F329" s="8"/>
      <c r="G329" s="8" t="str">
        <f t="shared" si="3"/>
        <v>1</v>
      </c>
      <c r="H329" s="9">
        <f t="shared" si="4"/>
        <v>1</v>
      </c>
      <c r="I329" s="10">
        <f>IFERROR(__xludf.DUMMYFUNCTION("MAX(FILTER($H:$H,$E:$E=F329))"),0.0)</f>
        <v>0</v>
      </c>
    </row>
    <row r="330">
      <c r="A330" s="4"/>
      <c r="C330" s="4" t="s">
        <v>7097</v>
      </c>
      <c r="D330" s="4" t="str">
        <f t="shared" si="1"/>
        <v>{"valorA":"pena","valorB":4}</v>
      </c>
      <c r="E330" s="8" t="str">
        <f t="shared" si="2"/>
        <v>pena</v>
      </c>
      <c r="F330" s="8"/>
      <c r="G330" s="8" t="str">
        <f t="shared" si="3"/>
        <v>4</v>
      </c>
      <c r="H330" s="9">
        <f t="shared" si="4"/>
        <v>4</v>
      </c>
      <c r="I330" s="10">
        <f>IFERROR(__xludf.DUMMYFUNCTION("MAX(FILTER($H:$H,$E:$E=F330))"),0.0)</f>
        <v>0</v>
      </c>
    </row>
    <row r="331">
      <c r="A331" s="4"/>
      <c r="C331" s="4" t="s">
        <v>3200</v>
      </c>
      <c r="D331" s="4" t="str">
        <f t="shared" si="1"/>
        <v>{"valorA":"dinheiro","valorB":1}</v>
      </c>
      <c r="E331" s="8" t="str">
        <f t="shared" si="2"/>
        <v>dinheiro</v>
      </c>
      <c r="F331" s="8"/>
      <c r="G331" s="8" t="str">
        <f t="shared" si="3"/>
        <v>1</v>
      </c>
      <c r="H331" s="9">
        <f t="shared" si="4"/>
        <v>1</v>
      </c>
      <c r="I331" s="10">
        <f>IFERROR(__xludf.DUMMYFUNCTION("MAX(FILTER($H:$H,$E:$E=F331))"),0.0)</f>
        <v>0</v>
      </c>
    </row>
    <row r="332">
      <c r="A332" s="4"/>
      <c r="C332" s="4" t="s">
        <v>3502</v>
      </c>
      <c r="D332" s="4" t="str">
        <f t="shared" si="1"/>
        <v>{"valorA":"o","valorB":13}</v>
      </c>
      <c r="E332" s="8" t="str">
        <f t="shared" si="2"/>
        <v>o</v>
      </c>
      <c r="F332" s="8"/>
      <c r="G332" s="8" t="str">
        <f t="shared" si="3"/>
        <v>13</v>
      </c>
      <c r="H332" s="9">
        <f t="shared" si="4"/>
        <v>13</v>
      </c>
      <c r="I332" s="10">
        <f>IFERROR(__xludf.DUMMYFUNCTION("MAX(FILTER($H:$H,$E:$E=F332))"),0.0)</f>
        <v>0</v>
      </c>
    </row>
    <row r="333">
      <c r="A333" s="4"/>
      <c r="C333" s="4" t="s">
        <v>2641</v>
      </c>
      <c r="D333" s="4" t="str">
        <f t="shared" si="1"/>
        <v>{"valorA":"vale","valorB":1}</v>
      </c>
      <c r="E333" s="8" t="str">
        <f t="shared" si="2"/>
        <v>vale</v>
      </c>
      <c r="F333" s="8"/>
      <c r="G333" s="8" t="str">
        <f t="shared" si="3"/>
        <v>1</v>
      </c>
      <c r="H333" s="9">
        <f t="shared" si="4"/>
        <v>1</v>
      </c>
      <c r="I333" s="10">
        <f>IFERROR(__xludf.DUMMYFUNCTION("MAX(FILTER($H:$H,$E:$E=F333))"),0.0)</f>
        <v>0</v>
      </c>
    </row>
    <row r="334">
      <c r="A334" s="4"/>
      <c r="C334" s="4" t="s">
        <v>12583</v>
      </c>
      <c r="D334" s="4" t="str">
        <f t="shared" si="1"/>
        <v>{"valorA":"pena","valorB":5}</v>
      </c>
      <c r="E334" s="8" t="str">
        <f t="shared" si="2"/>
        <v>pena</v>
      </c>
      <c r="F334" s="8"/>
      <c r="G334" s="8" t="str">
        <f t="shared" si="3"/>
        <v>5</v>
      </c>
      <c r="H334" s="9">
        <f t="shared" si="4"/>
        <v>5</v>
      </c>
      <c r="I334" s="10">
        <f>IFERROR(__xludf.DUMMYFUNCTION("MAX(FILTER($H:$H,$E:$E=F334))"),0.0)</f>
        <v>0</v>
      </c>
    </row>
    <row r="335">
      <c r="A335" s="4"/>
      <c r="C335" s="4" t="s">
        <v>2171</v>
      </c>
      <c r="D335" s="4" t="str">
        <f t="shared" si="1"/>
        <v>{"valorA":"celular","valorB":1}</v>
      </c>
      <c r="E335" s="8" t="str">
        <f t="shared" si="2"/>
        <v>celular</v>
      </c>
      <c r="F335" s="8"/>
      <c r="G335" s="8" t="str">
        <f t="shared" si="3"/>
        <v>1</v>
      </c>
      <c r="H335" s="9">
        <f t="shared" si="4"/>
        <v>1</v>
      </c>
      <c r="I335" s="10">
        <f>IFERROR(__xludf.DUMMYFUNCTION("MAX(FILTER($H:$H,$E:$E=F335))"),0.0)</f>
        <v>0</v>
      </c>
    </row>
    <row r="336">
      <c r="A336" s="4"/>
      <c r="C336" s="4" t="s">
        <v>2828</v>
      </c>
      <c r="D336" s="4" t="str">
        <f t="shared" si="1"/>
        <v>{"valorA":"ótimo","valorB":28}</v>
      </c>
      <c r="E336" s="8" t="str">
        <f t="shared" si="2"/>
        <v>ótimo</v>
      </c>
      <c r="F336" s="8"/>
      <c r="G336" s="8" t="str">
        <f t="shared" si="3"/>
        <v>28</v>
      </c>
      <c r="H336" s="9">
        <f t="shared" si="4"/>
        <v>28</v>
      </c>
      <c r="I336" s="10">
        <f>IFERROR(__xludf.DUMMYFUNCTION("MAX(FILTER($H:$H,$E:$E=F336))"),0.0)</f>
        <v>0</v>
      </c>
    </row>
    <row r="337">
      <c r="A337" s="4"/>
      <c r="C337" s="4" t="s">
        <v>2920</v>
      </c>
      <c r="D337" s="4" t="str">
        <f t="shared" si="1"/>
        <v>{"valorA":"qualidade","valorB":2}</v>
      </c>
      <c r="E337" s="8" t="str">
        <f t="shared" si="2"/>
        <v>qualidade</v>
      </c>
      <c r="F337" s="8"/>
      <c r="G337" s="8" t="str">
        <f t="shared" si="3"/>
        <v>2</v>
      </c>
      <c r="H337" s="9">
        <f t="shared" si="4"/>
        <v>2</v>
      </c>
      <c r="I337" s="10">
        <f>IFERROR(__xludf.DUMMYFUNCTION("MAX(FILTER($H:$H,$E:$E=F337))"),0.0)</f>
        <v>0</v>
      </c>
    </row>
    <row r="338">
      <c r="A338" s="4"/>
      <c r="C338" s="4" t="s">
        <v>3180</v>
      </c>
      <c r="D338" s="4" t="str">
        <f t="shared" si="1"/>
        <v>{"valorA":"de","valorB":15}</v>
      </c>
      <c r="E338" s="8" t="str">
        <f t="shared" si="2"/>
        <v>de</v>
      </c>
      <c r="F338" s="8"/>
      <c r="G338" s="8" t="str">
        <f t="shared" si="3"/>
        <v>15</v>
      </c>
      <c r="H338" s="9">
        <f t="shared" si="4"/>
        <v>15</v>
      </c>
      <c r="I338" s="10">
        <f>IFERROR(__xludf.DUMMYFUNCTION("MAX(FILTER($H:$H,$E:$E=F338))"),0.0)</f>
        <v>0</v>
      </c>
    </row>
    <row r="339">
      <c r="A339" s="4"/>
      <c r="C339" s="4" t="s">
        <v>3036</v>
      </c>
      <c r="D339" s="4" t="str">
        <f t="shared" si="1"/>
        <v>{"valorA":"mas","valorB":1}</v>
      </c>
      <c r="E339" s="8" t="str">
        <f t="shared" si="2"/>
        <v>mas</v>
      </c>
      <c r="F339" s="8"/>
      <c r="G339" s="8" t="str">
        <f t="shared" si="3"/>
        <v>1</v>
      </c>
      <c r="H339" s="9">
        <f t="shared" si="4"/>
        <v>1</v>
      </c>
      <c r="I339" s="10">
        <f>IFERROR(__xludf.DUMMYFUNCTION("MAX(FILTER($H:$H,$E:$E=F339))"),0.0)</f>
        <v>0</v>
      </c>
    </row>
    <row r="340">
      <c r="A340" s="4"/>
      <c r="C340" s="4" t="s">
        <v>2875</v>
      </c>
      <c r="D340" s="4" t="str">
        <f t="shared" si="1"/>
        <v>{"valorA":"alta","valorB":1}</v>
      </c>
      <c r="E340" s="8" t="str">
        <f t="shared" si="2"/>
        <v>alta</v>
      </c>
      <c r="F340" s="8"/>
      <c r="G340" s="8" t="str">
        <f t="shared" si="3"/>
        <v>1</v>
      </c>
      <c r="H340" s="9">
        <f t="shared" si="4"/>
        <v>1</v>
      </c>
      <c r="I340" s="10">
        <f>IFERROR(__xludf.DUMMYFUNCTION("MAX(FILTER($H:$H,$E:$E=F340))"),0.0)</f>
        <v>0</v>
      </c>
    </row>
    <row r="341">
      <c r="A341" s="4"/>
      <c r="C341" s="4" t="s">
        <v>3774</v>
      </c>
      <c r="D341" s="4" t="str">
        <f t="shared" si="1"/>
        <v>{"valorA":"a","valorB":11}</v>
      </c>
      <c r="E341" s="8" t="str">
        <f t="shared" si="2"/>
        <v>a</v>
      </c>
      <c r="F341" s="8"/>
      <c r="G341" s="8" t="str">
        <f t="shared" si="3"/>
        <v>11</v>
      </c>
      <c r="H341" s="9">
        <f t="shared" si="4"/>
        <v>11</v>
      </c>
      <c r="I341" s="10">
        <f>IFERROR(__xludf.DUMMYFUNCTION("MAX(FILTER($H:$H,$E:$E=F341))"),0.0)</f>
        <v>0</v>
      </c>
    </row>
    <row r="342">
      <c r="A342" s="4"/>
      <c r="C342" s="4" t="s">
        <v>12584</v>
      </c>
      <c r="D342" s="4" t="str">
        <f t="shared" si="1"/>
        <v>{"valorA":"custoso","valorB":1}</v>
      </c>
      <c r="E342" s="8" t="str">
        <f t="shared" si="2"/>
        <v>custoso</v>
      </c>
      <c r="F342" s="8"/>
      <c r="G342" s="8" t="str">
        <f t="shared" si="3"/>
        <v>1</v>
      </c>
      <c r="H342" s="9">
        <f t="shared" si="4"/>
        <v>1</v>
      </c>
      <c r="I342" s="10">
        <f>IFERROR(__xludf.DUMMYFUNCTION("MAX(FILTER($H:$H,$E:$E=F342))"),0.0)</f>
        <v>0</v>
      </c>
    </row>
    <row r="343">
      <c r="A343" s="4"/>
      <c r="C343" s="4" t="s">
        <v>3163</v>
      </c>
      <c r="D343" s="4" t="str">
        <f t="shared" si="1"/>
        <v>{"valorA":"valeu","valorB":4}</v>
      </c>
      <c r="E343" s="8" t="str">
        <f t="shared" si="2"/>
        <v>valeu</v>
      </c>
      <c r="F343" s="8"/>
      <c r="G343" s="8" t="str">
        <f t="shared" si="3"/>
        <v>4</v>
      </c>
      <c r="H343" s="9">
        <f t="shared" si="4"/>
        <v>4</v>
      </c>
      <c r="I343" s="10">
        <f>IFERROR(__xludf.DUMMYFUNCTION("MAX(FILTER($H:$H,$E:$E=F343))"),0.0)</f>
        <v>0</v>
      </c>
    </row>
    <row r="344">
      <c r="A344" s="4"/>
      <c r="C344" s="4" t="s">
        <v>3216</v>
      </c>
      <c r="D344" s="4" t="str">
        <f t="shared" si="1"/>
        <v>{"valorA":"bem","valorB":10}</v>
      </c>
      <c r="E344" s="8" t="str">
        <f t="shared" si="2"/>
        <v>bem</v>
      </c>
      <c r="F344" s="8"/>
      <c r="G344" s="8" t="str">
        <f t="shared" si="3"/>
        <v>10</v>
      </c>
      <c r="H344" s="9">
        <f t="shared" si="4"/>
        <v>10</v>
      </c>
      <c r="I344" s="10">
        <f>IFERROR(__xludf.DUMMYFUNCTION("MAX(FILTER($H:$H,$E:$E=F344))"),0.0)</f>
        <v>0</v>
      </c>
    </row>
    <row r="345">
      <c r="A345" s="4"/>
      <c r="C345" s="4" t="s">
        <v>3775</v>
      </c>
      <c r="D345" s="4" t="str">
        <f t="shared" si="1"/>
        <v>{"valorA":"a","valorB":12}</v>
      </c>
      <c r="E345" s="8" t="str">
        <f t="shared" si="2"/>
        <v>a</v>
      </c>
      <c r="F345" s="8"/>
      <c r="G345" s="8" t="str">
        <f t="shared" si="3"/>
        <v>12</v>
      </c>
      <c r="H345" s="9">
        <f t="shared" si="4"/>
        <v>12</v>
      </c>
      <c r="I345" s="10">
        <f>IFERROR(__xludf.DUMMYFUNCTION("MAX(FILTER($H:$H,$E:$E=F345))"),0.0)</f>
        <v>0</v>
      </c>
    </row>
    <row r="346">
      <c r="A346" s="4"/>
      <c r="C346" s="4" t="s">
        <v>8083</v>
      </c>
      <c r="D346" s="4" t="str">
        <f t="shared" si="1"/>
        <v>{"valorA":"era","valorB":1}</v>
      </c>
      <c r="E346" s="8" t="str">
        <f t="shared" si="2"/>
        <v>era</v>
      </c>
      <c r="F346" s="8"/>
      <c r="G346" s="8" t="str">
        <f t="shared" si="3"/>
        <v>1</v>
      </c>
      <c r="H346" s="9">
        <f t="shared" si="4"/>
        <v>1</v>
      </c>
      <c r="I346" s="10">
        <f>IFERROR(__xludf.DUMMYFUNCTION("MAX(FILTER($H:$H,$E:$E=F346))"),0.0)</f>
        <v>0</v>
      </c>
    </row>
    <row r="347">
      <c r="A347" s="4"/>
      <c r="C347" s="4" t="s">
        <v>3207</v>
      </c>
      <c r="D347" s="4" t="str">
        <f t="shared" si="1"/>
        <v>{"valorA":"de","valorB":16}</v>
      </c>
      <c r="E347" s="8" t="str">
        <f t="shared" si="2"/>
        <v>de</v>
      </c>
      <c r="F347" s="8"/>
      <c r="G347" s="8" t="str">
        <f t="shared" si="3"/>
        <v>16</v>
      </c>
      <c r="H347" s="9">
        <f t="shared" si="4"/>
        <v>16</v>
      </c>
      <c r="I347" s="10">
        <f>IFERROR(__xludf.DUMMYFUNCTION("MAX(FILTER($H:$H,$E:$E=F347))"),0.0)</f>
        <v>0</v>
      </c>
    </row>
    <row r="348">
      <c r="A348" s="4"/>
      <c r="C348" s="4" t="s">
        <v>2773</v>
      </c>
      <c r="D348" s="4" t="str">
        <f t="shared" si="1"/>
        <v>{"valorA":"que","valorB":5}</v>
      </c>
      <c r="E348" s="8" t="str">
        <f t="shared" si="2"/>
        <v>que</v>
      </c>
      <c r="F348" s="8"/>
      <c r="G348" s="8" t="str">
        <f t="shared" si="3"/>
        <v>5</v>
      </c>
      <c r="H348" s="9">
        <f t="shared" si="4"/>
        <v>5</v>
      </c>
      <c r="I348" s="10">
        <f>IFERROR(__xludf.DUMMYFUNCTION("MAX(FILTER($H:$H,$E:$E=F348))"),0.0)</f>
        <v>0</v>
      </c>
    </row>
    <row r="349">
      <c r="A349" s="4"/>
      <c r="C349" s="4" t="s">
        <v>3595</v>
      </c>
      <c r="D349" s="4" t="str">
        <f t="shared" si="1"/>
        <v>{"valorA":"no","valorB":1}</v>
      </c>
      <c r="E349" s="8" t="str">
        <f t="shared" si="2"/>
        <v>no</v>
      </c>
      <c r="F349" s="8"/>
      <c r="G349" s="8" t="str">
        <f t="shared" si="3"/>
        <v>1</v>
      </c>
      <c r="H349" s="9">
        <f t="shared" si="4"/>
        <v>1</v>
      </c>
      <c r="I349" s="10">
        <f>IFERROR(__xludf.DUMMYFUNCTION("MAX(FILTER($H:$H,$E:$E=F349))"),0.0)</f>
        <v>0</v>
      </c>
    </row>
    <row r="350">
      <c r="A350" s="4"/>
      <c r="C350" s="4" t="s">
        <v>2831</v>
      </c>
      <c r="D350" s="4" t="str">
        <f t="shared" si="1"/>
        <v>{"valorA":"ótimo","valorB":29}</v>
      </c>
      <c r="E350" s="8" t="str">
        <f t="shared" si="2"/>
        <v>ótimo</v>
      </c>
      <c r="F350" s="8"/>
      <c r="G350" s="8" t="str">
        <f t="shared" si="3"/>
        <v>29</v>
      </c>
      <c r="H350" s="9">
        <f t="shared" si="4"/>
        <v>29</v>
      </c>
      <c r="I350" s="10">
        <f>IFERROR(__xludf.DUMMYFUNCTION("MAX(FILTER($H:$H,$E:$E=F350))"),0.0)</f>
        <v>0</v>
      </c>
    </row>
    <row r="351">
      <c r="A351" s="4"/>
      <c r="C351" s="4" t="s">
        <v>3943</v>
      </c>
      <c r="D351" s="4" t="str">
        <f t="shared" si="1"/>
        <v>{"valorA":"site","valorB":1}</v>
      </c>
      <c r="E351" s="8" t="str">
        <f t="shared" si="2"/>
        <v>site</v>
      </c>
      <c r="F351" s="8"/>
      <c r="G351" s="8" t="str">
        <f t="shared" si="3"/>
        <v>1</v>
      </c>
      <c r="H351" s="9">
        <f t="shared" si="4"/>
        <v>1</v>
      </c>
      <c r="I351" s="10">
        <f>IFERROR(__xludf.DUMMYFUNCTION("MAX(FILTER($H:$H,$E:$E=F351))"),0.0)</f>
        <v>0</v>
      </c>
    </row>
    <row r="352">
      <c r="A352" s="4"/>
      <c r="C352" s="4" t="s">
        <v>3387</v>
      </c>
      <c r="D352" s="4" t="str">
        <f t="shared" si="1"/>
        <v>{"valorA":"modelo","valorB":2}</v>
      </c>
      <c r="E352" s="8" t="str">
        <f t="shared" si="2"/>
        <v>modelo</v>
      </c>
      <c r="F352" s="8"/>
      <c r="G352" s="8" t="str">
        <f t="shared" si="3"/>
        <v>2</v>
      </c>
      <c r="H352" s="9">
        <f t="shared" si="4"/>
        <v>2</v>
      </c>
      <c r="I352" s="10">
        <f>IFERROR(__xludf.DUMMYFUNCTION("MAX(FILTER($H:$H,$E:$E=F352))"),0.0)</f>
        <v>0</v>
      </c>
    </row>
    <row r="353">
      <c r="A353" s="4"/>
      <c r="C353" s="4" t="s">
        <v>12585</v>
      </c>
      <c r="D353" s="4" t="str">
        <f t="shared" si="1"/>
        <v>{"valorA":"pensei","valorB":1}</v>
      </c>
      <c r="E353" s="8" t="str">
        <f t="shared" si="2"/>
        <v>pensei</v>
      </c>
      <c r="F353" s="8"/>
      <c r="G353" s="8" t="str">
        <f t="shared" si="3"/>
        <v>1</v>
      </c>
      <c r="H353" s="9">
        <f t="shared" si="4"/>
        <v>1</v>
      </c>
      <c r="I353" s="10">
        <f>IFERROR(__xludf.DUMMYFUNCTION("MAX(FILTER($H:$H,$E:$E=F353))"),0.0)</f>
        <v>0</v>
      </c>
    </row>
    <row r="354">
      <c r="A354" s="4"/>
      <c r="C354" s="4" t="s">
        <v>3084</v>
      </c>
      <c r="D354" s="4" t="str">
        <f t="shared" si="1"/>
        <v>{"valorA":"bom","valorB":4}</v>
      </c>
      <c r="E354" s="8" t="str">
        <f t="shared" si="2"/>
        <v>bom</v>
      </c>
      <c r="F354" s="8"/>
      <c r="G354" s="8" t="str">
        <f t="shared" si="3"/>
        <v>4</v>
      </c>
      <c r="H354" s="9">
        <f t="shared" si="4"/>
        <v>4</v>
      </c>
      <c r="I354" s="10">
        <f>IFERROR(__xludf.DUMMYFUNCTION("MAX(FILTER($H:$H,$E:$E=F354))"),0.0)</f>
        <v>0</v>
      </c>
    </row>
    <row r="355">
      <c r="A355" s="4"/>
      <c r="C355" s="4" t="s">
        <v>3025</v>
      </c>
      <c r="D355" s="4" t="str">
        <f t="shared" si="1"/>
        <v>{"valorA":"um","valorB":1}</v>
      </c>
      <c r="E355" s="8" t="str">
        <f t="shared" si="2"/>
        <v>um</v>
      </c>
      <c r="F355" s="8"/>
      <c r="G355" s="8" t="str">
        <f t="shared" si="3"/>
        <v>1</v>
      </c>
      <c r="H355" s="9">
        <f t="shared" si="4"/>
        <v>1</v>
      </c>
      <c r="I355" s="10">
        <f>IFERROR(__xludf.DUMMYFUNCTION("MAX(FILTER($H:$H,$E:$E=F355))"),0.0)</f>
        <v>0</v>
      </c>
    </row>
    <row r="356">
      <c r="A356" s="4"/>
      <c r="C356" s="4" t="s">
        <v>12586</v>
      </c>
      <c r="D356" s="4" t="str">
        <f t="shared" si="1"/>
        <v>{"valorA":"investimento","valorB":2}</v>
      </c>
      <c r="E356" s="8" t="str">
        <f t="shared" si="2"/>
        <v>investimento</v>
      </c>
      <c r="F356" s="8"/>
      <c r="G356" s="8" t="str">
        <f t="shared" si="3"/>
        <v>2</v>
      </c>
      <c r="H356" s="9">
        <f t="shared" si="4"/>
        <v>2</v>
      </c>
      <c r="I356" s="10">
        <f>IFERROR(__xludf.DUMMYFUNCTION("MAX(FILTER($H:$H,$E:$E=F356))"),0.0)</f>
        <v>0</v>
      </c>
    </row>
    <row r="357">
      <c r="A357" s="4"/>
      <c r="C357" s="4" t="s">
        <v>12587</v>
      </c>
      <c r="D357" s="4" t="str">
        <f t="shared" si="1"/>
        <v>{"valorA":"esquiador","valorB":1}</v>
      </c>
      <c r="E357" s="8" t="str">
        <f t="shared" si="2"/>
        <v>esquiador</v>
      </c>
      <c r="F357" s="8"/>
      <c r="G357" s="8" t="str">
        <f t="shared" si="3"/>
        <v>1</v>
      </c>
      <c r="H357" s="9">
        <f t="shared" si="4"/>
        <v>1</v>
      </c>
      <c r="I357" s="10">
        <f>IFERROR(__xludf.DUMMYFUNCTION("MAX(FILTER($H:$H,$E:$E=F357))"),0.0)</f>
        <v>0</v>
      </c>
    </row>
    <row r="358">
      <c r="A358" s="4"/>
      <c r="C358" s="4" t="s">
        <v>12588</v>
      </c>
      <c r="D358" s="4" t="str">
        <f t="shared" si="1"/>
        <v>{"valorA":"venda","valorB":1}</v>
      </c>
      <c r="E358" s="8" t="str">
        <f t="shared" si="2"/>
        <v>venda</v>
      </c>
      <c r="F358" s="8"/>
      <c r="G358" s="8" t="str">
        <f t="shared" si="3"/>
        <v>1</v>
      </c>
      <c r="H358" s="9">
        <f t="shared" si="4"/>
        <v>1</v>
      </c>
      <c r="I358" s="10">
        <f>IFERROR(__xludf.DUMMYFUNCTION("MAX(FILTER($H:$H,$E:$E=F358))"),0.0)</f>
        <v>0</v>
      </c>
    </row>
    <row r="359">
      <c r="A359" s="4"/>
      <c r="C359" s="4" t="s">
        <v>3375</v>
      </c>
      <c r="D359" s="4" t="str">
        <f t="shared" si="1"/>
        <v>{"valorA":"com","valorB":6}</v>
      </c>
      <c r="E359" s="8" t="str">
        <f t="shared" si="2"/>
        <v>com</v>
      </c>
      <c r="F359" s="8"/>
      <c r="G359" s="8" t="str">
        <f t="shared" si="3"/>
        <v>6</v>
      </c>
      <c r="H359" s="9">
        <f t="shared" si="4"/>
        <v>6</v>
      </c>
      <c r="I359" s="10">
        <f>IFERROR(__xludf.DUMMYFUNCTION("MAX(FILTER($H:$H,$E:$E=F359))"),0.0)</f>
        <v>0</v>
      </c>
    </row>
    <row r="360">
      <c r="A360" s="4"/>
      <c r="C360" s="4" t="s">
        <v>2233</v>
      </c>
      <c r="D360" s="4" t="str">
        <f t="shared" si="1"/>
        <v>{"valorA":"celular","valorB":2}</v>
      </c>
      <c r="E360" s="8" t="str">
        <f t="shared" si="2"/>
        <v>celular</v>
      </c>
      <c r="F360" s="8"/>
      <c r="G360" s="8" t="str">
        <f t="shared" si="3"/>
        <v>2</v>
      </c>
      <c r="H360" s="9">
        <f t="shared" si="4"/>
        <v>2</v>
      </c>
      <c r="I360" s="10">
        <f>IFERROR(__xludf.DUMMYFUNCTION("MAX(FILTER($H:$H,$E:$E=F360))"),0.0)</f>
        <v>0</v>
      </c>
    </row>
    <row r="361">
      <c r="A361" s="4"/>
      <c r="C361" s="4" t="s">
        <v>2841</v>
      </c>
      <c r="D361" s="4" t="str">
        <f t="shared" si="1"/>
        <v>{"valorA":"ótimo","valorB":30}</v>
      </c>
      <c r="E361" s="8" t="str">
        <f t="shared" si="2"/>
        <v>ótimo</v>
      </c>
      <c r="F361" s="8"/>
      <c r="G361" s="8" t="str">
        <f t="shared" si="3"/>
        <v>30</v>
      </c>
      <c r="H361" s="9">
        <f t="shared" si="4"/>
        <v>30</v>
      </c>
      <c r="I361" s="10">
        <f>IFERROR(__xludf.DUMMYFUNCTION("MAX(FILTER($H:$H,$E:$E=F361))"),0.0)</f>
        <v>0</v>
      </c>
    </row>
    <row r="362">
      <c r="A362" s="4"/>
      <c r="C362" s="4" t="s">
        <v>3473</v>
      </c>
      <c r="D362" s="4" t="str">
        <f t="shared" si="1"/>
        <v>{"valorA":"com","valorB":7}</v>
      </c>
      <c r="E362" s="8" t="str">
        <f t="shared" si="2"/>
        <v>com</v>
      </c>
      <c r="F362" s="8"/>
      <c r="G362" s="8" t="str">
        <f t="shared" si="3"/>
        <v>7</v>
      </c>
      <c r="H362" s="9">
        <f t="shared" si="4"/>
        <v>7</v>
      </c>
      <c r="I362" s="10">
        <f>IFERROR(__xludf.DUMMYFUNCTION("MAX(FILTER($H:$H,$E:$E=F362))"),0.0)</f>
        <v>0</v>
      </c>
    </row>
    <row r="363">
      <c r="A363" s="4"/>
      <c r="C363" s="4" t="s">
        <v>3143</v>
      </c>
      <c r="D363" s="4" t="str">
        <f t="shared" si="1"/>
        <v>{"valorA":"muita","valorB":1}</v>
      </c>
      <c r="E363" s="8" t="str">
        <f t="shared" si="2"/>
        <v>muita</v>
      </c>
      <c r="F363" s="8"/>
      <c r="G363" s="8" t="str">
        <f t="shared" si="3"/>
        <v>1</v>
      </c>
      <c r="H363" s="9">
        <f t="shared" si="4"/>
        <v>1</v>
      </c>
      <c r="I363" s="10">
        <f>IFERROR(__xludf.DUMMYFUNCTION("MAX(FILTER($H:$H,$E:$E=F363))"),0.0)</f>
        <v>0</v>
      </c>
    </row>
    <row r="364">
      <c r="A364" s="4"/>
      <c r="C364" s="4" t="s">
        <v>3058</v>
      </c>
      <c r="D364" s="4" t="str">
        <f t="shared" si="1"/>
        <v>{"valorA":"recomendo","valorB":3}</v>
      </c>
      <c r="E364" s="8" t="str">
        <f t="shared" si="2"/>
        <v>recomendo</v>
      </c>
      <c r="F364" s="8"/>
      <c r="G364" s="8" t="str">
        <f t="shared" si="3"/>
        <v>3</v>
      </c>
      <c r="H364" s="9">
        <f t="shared" si="4"/>
        <v>3</v>
      </c>
      <c r="I364" s="10">
        <f>IFERROR(__xludf.DUMMYFUNCTION("MAX(FILTER($H:$H,$E:$E=F364))"),0.0)</f>
        <v>0</v>
      </c>
    </row>
    <row r="365">
      <c r="A365" s="4"/>
      <c r="C365" s="4" t="s">
        <v>3707</v>
      </c>
      <c r="D365" s="4" t="str">
        <f t="shared" si="1"/>
        <v>{"valorA":"bateria","valorB":1}</v>
      </c>
      <c r="E365" s="8" t="str">
        <f t="shared" si="2"/>
        <v>bateria</v>
      </c>
      <c r="F365" s="8"/>
      <c r="G365" s="8" t="str">
        <f t="shared" si="3"/>
        <v>1</v>
      </c>
      <c r="H365" s="9">
        <f t="shared" si="4"/>
        <v>1</v>
      </c>
      <c r="I365" s="10">
        <f>IFERROR(__xludf.DUMMYFUNCTION("MAX(FILTER($H:$H,$E:$E=F365))"),0.0)</f>
        <v>0</v>
      </c>
    </row>
    <row r="366">
      <c r="A366" s="4"/>
      <c r="C366" s="4" t="s">
        <v>7516</v>
      </c>
      <c r="D366" s="4" t="str">
        <f t="shared" si="1"/>
        <v>{"valorA":"eu","valorB":3}</v>
      </c>
      <c r="E366" s="8" t="str">
        <f t="shared" si="2"/>
        <v>eu</v>
      </c>
      <c r="F366" s="8"/>
      <c r="G366" s="8" t="str">
        <f t="shared" si="3"/>
        <v>3</v>
      </c>
      <c r="H366" s="9">
        <f t="shared" si="4"/>
        <v>3</v>
      </c>
      <c r="I366" s="10">
        <f>IFERROR(__xludf.DUMMYFUNCTION("MAX(FILTER($H:$H,$E:$E=F366))"),0.0)</f>
        <v>0</v>
      </c>
    </row>
    <row r="367">
      <c r="A367" s="4"/>
      <c r="C367" s="4" t="s">
        <v>3173</v>
      </c>
      <c r="D367" s="4" t="str">
        <f t="shared" si="1"/>
        <v>{"valorA":"leve","valorB":1}</v>
      </c>
      <c r="E367" s="8" t="str">
        <f t="shared" si="2"/>
        <v>leve</v>
      </c>
      <c r="F367" s="8"/>
      <c r="G367" s="8" t="str">
        <f t="shared" si="3"/>
        <v>1</v>
      </c>
      <c r="H367" s="9">
        <f t="shared" si="4"/>
        <v>1</v>
      </c>
      <c r="I367" s="10">
        <f>IFERROR(__xludf.DUMMYFUNCTION("MAX(FILTER($H:$H,$E:$E=F367))"),0.0)</f>
        <v>0</v>
      </c>
    </row>
    <row r="368">
      <c r="A368" s="4"/>
      <c r="C368" s="4" t="s">
        <v>3197</v>
      </c>
      <c r="D368" s="4" t="str">
        <f t="shared" si="1"/>
        <v>{"valorA":"portátil","valorB":1}</v>
      </c>
      <c r="E368" s="8" t="str">
        <f t="shared" si="2"/>
        <v>portátil</v>
      </c>
      <c r="F368" s="8"/>
      <c r="G368" s="8" t="str">
        <f t="shared" si="3"/>
        <v>1</v>
      </c>
      <c r="H368" s="9">
        <f t="shared" si="4"/>
        <v>1</v>
      </c>
      <c r="I368" s="10">
        <f>IFERROR(__xludf.DUMMYFUNCTION("MAX(FILTER($H:$H,$E:$E=F368))"),0.0)</f>
        <v>0</v>
      </c>
    </row>
    <row r="369">
      <c r="A369" s="4"/>
      <c r="C369" s="4" t="s">
        <v>2845</v>
      </c>
      <c r="D369" s="4" t="str">
        <f t="shared" si="1"/>
        <v>{"valorA":"ótimo","valorB":31}</v>
      </c>
      <c r="E369" s="8" t="str">
        <f t="shared" si="2"/>
        <v>ótimo</v>
      </c>
      <c r="F369" s="8"/>
      <c r="G369" s="8" t="str">
        <f t="shared" si="3"/>
        <v>31</v>
      </c>
      <c r="H369" s="9">
        <f t="shared" si="4"/>
        <v>31</v>
      </c>
      <c r="I369" s="10">
        <f>IFERROR(__xludf.DUMMYFUNCTION("MAX(FILTER($H:$H,$E:$E=F369))"),0.0)</f>
        <v>0</v>
      </c>
    </row>
    <row r="370">
      <c r="A370" s="4"/>
      <c r="C370" s="4" t="s">
        <v>12589</v>
      </c>
      <c r="D370" s="4" t="str">
        <f t="shared" si="1"/>
        <v>{"valorA":"viajar","valorB":1}</v>
      </c>
      <c r="E370" s="8" t="str">
        <f t="shared" si="2"/>
        <v>viajar</v>
      </c>
      <c r="F370" s="8"/>
      <c r="G370" s="8" t="str">
        <f t="shared" si="3"/>
        <v>1</v>
      </c>
      <c r="H370" s="9">
        <f t="shared" si="4"/>
        <v>1</v>
      </c>
      <c r="I370" s="10">
        <f>IFERROR(__xludf.DUMMYFUNCTION("MAX(FILTER($H:$H,$E:$E=F370))"),0.0)</f>
        <v>0</v>
      </c>
    </row>
    <row r="371">
      <c r="A371" s="4"/>
      <c r="C371" s="4" t="s">
        <v>3349</v>
      </c>
      <c r="D371" s="4" t="str">
        <f t="shared" si="1"/>
        <v>{"valorA":"bastante","valorB":2}</v>
      </c>
      <c r="E371" s="8" t="str">
        <f t="shared" si="2"/>
        <v>bastante</v>
      </c>
      <c r="F371" s="8"/>
      <c r="G371" s="8" t="str">
        <f t="shared" si="3"/>
        <v>2</v>
      </c>
      <c r="H371" s="9">
        <f t="shared" si="4"/>
        <v>2</v>
      </c>
      <c r="I371" s="10">
        <f>IFERROR(__xludf.DUMMYFUNCTION("MAX(FILTER($H:$H,$E:$E=F371))"),0.0)</f>
        <v>0</v>
      </c>
    </row>
    <row r="372">
      <c r="A372" s="4"/>
      <c r="C372" s="4" t="s">
        <v>3501</v>
      </c>
      <c r="D372" s="4" t="str">
        <f t="shared" si="1"/>
        <v>{"valorA":"com","valorB":8}</v>
      </c>
      <c r="E372" s="8" t="str">
        <f t="shared" si="2"/>
        <v>com</v>
      </c>
      <c r="F372" s="8"/>
      <c r="G372" s="8" t="str">
        <f t="shared" si="3"/>
        <v>8</v>
      </c>
      <c r="H372" s="9">
        <f t="shared" si="4"/>
        <v>8</v>
      </c>
      <c r="I372" s="10">
        <f>IFERROR(__xludf.DUMMYFUNCTION("MAX(FILTER($H:$H,$E:$E=F372))"),0.0)</f>
        <v>0</v>
      </c>
    </row>
    <row r="373">
      <c r="A373" s="4"/>
      <c r="C373" s="4" t="s">
        <v>2206</v>
      </c>
      <c r="D373" s="4" t="str">
        <f t="shared" si="1"/>
        <v>{"valorA":"computador","valorB":3}</v>
      </c>
      <c r="E373" s="8" t="str">
        <f t="shared" si="2"/>
        <v>computador</v>
      </c>
      <c r="F373" s="8"/>
      <c r="G373" s="8" t="str">
        <f t="shared" si="3"/>
        <v>3</v>
      </c>
      <c r="H373" s="9">
        <f t="shared" si="4"/>
        <v>3</v>
      </c>
      <c r="I373" s="10">
        <f>IFERROR(__xludf.DUMMYFUNCTION("MAX(FILTER($H:$H,$E:$E=F373))"),0.0)</f>
        <v>0</v>
      </c>
    </row>
    <row r="374">
      <c r="A374" s="4"/>
      <c r="C374" s="4" t="s">
        <v>2672</v>
      </c>
      <c r="D374" s="4" t="str">
        <f t="shared" si="1"/>
        <v>{"valorA":"ele","valorB":1}</v>
      </c>
      <c r="E374" s="8" t="str">
        <f t="shared" si="2"/>
        <v>ele</v>
      </c>
      <c r="F374" s="8"/>
      <c r="G374" s="8" t="str">
        <f t="shared" si="3"/>
        <v>1</v>
      </c>
      <c r="H374" s="9">
        <f t="shared" si="4"/>
        <v>1</v>
      </c>
      <c r="I374" s="10">
        <f>IFERROR(__xludf.DUMMYFUNCTION("MAX(FILTER($H:$H,$E:$E=F374))"),0.0)</f>
        <v>0</v>
      </c>
    </row>
    <row r="375">
      <c r="A375" s="4"/>
      <c r="C375" s="4" t="s">
        <v>3193</v>
      </c>
      <c r="D375" s="4" t="str">
        <f t="shared" si="1"/>
        <v>{"valorA":"para","valorB":14}</v>
      </c>
      <c r="E375" s="8" t="str">
        <f t="shared" si="2"/>
        <v>para</v>
      </c>
      <c r="F375" s="8"/>
      <c r="G375" s="8" t="str">
        <f t="shared" si="3"/>
        <v>14</v>
      </c>
      <c r="H375" s="9">
        <f t="shared" si="4"/>
        <v>14</v>
      </c>
      <c r="I375" s="10">
        <f>IFERROR(__xludf.DUMMYFUNCTION("MAX(FILTER($H:$H,$E:$E=F375))"),0.0)</f>
        <v>0</v>
      </c>
    </row>
    <row r="376">
      <c r="A376" s="4"/>
      <c r="C376" s="4" t="s">
        <v>2900</v>
      </c>
      <c r="D376" s="4" t="str">
        <f t="shared" si="1"/>
        <v>{"valorA":"melhor","valorB":1}</v>
      </c>
      <c r="E376" s="8" t="str">
        <f t="shared" si="2"/>
        <v>melhor</v>
      </c>
      <c r="F376" s="8"/>
      <c r="G376" s="8" t="str">
        <f t="shared" si="3"/>
        <v>1</v>
      </c>
      <c r="H376" s="9">
        <f t="shared" si="4"/>
        <v>1</v>
      </c>
      <c r="I376" s="10">
        <f>IFERROR(__xludf.DUMMYFUNCTION("MAX(FILTER($H:$H,$E:$E=F376))"),0.0)</f>
        <v>0</v>
      </c>
    </row>
    <row r="377">
      <c r="A377" s="4"/>
      <c r="C377" s="4" t="s">
        <v>3875</v>
      </c>
      <c r="D377" s="4" t="str">
        <f t="shared" si="1"/>
        <v>{"valorA":"hoje","valorB":1}</v>
      </c>
      <c r="E377" s="8" t="str">
        <f t="shared" si="2"/>
        <v>hoje</v>
      </c>
      <c r="F377" s="8"/>
      <c r="G377" s="8" t="str">
        <f t="shared" si="3"/>
        <v>1</v>
      </c>
      <c r="H377" s="9">
        <f t="shared" si="4"/>
        <v>1</v>
      </c>
      <c r="I377" s="10">
        <f>IFERROR(__xludf.DUMMYFUNCTION("MAX(FILTER($H:$H,$E:$E=F377))"),0.0)</f>
        <v>0</v>
      </c>
    </row>
    <row r="378">
      <c r="A378" s="4"/>
      <c r="C378" s="4" t="s">
        <v>2855</v>
      </c>
      <c r="D378" s="4" t="str">
        <f t="shared" si="1"/>
        <v>{"valorA":"ótimo","valorB":32}</v>
      </c>
      <c r="E378" s="8" t="str">
        <f t="shared" si="2"/>
        <v>ótimo</v>
      </c>
      <c r="F378" s="8"/>
      <c r="G378" s="8" t="str">
        <f t="shared" si="3"/>
        <v>32</v>
      </c>
      <c r="H378" s="9">
        <f t="shared" si="4"/>
        <v>32</v>
      </c>
      <c r="I378" s="10">
        <f>IFERROR(__xludf.DUMMYFUNCTION("MAX(FILTER($H:$H,$E:$E=F378))"),0.0)</f>
        <v>0</v>
      </c>
    </row>
    <row r="379">
      <c r="A379" s="4"/>
      <c r="C379" s="4" t="s">
        <v>3236</v>
      </c>
      <c r="D379" s="4" t="str">
        <f t="shared" si="1"/>
        <v>{"valorA":"de","valorB":17}</v>
      </c>
      <c r="E379" s="8" t="str">
        <f t="shared" si="2"/>
        <v>de</v>
      </c>
      <c r="F379" s="8"/>
      <c r="G379" s="8" t="str">
        <f t="shared" si="3"/>
        <v>17</v>
      </c>
      <c r="H379" s="9">
        <f t="shared" si="4"/>
        <v>17</v>
      </c>
      <c r="I379" s="10">
        <f>IFERROR(__xludf.DUMMYFUNCTION("MAX(FILTER($H:$H,$E:$E=F379))"),0.0)</f>
        <v>0</v>
      </c>
    </row>
    <row r="380">
      <c r="A380" s="4"/>
      <c r="C380" s="4" t="s">
        <v>3874</v>
      </c>
      <c r="D380" s="4" t="str">
        <f t="shared" si="1"/>
        <v>{"valorA":"fiz","valorB":1}</v>
      </c>
      <c r="E380" s="8" t="str">
        <f t="shared" si="2"/>
        <v>fiz</v>
      </c>
      <c r="F380" s="8"/>
      <c r="G380" s="8" t="str">
        <f t="shared" si="3"/>
        <v>1</v>
      </c>
      <c r="H380" s="9">
        <f t="shared" si="4"/>
        <v>1</v>
      </c>
      <c r="I380" s="10">
        <f>IFERROR(__xludf.DUMMYFUNCTION("MAX(FILTER($H:$H,$E:$E=F380))"),0.0)</f>
        <v>0</v>
      </c>
    </row>
    <row r="381">
      <c r="A381" s="4"/>
      <c r="C381" s="4" t="s">
        <v>12590</v>
      </c>
      <c r="D381" s="4" t="str">
        <f t="shared" si="1"/>
        <v>{"valorA":"aparelho","valorB":5}</v>
      </c>
      <c r="E381" s="8" t="str">
        <f t="shared" si="2"/>
        <v>aparelho</v>
      </c>
      <c r="F381" s="8"/>
      <c r="G381" s="8" t="str">
        <f t="shared" si="3"/>
        <v>5</v>
      </c>
      <c r="H381" s="9">
        <f t="shared" si="4"/>
        <v>5</v>
      </c>
      <c r="I381" s="10">
        <f>IFERROR(__xludf.DUMMYFUNCTION("MAX(FILTER($H:$H,$E:$E=F381))"),0.0)</f>
        <v>0</v>
      </c>
    </row>
    <row r="382">
      <c r="A382" s="4"/>
      <c r="C382" s="4" t="s">
        <v>2824</v>
      </c>
      <c r="D382" s="4" t="str">
        <f t="shared" si="1"/>
        <v>{"valorA":"que","valorB":6}</v>
      </c>
      <c r="E382" s="8" t="str">
        <f t="shared" si="2"/>
        <v>que</v>
      </c>
      <c r="F382" s="8"/>
      <c r="G382" s="8" t="str">
        <f t="shared" si="3"/>
        <v>6</v>
      </c>
      <c r="H382" s="9">
        <f t="shared" si="4"/>
        <v>6</v>
      </c>
      <c r="I382" s="10">
        <f>IFERROR(__xludf.DUMMYFUNCTION("MAX(FILTER($H:$H,$E:$E=F382))"),0.0)</f>
        <v>0</v>
      </c>
    </row>
    <row r="383">
      <c r="A383" s="4"/>
      <c r="C383" s="4" t="s">
        <v>3131</v>
      </c>
      <c r="D383" s="4" t="str">
        <f t="shared" si="1"/>
        <v>{"valorA":"tv","valorB":1}</v>
      </c>
      <c r="E383" s="8" t="str">
        <f t="shared" si="2"/>
        <v>tv</v>
      </c>
      <c r="F383" s="8"/>
      <c r="G383" s="8" t="str">
        <f t="shared" si="3"/>
        <v>1</v>
      </c>
      <c r="H383" s="9">
        <f t="shared" si="4"/>
        <v>1</v>
      </c>
      <c r="I383" s="10">
        <f>IFERROR(__xludf.DUMMYFUNCTION("MAX(FILTER($H:$H,$E:$E=F383))"),0.0)</f>
        <v>0</v>
      </c>
    </row>
    <row r="384">
      <c r="A384" s="4"/>
      <c r="C384" s="4" t="s">
        <v>12591</v>
      </c>
      <c r="D384" s="4" t="str">
        <f t="shared" si="1"/>
        <v>{"valorA":"led","valorB":5}</v>
      </c>
      <c r="E384" s="8" t="str">
        <f t="shared" si="2"/>
        <v>led</v>
      </c>
      <c r="F384" s="8"/>
      <c r="G384" s="8" t="str">
        <f t="shared" si="3"/>
        <v>5</v>
      </c>
      <c r="H384" s="9">
        <f t="shared" si="4"/>
        <v>5</v>
      </c>
      <c r="I384" s="10">
        <f>IFERROR(__xludf.DUMMYFUNCTION("MAX(FILTER($H:$H,$E:$E=F384))"),0.0)</f>
        <v>0</v>
      </c>
    </row>
    <row r="385">
      <c r="A385" s="4"/>
      <c r="C385" s="4" t="s">
        <v>12592</v>
      </c>
      <c r="D385" s="4" t="str">
        <f t="shared" si="1"/>
        <v>{"valorA":"investimento","valorB":3}</v>
      </c>
      <c r="E385" s="8" t="str">
        <f t="shared" si="2"/>
        <v>investimento</v>
      </c>
      <c r="F385" s="8"/>
      <c r="G385" s="8" t="str">
        <f t="shared" si="3"/>
        <v>3</v>
      </c>
      <c r="H385" s="9">
        <f t="shared" si="4"/>
        <v>3</v>
      </c>
      <c r="I385" s="10">
        <f>IFERROR(__xludf.DUMMYFUNCTION("MAX(FILTER($H:$H,$E:$E=F385))"),0.0)</f>
        <v>0</v>
      </c>
    </row>
    <row r="386">
      <c r="A386" s="4"/>
      <c r="C386" s="4" t="s">
        <v>3425</v>
      </c>
      <c r="D386" s="4" t="str">
        <f t="shared" si="1"/>
        <v>{"valorA":"foi","valorB":2}</v>
      </c>
      <c r="E386" s="8" t="str">
        <f t="shared" si="2"/>
        <v>foi</v>
      </c>
      <c r="F386" s="8"/>
      <c r="G386" s="8" t="str">
        <f t="shared" si="3"/>
        <v>2</v>
      </c>
      <c r="H386" s="9">
        <f t="shared" si="4"/>
        <v>2</v>
      </c>
      <c r="I386" s="10">
        <f>IFERROR(__xludf.DUMMYFUNCTION("MAX(FILTER($H:$H,$E:$E=F386))"),0.0)</f>
        <v>0</v>
      </c>
    </row>
    <row r="387">
      <c r="A387" s="4"/>
      <c r="C387" s="4" t="s">
        <v>3975</v>
      </c>
      <c r="D387" s="4" t="str">
        <f t="shared" si="1"/>
        <v>{"valorA":"o","valorB":14}</v>
      </c>
      <c r="E387" s="8" t="str">
        <f t="shared" si="2"/>
        <v>o</v>
      </c>
      <c r="F387" s="8"/>
      <c r="G387" s="8" t="str">
        <f t="shared" si="3"/>
        <v>14</v>
      </c>
      <c r="H387" s="9">
        <f t="shared" si="4"/>
        <v>14</v>
      </c>
      <c r="I387" s="10">
        <f>IFERROR(__xludf.DUMMYFUNCTION("MAX(FILTER($H:$H,$E:$E=F387))"),0.0)</f>
        <v>0</v>
      </c>
    </row>
    <row r="388">
      <c r="A388" s="4"/>
      <c r="C388" s="4" t="s">
        <v>12593</v>
      </c>
      <c r="D388" s="4" t="str">
        <f t="shared" si="1"/>
        <v>{"valorA":"shampoo","valorB":1}</v>
      </c>
      <c r="E388" s="8" t="str">
        <f t="shared" si="2"/>
        <v>shampoo</v>
      </c>
      <c r="F388" s="8"/>
      <c r="G388" s="8" t="str">
        <f t="shared" si="3"/>
        <v>1</v>
      </c>
      <c r="H388" s="9">
        <f t="shared" si="4"/>
        <v>1</v>
      </c>
      <c r="I388" s="10">
        <f>IFERROR(__xludf.DUMMYFUNCTION("MAX(FILTER($H:$H,$E:$E=F388))"),0.0)</f>
        <v>0</v>
      </c>
    </row>
    <row r="389">
      <c r="A389" s="4"/>
      <c r="C389" s="4" t="s">
        <v>2951</v>
      </c>
      <c r="D389" s="4" t="str">
        <f t="shared" si="1"/>
        <v>{"valorA":"carro","valorB":2}</v>
      </c>
      <c r="E389" s="8" t="str">
        <f t="shared" si="2"/>
        <v>carro</v>
      </c>
      <c r="F389" s="8"/>
      <c r="G389" s="8" t="str">
        <f t="shared" si="3"/>
        <v>2</v>
      </c>
      <c r="H389" s="9">
        <f t="shared" si="4"/>
        <v>2</v>
      </c>
      <c r="I389" s="10">
        <f>IFERROR(__xludf.DUMMYFUNCTION("MAX(FILTER($H:$H,$E:$E=F389))"),0.0)</f>
        <v>0</v>
      </c>
    </row>
    <row r="390">
      <c r="A390" s="4"/>
      <c r="C390" s="4" t="s">
        <v>3479</v>
      </c>
      <c r="D390" s="4" t="str">
        <f t="shared" si="1"/>
        <v>{"valorA":"ótima","valorB":11}</v>
      </c>
      <c r="E390" s="8" t="str">
        <f t="shared" si="2"/>
        <v>ótima</v>
      </c>
      <c r="F390" s="8"/>
      <c r="G390" s="8" t="str">
        <f t="shared" si="3"/>
        <v>11</v>
      </c>
      <c r="H390" s="9">
        <f t="shared" si="4"/>
        <v>11</v>
      </c>
      <c r="I390" s="10">
        <f>IFERROR(__xludf.DUMMYFUNCTION("MAX(FILTER($H:$H,$E:$E=F390))"),0.0)</f>
        <v>0</v>
      </c>
    </row>
    <row r="391">
      <c r="A391" s="4"/>
      <c r="C391" s="4" t="s">
        <v>3598</v>
      </c>
      <c r="D391" s="4" t="str">
        <f t="shared" si="1"/>
        <v>{"valorA":"limpeza","valorB":1}</v>
      </c>
      <c r="E391" s="8" t="str">
        <f t="shared" si="2"/>
        <v>limpeza</v>
      </c>
      <c r="F391" s="8"/>
      <c r="G391" s="8" t="str">
        <f t="shared" si="3"/>
        <v>1</v>
      </c>
      <c r="H391" s="9">
        <f t="shared" si="4"/>
        <v>1</v>
      </c>
      <c r="I391" s="10">
        <f>IFERROR(__xludf.DUMMYFUNCTION("MAX(FILTER($H:$H,$E:$E=F391))"),0.0)</f>
        <v>0</v>
      </c>
    </row>
    <row r="392">
      <c r="A392" s="4"/>
      <c r="C392" s="4" t="s">
        <v>3237</v>
      </c>
      <c r="D392" s="4" t="str">
        <f t="shared" si="1"/>
        <v>{"valorA":"para","valorB":15}</v>
      </c>
      <c r="E392" s="8" t="str">
        <f t="shared" si="2"/>
        <v>para</v>
      </c>
      <c r="F392" s="8"/>
      <c r="G392" s="8" t="str">
        <f t="shared" si="3"/>
        <v>15</v>
      </c>
      <c r="H392" s="9">
        <f t="shared" si="4"/>
        <v>15</v>
      </c>
      <c r="I392" s="10">
        <f>IFERROR(__xludf.DUMMYFUNCTION("MAX(FILTER($H:$H,$E:$E=F392))"),0.0)</f>
        <v>0</v>
      </c>
    </row>
    <row r="393">
      <c r="A393" s="4"/>
      <c r="C393" s="4" t="s">
        <v>12594</v>
      </c>
      <c r="D393" s="4" t="str">
        <f t="shared" si="1"/>
        <v>{"valorA":"o","valorB":15}</v>
      </c>
      <c r="E393" s="8" t="str">
        <f t="shared" si="2"/>
        <v>o</v>
      </c>
      <c r="F393" s="8"/>
      <c r="G393" s="8" t="str">
        <f t="shared" si="3"/>
        <v>15</v>
      </c>
      <c r="H393" s="9">
        <f t="shared" si="4"/>
        <v>15</v>
      </c>
      <c r="I393" s="10">
        <f>IFERROR(__xludf.DUMMYFUNCTION("MAX(FILTER($H:$H,$E:$E=F393))"),0.0)</f>
        <v>0</v>
      </c>
    </row>
    <row r="394">
      <c r="A394" s="4"/>
      <c r="C394" s="4" t="s">
        <v>3920</v>
      </c>
      <c r="D394" s="4" t="str">
        <f t="shared" si="1"/>
        <v>{"valorA":"com","valorB":9}</v>
      </c>
      <c r="E394" s="8" t="str">
        <f t="shared" si="2"/>
        <v>com</v>
      </c>
      <c r="F394" s="8"/>
      <c r="G394" s="8" t="str">
        <f t="shared" si="3"/>
        <v>9</v>
      </c>
      <c r="H394" s="9">
        <f t="shared" si="4"/>
        <v>9</v>
      </c>
      <c r="I394" s="10">
        <f>IFERROR(__xludf.DUMMYFUNCTION("MAX(FILTER($H:$H,$E:$E=F394))"),0.0)</f>
        <v>0</v>
      </c>
    </row>
    <row r="395">
      <c r="A395" s="4"/>
      <c r="C395" s="4" t="s">
        <v>2897</v>
      </c>
      <c r="D395" s="4" t="str">
        <f t="shared" si="1"/>
        <v>{"valorA":"meu","valorB":3}</v>
      </c>
      <c r="E395" s="8" t="str">
        <f t="shared" si="2"/>
        <v>meu</v>
      </c>
      <c r="F395" s="8"/>
      <c r="G395" s="8" t="str">
        <f t="shared" si="3"/>
        <v>3</v>
      </c>
      <c r="H395" s="9">
        <f t="shared" si="4"/>
        <v>3</v>
      </c>
      <c r="I395" s="10">
        <f>IFERROR(__xludf.DUMMYFUNCTION("MAX(FILTER($H:$H,$E:$E=F395))"),0.0)</f>
        <v>0</v>
      </c>
    </row>
    <row r="396">
      <c r="A396" s="4"/>
      <c r="C396" s="4" t="s">
        <v>2909</v>
      </c>
      <c r="D396" s="4" t="str">
        <f t="shared" si="1"/>
        <v>{"valorA":"este","valorB":2}</v>
      </c>
      <c r="E396" s="8" t="str">
        <f t="shared" si="2"/>
        <v>este</v>
      </c>
      <c r="F396" s="8"/>
      <c r="G396" s="8" t="str">
        <f t="shared" si="3"/>
        <v>2</v>
      </c>
      <c r="H396" s="9">
        <f t="shared" si="4"/>
        <v>2</v>
      </c>
      <c r="I396" s="10">
        <f>IFERROR(__xludf.DUMMYFUNCTION("MAX(FILTER($H:$H,$E:$E=F396))"),0.0)</f>
        <v>0</v>
      </c>
    </row>
    <row r="397">
      <c r="A397" s="4"/>
      <c r="C397" s="4" t="s">
        <v>3913</v>
      </c>
      <c r="D397" s="4" t="str">
        <f t="shared" si="1"/>
        <v>{"valorA":"consumo","valorB":1}</v>
      </c>
      <c r="E397" s="8" t="str">
        <f t="shared" si="2"/>
        <v>consumo</v>
      </c>
      <c r="F397" s="8"/>
      <c r="G397" s="8" t="str">
        <f t="shared" si="3"/>
        <v>1</v>
      </c>
      <c r="H397" s="9">
        <f t="shared" si="4"/>
        <v>1</v>
      </c>
      <c r="I397" s="10">
        <f>IFERROR(__xludf.DUMMYFUNCTION("MAX(FILTER($H:$H,$E:$E=F397))"),0.0)</f>
        <v>0</v>
      </c>
    </row>
    <row r="398">
      <c r="A398" s="4"/>
      <c r="C398" s="4" t="s">
        <v>3241</v>
      </c>
      <c r="D398" s="4" t="str">
        <f t="shared" si="1"/>
        <v>{"valorA":"de","valorB":18}</v>
      </c>
      <c r="E398" s="8" t="str">
        <f t="shared" si="2"/>
        <v>de</v>
      </c>
      <c r="F398" s="8"/>
      <c r="G398" s="8" t="str">
        <f t="shared" si="3"/>
        <v>18</v>
      </c>
      <c r="H398" s="9">
        <f t="shared" si="4"/>
        <v>18</v>
      </c>
      <c r="I398" s="10">
        <f>IFERROR(__xludf.DUMMYFUNCTION("MAX(FILTER($H:$H,$E:$E=F398))"),0.0)</f>
        <v>0</v>
      </c>
    </row>
    <row r="399">
      <c r="A399" s="4"/>
      <c r="C399" s="4" t="s">
        <v>3483</v>
      </c>
      <c r="D399" s="4" t="str">
        <f t="shared" si="1"/>
        <v>{"valorA":"pouco","valorB":1}</v>
      </c>
      <c r="E399" s="8" t="str">
        <f t="shared" si="2"/>
        <v>pouco</v>
      </c>
      <c r="F399" s="8"/>
      <c r="G399" s="8" t="str">
        <f t="shared" si="3"/>
        <v>1</v>
      </c>
      <c r="H399" s="9">
        <f t="shared" si="4"/>
        <v>1</v>
      </c>
      <c r="I399" s="10">
        <f>IFERROR(__xludf.DUMMYFUNCTION("MAX(FILTER($H:$H,$E:$E=F399))"),0.0)</f>
        <v>0</v>
      </c>
    </row>
    <row r="400">
      <c r="A400" s="4"/>
      <c r="C400" s="4" t="s">
        <v>3503</v>
      </c>
      <c r="D400" s="4" t="str">
        <f t="shared" si="1"/>
        <v>{"valorA":"ótima","valorB":12}</v>
      </c>
      <c r="E400" s="8" t="str">
        <f t="shared" si="2"/>
        <v>ótima</v>
      </c>
      <c r="F400" s="8"/>
      <c r="G400" s="8" t="str">
        <f t="shared" si="3"/>
        <v>12</v>
      </c>
      <c r="H400" s="9">
        <f t="shared" si="4"/>
        <v>12</v>
      </c>
      <c r="I400" s="10">
        <f>IFERROR(__xludf.DUMMYFUNCTION("MAX(FILTER($H:$H,$E:$E=F400))"),0.0)</f>
        <v>0</v>
      </c>
    </row>
    <row r="401">
      <c r="A401" s="4"/>
      <c r="C401" s="4" t="s">
        <v>3450</v>
      </c>
      <c r="D401" s="4" t="str">
        <f t="shared" si="1"/>
        <v>{"valorA":"lavadora","valorB":1}</v>
      </c>
      <c r="E401" s="8" t="str">
        <f t="shared" si="2"/>
        <v>lavadora</v>
      </c>
      <c r="F401" s="8"/>
      <c r="G401" s="8" t="str">
        <f t="shared" si="3"/>
        <v>1</v>
      </c>
      <c r="H401" s="9">
        <f t="shared" si="4"/>
        <v>1</v>
      </c>
      <c r="I401" s="10">
        <f>IFERROR(__xludf.DUMMYFUNCTION("MAX(FILTER($H:$H,$E:$E=F401))"),0.0)</f>
        <v>0</v>
      </c>
    </row>
    <row r="402">
      <c r="A402" s="4"/>
      <c r="C402" s="4" t="s">
        <v>3439</v>
      </c>
      <c r="D402" s="4" t="str">
        <f t="shared" si="1"/>
        <v>{"valorA":"muito","valorB":19}</v>
      </c>
      <c r="E402" s="8" t="str">
        <f t="shared" si="2"/>
        <v>muito</v>
      </c>
      <c r="F402" s="8"/>
      <c r="G402" s="8" t="str">
        <f t="shared" si="3"/>
        <v>19</v>
      </c>
      <c r="H402" s="9">
        <f t="shared" si="4"/>
        <v>19</v>
      </c>
      <c r="I402" s="10">
        <f>IFERROR(__xludf.DUMMYFUNCTION("MAX(FILTER($H:$H,$E:$E=F402))"),0.0)</f>
        <v>0</v>
      </c>
    </row>
    <row r="403">
      <c r="A403" s="4"/>
      <c r="C403" s="4" t="s">
        <v>3955</v>
      </c>
      <c r="D403" s="4" t="str">
        <f t="shared" si="1"/>
        <v>{"valorA":"água","valorB":1}</v>
      </c>
      <c r="E403" s="8" t="str">
        <f t="shared" si="2"/>
        <v>água</v>
      </c>
      <c r="F403" s="8"/>
      <c r="G403" s="8" t="str">
        <f t="shared" si="3"/>
        <v>1</v>
      </c>
      <c r="H403" s="9">
        <f t="shared" si="4"/>
        <v>1</v>
      </c>
      <c r="I403" s="10">
        <f>IFERROR(__xludf.DUMMYFUNCTION("MAX(FILTER($H:$H,$E:$E=F403))"),0.0)</f>
        <v>0</v>
      </c>
    </row>
    <row r="404">
      <c r="A404" s="4"/>
      <c r="C404" s="4" t="s">
        <v>3323</v>
      </c>
      <c r="D404" s="4" t="str">
        <f t="shared" si="1"/>
        <v>{"valorA":"limpa","valorB":1}</v>
      </c>
      <c r="E404" s="8" t="str">
        <f t="shared" si="2"/>
        <v>limpa</v>
      </c>
      <c r="F404" s="8"/>
      <c r="G404" s="8" t="str">
        <f t="shared" si="3"/>
        <v>1</v>
      </c>
      <c r="H404" s="9">
        <f t="shared" si="4"/>
        <v>1</v>
      </c>
      <c r="I404" s="10">
        <f>IFERROR(__xludf.DUMMYFUNCTION("MAX(FILTER($H:$H,$E:$E=F404))"),0.0)</f>
        <v>0</v>
      </c>
    </row>
    <row r="405">
      <c r="A405" s="4"/>
      <c r="C405" s="4" t="s">
        <v>2739</v>
      </c>
      <c r="D405" s="4" t="str">
        <f t="shared" si="1"/>
        <v>{"valorA":"usar","valorB":3}</v>
      </c>
      <c r="E405" s="8" t="str">
        <f t="shared" si="2"/>
        <v>usar</v>
      </c>
      <c r="F405" s="8"/>
      <c r="G405" s="8" t="str">
        <f t="shared" si="3"/>
        <v>3</v>
      </c>
      <c r="H405" s="9">
        <f t="shared" si="4"/>
        <v>3</v>
      </c>
      <c r="I405" s="10">
        <f>IFERROR(__xludf.DUMMYFUNCTION("MAX(FILTER($H:$H,$E:$E=F405))"),0.0)</f>
        <v>0</v>
      </c>
    </row>
    <row r="406">
      <c r="A406" s="4"/>
      <c r="C406" s="4" t="s">
        <v>2722</v>
      </c>
      <c r="D406" s="4" t="str">
        <f t="shared" si="1"/>
        <v>{"valorA":"fácil","valorB":2}</v>
      </c>
      <c r="E406" s="8" t="str">
        <f t="shared" si="2"/>
        <v>fácil</v>
      </c>
      <c r="F406" s="8"/>
      <c r="G406" s="8" t="str">
        <f t="shared" si="3"/>
        <v>2</v>
      </c>
      <c r="H406" s="9">
        <f t="shared" si="4"/>
        <v>2</v>
      </c>
      <c r="I406" s="10">
        <f>IFERROR(__xludf.DUMMYFUNCTION("MAX(FILTER($H:$H,$E:$E=F406))"),0.0)</f>
        <v>0</v>
      </c>
    </row>
    <row r="407">
      <c r="A407" s="4"/>
      <c r="C407" s="4" t="s">
        <v>3488</v>
      </c>
      <c r="D407" s="4" t="str">
        <f t="shared" si="1"/>
        <v>{"valorA":"bem","valorB":11}</v>
      </c>
      <c r="E407" s="8" t="str">
        <f t="shared" si="2"/>
        <v>bem</v>
      </c>
      <c r="F407" s="8"/>
      <c r="G407" s="8" t="str">
        <f t="shared" si="3"/>
        <v>11</v>
      </c>
      <c r="H407" s="9">
        <f t="shared" si="4"/>
        <v>11</v>
      </c>
      <c r="I407" s="10">
        <f>IFERROR(__xludf.DUMMYFUNCTION("MAX(FILTER($H:$H,$E:$E=F407))"),0.0)</f>
        <v>0</v>
      </c>
    </row>
    <row r="408">
      <c r="A408" s="4"/>
      <c r="C408" s="4" t="s">
        <v>2740</v>
      </c>
      <c r="D408" s="4" t="str">
        <f t="shared" si="1"/>
        <v>{"valorA":"e","valorB":5}</v>
      </c>
      <c r="E408" s="8" t="str">
        <f t="shared" si="2"/>
        <v>e</v>
      </c>
      <c r="F408" s="8"/>
      <c r="G408" s="8" t="str">
        <f t="shared" si="3"/>
        <v>5</v>
      </c>
      <c r="H408" s="9">
        <f t="shared" si="4"/>
        <v>5</v>
      </c>
      <c r="I408" s="10">
        <f>IFERROR(__xludf.DUMMYFUNCTION("MAX(FILTER($H:$H,$E:$E=F408))"),0.0)</f>
        <v>0</v>
      </c>
    </row>
    <row r="409">
      <c r="A409" s="4"/>
      <c r="C409" s="4" t="s">
        <v>3313</v>
      </c>
      <c r="D409" s="4" t="str">
        <f t="shared" si="1"/>
        <v>{"valorA":"telefone","valorB":1}</v>
      </c>
      <c r="E409" s="8" t="str">
        <f t="shared" si="2"/>
        <v>telefone</v>
      </c>
      <c r="F409" s="8"/>
      <c r="G409" s="8" t="str">
        <f t="shared" si="3"/>
        <v>1</v>
      </c>
      <c r="H409" s="9">
        <f t="shared" si="4"/>
        <v>1</v>
      </c>
      <c r="I409" s="10">
        <f>IFERROR(__xludf.DUMMYFUNCTION("MAX(FILTER($H:$H,$E:$E=F409))"),0.0)</f>
        <v>0</v>
      </c>
    </row>
    <row r="410">
      <c r="A410" s="4"/>
      <c r="C410" s="4" t="s">
        <v>3383</v>
      </c>
      <c r="D410" s="4" t="str">
        <f t="shared" si="1"/>
        <v>{"valorA":"bastante","valorB":3}</v>
      </c>
      <c r="E410" s="8" t="str">
        <f t="shared" si="2"/>
        <v>bastante</v>
      </c>
      <c r="F410" s="8"/>
      <c r="G410" s="8" t="str">
        <f t="shared" si="3"/>
        <v>3</v>
      </c>
      <c r="H410" s="9">
        <f t="shared" si="4"/>
        <v>3</v>
      </c>
      <c r="I410" s="10">
        <f>IFERROR(__xludf.DUMMYFUNCTION("MAX(FILTER($H:$H,$E:$E=F410))"),0.0)</f>
        <v>0</v>
      </c>
    </row>
    <row r="411">
      <c r="A411" s="4"/>
      <c r="C411" s="4" t="s">
        <v>2257</v>
      </c>
      <c r="D411" s="4" t="str">
        <f t="shared" si="1"/>
        <v>{"valorA":"celular","valorB":3}</v>
      </c>
      <c r="E411" s="8" t="str">
        <f t="shared" si="2"/>
        <v>celular</v>
      </c>
      <c r="F411" s="8"/>
      <c r="G411" s="8" t="str">
        <f t="shared" si="3"/>
        <v>3</v>
      </c>
      <c r="H411" s="9">
        <f t="shared" si="4"/>
        <v>3</v>
      </c>
      <c r="I411" s="10">
        <f>IFERROR(__xludf.DUMMYFUNCTION("MAX(FILTER($H:$H,$E:$E=F411))"),0.0)</f>
        <v>0</v>
      </c>
    </row>
    <row r="412">
      <c r="A412" s="4"/>
      <c r="C412" s="4" t="s">
        <v>2859</v>
      </c>
      <c r="D412" s="4" t="str">
        <f t="shared" si="1"/>
        <v>{"valorA":"ótimo","valorB":33}</v>
      </c>
      <c r="E412" s="8" t="str">
        <f t="shared" si="2"/>
        <v>ótimo</v>
      </c>
      <c r="F412" s="8"/>
      <c r="G412" s="8" t="str">
        <f t="shared" si="3"/>
        <v>33</v>
      </c>
      <c r="H412" s="9">
        <f t="shared" si="4"/>
        <v>33</v>
      </c>
      <c r="I412" s="10">
        <f>IFERROR(__xludf.DUMMYFUNCTION("MAX(FILTER($H:$H,$E:$E=F412))"),0.0)</f>
        <v>0</v>
      </c>
    </row>
    <row r="413">
      <c r="A413" s="4"/>
      <c r="C413" s="4" t="s">
        <v>3924</v>
      </c>
      <c r="D413" s="4" t="str">
        <f t="shared" si="1"/>
        <v>{"valorA":"com","valorB":10}</v>
      </c>
      <c r="E413" s="8" t="str">
        <f t="shared" si="2"/>
        <v>com</v>
      </c>
      <c r="F413" s="8"/>
      <c r="G413" s="8" t="str">
        <f t="shared" si="3"/>
        <v>10</v>
      </c>
      <c r="H413" s="9">
        <f t="shared" si="4"/>
        <v>10</v>
      </c>
      <c r="I413" s="10">
        <f>IFERROR(__xludf.DUMMYFUNCTION("MAX(FILTER($H:$H,$E:$E=F413))"),0.0)</f>
        <v>0</v>
      </c>
    </row>
    <row r="414">
      <c r="A414" s="4"/>
      <c r="C414" s="4" t="s">
        <v>7503</v>
      </c>
      <c r="D414" s="4" t="str">
        <f t="shared" si="1"/>
        <v>{"valorA":"razoável","valorB":1}</v>
      </c>
      <c r="E414" s="8" t="str">
        <f t="shared" si="2"/>
        <v>razoável</v>
      </c>
      <c r="F414" s="8"/>
      <c r="G414" s="8" t="str">
        <f t="shared" si="3"/>
        <v>1</v>
      </c>
      <c r="H414" s="9">
        <f t="shared" si="4"/>
        <v>1</v>
      </c>
      <c r="I414" s="10">
        <f>IFERROR(__xludf.DUMMYFUNCTION("MAX(FILTER($H:$H,$E:$E=F414))"),0.0)</f>
        <v>0</v>
      </c>
    </row>
    <row r="415">
      <c r="A415" s="4"/>
      <c r="C415" s="4" t="s">
        <v>2655</v>
      </c>
      <c r="D415" s="4" t="str">
        <f t="shared" si="1"/>
        <v>{"valorA":"preço","valorB":1}</v>
      </c>
      <c r="E415" s="8" t="str">
        <f t="shared" si="2"/>
        <v>preço</v>
      </c>
      <c r="F415" s="8"/>
      <c r="G415" s="8" t="str">
        <f t="shared" si="3"/>
        <v>1</v>
      </c>
      <c r="H415" s="9">
        <f t="shared" si="4"/>
        <v>1</v>
      </c>
      <c r="I415" s="10">
        <f>IFERROR(__xludf.DUMMYFUNCTION("MAX(FILTER($H:$H,$E:$E=F415))"),0.0)</f>
        <v>0</v>
      </c>
    </row>
    <row r="416">
      <c r="A416" s="4"/>
      <c r="C416" s="4" t="s">
        <v>2866</v>
      </c>
      <c r="D416" s="4" t="str">
        <f t="shared" si="1"/>
        <v>{"valorA":"ótimo","valorB":34}</v>
      </c>
      <c r="E416" s="8" t="str">
        <f t="shared" si="2"/>
        <v>ótimo</v>
      </c>
      <c r="F416" s="8"/>
      <c r="G416" s="8" t="str">
        <f t="shared" si="3"/>
        <v>34</v>
      </c>
      <c r="H416" s="9">
        <f t="shared" si="4"/>
        <v>34</v>
      </c>
      <c r="I416" s="10">
        <f>IFERROR(__xludf.DUMMYFUNCTION("MAX(FILTER($H:$H,$E:$E=F416))"),0.0)</f>
        <v>0</v>
      </c>
    </row>
    <row r="417">
      <c r="A417" s="4"/>
      <c r="C417" s="4" t="s">
        <v>3486</v>
      </c>
      <c r="D417" s="4" t="str">
        <f t="shared" si="1"/>
        <v>{"valorA":"de","valorB":19}</v>
      </c>
      <c r="E417" s="8" t="str">
        <f t="shared" si="2"/>
        <v>de</v>
      </c>
      <c r="F417" s="8"/>
      <c r="G417" s="8" t="str">
        <f t="shared" si="3"/>
        <v>19</v>
      </c>
      <c r="H417" s="9">
        <f t="shared" si="4"/>
        <v>19</v>
      </c>
      <c r="I417" s="10">
        <f>IFERROR(__xludf.DUMMYFUNCTION("MAX(FILTER($H:$H,$E:$E=F417))"),0.0)</f>
        <v>0</v>
      </c>
    </row>
    <row r="418">
      <c r="A418" s="4"/>
      <c r="C418" s="4" t="s">
        <v>3499</v>
      </c>
      <c r="D418" s="4" t="str">
        <f t="shared" si="1"/>
        <v>{"valorA":"lavadora","valorB":2}</v>
      </c>
      <c r="E418" s="8" t="str">
        <f t="shared" si="2"/>
        <v>lavadora</v>
      </c>
      <c r="F418" s="8"/>
      <c r="G418" s="8" t="str">
        <f t="shared" si="3"/>
        <v>2</v>
      </c>
      <c r="H418" s="9">
        <f t="shared" si="4"/>
        <v>2</v>
      </c>
      <c r="I418" s="10">
        <f>IFERROR(__xludf.DUMMYFUNCTION("MAX(FILTER($H:$H,$E:$E=F418))"),0.0)</f>
        <v>0</v>
      </c>
    </row>
    <row r="419">
      <c r="A419" s="4"/>
      <c r="C419" s="4" t="s">
        <v>2764</v>
      </c>
      <c r="D419" s="4" t="str">
        <f t="shared" si="1"/>
        <v>{"valorA":"perfeitamente","valorB":5}</v>
      </c>
      <c r="E419" s="8" t="str">
        <f t="shared" si="2"/>
        <v>perfeitamente</v>
      </c>
      <c r="F419" s="8"/>
      <c r="G419" s="8" t="str">
        <f t="shared" si="3"/>
        <v>5</v>
      </c>
      <c r="H419" s="9">
        <f t="shared" si="4"/>
        <v>5</v>
      </c>
      <c r="I419" s="10">
        <f>IFERROR(__xludf.DUMMYFUNCTION("MAX(FILTER($H:$H,$E:$E=F419))"),0.0)</f>
        <v>0</v>
      </c>
    </row>
    <row r="420">
      <c r="A420" s="4"/>
      <c r="C420" s="4" t="s">
        <v>3341</v>
      </c>
      <c r="D420" s="4" t="str">
        <f t="shared" si="1"/>
        <v>{"valorA":"coment","valorB":1}</v>
      </c>
      <c r="E420" s="8" t="str">
        <f t="shared" si="2"/>
        <v>coment</v>
      </c>
      <c r="F420" s="8"/>
      <c r="G420" s="8" t="str">
        <f t="shared" si="3"/>
        <v>1</v>
      </c>
      <c r="H420" s="9">
        <f t="shared" si="4"/>
        <v>1</v>
      </c>
      <c r="I420" s="10">
        <f>IFERROR(__xludf.DUMMYFUNCTION("MAX(FILTER($H:$H,$E:$E=F420))"),0.0)</f>
        <v>0</v>
      </c>
    </row>
    <row r="421">
      <c r="A421" s="4"/>
      <c r="C421" s="4" t="s">
        <v>3052</v>
      </c>
      <c r="D421" s="4" t="str">
        <f t="shared" si="1"/>
        <v>{"valorA":"usar","valorB":4}</v>
      </c>
      <c r="E421" s="8" t="str">
        <f t="shared" si="2"/>
        <v>usar</v>
      </c>
      <c r="F421" s="8"/>
      <c r="G421" s="8" t="str">
        <f t="shared" si="3"/>
        <v>4</v>
      </c>
      <c r="H421" s="9">
        <f t="shared" si="4"/>
        <v>4</v>
      </c>
      <c r="I421" s="10">
        <f>IFERROR(__xludf.DUMMYFUNCTION("MAX(FILTER($H:$H,$E:$E=F421))"),0.0)</f>
        <v>0</v>
      </c>
    </row>
    <row r="422">
      <c r="A422" s="4"/>
      <c r="C422" s="4" t="s">
        <v>3211</v>
      </c>
      <c r="D422" s="4" t="str">
        <f t="shared" si="1"/>
        <v>{"valorA":"funciona","valorB":11}</v>
      </c>
      <c r="E422" s="8" t="str">
        <f t="shared" si="2"/>
        <v>funciona</v>
      </c>
      <c r="F422" s="8"/>
      <c r="G422" s="8" t="str">
        <f t="shared" si="3"/>
        <v>11</v>
      </c>
      <c r="H422" s="9">
        <f t="shared" si="4"/>
        <v>11</v>
      </c>
      <c r="I422" s="10">
        <f>IFERROR(__xludf.DUMMYFUNCTION("MAX(FILTER($H:$H,$E:$E=F422))"),0.0)</f>
        <v>0</v>
      </c>
    </row>
    <row r="423">
      <c r="A423" s="4"/>
      <c r="C423" s="4" t="s">
        <v>3391</v>
      </c>
      <c r="D423" s="4" t="str">
        <f t="shared" si="1"/>
        <v>{"valorA":"momento","valorB":1}</v>
      </c>
      <c r="E423" s="8" t="str">
        <f t="shared" si="2"/>
        <v>momento</v>
      </c>
      <c r="F423" s="8"/>
      <c r="G423" s="8" t="str">
        <f t="shared" si="3"/>
        <v>1</v>
      </c>
      <c r="H423" s="9">
        <f t="shared" si="4"/>
        <v>1</v>
      </c>
      <c r="I423" s="10">
        <f>IFERROR(__xludf.DUMMYFUNCTION("MAX(FILTER($H:$H,$E:$E=F423))"),0.0)</f>
        <v>0</v>
      </c>
    </row>
    <row r="424">
      <c r="A424" s="4"/>
      <c r="C424" s="4" t="s">
        <v>2741</v>
      </c>
      <c r="D424" s="4" t="str">
        <f t="shared" si="1"/>
        <v>{"valorA":"fácil","valorB":3}</v>
      </c>
      <c r="E424" s="8" t="str">
        <f t="shared" si="2"/>
        <v>fácil</v>
      </c>
      <c r="F424" s="8"/>
      <c r="G424" s="8" t="str">
        <f t="shared" si="3"/>
        <v>3</v>
      </c>
      <c r="H424" s="9">
        <f t="shared" si="4"/>
        <v>3</v>
      </c>
      <c r="I424" s="10">
        <f>IFERROR(__xludf.DUMMYFUNCTION("MAX(FILTER($H:$H,$E:$E=F424))"),0.0)</f>
        <v>0</v>
      </c>
    </row>
    <row r="425">
      <c r="A425" s="4"/>
      <c r="C425" s="4" t="s">
        <v>2750</v>
      </c>
      <c r="D425" s="4" t="str">
        <f t="shared" si="1"/>
        <v>{"valorA":"e","valorB":6}</v>
      </c>
      <c r="E425" s="8" t="str">
        <f t="shared" si="2"/>
        <v>e</v>
      </c>
      <c r="F425" s="8"/>
      <c r="G425" s="8" t="str">
        <f t="shared" si="3"/>
        <v>6</v>
      </c>
      <c r="H425" s="9">
        <f t="shared" si="4"/>
        <v>6</v>
      </c>
      <c r="I425" s="10">
        <f>IFERROR(__xludf.DUMMYFUNCTION("MAX(FILTER($H:$H,$E:$E=F425))"),0.0)</f>
        <v>0</v>
      </c>
    </row>
    <row r="426">
      <c r="A426" s="4"/>
      <c r="C426" s="4" t="s">
        <v>12595</v>
      </c>
      <c r="D426" s="4" t="str">
        <f t="shared" si="1"/>
        <v>{"valorA":"o","valorB":16}</v>
      </c>
      <c r="E426" s="8" t="str">
        <f t="shared" si="2"/>
        <v>o</v>
      </c>
      <c r="F426" s="8"/>
      <c r="G426" s="8" t="str">
        <f t="shared" si="3"/>
        <v>16</v>
      </c>
      <c r="H426" s="9">
        <f t="shared" si="4"/>
        <v>16</v>
      </c>
      <c r="I426" s="10">
        <f>IFERROR(__xludf.DUMMYFUNCTION("MAX(FILTER($H:$H,$E:$E=F426))"),0.0)</f>
        <v>0</v>
      </c>
    </row>
    <row r="427">
      <c r="A427" s="4"/>
      <c r="C427" s="4" t="s">
        <v>3896</v>
      </c>
      <c r="D427" s="4" t="str">
        <f t="shared" si="1"/>
        <v>{"valorA":"desde","valorB":3}</v>
      </c>
      <c r="E427" s="8" t="str">
        <f t="shared" si="2"/>
        <v>desde</v>
      </c>
      <c r="F427" s="8"/>
      <c r="G427" s="8" t="str">
        <f t="shared" si="3"/>
        <v>3</v>
      </c>
      <c r="H427" s="9">
        <f t="shared" si="4"/>
        <v>3</v>
      </c>
      <c r="I427" s="10">
        <f>IFERROR(__xludf.DUMMYFUNCTION("MAX(FILTER($H:$H,$E:$E=F427))"),0.0)</f>
        <v>0</v>
      </c>
    </row>
    <row r="428">
      <c r="A428" s="4"/>
      <c r="C428" s="4" t="s">
        <v>3951</v>
      </c>
      <c r="D428" s="4" t="str">
        <f t="shared" si="1"/>
        <v>{"valorA":"primeiro","valorB":1}</v>
      </c>
      <c r="E428" s="8" t="str">
        <f t="shared" si="2"/>
        <v>primeiro</v>
      </c>
      <c r="F428" s="8"/>
      <c r="G428" s="8" t="str">
        <f t="shared" si="3"/>
        <v>1</v>
      </c>
      <c r="H428" s="9">
        <f t="shared" si="4"/>
        <v>1</v>
      </c>
      <c r="I428" s="10">
        <f>IFERROR(__xludf.DUMMYFUNCTION("MAX(FILTER($H:$H,$E:$E=F428))"),0.0)</f>
        <v>0</v>
      </c>
    </row>
    <row r="429">
      <c r="A429" s="4"/>
      <c r="C429" s="4"/>
      <c r="D429" s="4" t="str">
        <f t="shared" si="1"/>
        <v/>
      </c>
      <c r="E429" s="8"/>
      <c r="F429" s="8"/>
      <c r="G429" s="8"/>
      <c r="H429" s="9"/>
    </row>
    <row r="430">
      <c r="A430" s="4"/>
      <c r="C430" s="4"/>
      <c r="D430" s="4" t="str">
        <f t="shared" si="1"/>
        <v/>
      </c>
      <c r="E430" s="8"/>
      <c r="F430" s="8"/>
      <c r="G430" s="8"/>
      <c r="H430" s="9"/>
    </row>
    <row r="431">
      <c r="A431" s="4"/>
      <c r="C431" s="4"/>
      <c r="D431" s="4" t="str">
        <f t="shared" si="1"/>
        <v/>
      </c>
      <c r="E431" s="8"/>
      <c r="F431" s="8"/>
      <c r="G431" s="8"/>
      <c r="H431" s="9"/>
    </row>
    <row r="432">
      <c r="A432" s="4"/>
      <c r="C432" s="4"/>
      <c r="D432" s="4" t="str">
        <f t="shared" si="1"/>
        <v/>
      </c>
      <c r="E432" s="8"/>
      <c r="F432" s="8"/>
      <c r="G432" s="8"/>
      <c r="H432" s="9"/>
    </row>
    <row r="433">
      <c r="A433" s="4"/>
      <c r="C433" s="4"/>
      <c r="D433" s="4" t="str">
        <f t="shared" si="1"/>
        <v/>
      </c>
      <c r="E433" s="8"/>
      <c r="F433" s="8"/>
      <c r="G433" s="8"/>
      <c r="H433" s="9"/>
    </row>
    <row r="434">
      <c r="A434" s="4"/>
      <c r="C434" s="4"/>
      <c r="D434" s="4" t="str">
        <f t="shared" si="1"/>
        <v/>
      </c>
      <c r="E434" s="8"/>
      <c r="F434" s="8"/>
      <c r="G434" s="8"/>
      <c r="H434" s="9"/>
    </row>
    <row r="435">
      <c r="A435" s="4"/>
      <c r="C435" s="4"/>
      <c r="D435" s="4" t="str">
        <f t="shared" si="1"/>
        <v/>
      </c>
      <c r="E435" s="8"/>
      <c r="F435" s="8"/>
      <c r="G435" s="8"/>
      <c r="H435" s="9"/>
    </row>
    <row r="436">
      <c r="A436" s="4"/>
      <c r="C436" s="4"/>
      <c r="D436" s="4" t="str">
        <f t="shared" si="1"/>
        <v/>
      </c>
      <c r="E436" s="8"/>
      <c r="F436" s="8"/>
      <c r="G436" s="8"/>
      <c r="H436" s="9"/>
    </row>
    <row r="437">
      <c r="A437" s="4"/>
      <c r="C437" s="4"/>
      <c r="D437" s="4" t="str">
        <f t="shared" si="1"/>
        <v/>
      </c>
      <c r="E437" s="8"/>
      <c r="F437" s="8"/>
      <c r="G437" s="8"/>
      <c r="H437" s="9"/>
    </row>
    <row r="438">
      <c r="A438" s="4"/>
      <c r="C438" s="4"/>
      <c r="D438" s="4" t="str">
        <f t="shared" si="1"/>
        <v/>
      </c>
      <c r="E438" s="8"/>
      <c r="F438" s="8"/>
      <c r="G438" s="8"/>
      <c r="H438" s="9"/>
    </row>
    <row r="439">
      <c r="A439" s="4"/>
      <c r="C439" s="4"/>
      <c r="D439" s="4" t="str">
        <f t="shared" si="1"/>
        <v/>
      </c>
      <c r="E439" s="8"/>
      <c r="F439" s="8"/>
      <c r="G439" s="8"/>
      <c r="H439" s="9"/>
    </row>
    <row r="440">
      <c r="A440" s="4"/>
      <c r="C440" s="4"/>
      <c r="D440" s="4" t="str">
        <f t="shared" si="1"/>
        <v/>
      </c>
      <c r="E440" s="8"/>
      <c r="F440" s="8"/>
      <c r="G440" s="8"/>
      <c r="H440" s="9"/>
    </row>
    <row r="441">
      <c r="A441" s="4"/>
      <c r="C441" s="4"/>
      <c r="D441" s="4" t="str">
        <f t="shared" si="1"/>
        <v/>
      </c>
      <c r="E441" s="8"/>
      <c r="F441" s="8"/>
      <c r="G441" s="8"/>
      <c r="H441" s="9"/>
    </row>
    <row r="442">
      <c r="A442" s="4"/>
      <c r="C442" s="4"/>
      <c r="D442" s="4" t="str">
        <f t="shared" si="1"/>
        <v/>
      </c>
      <c r="E442" s="8"/>
      <c r="F442" s="8"/>
      <c r="G442" s="8"/>
      <c r="H442" s="9"/>
    </row>
    <row r="443">
      <c r="A443" s="4"/>
      <c r="C443" s="4"/>
      <c r="D443" s="4" t="str">
        <f t="shared" si="1"/>
        <v/>
      </c>
      <c r="E443" s="8"/>
      <c r="F443" s="8"/>
      <c r="G443" s="8"/>
      <c r="H443" s="9"/>
    </row>
    <row r="444">
      <c r="A444" s="4"/>
      <c r="C444" s="4"/>
      <c r="D444" s="4" t="str">
        <f t="shared" si="1"/>
        <v/>
      </c>
      <c r="E444" s="8"/>
      <c r="F444" s="8"/>
      <c r="G444" s="8"/>
      <c r="H444" s="9"/>
    </row>
    <row r="445">
      <c r="A445" s="4"/>
      <c r="C445" s="4"/>
      <c r="D445" s="4" t="str">
        <f t="shared" si="1"/>
        <v/>
      </c>
      <c r="E445" s="8"/>
      <c r="F445" s="8"/>
      <c r="G445" s="8"/>
      <c r="H445" s="9"/>
    </row>
    <row r="446">
      <c r="A446" s="4"/>
      <c r="C446" s="4"/>
      <c r="D446" s="4" t="str">
        <f t="shared" si="1"/>
        <v/>
      </c>
      <c r="E446" s="8"/>
      <c r="F446" s="8"/>
      <c r="G446" s="8"/>
      <c r="H446" s="9"/>
    </row>
    <row r="447">
      <c r="A447" s="4"/>
      <c r="C447" s="4"/>
      <c r="D447" s="4" t="str">
        <f t="shared" si="1"/>
        <v/>
      </c>
      <c r="E447" s="8"/>
      <c r="F447" s="8"/>
      <c r="G447" s="8"/>
      <c r="H447" s="9"/>
    </row>
    <row r="448">
      <c r="A448" s="4"/>
      <c r="C448" s="4"/>
      <c r="D448" s="4" t="str">
        <f t="shared" si="1"/>
        <v/>
      </c>
      <c r="E448" s="8"/>
      <c r="F448" s="8"/>
      <c r="G448" s="8"/>
      <c r="H448" s="9"/>
    </row>
    <row r="449">
      <c r="A449" s="4"/>
      <c r="C449" s="4"/>
      <c r="D449" s="4" t="str">
        <f t="shared" si="1"/>
        <v/>
      </c>
      <c r="E449" s="8"/>
      <c r="F449" s="8"/>
      <c r="G449" s="8"/>
      <c r="H449" s="9"/>
    </row>
    <row r="450">
      <c r="A450" s="4"/>
      <c r="C450" s="4"/>
      <c r="D450" s="4" t="str">
        <f t="shared" si="1"/>
        <v/>
      </c>
      <c r="E450" s="8"/>
      <c r="F450" s="8"/>
      <c r="G450" s="8"/>
      <c r="H450" s="9"/>
    </row>
    <row r="451">
      <c r="A451" s="4"/>
      <c r="C451" s="4"/>
      <c r="D451" s="4" t="str">
        <f t="shared" si="1"/>
        <v/>
      </c>
      <c r="E451" s="8"/>
      <c r="F451" s="8"/>
      <c r="G451" s="8"/>
      <c r="H451" s="9"/>
    </row>
    <row r="452">
      <c r="A452" s="4"/>
      <c r="C452" s="4"/>
      <c r="D452" s="4" t="str">
        <f t="shared" si="1"/>
        <v/>
      </c>
      <c r="E452" s="8"/>
      <c r="F452" s="8"/>
      <c r="G452" s="8"/>
      <c r="H452" s="9"/>
    </row>
    <row r="453">
      <c r="A453" s="4"/>
      <c r="C453" s="4"/>
      <c r="D453" s="4" t="str">
        <f t="shared" si="1"/>
        <v/>
      </c>
      <c r="E453" s="8"/>
      <c r="F453" s="8"/>
      <c r="G453" s="8"/>
      <c r="H453" s="9"/>
    </row>
    <row r="454">
      <c r="A454" s="4"/>
      <c r="C454" s="4"/>
      <c r="D454" s="4" t="str">
        <f t="shared" si="1"/>
        <v/>
      </c>
      <c r="E454" s="8"/>
      <c r="F454" s="8"/>
      <c r="G454" s="8"/>
      <c r="H454" s="9"/>
    </row>
    <row r="455">
      <c r="A455" s="4"/>
      <c r="C455" s="4"/>
      <c r="D455" s="4" t="str">
        <f t="shared" si="1"/>
        <v/>
      </c>
      <c r="E455" s="8"/>
      <c r="F455" s="8"/>
      <c r="G455" s="8"/>
      <c r="H455" s="9"/>
    </row>
    <row r="456">
      <c r="A456" s="4"/>
      <c r="C456" s="4"/>
      <c r="D456" s="4" t="str">
        <f t="shared" si="1"/>
        <v/>
      </c>
      <c r="E456" s="8"/>
      <c r="F456" s="8"/>
      <c r="G456" s="8"/>
      <c r="H456" s="9"/>
    </row>
    <row r="457">
      <c r="A457" s="4"/>
      <c r="C457" s="4"/>
      <c r="D457" s="4" t="str">
        <f t="shared" si="1"/>
        <v/>
      </c>
      <c r="E457" s="8"/>
      <c r="F457" s="8"/>
      <c r="G457" s="8"/>
      <c r="H457" s="9"/>
    </row>
    <row r="458">
      <c r="A458" s="4"/>
      <c r="C458" s="4"/>
      <c r="D458" s="4" t="str">
        <f t="shared" si="1"/>
        <v/>
      </c>
      <c r="E458" s="8"/>
      <c r="F458" s="8"/>
      <c r="G458" s="8"/>
      <c r="H458" s="9"/>
    </row>
    <row r="459">
      <c r="A459" s="4"/>
      <c r="C459" s="4"/>
      <c r="D459" s="4" t="str">
        <f t="shared" si="1"/>
        <v/>
      </c>
      <c r="E459" s="8"/>
      <c r="F459" s="8"/>
      <c r="G459" s="8"/>
      <c r="H459" s="9"/>
    </row>
    <row r="460">
      <c r="A460" s="4"/>
      <c r="C460" s="4"/>
      <c r="D460" s="4" t="str">
        <f t="shared" si="1"/>
        <v/>
      </c>
      <c r="E460" s="8"/>
      <c r="F460" s="8"/>
      <c r="G460" s="8"/>
      <c r="H460" s="9"/>
    </row>
    <row r="461">
      <c r="A461" s="4"/>
      <c r="C461" s="4"/>
      <c r="D461" s="4" t="str">
        <f t="shared" si="1"/>
        <v/>
      </c>
      <c r="E461" s="8"/>
      <c r="F461" s="8"/>
      <c r="G461" s="8"/>
      <c r="H461" s="9"/>
    </row>
    <row r="462">
      <c r="A462" s="4"/>
      <c r="C462" s="4"/>
      <c r="D462" s="4" t="str">
        <f t="shared" si="1"/>
        <v/>
      </c>
      <c r="E462" s="8"/>
      <c r="F462" s="8"/>
      <c r="G462" s="8"/>
      <c r="H462" s="9"/>
    </row>
    <row r="463">
      <c r="A463" s="4"/>
      <c r="C463" s="4"/>
      <c r="D463" s="4" t="str">
        <f t="shared" si="1"/>
        <v/>
      </c>
      <c r="E463" s="8"/>
      <c r="F463" s="8"/>
      <c r="G463" s="8"/>
      <c r="H463" s="9"/>
    </row>
    <row r="464">
      <c r="A464" s="4"/>
      <c r="C464" s="4"/>
      <c r="D464" s="4" t="str">
        <f t="shared" si="1"/>
        <v/>
      </c>
      <c r="E464" s="8"/>
      <c r="F464" s="8"/>
      <c r="G464" s="8"/>
      <c r="H464" s="9"/>
    </row>
    <row r="465">
      <c r="A465" s="4"/>
      <c r="C465" s="4"/>
      <c r="D465" s="4" t="str">
        <f t="shared" si="1"/>
        <v/>
      </c>
      <c r="E465" s="8"/>
      <c r="F465" s="8"/>
      <c r="G465" s="8"/>
      <c r="H465" s="9"/>
    </row>
    <row r="466">
      <c r="A466" s="4"/>
      <c r="C466" s="4"/>
      <c r="D466" s="4" t="str">
        <f t="shared" si="1"/>
        <v/>
      </c>
      <c r="E466" s="8"/>
      <c r="F466" s="8"/>
      <c r="G466" s="8"/>
      <c r="H466" s="9"/>
    </row>
    <row r="467">
      <c r="A467" s="4"/>
      <c r="C467" s="4"/>
      <c r="D467" s="4" t="str">
        <f t="shared" si="1"/>
        <v/>
      </c>
      <c r="E467" s="8"/>
      <c r="F467" s="8"/>
      <c r="G467" s="8"/>
      <c r="H467" s="9"/>
    </row>
    <row r="468">
      <c r="A468" s="4"/>
      <c r="C468" s="4"/>
      <c r="D468" s="4" t="str">
        <f t="shared" si="1"/>
        <v/>
      </c>
      <c r="E468" s="8"/>
      <c r="F468" s="8"/>
      <c r="G468" s="8"/>
      <c r="H468" s="9"/>
    </row>
    <row r="469">
      <c r="A469" s="4"/>
      <c r="C469" s="4"/>
      <c r="D469" s="4" t="str">
        <f t="shared" si="1"/>
        <v/>
      </c>
      <c r="E469" s="8"/>
      <c r="F469" s="8"/>
      <c r="G469" s="8"/>
      <c r="H469" s="9"/>
    </row>
    <row r="470">
      <c r="A470" s="4"/>
      <c r="C470" s="4"/>
      <c r="D470" s="4" t="str">
        <f t="shared" si="1"/>
        <v/>
      </c>
      <c r="E470" s="8"/>
      <c r="F470" s="8"/>
      <c r="G470" s="8"/>
      <c r="H470" s="9"/>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 t="s">
        <v>32</v>
      </c>
      <c r="B1" s="7" t="s">
        <v>8667</v>
      </c>
      <c r="C1" s="5" t="s">
        <v>8668</v>
      </c>
      <c r="D1" s="5" t="s">
        <v>8669</v>
      </c>
      <c r="F1" s="5"/>
      <c r="G1" s="22" t="s">
        <v>8670</v>
      </c>
      <c r="H1" s="23"/>
      <c r="J1" s="22" t="s">
        <v>8671</v>
      </c>
      <c r="K1" s="23"/>
      <c r="M1" s="22" t="s">
        <v>8672</v>
      </c>
      <c r="N1" s="23"/>
    </row>
    <row r="2">
      <c r="A2" s="4" t="s">
        <v>12596</v>
      </c>
      <c r="B2" s="10">
        <f t="shared" ref="B2:B428" si="1">VALUE(SUBSTITUTE(MID(A2,FIND("CPU usage is:",A2)+13,FIND("RAM memory",A2)-FIND("CPU usage is:",A2)-13),".",","))</f>
        <v>33.3</v>
      </c>
      <c r="C2" s="6">
        <f t="shared" ref="C2:C428" si="2">VALUE(SUBSTITUTE(SUBSTITUTE(MID(A2,FIND("RAM memory % used:",A2)+18,9),"RAM",""),".",","))</f>
        <v>97.6</v>
      </c>
      <c r="D2" s="6">
        <f t="shared" ref="D2:D428" si="3">VALUE(SUBSTITUTE(SUBSTITUTE(MID(A2,FIND("RAM Used (GB):",A2)+14,9),"RAM",""),".",","))</f>
        <v>16.639479</v>
      </c>
      <c r="G2" s="25" t="s">
        <v>4013</v>
      </c>
      <c r="H2" s="25" t="s">
        <v>4247</v>
      </c>
      <c r="J2" s="25" t="s">
        <v>4013</v>
      </c>
      <c r="K2" s="25" t="s">
        <v>4247</v>
      </c>
      <c r="M2" s="25" t="s">
        <v>4013</v>
      </c>
      <c r="N2" s="25" t="s">
        <v>4247</v>
      </c>
    </row>
    <row r="3">
      <c r="A3" s="4" t="s">
        <v>12597</v>
      </c>
      <c r="B3" s="10">
        <f t="shared" si="1"/>
        <v>0</v>
      </c>
      <c r="C3" s="6">
        <f t="shared" si="2"/>
        <v>97.7</v>
      </c>
      <c r="D3" s="6">
        <f t="shared" si="3"/>
        <v>16.645853</v>
      </c>
      <c r="G3" s="28">
        <f>AVERAGE(B2:B428)</f>
        <v>10.05854801</v>
      </c>
      <c r="H3" s="20">
        <f>STDEV(B2:B428)</f>
        <v>23.75209189</v>
      </c>
      <c r="J3" s="20">
        <f>AVERAGE(C2:C428)</f>
        <v>96.03583138</v>
      </c>
      <c r="K3" s="20">
        <f>STDEV(C2:C428)</f>
        <v>4.589532329</v>
      </c>
      <c r="M3" s="20">
        <f>AVERAGE(D2:D428)</f>
        <v>16.3653515</v>
      </c>
      <c r="N3" s="20">
        <f>STDEV(D2:D428)</f>
        <v>0.7818538037</v>
      </c>
    </row>
    <row r="4">
      <c r="A4" s="4" t="s">
        <v>12598</v>
      </c>
      <c r="B4" s="10">
        <f t="shared" si="1"/>
        <v>0</v>
      </c>
      <c r="C4" s="6">
        <f t="shared" si="2"/>
        <v>97.7</v>
      </c>
      <c r="D4" s="6">
        <f t="shared" si="3"/>
        <v>16.643411</v>
      </c>
    </row>
    <row r="5">
      <c r="A5" s="4" t="s">
        <v>12599</v>
      </c>
      <c r="B5" s="10">
        <f t="shared" si="1"/>
        <v>0</v>
      </c>
      <c r="C5" s="6">
        <f t="shared" si="2"/>
        <v>97.7</v>
      </c>
      <c r="D5" s="6">
        <f t="shared" si="3"/>
        <v>16.64344</v>
      </c>
    </row>
    <row r="6">
      <c r="A6" s="4" t="s">
        <v>12600</v>
      </c>
      <c r="B6" s="10">
        <f t="shared" si="1"/>
        <v>0</v>
      </c>
      <c r="C6" s="6">
        <f t="shared" si="2"/>
        <v>97.7</v>
      </c>
      <c r="D6" s="6">
        <f t="shared" si="3"/>
        <v>16.647376</v>
      </c>
    </row>
    <row r="7">
      <c r="A7" s="4" t="s">
        <v>12601</v>
      </c>
      <c r="B7" s="10">
        <f t="shared" si="1"/>
        <v>0</v>
      </c>
      <c r="C7" s="6">
        <f t="shared" si="2"/>
        <v>97.7</v>
      </c>
      <c r="D7" s="6">
        <f t="shared" si="3"/>
        <v>16.644493</v>
      </c>
    </row>
    <row r="8">
      <c r="A8" s="4" t="s">
        <v>12602</v>
      </c>
      <c r="B8" s="10">
        <f t="shared" si="1"/>
        <v>20</v>
      </c>
      <c r="C8" s="6">
        <f t="shared" si="2"/>
        <v>97.7</v>
      </c>
      <c r="D8" s="6">
        <f t="shared" si="3"/>
        <v>16.648364</v>
      </c>
    </row>
    <row r="9">
      <c r="A9" s="4" t="s">
        <v>12603</v>
      </c>
      <c r="B9" s="10">
        <f t="shared" si="1"/>
        <v>0</v>
      </c>
      <c r="C9" s="6">
        <f t="shared" si="2"/>
        <v>97.2</v>
      </c>
      <c r="D9" s="6">
        <f t="shared" si="3"/>
        <v>16.571789</v>
      </c>
    </row>
    <row r="10">
      <c r="A10" s="4" t="s">
        <v>12604</v>
      </c>
      <c r="B10" s="10">
        <f t="shared" si="1"/>
        <v>0</v>
      </c>
      <c r="C10" s="6">
        <f t="shared" si="2"/>
        <v>97.1</v>
      </c>
      <c r="D10" s="6">
        <f t="shared" si="3"/>
        <v>16.547061</v>
      </c>
    </row>
    <row r="11">
      <c r="A11" s="4" t="s">
        <v>12605</v>
      </c>
      <c r="B11" s="10">
        <f t="shared" si="1"/>
        <v>0</v>
      </c>
      <c r="C11" s="6">
        <f t="shared" si="2"/>
        <v>97.1</v>
      </c>
      <c r="D11" s="6">
        <f t="shared" si="3"/>
        <v>16.552542</v>
      </c>
    </row>
    <row r="12">
      <c r="A12" s="4" t="s">
        <v>12606</v>
      </c>
      <c r="B12" s="10">
        <f t="shared" si="1"/>
        <v>100</v>
      </c>
      <c r="C12" s="6">
        <f t="shared" si="2"/>
        <v>97.1</v>
      </c>
      <c r="D12" s="6">
        <f t="shared" si="3"/>
        <v>16.546115</v>
      </c>
    </row>
    <row r="13">
      <c r="A13" s="4" t="s">
        <v>12607</v>
      </c>
      <c r="B13" s="10">
        <f t="shared" si="1"/>
        <v>0</v>
      </c>
      <c r="C13" s="6">
        <f t="shared" si="2"/>
        <v>97.1</v>
      </c>
      <c r="D13" s="6">
        <f t="shared" si="3"/>
        <v>16.550662</v>
      </c>
    </row>
    <row r="14">
      <c r="A14" s="4" t="s">
        <v>12608</v>
      </c>
      <c r="B14" s="10">
        <f t="shared" si="1"/>
        <v>0</v>
      </c>
      <c r="C14" s="6">
        <f t="shared" si="2"/>
        <v>97.1</v>
      </c>
      <c r="D14" s="6">
        <f t="shared" si="3"/>
        <v>16.545202</v>
      </c>
    </row>
    <row r="15">
      <c r="A15" s="4" t="s">
        <v>12609</v>
      </c>
      <c r="B15" s="10">
        <f t="shared" si="1"/>
        <v>0</v>
      </c>
      <c r="C15" s="6">
        <f t="shared" si="2"/>
        <v>97</v>
      </c>
      <c r="D15" s="6">
        <f t="shared" si="3"/>
        <v>16.530239</v>
      </c>
    </row>
    <row r="16">
      <c r="A16" s="4" t="s">
        <v>12610</v>
      </c>
      <c r="B16" s="10">
        <f t="shared" si="1"/>
        <v>28.6</v>
      </c>
      <c r="C16" s="6">
        <f t="shared" si="2"/>
        <v>97</v>
      </c>
      <c r="D16" s="6">
        <f t="shared" si="3"/>
        <v>16.529301</v>
      </c>
    </row>
    <row r="17">
      <c r="A17" s="4" t="s">
        <v>12611</v>
      </c>
      <c r="B17" s="10">
        <f t="shared" si="1"/>
        <v>0</v>
      </c>
      <c r="C17" s="6">
        <f t="shared" si="2"/>
        <v>97.2</v>
      </c>
      <c r="D17" s="6">
        <f t="shared" si="3"/>
        <v>16.556126</v>
      </c>
    </row>
    <row r="18">
      <c r="A18" s="4" t="s">
        <v>12612</v>
      </c>
      <c r="B18" s="10">
        <f t="shared" si="1"/>
        <v>0</v>
      </c>
      <c r="C18" s="6">
        <f t="shared" si="2"/>
        <v>97.1</v>
      </c>
      <c r="D18" s="6">
        <f t="shared" si="3"/>
        <v>16.555192</v>
      </c>
    </row>
    <row r="19">
      <c r="A19" s="4" t="s">
        <v>12613</v>
      </c>
      <c r="B19" s="10">
        <f t="shared" si="1"/>
        <v>0</v>
      </c>
      <c r="C19" s="6">
        <f t="shared" si="2"/>
        <v>97.1</v>
      </c>
      <c r="D19" s="6">
        <f t="shared" si="3"/>
        <v>16.554893</v>
      </c>
    </row>
    <row r="20">
      <c r="A20" s="4" t="s">
        <v>12614</v>
      </c>
      <c r="B20" s="10">
        <f t="shared" si="1"/>
        <v>0</v>
      </c>
      <c r="C20" s="6">
        <f t="shared" si="2"/>
        <v>97.1</v>
      </c>
      <c r="D20" s="6">
        <f t="shared" si="3"/>
        <v>16.554311</v>
      </c>
    </row>
    <row r="21">
      <c r="A21" s="4" t="s">
        <v>12615</v>
      </c>
      <c r="B21" s="10">
        <f t="shared" si="1"/>
        <v>0</v>
      </c>
      <c r="C21" s="6">
        <f t="shared" si="2"/>
        <v>97.2</v>
      </c>
      <c r="D21" s="6">
        <f t="shared" si="3"/>
        <v>16.565383</v>
      </c>
    </row>
    <row r="22">
      <c r="A22" s="4" t="s">
        <v>12616</v>
      </c>
      <c r="B22" s="10">
        <f t="shared" si="1"/>
        <v>0</v>
      </c>
      <c r="C22" s="6">
        <f t="shared" si="2"/>
        <v>96.8</v>
      </c>
      <c r="D22" s="6">
        <f t="shared" si="3"/>
        <v>16.49317</v>
      </c>
    </row>
    <row r="23">
      <c r="A23" s="4" t="s">
        <v>12617</v>
      </c>
      <c r="B23" s="10">
        <f t="shared" si="1"/>
        <v>0</v>
      </c>
      <c r="C23" s="6">
        <f t="shared" si="2"/>
        <v>96.8</v>
      </c>
      <c r="D23" s="6">
        <f t="shared" si="3"/>
        <v>16.497975</v>
      </c>
    </row>
    <row r="24">
      <c r="A24" s="4" t="s">
        <v>12618</v>
      </c>
      <c r="B24" s="10">
        <f t="shared" si="1"/>
        <v>0</v>
      </c>
      <c r="C24" s="6">
        <f t="shared" si="2"/>
        <v>96.8</v>
      </c>
      <c r="D24" s="6">
        <f t="shared" si="3"/>
        <v>16.501837</v>
      </c>
    </row>
    <row r="25">
      <c r="A25" s="4" t="s">
        <v>12619</v>
      </c>
      <c r="B25" s="10">
        <f t="shared" si="1"/>
        <v>33.3</v>
      </c>
      <c r="C25" s="6">
        <f t="shared" si="2"/>
        <v>96.8</v>
      </c>
      <c r="D25" s="6">
        <f t="shared" si="3"/>
        <v>16.501866</v>
      </c>
    </row>
    <row r="26">
      <c r="A26" s="4" t="s">
        <v>12620</v>
      </c>
      <c r="B26" s="10">
        <f t="shared" si="1"/>
        <v>0</v>
      </c>
      <c r="C26" s="6">
        <f t="shared" si="2"/>
        <v>96.7</v>
      </c>
      <c r="D26" s="6">
        <f t="shared" si="3"/>
        <v>16.478117</v>
      </c>
    </row>
    <row r="27">
      <c r="A27" s="4" t="s">
        <v>12621</v>
      </c>
      <c r="B27" s="10">
        <f t="shared" si="1"/>
        <v>0</v>
      </c>
      <c r="C27" s="6">
        <f t="shared" si="2"/>
        <v>96.7</v>
      </c>
      <c r="D27" s="6">
        <f t="shared" si="3"/>
        <v>16.474984</v>
      </c>
    </row>
    <row r="28">
      <c r="A28" s="4" t="s">
        <v>12622</v>
      </c>
      <c r="B28" s="10">
        <f t="shared" si="1"/>
        <v>0</v>
      </c>
      <c r="C28" s="6">
        <f t="shared" si="2"/>
        <v>96.7</v>
      </c>
      <c r="D28" s="6">
        <f t="shared" si="3"/>
        <v>16.473595</v>
      </c>
    </row>
    <row r="29">
      <c r="A29" s="4" t="s">
        <v>12623</v>
      </c>
      <c r="B29" s="10">
        <f t="shared" si="1"/>
        <v>0</v>
      </c>
      <c r="C29" s="6">
        <f t="shared" si="2"/>
        <v>96.7</v>
      </c>
      <c r="D29" s="6">
        <f t="shared" si="3"/>
        <v>16.470814</v>
      </c>
    </row>
    <row r="30">
      <c r="A30" s="4" t="s">
        <v>12624</v>
      </c>
      <c r="B30" s="10">
        <f t="shared" si="1"/>
        <v>0</v>
      </c>
      <c r="C30" s="6">
        <f t="shared" si="2"/>
        <v>96.6</v>
      </c>
      <c r="D30" s="6">
        <f t="shared" si="3"/>
        <v>16.46959</v>
      </c>
    </row>
    <row r="31">
      <c r="A31" s="4" t="s">
        <v>12625</v>
      </c>
      <c r="B31" s="10">
        <f t="shared" si="1"/>
        <v>40</v>
      </c>
      <c r="C31" s="6">
        <f t="shared" si="2"/>
        <v>96.6</v>
      </c>
      <c r="D31" s="6">
        <f t="shared" si="3"/>
        <v>16.467562</v>
      </c>
    </row>
    <row r="32">
      <c r="A32" s="4" t="s">
        <v>12626</v>
      </c>
      <c r="B32" s="10">
        <f t="shared" si="1"/>
        <v>33.3</v>
      </c>
      <c r="C32" s="6">
        <f t="shared" si="2"/>
        <v>96.7</v>
      </c>
      <c r="D32" s="6">
        <f t="shared" si="3"/>
        <v>16.473702</v>
      </c>
    </row>
    <row r="33">
      <c r="A33" s="4" t="s">
        <v>12627</v>
      </c>
      <c r="B33" s="10">
        <f t="shared" si="1"/>
        <v>0</v>
      </c>
      <c r="C33" s="6">
        <f t="shared" si="2"/>
        <v>96.7</v>
      </c>
      <c r="D33" s="6">
        <f t="shared" si="3"/>
        <v>16.478728</v>
      </c>
    </row>
    <row r="34">
      <c r="A34" s="4" t="s">
        <v>12628</v>
      </c>
      <c r="B34" s="10">
        <f t="shared" si="1"/>
        <v>0</v>
      </c>
      <c r="C34" s="6">
        <f t="shared" si="2"/>
        <v>96.7</v>
      </c>
      <c r="D34" s="6">
        <f t="shared" si="3"/>
        <v>16.477138</v>
      </c>
    </row>
    <row r="35">
      <c r="A35" s="4" t="s">
        <v>12629</v>
      </c>
      <c r="B35" s="10">
        <f t="shared" si="1"/>
        <v>0</v>
      </c>
      <c r="C35" s="6">
        <f t="shared" si="2"/>
        <v>96.7</v>
      </c>
      <c r="D35" s="6">
        <f t="shared" si="3"/>
        <v>16.474873</v>
      </c>
    </row>
    <row r="36">
      <c r="A36" s="4" t="s">
        <v>12630</v>
      </c>
      <c r="B36" s="10">
        <f t="shared" si="1"/>
        <v>0</v>
      </c>
      <c r="C36" s="6">
        <f t="shared" si="2"/>
        <v>96.6</v>
      </c>
      <c r="D36" s="6">
        <f t="shared" si="3"/>
        <v>16.460898</v>
      </c>
    </row>
    <row r="37">
      <c r="A37" s="4" t="s">
        <v>12631</v>
      </c>
      <c r="B37" s="10">
        <f t="shared" si="1"/>
        <v>0</v>
      </c>
      <c r="C37" s="6">
        <f t="shared" si="2"/>
        <v>96.6</v>
      </c>
      <c r="D37" s="6">
        <f t="shared" si="3"/>
        <v>16.459993</v>
      </c>
    </row>
    <row r="38">
      <c r="A38" s="4" t="s">
        <v>12632</v>
      </c>
      <c r="B38" s="10">
        <f t="shared" si="1"/>
        <v>0</v>
      </c>
      <c r="C38" s="6">
        <f t="shared" si="2"/>
        <v>96.6</v>
      </c>
      <c r="D38" s="6">
        <f t="shared" si="3"/>
        <v>16.458829</v>
      </c>
    </row>
    <row r="39">
      <c r="A39" s="4" t="s">
        <v>12633</v>
      </c>
      <c r="B39" s="10">
        <f t="shared" si="1"/>
        <v>0</v>
      </c>
      <c r="C39" s="6">
        <f t="shared" si="2"/>
        <v>96.7</v>
      </c>
      <c r="D39" s="6">
        <f t="shared" si="3"/>
        <v>16.470876</v>
      </c>
    </row>
    <row r="40">
      <c r="A40" s="4" t="s">
        <v>12634</v>
      </c>
      <c r="B40" s="10">
        <f t="shared" si="1"/>
        <v>0</v>
      </c>
      <c r="C40" s="6">
        <f t="shared" si="2"/>
        <v>96.6</v>
      </c>
      <c r="D40" s="6">
        <f t="shared" si="3"/>
        <v>16.460042</v>
      </c>
    </row>
    <row r="41">
      <c r="A41" s="4" t="s">
        <v>12635</v>
      </c>
      <c r="B41" s="10">
        <f t="shared" si="1"/>
        <v>0</v>
      </c>
      <c r="C41" s="6">
        <f t="shared" si="2"/>
        <v>96.6</v>
      </c>
      <c r="D41" s="6">
        <f t="shared" si="3"/>
        <v>16.459419</v>
      </c>
    </row>
    <row r="42">
      <c r="A42" s="4" t="s">
        <v>12636</v>
      </c>
      <c r="B42" s="10">
        <f t="shared" si="1"/>
        <v>0</v>
      </c>
      <c r="C42" s="6">
        <f t="shared" si="2"/>
        <v>96.1</v>
      </c>
      <c r="D42" s="6">
        <f t="shared" si="3"/>
        <v>16.374927</v>
      </c>
    </row>
    <row r="43">
      <c r="A43" s="4" t="s">
        <v>12637</v>
      </c>
      <c r="B43" s="10">
        <f t="shared" si="1"/>
        <v>66.7</v>
      </c>
      <c r="C43" s="6">
        <f t="shared" si="2"/>
        <v>96.2</v>
      </c>
      <c r="D43" s="6">
        <f t="shared" si="3"/>
        <v>16.387833</v>
      </c>
    </row>
    <row r="44">
      <c r="A44" s="4" t="s">
        <v>12638</v>
      </c>
      <c r="B44" s="10">
        <f t="shared" si="1"/>
        <v>0</v>
      </c>
      <c r="C44" s="6">
        <f t="shared" si="2"/>
        <v>96.1</v>
      </c>
      <c r="D44" s="6">
        <f t="shared" si="3"/>
        <v>16.384909</v>
      </c>
    </row>
    <row r="45">
      <c r="A45" s="4" t="s">
        <v>12639</v>
      </c>
      <c r="B45" s="10">
        <f t="shared" si="1"/>
        <v>0</v>
      </c>
      <c r="C45" s="6">
        <f t="shared" si="2"/>
        <v>96.1</v>
      </c>
      <c r="D45" s="6">
        <f t="shared" si="3"/>
        <v>16.38309</v>
      </c>
    </row>
    <row r="46">
      <c r="A46" s="4" t="s">
        <v>12640</v>
      </c>
      <c r="B46" s="10">
        <f t="shared" si="1"/>
        <v>20</v>
      </c>
      <c r="C46" s="6">
        <f t="shared" si="2"/>
        <v>96.2</v>
      </c>
      <c r="D46" s="6">
        <f t="shared" si="3"/>
        <v>16.3871</v>
      </c>
    </row>
    <row r="47">
      <c r="A47" s="4" t="s">
        <v>12641</v>
      </c>
      <c r="B47" s="10">
        <f t="shared" si="1"/>
        <v>0</v>
      </c>
      <c r="C47" s="6">
        <f t="shared" si="2"/>
        <v>96.2</v>
      </c>
      <c r="D47" s="6">
        <f t="shared" si="3"/>
        <v>16.385241</v>
      </c>
    </row>
    <row r="48">
      <c r="A48" s="4" t="s">
        <v>12642</v>
      </c>
      <c r="B48" s="10">
        <f t="shared" si="1"/>
        <v>0</v>
      </c>
      <c r="C48" s="6">
        <f t="shared" si="2"/>
        <v>96.1</v>
      </c>
      <c r="D48" s="6">
        <f t="shared" si="3"/>
        <v>16.383881</v>
      </c>
    </row>
    <row r="49">
      <c r="A49" s="4" t="s">
        <v>12643</v>
      </c>
      <c r="B49" s="10">
        <f t="shared" si="1"/>
        <v>0</v>
      </c>
      <c r="C49" s="6">
        <f t="shared" si="2"/>
        <v>96.2</v>
      </c>
      <c r="D49" s="6">
        <f t="shared" si="3"/>
        <v>16.388231</v>
      </c>
    </row>
    <row r="50">
      <c r="A50" s="4" t="s">
        <v>12644</v>
      </c>
      <c r="B50" s="10">
        <f t="shared" si="1"/>
        <v>0</v>
      </c>
      <c r="C50" s="6">
        <f t="shared" si="2"/>
        <v>96.2</v>
      </c>
      <c r="D50" s="6">
        <f t="shared" si="3"/>
        <v>16.386834</v>
      </c>
    </row>
    <row r="51">
      <c r="A51" s="4" t="s">
        <v>12645</v>
      </c>
      <c r="B51" s="10">
        <f t="shared" si="1"/>
        <v>0</v>
      </c>
      <c r="C51" s="6">
        <f t="shared" si="2"/>
        <v>96.2</v>
      </c>
      <c r="D51" s="6">
        <f t="shared" si="3"/>
        <v>16.387223</v>
      </c>
    </row>
    <row r="52">
      <c r="A52" s="4" t="s">
        <v>12646</v>
      </c>
      <c r="B52" s="10">
        <f t="shared" si="1"/>
        <v>0</v>
      </c>
      <c r="C52" s="6">
        <f t="shared" si="2"/>
        <v>96.2</v>
      </c>
      <c r="D52" s="6">
        <f t="shared" si="3"/>
        <v>16.386039</v>
      </c>
    </row>
    <row r="53">
      <c r="A53" s="4" t="s">
        <v>12647</v>
      </c>
      <c r="B53" s="10">
        <f t="shared" si="1"/>
        <v>0</v>
      </c>
      <c r="C53" s="6">
        <f t="shared" si="2"/>
        <v>96.2</v>
      </c>
      <c r="D53" s="6">
        <f t="shared" si="3"/>
        <v>16.385564</v>
      </c>
    </row>
    <row r="54">
      <c r="A54" s="4" t="s">
        <v>12648</v>
      </c>
      <c r="B54" s="10">
        <f t="shared" si="1"/>
        <v>0</v>
      </c>
      <c r="C54" s="6">
        <f t="shared" si="2"/>
        <v>96.2</v>
      </c>
      <c r="D54" s="6">
        <f t="shared" si="3"/>
        <v>16.386744</v>
      </c>
    </row>
    <row r="55">
      <c r="A55" s="4" t="s">
        <v>12649</v>
      </c>
      <c r="B55" s="10">
        <f t="shared" si="1"/>
        <v>0</v>
      </c>
      <c r="C55" s="6">
        <f t="shared" si="2"/>
        <v>96.2</v>
      </c>
      <c r="D55" s="6">
        <f t="shared" si="3"/>
        <v>16.385187</v>
      </c>
    </row>
    <row r="56">
      <c r="A56" s="4" t="s">
        <v>12650</v>
      </c>
      <c r="B56" s="10">
        <f t="shared" si="1"/>
        <v>50</v>
      </c>
      <c r="C56" s="6">
        <f t="shared" si="2"/>
        <v>96.1</v>
      </c>
      <c r="D56" s="6">
        <f t="shared" si="3"/>
        <v>16.384946</v>
      </c>
    </row>
    <row r="57">
      <c r="A57" s="4" t="s">
        <v>12651</v>
      </c>
      <c r="B57" s="10">
        <f t="shared" si="1"/>
        <v>0</v>
      </c>
      <c r="C57" s="6">
        <f t="shared" si="2"/>
        <v>96.2</v>
      </c>
      <c r="D57" s="6">
        <f t="shared" si="3"/>
        <v>16.389459</v>
      </c>
    </row>
    <row r="58">
      <c r="A58" s="4" t="s">
        <v>12652</v>
      </c>
      <c r="B58" s="10">
        <f t="shared" si="1"/>
        <v>0</v>
      </c>
      <c r="C58" s="6">
        <f t="shared" si="2"/>
        <v>96.2</v>
      </c>
      <c r="D58" s="6">
        <f t="shared" si="3"/>
        <v>16.387276</v>
      </c>
    </row>
    <row r="59">
      <c r="A59" s="4" t="s">
        <v>12653</v>
      </c>
      <c r="B59" s="10">
        <f t="shared" si="1"/>
        <v>0</v>
      </c>
      <c r="C59" s="6">
        <f t="shared" si="2"/>
        <v>96.2</v>
      </c>
      <c r="D59" s="6">
        <f t="shared" si="3"/>
        <v>16.389898</v>
      </c>
    </row>
    <row r="60">
      <c r="A60" s="4" t="s">
        <v>12654</v>
      </c>
      <c r="B60" s="10">
        <f t="shared" si="1"/>
        <v>0</v>
      </c>
      <c r="C60" s="6">
        <f t="shared" si="2"/>
        <v>96.2</v>
      </c>
      <c r="D60" s="6">
        <f t="shared" si="3"/>
        <v>16.386195</v>
      </c>
    </row>
    <row r="61">
      <c r="A61" s="4" t="s">
        <v>12655</v>
      </c>
      <c r="B61" s="10">
        <f t="shared" si="1"/>
        <v>0</v>
      </c>
      <c r="C61" s="6">
        <f t="shared" si="2"/>
        <v>96.1</v>
      </c>
      <c r="D61" s="6">
        <f t="shared" si="3"/>
        <v>16.384802</v>
      </c>
    </row>
    <row r="62">
      <c r="A62" s="4" t="s">
        <v>12656</v>
      </c>
      <c r="B62" s="10">
        <f t="shared" si="1"/>
        <v>0</v>
      </c>
      <c r="C62" s="6">
        <f t="shared" si="2"/>
        <v>96.2</v>
      </c>
      <c r="D62" s="6">
        <f t="shared" si="3"/>
        <v>16.388337</v>
      </c>
    </row>
    <row r="63">
      <c r="A63" s="4" t="s">
        <v>12657</v>
      </c>
      <c r="B63" s="10">
        <f t="shared" si="1"/>
        <v>0</v>
      </c>
      <c r="C63" s="6">
        <f t="shared" si="2"/>
        <v>96.2</v>
      </c>
      <c r="D63" s="6">
        <f t="shared" si="3"/>
        <v>16.389996</v>
      </c>
    </row>
    <row r="64">
      <c r="A64" s="4" t="s">
        <v>12658</v>
      </c>
      <c r="B64" s="10">
        <f t="shared" si="1"/>
        <v>66.7</v>
      </c>
      <c r="C64" s="6">
        <f t="shared" si="2"/>
        <v>96.2</v>
      </c>
      <c r="D64" s="6">
        <f t="shared" si="3"/>
        <v>16.396484</v>
      </c>
    </row>
    <row r="65">
      <c r="A65" s="4" t="s">
        <v>12659</v>
      </c>
      <c r="B65" s="10">
        <f t="shared" si="1"/>
        <v>100</v>
      </c>
      <c r="C65" s="6">
        <f t="shared" si="2"/>
        <v>96.2</v>
      </c>
      <c r="D65" s="6">
        <f t="shared" si="3"/>
        <v>16.395345</v>
      </c>
    </row>
    <row r="66">
      <c r="A66" s="4" t="s">
        <v>12660</v>
      </c>
      <c r="B66" s="10">
        <f t="shared" si="1"/>
        <v>0</v>
      </c>
      <c r="C66" s="6">
        <f t="shared" si="2"/>
        <v>96.2</v>
      </c>
      <c r="D66" s="6">
        <f t="shared" si="3"/>
        <v>16.396746</v>
      </c>
    </row>
    <row r="67">
      <c r="A67" s="4" t="s">
        <v>12661</v>
      </c>
      <c r="B67" s="10">
        <f t="shared" si="1"/>
        <v>0</v>
      </c>
      <c r="C67" s="6">
        <f t="shared" si="2"/>
        <v>96.2</v>
      </c>
      <c r="D67" s="6">
        <f t="shared" si="3"/>
        <v>16.396861</v>
      </c>
    </row>
    <row r="68">
      <c r="A68" s="4" t="s">
        <v>12662</v>
      </c>
      <c r="B68" s="10">
        <f t="shared" si="1"/>
        <v>0</v>
      </c>
      <c r="C68" s="6">
        <f t="shared" si="2"/>
        <v>96.2</v>
      </c>
      <c r="D68" s="6">
        <f t="shared" si="3"/>
        <v>16.400965</v>
      </c>
    </row>
    <row r="69">
      <c r="A69" s="4" t="s">
        <v>12663</v>
      </c>
      <c r="B69" s="10">
        <f t="shared" si="1"/>
        <v>0</v>
      </c>
      <c r="C69" s="6">
        <f t="shared" si="2"/>
        <v>96.2</v>
      </c>
      <c r="D69" s="6">
        <f t="shared" si="3"/>
        <v>16.400117</v>
      </c>
    </row>
    <row r="70">
      <c r="A70" s="4" t="s">
        <v>12664</v>
      </c>
      <c r="B70" s="10">
        <f t="shared" si="1"/>
        <v>0</v>
      </c>
      <c r="C70" s="6">
        <f t="shared" si="2"/>
        <v>96.2</v>
      </c>
      <c r="D70" s="6">
        <f t="shared" si="3"/>
        <v>16.399548</v>
      </c>
    </row>
    <row r="71">
      <c r="A71" s="4" t="s">
        <v>12665</v>
      </c>
      <c r="B71" s="10">
        <f t="shared" si="1"/>
        <v>0</v>
      </c>
      <c r="C71" s="6">
        <f t="shared" si="2"/>
        <v>96.3</v>
      </c>
      <c r="D71" s="6">
        <f t="shared" si="3"/>
        <v>16.403361</v>
      </c>
    </row>
    <row r="72">
      <c r="A72" s="4" t="s">
        <v>12666</v>
      </c>
      <c r="B72" s="10">
        <f t="shared" si="1"/>
        <v>0</v>
      </c>
      <c r="C72" s="6">
        <f t="shared" si="2"/>
        <v>96.3</v>
      </c>
      <c r="D72" s="6">
        <f t="shared" si="3"/>
        <v>16.415096</v>
      </c>
    </row>
    <row r="73">
      <c r="A73" s="4" t="s">
        <v>12667</v>
      </c>
      <c r="B73" s="10">
        <f t="shared" si="1"/>
        <v>0</v>
      </c>
      <c r="C73" s="6">
        <f t="shared" si="2"/>
        <v>96.3</v>
      </c>
      <c r="D73" s="6">
        <f t="shared" si="3"/>
        <v>16.41438</v>
      </c>
    </row>
    <row r="74">
      <c r="A74" s="4" t="s">
        <v>12668</v>
      </c>
      <c r="B74" s="10">
        <f t="shared" si="1"/>
        <v>0</v>
      </c>
      <c r="C74" s="6">
        <f t="shared" si="2"/>
        <v>96.3</v>
      </c>
      <c r="D74" s="6">
        <f t="shared" si="3"/>
        <v>16.41313</v>
      </c>
    </row>
    <row r="75">
      <c r="A75" s="4" t="s">
        <v>12669</v>
      </c>
      <c r="B75" s="10">
        <f t="shared" si="1"/>
        <v>16.7</v>
      </c>
      <c r="C75" s="6">
        <f t="shared" si="2"/>
        <v>96.3</v>
      </c>
      <c r="D75" s="6">
        <f t="shared" si="3"/>
        <v>16.416501</v>
      </c>
    </row>
    <row r="76">
      <c r="A76" s="4" t="s">
        <v>12670</v>
      </c>
      <c r="B76" s="10">
        <f t="shared" si="1"/>
        <v>16.7</v>
      </c>
      <c r="C76" s="6">
        <f t="shared" si="2"/>
        <v>96.3</v>
      </c>
      <c r="D76" s="6">
        <f t="shared" si="3"/>
        <v>16.414851</v>
      </c>
    </row>
    <row r="77">
      <c r="A77" s="4" t="s">
        <v>12671</v>
      </c>
      <c r="B77" s="10">
        <f t="shared" si="1"/>
        <v>100</v>
      </c>
      <c r="C77" s="6">
        <f t="shared" si="2"/>
        <v>96.3</v>
      </c>
      <c r="D77" s="6">
        <f t="shared" si="3"/>
        <v>16.41789</v>
      </c>
    </row>
    <row r="78">
      <c r="A78" s="4" t="s">
        <v>12672</v>
      </c>
      <c r="B78" s="10">
        <f t="shared" si="1"/>
        <v>0</v>
      </c>
      <c r="C78" s="6">
        <f t="shared" si="2"/>
        <v>96.4</v>
      </c>
      <c r="D78" s="6">
        <f t="shared" si="3"/>
        <v>16.427147</v>
      </c>
    </row>
    <row r="79">
      <c r="A79" s="4" t="s">
        <v>12673</v>
      </c>
      <c r="B79" s="10">
        <f t="shared" si="1"/>
        <v>16.7</v>
      </c>
      <c r="C79" s="6">
        <f t="shared" si="2"/>
        <v>96.4</v>
      </c>
      <c r="D79" s="6">
        <f t="shared" si="3"/>
        <v>16.424402</v>
      </c>
    </row>
    <row r="80">
      <c r="A80" s="4" t="s">
        <v>12674</v>
      </c>
      <c r="B80" s="10">
        <f t="shared" si="1"/>
        <v>100</v>
      </c>
      <c r="C80" s="6">
        <f t="shared" si="2"/>
        <v>96.4</v>
      </c>
      <c r="D80" s="6">
        <f t="shared" si="3"/>
        <v>16.423632</v>
      </c>
    </row>
    <row r="81">
      <c r="A81" s="4" t="s">
        <v>12675</v>
      </c>
      <c r="B81" s="10">
        <f t="shared" si="1"/>
        <v>100</v>
      </c>
      <c r="C81" s="6">
        <f t="shared" si="2"/>
        <v>96.4</v>
      </c>
      <c r="D81" s="6">
        <f t="shared" si="3"/>
        <v>16.432541</v>
      </c>
    </row>
    <row r="82">
      <c r="A82" s="4" t="s">
        <v>12676</v>
      </c>
      <c r="B82" s="10">
        <f t="shared" si="1"/>
        <v>0</v>
      </c>
      <c r="C82" s="6">
        <f t="shared" si="2"/>
        <v>96.4</v>
      </c>
      <c r="D82" s="6">
        <f t="shared" si="3"/>
        <v>16.432566</v>
      </c>
    </row>
    <row r="83">
      <c r="A83" s="4" t="s">
        <v>12677</v>
      </c>
      <c r="B83" s="10">
        <f t="shared" si="1"/>
        <v>50</v>
      </c>
      <c r="C83" s="6">
        <f t="shared" si="2"/>
        <v>96.4</v>
      </c>
      <c r="D83" s="6">
        <f t="shared" si="3"/>
        <v>16.42983</v>
      </c>
    </row>
    <row r="84">
      <c r="A84" s="4" t="s">
        <v>12678</v>
      </c>
      <c r="B84" s="10">
        <f t="shared" si="1"/>
        <v>12.5</v>
      </c>
      <c r="C84" s="6">
        <f t="shared" si="2"/>
        <v>96.4</v>
      </c>
      <c r="D84" s="6">
        <f t="shared" si="3"/>
        <v>16.429318</v>
      </c>
    </row>
    <row r="85">
      <c r="A85" s="4" t="s">
        <v>12679</v>
      </c>
      <c r="B85" s="10">
        <f t="shared" si="1"/>
        <v>0</v>
      </c>
      <c r="C85" s="6">
        <f t="shared" si="2"/>
        <v>96.5</v>
      </c>
      <c r="D85" s="6">
        <f t="shared" si="3"/>
        <v>16.437985</v>
      </c>
    </row>
    <row r="86">
      <c r="A86" s="4" t="s">
        <v>12680</v>
      </c>
      <c r="B86" s="10">
        <f t="shared" si="1"/>
        <v>40</v>
      </c>
      <c r="C86" s="6">
        <f t="shared" si="2"/>
        <v>96.5</v>
      </c>
      <c r="D86" s="6">
        <f t="shared" si="3"/>
        <v>16.438874</v>
      </c>
    </row>
    <row r="87">
      <c r="A87" s="4" t="s">
        <v>12681</v>
      </c>
      <c r="B87" s="10">
        <f t="shared" si="1"/>
        <v>14.3</v>
      </c>
      <c r="C87" s="6">
        <f t="shared" si="2"/>
        <v>96.5</v>
      </c>
      <c r="D87" s="6">
        <f t="shared" si="3"/>
        <v>16.44138</v>
      </c>
    </row>
    <row r="88">
      <c r="A88" s="4" t="s">
        <v>12682</v>
      </c>
      <c r="B88" s="10">
        <f t="shared" si="1"/>
        <v>50</v>
      </c>
      <c r="C88" s="6">
        <f t="shared" si="2"/>
        <v>96.5</v>
      </c>
      <c r="D88" s="6">
        <f t="shared" si="3"/>
        <v>16.441712</v>
      </c>
    </row>
    <row r="89">
      <c r="A89" s="4" t="s">
        <v>12683</v>
      </c>
      <c r="B89" s="10">
        <f t="shared" si="1"/>
        <v>0</v>
      </c>
      <c r="C89" s="6">
        <f t="shared" si="2"/>
        <v>96.4</v>
      </c>
      <c r="D89" s="6">
        <f t="shared" si="3"/>
        <v>16.420999</v>
      </c>
    </row>
    <row r="90">
      <c r="A90" s="4" t="s">
        <v>12684</v>
      </c>
      <c r="B90" s="10">
        <f t="shared" si="1"/>
        <v>0</v>
      </c>
      <c r="C90" s="6">
        <f t="shared" si="2"/>
        <v>96.4</v>
      </c>
      <c r="D90" s="6">
        <f t="shared" si="3"/>
        <v>16.4209</v>
      </c>
    </row>
    <row r="91">
      <c r="A91" s="4" t="s">
        <v>12685</v>
      </c>
      <c r="B91" s="10">
        <f t="shared" si="1"/>
        <v>0</v>
      </c>
      <c r="C91" s="6">
        <f t="shared" si="2"/>
        <v>96.4</v>
      </c>
      <c r="D91" s="6">
        <f t="shared" si="3"/>
        <v>16.434159</v>
      </c>
    </row>
    <row r="92">
      <c r="A92" s="4" t="s">
        <v>12686</v>
      </c>
      <c r="B92" s="10">
        <f t="shared" si="1"/>
        <v>20</v>
      </c>
      <c r="C92" s="6">
        <f t="shared" si="2"/>
        <v>96.1</v>
      </c>
      <c r="D92" s="6">
        <f t="shared" si="3"/>
        <v>16.375721</v>
      </c>
    </row>
    <row r="93">
      <c r="A93" s="4" t="s">
        <v>12687</v>
      </c>
      <c r="B93" s="10">
        <f t="shared" si="1"/>
        <v>0</v>
      </c>
      <c r="C93" s="6">
        <f t="shared" si="2"/>
        <v>96.1</v>
      </c>
      <c r="D93" s="6">
        <f t="shared" si="3"/>
        <v>16.380821</v>
      </c>
    </row>
    <row r="94">
      <c r="A94" s="4" t="s">
        <v>12688</v>
      </c>
      <c r="B94" s="10">
        <f t="shared" si="1"/>
        <v>0</v>
      </c>
      <c r="C94" s="6">
        <f t="shared" si="2"/>
        <v>96.1</v>
      </c>
      <c r="D94" s="6">
        <f t="shared" si="3"/>
        <v>16.378277</v>
      </c>
    </row>
    <row r="95">
      <c r="A95" s="4" t="s">
        <v>12689</v>
      </c>
      <c r="B95" s="10">
        <f t="shared" si="1"/>
        <v>0</v>
      </c>
      <c r="C95" s="6">
        <f t="shared" si="2"/>
        <v>96.1</v>
      </c>
      <c r="D95" s="6">
        <f t="shared" si="3"/>
        <v>16.377278</v>
      </c>
    </row>
    <row r="96">
      <c r="A96" s="4" t="s">
        <v>12690</v>
      </c>
      <c r="B96" s="10">
        <f t="shared" si="1"/>
        <v>0</v>
      </c>
      <c r="C96" s="6">
        <f t="shared" si="2"/>
        <v>96.1</v>
      </c>
      <c r="D96" s="6">
        <f t="shared" si="3"/>
        <v>16.378896</v>
      </c>
    </row>
    <row r="97">
      <c r="A97" s="4" t="s">
        <v>12691</v>
      </c>
      <c r="B97" s="10">
        <f t="shared" si="1"/>
        <v>0</v>
      </c>
      <c r="C97" s="6">
        <f t="shared" si="2"/>
        <v>96.1</v>
      </c>
      <c r="D97" s="6">
        <f t="shared" si="3"/>
        <v>16.377491</v>
      </c>
    </row>
    <row r="98">
      <c r="A98" s="4" t="s">
        <v>12692</v>
      </c>
      <c r="B98" s="10">
        <f t="shared" si="1"/>
        <v>0</v>
      </c>
      <c r="C98" s="6">
        <f t="shared" si="2"/>
        <v>96.1</v>
      </c>
      <c r="D98" s="6">
        <f t="shared" si="3"/>
        <v>16.377057</v>
      </c>
    </row>
    <row r="99">
      <c r="A99" s="4" t="s">
        <v>12693</v>
      </c>
      <c r="B99" s="10">
        <f t="shared" si="1"/>
        <v>0</v>
      </c>
      <c r="C99" s="6">
        <f t="shared" si="2"/>
        <v>96.1</v>
      </c>
      <c r="D99" s="6">
        <f t="shared" si="3"/>
        <v>16.384073</v>
      </c>
    </row>
    <row r="100">
      <c r="A100" s="4" t="s">
        <v>12694</v>
      </c>
      <c r="B100" s="10">
        <f t="shared" si="1"/>
        <v>0</v>
      </c>
      <c r="C100" s="6">
        <f t="shared" si="2"/>
        <v>96.1</v>
      </c>
      <c r="D100" s="6">
        <f t="shared" si="3"/>
        <v>16.382578</v>
      </c>
    </row>
    <row r="101">
      <c r="A101" s="4" t="s">
        <v>12695</v>
      </c>
      <c r="B101" s="10">
        <f t="shared" si="1"/>
        <v>0</v>
      </c>
      <c r="C101" s="6">
        <f t="shared" si="2"/>
        <v>96.1</v>
      </c>
      <c r="D101" s="6">
        <f t="shared" si="3"/>
        <v>16.382935</v>
      </c>
    </row>
    <row r="102">
      <c r="A102" s="4" t="s">
        <v>12696</v>
      </c>
      <c r="B102" s="10">
        <f t="shared" si="1"/>
        <v>50</v>
      </c>
      <c r="C102" s="6">
        <f t="shared" si="2"/>
        <v>96.1</v>
      </c>
      <c r="D102" s="6">
        <f t="shared" si="3"/>
        <v>16.382242</v>
      </c>
    </row>
    <row r="103">
      <c r="A103" s="4" t="s">
        <v>12697</v>
      </c>
      <c r="B103" s="10">
        <f t="shared" si="1"/>
        <v>0</v>
      </c>
      <c r="C103" s="6">
        <f t="shared" si="2"/>
        <v>96.1</v>
      </c>
      <c r="D103" s="6">
        <f t="shared" si="3"/>
        <v>16.382267</v>
      </c>
    </row>
    <row r="104">
      <c r="A104" s="4" t="s">
        <v>12698</v>
      </c>
      <c r="B104" s="10">
        <f t="shared" si="1"/>
        <v>66.7</v>
      </c>
      <c r="C104" s="6">
        <f t="shared" si="2"/>
        <v>96.1</v>
      </c>
      <c r="D104" s="6">
        <f t="shared" si="3"/>
        <v>16.383369</v>
      </c>
    </row>
    <row r="105">
      <c r="A105" s="4" t="s">
        <v>12699</v>
      </c>
      <c r="B105" s="10">
        <f t="shared" si="1"/>
        <v>20</v>
      </c>
      <c r="C105" s="6">
        <f t="shared" si="2"/>
        <v>96.1</v>
      </c>
      <c r="D105" s="6">
        <f t="shared" si="3"/>
        <v>16.382898</v>
      </c>
    </row>
    <row r="106">
      <c r="A106" s="4" t="s">
        <v>12700</v>
      </c>
      <c r="B106" s="10">
        <f t="shared" si="1"/>
        <v>0</v>
      </c>
      <c r="C106" s="6">
        <f t="shared" si="2"/>
        <v>96.1</v>
      </c>
      <c r="D106" s="6">
        <f t="shared" si="3"/>
        <v>16.382898</v>
      </c>
    </row>
    <row r="107">
      <c r="A107" s="4" t="s">
        <v>12701</v>
      </c>
      <c r="B107" s="10">
        <f t="shared" si="1"/>
        <v>0</v>
      </c>
      <c r="C107" s="6">
        <f t="shared" si="2"/>
        <v>96.1</v>
      </c>
      <c r="D107" s="6">
        <f t="shared" si="3"/>
        <v>16.384458</v>
      </c>
    </row>
    <row r="108">
      <c r="A108" s="4" t="s">
        <v>12702</v>
      </c>
      <c r="B108" s="10">
        <f t="shared" si="1"/>
        <v>0</v>
      </c>
      <c r="C108" s="6">
        <f t="shared" si="2"/>
        <v>96.1</v>
      </c>
      <c r="D108" s="6">
        <f t="shared" si="3"/>
        <v>16.38341</v>
      </c>
    </row>
    <row r="109">
      <c r="A109" s="4" t="s">
        <v>12703</v>
      </c>
      <c r="B109" s="10">
        <f t="shared" si="1"/>
        <v>0</v>
      </c>
      <c r="C109" s="6">
        <f t="shared" si="2"/>
        <v>96.1</v>
      </c>
      <c r="D109" s="6">
        <f t="shared" si="3"/>
        <v>16.383438</v>
      </c>
    </row>
    <row r="110">
      <c r="A110" s="4" t="s">
        <v>12704</v>
      </c>
      <c r="B110" s="10">
        <f t="shared" si="1"/>
        <v>0</v>
      </c>
      <c r="C110" s="6">
        <f t="shared" si="2"/>
        <v>96.2</v>
      </c>
      <c r="D110" s="6">
        <f t="shared" si="3"/>
        <v>16.385921</v>
      </c>
    </row>
    <row r="111">
      <c r="A111" s="4" t="s">
        <v>12705</v>
      </c>
      <c r="B111" s="10">
        <f t="shared" si="1"/>
        <v>0</v>
      </c>
      <c r="C111" s="6">
        <f t="shared" si="2"/>
        <v>96.2</v>
      </c>
      <c r="D111" s="6">
        <f t="shared" si="3"/>
        <v>16.38599</v>
      </c>
    </row>
    <row r="112">
      <c r="A112" s="4" t="s">
        <v>12706</v>
      </c>
      <c r="B112" s="10">
        <f t="shared" si="1"/>
        <v>0</v>
      </c>
      <c r="C112" s="6">
        <f t="shared" si="2"/>
        <v>96.2</v>
      </c>
      <c r="D112" s="6">
        <f t="shared" si="3"/>
        <v>16.386052</v>
      </c>
    </row>
    <row r="113">
      <c r="A113" s="4" t="s">
        <v>12707</v>
      </c>
      <c r="B113" s="10">
        <f t="shared" si="1"/>
        <v>20</v>
      </c>
      <c r="C113" s="6">
        <f t="shared" si="2"/>
        <v>96.2</v>
      </c>
      <c r="D113" s="6">
        <f t="shared" si="3"/>
        <v>16.394584</v>
      </c>
    </row>
    <row r="114">
      <c r="A114" s="4" t="s">
        <v>12708</v>
      </c>
      <c r="B114" s="10">
        <f t="shared" si="1"/>
        <v>0</v>
      </c>
      <c r="C114" s="6">
        <f t="shared" si="2"/>
        <v>96.2</v>
      </c>
      <c r="D114" s="6">
        <f t="shared" si="3"/>
        <v>16.399228</v>
      </c>
    </row>
    <row r="115">
      <c r="A115" s="4" t="s">
        <v>12709</v>
      </c>
      <c r="B115" s="10">
        <f t="shared" si="1"/>
        <v>33.3</v>
      </c>
      <c r="C115" s="6">
        <f t="shared" si="2"/>
        <v>96.2</v>
      </c>
      <c r="D115" s="6">
        <f t="shared" si="3"/>
        <v>16.396263</v>
      </c>
    </row>
    <row r="116">
      <c r="A116" s="4" t="s">
        <v>12710</v>
      </c>
      <c r="B116" s="10">
        <f t="shared" si="1"/>
        <v>50</v>
      </c>
      <c r="C116" s="6">
        <f t="shared" si="2"/>
        <v>96.2</v>
      </c>
      <c r="D116" s="6">
        <f t="shared" si="3"/>
        <v>16.395882</v>
      </c>
    </row>
    <row r="117">
      <c r="A117" s="4" t="s">
        <v>12711</v>
      </c>
      <c r="B117" s="10">
        <f t="shared" si="1"/>
        <v>0</v>
      </c>
      <c r="C117" s="6">
        <f t="shared" si="2"/>
        <v>96.2</v>
      </c>
      <c r="D117" s="6">
        <f t="shared" si="3"/>
        <v>16.401174</v>
      </c>
    </row>
    <row r="118">
      <c r="A118" s="4" t="s">
        <v>12712</v>
      </c>
      <c r="B118" s="10">
        <f t="shared" si="1"/>
        <v>0</v>
      </c>
      <c r="C118" s="6">
        <f t="shared" si="2"/>
        <v>96.2</v>
      </c>
      <c r="D118" s="6">
        <f t="shared" si="3"/>
        <v>16.399982</v>
      </c>
    </row>
    <row r="119">
      <c r="A119" s="4" t="s">
        <v>12713</v>
      </c>
      <c r="B119" s="10">
        <f t="shared" si="1"/>
        <v>0</v>
      </c>
      <c r="C119" s="6">
        <f t="shared" si="2"/>
        <v>96.2</v>
      </c>
      <c r="D119" s="6">
        <f t="shared" si="3"/>
        <v>16.398909</v>
      </c>
    </row>
    <row r="120">
      <c r="A120" s="4" t="s">
        <v>12714</v>
      </c>
      <c r="B120" s="10">
        <f t="shared" si="1"/>
        <v>0</v>
      </c>
      <c r="C120" s="6">
        <f t="shared" si="2"/>
        <v>96.3</v>
      </c>
      <c r="D120" s="6">
        <f t="shared" si="3"/>
        <v>16.402874</v>
      </c>
    </row>
    <row r="121">
      <c r="A121" s="4" t="s">
        <v>12715</v>
      </c>
      <c r="B121" s="10">
        <f t="shared" si="1"/>
        <v>0</v>
      </c>
      <c r="C121" s="6">
        <f t="shared" si="2"/>
        <v>96.2</v>
      </c>
      <c r="D121" s="6">
        <f t="shared" si="3"/>
        <v>16.402108</v>
      </c>
    </row>
    <row r="122">
      <c r="A122" s="4" t="s">
        <v>12716</v>
      </c>
      <c r="B122" s="10">
        <f t="shared" si="1"/>
        <v>0</v>
      </c>
      <c r="C122" s="6">
        <f t="shared" si="2"/>
        <v>96.3</v>
      </c>
      <c r="D122" s="6">
        <f t="shared" si="3"/>
        <v>16.412389</v>
      </c>
    </row>
    <row r="123">
      <c r="A123" s="4" t="s">
        <v>12717</v>
      </c>
      <c r="B123" s="10">
        <f t="shared" si="1"/>
        <v>0</v>
      </c>
      <c r="C123" s="6">
        <f t="shared" si="2"/>
        <v>96.3</v>
      </c>
      <c r="D123" s="6">
        <f t="shared" si="3"/>
        <v>16.409108</v>
      </c>
    </row>
    <row r="124">
      <c r="A124" s="4" t="s">
        <v>12718</v>
      </c>
      <c r="B124" s="10">
        <f t="shared" si="1"/>
        <v>0</v>
      </c>
      <c r="C124" s="6">
        <f t="shared" si="2"/>
        <v>96.4</v>
      </c>
      <c r="D124" s="6">
        <f t="shared" si="3"/>
        <v>16.4197</v>
      </c>
    </row>
    <row r="125">
      <c r="A125" s="4" t="s">
        <v>12719</v>
      </c>
      <c r="B125" s="10">
        <f t="shared" si="1"/>
        <v>0</v>
      </c>
      <c r="C125" s="6">
        <f t="shared" si="2"/>
        <v>96.3</v>
      </c>
      <c r="D125" s="6">
        <f t="shared" si="3"/>
        <v>16.414195</v>
      </c>
    </row>
    <row r="126">
      <c r="A126" s="4" t="s">
        <v>12720</v>
      </c>
      <c r="B126" s="10">
        <f t="shared" si="1"/>
        <v>0</v>
      </c>
      <c r="C126" s="6">
        <f t="shared" si="2"/>
        <v>96.4</v>
      </c>
      <c r="D126" s="6">
        <f t="shared" si="3"/>
        <v>16.425242</v>
      </c>
    </row>
    <row r="127">
      <c r="A127" s="4" t="s">
        <v>12721</v>
      </c>
      <c r="B127" s="10">
        <f t="shared" si="1"/>
        <v>0</v>
      </c>
      <c r="C127" s="6">
        <f t="shared" si="2"/>
        <v>96.4</v>
      </c>
      <c r="D127" s="6">
        <f t="shared" si="3"/>
        <v>16.431034</v>
      </c>
    </row>
    <row r="128">
      <c r="A128" s="4" t="s">
        <v>12722</v>
      </c>
      <c r="B128" s="10">
        <f t="shared" si="1"/>
        <v>0</v>
      </c>
      <c r="C128" s="6">
        <f t="shared" si="2"/>
        <v>96.4</v>
      </c>
      <c r="D128" s="6">
        <f t="shared" si="3"/>
        <v>16.429539</v>
      </c>
    </row>
    <row r="129">
      <c r="A129" s="4" t="s">
        <v>12723</v>
      </c>
      <c r="B129" s="10">
        <f t="shared" si="1"/>
        <v>100</v>
      </c>
      <c r="C129" s="6">
        <f t="shared" si="2"/>
        <v>96.4</v>
      </c>
      <c r="D129" s="6">
        <f t="shared" si="3"/>
        <v>16.432033</v>
      </c>
    </row>
    <row r="130">
      <c r="A130" s="4" t="s">
        <v>12724</v>
      </c>
      <c r="B130" s="10">
        <f t="shared" si="1"/>
        <v>0</v>
      </c>
      <c r="C130" s="6">
        <f t="shared" si="2"/>
        <v>96.4</v>
      </c>
      <c r="D130" s="6">
        <f t="shared" si="3"/>
        <v>16.431534</v>
      </c>
    </row>
    <row r="131">
      <c r="A131" s="4" t="s">
        <v>12725</v>
      </c>
      <c r="B131" s="10">
        <f t="shared" si="1"/>
        <v>0</v>
      </c>
      <c r="C131" s="6">
        <f t="shared" si="2"/>
        <v>96.4</v>
      </c>
      <c r="D131" s="6">
        <f t="shared" si="3"/>
        <v>16.429154</v>
      </c>
    </row>
    <row r="132">
      <c r="A132" s="4" t="s">
        <v>12726</v>
      </c>
      <c r="B132" s="10">
        <f t="shared" si="1"/>
        <v>0</v>
      </c>
      <c r="C132" s="6">
        <f t="shared" si="2"/>
        <v>96.4</v>
      </c>
      <c r="D132" s="6">
        <f t="shared" si="3"/>
        <v>16.433414</v>
      </c>
    </row>
    <row r="133">
      <c r="A133" s="4" t="s">
        <v>12727</v>
      </c>
      <c r="B133" s="10">
        <f t="shared" si="1"/>
        <v>0</v>
      </c>
      <c r="C133" s="6">
        <f t="shared" si="2"/>
        <v>96.4</v>
      </c>
      <c r="D133" s="6">
        <f t="shared" si="3"/>
        <v>16.433938</v>
      </c>
    </row>
    <row r="134">
      <c r="A134" s="4" t="s">
        <v>12728</v>
      </c>
      <c r="B134" s="10">
        <f t="shared" si="1"/>
        <v>0</v>
      </c>
      <c r="C134" s="6">
        <f t="shared" si="2"/>
        <v>96.4</v>
      </c>
      <c r="D134" s="6">
        <f t="shared" si="3"/>
        <v>16.431796</v>
      </c>
    </row>
    <row r="135">
      <c r="A135" s="4" t="s">
        <v>12729</v>
      </c>
      <c r="B135" s="10">
        <f t="shared" si="1"/>
        <v>0</v>
      </c>
      <c r="C135" s="6">
        <f t="shared" si="2"/>
        <v>96.4</v>
      </c>
      <c r="D135" s="6">
        <f t="shared" si="3"/>
        <v>16.432533</v>
      </c>
    </row>
    <row r="136">
      <c r="A136" s="4" t="s">
        <v>12730</v>
      </c>
      <c r="B136" s="10">
        <f t="shared" si="1"/>
        <v>0</v>
      </c>
      <c r="C136" s="6">
        <f t="shared" si="2"/>
        <v>96.5</v>
      </c>
      <c r="D136" s="6">
        <f t="shared" si="3"/>
        <v>16.43683</v>
      </c>
    </row>
    <row r="137">
      <c r="A137" s="4" t="s">
        <v>12731</v>
      </c>
      <c r="B137" s="10">
        <f t="shared" si="1"/>
        <v>0</v>
      </c>
      <c r="C137" s="6">
        <f t="shared" si="2"/>
        <v>96.5</v>
      </c>
      <c r="D137" s="6">
        <f t="shared" si="3"/>
        <v>16.438259</v>
      </c>
    </row>
    <row r="138">
      <c r="A138" s="4" t="s">
        <v>12732</v>
      </c>
      <c r="B138" s="10">
        <f t="shared" si="1"/>
        <v>0</v>
      </c>
      <c r="C138" s="6">
        <f t="shared" si="2"/>
        <v>96.5</v>
      </c>
      <c r="D138" s="6">
        <f t="shared" si="3"/>
        <v>16.441982</v>
      </c>
    </row>
    <row r="139">
      <c r="A139" s="4" t="s">
        <v>12733</v>
      </c>
      <c r="B139" s="10">
        <f t="shared" si="1"/>
        <v>0</v>
      </c>
      <c r="C139" s="6">
        <f t="shared" si="2"/>
        <v>96.6</v>
      </c>
      <c r="D139" s="6">
        <f t="shared" si="3"/>
        <v>16.453382</v>
      </c>
    </row>
    <row r="140">
      <c r="A140" s="4" t="s">
        <v>12734</v>
      </c>
      <c r="B140" s="10">
        <f t="shared" si="1"/>
        <v>20</v>
      </c>
      <c r="C140" s="6">
        <f t="shared" si="2"/>
        <v>96.7</v>
      </c>
      <c r="D140" s="6">
        <f t="shared" si="3"/>
        <v>16.477024</v>
      </c>
    </row>
    <row r="141">
      <c r="A141" s="4" t="s">
        <v>12735</v>
      </c>
      <c r="B141" s="10">
        <f t="shared" si="1"/>
        <v>0</v>
      </c>
      <c r="C141" s="6">
        <f t="shared" si="2"/>
        <v>96.7</v>
      </c>
      <c r="D141" s="6">
        <f t="shared" si="3"/>
        <v>16.473747</v>
      </c>
    </row>
    <row r="142">
      <c r="A142" s="4" t="s">
        <v>12736</v>
      </c>
      <c r="B142" s="10">
        <f t="shared" si="1"/>
        <v>11.1</v>
      </c>
      <c r="C142" s="6">
        <f t="shared" si="2"/>
        <v>96.7</v>
      </c>
      <c r="D142" s="6">
        <f t="shared" si="3"/>
        <v>16.472141</v>
      </c>
    </row>
    <row r="143">
      <c r="A143" s="4" t="s">
        <v>12737</v>
      </c>
      <c r="B143" s="10">
        <f t="shared" si="1"/>
        <v>0</v>
      </c>
      <c r="C143" s="6">
        <f t="shared" si="2"/>
        <v>96.7</v>
      </c>
      <c r="D143" s="6">
        <f t="shared" si="3"/>
        <v>16.476561</v>
      </c>
    </row>
    <row r="144">
      <c r="A144" s="4" t="s">
        <v>12738</v>
      </c>
      <c r="B144" s="10">
        <f t="shared" si="1"/>
        <v>0</v>
      </c>
      <c r="C144" s="6">
        <f t="shared" si="2"/>
        <v>96.7</v>
      </c>
      <c r="D144" s="6">
        <f t="shared" si="3"/>
        <v>16.481071</v>
      </c>
    </row>
    <row r="145">
      <c r="A145" s="4" t="s">
        <v>12739</v>
      </c>
      <c r="B145" s="10">
        <f t="shared" si="1"/>
        <v>100</v>
      </c>
      <c r="C145" s="6">
        <f t="shared" si="2"/>
        <v>96.7</v>
      </c>
      <c r="D145" s="6">
        <f t="shared" si="3"/>
        <v>16.477298</v>
      </c>
    </row>
    <row r="146">
      <c r="A146" s="4" t="s">
        <v>12740</v>
      </c>
      <c r="B146" s="10">
        <f t="shared" si="1"/>
        <v>0</v>
      </c>
      <c r="C146" s="6">
        <f t="shared" si="2"/>
        <v>96.7</v>
      </c>
      <c r="D146" s="6">
        <f t="shared" si="3"/>
        <v>16.476581</v>
      </c>
    </row>
    <row r="147">
      <c r="A147" s="4" t="s">
        <v>12741</v>
      </c>
      <c r="B147" s="10">
        <f t="shared" si="1"/>
        <v>0</v>
      </c>
      <c r="C147" s="6">
        <f t="shared" si="2"/>
        <v>96.7</v>
      </c>
      <c r="D147" s="6">
        <f t="shared" si="3"/>
        <v>16.476672</v>
      </c>
    </row>
    <row r="148">
      <c r="A148" s="4" t="s">
        <v>12742</v>
      </c>
      <c r="B148" s="10">
        <f t="shared" si="1"/>
        <v>100</v>
      </c>
      <c r="C148" s="6">
        <f t="shared" si="2"/>
        <v>96.7</v>
      </c>
      <c r="D148" s="6">
        <f t="shared" si="3"/>
        <v>16.475684</v>
      </c>
    </row>
    <row r="149">
      <c r="A149" s="4" t="s">
        <v>12743</v>
      </c>
      <c r="B149" s="10">
        <f t="shared" si="1"/>
        <v>25</v>
      </c>
      <c r="C149" s="6">
        <f t="shared" si="2"/>
        <v>96.7</v>
      </c>
      <c r="D149" s="6">
        <f t="shared" si="3"/>
        <v>16.474951</v>
      </c>
    </row>
    <row r="150">
      <c r="A150" s="4" t="s">
        <v>12744</v>
      </c>
      <c r="B150" s="10">
        <f t="shared" si="1"/>
        <v>50</v>
      </c>
      <c r="C150" s="6">
        <f t="shared" si="2"/>
        <v>96.7</v>
      </c>
      <c r="D150" s="6">
        <f t="shared" si="3"/>
        <v>16.478949</v>
      </c>
    </row>
    <row r="151">
      <c r="A151" s="4" t="s">
        <v>12745</v>
      </c>
      <c r="B151" s="10">
        <f t="shared" si="1"/>
        <v>100</v>
      </c>
      <c r="C151" s="6">
        <f t="shared" si="2"/>
        <v>96.7</v>
      </c>
      <c r="D151" s="6">
        <f t="shared" si="3"/>
        <v>16.478359</v>
      </c>
    </row>
    <row r="152">
      <c r="A152" s="4" t="s">
        <v>12746</v>
      </c>
      <c r="B152" s="10">
        <f t="shared" si="1"/>
        <v>50</v>
      </c>
      <c r="C152" s="6">
        <f t="shared" si="2"/>
        <v>96.7</v>
      </c>
      <c r="D152" s="6">
        <f t="shared" si="3"/>
        <v>16.477773</v>
      </c>
    </row>
    <row r="153">
      <c r="A153" s="4" t="s">
        <v>12747</v>
      </c>
      <c r="B153" s="10">
        <f t="shared" si="1"/>
        <v>0</v>
      </c>
      <c r="C153" s="6">
        <f t="shared" si="2"/>
        <v>96.7</v>
      </c>
      <c r="D153" s="6">
        <f t="shared" si="3"/>
        <v>16.480284</v>
      </c>
    </row>
    <row r="154">
      <c r="A154" s="4" t="s">
        <v>12748</v>
      </c>
      <c r="B154" s="10">
        <f t="shared" si="1"/>
        <v>0</v>
      </c>
      <c r="C154" s="6">
        <f t="shared" si="2"/>
        <v>96.8</v>
      </c>
      <c r="D154" s="6">
        <f t="shared" si="3"/>
        <v>16.497242</v>
      </c>
    </row>
    <row r="155">
      <c r="A155" s="4" t="s">
        <v>12749</v>
      </c>
      <c r="B155" s="10">
        <f t="shared" si="1"/>
        <v>0</v>
      </c>
      <c r="C155" s="6">
        <f t="shared" si="2"/>
        <v>96.8</v>
      </c>
      <c r="D155" s="6">
        <f t="shared" si="3"/>
        <v>16.497328</v>
      </c>
    </row>
    <row r="156">
      <c r="A156" s="4" t="s">
        <v>12750</v>
      </c>
      <c r="B156" s="10">
        <f t="shared" si="1"/>
        <v>0</v>
      </c>
      <c r="C156" s="6">
        <f t="shared" si="2"/>
        <v>96.8</v>
      </c>
      <c r="D156" s="6">
        <f t="shared" si="3"/>
        <v>16.497766</v>
      </c>
    </row>
    <row r="157">
      <c r="A157" s="4" t="s">
        <v>12751</v>
      </c>
      <c r="B157" s="10">
        <f t="shared" si="1"/>
        <v>0</v>
      </c>
      <c r="C157" s="6">
        <f t="shared" si="2"/>
        <v>96.8</v>
      </c>
      <c r="D157" s="6">
        <f t="shared" si="3"/>
        <v>16.493576</v>
      </c>
    </row>
    <row r="158">
      <c r="A158" s="4" t="s">
        <v>12752</v>
      </c>
      <c r="B158" s="10">
        <f t="shared" si="1"/>
        <v>0</v>
      </c>
      <c r="C158" s="6">
        <f t="shared" si="2"/>
        <v>96.8</v>
      </c>
      <c r="D158" s="6">
        <f t="shared" si="3"/>
        <v>16.49027</v>
      </c>
    </row>
    <row r="159">
      <c r="A159" s="4" t="s">
        <v>12753</v>
      </c>
      <c r="B159" s="10">
        <f t="shared" si="1"/>
        <v>0</v>
      </c>
      <c r="C159" s="6">
        <f t="shared" si="2"/>
        <v>96.8</v>
      </c>
      <c r="D159" s="6">
        <f t="shared" si="3"/>
        <v>16.489336</v>
      </c>
    </row>
    <row r="160">
      <c r="A160" s="4" t="s">
        <v>12754</v>
      </c>
      <c r="B160" s="10">
        <f t="shared" si="1"/>
        <v>0</v>
      </c>
      <c r="C160" s="6">
        <f t="shared" si="2"/>
        <v>96.8</v>
      </c>
      <c r="D160" s="6">
        <f t="shared" si="3"/>
        <v>16.494448</v>
      </c>
    </row>
    <row r="161">
      <c r="A161" s="4" t="s">
        <v>12755</v>
      </c>
      <c r="B161" s="10">
        <f t="shared" si="1"/>
        <v>0</v>
      </c>
      <c r="C161" s="6">
        <f t="shared" si="2"/>
        <v>96.2</v>
      </c>
      <c r="D161" s="6">
        <f t="shared" si="3"/>
        <v>16.389136</v>
      </c>
    </row>
    <row r="162">
      <c r="A162" s="4" t="s">
        <v>12756</v>
      </c>
      <c r="B162" s="10">
        <f t="shared" si="1"/>
        <v>0</v>
      </c>
      <c r="C162" s="6">
        <f t="shared" si="2"/>
        <v>96.2</v>
      </c>
      <c r="D162" s="6">
        <f t="shared" si="3"/>
        <v>16.395907</v>
      </c>
    </row>
    <row r="163">
      <c r="A163" s="4" t="s">
        <v>12757</v>
      </c>
      <c r="B163" s="10">
        <f t="shared" si="1"/>
        <v>33.3</v>
      </c>
      <c r="C163" s="6">
        <f t="shared" si="2"/>
        <v>96.2</v>
      </c>
      <c r="D163" s="6">
        <f t="shared" si="3"/>
        <v>16.395677</v>
      </c>
    </row>
    <row r="164">
      <c r="A164" s="4" t="s">
        <v>12758</v>
      </c>
      <c r="B164" s="10">
        <f t="shared" si="1"/>
        <v>50</v>
      </c>
      <c r="C164" s="6">
        <f t="shared" si="2"/>
        <v>96.2</v>
      </c>
      <c r="D164" s="6">
        <f t="shared" si="3"/>
        <v>16.395673</v>
      </c>
    </row>
    <row r="165">
      <c r="A165" s="4" t="s">
        <v>12759</v>
      </c>
      <c r="B165" s="10">
        <f t="shared" si="1"/>
        <v>0</v>
      </c>
      <c r="C165" s="6">
        <f t="shared" si="2"/>
        <v>96.2</v>
      </c>
      <c r="D165" s="6">
        <f t="shared" si="3"/>
        <v>16.395423</v>
      </c>
    </row>
    <row r="166">
      <c r="A166" s="4" t="s">
        <v>12760</v>
      </c>
      <c r="B166" s="10">
        <f t="shared" si="1"/>
        <v>0</v>
      </c>
      <c r="C166" s="6">
        <f t="shared" si="2"/>
        <v>96.2</v>
      </c>
      <c r="D166" s="6">
        <f t="shared" si="3"/>
        <v>16.39539</v>
      </c>
    </row>
    <row r="167">
      <c r="A167" s="4" t="s">
        <v>12760</v>
      </c>
      <c r="B167" s="10">
        <f t="shared" si="1"/>
        <v>0</v>
      </c>
      <c r="C167" s="6">
        <f t="shared" si="2"/>
        <v>96.2</v>
      </c>
      <c r="D167" s="6">
        <f t="shared" si="3"/>
        <v>16.39539</v>
      </c>
    </row>
    <row r="168">
      <c r="A168" s="4" t="s">
        <v>12761</v>
      </c>
      <c r="B168" s="10">
        <f t="shared" si="1"/>
        <v>75</v>
      </c>
      <c r="C168" s="6">
        <f t="shared" si="2"/>
        <v>96.2</v>
      </c>
      <c r="D168" s="6">
        <f t="shared" si="3"/>
        <v>16.395403</v>
      </c>
    </row>
    <row r="169">
      <c r="A169" s="4" t="s">
        <v>12762</v>
      </c>
      <c r="B169" s="10">
        <f t="shared" si="1"/>
        <v>0</v>
      </c>
      <c r="C169" s="6">
        <f t="shared" si="2"/>
        <v>96.2</v>
      </c>
      <c r="D169" s="6">
        <f t="shared" si="3"/>
        <v>16.397148</v>
      </c>
    </row>
    <row r="170">
      <c r="A170" s="4" t="s">
        <v>12763</v>
      </c>
      <c r="B170" s="10">
        <f t="shared" si="1"/>
        <v>0</v>
      </c>
      <c r="C170" s="6">
        <f t="shared" si="2"/>
        <v>96.2</v>
      </c>
      <c r="D170" s="6">
        <f t="shared" si="3"/>
        <v>16.394801</v>
      </c>
    </row>
    <row r="171">
      <c r="A171" s="4" t="s">
        <v>12764</v>
      </c>
      <c r="B171" s="10">
        <f t="shared" si="1"/>
        <v>50</v>
      </c>
      <c r="C171" s="6">
        <f t="shared" si="2"/>
        <v>96.2</v>
      </c>
      <c r="D171" s="6">
        <f t="shared" si="3"/>
        <v>16.398856</v>
      </c>
    </row>
    <row r="172">
      <c r="A172" s="4" t="s">
        <v>12765</v>
      </c>
      <c r="B172" s="10">
        <f t="shared" si="1"/>
        <v>0</v>
      </c>
      <c r="C172" s="6">
        <f t="shared" si="2"/>
        <v>96.2</v>
      </c>
      <c r="D172" s="6">
        <f t="shared" si="3"/>
        <v>16.396267</v>
      </c>
    </row>
    <row r="173">
      <c r="A173" s="4" t="s">
        <v>12766</v>
      </c>
      <c r="B173" s="10">
        <f t="shared" si="1"/>
        <v>16.7</v>
      </c>
      <c r="C173" s="6">
        <f t="shared" si="2"/>
        <v>96.2</v>
      </c>
      <c r="D173" s="6">
        <f t="shared" si="3"/>
        <v>16.394833</v>
      </c>
    </row>
    <row r="174">
      <c r="A174" s="4" t="s">
        <v>12767</v>
      </c>
      <c r="B174" s="10">
        <f t="shared" si="1"/>
        <v>0</v>
      </c>
      <c r="C174" s="6">
        <f t="shared" si="2"/>
        <v>96.2</v>
      </c>
      <c r="D174" s="6">
        <f t="shared" si="3"/>
        <v>16.397963</v>
      </c>
    </row>
    <row r="175">
      <c r="A175" s="4" t="s">
        <v>12768</v>
      </c>
      <c r="B175" s="10">
        <f t="shared" si="1"/>
        <v>0</v>
      </c>
      <c r="C175" s="6">
        <f t="shared" si="2"/>
        <v>96.2</v>
      </c>
      <c r="D175" s="6">
        <f t="shared" si="3"/>
        <v>16.396226</v>
      </c>
    </row>
    <row r="176">
      <c r="A176" s="4" t="s">
        <v>12769</v>
      </c>
      <c r="B176" s="10">
        <f t="shared" si="1"/>
        <v>0</v>
      </c>
      <c r="C176" s="6">
        <f t="shared" si="2"/>
        <v>96.2</v>
      </c>
      <c r="D176" s="6">
        <f t="shared" si="3"/>
        <v>16.395284</v>
      </c>
    </row>
    <row r="177">
      <c r="A177" s="4" t="s">
        <v>12770</v>
      </c>
      <c r="B177" s="10">
        <f t="shared" si="1"/>
        <v>0</v>
      </c>
      <c r="C177" s="6">
        <f t="shared" si="2"/>
        <v>96.2</v>
      </c>
      <c r="D177" s="6">
        <f t="shared" si="3"/>
        <v>16.399093</v>
      </c>
    </row>
    <row r="178">
      <c r="A178" s="4" t="s">
        <v>12771</v>
      </c>
      <c r="B178" s="10">
        <f t="shared" si="1"/>
        <v>0</v>
      </c>
      <c r="C178" s="6">
        <f t="shared" si="2"/>
        <v>96.2</v>
      </c>
      <c r="D178" s="6">
        <f t="shared" si="3"/>
        <v>16.395751</v>
      </c>
    </row>
    <row r="179">
      <c r="A179" s="4" t="s">
        <v>12772</v>
      </c>
      <c r="B179" s="10">
        <f t="shared" si="1"/>
        <v>0</v>
      </c>
      <c r="C179" s="6">
        <f t="shared" si="2"/>
        <v>96.3</v>
      </c>
      <c r="D179" s="6">
        <f t="shared" si="3"/>
        <v>16.404062</v>
      </c>
    </row>
    <row r="180">
      <c r="A180" s="4" t="s">
        <v>12773</v>
      </c>
      <c r="B180" s="10">
        <f t="shared" si="1"/>
        <v>0</v>
      </c>
      <c r="C180" s="6">
        <f t="shared" si="2"/>
        <v>96.3</v>
      </c>
      <c r="D180" s="6">
        <f t="shared" si="3"/>
        <v>16.402567</v>
      </c>
    </row>
    <row r="181">
      <c r="A181" s="4" t="s">
        <v>12774</v>
      </c>
      <c r="B181" s="10">
        <f t="shared" si="1"/>
        <v>0</v>
      </c>
      <c r="C181" s="6">
        <f t="shared" si="2"/>
        <v>96.2</v>
      </c>
      <c r="D181" s="6">
        <f t="shared" si="3"/>
        <v>16.401223</v>
      </c>
    </row>
    <row r="182">
      <c r="A182" s="4" t="s">
        <v>12775</v>
      </c>
      <c r="B182" s="10">
        <f t="shared" si="1"/>
        <v>0</v>
      </c>
      <c r="C182" s="6">
        <f t="shared" si="2"/>
        <v>96.3</v>
      </c>
      <c r="D182" s="6">
        <f t="shared" si="3"/>
        <v>16.404103</v>
      </c>
    </row>
    <row r="183">
      <c r="A183" s="4" t="s">
        <v>12776</v>
      </c>
      <c r="B183" s="10">
        <f t="shared" si="1"/>
        <v>0</v>
      </c>
      <c r="C183" s="6">
        <f t="shared" si="2"/>
        <v>96.3</v>
      </c>
      <c r="D183" s="6">
        <f t="shared" si="3"/>
        <v>16.403963</v>
      </c>
    </row>
    <row r="184">
      <c r="A184" s="4" t="s">
        <v>12777</v>
      </c>
      <c r="B184" s="10">
        <f t="shared" si="1"/>
        <v>0</v>
      </c>
      <c r="C184" s="6">
        <f t="shared" si="2"/>
        <v>96.3</v>
      </c>
      <c r="D184" s="6">
        <f t="shared" si="3"/>
        <v>16.402489</v>
      </c>
    </row>
    <row r="185">
      <c r="A185" s="4" t="s">
        <v>12778</v>
      </c>
      <c r="B185" s="10">
        <f t="shared" si="1"/>
        <v>0</v>
      </c>
      <c r="C185" s="6">
        <f t="shared" si="2"/>
        <v>96.3</v>
      </c>
      <c r="D185" s="6">
        <f t="shared" si="3"/>
        <v>16.405946</v>
      </c>
    </row>
    <row r="186">
      <c r="A186" s="4" t="s">
        <v>12779</v>
      </c>
      <c r="B186" s="10">
        <f t="shared" si="1"/>
        <v>0</v>
      </c>
      <c r="C186" s="6">
        <f t="shared" si="2"/>
        <v>96.3</v>
      </c>
      <c r="D186" s="6">
        <f t="shared" si="3"/>
        <v>16.404652</v>
      </c>
    </row>
    <row r="187">
      <c r="A187" s="4" t="s">
        <v>12780</v>
      </c>
      <c r="B187" s="10">
        <f t="shared" si="1"/>
        <v>0</v>
      </c>
      <c r="C187" s="6">
        <f t="shared" si="2"/>
        <v>96.2</v>
      </c>
      <c r="D187" s="6">
        <f t="shared" si="3"/>
        <v>16.400515</v>
      </c>
    </row>
    <row r="188">
      <c r="A188" s="4" t="s">
        <v>12781</v>
      </c>
      <c r="B188" s="10">
        <f t="shared" si="1"/>
        <v>25</v>
      </c>
      <c r="C188" s="6">
        <f t="shared" si="2"/>
        <v>96.2</v>
      </c>
      <c r="D188" s="6">
        <f t="shared" si="3"/>
        <v>16.400404</v>
      </c>
    </row>
    <row r="189">
      <c r="A189" s="4" t="s">
        <v>12782</v>
      </c>
      <c r="B189" s="10">
        <f t="shared" si="1"/>
        <v>0</v>
      </c>
      <c r="C189" s="6">
        <f t="shared" si="2"/>
        <v>96.2</v>
      </c>
      <c r="D189" s="6">
        <f t="shared" si="3"/>
        <v>16.400236</v>
      </c>
    </row>
    <row r="190">
      <c r="A190" s="4" t="s">
        <v>12783</v>
      </c>
      <c r="B190" s="10">
        <f t="shared" si="1"/>
        <v>0</v>
      </c>
      <c r="C190" s="6">
        <f t="shared" si="2"/>
        <v>96.2</v>
      </c>
      <c r="D190" s="6">
        <f t="shared" si="3"/>
        <v>16.399011</v>
      </c>
    </row>
    <row r="191">
      <c r="A191" s="4" t="s">
        <v>12784</v>
      </c>
      <c r="B191" s="10">
        <f t="shared" si="1"/>
        <v>0</v>
      </c>
      <c r="C191" s="6">
        <f t="shared" si="2"/>
        <v>96.2</v>
      </c>
      <c r="D191" s="6">
        <f t="shared" si="3"/>
        <v>16.401666</v>
      </c>
    </row>
    <row r="192">
      <c r="A192" s="4" t="s">
        <v>12785</v>
      </c>
      <c r="B192" s="10">
        <f t="shared" si="1"/>
        <v>0</v>
      </c>
      <c r="C192" s="6">
        <f t="shared" si="2"/>
        <v>96.2</v>
      </c>
      <c r="D192" s="6">
        <f t="shared" si="3"/>
        <v>16.397832</v>
      </c>
    </row>
    <row r="193">
      <c r="A193" s="4" t="s">
        <v>12786</v>
      </c>
      <c r="B193" s="10">
        <f t="shared" si="1"/>
        <v>33.3</v>
      </c>
      <c r="C193" s="6">
        <f t="shared" si="2"/>
        <v>96.2</v>
      </c>
      <c r="D193" s="6">
        <f t="shared" si="3"/>
        <v>16.401645</v>
      </c>
    </row>
    <row r="194">
      <c r="A194" s="4" t="s">
        <v>12787</v>
      </c>
      <c r="B194" s="10">
        <f t="shared" si="1"/>
        <v>0</v>
      </c>
      <c r="C194" s="6">
        <f t="shared" si="2"/>
        <v>96.2</v>
      </c>
      <c r="D194" s="6">
        <f t="shared" si="3"/>
        <v>16.401604</v>
      </c>
    </row>
    <row r="195">
      <c r="A195" s="4" t="s">
        <v>12788</v>
      </c>
      <c r="B195" s="10">
        <f t="shared" si="1"/>
        <v>0</v>
      </c>
      <c r="C195" s="6">
        <f t="shared" si="2"/>
        <v>96.3</v>
      </c>
      <c r="D195" s="6">
        <f t="shared" si="3"/>
        <v>16.405749</v>
      </c>
    </row>
    <row r="196">
      <c r="A196" s="4" t="s">
        <v>12789</v>
      </c>
      <c r="B196" s="10">
        <f t="shared" si="1"/>
        <v>0</v>
      </c>
      <c r="C196" s="6">
        <f t="shared" si="2"/>
        <v>96.3</v>
      </c>
      <c r="D196" s="6">
        <f t="shared" si="3"/>
        <v>16.405323</v>
      </c>
    </row>
    <row r="197">
      <c r="A197" s="4" t="s">
        <v>12790</v>
      </c>
      <c r="B197" s="10">
        <f t="shared" si="1"/>
        <v>0</v>
      </c>
      <c r="C197" s="6">
        <f t="shared" si="2"/>
        <v>96.3</v>
      </c>
      <c r="D197" s="6">
        <f t="shared" si="3"/>
        <v>16.405164</v>
      </c>
    </row>
    <row r="198">
      <c r="A198" s="4" t="s">
        <v>12791</v>
      </c>
      <c r="B198" s="10">
        <f t="shared" si="1"/>
        <v>33.3</v>
      </c>
      <c r="C198" s="6">
        <f t="shared" si="2"/>
        <v>96.3</v>
      </c>
      <c r="D198" s="6">
        <f t="shared" si="3"/>
        <v>16.409829</v>
      </c>
    </row>
    <row r="199">
      <c r="A199" s="4" t="s">
        <v>12792</v>
      </c>
      <c r="B199" s="10">
        <f t="shared" si="1"/>
        <v>0</v>
      </c>
      <c r="C199" s="6">
        <f t="shared" si="2"/>
        <v>96.3</v>
      </c>
      <c r="D199" s="6">
        <f t="shared" si="3"/>
        <v>16.409014</v>
      </c>
    </row>
    <row r="200">
      <c r="A200" s="4" t="s">
        <v>12793</v>
      </c>
      <c r="B200" s="10">
        <f t="shared" si="1"/>
        <v>0</v>
      </c>
      <c r="C200" s="6">
        <f t="shared" si="2"/>
        <v>96.3</v>
      </c>
      <c r="D200" s="6">
        <f t="shared" si="3"/>
        <v>16.409112</v>
      </c>
    </row>
    <row r="201">
      <c r="A201" s="4" t="s">
        <v>12794</v>
      </c>
      <c r="B201" s="10">
        <f t="shared" si="1"/>
        <v>0</v>
      </c>
      <c r="C201" s="6">
        <f t="shared" si="2"/>
        <v>96.4</v>
      </c>
      <c r="D201" s="6">
        <f t="shared" si="3"/>
        <v>16.421134</v>
      </c>
    </row>
    <row r="202">
      <c r="A202" s="4" t="s">
        <v>12795</v>
      </c>
      <c r="B202" s="10">
        <f t="shared" si="1"/>
        <v>0</v>
      </c>
      <c r="C202" s="6">
        <f t="shared" si="2"/>
        <v>96.3</v>
      </c>
      <c r="D202" s="6">
        <f t="shared" si="3"/>
        <v>16.418824</v>
      </c>
    </row>
    <row r="203">
      <c r="A203" s="4" t="s">
        <v>12796</v>
      </c>
      <c r="B203" s="10">
        <f t="shared" si="1"/>
        <v>0</v>
      </c>
      <c r="C203" s="6">
        <f t="shared" si="2"/>
        <v>96.3</v>
      </c>
      <c r="D203" s="6">
        <f t="shared" si="3"/>
        <v>16.413188</v>
      </c>
    </row>
    <row r="204">
      <c r="A204" s="4" t="s">
        <v>12797</v>
      </c>
      <c r="B204" s="10">
        <f t="shared" si="1"/>
        <v>50</v>
      </c>
      <c r="C204" s="6">
        <f t="shared" si="2"/>
        <v>96.3</v>
      </c>
      <c r="D204" s="6">
        <f t="shared" si="3"/>
        <v>16.411127</v>
      </c>
    </row>
    <row r="205">
      <c r="A205" s="4" t="s">
        <v>12798</v>
      </c>
      <c r="B205" s="10">
        <f t="shared" si="1"/>
        <v>20</v>
      </c>
      <c r="C205" s="6">
        <f t="shared" si="2"/>
        <v>96.4</v>
      </c>
      <c r="D205" s="6">
        <f t="shared" si="3"/>
        <v>16.42138</v>
      </c>
    </row>
    <row r="206">
      <c r="A206" s="4" t="s">
        <v>12799</v>
      </c>
      <c r="B206" s="10">
        <f t="shared" si="1"/>
        <v>66.7</v>
      </c>
      <c r="C206" s="6">
        <f t="shared" si="2"/>
        <v>96.4</v>
      </c>
      <c r="D206" s="6">
        <f t="shared" si="3"/>
        <v>16.42235</v>
      </c>
    </row>
    <row r="207">
      <c r="A207" s="4" t="s">
        <v>12800</v>
      </c>
      <c r="B207" s="10">
        <f t="shared" si="1"/>
        <v>0</v>
      </c>
      <c r="C207" s="6">
        <f t="shared" si="2"/>
        <v>96.3</v>
      </c>
      <c r="D207" s="6">
        <f t="shared" si="3"/>
        <v>16.416874</v>
      </c>
    </row>
    <row r="208">
      <c r="A208" s="4" t="s">
        <v>12801</v>
      </c>
      <c r="B208" s="10">
        <f t="shared" si="1"/>
        <v>20</v>
      </c>
      <c r="C208" s="6">
        <f t="shared" si="2"/>
        <v>96.4</v>
      </c>
      <c r="D208" s="6">
        <f t="shared" si="3"/>
        <v>16.420827</v>
      </c>
    </row>
    <row r="209">
      <c r="A209" s="4" t="s">
        <v>12802</v>
      </c>
      <c r="B209" s="10">
        <f t="shared" si="1"/>
        <v>50</v>
      </c>
      <c r="C209" s="6">
        <f t="shared" si="2"/>
        <v>96.4</v>
      </c>
      <c r="D209" s="6">
        <f t="shared" si="3"/>
        <v>16.42267</v>
      </c>
    </row>
    <row r="210">
      <c r="A210" s="4" t="s">
        <v>12803</v>
      </c>
      <c r="B210" s="10">
        <f t="shared" si="1"/>
        <v>0</v>
      </c>
      <c r="C210" s="6">
        <f t="shared" si="2"/>
        <v>96.4</v>
      </c>
      <c r="D210" s="6">
        <f t="shared" si="3"/>
        <v>16.419962</v>
      </c>
    </row>
    <row r="211">
      <c r="A211" s="4" t="s">
        <v>12804</v>
      </c>
      <c r="B211" s="10">
        <f t="shared" si="1"/>
        <v>0</v>
      </c>
      <c r="C211" s="6">
        <f t="shared" si="2"/>
        <v>96.3</v>
      </c>
      <c r="D211" s="6">
        <f t="shared" si="3"/>
        <v>16.416182</v>
      </c>
    </row>
    <row r="212">
      <c r="A212" s="4" t="s">
        <v>12805</v>
      </c>
      <c r="B212" s="10">
        <f t="shared" si="1"/>
        <v>0</v>
      </c>
      <c r="C212" s="6">
        <f t="shared" si="2"/>
        <v>96.3</v>
      </c>
      <c r="D212" s="6">
        <f t="shared" si="3"/>
        <v>16.415903</v>
      </c>
    </row>
    <row r="213">
      <c r="A213" s="4" t="s">
        <v>12806</v>
      </c>
      <c r="B213" s="10">
        <f t="shared" si="1"/>
        <v>0</v>
      </c>
      <c r="C213" s="6">
        <f t="shared" si="2"/>
        <v>96.4</v>
      </c>
      <c r="D213" s="6">
        <f t="shared" si="3"/>
        <v>16.420352</v>
      </c>
    </row>
    <row r="214">
      <c r="A214" s="4" t="s">
        <v>12807</v>
      </c>
      <c r="B214" s="10">
        <f t="shared" si="1"/>
        <v>0</v>
      </c>
      <c r="C214" s="6">
        <f t="shared" si="2"/>
        <v>96.3</v>
      </c>
      <c r="D214" s="6">
        <f t="shared" si="3"/>
        <v>16.418324</v>
      </c>
    </row>
    <row r="215">
      <c r="A215" s="4" t="s">
        <v>12808</v>
      </c>
      <c r="B215" s="10">
        <f t="shared" si="1"/>
        <v>0</v>
      </c>
      <c r="C215" s="6">
        <f t="shared" si="2"/>
        <v>96.8</v>
      </c>
      <c r="D215" s="6">
        <f t="shared" si="3"/>
        <v>16.489377</v>
      </c>
    </row>
    <row r="216">
      <c r="A216" s="4" t="s">
        <v>12809</v>
      </c>
      <c r="B216" s="10">
        <f t="shared" si="1"/>
        <v>0</v>
      </c>
      <c r="C216" s="6">
        <f t="shared" si="2"/>
        <v>96.8</v>
      </c>
      <c r="D216" s="6">
        <f t="shared" si="3"/>
        <v>16.488976</v>
      </c>
    </row>
    <row r="217">
      <c r="A217" s="4" t="s">
        <v>12810</v>
      </c>
      <c r="B217" s="10">
        <f t="shared" si="1"/>
        <v>0</v>
      </c>
      <c r="C217" s="6">
        <f t="shared" si="2"/>
        <v>96.8</v>
      </c>
      <c r="D217" s="6">
        <f t="shared" si="3"/>
        <v>16.48864</v>
      </c>
    </row>
    <row r="218">
      <c r="A218" s="4" t="s">
        <v>12811</v>
      </c>
      <c r="B218" s="10">
        <f t="shared" si="1"/>
        <v>0</v>
      </c>
      <c r="C218" s="6">
        <f t="shared" si="2"/>
        <v>96.7</v>
      </c>
      <c r="D218" s="6">
        <f t="shared" si="3"/>
        <v>16.473239</v>
      </c>
    </row>
    <row r="219">
      <c r="A219" s="4" t="s">
        <v>12812</v>
      </c>
      <c r="B219" s="10">
        <f t="shared" si="1"/>
        <v>0</v>
      </c>
      <c r="C219" s="6">
        <f t="shared" si="2"/>
        <v>96.5</v>
      </c>
      <c r="D219" s="6">
        <f t="shared" si="3"/>
        <v>16.448335</v>
      </c>
    </row>
    <row r="220">
      <c r="A220" s="4" t="s">
        <v>12813</v>
      </c>
      <c r="B220" s="10">
        <f t="shared" si="1"/>
        <v>0</v>
      </c>
      <c r="C220" s="6">
        <f t="shared" si="2"/>
        <v>96.5</v>
      </c>
      <c r="D220" s="6">
        <f t="shared" si="3"/>
        <v>16.449454</v>
      </c>
    </row>
    <row r="221">
      <c r="A221" s="4" t="s">
        <v>12814</v>
      </c>
      <c r="B221" s="10">
        <f t="shared" si="1"/>
        <v>0</v>
      </c>
      <c r="C221" s="6">
        <f t="shared" si="2"/>
        <v>96.5</v>
      </c>
      <c r="D221" s="6">
        <f t="shared" si="3"/>
        <v>16.449413</v>
      </c>
    </row>
    <row r="222">
      <c r="A222" s="4" t="s">
        <v>12815</v>
      </c>
      <c r="B222" s="10">
        <f t="shared" si="1"/>
        <v>100</v>
      </c>
      <c r="C222" s="6">
        <f t="shared" si="2"/>
        <v>96.5</v>
      </c>
      <c r="D222" s="6">
        <f t="shared" si="3"/>
        <v>16.452075</v>
      </c>
    </row>
    <row r="223">
      <c r="A223" s="4" t="s">
        <v>12816</v>
      </c>
      <c r="B223" s="10">
        <f t="shared" si="1"/>
        <v>33.3</v>
      </c>
      <c r="C223" s="6">
        <f t="shared" si="2"/>
        <v>96.5</v>
      </c>
      <c r="D223" s="6">
        <f t="shared" si="3"/>
        <v>16.453279</v>
      </c>
    </row>
    <row r="224">
      <c r="A224" s="4" t="s">
        <v>12817</v>
      </c>
      <c r="B224" s="10">
        <f t="shared" si="1"/>
        <v>33.3</v>
      </c>
      <c r="C224" s="6">
        <f t="shared" si="2"/>
        <v>96.5</v>
      </c>
      <c r="D224" s="6">
        <f t="shared" si="3"/>
        <v>16.452947</v>
      </c>
    </row>
    <row r="225">
      <c r="A225" s="4" t="s">
        <v>12818</v>
      </c>
      <c r="B225" s="10">
        <f t="shared" si="1"/>
        <v>0</v>
      </c>
      <c r="C225" s="6">
        <f t="shared" si="2"/>
        <v>96.5</v>
      </c>
      <c r="D225" s="6">
        <f t="shared" si="3"/>
        <v>16.45321</v>
      </c>
    </row>
    <row r="226">
      <c r="A226" s="4" t="s">
        <v>12819</v>
      </c>
      <c r="B226" s="10">
        <f t="shared" si="1"/>
        <v>0</v>
      </c>
      <c r="C226" s="6">
        <f t="shared" si="2"/>
        <v>96.5</v>
      </c>
      <c r="D226" s="6">
        <f t="shared" si="3"/>
        <v>16.44521</v>
      </c>
    </row>
    <row r="227">
      <c r="A227" s="4" t="s">
        <v>12820</v>
      </c>
      <c r="B227" s="10">
        <f t="shared" si="1"/>
        <v>0</v>
      </c>
      <c r="C227" s="6">
        <f t="shared" si="2"/>
        <v>96.5</v>
      </c>
      <c r="D227" s="6">
        <f t="shared" si="3"/>
        <v>16.444325</v>
      </c>
    </row>
    <row r="228">
      <c r="A228" s="4" t="s">
        <v>12821</v>
      </c>
      <c r="B228" s="10">
        <f t="shared" si="1"/>
        <v>66.7</v>
      </c>
      <c r="C228" s="6">
        <f t="shared" si="2"/>
        <v>96.6</v>
      </c>
      <c r="D228" s="6">
        <f t="shared" si="3"/>
        <v>16.454598</v>
      </c>
    </row>
    <row r="229">
      <c r="A229" s="4" t="s">
        <v>12822</v>
      </c>
      <c r="B229" s="10">
        <f t="shared" si="1"/>
        <v>0</v>
      </c>
      <c r="C229" s="6">
        <f t="shared" si="2"/>
        <v>96.6</v>
      </c>
      <c r="D229" s="6">
        <f t="shared" si="3"/>
        <v>16.459149</v>
      </c>
    </row>
    <row r="230">
      <c r="A230" s="4" t="s">
        <v>12823</v>
      </c>
      <c r="B230" s="10">
        <f t="shared" si="1"/>
        <v>0</v>
      </c>
      <c r="C230" s="6">
        <f t="shared" si="2"/>
        <v>96.6</v>
      </c>
      <c r="D230" s="6">
        <f t="shared" si="3"/>
        <v>16.45878</v>
      </c>
    </row>
    <row r="231">
      <c r="A231" s="4" t="s">
        <v>12824</v>
      </c>
      <c r="B231" s="10">
        <f t="shared" si="1"/>
        <v>0</v>
      </c>
      <c r="C231" s="6">
        <f t="shared" si="2"/>
        <v>96.6</v>
      </c>
      <c r="D231" s="6">
        <f t="shared" si="3"/>
        <v>16.459976</v>
      </c>
    </row>
    <row r="232">
      <c r="A232" s="4" t="s">
        <v>12213</v>
      </c>
      <c r="B232" s="10">
        <f t="shared" si="1"/>
        <v>0</v>
      </c>
      <c r="C232" s="6">
        <f t="shared" si="2"/>
        <v>96.6</v>
      </c>
      <c r="D232" s="6">
        <f t="shared" si="3"/>
        <v>16.459382</v>
      </c>
    </row>
    <row r="233">
      <c r="A233" s="4" t="s">
        <v>12825</v>
      </c>
      <c r="B233" s="10">
        <f t="shared" si="1"/>
        <v>0</v>
      </c>
      <c r="C233" s="6">
        <f t="shared" si="2"/>
        <v>96.6</v>
      </c>
      <c r="D233" s="6">
        <f t="shared" si="3"/>
        <v>16.4593</v>
      </c>
    </row>
    <row r="234">
      <c r="A234" s="4" t="s">
        <v>12826</v>
      </c>
      <c r="B234" s="10">
        <f t="shared" si="1"/>
        <v>22.2</v>
      </c>
      <c r="C234" s="6">
        <f t="shared" si="2"/>
        <v>96.6</v>
      </c>
      <c r="D234" s="6">
        <f t="shared" si="3"/>
        <v>16.458653</v>
      </c>
    </row>
    <row r="235">
      <c r="A235" s="4" t="s">
        <v>12827</v>
      </c>
      <c r="B235" s="10">
        <f t="shared" si="1"/>
        <v>0</v>
      </c>
      <c r="C235" s="6">
        <f t="shared" si="2"/>
        <v>96.6</v>
      </c>
      <c r="D235" s="6">
        <f t="shared" si="3"/>
        <v>16.458158</v>
      </c>
    </row>
    <row r="236">
      <c r="A236" s="4" t="s">
        <v>12828</v>
      </c>
      <c r="B236" s="10">
        <f t="shared" si="1"/>
        <v>40</v>
      </c>
      <c r="C236" s="6">
        <f t="shared" si="2"/>
        <v>96.6</v>
      </c>
      <c r="D236" s="6">
        <f t="shared" si="3"/>
        <v>16.460984</v>
      </c>
    </row>
    <row r="237">
      <c r="A237" s="4" t="s">
        <v>12829</v>
      </c>
      <c r="B237" s="10">
        <f t="shared" si="1"/>
        <v>0</v>
      </c>
      <c r="C237" s="6">
        <f t="shared" si="2"/>
        <v>96.6</v>
      </c>
      <c r="D237" s="6">
        <f t="shared" si="3"/>
        <v>16.466923</v>
      </c>
    </row>
    <row r="238">
      <c r="A238" s="4" t="s">
        <v>12830</v>
      </c>
      <c r="B238" s="10">
        <f t="shared" si="1"/>
        <v>0</v>
      </c>
      <c r="C238" s="6">
        <f t="shared" si="2"/>
        <v>96.6</v>
      </c>
      <c r="D238" s="6">
        <f t="shared" si="3"/>
        <v>16.467259</v>
      </c>
    </row>
    <row r="239">
      <c r="A239" s="4" t="s">
        <v>12831</v>
      </c>
      <c r="B239" s="10">
        <f t="shared" si="1"/>
        <v>0</v>
      </c>
      <c r="C239" s="6">
        <f t="shared" si="2"/>
        <v>96.6</v>
      </c>
      <c r="D239" s="6">
        <f t="shared" si="3"/>
        <v>16.467128</v>
      </c>
    </row>
    <row r="240">
      <c r="A240" s="4" t="s">
        <v>12832</v>
      </c>
      <c r="B240" s="10">
        <f t="shared" si="1"/>
        <v>0</v>
      </c>
      <c r="C240" s="6">
        <f t="shared" si="2"/>
        <v>96.6</v>
      </c>
      <c r="D240" s="6">
        <f t="shared" si="3"/>
        <v>16.466636</v>
      </c>
    </row>
    <row r="241">
      <c r="A241" s="4" t="s">
        <v>12833</v>
      </c>
      <c r="B241" s="10">
        <f t="shared" si="1"/>
        <v>0</v>
      </c>
      <c r="C241" s="6">
        <f t="shared" si="2"/>
        <v>96.6</v>
      </c>
      <c r="D241" s="6">
        <f t="shared" si="3"/>
        <v>16.468553</v>
      </c>
    </row>
    <row r="242">
      <c r="A242" s="4" t="s">
        <v>12834</v>
      </c>
      <c r="B242" s="10">
        <f t="shared" si="1"/>
        <v>25</v>
      </c>
      <c r="C242" s="6">
        <f t="shared" si="2"/>
        <v>96.6</v>
      </c>
      <c r="D242" s="6">
        <f t="shared" si="3"/>
        <v>16.46843</v>
      </c>
    </row>
    <row r="243">
      <c r="A243" s="4" t="s">
        <v>12835</v>
      </c>
      <c r="B243" s="10">
        <f t="shared" si="1"/>
        <v>0</v>
      </c>
      <c r="C243" s="6">
        <f t="shared" si="2"/>
        <v>96.6</v>
      </c>
      <c r="D243" s="6">
        <f t="shared" si="3"/>
        <v>16.468185</v>
      </c>
    </row>
    <row r="244">
      <c r="A244" s="4" t="s">
        <v>12836</v>
      </c>
      <c r="B244" s="10">
        <f t="shared" si="1"/>
        <v>0</v>
      </c>
      <c r="C244" s="6">
        <f t="shared" si="2"/>
        <v>96.6</v>
      </c>
      <c r="D244" s="6">
        <f t="shared" si="3"/>
        <v>16.46936</v>
      </c>
    </row>
    <row r="245">
      <c r="A245" s="4" t="s">
        <v>12837</v>
      </c>
      <c r="B245" s="10">
        <f t="shared" si="1"/>
        <v>0</v>
      </c>
      <c r="C245" s="6">
        <f t="shared" si="2"/>
        <v>96.8</v>
      </c>
      <c r="D245" s="6">
        <f t="shared" si="3"/>
        <v>16.490618</v>
      </c>
    </row>
    <row r="246">
      <c r="A246" s="4" t="s">
        <v>12838</v>
      </c>
      <c r="B246" s="10">
        <f t="shared" si="1"/>
        <v>0</v>
      </c>
      <c r="C246" s="6">
        <f t="shared" si="2"/>
        <v>96.9</v>
      </c>
      <c r="D246" s="6">
        <f t="shared" si="3"/>
        <v>16.507346</v>
      </c>
    </row>
    <row r="247">
      <c r="A247" s="4" t="s">
        <v>12839</v>
      </c>
      <c r="B247" s="10">
        <f t="shared" si="1"/>
        <v>100</v>
      </c>
      <c r="C247" s="6">
        <f t="shared" si="2"/>
        <v>96.9</v>
      </c>
      <c r="D247" s="6">
        <f t="shared" si="3"/>
        <v>16.505958</v>
      </c>
    </row>
    <row r="248">
      <c r="A248" s="4" t="s">
        <v>12840</v>
      </c>
      <c r="B248" s="10">
        <f t="shared" si="1"/>
        <v>0</v>
      </c>
      <c r="C248" s="6">
        <f t="shared" si="2"/>
        <v>96.9</v>
      </c>
      <c r="D248" s="6">
        <f t="shared" si="3"/>
        <v>16.505954</v>
      </c>
    </row>
    <row r="249">
      <c r="A249" s="4" t="s">
        <v>12841</v>
      </c>
      <c r="B249" s="10">
        <f t="shared" si="1"/>
        <v>0</v>
      </c>
      <c r="C249" s="6">
        <f t="shared" si="2"/>
        <v>96.9</v>
      </c>
      <c r="D249" s="6">
        <f t="shared" si="3"/>
        <v>16.508825</v>
      </c>
    </row>
    <row r="250">
      <c r="A250" s="4" t="s">
        <v>12842</v>
      </c>
      <c r="B250" s="10">
        <f t="shared" si="1"/>
        <v>0</v>
      </c>
      <c r="C250" s="6">
        <f t="shared" si="2"/>
        <v>96.9</v>
      </c>
      <c r="D250" s="6">
        <f t="shared" si="3"/>
        <v>16.507084</v>
      </c>
    </row>
    <row r="251">
      <c r="A251" s="4" t="s">
        <v>12843</v>
      </c>
      <c r="B251" s="10">
        <f t="shared" si="1"/>
        <v>0</v>
      </c>
      <c r="C251" s="6">
        <f t="shared" si="2"/>
        <v>96.9</v>
      </c>
      <c r="D251" s="6">
        <f t="shared" si="3"/>
        <v>16.506228</v>
      </c>
    </row>
    <row r="252">
      <c r="A252" s="4" t="s">
        <v>12844</v>
      </c>
      <c r="B252" s="10">
        <f t="shared" si="1"/>
        <v>0</v>
      </c>
      <c r="C252" s="6">
        <f t="shared" si="2"/>
        <v>96.9</v>
      </c>
      <c r="D252" s="6">
        <f t="shared" si="3"/>
        <v>16.507113</v>
      </c>
    </row>
    <row r="253">
      <c r="A253" s="4" t="s">
        <v>12845</v>
      </c>
      <c r="B253" s="10">
        <f t="shared" si="1"/>
        <v>0</v>
      </c>
      <c r="C253" s="6">
        <f t="shared" si="2"/>
        <v>96.9</v>
      </c>
      <c r="D253" s="6">
        <f t="shared" si="3"/>
        <v>16.509341</v>
      </c>
    </row>
    <row r="254">
      <c r="A254" s="4" t="s">
        <v>12846</v>
      </c>
      <c r="B254" s="10">
        <f t="shared" si="1"/>
        <v>0</v>
      </c>
      <c r="C254" s="6">
        <f t="shared" si="2"/>
        <v>96.9</v>
      </c>
      <c r="D254" s="6">
        <f t="shared" si="3"/>
        <v>16.508567</v>
      </c>
    </row>
    <row r="255">
      <c r="A255" s="4" t="s">
        <v>12847</v>
      </c>
      <c r="B255" s="10">
        <f t="shared" si="1"/>
        <v>0</v>
      </c>
      <c r="C255" s="6">
        <f t="shared" si="2"/>
        <v>96.9</v>
      </c>
      <c r="D255" s="6">
        <f t="shared" si="3"/>
        <v>16.5076</v>
      </c>
    </row>
    <row r="256">
      <c r="A256" s="4" t="s">
        <v>12848</v>
      </c>
      <c r="B256" s="10">
        <f t="shared" si="1"/>
        <v>0</v>
      </c>
      <c r="C256" s="6">
        <f t="shared" si="2"/>
        <v>96.9</v>
      </c>
      <c r="D256" s="6">
        <f t="shared" si="3"/>
        <v>16.511754</v>
      </c>
    </row>
    <row r="257">
      <c r="A257" s="4" t="s">
        <v>12849</v>
      </c>
      <c r="B257" s="10">
        <f t="shared" si="1"/>
        <v>0</v>
      </c>
      <c r="C257" s="6">
        <f t="shared" si="2"/>
        <v>96.9</v>
      </c>
      <c r="D257" s="6">
        <f t="shared" si="3"/>
        <v>16.510795</v>
      </c>
    </row>
    <row r="258">
      <c r="A258" s="4" t="s">
        <v>12850</v>
      </c>
      <c r="B258" s="10">
        <f t="shared" si="1"/>
        <v>0</v>
      </c>
      <c r="C258" s="6">
        <f t="shared" si="2"/>
        <v>96.9</v>
      </c>
      <c r="D258" s="6">
        <f t="shared" si="3"/>
        <v>16.509386</v>
      </c>
    </row>
    <row r="259">
      <c r="A259" s="4" t="s">
        <v>12851</v>
      </c>
      <c r="B259" s="10">
        <f t="shared" si="1"/>
        <v>20</v>
      </c>
      <c r="C259" s="6">
        <f t="shared" si="2"/>
        <v>96.9</v>
      </c>
      <c r="D259" s="6">
        <f t="shared" si="3"/>
        <v>16.51422</v>
      </c>
    </row>
    <row r="260">
      <c r="A260" s="4" t="s">
        <v>12852</v>
      </c>
      <c r="B260" s="10">
        <f t="shared" si="1"/>
        <v>0</v>
      </c>
      <c r="C260" s="6">
        <f t="shared" si="2"/>
        <v>96.9</v>
      </c>
      <c r="D260" s="6">
        <f t="shared" si="3"/>
        <v>16.511205</v>
      </c>
    </row>
    <row r="261">
      <c r="A261" s="4" t="s">
        <v>12853</v>
      </c>
      <c r="B261" s="10">
        <f t="shared" si="1"/>
        <v>0</v>
      </c>
      <c r="C261" s="6">
        <f t="shared" si="2"/>
        <v>96.9</v>
      </c>
      <c r="D261" s="6">
        <f t="shared" si="3"/>
        <v>16.512929</v>
      </c>
    </row>
    <row r="262">
      <c r="A262" s="4" t="s">
        <v>12854</v>
      </c>
      <c r="B262" s="10">
        <f t="shared" si="1"/>
        <v>0</v>
      </c>
      <c r="C262" s="6">
        <f t="shared" si="2"/>
        <v>96.9</v>
      </c>
      <c r="D262" s="6">
        <f t="shared" si="3"/>
        <v>16.512192</v>
      </c>
    </row>
    <row r="263">
      <c r="A263" s="4" t="s">
        <v>12855</v>
      </c>
      <c r="B263" s="10">
        <f t="shared" si="1"/>
        <v>0</v>
      </c>
      <c r="C263" s="6">
        <f t="shared" si="2"/>
        <v>96.9</v>
      </c>
      <c r="D263" s="6">
        <f t="shared" si="3"/>
        <v>16.511471</v>
      </c>
    </row>
    <row r="264">
      <c r="A264" s="4" t="s">
        <v>12856</v>
      </c>
      <c r="B264" s="10">
        <f t="shared" si="1"/>
        <v>0</v>
      </c>
      <c r="C264" s="6">
        <f t="shared" si="2"/>
        <v>96.9</v>
      </c>
      <c r="D264" s="6">
        <f t="shared" si="3"/>
        <v>16.510922</v>
      </c>
    </row>
    <row r="265">
      <c r="A265" s="4" t="s">
        <v>12857</v>
      </c>
      <c r="B265" s="10">
        <f t="shared" si="1"/>
        <v>0</v>
      </c>
      <c r="C265" s="6">
        <f t="shared" si="2"/>
        <v>96.9</v>
      </c>
      <c r="D265" s="6">
        <f t="shared" si="3"/>
        <v>16.513654</v>
      </c>
    </row>
    <row r="266">
      <c r="A266" s="4" t="s">
        <v>12858</v>
      </c>
      <c r="B266" s="10">
        <f t="shared" si="1"/>
        <v>0</v>
      </c>
      <c r="C266" s="6">
        <f t="shared" si="2"/>
        <v>96.9</v>
      </c>
      <c r="D266" s="6">
        <f t="shared" si="3"/>
        <v>16.511184</v>
      </c>
    </row>
    <row r="267">
      <c r="A267" s="4" t="s">
        <v>12859</v>
      </c>
      <c r="B267" s="10">
        <f t="shared" si="1"/>
        <v>0</v>
      </c>
      <c r="C267" s="6">
        <f t="shared" si="2"/>
        <v>96.9</v>
      </c>
      <c r="D267" s="6">
        <f t="shared" si="3"/>
        <v>16.509759</v>
      </c>
    </row>
    <row r="268">
      <c r="A268" s="4" t="s">
        <v>12860</v>
      </c>
      <c r="B268" s="10">
        <f t="shared" si="1"/>
        <v>0</v>
      </c>
      <c r="C268" s="6">
        <f t="shared" si="2"/>
        <v>96.9</v>
      </c>
      <c r="D268" s="6">
        <f t="shared" si="3"/>
        <v>16.512131</v>
      </c>
    </row>
    <row r="269">
      <c r="A269" s="4" t="s">
        <v>12861</v>
      </c>
      <c r="B269" s="10">
        <f t="shared" si="1"/>
        <v>0</v>
      </c>
      <c r="C269" s="6">
        <f t="shared" si="2"/>
        <v>96.9</v>
      </c>
      <c r="D269" s="6">
        <f t="shared" si="3"/>
        <v>16.509714</v>
      </c>
    </row>
    <row r="270">
      <c r="A270" s="4" t="s">
        <v>12862</v>
      </c>
      <c r="B270" s="10">
        <f t="shared" si="1"/>
        <v>0</v>
      </c>
      <c r="C270" s="6">
        <f t="shared" si="2"/>
        <v>96.9</v>
      </c>
      <c r="D270" s="6">
        <f t="shared" si="3"/>
        <v>16.509652</v>
      </c>
    </row>
    <row r="271">
      <c r="A271" s="4" t="s">
        <v>12863</v>
      </c>
      <c r="B271" s="10">
        <f t="shared" si="1"/>
        <v>0</v>
      </c>
      <c r="C271" s="6">
        <f t="shared" si="2"/>
        <v>96.9</v>
      </c>
      <c r="D271" s="6">
        <f t="shared" si="3"/>
        <v>16.514285</v>
      </c>
    </row>
    <row r="272">
      <c r="A272" s="4" t="s">
        <v>12864</v>
      </c>
      <c r="B272" s="10">
        <f t="shared" si="1"/>
        <v>0</v>
      </c>
      <c r="C272" s="6">
        <f t="shared" si="2"/>
        <v>96.9</v>
      </c>
      <c r="D272" s="6">
        <f t="shared" si="3"/>
        <v>16.512</v>
      </c>
    </row>
    <row r="273">
      <c r="A273" s="4" t="s">
        <v>12865</v>
      </c>
      <c r="B273" s="10">
        <f t="shared" si="1"/>
        <v>0</v>
      </c>
      <c r="C273" s="6">
        <f t="shared" si="2"/>
        <v>96.9</v>
      </c>
      <c r="D273" s="6">
        <f t="shared" si="3"/>
        <v>16.511328</v>
      </c>
    </row>
    <row r="274">
      <c r="A274" s="4" t="s">
        <v>12866</v>
      </c>
      <c r="B274" s="10">
        <f t="shared" si="1"/>
        <v>100</v>
      </c>
      <c r="C274" s="6">
        <f t="shared" si="2"/>
        <v>96.9</v>
      </c>
      <c r="D274" s="6">
        <f t="shared" si="3"/>
        <v>16.510676</v>
      </c>
    </row>
    <row r="275">
      <c r="A275" s="4" t="s">
        <v>12867</v>
      </c>
      <c r="B275" s="10">
        <f t="shared" si="1"/>
        <v>0</v>
      </c>
      <c r="C275" s="6">
        <f t="shared" si="2"/>
        <v>96.9</v>
      </c>
      <c r="D275" s="6">
        <f t="shared" si="3"/>
        <v>16.510431</v>
      </c>
    </row>
    <row r="276">
      <c r="A276" s="4" t="s">
        <v>12868</v>
      </c>
      <c r="B276" s="10">
        <f t="shared" si="1"/>
        <v>0</v>
      </c>
      <c r="C276" s="6">
        <f t="shared" si="2"/>
        <v>96.9</v>
      </c>
      <c r="D276" s="6">
        <f t="shared" si="3"/>
        <v>16.512991</v>
      </c>
    </row>
    <row r="277">
      <c r="A277" s="4" t="s">
        <v>12869</v>
      </c>
      <c r="B277" s="10">
        <f t="shared" si="1"/>
        <v>0</v>
      </c>
      <c r="C277" s="6">
        <f t="shared" si="2"/>
        <v>96.9</v>
      </c>
      <c r="D277" s="6">
        <f t="shared" si="3"/>
        <v>16.510509</v>
      </c>
    </row>
    <row r="278">
      <c r="A278" s="4" t="s">
        <v>12870</v>
      </c>
      <c r="B278" s="10">
        <f t="shared" si="1"/>
        <v>0</v>
      </c>
      <c r="C278" s="6">
        <f t="shared" si="2"/>
        <v>96.9</v>
      </c>
      <c r="D278" s="6">
        <f t="shared" si="3"/>
        <v>16.519409</v>
      </c>
    </row>
    <row r="279">
      <c r="A279" s="4" t="s">
        <v>12871</v>
      </c>
      <c r="B279" s="10">
        <f t="shared" si="1"/>
        <v>10</v>
      </c>
      <c r="C279" s="6">
        <f t="shared" si="2"/>
        <v>97.1</v>
      </c>
      <c r="D279" s="6">
        <f t="shared" si="3"/>
        <v>16.544022</v>
      </c>
    </row>
    <row r="280">
      <c r="A280" s="4" t="s">
        <v>12872</v>
      </c>
      <c r="B280" s="10">
        <f t="shared" si="1"/>
        <v>0</v>
      </c>
      <c r="C280" s="6">
        <f t="shared" si="2"/>
        <v>97.1</v>
      </c>
      <c r="D280" s="6">
        <f t="shared" si="3"/>
        <v>16.543309</v>
      </c>
    </row>
    <row r="281">
      <c r="A281" s="4" t="s">
        <v>12873</v>
      </c>
      <c r="B281" s="10">
        <f t="shared" si="1"/>
        <v>50</v>
      </c>
      <c r="C281" s="6">
        <f t="shared" si="2"/>
        <v>97.1</v>
      </c>
      <c r="D281" s="6">
        <f t="shared" si="3"/>
        <v>16.54539</v>
      </c>
    </row>
    <row r="282">
      <c r="A282" s="4" t="s">
        <v>12874</v>
      </c>
      <c r="B282" s="10">
        <f t="shared" si="1"/>
        <v>0</v>
      </c>
      <c r="C282" s="6">
        <f t="shared" si="2"/>
        <v>97.1</v>
      </c>
      <c r="D282" s="6">
        <f t="shared" si="3"/>
        <v>16.544186</v>
      </c>
    </row>
    <row r="283">
      <c r="A283" s="4" t="s">
        <v>12875</v>
      </c>
      <c r="B283" s="10">
        <f t="shared" si="1"/>
        <v>33.3</v>
      </c>
      <c r="C283" s="6">
        <f t="shared" si="2"/>
        <v>97.1</v>
      </c>
      <c r="D283" s="6">
        <f t="shared" si="3"/>
        <v>16.543801</v>
      </c>
    </row>
    <row r="284">
      <c r="A284" s="4" t="s">
        <v>12876</v>
      </c>
      <c r="B284" s="10">
        <f t="shared" si="1"/>
        <v>0</v>
      </c>
      <c r="C284" s="6">
        <f t="shared" si="2"/>
        <v>97.1</v>
      </c>
      <c r="D284" s="6">
        <f t="shared" si="3"/>
        <v>16.551538</v>
      </c>
    </row>
    <row r="285">
      <c r="A285" s="4" t="s">
        <v>12877</v>
      </c>
      <c r="B285" s="10">
        <f t="shared" si="1"/>
        <v>0</v>
      </c>
      <c r="C285" s="6">
        <f t="shared" si="2"/>
        <v>97.1</v>
      </c>
      <c r="D285" s="6">
        <f t="shared" si="3"/>
        <v>16.548089</v>
      </c>
    </row>
    <row r="286">
      <c r="A286" s="4" t="s">
        <v>12878</v>
      </c>
      <c r="B286" s="10">
        <f t="shared" si="1"/>
        <v>0</v>
      </c>
      <c r="C286" s="6">
        <f t="shared" si="2"/>
        <v>97.1</v>
      </c>
      <c r="D286" s="6">
        <f t="shared" si="3"/>
        <v>16.548253</v>
      </c>
    </row>
    <row r="287">
      <c r="A287" s="4" t="s">
        <v>12879</v>
      </c>
      <c r="B287" s="10">
        <f t="shared" si="1"/>
        <v>25</v>
      </c>
      <c r="C287" s="6">
        <f t="shared" si="2"/>
        <v>97.2</v>
      </c>
      <c r="D287" s="6">
        <f t="shared" si="3"/>
        <v>16.561737</v>
      </c>
    </row>
    <row r="288">
      <c r="A288" s="4" t="s">
        <v>12880</v>
      </c>
      <c r="B288" s="10">
        <f t="shared" si="1"/>
        <v>100</v>
      </c>
      <c r="C288" s="6">
        <f t="shared" si="2"/>
        <v>97.2</v>
      </c>
      <c r="D288" s="6">
        <f t="shared" si="3"/>
        <v>16.561029</v>
      </c>
    </row>
    <row r="289">
      <c r="A289" s="4" t="s">
        <v>12881</v>
      </c>
      <c r="B289" s="10">
        <f t="shared" si="1"/>
        <v>0</v>
      </c>
      <c r="C289" s="6">
        <f t="shared" si="2"/>
        <v>97.2</v>
      </c>
      <c r="D289" s="6">
        <f t="shared" si="3"/>
        <v>16.561983</v>
      </c>
    </row>
    <row r="290">
      <c r="A290" s="4" t="s">
        <v>12882</v>
      </c>
      <c r="B290" s="10">
        <f t="shared" si="1"/>
        <v>0</v>
      </c>
      <c r="C290" s="6">
        <f t="shared" si="2"/>
        <v>97.2</v>
      </c>
      <c r="D290" s="6">
        <f t="shared" si="3"/>
        <v>16.567001</v>
      </c>
    </row>
    <row r="291">
      <c r="A291" s="4" t="s">
        <v>12883</v>
      </c>
      <c r="B291" s="10">
        <f t="shared" si="1"/>
        <v>0</v>
      </c>
      <c r="C291" s="6">
        <f t="shared" si="2"/>
        <v>97.3</v>
      </c>
      <c r="D291" s="6">
        <f t="shared" si="3"/>
        <v>16.583946</v>
      </c>
    </row>
    <row r="292">
      <c r="A292" s="4" t="s">
        <v>12884</v>
      </c>
      <c r="B292" s="10">
        <f t="shared" si="1"/>
        <v>0</v>
      </c>
      <c r="C292" s="6">
        <f t="shared" si="2"/>
        <v>97.3</v>
      </c>
      <c r="D292" s="6">
        <f t="shared" si="3"/>
        <v>16.579874</v>
      </c>
    </row>
    <row r="293">
      <c r="A293" s="4" t="s">
        <v>12885</v>
      </c>
      <c r="B293" s="10">
        <f t="shared" si="1"/>
        <v>0</v>
      </c>
      <c r="C293" s="6">
        <f t="shared" si="2"/>
        <v>97.2</v>
      </c>
      <c r="D293" s="6">
        <f t="shared" si="3"/>
        <v>16.570609</v>
      </c>
    </row>
    <row r="294">
      <c r="A294" s="4" t="s">
        <v>12886</v>
      </c>
      <c r="B294" s="10">
        <f t="shared" si="1"/>
        <v>0</v>
      </c>
      <c r="C294" s="6">
        <f t="shared" si="2"/>
        <v>97.2</v>
      </c>
      <c r="D294" s="6">
        <f t="shared" si="3"/>
        <v>16.569405</v>
      </c>
    </row>
    <row r="295">
      <c r="A295" s="4" t="s">
        <v>12887</v>
      </c>
      <c r="B295" s="10">
        <f t="shared" si="1"/>
        <v>0</v>
      </c>
      <c r="C295" s="6">
        <f t="shared" si="2"/>
        <v>97.2</v>
      </c>
      <c r="D295" s="6">
        <f t="shared" si="3"/>
        <v>16.569229</v>
      </c>
    </row>
    <row r="296">
      <c r="A296" s="4" t="s">
        <v>12888</v>
      </c>
      <c r="B296" s="10">
        <f t="shared" si="1"/>
        <v>100</v>
      </c>
      <c r="C296" s="6">
        <f t="shared" si="2"/>
        <v>97.3</v>
      </c>
      <c r="D296" s="6">
        <f t="shared" si="3"/>
        <v>16.572616</v>
      </c>
    </row>
    <row r="297">
      <c r="A297" s="4" t="s">
        <v>12889</v>
      </c>
      <c r="B297" s="10">
        <f t="shared" si="1"/>
        <v>0</v>
      </c>
      <c r="C297" s="6">
        <f t="shared" si="2"/>
        <v>97.2</v>
      </c>
      <c r="D297" s="6">
        <f t="shared" si="3"/>
        <v>16.572313</v>
      </c>
    </row>
    <row r="298">
      <c r="A298" s="4" t="s">
        <v>12890</v>
      </c>
      <c r="B298" s="10">
        <f t="shared" si="1"/>
        <v>100</v>
      </c>
      <c r="C298" s="6">
        <f t="shared" si="2"/>
        <v>97.2</v>
      </c>
      <c r="D298" s="6">
        <f t="shared" si="3"/>
        <v>16.571019</v>
      </c>
    </row>
    <row r="299">
      <c r="A299" s="4" t="s">
        <v>12891</v>
      </c>
      <c r="B299" s="10">
        <f t="shared" si="1"/>
        <v>0</v>
      </c>
      <c r="C299" s="6">
        <f t="shared" si="2"/>
        <v>97.2</v>
      </c>
      <c r="D299" s="6">
        <f t="shared" si="3"/>
        <v>16.568717</v>
      </c>
    </row>
    <row r="300">
      <c r="A300" s="4" t="s">
        <v>12892</v>
      </c>
      <c r="B300" s="10">
        <f t="shared" si="1"/>
        <v>50</v>
      </c>
      <c r="C300" s="6">
        <f t="shared" si="2"/>
        <v>97.3</v>
      </c>
      <c r="D300" s="6">
        <f t="shared" si="3"/>
        <v>16.572739</v>
      </c>
    </row>
    <row r="301">
      <c r="A301" s="4" t="s">
        <v>12893</v>
      </c>
      <c r="B301" s="10">
        <f t="shared" si="1"/>
        <v>50</v>
      </c>
      <c r="C301" s="6">
        <f t="shared" si="2"/>
        <v>97.3</v>
      </c>
      <c r="D301" s="6">
        <f t="shared" si="3"/>
        <v>16.576983</v>
      </c>
    </row>
    <row r="302">
      <c r="A302" s="4" t="s">
        <v>12894</v>
      </c>
      <c r="B302" s="10">
        <f t="shared" si="1"/>
        <v>0</v>
      </c>
      <c r="C302" s="6">
        <f t="shared" si="2"/>
        <v>97.5</v>
      </c>
      <c r="D302" s="6">
        <f t="shared" si="3"/>
        <v>16.607412</v>
      </c>
    </row>
    <row r="303">
      <c r="A303" s="4" t="s">
        <v>12895</v>
      </c>
      <c r="B303" s="10">
        <f t="shared" si="1"/>
        <v>0</v>
      </c>
      <c r="C303" s="6">
        <f t="shared" si="2"/>
        <v>97.6</v>
      </c>
      <c r="D303" s="6">
        <f t="shared" si="3"/>
        <v>16.639705</v>
      </c>
    </row>
    <row r="304">
      <c r="A304" s="4" t="s">
        <v>12896</v>
      </c>
      <c r="B304" s="10">
        <f t="shared" si="1"/>
        <v>0</v>
      </c>
      <c r="C304" s="6">
        <f t="shared" si="2"/>
        <v>97.4</v>
      </c>
      <c r="D304" s="6">
        <f t="shared" si="3"/>
        <v>16.605208</v>
      </c>
    </row>
    <row r="305">
      <c r="A305" s="4" t="s">
        <v>12897</v>
      </c>
      <c r="B305" s="10">
        <f t="shared" si="1"/>
        <v>0</v>
      </c>
      <c r="C305" s="6">
        <f t="shared" si="2"/>
        <v>97.8</v>
      </c>
      <c r="D305" s="6">
        <f t="shared" si="3"/>
        <v>16.665124</v>
      </c>
    </row>
    <row r="306">
      <c r="A306" s="4" t="s">
        <v>12898</v>
      </c>
      <c r="B306" s="10">
        <f t="shared" si="1"/>
        <v>66.7</v>
      </c>
      <c r="C306" s="6">
        <f t="shared" si="2"/>
        <v>97.6</v>
      </c>
      <c r="D306" s="6">
        <f t="shared" si="3"/>
        <v>16.629182</v>
      </c>
    </row>
    <row r="307">
      <c r="A307" s="4" t="s">
        <v>12899</v>
      </c>
      <c r="B307" s="10">
        <f t="shared" si="1"/>
        <v>0</v>
      </c>
      <c r="C307" s="6">
        <f t="shared" si="2"/>
        <v>97.6</v>
      </c>
      <c r="D307" s="6">
        <f t="shared" si="3"/>
        <v>16.63302</v>
      </c>
    </row>
    <row r="308">
      <c r="A308" s="4" t="s">
        <v>12900</v>
      </c>
      <c r="B308" s="10">
        <f t="shared" si="1"/>
        <v>0</v>
      </c>
      <c r="C308" s="6">
        <f t="shared" si="2"/>
        <v>97.6</v>
      </c>
      <c r="D308" s="6">
        <f t="shared" si="3"/>
        <v>16.631975</v>
      </c>
    </row>
    <row r="309">
      <c r="A309" s="4" t="s">
        <v>12901</v>
      </c>
      <c r="B309" s="10">
        <f t="shared" si="1"/>
        <v>0</v>
      </c>
      <c r="C309" s="6">
        <f t="shared" si="2"/>
        <v>97.6</v>
      </c>
      <c r="D309" s="6">
        <f t="shared" si="3"/>
        <v>16.62851</v>
      </c>
    </row>
    <row r="310">
      <c r="A310" s="4" t="s">
        <v>12902</v>
      </c>
      <c r="B310" s="10">
        <f t="shared" si="1"/>
        <v>0</v>
      </c>
      <c r="C310" s="6">
        <f t="shared" si="2"/>
        <v>97.6</v>
      </c>
      <c r="D310" s="6">
        <f t="shared" si="3"/>
        <v>16.625115</v>
      </c>
    </row>
    <row r="311">
      <c r="A311" s="4" t="s">
        <v>12903</v>
      </c>
      <c r="B311" s="10">
        <f t="shared" si="1"/>
        <v>12.5</v>
      </c>
      <c r="C311" s="6">
        <f t="shared" si="2"/>
        <v>97.6</v>
      </c>
      <c r="D311" s="6">
        <f t="shared" si="3"/>
        <v>16.635437</v>
      </c>
    </row>
    <row r="312">
      <c r="A312" s="4" t="s">
        <v>12904</v>
      </c>
      <c r="B312" s="10">
        <f t="shared" si="1"/>
        <v>33.3</v>
      </c>
      <c r="C312" s="6">
        <f t="shared" si="2"/>
        <v>97.6</v>
      </c>
      <c r="D312" s="6">
        <f t="shared" si="3"/>
        <v>16.633888</v>
      </c>
    </row>
    <row r="313">
      <c r="A313" s="4" t="s">
        <v>12905</v>
      </c>
      <c r="B313" s="10">
        <f t="shared" si="1"/>
        <v>0</v>
      </c>
      <c r="C313" s="6">
        <f t="shared" si="2"/>
        <v>97.6</v>
      </c>
      <c r="D313" s="6">
        <f t="shared" si="3"/>
        <v>16.632045</v>
      </c>
    </row>
    <row r="314">
      <c r="A314" s="4" t="s">
        <v>12906</v>
      </c>
      <c r="B314" s="10">
        <f t="shared" si="1"/>
        <v>100</v>
      </c>
      <c r="C314" s="6">
        <f t="shared" si="2"/>
        <v>98</v>
      </c>
      <c r="D314" s="6">
        <f t="shared" si="3"/>
        <v>16.704303</v>
      </c>
    </row>
    <row r="315">
      <c r="A315" s="4" t="s">
        <v>12907</v>
      </c>
      <c r="B315" s="10">
        <f t="shared" si="1"/>
        <v>33.3</v>
      </c>
      <c r="C315" s="6">
        <f t="shared" si="2"/>
        <v>98.1</v>
      </c>
      <c r="D315" s="6">
        <f t="shared" si="3"/>
        <v>16.712466</v>
      </c>
    </row>
    <row r="316">
      <c r="A316" s="4" t="s">
        <v>12908</v>
      </c>
      <c r="B316" s="10">
        <f t="shared" si="1"/>
        <v>0</v>
      </c>
      <c r="C316" s="6">
        <f t="shared" si="2"/>
        <v>98.1</v>
      </c>
      <c r="D316" s="6">
        <f t="shared" si="3"/>
        <v>16.715902</v>
      </c>
    </row>
    <row r="317">
      <c r="A317" s="4" t="s">
        <v>12909</v>
      </c>
      <c r="B317" s="10">
        <f t="shared" si="1"/>
        <v>50</v>
      </c>
      <c r="C317" s="6">
        <f t="shared" si="2"/>
        <v>98.2</v>
      </c>
      <c r="D317" s="6">
        <f t="shared" si="3"/>
        <v>16.727453</v>
      </c>
    </row>
    <row r="318">
      <c r="A318" s="4" t="s">
        <v>12910</v>
      </c>
      <c r="B318" s="10">
        <f t="shared" si="1"/>
        <v>0</v>
      </c>
      <c r="C318" s="6">
        <f t="shared" si="2"/>
        <v>98.7</v>
      </c>
      <c r="D318" s="6">
        <f t="shared" si="3"/>
        <v>16.814358</v>
      </c>
    </row>
    <row r="319">
      <c r="A319" s="4" t="s">
        <v>12911</v>
      </c>
      <c r="B319" s="10">
        <f t="shared" si="1"/>
        <v>0</v>
      </c>
      <c r="C319" s="6">
        <f t="shared" si="2"/>
        <v>98.2</v>
      </c>
      <c r="D319" s="6">
        <f t="shared" si="3"/>
        <v>16.730812</v>
      </c>
    </row>
    <row r="320">
      <c r="A320" s="4" t="s">
        <v>12912</v>
      </c>
      <c r="B320" s="10">
        <f t="shared" si="1"/>
        <v>0</v>
      </c>
      <c r="C320" s="6">
        <f t="shared" si="2"/>
        <v>98</v>
      </c>
      <c r="D320" s="6">
        <f t="shared" si="3"/>
        <v>16.707358</v>
      </c>
    </row>
    <row r="321">
      <c r="A321" s="4" t="s">
        <v>12913</v>
      </c>
      <c r="B321" s="10">
        <f t="shared" si="1"/>
        <v>0</v>
      </c>
      <c r="C321" s="6">
        <f t="shared" si="2"/>
        <v>98.1</v>
      </c>
      <c r="D321" s="6">
        <f t="shared" si="3"/>
        <v>16.712781</v>
      </c>
    </row>
    <row r="322">
      <c r="A322" s="4" t="s">
        <v>12914</v>
      </c>
      <c r="B322" s="10">
        <f t="shared" si="1"/>
        <v>0</v>
      </c>
      <c r="C322" s="6">
        <f t="shared" si="2"/>
        <v>98.1</v>
      </c>
      <c r="D322" s="6">
        <f t="shared" si="3"/>
        <v>16.714588</v>
      </c>
    </row>
    <row r="323">
      <c r="A323" s="4" t="s">
        <v>12915</v>
      </c>
      <c r="B323" s="10">
        <f t="shared" si="1"/>
        <v>0</v>
      </c>
      <c r="C323" s="6">
        <f t="shared" si="2"/>
        <v>98.1</v>
      </c>
      <c r="D323" s="6">
        <f t="shared" si="3"/>
        <v>16.712589</v>
      </c>
    </row>
    <row r="324">
      <c r="A324" s="4" t="s">
        <v>12916</v>
      </c>
      <c r="B324" s="10">
        <f t="shared" si="1"/>
        <v>0</v>
      </c>
      <c r="C324" s="6">
        <f t="shared" si="2"/>
        <v>98</v>
      </c>
      <c r="D324" s="6">
        <f t="shared" si="3"/>
        <v>16.705314</v>
      </c>
    </row>
    <row r="325">
      <c r="A325" s="4" t="s">
        <v>12917</v>
      </c>
      <c r="B325" s="10">
        <f t="shared" si="1"/>
        <v>0</v>
      </c>
      <c r="C325" s="6">
        <f t="shared" si="2"/>
        <v>98.1</v>
      </c>
      <c r="D325" s="6">
        <f t="shared" si="3"/>
        <v>16.709144</v>
      </c>
    </row>
    <row r="326">
      <c r="A326" s="4" t="s">
        <v>12918</v>
      </c>
      <c r="B326" s="10">
        <f t="shared" si="1"/>
        <v>10</v>
      </c>
      <c r="C326" s="6">
        <f t="shared" si="2"/>
        <v>98</v>
      </c>
      <c r="D326" s="6">
        <f t="shared" si="3"/>
        <v>16.700366</v>
      </c>
    </row>
    <row r="327">
      <c r="A327" s="4" t="s">
        <v>12919</v>
      </c>
      <c r="B327" s="10">
        <f t="shared" si="1"/>
        <v>0</v>
      </c>
      <c r="C327" s="6">
        <f t="shared" si="2"/>
        <v>98</v>
      </c>
      <c r="D327" s="6">
        <f t="shared" si="3"/>
        <v>16.692232</v>
      </c>
    </row>
    <row r="328">
      <c r="A328" s="4" t="s">
        <v>12920</v>
      </c>
      <c r="B328" s="10">
        <f t="shared" si="1"/>
        <v>20</v>
      </c>
      <c r="C328" s="6">
        <f t="shared" si="2"/>
        <v>98</v>
      </c>
      <c r="D328" s="6">
        <f t="shared" si="3"/>
        <v>16.696373</v>
      </c>
    </row>
    <row r="329">
      <c r="A329" s="4" t="s">
        <v>12921</v>
      </c>
      <c r="B329" s="10">
        <f t="shared" si="1"/>
        <v>0</v>
      </c>
      <c r="C329" s="6">
        <f t="shared" si="2"/>
        <v>98</v>
      </c>
      <c r="D329" s="6">
        <f t="shared" si="3"/>
        <v>16.693882</v>
      </c>
    </row>
    <row r="330">
      <c r="A330" s="4" t="s">
        <v>12922</v>
      </c>
      <c r="B330" s="10">
        <f t="shared" si="1"/>
        <v>0</v>
      </c>
      <c r="C330" s="6">
        <f t="shared" si="2"/>
        <v>97.9</v>
      </c>
      <c r="D330" s="6">
        <f t="shared" si="3"/>
        <v>16.690634</v>
      </c>
    </row>
    <row r="331">
      <c r="A331" s="4" t="s">
        <v>12923</v>
      </c>
      <c r="B331" s="10">
        <f t="shared" si="1"/>
        <v>0</v>
      </c>
      <c r="C331" s="6">
        <f t="shared" si="2"/>
        <v>98</v>
      </c>
      <c r="D331" s="6">
        <f t="shared" si="3"/>
        <v>16.699142</v>
      </c>
    </row>
    <row r="332">
      <c r="A332" s="4" t="s">
        <v>12924</v>
      </c>
      <c r="B332" s="10">
        <f t="shared" si="1"/>
        <v>0</v>
      </c>
      <c r="C332" s="6">
        <f t="shared" si="2"/>
        <v>98</v>
      </c>
      <c r="D332" s="6">
        <f t="shared" si="3"/>
        <v>16.694882</v>
      </c>
    </row>
    <row r="333">
      <c r="A333" s="4" t="s">
        <v>12925</v>
      </c>
      <c r="B333" s="10">
        <f t="shared" si="1"/>
        <v>0</v>
      </c>
      <c r="C333" s="6">
        <f t="shared" si="2"/>
        <v>98</v>
      </c>
      <c r="D333" s="6">
        <f t="shared" si="3"/>
        <v>16.692215</v>
      </c>
    </row>
    <row r="334">
      <c r="A334" s="4" t="s">
        <v>12926</v>
      </c>
      <c r="B334" s="10">
        <f t="shared" si="1"/>
        <v>0</v>
      </c>
      <c r="C334" s="6">
        <f t="shared" si="2"/>
        <v>97.9</v>
      </c>
      <c r="D334" s="6">
        <f t="shared" si="3"/>
        <v>16.6786</v>
      </c>
    </row>
    <row r="335">
      <c r="A335" s="4" t="s">
        <v>12927</v>
      </c>
      <c r="B335" s="10">
        <f t="shared" si="1"/>
        <v>25</v>
      </c>
      <c r="C335" s="6">
        <f t="shared" si="2"/>
        <v>97.9</v>
      </c>
      <c r="D335" s="6">
        <f t="shared" si="3"/>
        <v>16.685174</v>
      </c>
    </row>
    <row r="336">
      <c r="A336" s="4" t="s">
        <v>12928</v>
      </c>
      <c r="B336" s="10">
        <f t="shared" si="1"/>
        <v>0</v>
      </c>
      <c r="C336" s="6">
        <f t="shared" si="2"/>
        <v>97.9</v>
      </c>
      <c r="D336" s="6">
        <f t="shared" si="3"/>
        <v>16.683184</v>
      </c>
    </row>
    <row r="337">
      <c r="A337" s="4" t="s">
        <v>12929</v>
      </c>
      <c r="B337" s="10">
        <f t="shared" si="1"/>
        <v>50</v>
      </c>
      <c r="C337" s="6">
        <f t="shared" si="2"/>
        <v>97.9</v>
      </c>
      <c r="D337" s="6">
        <f t="shared" si="3"/>
        <v>16.678297</v>
      </c>
    </row>
    <row r="338">
      <c r="A338" s="4" t="s">
        <v>12930</v>
      </c>
      <c r="B338" s="10">
        <f t="shared" si="1"/>
        <v>0</v>
      </c>
      <c r="C338" s="6">
        <f t="shared" si="2"/>
        <v>97.9</v>
      </c>
      <c r="D338" s="6">
        <f t="shared" si="3"/>
        <v>16.679628</v>
      </c>
    </row>
    <row r="339">
      <c r="A339" s="4" t="s">
        <v>12931</v>
      </c>
      <c r="B339" s="10">
        <f t="shared" si="1"/>
        <v>22.2</v>
      </c>
      <c r="C339" s="6">
        <f t="shared" si="2"/>
        <v>97.9</v>
      </c>
      <c r="D339" s="6">
        <f t="shared" si="3"/>
        <v>16.680087</v>
      </c>
    </row>
    <row r="340">
      <c r="A340" s="4" t="s">
        <v>12930</v>
      </c>
      <c r="B340" s="10">
        <f t="shared" si="1"/>
        <v>0</v>
      </c>
      <c r="C340" s="6">
        <f t="shared" si="2"/>
        <v>97.9</v>
      </c>
      <c r="D340" s="6">
        <f t="shared" si="3"/>
        <v>16.679628</v>
      </c>
    </row>
    <row r="341">
      <c r="A341" s="4" t="s">
        <v>12932</v>
      </c>
      <c r="B341" s="10">
        <f t="shared" si="1"/>
        <v>0</v>
      </c>
      <c r="C341" s="6">
        <f t="shared" si="2"/>
        <v>97.9</v>
      </c>
      <c r="D341" s="6">
        <f t="shared" si="3"/>
        <v>16.679067</v>
      </c>
    </row>
    <row r="342">
      <c r="A342" s="4" t="s">
        <v>12933</v>
      </c>
      <c r="B342" s="10">
        <f t="shared" si="1"/>
        <v>0</v>
      </c>
      <c r="C342" s="6">
        <f t="shared" si="2"/>
        <v>97.9</v>
      </c>
      <c r="D342" s="6">
        <f t="shared" si="3"/>
        <v>16.678006</v>
      </c>
    </row>
    <row r="343">
      <c r="A343" s="4" t="s">
        <v>12934</v>
      </c>
      <c r="B343" s="10">
        <f t="shared" si="1"/>
        <v>0</v>
      </c>
      <c r="C343" s="6">
        <f t="shared" si="2"/>
        <v>97.9</v>
      </c>
      <c r="D343" s="6">
        <f t="shared" si="3"/>
        <v>16.678141</v>
      </c>
    </row>
    <row r="344">
      <c r="A344" s="4" t="s">
        <v>12935</v>
      </c>
      <c r="B344" s="10">
        <f t="shared" si="1"/>
        <v>0</v>
      </c>
      <c r="C344" s="6">
        <f t="shared" si="2"/>
        <v>97.9</v>
      </c>
      <c r="D344" s="6">
        <f t="shared" si="3"/>
        <v>16.677306</v>
      </c>
    </row>
    <row r="345">
      <c r="A345" s="4" t="s">
        <v>12936</v>
      </c>
      <c r="B345" s="10">
        <f t="shared" si="1"/>
        <v>0</v>
      </c>
      <c r="C345" s="6">
        <f t="shared" si="2"/>
        <v>97.8</v>
      </c>
      <c r="D345" s="6">
        <f t="shared" si="3"/>
        <v>16.669581</v>
      </c>
    </row>
    <row r="346">
      <c r="A346" s="4" t="s">
        <v>12937</v>
      </c>
      <c r="B346" s="10">
        <f t="shared" si="1"/>
        <v>0</v>
      </c>
      <c r="C346" s="6">
        <f t="shared" si="2"/>
        <v>97.8</v>
      </c>
      <c r="D346" s="6">
        <f t="shared" si="3"/>
        <v>16.669392</v>
      </c>
    </row>
    <row r="347">
      <c r="A347" s="4" t="s">
        <v>12938</v>
      </c>
      <c r="B347" s="10">
        <f t="shared" si="1"/>
        <v>0</v>
      </c>
      <c r="C347" s="6">
        <f t="shared" si="2"/>
        <v>97.8</v>
      </c>
      <c r="D347" s="6">
        <f t="shared" si="3"/>
        <v>16.668987</v>
      </c>
    </row>
    <row r="348">
      <c r="A348" s="4" t="s">
        <v>12939</v>
      </c>
      <c r="B348" s="10">
        <f t="shared" si="1"/>
        <v>0</v>
      </c>
      <c r="C348" s="6">
        <f t="shared" si="2"/>
        <v>97.8</v>
      </c>
      <c r="D348" s="6">
        <f t="shared" si="3"/>
        <v>16.670425</v>
      </c>
    </row>
    <row r="349">
      <c r="A349" s="4" t="s">
        <v>12940</v>
      </c>
      <c r="B349" s="10">
        <f t="shared" si="1"/>
        <v>0</v>
      </c>
      <c r="C349" s="6">
        <f t="shared" si="2"/>
        <v>97.8</v>
      </c>
      <c r="D349" s="6">
        <f t="shared" si="3"/>
        <v>16.670089</v>
      </c>
    </row>
    <row r="350">
      <c r="A350" s="4" t="s">
        <v>12941</v>
      </c>
      <c r="B350" s="10">
        <f t="shared" si="1"/>
        <v>0</v>
      </c>
      <c r="C350" s="6">
        <f t="shared" si="2"/>
        <v>97.8</v>
      </c>
      <c r="D350" s="6">
        <f t="shared" si="3"/>
        <v>16.670126</v>
      </c>
    </row>
    <row r="351">
      <c r="A351" s="4" t="s">
        <v>12942</v>
      </c>
      <c r="B351" s="10">
        <f t="shared" si="1"/>
        <v>0</v>
      </c>
      <c r="C351" s="6">
        <f t="shared" si="2"/>
        <v>97.8</v>
      </c>
      <c r="D351" s="6">
        <f t="shared" si="3"/>
        <v>16.669945</v>
      </c>
    </row>
    <row r="352">
      <c r="A352" s="4" t="s">
        <v>12943</v>
      </c>
      <c r="B352" s="10">
        <f t="shared" si="1"/>
        <v>0</v>
      </c>
      <c r="C352" s="6">
        <f t="shared" si="2"/>
        <v>97.8</v>
      </c>
      <c r="D352" s="6">
        <f t="shared" si="3"/>
        <v>16.669462</v>
      </c>
    </row>
    <row r="353">
      <c r="A353" s="4" t="s">
        <v>12944</v>
      </c>
      <c r="B353" s="10">
        <f t="shared" si="1"/>
        <v>0</v>
      </c>
      <c r="C353" s="6">
        <f t="shared" si="2"/>
        <v>97.8</v>
      </c>
      <c r="D353" s="6">
        <f t="shared" si="3"/>
        <v>16.667373</v>
      </c>
    </row>
    <row r="354">
      <c r="A354" s="4" t="s">
        <v>12945</v>
      </c>
      <c r="B354" s="10">
        <f t="shared" si="1"/>
        <v>0</v>
      </c>
      <c r="C354" s="6">
        <f t="shared" si="2"/>
        <v>97.8</v>
      </c>
      <c r="D354" s="6">
        <f t="shared" si="3"/>
        <v>16.669917</v>
      </c>
    </row>
    <row r="355">
      <c r="A355" s="4" t="s">
        <v>12946</v>
      </c>
      <c r="B355" s="10">
        <f t="shared" si="1"/>
        <v>0</v>
      </c>
      <c r="C355" s="6">
        <f t="shared" si="2"/>
        <v>97.8</v>
      </c>
      <c r="D355" s="6">
        <f t="shared" si="3"/>
        <v>16.668274</v>
      </c>
    </row>
    <row r="356">
      <c r="A356" s="4" t="s">
        <v>12947</v>
      </c>
      <c r="B356" s="10">
        <f t="shared" si="1"/>
        <v>0</v>
      </c>
      <c r="C356" s="6">
        <f t="shared" si="2"/>
        <v>97.8</v>
      </c>
      <c r="D356" s="6">
        <f t="shared" si="3"/>
        <v>16.665006</v>
      </c>
    </row>
    <row r="357">
      <c r="A357" s="4" t="s">
        <v>12948</v>
      </c>
      <c r="B357" s="10">
        <f t="shared" si="1"/>
        <v>0</v>
      </c>
      <c r="C357" s="6">
        <f t="shared" si="2"/>
        <v>97.8</v>
      </c>
      <c r="D357" s="6">
        <f t="shared" si="3"/>
        <v>16.666284</v>
      </c>
    </row>
    <row r="358">
      <c r="A358" s="4" t="s">
        <v>12949</v>
      </c>
      <c r="B358" s="10">
        <f t="shared" si="1"/>
        <v>0</v>
      </c>
      <c r="C358" s="6">
        <f t="shared" si="2"/>
        <v>97.8</v>
      </c>
      <c r="D358" s="6">
        <f t="shared" si="3"/>
        <v>16.665362</v>
      </c>
    </row>
    <row r="359">
      <c r="A359" s="4" t="s">
        <v>12950</v>
      </c>
      <c r="B359" s="10">
        <f t="shared" si="1"/>
        <v>0</v>
      </c>
      <c r="C359" s="6">
        <f t="shared" si="2"/>
        <v>97.8</v>
      </c>
      <c r="D359" s="6">
        <f t="shared" si="3"/>
        <v>16.664608</v>
      </c>
    </row>
    <row r="360">
      <c r="A360" s="4" t="s">
        <v>12951</v>
      </c>
      <c r="B360" s="10">
        <f t="shared" si="1"/>
        <v>0</v>
      </c>
      <c r="C360" s="6">
        <f t="shared" si="2"/>
        <v>97.8</v>
      </c>
      <c r="D360" s="6">
        <f t="shared" si="3"/>
        <v>16.66598</v>
      </c>
    </row>
    <row r="361">
      <c r="A361" s="4" t="s">
        <v>12952</v>
      </c>
      <c r="B361" s="10">
        <f t="shared" si="1"/>
        <v>0</v>
      </c>
      <c r="C361" s="6">
        <f t="shared" si="2"/>
        <v>97.8</v>
      </c>
      <c r="D361" s="6">
        <f t="shared" si="3"/>
        <v>16.670613</v>
      </c>
    </row>
    <row r="362">
      <c r="A362" s="4" t="s">
        <v>12953</v>
      </c>
      <c r="B362" s="10">
        <f t="shared" si="1"/>
        <v>50</v>
      </c>
      <c r="C362" s="6">
        <f t="shared" si="2"/>
        <v>97.8</v>
      </c>
      <c r="D362" s="6">
        <f t="shared" si="3"/>
        <v>16.670429</v>
      </c>
    </row>
    <row r="363">
      <c r="A363" s="4" t="s">
        <v>12954</v>
      </c>
      <c r="B363" s="10">
        <f t="shared" si="1"/>
        <v>0</v>
      </c>
      <c r="C363" s="6">
        <f t="shared" si="2"/>
        <v>97.9</v>
      </c>
      <c r="D363" s="6">
        <f t="shared" si="3"/>
        <v>16.676581</v>
      </c>
    </row>
    <row r="364">
      <c r="A364" s="4" t="s">
        <v>12955</v>
      </c>
      <c r="B364" s="10">
        <f t="shared" si="1"/>
        <v>40</v>
      </c>
      <c r="C364" s="6">
        <f t="shared" si="2"/>
        <v>97.9</v>
      </c>
      <c r="D364" s="6">
        <f t="shared" si="3"/>
        <v>16.676143</v>
      </c>
    </row>
    <row r="365">
      <c r="A365" s="4" t="s">
        <v>12956</v>
      </c>
      <c r="B365" s="10">
        <f t="shared" si="1"/>
        <v>0</v>
      </c>
      <c r="C365" s="6">
        <f t="shared" si="2"/>
        <v>97.8</v>
      </c>
      <c r="D365" s="6">
        <f t="shared" si="3"/>
        <v>16.673447</v>
      </c>
    </row>
    <row r="366">
      <c r="A366" s="4" t="s">
        <v>12957</v>
      </c>
      <c r="B366" s="10">
        <f t="shared" si="1"/>
        <v>0</v>
      </c>
      <c r="C366" s="6">
        <f t="shared" si="2"/>
        <v>97.9</v>
      </c>
      <c r="D366" s="6">
        <f t="shared" si="3"/>
        <v>16.681504</v>
      </c>
    </row>
    <row r="367">
      <c r="A367" s="4" t="s">
        <v>12958</v>
      </c>
      <c r="B367" s="10">
        <f t="shared" si="1"/>
        <v>0</v>
      </c>
      <c r="C367" s="6">
        <f t="shared" si="2"/>
        <v>96.6</v>
      </c>
      <c r="D367" s="6">
        <f t="shared" si="3"/>
        <v>16.455774</v>
      </c>
    </row>
    <row r="368">
      <c r="A368" s="4" t="s">
        <v>12959</v>
      </c>
      <c r="B368" s="10">
        <f t="shared" si="1"/>
        <v>0</v>
      </c>
      <c r="C368" s="6">
        <f t="shared" si="2"/>
        <v>96.6</v>
      </c>
      <c r="D368" s="6">
        <f t="shared" si="3"/>
        <v>16.465846</v>
      </c>
    </row>
    <row r="369">
      <c r="A369" s="4" t="s">
        <v>12960</v>
      </c>
      <c r="B369" s="10">
        <f t="shared" si="1"/>
        <v>0</v>
      </c>
      <c r="C369" s="6">
        <f t="shared" si="2"/>
        <v>96.7</v>
      </c>
      <c r="D369" s="6">
        <f t="shared" si="3"/>
        <v>16.4707</v>
      </c>
    </row>
    <row r="370">
      <c r="A370" s="4" t="s">
        <v>12961</v>
      </c>
      <c r="B370" s="10">
        <f t="shared" si="1"/>
        <v>0</v>
      </c>
      <c r="C370" s="6">
        <f t="shared" si="2"/>
        <v>96.7</v>
      </c>
      <c r="D370" s="6">
        <f t="shared" si="3"/>
        <v>16.476651</v>
      </c>
    </row>
    <row r="371">
      <c r="A371" s="4" t="s">
        <v>12962</v>
      </c>
      <c r="B371" s="10">
        <f t="shared" si="1"/>
        <v>0</v>
      </c>
      <c r="C371" s="6">
        <f t="shared" si="2"/>
        <v>96.7</v>
      </c>
      <c r="D371" s="6">
        <f t="shared" si="3"/>
        <v>16.47652</v>
      </c>
    </row>
    <row r="372">
      <c r="A372" s="4" t="s">
        <v>12963</v>
      </c>
      <c r="B372" s="10">
        <f t="shared" si="1"/>
        <v>0</v>
      </c>
      <c r="C372" s="6">
        <f t="shared" si="2"/>
        <v>96.7</v>
      </c>
      <c r="D372" s="6">
        <f t="shared" si="3"/>
        <v>16.47645</v>
      </c>
    </row>
    <row r="373">
      <c r="A373" s="4" t="s">
        <v>12964</v>
      </c>
      <c r="B373" s="10">
        <f t="shared" si="1"/>
        <v>0</v>
      </c>
      <c r="C373" s="6">
        <f t="shared" si="2"/>
        <v>96.7</v>
      </c>
      <c r="D373" s="6">
        <f t="shared" si="3"/>
        <v>16.478994</v>
      </c>
    </row>
    <row r="374">
      <c r="A374" s="4" t="s">
        <v>12965</v>
      </c>
      <c r="B374" s="10">
        <f t="shared" si="1"/>
        <v>0</v>
      </c>
      <c r="C374" s="6">
        <f t="shared" si="2"/>
        <v>96.7</v>
      </c>
      <c r="D374" s="6">
        <f t="shared" si="3"/>
        <v>16.47747</v>
      </c>
    </row>
    <row r="375">
      <c r="A375" s="4" t="s">
        <v>12966</v>
      </c>
      <c r="B375" s="10">
        <f t="shared" si="1"/>
        <v>0</v>
      </c>
      <c r="C375" s="6">
        <f t="shared" si="2"/>
        <v>96.7</v>
      </c>
      <c r="D375" s="6">
        <f t="shared" si="3"/>
        <v>16.477356</v>
      </c>
    </row>
    <row r="376">
      <c r="A376" s="4" t="s">
        <v>12967</v>
      </c>
      <c r="B376" s="10">
        <f t="shared" si="1"/>
        <v>0</v>
      </c>
      <c r="C376" s="6">
        <f t="shared" si="2"/>
        <v>96.6</v>
      </c>
      <c r="D376" s="6">
        <f t="shared" si="3"/>
        <v>16.462462</v>
      </c>
    </row>
    <row r="377">
      <c r="A377" s="4" t="s">
        <v>12968</v>
      </c>
      <c r="B377" s="10">
        <f t="shared" si="1"/>
        <v>100</v>
      </c>
      <c r="C377" s="6">
        <f t="shared" si="2"/>
        <v>96.6</v>
      </c>
      <c r="D377" s="6">
        <f t="shared" si="3"/>
        <v>16.459374</v>
      </c>
    </row>
    <row r="378">
      <c r="A378" s="4" t="s">
        <v>12969</v>
      </c>
      <c r="B378" s="10">
        <f t="shared" si="1"/>
        <v>0</v>
      </c>
      <c r="C378" s="6">
        <f t="shared" si="2"/>
        <v>96.6</v>
      </c>
      <c r="D378" s="6">
        <f t="shared" si="3"/>
        <v>16.453361</v>
      </c>
    </row>
    <row r="379">
      <c r="A379" s="4" t="s">
        <v>12970</v>
      </c>
      <c r="B379" s="10">
        <f t="shared" si="1"/>
        <v>0</v>
      </c>
      <c r="C379" s="6">
        <f t="shared" si="2"/>
        <v>96.6</v>
      </c>
      <c r="D379" s="6">
        <f t="shared" si="3"/>
        <v>16.45819</v>
      </c>
    </row>
    <row r="380">
      <c r="A380" s="4" t="s">
        <v>12971</v>
      </c>
      <c r="B380" s="10">
        <f t="shared" si="1"/>
        <v>0</v>
      </c>
      <c r="C380" s="6">
        <f t="shared" si="2"/>
        <v>96.6</v>
      </c>
      <c r="D380" s="6">
        <f t="shared" si="3"/>
        <v>16.456253</v>
      </c>
    </row>
    <row r="381">
      <c r="A381" s="4" t="s">
        <v>12972</v>
      </c>
      <c r="B381" s="10">
        <f t="shared" si="1"/>
        <v>0</v>
      </c>
      <c r="C381" s="6">
        <f t="shared" si="2"/>
        <v>96.6</v>
      </c>
      <c r="D381" s="6">
        <f t="shared" si="3"/>
        <v>16.454344</v>
      </c>
    </row>
    <row r="382">
      <c r="A382" s="4" t="s">
        <v>12973</v>
      </c>
      <c r="B382" s="10">
        <f t="shared" si="1"/>
        <v>0</v>
      </c>
      <c r="C382" s="6">
        <f t="shared" si="2"/>
        <v>96.6</v>
      </c>
      <c r="D382" s="6">
        <f t="shared" si="3"/>
        <v>16.461594</v>
      </c>
    </row>
    <row r="383">
      <c r="A383" s="4" t="s">
        <v>12974</v>
      </c>
      <c r="B383" s="10">
        <f t="shared" si="1"/>
        <v>0</v>
      </c>
      <c r="C383" s="6">
        <f t="shared" si="2"/>
        <v>96.6</v>
      </c>
      <c r="D383" s="6">
        <f t="shared" si="3"/>
        <v>16.457728</v>
      </c>
    </row>
    <row r="384">
      <c r="A384" s="4" t="s">
        <v>12975</v>
      </c>
      <c r="B384" s="10">
        <f t="shared" si="1"/>
        <v>0</v>
      </c>
      <c r="C384" s="6">
        <f t="shared" si="2"/>
        <v>96.6</v>
      </c>
      <c r="D384" s="6">
        <f t="shared" si="3"/>
        <v>16.453451</v>
      </c>
    </row>
    <row r="385">
      <c r="A385" s="4" t="s">
        <v>12976</v>
      </c>
      <c r="B385" s="10">
        <f t="shared" si="1"/>
        <v>0</v>
      </c>
      <c r="C385" s="6">
        <f t="shared" si="2"/>
        <v>96.6</v>
      </c>
      <c r="D385" s="6">
        <f t="shared" si="3"/>
        <v>16.460017</v>
      </c>
    </row>
    <row r="386">
      <c r="A386" s="4" t="s">
        <v>12977</v>
      </c>
      <c r="B386" s="10">
        <f t="shared" si="1"/>
        <v>0</v>
      </c>
      <c r="C386" s="6">
        <f t="shared" si="2"/>
        <v>96.6</v>
      </c>
      <c r="D386" s="6">
        <f t="shared" si="3"/>
        <v>16.455499</v>
      </c>
    </row>
    <row r="387">
      <c r="A387" s="4" t="s">
        <v>12978</v>
      </c>
      <c r="B387" s="10">
        <f t="shared" si="1"/>
        <v>0</v>
      </c>
      <c r="C387" s="6">
        <f t="shared" si="2"/>
        <v>96.6</v>
      </c>
      <c r="D387" s="6">
        <f t="shared" si="3"/>
        <v>16.454533</v>
      </c>
    </row>
    <row r="388">
      <c r="A388" s="4" t="s">
        <v>12979</v>
      </c>
      <c r="B388" s="10">
        <f t="shared" si="1"/>
        <v>0</v>
      </c>
      <c r="C388" s="6">
        <f t="shared" si="2"/>
        <v>96.6</v>
      </c>
      <c r="D388" s="6">
        <f t="shared" si="3"/>
        <v>16.456097</v>
      </c>
    </row>
    <row r="389">
      <c r="A389" s="4" t="s">
        <v>12980</v>
      </c>
      <c r="B389" s="10">
        <f t="shared" si="1"/>
        <v>0</v>
      </c>
      <c r="C389" s="6">
        <f t="shared" si="2"/>
        <v>96.6</v>
      </c>
      <c r="D389" s="6">
        <f t="shared" si="3"/>
        <v>16.459001</v>
      </c>
    </row>
    <row r="390">
      <c r="A390" s="4" t="s">
        <v>12981</v>
      </c>
      <c r="B390" s="10">
        <f t="shared" si="1"/>
        <v>0</v>
      </c>
      <c r="C390" s="6">
        <f t="shared" si="2"/>
        <v>96.6</v>
      </c>
      <c r="D390" s="6">
        <f t="shared" si="3"/>
        <v>16.456892</v>
      </c>
    </row>
    <row r="391">
      <c r="A391" s="4" t="s">
        <v>12982</v>
      </c>
      <c r="B391" s="10">
        <f t="shared" si="1"/>
        <v>0</v>
      </c>
      <c r="C391" s="6">
        <f t="shared" si="2"/>
        <v>96.6</v>
      </c>
      <c r="D391" s="6">
        <f t="shared" si="3"/>
        <v>16.462417</v>
      </c>
    </row>
    <row r="392">
      <c r="A392" s="4" t="s">
        <v>12983</v>
      </c>
      <c r="B392" s="10">
        <f t="shared" si="1"/>
        <v>50</v>
      </c>
      <c r="C392" s="6">
        <f t="shared" si="2"/>
        <v>96.6</v>
      </c>
      <c r="D392" s="6">
        <f t="shared" si="3"/>
        <v>16.457609</v>
      </c>
    </row>
    <row r="393">
      <c r="A393" s="4" t="s">
        <v>12984</v>
      </c>
      <c r="B393" s="10">
        <f t="shared" si="1"/>
        <v>0</v>
      </c>
      <c r="C393" s="6">
        <f t="shared" si="2"/>
        <v>96.6</v>
      </c>
      <c r="D393" s="6">
        <f t="shared" si="3"/>
        <v>16.455942</v>
      </c>
    </row>
    <row r="394">
      <c r="A394" s="4" t="s">
        <v>12985</v>
      </c>
      <c r="B394" s="10">
        <f t="shared" si="1"/>
        <v>0</v>
      </c>
      <c r="C394" s="6">
        <f t="shared" si="2"/>
        <v>96.6</v>
      </c>
      <c r="D394" s="6">
        <f t="shared" si="3"/>
        <v>16.45568</v>
      </c>
    </row>
    <row r="395">
      <c r="A395" s="4" t="s">
        <v>12986</v>
      </c>
      <c r="B395" s="10">
        <f t="shared" si="1"/>
        <v>0</v>
      </c>
      <c r="C395" s="6">
        <f t="shared" si="2"/>
        <v>96.6</v>
      </c>
      <c r="D395" s="6">
        <f t="shared" si="3"/>
        <v>16.461381</v>
      </c>
    </row>
    <row r="396">
      <c r="A396" s="4" t="s">
        <v>12987</v>
      </c>
      <c r="B396" s="10">
        <f t="shared" si="1"/>
        <v>0</v>
      </c>
      <c r="C396" s="6">
        <f t="shared" si="2"/>
        <v>96.6</v>
      </c>
      <c r="D396" s="6">
        <f t="shared" si="3"/>
        <v>16.458715</v>
      </c>
    </row>
    <row r="397">
      <c r="A397" s="4" t="s">
        <v>12988</v>
      </c>
      <c r="B397" s="10">
        <f t="shared" si="1"/>
        <v>0</v>
      </c>
      <c r="C397" s="6">
        <f t="shared" si="2"/>
        <v>97</v>
      </c>
      <c r="D397" s="6">
        <f t="shared" si="3"/>
        <v>16.532738</v>
      </c>
    </row>
    <row r="398">
      <c r="A398" s="4" t="s">
        <v>12989</v>
      </c>
      <c r="B398" s="10">
        <f t="shared" si="1"/>
        <v>0</v>
      </c>
      <c r="C398" s="6">
        <f t="shared" si="2"/>
        <v>97</v>
      </c>
      <c r="D398" s="6">
        <f t="shared" si="3"/>
        <v>16.530292</v>
      </c>
    </row>
    <row r="399">
      <c r="A399" s="4" t="s">
        <v>12990</v>
      </c>
      <c r="B399" s="10">
        <f t="shared" si="1"/>
        <v>50</v>
      </c>
      <c r="C399" s="6">
        <f t="shared" si="2"/>
        <v>97</v>
      </c>
      <c r="D399" s="6">
        <f t="shared" si="3"/>
        <v>16.534048</v>
      </c>
    </row>
    <row r="400">
      <c r="A400" s="4" t="s">
        <v>12991</v>
      </c>
      <c r="B400" s="10">
        <f t="shared" si="1"/>
        <v>0</v>
      </c>
      <c r="C400" s="6">
        <f t="shared" si="2"/>
        <v>97.1</v>
      </c>
      <c r="D400" s="6">
        <f t="shared" si="3"/>
        <v>16.539062</v>
      </c>
    </row>
    <row r="401">
      <c r="A401" s="4" t="s">
        <v>12992</v>
      </c>
      <c r="B401" s="10">
        <f t="shared" si="1"/>
        <v>0</v>
      </c>
      <c r="C401" s="6">
        <f t="shared" si="2"/>
        <v>97</v>
      </c>
      <c r="D401" s="6">
        <f t="shared" si="3"/>
        <v>16.538095</v>
      </c>
    </row>
    <row r="402">
      <c r="A402" s="4" t="s">
        <v>12993</v>
      </c>
      <c r="B402" s="10">
        <f t="shared" si="1"/>
        <v>0</v>
      </c>
      <c r="C402" s="6">
        <f t="shared" si="2"/>
        <v>97.1</v>
      </c>
      <c r="D402" s="6">
        <f t="shared" si="3"/>
        <v>16.547905</v>
      </c>
    </row>
    <row r="403">
      <c r="A403" s="4" t="s">
        <v>12994</v>
      </c>
      <c r="B403" s="10">
        <f t="shared" si="1"/>
        <v>0</v>
      </c>
      <c r="C403" s="6">
        <f t="shared" si="2"/>
        <v>97</v>
      </c>
      <c r="D403" s="6">
        <f t="shared" si="3"/>
        <v>16.531841</v>
      </c>
    </row>
    <row r="404">
      <c r="A404" s="4" t="s">
        <v>12995</v>
      </c>
      <c r="B404" s="10">
        <f t="shared" si="1"/>
        <v>0</v>
      </c>
      <c r="C404" s="6">
        <f t="shared" si="2"/>
        <v>97</v>
      </c>
      <c r="D404" s="6">
        <f t="shared" si="3"/>
        <v>16.536612</v>
      </c>
    </row>
    <row r="405">
      <c r="A405" s="4" t="s">
        <v>12996</v>
      </c>
      <c r="B405" s="10">
        <f t="shared" si="1"/>
        <v>0</v>
      </c>
      <c r="C405" s="6">
        <f t="shared" si="2"/>
        <v>97</v>
      </c>
      <c r="D405" s="6">
        <f t="shared" si="3"/>
        <v>16.535388</v>
      </c>
    </row>
    <row r="406">
      <c r="A406" s="4" t="s">
        <v>12997</v>
      </c>
      <c r="B406" s="10">
        <f t="shared" si="1"/>
        <v>0</v>
      </c>
      <c r="C406" s="6">
        <f t="shared" si="2"/>
        <v>97</v>
      </c>
      <c r="D406" s="6">
        <f t="shared" si="3"/>
        <v>16.529645</v>
      </c>
    </row>
    <row r="407">
      <c r="A407" s="4" t="s">
        <v>12998</v>
      </c>
      <c r="B407" s="10">
        <f t="shared" si="1"/>
        <v>25</v>
      </c>
      <c r="C407" s="6">
        <f t="shared" si="2"/>
        <v>97</v>
      </c>
      <c r="D407" s="6">
        <f t="shared" si="3"/>
        <v>16.536461</v>
      </c>
    </row>
    <row r="408">
      <c r="A408" s="4" t="s">
        <v>12999</v>
      </c>
      <c r="B408" s="10">
        <f t="shared" si="1"/>
        <v>0</v>
      </c>
      <c r="C408" s="6">
        <f t="shared" si="2"/>
        <v>97.1</v>
      </c>
      <c r="D408" s="6">
        <f t="shared" si="3"/>
        <v>16.544727</v>
      </c>
    </row>
    <row r="409">
      <c r="A409" s="4" t="s">
        <v>13000</v>
      </c>
      <c r="B409" s="10">
        <f t="shared" si="1"/>
        <v>0</v>
      </c>
      <c r="C409" s="6">
        <f t="shared" si="2"/>
        <v>97.2</v>
      </c>
      <c r="D409" s="6">
        <f t="shared" si="3"/>
        <v>16.560812</v>
      </c>
    </row>
    <row r="410">
      <c r="A410" s="4" t="s">
        <v>13001</v>
      </c>
      <c r="B410" s="10">
        <f t="shared" si="1"/>
        <v>0</v>
      </c>
      <c r="C410" s="6">
        <f t="shared" si="2"/>
        <v>97.2</v>
      </c>
      <c r="D410" s="6">
        <f t="shared" si="3"/>
        <v>16.559476</v>
      </c>
    </row>
    <row r="411">
      <c r="A411" s="4" t="s">
        <v>13002</v>
      </c>
      <c r="B411" s="10">
        <f t="shared" si="1"/>
        <v>50</v>
      </c>
      <c r="C411" s="6">
        <f t="shared" si="2"/>
        <v>97.2</v>
      </c>
      <c r="D411" s="6">
        <f t="shared" si="3"/>
        <v>16.568856</v>
      </c>
    </row>
    <row r="412">
      <c r="A412" s="4" t="s">
        <v>13003</v>
      </c>
      <c r="B412" s="10">
        <f t="shared" si="1"/>
        <v>0</v>
      </c>
      <c r="C412" s="6">
        <f t="shared" si="2"/>
        <v>97.2</v>
      </c>
      <c r="D412" s="6">
        <f t="shared" si="3"/>
        <v>16.564842</v>
      </c>
    </row>
    <row r="413">
      <c r="A413" s="4" t="s">
        <v>13004</v>
      </c>
      <c r="B413" s="10">
        <f t="shared" si="1"/>
        <v>0</v>
      </c>
      <c r="C413" s="6">
        <f t="shared" si="2"/>
        <v>97.2</v>
      </c>
      <c r="D413" s="6">
        <f t="shared" si="3"/>
        <v>16.563462</v>
      </c>
    </row>
    <row r="414">
      <c r="A414" s="4" t="s">
        <v>13005</v>
      </c>
      <c r="B414" s="10">
        <f t="shared" si="1"/>
        <v>0</v>
      </c>
      <c r="C414" s="6">
        <f t="shared" si="2"/>
        <v>97.2</v>
      </c>
      <c r="D414" s="6">
        <f t="shared" si="3"/>
        <v>16.570908</v>
      </c>
    </row>
    <row r="415">
      <c r="A415" s="4" t="s">
        <v>13006</v>
      </c>
      <c r="B415" s="10">
        <f t="shared" si="1"/>
        <v>0</v>
      </c>
      <c r="C415" s="6">
        <f t="shared" si="2"/>
        <v>97.2</v>
      </c>
      <c r="D415" s="6">
        <f t="shared" si="3"/>
        <v>16.567701</v>
      </c>
    </row>
    <row r="416">
      <c r="A416" s="4" t="s">
        <v>13007</v>
      </c>
      <c r="B416" s="10">
        <f t="shared" si="1"/>
        <v>0</v>
      </c>
      <c r="C416" s="6">
        <f t="shared" si="2"/>
        <v>92.8</v>
      </c>
      <c r="D416" s="6">
        <f t="shared" si="3"/>
        <v>15.812526</v>
      </c>
    </row>
    <row r="417">
      <c r="A417" s="4" t="s">
        <v>13008</v>
      </c>
      <c r="B417" s="10">
        <f t="shared" si="1"/>
        <v>0</v>
      </c>
      <c r="C417" s="6">
        <f t="shared" si="2"/>
        <v>87.4</v>
      </c>
      <c r="D417" s="6">
        <f t="shared" si="3"/>
        <v>14.892433</v>
      </c>
    </row>
    <row r="418">
      <c r="A418" s="4" t="s">
        <v>13009</v>
      </c>
      <c r="B418" s="10">
        <f t="shared" si="1"/>
        <v>0</v>
      </c>
      <c r="C418" s="6">
        <f t="shared" si="2"/>
        <v>77.4</v>
      </c>
      <c r="D418" s="6">
        <f t="shared" si="3"/>
        <v>13.195505</v>
      </c>
    </row>
    <row r="419">
      <c r="A419" s="4" t="s">
        <v>13010</v>
      </c>
      <c r="B419" s="10">
        <f t="shared" si="1"/>
        <v>0</v>
      </c>
      <c r="C419" s="6">
        <f t="shared" si="2"/>
        <v>68.1</v>
      </c>
      <c r="D419" s="6">
        <f t="shared" si="3"/>
        <v>11.61259</v>
      </c>
    </row>
    <row r="420">
      <c r="A420" s="4" t="s">
        <v>13011</v>
      </c>
      <c r="B420" s="10">
        <f t="shared" si="1"/>
        <v>0</v>
      </c>
      <c r="C420" s="6">
        <f t="shared" si="2"/>
        <v>67.4</v>
      </c>
      <c r="D420" s="6">
        <f t="shared" si="3"/>
        <v>11.478175</v>
      </c>
    </row>
    <row r="421">
      <c r="A421" s="4" t="s">
        <v>13012</v>
      </c>
      <c r="B421" s="10">
        <f t="shared" si="1"/>
        <v>0</v>
      </c>
      <c r="C421" s="6">
        <f t="shared" si="2"/>
        <v>67.4</v>
      </c>
      <c r="D421" s="6">
        <f t="shared" si="3"/>
        <v>11.48203</v>
      </c>
    </row>
    <row r="422">
      <c r="A422" s="4" t="s">
        <v>13013</v>
      </c>
      <c r="B422" s="10">
        <f t="shared" si="1"/>
        <v>0</v>
      </c>
      <c r="C422" s="6">
        <f t="shared" si="2"/>
        <v>67.4</v>
      </c>
      <c r="D422" s="6">
        <f t="shared" si="3"/>
        <v>11.483525</v>
      </c>
    </row>
    <row r="423">
      <c r="A423" s="4" t="s">
        <v>13014</v>
      </c>
      <c r="B423" s="10">
        <f t="shared" si="1"/>
        <v>0</v>
      </c>
      <c r="C423" s="6">
        <f t="shared" si="2"/>
        <v>67.4</v>
      </c>
      <c r="D423" s="6">
        <f t="shared" si="3"/>
        <v>11.484446</v>
      </c>
    </row>
    <row r="424">
      <c r="A424" s="4" t="s">
        <v>13015</v>
      </c>
      <c r="B424" s="10">
        <f t="shared" si="1"/>
        <v>0</v>
      </c>
      <c r="C424" s="6">
        <f t="shared" si="2"/>
        <v>67.4</v>
      </c>
      <c r="D424" s="6">
        <f t="shared" si="3"/>
        <v>11.48717</v>
      </c>
    </row>
    <row r="425">
      <c r="A425" s="4" t="s">
        <v>13016</v>
      </c>
      <c r="B425" s="10">
        <f t="shared" si="1"/>
        <v>0</v>
      </c>
      <c r="C425" s="6">
        <f t="shared" si="2"/>
        <v>67.4</v>
      </c>
      <c r="D425" s="6">
        <f t="shared" si="3"/>
        <v>11.487731</v>
      </c>
    </row>
    <row r="426">
      <c r="A426" s="4" t="s">
        <v>13017</v>
      </c>
      <c r="B426" s="10">
        <f t="shared" si="1"/>
        <v>0</v>
      </c>
      <c r="C426" s="6">
        <f t="shared" si="2"/>
        <v>67.4</v>
      </c>
      <c r="D426" s="6">
        <f t="shared" si="3"/>
        <v>11.488215</v>
      </c>
    </row>
    <row r="427">
      <c r="A427" s="4" t="s">
        <v>13018</v>
      </c>
      <c r="B427" s="10">
        <f t="shared" si="1"/>
        <v>0</v>
      </c>
      <c r="C427" s="6">
        <f t="shared" si="2"/>
        <v>67.4</v>
      </c>
      <c r="D427" s="6">
        <f t="shared" si="3"/>
        <v>11.489214</v>
      </c>
    </row>
    <row r="428">
      <c r="A428" s="4" t="s">
        <v>13019</v>
      </c>
      <c r="B428" s="10">
        <f t="shared" si="1"/>
        <v>0</v>
      </c>
      <c r="C428" s="6">
        <f t="shared" si="2"/>
        <v>67.4</v>
      </c>
      <c r="D428" s="6">
        <f t="shared" si="3"/>
        <v>11.49005</v>
      </c>
    </row>
  </sheetData>
  <mergeCells count="3">
    <mergeCell ref="G1:H1"/>
    <mergeCell ref="J1:K1"/>
    <mergeCell ref="M1:N1"/>
  </mergeCells>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7.13"/>
    <col customWidth="1" min="3" max="3" width="7.25"/>
    <col customWidth="1" min="4" max="4" width="6.5"/>
    <col customWidth="1" min="6" max="6" width="27.13"/>
    <col customWidth="1" min="7" max="7" width="7.25"/>
    <col customWidth="1" min="8" max="8" width="6.5"/>
    <col customWidth="1" min="10" max="10" width="27.13"/>
    <col customWidth="1" min="14" max="14" width="27.13"/>
  </cols>
  <sheetData>
    <row r="6">
      <c r="B6" s="5" t="s">
        <v>4013</v>
      </c>
      <c r="F6" s="5" t="s">
        <v>13020</v>
      </c>
      <c r="J6" s="5" t="s">
        <v>13021</v>
      </c>
      <c r="N6" s="5" t="s">
        <v>13022</v>
      </c>
    </row>
    <row r="8">
      <c r="C8" s="30" t="s">
        <v>13023</v>
      </c>
      <c r="D8" s="31" t="s">
        <v>13024</v>
      </c>
      <c r="G8" s="30" t="s">
        <v>13023</v>
      </c>
      <c r="H8" s="30" t="s">
        <v>13024</v>
      </c>
      <c r="K8" s="30" t="s">
        <v>13023</v>
      </c>
      <c r="L8" s="30" t="s">
        <v>13024</v>
      </c>
      <c r="O8" s="30" t="s">
        <v>13023</v>
      </c>
      <c r="P8" s="30" t="s">
        <v>13024</v>
      </c>
    </row>
    <row r="9">
      <c r="B9" s="32" t="s">
        <v>13025</v>
      </c>
      <c r="C9" s="33">
        <v>9.041181818181817</v>
      </c>
      <c r="D9" s="34">
        <v>0.55</v>
      </c>
      <c r="F9" s="32" t="s">
        <v>13025</v>
      </c>
      <c r="G9" s="33">
        <v>7.8754719378608735</v>
      </c>
      <c r="H9" s="34">
        <v>1.492</v>
      </c>
      <c r="J9" s="32" t="s">
        <v>13025</v>
      </c>
      <c r="K9" s="35">
        <v>298.359</v>
      </c>
      <c r="L9" s="34">
        <v>275.068</v>
      </c>
      <c r="N9" s="32" t="s">
        <v>13025</v>
      </c>
      <c r="O9" s="35">
        <v>35.5088</v>
      </c>
      <c r="P9" s="34">
        <v>33.7001</v>
      </c>
    </row>
    <row r="10">
      <c r="B10" s="32" t="s">
        <v>13026</v>
      </c>
      <c r="C10" s="33">
        <v>1.60064039408867</v>
      </c>
      <c r="D10" s="34">
        <v>0.783</v>
      </c>
      <c r="F10" s="32" t="s">
        <v>13026</v>
      </c>
      <c r="G10" s="33">
        <v>3.0721864338771594</v>
      </c>
      <c r="H10" s="34">
        <v>6.382</v>
      </c>
      <c r="J10" s="32" t="s">
        <v>13026</v>
      </c>
      <c r="K10" s="35">
        <v>324.93</v>
      </c>
      <c r="L10" s="34">
        <v>391.531</v>
      </c>
      <c r="N10" s="32" t="s">
        <v>13026</v>
      </c>
      <c r="O10" s="35">
        <v>35.7727</v>
      </c>
      <c r="P10" s="34">
        <v>143.192</v>
      </c>
    </row>
    <row r="11">
      <c r="B11" s="32" t="s">
        <v>13027</v>
      </c>
      <c r="C11" s="34">
        <v>3.164</v>
      </c>
      <c r="D11" s="34">
        <v>0.896</v>
      </c>
      <c r="F11" s="36" t="s">
        <v>13027</v>
      </c>
      <c r="G11" s="34">
        <v>7.459</v>
      </c>
      <c r="H11" s="34">
        <v>4.754</v>
      </c>
      <c r="J11" s="36" t="s">
        <v>13027</v>
      </c>
      <c r="K11" s="34">
        <v>1072.58</v>
      </c>
      <c r="L11" s="34">
        <v>330.656</v>
      </c>
      <c r="N11" s="36" t="s">
        <v>13027</v>
      </c>
      <c r="O11" s="34">
        <v>126.517</v>
      </c>
      <c r="P11" s="34">
        <v>89.6836</v>
      </c>
    </row>
    <row r="12">
      <c r="B12" s="32" t="s">
        <v>13028</v>
      </c>
      <c r="C12" s="34">
        <v>4.753</v>
      </c>
      <c r="D12" s="34">
        <v>1.194</v>
      </c>
      <c r="F12" s="36" t="s">
        <v>13028</v>
      </c>
      <c r="G12" s="34">
        <v>9.728</v>
      </c>
      <c r="H12" s="34">
        <v>5.25</v>
      </c>
      <c r="J12" s="36" t="s">
        <v>13028</v>
      </c>
      <c r="K12" s="34">
        <v>2134.13</v>
      </c>
      <c r="L12" s="34">
        <v>543.494</v>
      </c>
      <c r="N12" s="36" t="s">
        <v>13028</v>
      </c>
      <c r="O12" s="34">
        <v>184.759</v>
      </c>
      <c r="P12" s="34">
        <v>104.628</v>
      </c>
    </row>
    <row r="13">
      <c r="B13" s="32" t="s">
        <v>13029</v>
      </c>
      <c r="C13" s="34">
        <v>3.384</v>
      </c>
      <c r="D13" s="34">
        <v>0.954</v>
      </c>
      <c r="F13" s="36" t="s">
        <v>13029</v>
      </c>
      <c r="G13" s="34">
        <v>7.566</v>
      </c>
      <c r="H13" s="34">
        <v>3.797</v>
      </c>
      <c r="J13" s="36" t="s">
        <v>13029</v>
      </c>
      <c r="K13" s="34">
        <v>1417.92</v>
      </c>
      <c r="L13" s="34">
        <v>446.597</v>
      </c>
      <c r="N13" s="36" t="s">
        <v>13029</v>
      </c>
      <c r="O13" s="34">
        <v>144.544</v>
      </c>
      <c r="P13" s="34">
        <v>77.1239</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7.13"/>
    <col customWidth="1" min="6" max="6" width="27.13"/>
  </cols>
  <sheetData>
    <row r="3">
      <c r="A3" s="5" t="s">
        <v>11549</v>
      </c>
    </row>
    <row r="6">
      <c r="B6" s="5" t="s">
        <v>4013</v>
      </c>
      <c r="F6" s="5" t="s">
        <v>13030</v>
      </c>
    </row>
    <row r="8">
      <c r="C8" s="30" t="s">
        <v>13023</v>
      </c>
      <c r="D8" s="30" t="s">
        <v>13024</v>
      </c>
      <c r="G8" s="30" t="s">
        <v>13023</v>
      </c>
      <c r="H8" s="30" t="s">
        <v>13024</v>
      </c>
    </row>
    <row r="9">
      <c r="B9" s="32" t="s">
        <v>13025</v>
      </c>
      <c r="C9" s="33">
        <v>58.333333333333336</v>
      </c>
      <c r="D9" s="34">
        <v>3.976</v>
      </c>
      <c r="F9" s="32" t="s">
        <v>13025</v>
      </c>
      <c r="G9" s="35">
        <v>50.0</v>
      </c>
      <c r="H9" s="34">
        <v>16.591</v>
      </c>
    </row>
    <row r="10">
      <c r="B10" s="32" t="s">
        <v>13026</v>
      </c>
      <c r="C10" s="35">
        <v>56.688</v>
      </c>
      <c r="D10" s="34">
        <v>4.279</v>
      </c>
      <c r="F10" s="32" t="s">
        <v>13026</v>
      </c>
      <c r="G10" s="35">
        <v>49.556</v>
      </c>
      <c r="H10" s="34">
        <v>17.778</v>
      </c>
    </row>
    <row r="11">
      <c r="B11" s="36" t="s">
        <v>13027</v>
      </c>
      <c r="C11" s="34">
        <v>62.626</v>
      </c>
      <c r="D11" s="34">
        <v>16.073</v>
      </c>
      <c r="F11" s="36" t="s">
        <v>13027</v>
      </c>
      <c r="G11" s="34">
        <v>48.461</v>
      </c>
      <c r="H11" s="34">
        <v>32.768</v>
      </c>
    </row>
    <row r="12">
      <c r="B12" s="36" t="s">
        <v>13028</v>
      </c>
      <c r="C12" s="34">
        <v>71.197</v>
      </c>
      <c r="D12" s="34">
        <v>20.223</v>
      </c>
      <c r="F12" s="36" t="s">
        <v>13028</v>
      </c>
      <c r="G12" s="34">
        <v>45.032</v>
      </c>
      <c r="H12" s="34">
        <v>35.643</v>
      </c>
    </row>
    <row r="13">
      <c r="B13" s="36" t="s">
        <v>13029</v>
      </c>
      <c r="C13" s="34">
        <v>70.184</v>
      </c>
      <c r="D13" s="34">
        <v>10.059</v>
      </c>
      <c r="F13" s="36" t="s">
        <v>13029</v>
      </c>
      <c r="G13" s="34">
        <v>45.741</v>
      </c>
      <c r="H13" s="34">
        <v>23.752</v>
      </c>
    </row>
    <row r="16">
      <c r="A16" s="5" t="s">
        <v>8671</v>
      </c>
    </row>
    <row r="20">
      <c r="B20" s="5" t="s">
        <v>4013</v>
      </c>
      <c r="F20" s="5" t="s">
        <v>13030</v>
      </c>
    </row>
    <row r="22">
      <c r="C22" s="30" t="s">
        <v>13023</v>
      </c>
      <c r="D22" s="30" t="s">
        <v>13024</v>
      </c>
      <c r="G22" s="30" t="s">
        <v>13023</v>
      </c>
      <c r="H22" s="30" t="s">
        <v>13024</v>
      </c>
    </row>
    <row r="23">
      <c r="B23" s="32" t="s">
        <v>13025</v>
      </c>
      <c r="C23" s="33">
        <v>86.67500000000001</v>
      </c>
      <c r="D23" s="34">
        <v>85.179</v>
      </c>
      <c r="F23" s="32" t="s">
        <v>13025</v>
      </c>
      <c r="G23" s="35">
        <v>0.558</v>
      </c>
      <c r="H23" s="34">
        <v>0.57</v>
      </c>
    </row>
    <row r="24">
      <c r="B24" s="32" t="s">
        <v>13026</v>
      </c>
      <c r="C24" s="35">
        <v>85.372</v>
      </c>
      <c r="D24" s="34">
        <v>80.057</v>
      </c>
      <c r="F24" s="32" t="s">
        <v>13026</v>
      </c>
      <c r="G24" s="35">
        <v>0.986</v>
      </c>
      <c r="H24" s="34">
        <v>0.675</v>
      </c>
    </row>
    <row r="25">
      <c r="B25" s="36" t="s">
        <v>13027</v>
      </c>
      <c r="C25" s="34">
        <v>88.813</v>
      </c>
      <c r="D25" s="34">
        <v>97.73</v>
      </c>
      <c r="F25" s="36" t="s">
        <v>13027</v>
      </c>
      <c r="G25" s="34">
        <v>6.986</v>
      </c>
      <c r="H25" s="34">
        <v>3.454</v>
      </c>
    </row>
    <row r="26">
      <c r="B26" s="36" t="s">
        <v>13028</v>
      </c>
      <c r="C26" s="34">
        <v>96.734</v>
      </c>
      <c r="D26" s="34">
        <v>97.452</v>
      </c>
      <c r="F26" s="36" t="s">
        <v>13028</v>
      </c>
      <c r="G26" s="34">
        <v>5.886</v>
      </c>
      <c r="H26" s="34">
        <v>1.316</v>
      </c>
    </row>
    <row r="27">
      <c r="B27" s="36" t="s">
        <v>13029</v>
      </c>
      <c r="C27" s="34">
        <v>91.344</v>
      </c>
      <c r="D27" s="34">
        <v>96.036</v>
      </c>
      <c r="F27" s="36" t="s">
        <v>13029</v>
      </c>
      <c r="G27" s="34">
        <v>6.254</v>
      </c>
      <c r="H27" s="34">
        <v>4.59</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27.13"/>
    <col customWidth="1" min="4" max="4" width="26.5"/>
    <col customWidth="1" min="5" max="5" width="27.13"/>
    <col customWidth="1" min="6" max="6" width="25.25"/>
    <col customWidth="1" min="7" max="8" width="27.13"/>
    <col customWidth="1" min="9" max="9" width="26.5"/>
    <col customWidth="1" min="10" max="10" width="27.13"/>
    <col customWidth="1" min="11" max="11" width="25.25"/>
    <col customWidth="1" min="12" max="13" width="27.13"/>
    <col customWidth="1" min="14" max="14" width="26.5"/>
    <col customWidth="1" min="15" max="15" width="27.13"/>
    <col customWidth="1" min="16" max="16" width="25.25"/>
    <col customWidth="1" min="18" max="18" width="12.5"/>
    <col customWidth="1" min="19" max="19" width="26.5"/>
    <col customWidth="1" min="20" max="20" width="27.13"/>
    <col customWidth="1" min="21" max="21" width="25.25"/>
  </cols>
  <sheetData>
    <row r="2">
      <c r="K2" s="8"/>
      <c r="L2" s="8"/>
      <c r="M2" s="8"/>
      <c r="N2" s="8"/>
      <c r="O2" s="8"/>
      <c r="P2" s="8"/>
    </row>
    <row r="3">
      <c r="K3" s="8"/>
      <c r="L3" s="8"/>
      <c r="M3" s="8"/>
      <c r="N3" s="8"/>
      <c r="O3" s="8"/>
      <c r="P3" s="8"/>
    </row>
    <row r="4">
      <c r="K4" s="8"/>
      <c r="L4" s="8"/>
      <c r="M4" s="8"/>
      <c r="N4" s="8"/>
      <c r="O4" s="8"/>
      <c r="P4" s="8"/>
    </row>
    <row r="5">
      <c r="K5" s="8"/>
      <c r="L5" s="8"/>
      <c r="M5" s="8"/>
      <c r="N5" s="8"/>
      <c r="O5" s="8"/>
      <c r="P5" s="8"/>
    </row>
    <row r="6">
      <c r="K6" s="8"/>
      <c r="L6" s="8"/>
      <c r="M6" s="8"/>
      <c r="N6" s="8"/>
      <c r="O6" s="8"/>
      <c r="P6" s="8"/>
    </row>
    <row r="7">
      <c r="C7" s="5" t="s">
        <v>4013</v>
      </c>
      <c r="G7" s="5"/>
      <c r="H7" s="5" t="s">
        <v>13030</v>
      </c>
      <c r="K7" s="8"/>
      <c r="L7" s="37"/>
      <c r="M7" s="37" t="s">
        <v>13021</v>
      </c>
      <c r="N7" s="8"/>
      <c r="O7" s="8"/>
      <c r="P7" s="8"/>
      <c r="R7" s="5" t="s">
        <v>13022</v>
      </c>
    </row>
    <row r="8">
      <c r="K8" s="8"/>
      <c r="L8" s="8"/>
      <c r="M8" s="8"/>
      <c r="N8" s="38"/>
      <c r="O8" s="38"/>
      <c r="P8" s="8"/>
    </row>
    <row r="9">
      <c r="D9" s="36" t="s">
        <v>13027</v>
      </c>
      <c r="E9" s="36" t="s">
        <v>13028</v>
      </c>
      <c r="F9" s="36" t="s">
        <v>13029</v>
      </c>
      <c r="I9" s="36" t="s">
        <v>13027</v>
      </c>
      <c r="J9" s="36" t="s">
        <v>13028</v>
      </c>
      <c r="K9" s="36" t="s">
        <v>13029</v>
      </c>
      <c r="L9" s="8"/>
      <c r="N9" s="36" t="s">
        <v>13027</v>
      </c>
      <c r="O9" s="36" t="s">
        <v>13028</v>
      </c>
      <c r="P9" s="36" t="s">
        <v>13029</v>
      </c>
      <c r="S9" s="36" t="s">
        <v>13027</v>
      </c>
      <c r="T9" s="36" t="s">
        <v>13028</v>
      </c>
      <c r="U9" s="36" t="s">
        <v>13029</v>
      </c>
    </row>
    <row r="10">
      <c r="C10" s="30" t="s">
        <v>13023</v>
      </c>
      <c r="D10" s="34">
        <v>3.164</v>
      </c>
      <c r="E10" s="34">
        <v>4.753</v>
      </c>
      <c r="F10" s="34">
        <v>3.384</v>
      </c>
      <c r="G10" s="5"/>
      <c r="H10" s="30" t="s">
        <v>13023</v>
      </c>
      <c r="I10" s="34">
        <v>7.459</v>
      </c>
      <c r="J10" s="34">
        <v>9.728</v>
      </c>
      <c r="K10" s="34">
        <v>7.566</v>
      </c>
      <c r="L10" s="8"/>
      <c r="M10" s="30" t="s">
        <v>13023</v>
      </c>
      <c r="N10" s="34">
        <v>1072.58</v>
      </c>
      <c r="O10" s="34">
        <v>2134.13</v>
      </c>
      <c r="P10" s="34">
        <v>1417.92</v>
      </c>
      <c r="R10" s="30" t="s">
        <v>13023</v>
      </c>
      <c r="S10" s="34">
        <v>126.517</v>
      </c>
      <c r="T10" s="34">
        <v>184.759</v>
      </c>
      <c r="U10" s="34">
        <v>144.544</v>
      </c>
    </row>
    <row r="11">
      <c r="C11" s="39" t="s">
        <v>13024</v>
      </c>
      <c r="D11" s="34">
        <v>0.896</v>
      </c>
      <c r="E11" s="34">
        <v>1.194</v>
      </c>
      <c r="F11" s="34">
        <v>0.954</v>
      </c>
      <c r="G11" s="5"/>
      <c r="H11" s="39" t="s">
        <v>13024</v>
      </c>
      <c r="I11" s="34">
        <v>4.754</v>
      </c>
      <c r="J11" s="34">
        <v>5.25</v>
      </c>
      <c r="K11" s="34">
        <v>3.797</v>
      </c>
      <c r="L11" s="8"/>
      <c r="M11" s="39" t="s">
        <v>13024</v>
      </c>
      <c r="N11" s="34">
        <v>330.656</v>
      </c>
      <c r="O11" s="34">
        <v>543.494</v>
      </c>
      <c r="P11" s="34">
        <v>446.597</v>
      </c>
      <c r="R11" s="39" t="s">
        <v>13024</v>
      </c>
      <c r="S11" s="34">
        <v>89.6836</v>
      </c>
      <c r="T11" s="34">
        <v>104.628</v>
      </c>
      <c r="U11" s="34">
        <v>77.1239</v>
      </c>
    </row>
    <row r="12">
      <c r="K12" s="8"/>
      <c r="L12" s="8"/>
      <c r="M12" s="8"/>
      <c r="N12" s="8"/>
      <c r="O12" s="8"/>
      <c r="P12" s="8"/>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4" max="4" width="26.5"/>
    <col customWidth="1" min="5" max="5" width="27.13"/>
    <col customWidth="1" min="6" max="6" width="25.25"/>
    <col customWidth="1" min="9" max="9" width="26.5"/>
    <col customWidth="1" min="10" max="10" width="27.13"/>
    <col customWidth="1" min="11" max="11" width="25.25"/>
  </cols>
  <sheetData>
    <row r="2">
      <c r="A2" s="5" t="s">
        <v>8670</v>
      </c>
      <c r="C2" s="5" t="s">
        <v>4013</v>
      </c>
      <c r="H2" s="5" t="s">
        <v>13020</v>
      </c>
    </row>
    <row r="3">
      <c r="D3" s="36" t="s">
        <v>13027</v>
      </c>
      <c r="E3" s="36" t="s">
        <v>13028</v>
      </c>
      <c r="F3" s="36" t="s">
        <v>13029</v>
      </c>
      <c r="I3" s="36" t="s">
        <v>13027</v>
      </c>
      <c r="J3" s="36" t="s">
        <v>13028</v>
      </c>
      <c r="K3" s="36" t="s">
        <v>13029</v>
      </c>
    </row>
    <row r="4">
      <c r="C4" s="30" t="s">
        <v>13023</v>
      </c>
      <c r="D4" s="34">
        <v>62.626</v>
      </c>
      <c r="E4" s="34">
        <v>71.197</v>
      </c>
      <c r="F4" s="34">
        <v>70.184</v>
      </c>
      <c r="H4" s="30" t="s">
        <v>13023</v>
      </c>
      <c r="I4" s="34">
        <v>48.461</v>
      </c>
      <c r="J4" s="34">
        <v>45.032</v>
      </c>
      <c r="K4" s="34">
        <v>45.741</v>
      </c>
    </row>
    <row r="5">
      <c r="C5" s="39" t="s">
        <v>13024</v>
      </c>
      <c r="D5" s="34">
        <v>16.073</v>
      </c>
      <c r="E5" s="34">
        <v>20.223</v>
      </c>
      <c r="F5" s="34">
        <v>10.059</v>
      </c>
      <c r="H5" s="39" t="s">
        <v>13024</v>
      </c>
      <c r="I5" s="34">
        <v>32.768</v>
      </c>
      <c r="J5" s="34">
        <v>35.643</v>
      </c>
      <c r="K5" s="34">
        <v>23.752</v>
      </c>
    </row>
    <row r="8">
      <c r="A8" s="5" t="s">
        <v>13031</v>
      </c>
      <c r="C8" s="5" t="s">
        <v>4013</v>
      </c>
      <c r="H8" s="5" t="s">
        <v>13020</v>
      </c>
    </row>
    <row r="9">
      <c r="D9" s="36" t="s">
        <v>13027</v>
      </c>
      <c r="E9" s="36" t="s">
        <v>13028</v>
      </c>
      <c r="F9" s="36" t="s">
        <v>13029</v>
      </c>
      <c r="I9" s="36" t="s">
        <v>13027</v>
      </c>
      <c r="J9" s="36" t="s">
        <v>13028</v>
      </c>
      <c r="K9" s="36" t="s">
        <v>13029</v>
      </c>
    </row>
    <row r="10">
      <c r="C10" s="30" t="s">
        <v>13023</v>
      </c>
      <c r="D10" s="34">
        <v>88.813</v>
      </c>
      <c r="E10" s="34">
        <v>96.734</v>
      </c>
      <c r="F10" s="34">
        <v>91.344</v>
      </c>
      <c r="H10" s="30" t="s">
        <v>13023</v>
      </c>
      <c r="I10" s="34">
        <v>6.986</v>
      </c>
      <c r="J10" s="34">
        <v>5.886</v>
      </c>
      <c r="K10" s="34">
        <v>6.254</v>
      </c>
    </row>
    <row r="11">
      <c r="C11" s="39" t="s">
        <v>13024</v>
      </c>
      <c r="D11" s="34">
        <v>97.73</v>
      </c>
      <c r="E11" s="34">
        <v>97.452</v>
      </c>
      <c r="F11" s="34">
        <v>96.036</v>
      </c>
      <c r="H11" s="39" t="s">
        <v>13024</v>
      </c>
      <c r="I11" s="34">
        <v>3.454</v>
      </c>
      <c r="J11" s="34">
        <v>1.316</v>
      </c>
      <c r="K11" s="34">
        <v>4.59</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5.88"/>
    <col customWidth="1" min="3" max="3" width="26.5"/>
    <col customWidth="1" min="4" max="4" width="27.13"/>
    <col customWidth="1" min="5" max="5" width="25.25"/>
  </cols>
  <sheetData>
    <row r="3">
      <c r="A3" s="5" t="s">
        <v>13027</v>
      </c>
      <c r="G3" s="5" t="s">
        <v>13028</v>
      </c>
      <c r="M3" s="5" t="s">
        <v>13029</v>
      </c>
      <c r="N3" s="5"/>
      <c r="O3" s="5"/>
      <c r="P3" s="5"/>
      <c r="Q3" s="5"/>
      <c r="R3" s="5"/>
    </row>
    <row r="4">
      <c r="M4" s="5" t="s">
        <v>13032</v>
      </c>
      <c r="O4" s="10"/>
      <c r="P4" s="5" t="s">
        <v>13033</v>
      </c>
      <c r="Q4" s="10"/>
      <c r="R4" s="10"/>
    </row>
    <row r="5">
      <c r="D5" s="5" t="s">
        <v>13034</v>
      </c>
      <c r="G5" s="5" t="s">
        <v>13035</v>
      </c>
      <c r="J5" s="5" t="s">
        <v>13036</v>
      </c>
      <c r="M5" s="6" t="s">
        <v>171</v>
      </c>
      <c r="N5" s="10" t="s">
        <v>174</v>
      </c>
      <c r="P5" s="10" t="s">
        <v>171</v>
      </c>
      <c r="Q5" s="10" t="s">
        <v>174</v>
      </c>
      <c r="R5" s="10"/>
    </row>
    <row r="6">
      <c r="A6" s="5" t="s">
        <v>13037</v>
      </c>
      <c r="D6" s="6" t="s">
        <v>171</v>
      </c>
      <c r="E6" s="40" t="s">
        <v>174</v>
      </c>
      <c r="G6" s="6" t="s">
        <v>171</v>
      </c>
      <c r="H6" s="6" t="s">
        <v>174</v>
      </c>
      <c r="J6" s="6" t="s">
        <v>171</v>
      </c>
      <c r="K6" s="6" t="s">
        <v>174</v>
      </c>
      <c r="M6" s="40" t="s">
        <v>33</v>
      </c>
      <c r="N6" s="10">
        <v>42.0</v>
      </c>
      <c r="O6" s="5"/>
      <c r="P6" s="6" t="s">
        <v>33</v>
      </c>
      <c r="Q6" s="10">
        <v>39.0</v>
      </c>
      <c r="R6" s="10"/>
    </row>
    <row r="7">
      <c r="A7" s="6" t="s">
        <v>171</v>
      </c>
      <c r="B7" s="40" t="s">
        <v>174</v>
      </c>
      <c r="D7" s="6" t="s">
        <v>33</v>
      </c>
      <c r="E7" s="10">
        <v>49.0</v>
      </c>
      <c r="G7" s="6" t="s">
        <v>33</v>
      </c>
      <c r="H7" s="10">
        <v>49.0</v>
      </c>
      <c r="J7" s="6" t="s">
        <v>33</v>
      </c>
      <c r="K7" s="10">
        <v>49.0</v>
      </c>
      <c r="M7" s="6" t="s">
        <v>41</v>
      </c>
      <c r="N7" s="10">
        <v>22.0</v>
      </c>
      <c r="P7" s="6" t="s">
        <v>41</v>
      </c>
      <c r="Q7" s="10">
        <v>25.0</v>
      </c>
      <c r="R7" s="10"/>
    </row>
    <row r="8">
      <c r="A8" s="6" t="s">
        <v>33</v>
      </c>
      <c r="B8" s="40">
        <v>48.0</v>
      </c>
      <c r="D8" s="6" t="s">
        <v>34</v>
      </c>
      <c r="E8" s="10">
        <v>34.0</v>
      </c>
      <c r="G8" s="6" t="s">
        <v>34</v>
      </c>
      <c r="H8" s="10">
        <v>38.0</v>
      </c>
      <c r="J8" s="6" t="s">
        <v>34</v>
      </c>
      <c r="K8" s="10">
        <v>28.0</v>
      </c>
      <c r="M8" s="6" t="s">
        <v>44</v>
      </c>
      <c r="N8" s="10">
        <v>17.0</v>
      </c>
      <c r="P8" s="6" t="s">
        <v>40</v>
      </c>
      <c r="Q8" s="10">
        <v>19.0</v>
      </c>
      <c r="R8" s="10"/>
    </row>
    <row r="9">
      <c r="A9" s="6" t="s">
        <v>34</v>
      </c>
      <c r="B9" s="40">
        <v>34.0</v>
      </c>
      <c r="D9" s="6" t="s">
        <v>40</v>
      </c>
      <c r="E9" s="10">
        <v>17.0</v>
      </c>
      <c r="G9" s="6" t="s">
        <v>48</v>
      </c>
      <c r="H9" s="10">
        <v>23.0</v>
      </c>
      <c r="J9" s="6" t="s">
        <v>40</v>
      </c>
      <c r="K9" s="10">
        <v>21.0</v>
      </c>
      <c r="M9" s="6" t="s">
        <v>119</v>
      </c>
      <c r="N9" s="10">
        <v>12.0</v>
      </c>
      <c r="P9" s="6" t="s">
        <v>44</v>
      </c>
      <c r="Q9" s="10">
        <v>16.0</v>
      </c>
      <c r="R9" s="10"/>
    </row>
    <row r="10">
      <c r="A10" s="6" t="s">
        <v>40</v>
      </c>
      <c r="B10" s="40">
        <v>16.0</v>
      </c>
      <c r="D10" s="6" t="s">
        <v>48</v>
      </c>
      <c r="E10" s="10">
        <v>16.0</v>
      </c>
      <c r="G10" s="6" t="s">
        <v>41</v>
      </c>
      <c r="H10" s="10">
        <v>20.0</v>
      </c>
      <c r="J10" s="6" t="s">
        <v>41</v>
      </c>
      <c r="K10" s="10">
        <v>19.0</v>
      </c>
      <c r="M10" s="6" t="s">
        <v>40</v>
      </c>
      <c r="N10" s="10">
        <v>12.0</v>
      </c>
      <c r="P10" s="6" t="s">
        <v>119</v>
      </c>
      <c r="Q10" s="10">
        <v>11.0</v>
      </c>
      <c r="R10" s="10"/>
    </row>
    <row r="11">
      <c r="A11" s="6" t="s">
        <v>35</v>
      </c>
      <c r="B11" s="40">
        <v>10.0</v>
      </c>
      <c r="D11" s="6" t="s">
        <v>41</v>
      </c>
      <c r="E11" s="10">
        <v>15.0</v>
      </c>
      <c r="G11" s="6" t="s">
        <v>44</v>
      </c>
      <c r="H11" s="10">
        <v>20.0</v>
      </c>
      <c r="J11" s="6" t="s">
        <v>48</v>
      </c>
      <c r="K11" s="10">
        <v>18.0</v>
      </c>
      <c r="M11" s="6" t="s">
        <v>115</v>
      </c>
      <c r="N11" s="10">
        <v>9.0</v>
      </c>
      <c r="P11" s="6" t="s">
        <v>88</v>
      </c>
      <c r="Q11" s="10">
        <v>9.0</v>
      </c>
      <c r="R11" s="10"/>
    </row>
    <row r="12">
      <c r="A12" s="6" t="s">
        <v>75</v>
      </c>
      <c r="B12" s="40">
        <v>10.0</v>
      </c>
      <c r="D12" s="6" t="s">
        <v>35</v>
      </c>
      <c r="E12" s="10">
        <v>14.0</v>
      </c>
      <c r="G12" s="6" t="s">
        <v>40</v>
      </c>
      <c r="H12" s="10">
        <v>16.0</v>
      </c>
      <c r="J12" s="6" t="s">
        <v>44</v>
      </c>
      <c r="K12" s="10">
        <v>17.0</v>
      </c>
      <c r="M12" s="6" t="s">
        <v>90</v>
      </c>
      <c r="N12" s="10">
        <v>8.0</v>
      </c>
      <c r="P12" s="6" t="s">
        <v>897</v>
      </c>
      <c r="Q12" s="10">
        <v>9.0</v>
      </c>
      <c r="R12" s="10"/>
    </row>
    <row r="13">
      <c r="A13" s="6" t="s">
        <v>50</v>
      </c>
      <c r="B13" s="40">
        <v>10.0</v>
      </c>
      <c r="D13" s="6" t="s">
        <v>88</v>
      </c>
      <c r="E13" s="10">
        <v>14.0</v>
      </c>
      <c r="G13" s="6" t="s">
        <v>107</v>
      </c>
      <c r="H13" s="10">
        <v>13.0</v>
      </c>
      <c r="J13" s="6" t="s">
        <v>500</v>
      </c>
      <c r="K13" s="10">
        <v>16.0</v>
      </c>
      <c r="M13" s="6" t="s">
        <v>876</v>
      </c>
      <c r="N13" s="10">
        <v>8.0</v>
      </c>
      <c r="P13" s="6" t="s">
        <v>48</v>
      </c>
      <c r="Q13" s="10">
        <v>9.0</v>
      </c>
      <c r="R13" s="10"/>
    </row>
    <row r="14">
      <c r="A14" s="6" t="s">
        <v>44</v>
      </c>
      <c r="B14" s="40">
        <v>9.0</v>
      </c>
      <c r="D14" s="6" t="s">
        <v>89</v>
      </c>
      <c r="E14" s="10">
        <v>11.0</v>
      </c>
      <c r="G14" s="6" t="s">
        <v>500</v>
      </c>
      <c r="H14" s="10">
        <v>13.0</v>
      </c>
      <c r="J14" s="6" t="s">
        <v>88</v>
      </c>
      <c r="K14" s="10">
        <v>12.0</v>
      </c>
      <c r="M14" s="6" t="s">
        <v>88</v>
      </c>
      <c r="N14" s="10">
        <v>8.0</v>
      </c>
      <c r="P14" s="6" t="s">
        <v>553</v>
      </c>
      <c r="Q14" s="10">
        <v>8.0</v>
      </c>
      <c r="R14" s="10"/>
    </row>
    <row r="15">
      <c r="A15" s="6" t="s">
        <v>36</v>
      </c>
      <c r="B15" s="40">
        <v>9.0</v>
      </c>
      <c r="D15" s="6" t="s">
        <v>75</v>
      </c>
      <c r="E15" s="10">
        <v>8.0</v>
      </c>
      <c r="G15" s="6" t="s">
        <v>42</v>
      </c>
      <c r="H15" s="10">
        <v>12.0</v>
      </c>
      <c r="J15" s="6" t="s">
        <v>75</v>
      </c>
      <c r="K15" s="10">
        <v>12.0</v>
      </c>
      <c r="M15" s="6" t="s">
        <v>553</v>
      </c>
      <c r="N15" s="10">
        <v>7.0</v>
      </c>
      <c r="P15" s="6" t="s">
        <v>75</v>
      </c>
      <c r="Q15" s="10">
        <v>7.0</v>
      </c>
      <c r="R15" s="10"/>
    </row>
    <row r="16">
      <c r="A16" s="6" t="s">
        <v>129</v>
      </c>
      <c r="B16" s="40">
        <v>8.0</v>
      </c>
      <c r="D16" s="6" t="s">
        <v>50</v>
      </c>
      <c r="E16" s="10">
        <v>8.0</v>
      </c>
      <c r="G16" s="6" t="s">
        <v>88</v>
      </c>
      <c r="H16" s="10">
        <v>9.0</v>
      </c>
      <c r="J16" s="6" t="s">
        <v>107</v>
      </c>
      <c r="K16" s="10">
        <v>10.0</v>
      </c>
      <c r="M16" s="6" t="s">
        <v>92</v>
      </c>
      <c r="N16" s="10">
        <v>7.0</v>
      </c>
      <c r="P16" s="6" t="s">
        <v>115</v>
      </c>
      <c r="Q16" s="10">
        <v>7.0</v>
      </c>
      <c r="R16" s="10"/>
    </row>
    <row r="17">
      <c r="A17" s="6" t="s">
        <v>96</v>
      </c>
      <c r="B17" s="40">
        <v>8.0</v>
      </c>
      <c r="D17" s="6" t="s">
        <v>36</v>
      </c>
      <c r="E17" s="10">
        <v>8.0</v>
      </c>
      <c r="G17" s="6" t="s">
        <v>119</v>
      </c>
      <c r="H17" s="10">
        <v>9.0</v>
      </c>
      <c r="J17" s="6" t="s">
        <v>42</v>
      </c>
      <c r="K17" s="10">
        <v>10.0</v>
      </c>
      <c r="M17" s="6" t="s">
        <v>98</v>
      </c>
      <c r="N17" s="10">
        <v>7.0</v>
      </c>
      <c r="P17" s="6" t="s">
        <v>62</v>
      </c>
      <c r="Q17" s="10">
        <v>6.0</v>
      </c>
      <c r="R17" s="10"/>
    </row>
    <row r="18">
      <c r="A18" s="6" t="s">
        <v>48</v>
      </c>
      <c r="B18" s="40">
        <v>8.0</v>
      </c>
      <c r="D18" s="6" t="s">
        <v>129</v>
      </c>
      <c r="E18" s="10">
        <v>7.0</v>
      </c>
      <c r="G18" s="6" t="s">
        <v>75</v>
      </c>
      <c r="H18" s="10">
        <v>8.0</v>
      </c>
      <c r="J18" s="6" t="s">
        <v>119</v>
      </c>
      <c r="K18" s="10">
        <v>9.0</v>
      </c>
      <c r="M18" s="6" t="s">
        <v>109</v>
      </c>
      <c r="N18" s="10">
        <v>6.0</v>
      </c>
      <c r="P18" s="6" t="s">
        <v>92</v>
      </c>
      <c r="Q18" s="10">
        <v>6.0</v>
      </c>
      <c r="R18" s="10"/>
    </row>
    <row r="19">
      <c r="A19" s="6" t="s">
        <v>119</v>
      </c>
      <c r="B19" s="40">
        <v>7.0</v>
      </c>
      <c r="D19" s="6" t="s">
        <v>62</v>
      </c>
      <c r="E19" s="10">
        <v>7.0</v>
      </c>
      <c r="G19" s="6" t="s">
        <v>513</v>
      </c>
      <c r="H19" s="10">
        <v>8.0</v>
      </c>
      <c r="J19" s="6" t="s">
        <v>50</v>
      </c>
      <c r="K19" s="10">
        <v>8.0</v>
      </c>
      <c r="M19" s="6" t="s">
        <v>48</v>
      </c>
      <c r="N19" s="10">
        <v>6.0</v>
      </c>
      <c r="P19" s="6" t="s">
        <v>946</v>
      </c>
      <c r="Q19" s="10">
        <v>6.0</v>
      </c>
      <c r="R19" s="10"/>
    </row>
    <row r="20">
      <c r="A20" s="6" t="s">
        <v>65</v>
      </c>
      <c r="B20" s="40">
        <v>7.0</v>
      </c>
      <c r="D20" s="6" t="s">
        <v>42</v>
      </c>
      <c r="E20" s="10">
        <v>7.0</v>
      </c>
      <c r="G20" s="6" t="s">
        <v>497</v>
      </c>
      <c r="H20" s="10">
        <v>7.0</v>
      </c>
      <c r="J20" s="6" t="s">
        <v>518</v>
      </c>
      <c r="K20" s="10">
        <v>8.0</v>
      </c>
      <c r="M20" s="6" t="s">
        <v>1510</v>
      </c>
      <c r="N20" s="10">
        <v>5.0</v>
      </c>
      <c r="P20" s="6" t="s">
        <v>107</v>
      </c>
      <c r="Q20" s="10">
        <v>6.0</v>
      </c>
      <c r="R20" s="10"/>
    </row>
    <row r="21">
      <c r="A21" s="6" t="s">
        <v>62</v>
      </c>
      <c r="B21" s="40">
        <v>7.0</v>
      </c>
      <c r="D21" s="6" t="s">
        <v>119</v>
      </c>
      <c r="E21" s="10">
        <v>6.0</v>
      </c>
      <c r="G21" s="6" t="s">
        <v>109</v>
      </c>
      <c r="H21" s="10">
        <v>7.0</v>
      </c>
      <c r="J21" s="6" t="s">
        <v>35</v>
      </c>
      <c r="K21" s="10">
        <v>8.0</v>
      </c>
      <c r="M21" s="6" t="s">
        <v>34</v>
      </c>
      <c r="N21" s="10">
        <v>5.0</v>
      </c>
      <c r="P21" s="6" t="s">
        <v>89</v>
      </c>
      <c r="Q21" s="10">
        <v>6.0</v>
      </c>
      <c r="R21" s="10"/>
    </row>
    <row r="22">
      <c r="A22" s="6" t="s">
        <v>41</v>
      </c>
      <c r="B22" s="40">
        <v>6.0</v>
      </c>
      <c r="D22" s="6" t="s">
        <v>107</v>
      </c>
      <c r="E22" s="10">
        <v>6.0</v>
      </c>
      <c r="G22" s="6" t="s">
        <v>90</v>
      </c>
      <c r="H22" s="10">
        <v>7.0</v>
      </c>
      <c r="J22" s="6" t="s">
        <v>520</v>
      </c>
      <c r="K22" s="10">
        <v>7.0</v>
      </c>
      <c r="M22" s="6" t="s">
        <v>75</v>
      </c>
      <c r="N22" s="10">
        <v>5.0</v>
      </c>
      <c r="P22" s="6" t="s">
        <v>36</v>
      </c>
      <c r="Q22" s="10">
        <v>5.0</v>
      </c>
      <c r="R22" s="10"/>
    </row>
    <row r="23">
      <c r="A23" s="6" t="s">
        <v>109</v>
      </c>
      <c r="B23" s="40">
        <v>5.0</v>
      </c>
      <c r="D23" s="6" t="s">
        <v>80</v>
      </c>
      <c r="E23" s="10">
        <v>5.0</v>
      </c>
      <c r="G23" s="6" t="s">
        <v>92</v>
      </c>
      <c r="H23" s="10">
        <v>7.0</v>
      </c>
      <c r="J23" s="6" t="s">
        <v>129</v>
      </c>
      <c r="K23" s="10">
        <v>7.0</v>
      </c>
      <c r="M23" s="6" t="s">
        <v>513</v>
      </c>
      <c r="N23" s="10">
        <v>5.0</v>
      </c>
      <c r="P23" s="6" t="s">
        <v>57</v>
      </c>
      <c r="Q23" s="10">
        <v>5.0</v>
      </c>
      <c r="R23" s="10"/>
    </row>
    <row r="24">
      <c r="A24" s="6" t="s">
        <v>92</v>
      </c>
      <c r="B24" s="40">
        <v>5.0</v>
      </c>
      <c r="D24" s="6" t="s">
        <v>132</v>
      </c>
      <c r="E24" s="10">
        <v>5.0</v>
      </c>
      <c r="G24" s="6" t="s">
        <v>115</v>
      </c>
      <c r="H24" s="10">
        <v>6.0</v>
      </c>
      <c r="J24" s="6" t="s">
        <v>92</v>
      </c>
      <c r="K24" s="10">
        <v>6.0</v>
      </c>
      <c r="M24" s="6" t="s">
        <v>518</v>
      </c>
      <c r="N24" s="10">
        <v>5.0</v>
      </c>
      <c r="P24" s="6" t="s">
        <v>961</v>
      </c>
      <c r="Q24" s="10">
        <v>5.0</v>
      </c>
      <c r="R24" s="7" t="s">
        <v>13038</v>
      </c>
    </row>
    <row r="25">
      <c r="A25" s="6" t="s">
        <v>89</v>
      </c>
      <c r="B25" s="40">
        <v>5.0</v>
      </c>
      <c r="D25" s="6" t="s">
        <v>51</v>
      </c>
      <c r="E25" s="10">
        <v>5.0</v>
      </c>
      <c r="G25" s="6" t="s">
        <v>139</v>
      </c>
      <c r="H25" s="10">
        <v>6.0</v>
      </c>
      <c r="J25" s="6" t="s">
        <v>139</v>
      </c>
      <c r="K25" s="10">
        <v>6.0</v>
      </c>
      <c r="M25" s="6" t="s">
        <v>160</v>
      </c>
      <c r="N25" s="10">
        <v>4.0</v>
      </c>
      <c r="P25" s="6" t="s">
        <v>939</v>
      </c>
      <c r="Q25" s="10">
        <v>4.0</v>
      </c>
      <c r="R25" s="10"/>
    </row>
    <row r="26">
      <c r="A26" s="6" t="s">
        <v>88</v>
      </c>
      <c r="B26" s="40">
        <v>5.0</v>
      </c>
      <c r="D26" s="6" t="s">
        <v>90</v>
      </c>
      <c r="E26" s="10">
        <v>5.0</v>
      </c>
      <c r="G26" s="6" t="s">
        <v>39</v>
      </c>
      <c r="H26" s="10">
        <v>6.0</v>
      </c>
      <c r="J26" s="6" t="s">
        <v>109</v>
      </c>
      <c r="K26" s="10">
        <v>6.0</v>
      </c>
      <c r="M26" s="6" t="s">
        <v>520</v>
      </c>
      <c r="N26" s="10">
        <v>4.0</v>
      </c>
      <c r="P26" s="6" t="s">
        <v>947</v>
      </c>
      <c r="Q26" s="10">
        <v>4.0</v>
      </c>
      <c r="R26" s="10"/>
    </row>
    <row r="27">
      <c r="A27" s="6" t="s">
        <v>90</v>
      </c>
      <c r="B27" s="40">
        <v>5.0</v>
      </c>
      <c r="D27" s="6" t="s">
        <v>65</v>
      </c>
      <c r="E27" s="10">
        <v>5.0</v>
      </c>
      <c r="G27" s="6" t="s">
        <v>35</v>
      </c>
      <c r="H27" s="10">
        <v>6.0</v>
      </c>
      <c r="J27" s="6" t="s">
        <v>501</v>
      </c>
      <c r="K27" s="10">
        <v>5.0</v>
      </c>
      <c r="M27" s="6" t="s">
        <v>126</v>
      </c>
      <c r="N27" s="10">
        <v>4.0</v>
      </c>
      <c r="P27" s="6" t="s">
        <v>892</v>
      </c>
      <c r="Q27" s="10">
        <v>4.0</v>
      </c>
      <c r="R27" s="10"/>
    </row>
    <row r="28">
      <c r="A28" s="6" t="s">
        <v>122</v>
      </c>
      <c r="B28" s="40">
        <v>4.0</v>
      </c>
      <c r="D28" s="6" t="s">
        <v>109</v>
      </c>
      <c r="E28" s="10">
        <v>5.0</v>
      </c>
      <c r="G28" s="6" t="s">
        <v>50</v>
      </c>
      <c r="H28" s="10">
        <v>5.0</v>
      </c>
      <c r="J28" s="6" t="s">
        <v>89</v>
      </c>
      <c r="K28" s="10">
        <v>4.0</v>
      </c>
      <c r="M28" s="6" t="s">
        <v>89</v>
      </c>
      <c r="N28" s="10">
        <v>4.0</v>
      </c>
      <c r="P28" s="6" t="s">
        <v>129</v>
      </c>
      <c r="Q28" s="10">
        <v>4.0</v>
      </c>
      <c r="R28" s="10"/>
    </row>
    <row r="29">
      <c r="A29" s="6" t="s">
        <v>2604</v>
      </c>
      <c r="B29" s="40">
        <v>4.0</v>
      </c>
      <c r="D29" s="6" t="s">
        <v>96</v>
      </c>
      <c r="E29" s="10">
        <v>5.0</v>
      </c>
      <c r="G29" s="6" t="s">
        <v>533</v>
      </c>
      <c r="H29" s="10">
        <v>5.0</v>
      </c>
      <c r="J29" s="6" t="s">
        <v>560</v>
      </c>
      <c r="K29" s="10">
        <v>4.0</v>
      </c>
      <c r="M29" s="6" t="s">
        <v>62</v>
      </c>
      <c r="N29" s="10">
        <v>3.0</v>
      </c>
      <c r="P29" s="6" t="s">
        <v>109</v>
      </c>
      <c r="Q29" s="10">
        <v>4.0</v>
      </c>
      <c r="R29" s="10"/>
    </row>
    <row r="30">
      <c r="A30" s="6" t="s">
        <v>51</v>
      </c>
      <c r="B30" s="40">
        <v>4.0</v>
      </c>
      <c r="D30" s="6" t="s">
        <v>147</v>
      </c>
      <c r="E30" s="10">
        <v>4.0</v>
      </c>
      <c r="G30" s="6" t="s">
        <v>498</v>
      </c>
      <c r="H30" s="10">
        <v>5.0</v>
      </c>
      <c r="J30" s="6" t="s">
        <v>497</v>
      </c>
      <c r="K30" s="10">
        <v>4.0</v>
      </c>
      <c r="M30" s="6" t="s">
        <v>107</v>
      </c>
      <c r="N30" s="10">
        <v>3.0</v>
      </c>
      <c r="P30" s="6" t="s">
        <v>90</v>
      </c>
      <c r="Q30" s="10">
        <v>4.0</v>
      </c>
      <c r="R30" s="10"/>
    </row>
    <row r="31">
      <c r="A31" s="6" t="s">
        <v>128</v>
      </c>
      <c r="B31" s="40">
        <v>4.0</v>
      </c>
      <c r="D31" s="6" t="s">
        <v>92</v>
      </c>
      <c r="E31" s="10">
        <v>4.0</v>
      </c>
      <c r="G31" s="6" t="s">
        <v>520</v>
      </c>
      <c r="H31" s="10">
        <v>5.0</v>
      </c>
      <c r="J31" s="6" t="s">
        <v>552</v>
      </c>
      <c r="K31" s="10">
        <v>4.0</v>
      </c>
      <c r="M31" s="6" t="s">
        <v>3834</v>
      </c>
      <c r="N31" s="10">
        <v>3.0</v>
      </c>
      <c r="P31" s="6" t="s">
        <v>513</v>
      </c>
      <c r="Q31" s="10">
        <v>4.0</v>
      </c>
      <c r="R31" s="10"/>
    </row>
    <row r="32">
      <c r="A32" s="6" t="s">
        <v>80</v>
      </c>
      <c r="B32" s="40">
        <v>4.0</v>
      </c>
      <c r="D32" s="6" t="s">
        <v>44</v>
      </c>
      <c r="E32" s="10">
        <v>4.0</v>
      </c>
      <c r="G32" s="6" t="s">
        <v>518</v>
      </c>
      <c r="H32" s="10">
        <v>5.0</v>
      </c>
      <c r="J32" s="6" t="s">
        <v>513</v>
      </c>
      <c r="K32" s="10">
        <v>4.0</v>
      </c>
      <c r="M32" s="6" t="s">
        <v>3290</v>
      </c>
      <c r="N32" s="10">
        <v>3.0</v>
      </c>
      <c r="P32" s="6" t="s">
        <v>876</v>
      </c>
      <c r="Q32" s="10">
        <v>3.0</v>
      </c>
      <c r="R32" s="10"/>
    </row>
    <row r="33">
      <c r="A33" s="6" t="s">
        <v>1505</v>
      </c>
      <c r="B33" s="40">
        <v>3.0</v>
      </c>
      <c r="D33" s="6" t="s">
        <v>144</v>
      </c>
      <c r="E33" s="10">
        <v>3.0</v>
      </c>
      <c r="G33" s="6" t="s">
        <v>506</v>
      </c>
      <c r="H33" s="10">
        <v>4.0</v>
      </c>
      <c r="J33" s="6" t="s">
        <v>115</v>
      </c>
      <c r="K33" s="10">
        <v>4.0</v>
      </c>
      <c r="M33" s="6" t="s">
        <v>925</v>
      </c>
      <c r="N33" s="10">
        <v>3.0</v>
      </c>
      <c r="P33" s="6" t="s">
        <v>34</v>
      </c>
      <c r="Q33" s="10">
        <v>3.0</v>
      </c>
      <c r="R33" s="10"/>
    </row>
    <row r="34">
      <c r="A34" s="6" t="s">
        <v>121</v>
      </c>
      <c r="B34" s="40">
        <v>3.0</v>
      </c>
      <c r="D34" s="6" t="s">
        <v>46</v>
      </c>
      <c r="E34" s="10">
        <v>3.0</v>
      </c>
      <c r="G34" s="6" t="s">
        <v>116</v>
      </c>
      <c r="H34" s="10">
        <v>4.0</v>
      </c>
      <c r="J34" s="6" t="s">
        <v>155</v>
      </c>
      <c r="K34" s="10">
        <v>4.0</v>
      </c>
      <c r="M34" s="6" t="s">
        <v>111</v>
      </c>
      <c r="N34" s="10">
        <v>3.0</v>
      </c>
      <c r="P34" s="6" t="s">
        <v>891</v>
      </c>
      <c r="Q34" s="10">
        <v>3.0</v>
      </c>
      <c r="R34" s="10"/>
    </row>
    <row r="35">
      <c r="A35" s="6" t="s">
        <v>64</v>
      </c>
      <c r="B35" s="40">
        <v>3.0</v>
      </c>
      <c r="D35" s="6" t="s">
        <v>53</v>
      </c>
      <c r="E35" s="10">
        <v>3.0</v>
      </c>
      <c r="G35" s="6" t="s">
        <v>89</v>
      </c>
      <c r="H35" s="10">
        <v>4.0</v>
      </c>
      <c r="J35" s="6" t="s">
        <v>90</v>
      </c>
      <c r="K35" s="10">
        <v>4.0</v>
      </c>
      <c r="M35" s="6" t="s">
        <v>877</v>
      </c>
      <c r="N35" s="10">
        <v>3.0</v>
      </c>
      <c r="P35" s="6" t="s">
        <v>521</v>
      </c>
      <c r="Q35" s="10">
        <v>3.0</v>
      </c>
      <c r="R35" s="10"/>
    </row>
    <row r="36">
      <c r="A36" s="6" t="s">
        <v>106</v>
      </c>
      <c r="B36" s="40">
        <v>3.0</v>
      </c>
      <c r="D36" s="6" t="s">
        <v>133</v>
      </c>
      <c r="E36" s="10">
        <v>3.0</v>
      </c>
      <c r="G36" s="6" t="s">
        <v>1354</v>
      </c>
      <c r="H36" s="10">
        <v>3.0</v>
      </c>
      <c r="J36" s="6" t="s">
        <v>540</v>
      </c>
      <c r="K36" s="10">
        <v>3.0</v>
      </c>
      <c r="M36" s="6" t="s">
        <v>113</v>
      </c>
      <c r="N36" s="10">
        <v>3.0</v>
      </c>
      <c r="P36" s="6" t="s">
        <v>913</v>
      </c>
      <c r="Q36" s="10">
        <v>3.0</v>
      </c>
      <c r="R36" s="10"/>
    </row>
    <row r="37">
      <c r="A37" s="6" t="s">
        <v>105</v>
      </c>
      <c r="B37" s="40">
        <v>3.0</v>
      </c>
      <c r="D37" s="6" t="s">
        <v>64</v>
      </c>
      <c r="E37" s="10">
        <v>3.0</v>
      </c>
      <c r="G37" s="6" t="s">
        <v>4864</v>
      </c>
      <c r="H37" s="10">
        <v>3.0</v>
      </c>
      <c r="J37" s="6" t="s">
        <v>62</v>
      </c>
      <c r="K37" s="10">
        <v>3.0</v>
      </c>
      <c r="M37" s="6" t="s">
        <v>3019</v>
      </c>
      <c r="N37" s="10">
        <v>3.0</v>
      </c>
      <c r="P37" s="6" t="s">
        <v>3829</v>
      </c>
      <c r="Q37" s="10">
        <v>3.0</v>
      </c>
      <c r="R37" s="10"/>
    </row>
    <row r="38">
      <c r="A38" s="6" t="s">
        <v>2608</v>
      </c>
      <c r="B38" s="40">
        <v>3.0</v>
      </c>
      <c r="D38" s="6" t="s">
        <v>4452</v>
      </c>
      <c r="E38" s="10">
        <v>2.0</v>
      </c>
      <c r="G38" s="6" t="s">
        <v>529</v>
      </c>
      <c r="H38" s="10">
        <v>3.0</v>
      </c>
      <c r="J38" s="6" t="s">
        <v>1362</v>
      </c>
      <c r="K38" s="10">
        <v>3.0</v>
      </c>
      <c r="M38" s="6" t="s">
        <v>919</v>
      </c>
      <c r="N38" s="10">
        <v>3.0</v>
      </c>
      <c r="P38" s="6" t="s">
        <v>877</v>
      </c>
      <c r="Q38" s="10">
        <v>3.0</v>
      </c>
      <c r="R38" s="10"/>
    </row>
    <row r="39">
      <c r="A39" s="6" t="s">
        <v>126</v>
      </c>
      <c r="B39" s="40">
        <v>3.0</v>
      </c>
      <c r="D39" s="6" t="s">
        <v>500</v>
      </c>
      <c r="E39" s="10">
        <v>2.0</v>
      </c>
      <c r="G39" s="6" t="s">
        <v>509</v>
      </c>
      <c r="H39" s="10">
        <v>3.0</v>
      </c>
      <c r="J39" s="6" t="s">
        <v>116</v>
      </c>
      <c r="K39" s="10">
        <v>3.0</v>
      </c>
      <c r="M39" s="6" t="s">
        <v>57</v>
      </c>
      <c r="N39" s="10">
        <v>3.0</v>
      </c>
      <c r="P39" s="6" t="s">
        <v>896</v>
      </c>
      <c r="Q39" s="10">
        <v>3.0</v>
      </c>
      <c r="R39" s="10"/>
    </row>
    <row r="40">
      <c r="A40" s="6" t="s">
        <v>139</v>
      </c>
      <c r="B40" s="40">
        <v>3.0</v>
      </c>
      <c r="D40" s="6" t="s">
        <v>115</v>
      </c>
      <c r="E40" s="10">
        <v>2.0</v>
      </c>
      <c r="G40" s="6" t="s">
        <v>536</v>
      </c>
      <c r="H40" s="10">
        <v>2.0</v>
      </c>
      <c r="J40" s="6" t="s">
        <v>549</v>
      </c>
      <c r="K40" s="10">
        <v>3.0</v>
      </c>
      <c r="M40" s="6" t="s">
        <v>2608</v>
      </c>
      <c r="N40" s="10">
        <v>2.0</v>
      </c>
      <c r="P40" s="6" t="s">
        <v>3834</v>
      </c>
      <c r="Q40" s="10">
        <v>3.0</v>
      </c>
      <c r="R40" s="10"/>
    </row>
    <row r="41">
      <c r="A41" s="6" t="s">
        <v>37</v>
      </c>
      <c r="B41" s="40">
        <v>3.0</v>
      </c>
      <c r="D41" s="6" t="s">
        <v>93</v>
      </c>
      <c r="E41" s="10">
        <v>2.0</v>
      </c>
      <c r="G41" s="6" t="s">
        <v>940</v>
      </c>
      <c r="H41" s="10">
        <v>2.0</v>
      </c>
      <c r="J41" s="6" t="s">
        <v>506</v>
      </c>
      <c r="K41" s="10">
        <v>3.0</v>
      </c>
      <c r="M41" s="6" t="s">
        <v>896</v>
      </c>
      <c r="N41" s="10">
        <v>2.0</v>
      </c>
      <c r="P41" s="6" t="s">
        <v>871</v>
      </c>
      <c r="Q41" s="10">
        <v>3.0</v>
      </c>
      <c r="R41" s="10"/>
    </row>
    <row r="42">
      <c r="A42" s="6" t="s">
        <v>147</v>
      </c>
      <c r="B42" s="40">
        <v>3.0</v>
      </c>
      <c r="D42" s="6" t="s">
        <v>1238</v>
      </c>
      <c r="E42" s="10">
        <v>2.0</v>
      </c>
      <c r="G42" s="6" t="s">
        <v>560</v>
      </c>
      <c r="H42" s="10">
        <v>2.0</v>
      </c>
      <c r="J42" s="6" t="s">
        <v>39</v>
      </c>
      <c r="K42" s="10">
        <v>3.0</v>
      </c>
      <c r="M42" s="6" t="s">
        <v>1508</v>
      </c>
      <c r="N42" s="10">
        <v>2.0</v>
      </c>
      <c r="P42" s="6" t="s">
        <v>918</v>
      </c>
      <c r="Q42" s="10">
        <v>3.0</v>
      </c>
      <c r="R42" s="10"/>
    </row>
    <row r="43">
      <c r="A43" s="6" t="s">
        <v>144</v>
      </c>
      <c r="B43" s="40">
        <v>3.0</v>
      </c>
      <c r="D43" s="6" t="s">
        <v>139</v>
      </c>
      <c r="E43" s="10">
        <v>2.0</v>
      </c>
      <c r="G43" s="6" t="s">
        <v>514</v>
      </c>
      <c r="H43" s="10">
        <v>2.0</v>
      </c>
      <c r="J43" s="6" t="s">
        <v>519</v>
      </c>
      <c r="K43" s="10">
        <v>3.0</v>
      </c>
      <c r="M43" s="6" t="s">
        <v>64</v>
      </c>
      <c r="N43" s="10">
        <v>2.0</v>
      </c>
      <c r="P43" s="40" t="s">
        <v>500</v>
      </c>
      <c r="Q43" s="10">
        <v>2.0</v>
      </c>
      <c r="R43" s="10"/>
    </row>
    <row r="44">
      <c r="A44" s="6" t="s">
        <v>1509</v>
      </c>
      <c r="B44" s="40">
        <v>2.0</v>
      </c>
      <c r="D44" s="6" t="s">
        <v>126</v>
      </c>
      <c r="E44" s="10">
        <v>2.0</v>
      </c>
      <c r="G44" s="6" t="s">
        <v>935</v>
      </c>
      <c r="H44" s="10">
        <v>2.0</v>
      </c>
      <c r="J44" s="6" t="s">
        <v>1359</v>
      </c>
      <c r="K44" s="10">
        <v>3.0</v>
      </c>
      <c r="M44" s="6" t="s">
        <v>80</v>
      </c>
      <c r="N44" s="10">
        <v>2.0</v>
      </c>
      <c r="P44" s="6" t="s">
        <v>49</v>
      </c>
      <c r="Q44" s="10">
        <v>2.0</v>
      </c>
      <c r="R44" s="10"/>
    </row>
    <row r="45">
      <c r="A45" s="6" t="s">
        <v>45</v>
      </c>
      <c r="B45" s="40">
        <v>2.0</v>
      </c>
      <c r="D45" s="6" t="s">
        <v>102</v>
      </c>
      <c r="E45" s="10">
        <v>2.0</v>
      </c>
      <c r="F45" s="5" t="s">
        <v>13038</v>
      </c>
      <c r="G45" s="6" t="s">
        <v>522</v>
      </c>
      <c r="H45" s="10">
        <v>2.0</v>
      </c>
      <c r="J45" s="6" t="s">
        <v>7478</v>
      </c>
      <c r="K45" s="10">
        <v>2.0</v>
      </c>
      <c r="M45" s="6" t="s">
        <v>1524</v>
      </c>
      <c r="N45" s="10">
        <v>2.0</v>
      </c>
      <c r="P45" s="6" t="s">
        <v>96</v>
      </c>
      <c r="Q45" s="10">
        <v>2.0</v>
      </c>
      <c r="R45" s="10"/>
    </row>
    <row r="46">
      <c r="A46" s="6" t="s">
        <v>49</v>
      </c>
      <c r="B46" s="40">
        <v>2.0</v>
      </c>
      <c r="D46" s="6" t="s">
        <v>872</v>
      </c>
      <c r="E46" s="10">
        <v>2.0</v>
      </c>
      <c r="G46" s="6" t="s">
        <v>1359</v>
      </c>
      <c r="H46" s="10">
        <v>2.0</v>
      </c>
      <c r="J46" s="6" t="s">
        <v>110</v>
      </c>
      <c r="K46" s="10">
        <v>2.0</v>
      </c>
      <c r="M46" s="6" t="s">
        <v>1547</v>
      </c>
      <c r="N46" s="10">
        <v>2.0</v>
      </c>
      <c r="P46" s="6" t="s">
        <v>81</v>
      </c>
      <c r="Q46" s="10">
        <v>2.0</v>
      </c>
      <c r="R46" s="10"/>
    </row>
    <row r="47">
      <c r="A47" s="6" t="s">
        <v>160</v>
      </c>
      <c r="B47" s="40">
        <v>2.0</v>
      </c>
      <c r="D47" s="6" t="s">
        <v>1230</v>
      </c>
      <c r="E47" s="10">
        <v>2.0</v>
      </c>
      <c r="G47" s="6" t="s">
        <v>49</v>
      </c>
      <c r="H47" s="10">
        <v>2.0</v>
      </c>
      <c r="J47" s="6" t="s">
        <v>98</v>
      </c>
      <c r="K47" s="10">
        <v>2.0</v>
      </c>
      <c r="M47" s="6" t="s">
        <v>101</v>
      </c>
      <c r="N47" s="10">
        <v>2.0</v>
      </c>
      <c r="P47" s="6" t="s">
        <v>1509</v>
      </c>
      <c r="Q47" s="10">
        <v>2.0</v>
      </c>
      <c r="R47" s="10"/>
    </row>
    <row r="48">
      <c r="A48" s="6" t="s">
        <v>164</v>
      </c>
      <c r="B48" s="40">
        <v>2.0</v>
      </c>
      <c r="D48" s="6" t="s">
        <v>549</v>
      </c>
      <c r="E48" s="10">
        <v>2.0</v>
      </c>
      <c r="G48" s="6" t="s">
        <v>970</v>
      </c>
      <c r="H48" s="10">
        <v>2.0</v>
      </c>
      <c r="J48" s="6" t="s">
        <v>527</v>
      </c>
      <c r="K48" s="10">
        <v>2.0</v>
      </c>
      <c r="M48" s="6" t="s">
        <v>43</v>
      </c>
      <c r="N48" s="10">
        <v>2.0</v>
      </c>
      <c r="P48" s="6" t="s">
        <v>80</v>
      </c>
      <c r="Q48" s="10">
        <v>2.0</v>
      </c>
      <c r="R48" s="10"/>
    </row>
    <row r="49">
      <c r="A49" s="6" t="s">
        <v>38</v>
      </c>
      <c r="B49" s="40">
        <v>2.0</v>
      </c>
      <c r="D49" s="6" t="s">
        <v>98</v>
      </c>
      <c r="E49" s="10">
        <v>2.0</v>
      </c>
      <c r="G49" s="6" t="s">
        <v>549</v>
      </c>
      <c r="H49" s="10">
        <v>2.0</v>
      </c>
      <c r="J49" s="6" t="s">
        <v>1352</v>
      </c>
      <c r="K49" s="10">
        <v>2.0</v>
      </c>
      <c r="M49" s="6" t="s">
        <v>5418</v>
      </c>
      <c r="N49" s="10">
        <v>2.0</v>
      </c>
      <c r="P49" s="6" t="s">
        <v>122</v>
      </c>
      <c r="Q49" s="10">
        <v>2.0</v>
      </c>
      <c r="R49" s="10"/>
    </row>
    <row r="50">
      <c r="A50" s="6" t="s">
        <v>153</v>
      </c>
      <c r="B50" s="40">
        <v>2.0</v>
      </c>
      <c r="D50" s="6" t="s">
        <v>2608</v>
      </c>
      <c r="E50" s="10">
        <v>2.0</v>
      </c>
      <c r="G50" s="6" t="s">
        <v>1338</v>
      </c>
      <c r="H50" s="10">
        <v>2.0</v>
      </c>
      <c r="J50" s="6" t="s">
        <v>160</v>
      </c>
      <c r="K50" s="10">
        <v>2.0</v>
      </c>
      <c r="M50" s="6" t="s">
        <v>880</v>
      </c>
      <c r="N50" s="10">
        <v>2.0</v>
      </c>
      <c r="P50" s="6" t="s">
        <v>3292</v>
      </c>
      <c r="Q50" s="10">
        <v>2.0</v>
      </c>
      <c r="R50" s="10"/>
    </row>
    <row r="51">
      <c r="A51" s="6" t="s">
        <v>83</v>
      </c>
      <c r="B51" s="40">
        <v>2.0</v>
      </c>
      <c r="D51" s="6" t="s">
        <v>63</v>
      </c>
      <c r="E51" s="10">
        <v>2.0</v>
      </c>
      <c r="G51" s="6" t="s">
        <v>129</v>
      </c>
      <c r="H51" s="10">
        <v>2.0</v>
      </c>
      <c r="J51" s="6" t="s">
        <v>871</v>
      </c>
      <c r="K51" s="10">
        <v>2.0</v>
      </c>
      <c r="M51" s="6" t="s">
        <v>1503</v>
      </c>
      <c r="N51" s="10">
        <v>2.0</v>
      </c>
      <c r="P51" s="6" t="s">
        <v>8014</v>
      </c>
      <c r="Q51" s="10">
        <v>2.0</v>
      </c>
      <c r="R51" s="10"/>
    </row>
    <row r="52">
      <c r="A52" s="6" t="s">
        <v>546</v>
      </c>
      <c r="B52" s="40">
        <v>2.0</v>
      </c>
      <c r="D52" s="6" t="s">
        <v>3296</v>
      </c>
      <c r="E52" s="10">
        <v>2.0</v>
      </c>
      <c r="G52" s="6" t="s">
        <v>126</v>
      </c>
      <c r="H52" s="10">
        <v>2.0</v>
      </c>
      <c r="J52" s="6" t="s">
        <v>1350</v>
      </c>
      <c r="K52" s="10">
        <v>2.0</v>
      </c>
      <c r="M52" s="6" t="s">
        <v>966</v>
      </c>
      <c r="N52" s="10">
        <v>2.0</v>
      </c>
      <c r="P52" s="6" t="s">
        <v>1504</v>
      </c>
      <c r="Q52" s="10">
        <v>2.0</v>
      </c>
      <c r="R52" s="10"/>
    </row>
    <row r="53">
      <c r="A53" s="6" t="s">
        <v>63</v>
      </c>
      <c r="B53" s="40">
        <v>2.0</v>
      </c>
      <c r="D53" s="6" t="s">
        <v>866</v>
      </c>
      <c r="E53" s="10">
        <v>2.0</v>
      </c>
      <c r="G53" s="6" t="s">
        <v>62</v>
      </c>
      <c r="H53" s="10">
        <v>2.0</v>
      </c>
      <c r="J53" s="6" t="s">
        <v>51</v>
      </c>
      <c r="K53" s="10">
        <v>2.0</v>
      </c>
      <c r="M53" s="6" t="s">
        <v>918</v>
      </c>
      <c r="N53" s="10">
        <v>2.0</v>
      </c>
      <c r="P53" s="6" t="s">
        <v>3281</v>
      </c>
      <c r="Q53" s="10">
        <v>2.0</v>
      </c>
      <c r="R53" s="10"/>
    </row>
    <row r="54">
      <c r="A54" s="6" t="s">
        <v>497</v>
      </c>
      <c r="B54" s="40">
        <v>2.0</v>
      </c>
      <c r="D54" s="6" t="s">
        <v>117</v>
      </c>
      <c r="E54" s="10">
        <v>2.0</v>
      </c>
      <c r="G54" s="6" t="s">
        <v>516</v>
      </c>
      <c r="H54" s="10">
        <v>2.0</v>
      </c>
      <c r="J54" s="6" t="s">
        <v>935</v>
      </c>
      <c r="K54" s="10">
        <v>2.0</v>
      </c>
      <c r="M54" s="6" t="s">
        <v>525</v>
      </c>
      <c r="N54" s="10">
        <v>2.0</v>
      </c>
      <c r="P54" s="6" t="s">
        <v>873</v>
      </c>
      <c r="Q54" s="10">
        <v>2.0</v>
      </c>
      <c r="R54" s="7" t="s">
        <v>13038</v>
      </c>
    </row>
    <row r="55">
      <c r="A55" s="6" t="s">
        <v>552</v>
      </c>
      <c r="B55" s="40">
        <v>2.0</v>
      </c>
      <c r="D55" s="6" t="s">
        <v>68</v>
      </c>
      <c r="E55" s="10">
        <v>1.0</v>
      </c>
      <c r="G55" s="6" t="s">
        <v>51</v>
      </c>
      <c r="H55" s="10">
        <v>2.0</v>
      </c>
      <c r="J55" s="6" t="s">
        <v>533</v>
      </c>
      <c r="K55" s="10">
        <v>2.0</v>
      </c>
      <c r="M55" s="6" t="s">
        <v>534</v>
      </c>
      <c r="N55" s="10">
        <v>2.0</v>
      </c>
      <c r="P55" s="6" t="s">
        <v>108</v>
      </c>
      <c r="Q55" s="10">
        <v>2.0</v>
      </c>
      <c r="R55" s="10"/>
    </row>
    <row r="56">
      <c r="A56" s="6" t="s">
        <v>103</v>
      </c>
      <c r="B56" s="40">
        <v>2.0</v>
      </c>
      <c r="D56" s="6" t="s">
        <v>4453</v>
      </c>
      <c r="E56" s="10">
        <v>1.0</v>
      </c>
      <c r="F56" s="5" t="s">
        <v>13038</v>
      </c>
      <c r="G56" s="6" t="s">
        <v>147</v>
      </c>
      <c r="H56" s="10">
        <v>2.0</v>
      </c>
      <c r="J56" s="6" t="s">
        <v>569</v>
      </c>
      <c r="K56" s="10">
        <v>2.0</v>
      </c>
      <c r="L56" s="5" t="s">
        <v>13038</v>
      </c>
      <c r="M56" s="6" t="s">
        <v>970</v>
      </c>
      <c r="N56" s="10">
        <v>2.0</v>
      </c>
      <c r="P56" s="6" t="s">
        <v>902</v>
      </c>
      <c r="Q56" s="10">
        <v>2.0</v>
      </c>
      <c r="R56" s="10"/>
    </row>
    <row r="57">
      <c r="A57" s="6" t="s">
        <v>146</v>
      </c>
      <c r="B57" s="40">
        <v>2.0</v>
      </c>
      <c r="D57" s="6" t="s">
        <v>1246</v>
      </c>
      <c r="E57" s="10">
        <v>1.0</v>
      </c>
      <c r="G57" s="6" t="s">
        <v>510</v>
      </c>
      <c r="H57" s="10">
        <v>2.0</v>
      </c>
      <c r="J57" s="6" t="s">
        <v>140</v>
      </c>
      <c r="K57" s="10">
        <v>2.0</v>
      </c>
      <c r="M57" s="6" t="s">
        <v>120</v>
      </c>
      <c r="N57" s="10">
        <v>2.0</v>
      </c>
      <c r="P57" s="6" t="s">
        <v>113</v>
      </c>
      <c r="Q57" s="10">
        <v>2.0</v>
      </c>
      <c r="R57" s="10"/>
    </row>
    <row r="58">
      <c r="A58" s="6" t="s">
        <v>1382</v>
      </c>
      <c r="B58" s="40">
        <v>1.0</v>
      </c>
      <c r="C58" s="5" t="s">
        <v>13038</v>
      </c>
      <c r="D58" s="6" t="s">
        <v>120</v>
      </c>
      <c r="E58" s="10">
        <v>1.0</v>
      </c>
      <c r="G58" s="6" t="s">
        <v>501</v>
      </c>
      <c r="H58" s="10">
        <v>2.0</v>
      </c>
      <c r="J58" s="6" t="s">
        <v>939</v>
      </c>
      <c r="K58" s="10">
        <v>2.0</v>
      </c>
      <c r="M58" s="6" t="s">
        <v>883</v>
      </c>
      <c r="N58" s="10">
        <v>2.0</v>
      </c>
      <c r="P58" s="6" t="s">
        <v>534</v>
      </c>
      <c r="Q58" s="10">
        <v>2.0</v>
      </c>
      <c r="R58" s="10"/>
    </row>
    <row r="59">
      <c r="A59" s="6" t="s">
        <v>159</v>
      </c>
      <c r="B59" s="40">
        <v>1.0</v>
      </c>
      <c r="D59" s="6" t="s">
        <v>1227</v>
      </c>
      <c r="E59" s="10">
        <v>1.0</v>
      </c>
      <c r="G59" s="6" t="s">
        <v>110</v>
      </c>
      <c r="H59" s="10">
        <v>2.0</v>
      </c>
      <c r="J59" s="6" t="s">
        <v>516</v>
      </c>
      <c r="K59" s="10">
        <v>2.0</v>
      </c>
      <c r="M59" s="6" t="s">
        <v>93</v>
      </c>
      <c r="N59" s="10">
        <v>2.0</v>
      </c>
      <c r="P59" s="6" t="s">
        <v>147</v>
      </c>
      <c r="Q59" s="10">
        <v>2.0</v>
      </c>
      <c r="R59" s="10"/>
    </row>
    <row r="60">
      <c r="A60" s="6" t="s">
        <v>7023</v>
      </c>
      <c r="B60" s="40">
        <v>1.0</v>
      </c>
      <c r="D60" s="6" t="s">
        <v>501</v>
      </c>
      <c r="E60" s="10">
        <v>1.0</v>
      </c>
      <c r="G60" s="6" t="s">
        <v>4871</v>
      </c>
      <c r="H60" s="10">
        <v>2.0</v>
      </c>
      <c r="J60" s="6" t="s">
        <v>36</v>
      </c>
      <c r="K60" s="10">
        <v>2.0</v>
      </c>
      <c r="M60" s="6" t="s">
        <v>964</v>
      </c>
      <c r="N60" s="10">
        <v>2.0</v>
      </c>
      <c r="P60" s="6" t="s">
        <v>94</v>
      </c>
      <c r="Q60" s="10">
        <v>2.0</v>
      </c>
      <c r="R60" s="10"/>
    </row>
    <row r="61">
      <c r="A61" s="6" t="s">
        <v>102</v>
      </c>
      <c r="B61" s="40">
        <v>1.0</v>
      </c>
      <c r="C61" s="5" t="s">
        <v>13038</v>
      </c>
      <c r="D61" s="6" t="s">
        <v>3270</v>
      </c>
      <c r="E61" s="10">
        <v>1.0</v>
      </c>
      <c r="G61" s="6" t="s">
        <v>1246</v>
      </c>
      <c r="H61" s="10">
        <v>2.0</v>
      </c>
      <c r="J61" s="6" t="s">
        <v>522</v>
      </c>
      <c r="K61" s="10">
        <v>2.0</v>
      </c>
      <c r="M61" s="6" t="s">
        <v>537</v>
      </c>
      <c r="N61" s="10">
        <v>2.0</v>
      </c>
      <c r="P61" s="6" t="s">
        <v>518</v>
      </c>
      <c r="Q61" s="10">
        <v>2.0</v>
      </c>
      <c r="R61" s="10"/>
    </row>
    <row r="62">
      <c r="A62" s="6" t="s">
        <v>549</v>
      </c>
      <c r="B62" s="40">
        <v>1.0</v>
      </c>
      <c r="D62" s="6" t="s">
        <v>159</v>
      </c>
      <c r="E62" s="10">
        <v>1.0</v>
      </c>
      <c r="G62" s="6" t="s">
        <v>1356</v>
      </c>
      <c r="H62" s="10">
        <v>2.0</v>
      </c>
      <c r="J62" s="6" t="s">
        <v>509</v>
      </c>
      <c r="K62" s="10">
        <v>2.0</v>
      </c>
      <c r="M62" s="6" t="s">
        <v>1241</v>
      </c>
      <c r="N62" s="10">
        <v>2.0</v>
      </c>
      <c r="P62" s="6" t="s">
        <v>971</v>
      </c>
      <c r="Q62" s="10">
        <v>2.0</v>
      </c>
      <c r="R62" s="10"/>
    </row>
    <row r="63">
      <c r="A63" s="6" t="s">
        <v>1500</v>
      </c>
      <c r="B63" s="40">
        <v>1.0</v>
      </c>
      <c r="D63" s="6" t="s">
        <v>4455</v>
      </c>
      <c r="E63" s="10">
        <v>1.0</v>
      </c>
      <c r="G63" s="6" t="s">
        <v>98</v>
      </c>
      <c r="H63" s="10">
        <v>2.0</v>
      </c>
      <c r="J63" s="6" t="s">
        <v>510</v>
      </c>
      <c r="K63" s="10">
        <v>2.0</v>
      </c>
      <c r="M63" s="6" t="s">
        <v>867</v>
      </c>
      <c r="N63" s="10">
        <v>2.0</v>
      </c>
      <c r="P63" s="6" t="s">
        <v>879</v>
      </c>
      <c r="Q63" s="10">
        <v>2.0</v>
      </c>
      <c r="R63" s="10"/>
    </row>
    <row r="64">
      <c r="A64" s="6" t="s">
        <v>7024</v>
      </c>
      <c r="B64" s="40">
        <v>1.0</v>
      </c>
      <c r="D64" s="6" t="s">
        <v>4454</v>
      </c>
      <c r="E64" s="10">
        <v>1.0</v>
      </c>
      <c r="F64" s="5" t="s">
        <v>13038</v>
      </c>
      <c r="G64" s="6" t="s">
        <v>4873</v>
      </c>
      <c r="H64" s="10">
        <v>2.0</v>
      </c>
      <c r="J64" s="6" t="s">
        <v>924</v>
      </c>
      <c r="K64" s="10">
        <v>2.0</v>
      </c>
      <c r="M64" s="6" t="s">
        <v>892</v>
      </c>
      <c r="N64" s="10">
        <v>2.0</v>
      </c>
      <c r="P64" s="6" t="s">
        <v>878</v>
      </c>
      <c r="Q64" s="10">
        <v>2.0</v>
      </c>
      <c r="R64" s="10"/>
    </row>
    <row r="65">
      <c r="A65" s="6" t="s">
        <v>2603</v>
      </c>
      <c r="B65" s="40">
        <v>1.0</v>
      </c>
      <c r="D65" s="6" t="s">
        <v>1241</v>
      </c>
      <c r="E65" s="10">
        <v>1.0</v>
      </c>
      <c r="G65" s="6" t="s">
        <v>138</v>
      </c>
      <c r="H65" s="10">
        <v>2.0</v>
      </c>
      <c r="J65" s="6" t="s">
        <v>1354</v>
      </c>
      <c r="K65" s="10">
        <v>2.0</v>
      </c>
      <c r="M65" s="6" t="s">
        <v>3291</v>
      </c>
      <c r="N65" s="10">
        <v>2.0</v>
      </c>
      <c r="P65" s="6" t="s">
        <v>42</v>
      </c>
      <c r="Q65" s="10">
        <v>2.0</v>
      </c>
      <c r="R65" s="10"/>
    </row>
    <row r="66">
      <c r="A66" s="6" t="s">
        <v>56</v>
      </c>
      <c r="B66" s="40">
        <v>1.0</v>
      </c>
      <c r="D66" s="6" t="s">
        <v>167</v>
      </c>
      <c r="E66" s="10">
        <v>1.0</v>
      </c>
      <c r="G66" s="6" t="s">
        <v>519</v>
      </c>
      <c r="H66" s="10">
        <v>2.0</v>
      </c>
      <c r="J66" s="6" t="s">
        <v>565</v>
      </c>
      <c r="K66" s="10">
        <v>2.0</v>
      </c>
      <c r="M66" s="6" t="s">
        <v>866</v>
      </c>
      <c r="N66" s="10">
        <v>2.0</v>
      </c>
      <c r="P66" s="6" t="s">
        <v>866</v>
      </c>
      <c r="Q66" s="10">
        <v>2.0</v>
      </c>
      <c r="R66" s="10"/>
    </row>
    <row r="67">
      <c r="A67" s="6" t="s">
        <v>43</v>
      </c>
      <c r="B67" s="40">
        <v>1.0</v>
      </c>
      <c r="D67" s="6" t="s">
        <v>944</v>
      </c>
      <c r="E67" s="10">
        <v>1.0</v>
      </c>
      <c r="G67" s="6" t="s">
        <v>540</v>
      </c>
      <c r="H67" s="10">
        <v>2.0</v>
      </c>
      <c r="J67" s="6" t="s">
        <v>93</v>
      </c>
      <c r="K67" s="10">
        <v>2.0</v>
      </c>
      <c r="M67" s="6" t="s">
        <v>159</v>
      </c>
      <c r="N67" s="10">
        <v>2.0</v>
      </c>
      <c r="P67" s="6" t="s">
        <v>867</v>
      </c>
      <c r="Q67" s="10">
        <v>2.0</v>
      </c>
      <c r="R67" s="10"/>
    </row>
    <row r="68">
      <c r="A68" s="6" t="s">
        <v>47</v>
      </c>
      <c r="B68" s="40">
        <v>1.0</v>
      </c>
      <c r="C68" s="5" t="s">
        <v>13038</v>
      </c>
      <c r="D68" s="6" t="s">
        <v>943</v>
      </c>
      <c r="E68" s="10">
        <v>1.0</v>
      </c>
      <c r="G68" s="6" t="s">
        <v>537</v>
      </c>
      <c r="H68" s="10">
        <v>1.0</v>
      </c>
      <c r="J68" s="6" t="s">
        <v>108</v>
      </c>
      <c r="K68" s="10">
        <v>1.0</v>
      </c>
      <c r="M68" s="6" t="s">
        <v>110</v>
      </c>
      <c r="N68" s="10">
        <v>2.0</v>
      </c>
      <c r="P68" s="6" t="s">
        <v>547</v>
      </c>
      <c r="Q68" s="10">
        <v>2.0</v>
      </c>
      <c r="R68" s="10"/>
    </row>
    <row r="69">
      <c r="A69" s="6" t="s">
        <v>46</v>
      </c>
      <c r="B69" s="40">
        <v>1.0</v>
      </c>
      <c r="D69" s="6" t="s">
        <v>535</v>
      </c>
      <c r="E69" s="10">
        <v>1.0</v>
      </c>
      <c r="G69" s="6" t="s">
        <v>57</v>
      </c>
      <c r="H69" s="10">
        <v>1.0</v>
      </c>
      <c r="J69" s="6" t="s">
        <v>546</v>
      </c>
      <c r="K69" s="10">
        <v>1.0</v>
      </c>
      <c r="M69" s="6" t="s">
        <v>39</v>
      </c>
      <c r="N69" s="10">
        <v>2.0</v>
      </c>
      <c r="P69" s="6" t="s">
        <v>544</v>
      </c>
      <c r="Q69" s="10">
        <v>2.0</v>
      </c>
      <c r="R69" s="10"/>
    </row>
    <row r="70">
      <c r="A70" s="6" t="s">
        <v>42</v>
      </c>
      <c r="B70" s="40">
        <v>1.0</v>
      </c>
      <c r="D70" s="6" t="s">
        <v>4456</v>
      </c>
      <c r="E70" s="10">
        <v>1.0</v>
      </c>
      <c r="G70" s="6" t="s">
        <v>4860</v>
      </c>
      <c r="H70" s="10">
        <v>1.0</v>
      </c>
      <c r="J70" s="6" t="s">
        <v>7477</v>
      </c>
      <c r="K70" s="10">
        <v>1.0</v>
      </c>
      <c r="M70" s="6" t="s">
        <v>51</v>
      </c>
      <c r="N70" s="10">
        <v>2.0</v>
      </c>
      <c r="P70" s="6" t="s">
        <v>51</v>
      </c>
      <c r="Q70" s="10">
        <v>2.0</v>
      </c>
      <c r="R70" s="10"/>
    </row>
    <row r="71">
      <c r="A71" s="6" t="s">
        <v>136</v>
      </c>
      <c r="B71" s="40">
        <v>1.0</v>
      </c>
      <c r="D71" s="6" t="s">
        <v>56</v>
      </c>
      <c r="E71" s="10">
        <v>1.0</v>
      </c>
      <c r="G71" s="6" t="s">
        <v>553</v>
      </c>
      <c r="H71" s="10">
        <v>1.0</v>
      </c>
      <c r="J71" s="6" t="s">
        <v>7479</v>
      </c>
      <c r="K71" s="10">
        <v>1.0</v>
      </c>
      <c r="M71" s="6" t="s">
        <v>1339</v>
      </c>
      <c r="N71" s="10">
        <v>2.0</v>
      </c>
      <c r="P71" s="6" t="s">
        <v>39</v>
      </c>
      <c r="Q71" s="10">
        <v>2.0</v>
      </c>
      <c r="R71" s="10"/>
    </row>
    <row r="72">
      <c r="A72" s="6" t="s">
        <v>101</v>
      </c>
      <c r="B72" s="40">
        <v>1.0</v>
      </c>
      <c r="D72" s="6" t="s">
        <v>4457</v>
      </c>
      <c r="E72" s="10">
        <v>1.0</v>
      </c>
      <c r="G72" s="6" t="s">
        <v>156</v>
      </c>
      <c r="H72" s="10">
        <v>1.0</v>
      </c>
      <c r="J72" s="6" t="s">
        <v>7480</v>
      </c>
      <c r="K72" s="10">
        <v>1.0</v>
      </c>
      <c r="M72" s="6" t="s">
        <v>5453</v>
      </c>
      <c r="N72" s="10">
        <v>2.0</v>
      </c>
      <c r="P72" s="6" t="s">
        <v>527</v>
      </c>
      <c r="Q72" s="10">
        <v>2.0</v>
      </c>
      <c r="R72" s="10"/>
    </row>
    <row r="73">
      <c r="A73" s="6" t="s">
        <v>115</v>
      </c>
      <c r="B73" s="40">
        <v>1.0</v>
      </c>
      <c r="D73" s="6" t="s">
        <v>4458</v>
      </c>
      <c r="E73" s="10">
        <v>1.0</v>
      </c>
      <c r="G73" s="6" t="s">
        <v>130</v>
      </c>
      <c r="H73" s="10">
        <v>1.0</v>
      </c>
      <c r="J73" s="6" t="s">
        <v>7481</v>
      </c>
      <c r="K73" s="10">
        <v>1.0</v>
      </c>
      <c r="M73" s="6" t="s">
        <v>871</v>
      </c>
      <c r="N73" s="10">
        <v>2.0</v>
      </c>
      <c r="P73" s="6" t="s">
        <v>45</v>
      </c>
      <c r="Q73" s="10">
        <v>2.0</v>
      </c>
      <c r="R73" s="10"/>
    </row>
    <row r="74">
      <c r="A74" s="6" t="s">
        <v>7025</v>
      </c>
      <c r="B74" s="40">
        <v>1.0</v>
      </c>
      <c r="D74" s="6" t="s">
        <v>155</v>
      </c>
      <c r="E74" s="10">
        <v>1.0</v>
      </c>
      <c r="G74" s="6" t="s">
        <v>4861</v>
      </c>
      <c r="H74" s="10">
        <v>1.0</v>
      </c>
      <c r="J74" s="6" t="s">
        <v>3693</v>
      </c>
      <c r="K74" s="10">
        <v>1.0</v>
      </c>
      <c r="M74" s="6" t="s">
        <v>913</v>
      </c>
      <c r="N74" s="10">
        <v>2.0</v>
      </c>
      <c r="P74" s="6" t="s">
        <v>93</v>
      </c>
      <c r="Q74" s="10">
        <v>2.0</v>
      </c>
      <c r="R74" s="10"/>
    </row>
    <row r="75">
      <c r="A75" s="6" t="s">
        <v>7026</v>
      </c>
      <c r="B75" s="40">
        <v>1.0</v>
      </c>
      <c r="D75" s="6" t="s">
        <v>3579</v>
      </c>
      <c r="E75" s="10">
        <v>1.0</v>
      </c>
      <c r="G75" s="6" t="s">
        <v>157</v>
      </c>
      <c r="H75" s="10">
        <v>1.0</v>
      </c>
      <c r="J75" s="6" t="s">
        <v>7482</v>
      </c>
      <c r="K75" s="10">
        <v>1.0</v>
      </c>
      <c r="M75" s="6" t="s">
        <v>897</v>
      </c>
      <c r="N75" s="10">
        <v>2.0</v>
      </c>
      <c r="P75" s="6" t="s">
        <v>1532</v>
      </c>
      <c r="Q75" s="10">
        <v>2.0</v>
      </c>
      <c r="R75" s="10"/>
    </row>
    <row r="76">
      <c r="A76" s="6" t="s">
        <v>61</v>
      </c>
      <c r="B76" s="40">
        <v>1.0</v>
      </c>
      <c r="D76" s="6" t="s">
        <v>4461</v>
      </c>
      <c r="E76" s="10">
        <v>1.0</v>
      </c>
      <c r="G76" s="6" t="s">
        <v>902</v>
      </c>
      <c r="H76" s="10">
        <v>1.0</v>
      </c>
      <c r="J76" s="6" t="s">
        <v>7483</v>
      </c>
      <c r="K76" s="10">
        <v>1.0</v>
      </c>
      <c r="M76" s="6" t="s">
        <v>5410</v>
      </c>
      <c r="N76" s="10">
        <v>1.0</v>
      </c>
      <c r="P76" s="6" t="s">
        <v>869</v>
      </c>
      <c r="Q76" s="10">
        <v>2.0</v>
      </c>
      <c r="R76" s="10"/>
    </row>
    <row r="77">
      <c r="A77" s="6" t="s">
        <v>2614</v>
      </c>
      <c r="B77" s="40">
        <v>1.0</v>
      </c>
      <c r="D77" s="6" t="s">
        <v>4459</v>
      </c>
      <c r="E77" s="10">
        <v>1.0</v>
      </c>
      <c r="G77" s="6" t="s">
        <v>155</v>
      </c>
      <c r="H77" s="10">
        <v>1.0</v>
      </c>
      <c r="J77" s="6" t="s">
        <v>1238</v>
      </c>
      <c r="K77" s="10">
        <v>1.0</v>
      </c>
      <c r="M77" s="6" t="s">
        <v>5409</v>
      </c>
      <c r="N77" s="10">
        <v>1.0</v>
      </c>
      <c r="P77" s="6" t="s">
        <v>3280</v>
      </c>
      <c r="Q77" s="10">
        <v>1.0</v>
      </c>
      <c r="R77" s="10"/>
    </row>
    <row r="78">
      <c r="A78" s="6" t="s">
        <v>3580</v>
      </c>
      <c r="B78" s="40">
        <v>1.0</v>
      </c>
      <c r="D78" s="6" t="s">
        <v>71</v>
      </c>
      <c r="E78" s="10">
        <v>1.0</v>
      </c>
      <c r="G78" s="6" t="s">
        <v>552</v>
      </c>
      <c r="H78" s="10">
        <v>1.0</v>
      </c>
      <c r="J78" s="6" t="s">
        <v>1513</v>
      </c>
      <c r="K78" s="10">
        <v>1.0</v>
      </c>
      <c r="M78" s="6" t="s">
        <v>5408</v>
      </c>
      <c r="N78" s="10">
        <v>1.0</v>
      </c>
      <c r="P78" s="6" t="s">
        <v>894</v>
      </c>
      <c r="Q78" s="10">
        <v>1.0</v>
      </c>
      <c r="R78" s="10"/>
    </row>
    <row r="79">
      <c r="A79" s="6" t="s">
        <v>7027</v>
      </c>
      <c r="B79" s="40">
        <v>1.0</v>
      </c>
      <c r="D79" s="6" t="s">
        <v>4460</v>
      </c>
      <c r="E79" s="10">
        <v>1.0</v>
      </c>
      <c r="G79" s="6" t="s">
        <v>4862</v>
      </c>
      <c r="H79" s="10">
        <v>1.0</v>
      </c>
      <c r="J79" s="6" t="s">
        <v>892</v>
      </c>
      <c r="K79" s="10">
        <v>1.0</v>
      </c>
      <c r="M79" s="6" t="s">
        <v>5412</v>
      </c>
      <c r="N79" s="10">
        <v>1.0</v>
      </c>
      <c r="P79" s="6" t="s">
        <v>8002</v>
      </c>
      <c r="Q79" s="10">
        <v>1.0</v>
      </c>
      <c r="R79" s="10"/>
    </row>
    <row r="80">
      <c r="A80" s="6" t="s">
        <v>166</v>
      </c>
      <c r="B80" s="40">
        <v>1.0</v>
      </c>
      <c r="D80" s="6" t="s">
        <v>4463</v>
      </c>
      <c r="E80" s="10">
        <v>1.0</v>
      </c>
      <c r="G80" s="6" t="s">
        <v>559</v>
      </c>
      <c r="H80" s="10">
        <v>1.0</v>
      </c>
      <c r="J80" s="6" t="s">
        <v>1522</v>
      </c>
      <c r="K80" s="10">
        <v>1.0</v>
      </c>
      <c r="M80" s="6" t="s">
        <v>5411</v>
      </c>
      <c r="N80" s="10">
        <v>1.0</v>
      </c>
      <c r="P80" s="6" t="s">
        <v>1362</v>
      </c>
      <c r="Q80" s="10">
        <v>1.0</v>
      </c>
      <c r="R80" s="10"/>
    </row>
    <row r="81">
      <c r="A81" s="6" t="s">
        <v>520</v>
      </c>
      <c r="B81" s="40">
        <v>1.0</v>
      </c>
      <c r="D81" s="6" t="s">
        <v>39</v>
      </c>
      <c r="E81" s="10">
        <v>1.0</v>
      </c>
      <c r="G81" s="6" t="s">
        <v>891</v>
      </c>
      <c r="H81" s="10">
        <v>1.0</v>
      </c>
      <c r="J81" s="6" t="s">
        <v>1230</v>
      </c>
      <c r="K81" s="10">
        <v>1.0</v>
      </c>
      <c r="M81" s="6" t="s">
        <v>5413</v>
      </c>
      <c r="N81" s="10">
        <v>1.0</v>
      </c>
      <c r="O81" s="5" t="s">
        <v>13038</v>
      </c>
      <c r="P81" s="6" t="s">
        <v>8003</v>
      </c>
      <c r="Q81" s="10">
        <v>1.0</v>
      </c>
      <c r="R81" s="10"/>
    </row>
    <row r="82">
      <c r="A82" s="6" t="s">
        <v>7028</v>
      </c>
      <c r="B82" s="40">
        <v>1.0</v>
      </c>
      <c r="C82" s="5" t="s">
        <v>13038</v>
      </c>
      <c r="D82" s="6" t="s">
        <v>4462</v>
      </c>
      <c r="E82" s="10">
        <v>1.0</v>
      </c>
      <c r="G82" s="6" t="s">
        <v>937</v>
      </c>
      <c r="H82" s="10">
        <v>1.0</v>
      </c>
      <c r="J82" s="6" t="s">
        <v>3018</v>
      </c>
      <c r="K82" s="10">
        <v>1.0</v>
      </c>
      <c r="M82" s="6" t="s">
        <v>527</v>
      </c>
      <c r="N82" s="10">
        <v>1.0</v>
      </c>
      <c r="P82" s="6" t="s">
        <v>166</v>
      </c>
      <c r="Q82" s="10">
        <v>1.0</v>
      </c>
      <c r="R82" s="10"/>
    </row>
    <row r="83">
      <c r="A83" s="6" t="s">
        <v>100</v>
      </c>
      <c r="B83" s="40">
        <v>1.0</v>
      </c>
      <c r="D83" s="6" t="s">
        <v>45</v>
      </c>
      <c r="E83" s="10">
        <v>1.0</v>
      </c>
      <c r="G83" s="6" t="s">
        <v>4863</v>
      </c>
      <c r="H83" s="10">
        <v>1.0</v>
      </c>
      <c r="J83" s="6" t="s">
        <v>1374</v>
      </c>
      <c r="K83" s="10">
        <v>1.0</v>
      </c>
      <c r="M83" s="6" t="s">
        <v>5416</v>
      </c>
      <c r="N83" s="10">
        <v>1.0</v>
      </c>
      <c r="P83" s="6" t="s">
        <v>540</v>
      </c>
      <c r="Q83" s="10">
        <v>1.0</v>
      </c>
      <c r="R83" s="10"/>
    </row>
    <row r="84">
      <c r="A84" s="6" t="s">
        <v>116</v>
      </c>
      <c r="B84" s="40">
        <v>1.0</v>
      </c>
      <c r="D84" s="6" t="s">
        <v>43</v>
      </c>
      <c r="E84" s="10">
        <v>1.0</v>
      </c>
      <c r="G84" s="6" t="s">
        <v>3005</v>
      </c>
      <c r="H84" s="10">
        <v>1.0</v>
      </c>
      <c r="J84" s="6" t="s">
        <v>3278</v>
      </c>
      <c r="K84" s="10">
        <v>1.0</v>
      </c>
      <c r="M84" s="6" t="s">
        <v>528</v>
      </c>
      <c r="N84" s="10">
        <v>1.0</v>
      </c>
      <c r="P84" s="6" t="s">
        <v>8006</v>
      </c>
      <c r="Q84" s="10">
        <v>1.0</v>
      </c>
      <c r="R84" s="10"/>
    </row>
    <row r="85">
      <c r="A85" s="6" t="s">
        <v>7029</v>
      </c>
      <c r="B85" s="40">
        <v>1.0</v>
      </c>
      <c r="D85" s="6" t="s">
        <v>100</v>
      </c>
      <c r="E85" s="10">
        <v>1.0</v>
      </c>
      <c r="G85" s="6" t="s">
        <v>924</v>
      </c>
      <c r="H85" s="10">
        <v>1.0</v>
      </c>
      <c r="J85" s="6" t="s">
        <v>7484</v>
      </c>
      <c r="K85" s="10">
        <v>1.0</v>
      </c>
      <c r="M85" s="6" t="s">
        <v>5417</v>
      </c>
      <c r="N85" s="10">
        <v>1.0</v>
      </c>
      <c r="P85" s="6" t="s">
        <v>8005</v>
      </c>
      <c r="Q85" s="10">
        <v>1.0</v>
      </c>
      <c r="R85" s="10"/>
    </row>
    <row r="86">
      <c r="A86" s="6" t="s">
        <v>507</v>
      </c>
      <c r="B86" s="40">
        <v>1.0</v>
      </c>
      <c r="D86" s="6" t="s">
        <v>883</v>
      </c>
      <c r="E86" s="10">
        <v>1.0</v>
      </c>
      <c r="G86" s="6" t="s">
        <v>145</v>
      </c>
      <c r="H86" s="10">
        <v>1.0</v>
      </c>
      <c r="J86" s="6" t="s">
        <v>543</v>
      </c>
      <c r="K86" s="10">
        <v>1.0</v>
      </c>
      <c r="M86" s="6" t="s">
        <v>5414</v>
      </c>
      <c r="N86" s="10">
        <v>1.0</v>
      </c>
      <c r="P86" s="6" t="s">
        <v>8004</v>
      </c>
      <c r="Q86" s="10">
        <v>1.0</v>
      </c>
      <c r="R86" s="10"/>
    </row>
    <row r="87">
      <c r="A87" s="6" t="s">
        <v>7030</v>
      </c>
      <c r="B87" s="40">
        <v>1.0</v>
      </c>
      <c r="D87" s="6" t="s">
        <v>131</v>
      </c>
      <c r="E87" s="10">
        <v>1.0</v>
      </c>
      <c r="G87" s="6" t="s">
        <v>4865</v>
      </c>
      <c r="H87" s="10">
        <v>1.0</v>
      </c>
      <c r="J87" s="6" t="s">
        <v>7485</v>
      </c>
      <c r="K87" s="10">
        <v>1.0</v>
      </c>
      <c r="M87" s="6" t="s">
        <v>5415</v>
      </c>
      <c r="N87" s="10">
        <v>1.0</v>
      </c>
      <c r="P87" s="6" t="s">
        <v>128</v>
      </c>
      <c r="Q87" s="10">
        <v>1.0</v>
      </c>
      <c r="R87" s="10"/>
    </row>
    <row r="88">
      <c r="A88" s="6" t="s">
        <v>117</v>
      </c>
      <c r="B88" s="40">
        <v>1.0</v>
      </c>
      <c r="D88" s="6" t="s">
        <v>4464</v>
      </c>
      <c r="E88" s="10">
        <v>1.0</v>
      </c>
      <c r="G88" s="6" t="s">
        <v>870</v>
      </c>
      <c r="H88" s="10">
        <v>1.0</v>
      </c>
      <c r="J88" s="6" t="s">
        <v>7486</v>
      </c>
      <c r="K88" s="10">
        <v>1.0</v>
      </c>
      <c r="M88" s="6" t="s">
        <v>1217</v>
      </c>
      <c r="N88" s="10">
        <v>1.0</v>
      </c>
      <c r="P88" s="6" t="s">
        <v>8010</v>
      </c>
      <c r="Q88" s="10">
        <v>1.0</v>
      </c>
      <c r="R88" s="10"/>
    </row>
    <row r="89">
      <c r="A89" s="6" t="s">
        <v>114</v>
      </c>
      <c r="B89" s="40">
        <v>1.0</v>
      </c>
      <c r="D89" s="6" t="s">
        <v>521</v>
      </c>
      <c r="E89" s="10">
        <v>1.0</v>
      </c>
      <c r="G89" s="6" t="s">
        <v>4866</v>
      </c>
      <c r="H89" s="10">
        <v>1.0</v>
      </c>
      <c r="J89" s="6" t="s">
        <v>7487</v>
      </c>
      <c r="K89" s="10">
        <v>1.0</v>
      </c>
      <c r="M89" s="6" t="s">
        <v>45</v>
      </c>
      <c r="N89" s="10">
        <v>1.0</v>
      </c>
      <c r="P89" s="6" t="s">
        <v>8007</v>
      </c>
      <c r="Q89" s="10">
        <v>1.0</v>
      </c>
      <c r="R89" s="10"/>
    </row>
    <row r="90">
      <c r="A90" s="6" t="s">
        <v>158</v>
      </c>
      <c r="B90" s="40">
        <v>1.0</v>
      </c>
      <c r="D90" s="6" t="s">
        <v>4465</v>
      </c>
      <c r="E90" s="10">
        <v>1.0</v>
      </c>
      <c r="G90" s="6" t="s">
        <v>4867</v>
      </c>
      <c r="H90" s="10">
        <v>1.0</v>
      </c>
      <c r="J90" s="6" t="s">
        <v>961</v>
      </c>
      <c r="K90" s="10">
        <v>1.0</v>
      </c>
      <c r="L90" s="5" t="s">
        <v>13038</v>
      </c>
      <c r="M90" s="6" t="s">
        <v>5420</v>
      </c>
      <c r="N90" s="10">
        <v>1.0</v>
      </c>
      <c r="P90" s="6" t="s">
        <v>5411</v>
      </c>
      <c r="Q90" s="10">
        <v>1.0</v>
      </c>
      <c r="R90" s="10"/>
    </row>
    <row r="91">
      <c r="A91" s="6" t="s">
        <v>1222</v>
      </c>
      <c r="B91" s="40">
        <v>1.0</v>
      </c>
      <c r="D91" s="6" t="s">
        <v>99</v>
      </c>
      <c r="E91" s="10">
        <v>1.0</v>
      </c>
      <c r="G91" s="6" t="s">
        <v>1339</v>
      </c>
      <c r="H91" s="10">
        <v>1.0</v>
      </c>
      <c r="J91" s="6" t="s">
        <v>55</v>
      </c>
      <c r="K91" s="10">
        <v>1.0</v>
      </c>
      <c r="M91" s="6" t="s">
        <v>5421</v>
      </c>
      <c r="N91" s="10">
        <v>1.0</v>
      </c>
      <c r="P91" s="6" t="s">
        <v>8008</v>
      </c>
      <c r="Q91" s="10">
        <v>1.0</v>
      </c>
      <c r="R91" s="10"/>
    </row>
    <row r="92">
      <c r="A92" s="6" t="s">
        <v>98</v>
      </c>
      <c r="B92" s="40">
        <v>1.0</v>
      </c>
      <c r="D92" s="6" t="s">
        <v>4466</v>
      </c>
      <c r="E92" s="10">
        <v>1.0</v>
      </c>
      <c r="G92" s="6" t="s">
        <v>1350</v>
      </c>
      <c r="H92" s="10">
        <v>1.0</v>
      </c>
      <c r="J92" s="6" t="s">
        <v>7488</v>
      </c>
      <c r="K92" s="10">
        <v>1.0</v>
      </c>
      <c r="M92" s="6" t="s">
        <v>947</v>
      </c>
      <c r="N92" s="10">
        <v>1.0</v>
      </c>
      <c r="P92" s="6" t="s">
        <v>5412</v>
      </c>
      <c r="Q92" s="10">
        <v>1.0</v>
      </c>
      <c r="R92" s="10"/>
    </row>
    <row r="93">
      <c r="A93" s="6" t="s">
        <v>1223</v>
      </c>
      <c r="B93" s="40">
        <v>1.0</v>
      </c>
      <c r="D93" s="6" t="s">
        <v>1231</v>
      </c>
      <c r="E93" s="10">
        <v>1.0</v>
      </c>
      <c r="G93" s="6" t="s">
        <v>951</v>
      </c>
      <c r="H93" s="10">
        <v>1.0</v>
      </c>
      <c r="J93" s="6" t="s">
        <v>103</v>
      </c>
      <c r="K93" s="10">
        <v>1.0</v>
      </c>
      <c r="M93" s="6" t="s">
        <v>5419</v>
      </c>
      <c r="N93" s="10">
        <v>1.0</v>
      </c>
      <c r="P93" s="6" t="s">
        <v>8009</v>
      </c>
      <c r="Q93" s="10">
        <v>1.0</v>
      </c>
      <c r="R93" s="10"/>
    </row>
    <row r="94">
      <c r="A94" s="6" t="s">
        <v>7031</v>
      </c>
      <c r="B94" s="40">
        <v>1.0</v>
      </c>
      <c r="D94" s="6" t="s">
        <v>552</v>
      </c>
      <c r="E94" s="10">
        <v>1.0</v>
      </c>
      <c r="G94" s="6" t="s">
        <v>4868</v>
      </c>
      <c r="H94" s="10">
        <v>1.0</v>
      </c>
      <c r="J94" s="6" t="s">
        <v>511</v>
      </c>
      <c r="K94" s="10">
        <v>1.0</v>
      </c>
      <c r="M94" s="6" t="s">
        <v>891</v>
      </c>
      <c r="N94" s="10">
        <v>1.0</v>
      </c>
      <c r="P94" s="6" t="s">
        <v>973</v>
      </c>
      <c r="Q94" s="10">
        <v>1.0</v>
      </c>
      <c r="R94" s="10"/>
    </row>
    <row r="95">
      <c r="A95" s="6" t="s">
        <v>7033</v>
      </c>
      <c r="B95" s="40">
        <v>1.0</v>
      </c>
      <c r="D95" s="6" t="s">
        <v>97</v>
      </c>
      <c r="E95" s="10">
        <v>1.0</v>
      </c>
      <c r="G95" s="6" t="s">
        <v>901</v>
      </c>
      <c r="H95" s="10">
        <v>1.0</v>
      </c>
      <c r="J95" s="6" t="s">
        <v>105</v>
      </c>
      <c r="K95" s="10">
        <v>1.0</v>
      </c>
      <c r="M95" s="6" t="s">
        <v>1362</v>
      </c>
      <c r="N95" s="10">
        <v>1.0</v>
      </c>
      <c r="P95" s="6" t="s">
        <v>3293</v>
      </c>
      <c r="Q95" s="10">
        <v>1.0</v>
      </c>
      <c r="R95" s="10"/>
    </row>
    <row r="96">
      <c r="A96" s="6" t="s">
        <v>7034</v>
      </c>
      <c r="B96" s="40">
        <v>1.0</v>
      </c>
      <c r="D96" s="6" t="s">
        <v>497</v>
      </c>
      <c r="E96" s="10">
        <v>1.0</v>
      </c>
      <c r="G96" s="6" t="s">
        <v>3258</v>
      </c>
      <c r="H96" s="10">
        <v>1.0</v>
      </c>
      <c r="J96" s="6" t="s">
        <v>4880</v>
      </c>
      <c r="K96" s="10">
        <v>1.0</v>
      </c>
      <c r="M96" s="6" t="s">
        <v>5426</v>
      </c>
      <c r="N96" s="10">
        <v>1.0</v>
      </c>
      <c r="P96" s="6" t="s">
        <v>955</v>
      </c>
      <c r="Q96" s="10">
        <v>1.0</v>
      </c>
      <c r="R96" s="10"/>
    </row>
    <row r="97">
      <c r="A97" s="6" t="s">
        <v>7032</v>
      </c>
      <c r="B97" s="40">
        <v>1.0</v>
      </c>
      <c r="D97" s="6" t="s">
        <v>3571</v>
      </c>
      <c r="E97" s="10">
        <v>1.0</v>
      </c>
      <c r="G97" s="6" t="s">
        <v>569</v>
      </c>
      <c r="H97" s="10">
        <v>1.0</v>
      </c>
      <c r="I97" s="5" t="s">
        <v>13038</v>
      </c>
      <c r="J97" s="6" t="s">
        <v>536</v>
      </c>
      <c r="K97" s="10">
        <v>1.0</v>
      </c>
      <c r="M97" s="6" t="s">
        <v>5423</v>
      </c>
      <c r="N97" s="10">
        <v>1.0</v>
      </c>
      <c r="P97" s="6" t="s">
        <v>509</v>
      </c>
      <c r="Q97" s="10">
        <v>1.0</v>
      </c>
      <c r="R97" s="10"/>
    </row>
    <row r="98">
      <c r="A98" s="6" t="s">
        <v>57</v>
      </c>
      <c r="B98" s="40">
        <v>1.0</v>
      </c>
      <c r="D98" s="6" t="s">
        <v>1244</v>
      </c>
      <c r="E98" s="10">
        <v>1.0</v>
      </c>
      <c r="G98" s="6" t="s">
        <v>551</v>
      </c>
      <c r="H98" s="10">
        <v>1.0</v>
      </c>
      <c r="J98" s="6" t="s">
        <v>70</v>
      </c>
      <c r="K98" s="10">
        <v>1.0</v>
      </c>
      <c r="M98" s="6" t="s">
        <v>5424</v>
      </c>
      <c r="N98" s="10">
        <v>1.0</v>
      </c>
      <c r="P98" s="6" t="s">
        <v>8012</v>
      </c>
      <c r="Q98" s="10">
        <v>1.0</v>
      </c>
      <c r="R98" s="10"/>
    </row>
    <row r="99">
      <c r="A99" s="6" t="s">
        <v>522</v>
      </c>
      <c r="B99" s="40">
        <v>1.0</v>
      </c>
      <c r="D99" s="6" t="s">
        <v>910</v>
      </c>
      <c r="E99" s="10">
        <v>1.0</v>
      </c>
      <c r="G99" s="6" t="s">
        <v>1343</v>
      </c>
      <c r="H99" s="10">
        <v>1.0</v>
      </c>
      <c r="J99" s="6" t="s">
        <v>525</v>
      </c>
      <c r="K99" s="10">
        <v>1.0</v>
      </c>
      <c r="M99" s="6" t="s">
        <v>564</v>
      </c>
      <c r="N99" s="10">
        <v>1.0</v>
      </c>
      <c r="P99" s="6" t="s">
        <v>8011</v>
      </c>
      <c r="Q99" s="10">
        <v>1.0</v>
      </c>
      <c r="R99" s="10"/>
    </row>
    <row r="100">
      <c r="A100" s="6" t="s">
        <v>7035</v>
      </c>
      <c r="B100" s="40">
        <v>1.0</v>
      </c>
      <c r="D100" s="6" t="s">
        <v>1505</v>
      </c>
      <c r="E100" s="10">
        <v>1.0</v>
      </c>
      <c r="G100" s="6" t="s">
        <v>525</v>
      </c>
      <c r="H100" s="10">
        <v>1.0</v>
      </c>
      <c r="J100" s="6" t="s">
        <v>7489</v>
      </c>
      <c r="K100" s="10">
        <v>1.0</v>
      </c>
      <c r="M100" s="6" t="s">
        <v>5425</v>
      </c>
      <c r="N100" s="10">
        <v>1.0</v>
      </c>
      <c r="O100" s="5" t="s">
        <v>13038</v>
      </c>
      <c r="P100" s="6" t="s">
        <v>2608</v>
      </c>
      <c r="Q100" s="10">
        <v>1.0</v>
      </c>
      <c r="R100" s="10"/>
    </row>
    <row r="101">
      <c r="A101" s="6" t="s">
        <v>943</v>
      </c>
      <c r="B101" s="40">
        <v>1.0</v>
      </c>
      <c r="D101" s="6" t="s">
        <v>1509</v>
      </c>
      <c r="E101" s="10">
        <v>1.0</v>
      </c>
      <c r="G101" s="6" t="s">
        <v>53</v>
      </c>
      <c r="H101" s="10">
        <v>1.0</v>
      </c>
      <c r="J101" s="6" t="s">
        <v>946</v>
      </c>
      <c r="K101" s="10">
        <v>1.0</v>
      </c>
      <c r="M101" s="6" t="s">
        <v>4468</v>
      </c>
      <c r="N101" s="10">
        <v>1.0</v>
      </c>
      <c r="P101" s="6" t="s">
        <v>4882</v>
      </c>
      <c r="Q101" s="10">
        <v>1.0</v>
      </c>
      <c r="R101" s="10"/>
    </row>
    <row r="102">
      <c r="A102" s="6" t="s">
        <v>944</v>
      </c>
      <c r="B102" s="40">
        <v>1.0</v>
      </c>
      <c r="D102" s="6" t="s">
        <v>2605</v>
      </c>
      <c r="E102" s="10">
        <v>1.0</v>
      </c>
      <c r="F102" s="5" t="s">
        <v>13038</v>
      </c>
      <c r="G102" s="6" t="s">
        <v>93</v>
      </c>
      <c r="H102" s="10">
        <v>1.0</v>
      </c>
      <c r="J102" s="6" t="s">
        <v>138</v>
      </c>
      <c r="K102" s="10">
        <v>1.0</v>
      </c>
      <c r="M102" s="6" t="s">
        <v>895</v>
      </c>
      <c r="N102" s="10">
        <v>1.0</v>
      </c>
      <c r="P102" s="6" t="s">
        <v>925</v>
      </c>
      <c r="Q102" s="10">
        <v>1.0</v>
      </c>
      <c r="R102" s="10"/>
    </row>
    <row r="103">
      <c r="A103" s="6" t="s">
        <v>71</v>
      </c>
      <c r="B103" s="40">
        <v>1.0</v>
      </c>
      <c r="D103" s="6" t="s">
        <v>527</v>
      </c>
      <c r="E103" s="10">
        <v>1.0</v>
      </c>
      <c r="G103" s="6" t="s">
        <v>4870</v>
      </c>
      <c r="H103" s="10">
        <v>1.0</v>
      </c>
      <c r="J103" s="6" t="s">
        <v>156</v>
      </c>
      <c r="K103" s="10">
        <v>1.0</v>
      </c>
      <c r="M103" s="6" t="s">
        <v>5422</v>
      </c>
      <c r="N103" s="10">
        <v>1.0</v>
      </c>
      <c r="P103" s="6" t="s">
        <v>525</v>
      </c>
      <c r="Q103" s="10">
        <v>1.0</v>
      </c>
      <c r="R103" s="10"/>
    </row>
    <row r="104">
      <c r="A104" s="6" t="s">
        <v>7036</v>
      </c>
      <c r="B104" s="40">
        <v>1.0</v>
      </c>
      <c r="D104" s="6" t="s">
        <v>4469</v>
      </c>
      <c r="E104" s="10">
        <v>1.0</v>
      </c>
      <c r="G104" s="6" t="s">
        <v>4869</v>
      </c>
      <c r="H104" s="10">
        <v>1.0</v>
      </c>
      <c r="J104" s="6" t="s">
        <v>553</v>
      </c>
      <c r="K104" s="10">
        <v>1.0</v>
      </c>
      <c r="M104" s="6" t="s">
        <v>1230</v>
      </c>
      <c r="N104" s="10">
        <v>1.0</v>
      </c>
      <c r="P104" s="6" t="s">
        <v>8013</v>
      </c>
      <c r="Q104" s="10">
        <v>1.0</v>
      </c>
      <c r="R104" s="10"/>
    </row>
    <row r="105">
      <c r="A105" s="6" t="s">
        <v>73</v>
      </c>
      <c r="B105" s="40">
        <v>1.0</v>
      </c>
      <c r="D105" s="6" t="s">
        <v>4467</v>
      </c>
      <c r="E105" s="10">
        <v>1.0</v>
      </c>
      <c r="G105" s="6" t="s">
        <v>545</v>
      </c>
      <c r="H105" s="10">
        <v>1.0</v>
      </c>
      <c r="J105" s="6" t="s">
        <v>4887</v>
      </c>
      <c r="K105" s="10">
        <v>1.0</v>
      </c>
      <c r="L105" s="5" t="s">
        <v>13038</v>
      </c>
      <c r="M105" s="6" t="s">
        <v>167</v>
      </c>
      <c r="N105" s="10">
        <v>1.0</v>
      </c>
      <c r="P105" s="6" t="s">
        <v>8015</v>
      </c>
      <c r="Q105" s="10">
        <v>1.0</v>
      </c>
      <c r="R105" s="10"/>
    </row>
    <row r="106">
      <c r="A106" s="6" t="s">
        <v>7037</v>
      </c>
      <c r="B106" s="40">
        <v>1.0</v>
      </c>
      <c r="C106" s="5" t="s">
        <v>13038</v>
      </c>
      <c r="D106" s="6" t="s">
        <v>4468</v>
      </c>
      <c r="E106" s="10">
        <v>1.0</v>
      </c>
      <c r="G106" s="6" t="s">
        <v>546</v>
      </c>
      <c r="H106" s="10">
        <v>1.0</v>
      </c>
      <c r="J106" s="6" t="s">
        <v>4873</v>
      </c>
      <c r="K106" s="10">
        <v>1.0</v>
      </c>
      <c r="M106" s="6" t="s">
        <v>535</v>
      </c>
      <c r="N106" s="10">
        <v>1.0</v>
      </c>
      <c r="P106" s="6" t="s">
        <v>5414</v>
      </c>
      <c r="Q106" s="10">
        <v>1.0</v>
      </c>
      <c r="R106" s="10"/>
    </row>
    <row r="107">
      <c r="A107" s="6" t="s">
        <v>7038</v>
      </c>
      <c r="B107" s="40">
        <v>1.0</v>
      </c>
      <c r="D107" s="6" t="s">
        <v>871</v>
      </c>
      <c r="E107" s="10">
        <v>1.0</v>
      </c>
      <c r="G107" s="6" t="s">
        <v>4872</v>
      </c>
      <c r="H107" s="10">
        <v>1.0</v>
      </c>
      <c r="I107" s="5" t="s">
        <v>13038</v>
      </c>
      <c r="J107" s="6" t="s">
        <v>7490</v>
      </c>
      <c r="K107" s="10">
        <v>1.0</v>
      </c>
      <c r="L107" s="5" t="s">
        <v>13038</v>
      </c>
      <c r="M107" s="6" t="s">
        <v>117</v>
      </c>
      <c r="N107" s="10">
        <v>1.0</v>
      </c>
      <c r="P107" s="6" t="s">
        <v>549</v>
      </c>
      <c r="Q107" s="10">
        <v>1.0</v>
      </c>
      <c r="R107" s="10"/>
    </row>
    <row r="108">
      <c r="A108" s="6" t="s">
        <v>84</v>
      </c>
      <c r="B108" s="40">
        <v>1.0</v>
      </c>
      <c r="D108" s="6" t="s">
        <v>4470</v>
      </c>
      <c r="E108" s="10">
        <v>1.0</v>
      </c>
      <c r="G108" s="6" t="s">
        <v>4874</v>
      </c>
      <c r="H108" s="10">
        <v>1.0</v>
      </c>
      <c r="J108" s="6" t="s">
        <v>3016</v>
      </c>
      <c r="K108" s="10">
        <v>1.0</v>
      </c>
      <c r="L108" s="5" t="s">
        <v>13038</v>
      </c>
      <c r="M108" s="6" t="s">
        <v>5429</v>
      </c>
      <c r="N108" s="10">
        <v>1.0</v>
      </c>
      <c r="P108" s="6" t="s">
        <v>138</v>
      </c>
      <c r="Q108" s="10">
        <v>1.0</v>
      </c>
      <c r="R108" s="10"/>
    </row>
    <row r="109">
      <c r="A109" s="6" t="s">
        <v>7039</v>
      </c>
      <c r="B109" s="40">
        <v>1.0</v>
      </c>
      <c r="D109" s="6" t="s">
        <v>1237</v>
      </c>
      <c r="E109" s="10">
        <v>1.0</v>
      </c>
      <c r="G109" s="6" t="s">
        <v>4878</v>
      </c>
      <c r="H109" s="10">
        <v>1.0</v>
      </c>
      <c r="J109" s="6" t="s">
        <v>49</v>
      </c>
      <c r="K109" s="10">
        <v>1.0</v>
      </c>
      <c r="M109" s="6" t="s">
        <v>5427</v>
      </c>
      <c r="N109" s="10">
        <v>1.0</v>
      </c>
      <c r="P109" s="6" t="s">
        <v>3278</v>
      </c>
      <c r="Q109" s="10">
        <v>1.0</v>
      </c>
      <c r="R109" s="10"/>
    </row>
    <row r="110">
      <c r="A110" s="6" t="s">
        <v>7040</v>
      </c>
      <c r="B110" s="40">
        <v>1.0</v>
      </c>
      <c r="D110" s="6" t="s">
        <v>935</v>
      </c>
      <c r="E110" s="10">
        <v>1.0</v>
      </c>
      <c r="G110" s="6" t="s">
        <v>160</v>
      </c>
      <c r="H110" s="10">
        <v>1.0</v>
      </c>
      <c r="J110" s="6" t="s">
        <v>7491</v>
      </c>
      <c r="K110" s="10">
        <v>1.0</v>
      </c>
      <c r="M110" s="6" t="s">
        <v>5428</v>
      </c>
      <c r="N110" s="10">
        <v>1.0</v>
      </c>
      <c r="P110" s="6" t="s">
        <v>8016</v>
      </c>
      <c r="Q110" s="10">
        <v>1.0</v>
      </c>
      <c r="R110" s="10"/>
    </row>
    <row r="111">
      <c r="A111" s="6" t="s">
        <v>85</v>
      </c>
      <c r="B111" s="40">
        <v>1.0</v>
      </c>
      <c r="D111" s="6" t="s">
        <v>61</v>
      </c>
      <c r="E111" s="10">
        <v>1.0</v>
      </c>
      <c r="G111" s="6" t="s">
        <v>4876</v>
      </c>
      <c r="H111" s="10">
        <v>1.0</v>
      </c>
      <c r="J111" s="6" t="s">
        <v>7492</v>
      </c>
      <c r="K111" s="10">
        <v>1.0</v>
      </c>
      <c r="M111" s="6" t="s">
        <v>529</v>
      </c>
      <c r="N111" s="10">
        <v>1.0</v>
      </c>
      <c r="P111" s="6" t="s">
        <v>909</v>
      </c>
      <c r="Q111" s="10">
        <v>1.0</v>
      </c>
      <c r="R111" s="10"/>
    </row>
    <row r="112">
      <c r="A112" s="6" t="s">
        <v>7041</v>
      </c>
      <c r="B112" s="40">
        <v>1.0</v>
      </c>
      <c r="D112" s="6" t="s">
        <v>128</v>
      </c>
      <c r="E112" s="10">
        <v>1.0</v>
      </c>
      <c r="G112" s="6" t="s">
        <v>4877</v>
      </c>
      <c r="H112" s="10">
        <v>1.0</v>
      </c>
      <c r="J112" s="6" t="s">
        <v>868</v>
      </c>
      <c r="K112" s="10">
        <v>1.0</v>
      </c>
      <c r="L112" s="5" t="s">
        <v>13038</v>
      </c>
      <c r="M112" s="6" t="s">
        <v>35</v>
      </c>
      <c r="N112" s="10">
        <v>1.0</v>
      </c>
      <c r="P112" s="6" t="s">
        <v>960</v>
      </c>
      <c r="Q112" s="10">
        <v>1.0</v>
      </c>
      <c r="R112" s="10"/>
    </row>
    <row r="113">
      <c r="A113" s="6" t="s">
        <v>7042</v>
      </c>
      <c r="B113" s="40">
        <v>1.0</v>
      </c>
      <c r="D113" s="6" t="s">
        <v>105</v>
      </c>
      <c r="E113" s="10">
        <v>1.0</v>
      </c>
      <c r="G113" s="6" t="s">
        <v>1364</v>
      </c>
      <c r="H113" s="10">
        <v>1.0</v>
      </c>
      <c r="I113" s="5" t="s">
        <v>13038</v>
      </c>
      <c r="J113" s="6" t="s">
        <v>1396</v>
      </c>
      <c r="K113" s="10">
        <v>1.0</v>
      </c>
      <c r="M113" s="6" t="s">
        <v>5431</v>
      </c>
      <c r="N113" s="10">
        <v>1.0</v>
      </c>
      <c r="P113" s="6" t="s">
        <v>908</v>
      </c>
      <c r="Q113" s="10">
        <v>1.0</v>
      </c>
      <c r="R113" s="10"/>
    </row>
    <row r="114">
      <c r="A114" s="6" t="s">
        <v>7043</v>
      </c>
      <c r="B114" s="40">
        <v>1.0</v>
      </c>
      <c r="D114" s="6" t="s">
        <v>2617</v>
      </c>
      <c r="E114" s="10">
        <v>1.0</v>
      </c>
      <c r="G114" s="6" t="s">
        <v>4875</v>
      </c>
      <c r="H114" s="10">
        <v>1.0</v>
      </c>
      <c r="J114" s="6" t="s">
        <v>126</v>
      </c>
      <c r="K114" s="10">
        <v>1.0</v>
      </c>
      <c r="M114" s="6" t="s">
        <v>909</v>
      </c>
      <c r="N114" s="10">
        <v>1.0</v>
      </c>
      <c r="P114" s="6" t="s">
        <v>3302</v>
      </c>
      <c r="Q114" s="10">
        <v>1.0</v>
      </c>
      <c r="R114" s="10"/>
    </row>
    <row r="115">
      <c r="A115" s="6" t="s">
        <v>7044</v>
      </c>
      <c r="B115" s="40">
        <v>1.0</v>
      </c>
      <c r="D115" s="6" t="s">
        <v>537</v>
      </c>
      <c r="E115" s="10">
        <v>1.0</v>
      </c>
      <c r="G115" s="6" t="s">
        <v>3682</v>
      </c>
      <c r="H115" s="10">
        <v>1.0</v>
      </c>
      <c r="J115" s="6" t="s">
        <v>1338</v>
      </c>
      <c r="K115" s="10">
        <v>1.0</v>
      </c>
      <c r="M115" s="6" t="s">
        <v>888</v>
      </c>
      <c r="N115" s="10">
        <v>1.0</v>
      </c>
      <c r="P115" s="6" t="s">
        <v>1365</v>
      </c>
      <c r="Q115" s="10">
        <v>1.0</v>
      </c>
      <c r="R115" s="10"/>
    </row>
    <row r="116">
      <c r="A116" s="6" t="s">
        <v>7045</v>
      </c>
      <c r="B116" s="40">
        <v>1.0</v>
      </c>
      <c r="C116" s="5" t="s">
        <v>13038</v>
      </c>
      <c r="D116" s="6" t="s">
        <v>923</v>
      </c>
      <c r="E116" s="10">
        <v>1.0</v>
      </c>
      <c r="G116" s="6" t="s">
        <v>527</v>
      </c>
      <c r="H116" s="10">
        <v>1.0</v>
      </c>
      <c r="J116" s="6" t="s">
        <v>541</v>
      </c>
      <c r="K116" s="10">
        <v>1.0</v>
      </c>
      <c r="M116" s="6" t="s">
        <v>908</v>
      </c>
      <c r="N116" s="10">
        <v>1.0</v>
      </c>
      <c r="P116" s="6" t="s">
        <v>8018</v>
      </c>
      <c r="Q116" s="10">
        <v>1.0</v>
      </c>
      <c r="R116" s="10"/>
    </row>
    <row r="117">
      <c r="A117" s="6" t="s">
        <v>537</v>
      </c>
      <c r="B117" s="40">
        <v>1.0</v>
      </c>
      <c r="D117" s="6" t="s">
        <v>2604</v>
      </c>
      <c r="E117" s="10">
        <v>1.0</v>
      </c>
      <c r="G117" s="6" t="s">
        <v>120</v>
      </c>
      <c r="H117" s="10">
        <v>1.0</v>
      </c>
      <c r="J117" s="6" t="s">
        <v>3002</v>
      </c>
      <c r="K117" s="10">
        <v>1.0</v>
      </c>
      <c r="M117" s="6" t="s">
        <v>5430</v>
      </c>
      <c r="N117" s="10">
        <v>1.0</v>
      </c>
      <c r="P117" s="6" t="s">
        <v>3819</v>
      </c>
      <c r="Q117" s="10">
        <v>1.0</v>
      </c>
      <c r="R117" s="10"/>
    </row>
    <row r="118">
      <c r="A118" s="6" t="s">
        <v>1504</v>
      </c>
      <c r="B118" s="40">
        <v>1.0</v>
      </c>
      <c r="D118" s="6" t="s">
        <v>130</v>
      </c>
      <c r="E118" s="10">
        <v>1.0</v>
      </c>
      <c r="G118" s="6" t="s">
        <v>101</v>
      </c>
      <c r="H118" s="10">
        <v>1.0</v>
      </c>
      <c r="J118" s="6" t="s">
        <v>7493</v>
      </c>
      <c r="K118" s="10">
        <v>1.0</v>
      </c>
      <c r="M118" s="6" t="s">
        <v>3787</v>
      </c>
      <c r="N118" s="10">
        <v>1.0</v>
      </c>
      <c r="P118" s="6" t="s">
        <v>8017</v>
      </c>
      <c r="Q118" s="10">
        <v>1.0</v>
      </c>
      <c r="R118" s="10"/>
    </row>
    <row r="119">
      <c r="A119" s="6" t="s">
        <v>7046</v>
      </c>
      <c r="B119" s="40">
        <v>1.0</v>
      </c>
      <c r="C119" s="5" t="s">
        <v>13038</v>
      </c>
      <c r="D119" s="6" t="s">
        <v>3583</v>
      </c>
      <c r="E119" s="10">
        <v>1.0</v>
      </c>
      <c r="G119" s="6" t="s">
        <v>909</v>
      </c>
      <c r="H119" s="10">
        <v>1.0</v>
      </c>
      <c r="J119" s="6" t="s">
        <v>7494</v>
      </c>
      <c r="K119" s="10">
        <v>1.0</v>
      </c>
      <c r="L119" s="5" t="s">
        <v>13038</v>
      </c>
      <c r="M119" s="6" t="s">
        <v>129</v>
      </c>
      <c r="N119" s="10">
        <v>1.0</v>
      </c>
      <c r="P119" s="6" t="s">
        <v>1339</v>
      </c>
      <c r="Q119" s="10">
        <v>1.0</v>
      </c>
      <c r="R119" s="10"/>
    </row>
    <row r="120">
      <c r="A120" s="6" t="s">
        <v>1513</v>
      </c>
      <c r="B120" s="40">
        <v>1.0</v>
      </c>
      <c r="D120" s="6" t="s">
        <v>908</v>
      </c>
      <c r="E120" s="10">
        <v>1.0</v>
      </c>
      <c r="G120" s="6" t="s">
        <v>4879</v>
      </c>
      <c r="H120" s="10">
        <v>1.0</v>
      </c>
      <c r="J120" s="6" t="s">
        <v>940</v>
      </c>
      <c r="K120" s="10">
        <v>1.0</v>
      </c>
      <c r="M120" s="6" t="s">
        <v>128</v>
      </c>
      <c r="N120" s="10">
        <v>1.0</v>
      </c>
      <c r="P120" s="6" t="s">
        <v>1369</v>
      </c>
      <c r="Q120" s="10">
        <v>1.0</v>
      </c>
      <c r="R120" s="10"/>
    </row>
    <row r="121">
      <c r="A121" s="6" t="s">
        <v>866</v>
      </c>
      <c r="B121" s="40">
        <v>1.0</v>
      </c>
      <c r="D121" s="6" t="s">
        <v>4471</v>
      </c>
      <c r="E121" s="10">
        <v>1.0</v>
      </c>
      <c r="G121" s="6" t="s">
        <v>908</v>
      </c>
      <c r="H121" s="10">
        <v>1.0</v>
      </c>
      <c r="J121" s="6" t="s">
        <v>557</v>
      </c>
      <c r="K121" s="10">
        <v>1.0</v>
      </c>
      <c r="M121" s="6" t="s">
        <v>902</v>
      </c>
      <c r="N121" s="10">
        <v>1.0</v>
      </c>
      <c r="P121" s="6" t="s">
        <v>7023</v>
      </c>
      <c r="Q121" s="10">
        <v>1.0</v>
      </c>
      <c r="R121" s="10"/>
    </row>
    <row r="122">
      <c r="A122" s="6" t="s">
        <v>7048</v>
      </c>
      <c r="B122" s="40">
        <v>1.0</v>
      </c>
      <c r="D122" s="6" t="s">
        <v>518</v>
      </c>
      <c r="E122" s="10">
        <v>1.0</v>
      </c>
      <c r="G122" s="6" t="s">
        <v>503</v>
      </c>
      <c r="H122" s="10">
        <v>1.0</v>
      </c>
      <c r="J122" s="6" t="s">
        <v>558</v>
      </c>
      <c r="K122" s="10">
        <v>1.0</v>
      </c>
      <c r="M122" s="6" t="s">
        <v>921</v>
      </c>
      <c r="N122" s="10">
        <v>1.0</v>
      </c>
      <c r="P122" s="6" t="s">
        <v>4468</v>
      </c>
      <c r="Q122" s="10">
        <v>1.0</v>
      </c>
      <c r="R122" s="10"/>
    </row>
    <row r="123">
      <c r="A123" s="6" t="s">
        <v>7047</v>
      </c>
      <c r="B123" s="40">
        <v>1.0</v>
      </c>
      <c r="C123" s="5" t="s">
        <v>13038</v>
      </c>
      <c r="D123" s="6" t="s">
        <v>103</v>
      </c>
      <c r="E123" s="10">
        <v>1.0</v>
      </c>
      <c r="G123" s="6" t="s">
        <v>502</v>
      </c>
      <c r="H123" s="10">
        <v>1.0</v>
      </c>
      <c r="J123" s="6" t="s">
        <v>5428</v>
      </c>
      <c r="K123" s="10">
        <v>1.0</v>
      </c>
      <c r="M123" s="6" t="s">
        <v>3835</v>
      </c>
      <c r="N123" s="10">
        <v>1.0</v>
      </c>
      <c r="P123" s="6" t="s">
        <v>8020</v>
      </c>
      <c r="Q123" s="10">
        <v>1.0</v>
      </c>
      <c r="R123" s="10"/>
    </row>
    <row r="124">
      <c r="D124" s="6" t="s">
        <v>134</v>
      </c>
      <c r="E124" s="10">
        <v>1.0</v>
      </c>
      <c r="F124" s="5" t="s">
        <v>13038</v>
      </c>
      <c r="G124" s="6" t="s">
        <v>499</v>
      </c>
      <c r="H124" s="10">
        <v>1.0</v>
      </c>
      <c r="J124" s="6" t="s">
        <v>120</v>
      </c>
      <c r="K124" s="10">
        <v>1.0</v>
      </c>
      <c r="M124" s="6" t="s">
        <v>5434</v>
      </c>
      <c r="N124" s="10">
        <v>1.0</v>
      </c>
      <c r="P124" s="6" t="s">
        <v>8019</v>
      </c>
      <c r="Q124" s="10">
        <v>1.0</v>
      </c>
      <c r="R124" s="10"/>
    </row>
    <row r="125">
      <c r="D125" s="6" t="s">
        <v>966</v>
      </c>
      <c r="E125" s="10">
        <v>1.0</v>
      </c>
      <c r="G125" s="6" t="s">
        <v>166</v>
      </c>
      <c r="H125" s="10">
        <v>1.0</v>
      </c>
      <c r="J125" s="6" t="s">
        <v>7495</v>
      </c>
      <c r="K125" s="10">
        <v>1.0</v>
      </c>
      <c r="M125" s="6" t="s">
        <v>5432</v>
      </c>
      <c r="N125" s="10">
        <v>1.0</v>
      </c>
      <c r="P125" s="6" t="s">
        <v>940</v>
      </c>
      <c r="Q125" s="10">
        <v>1.0</v>
      </c>
      <c r="R125" s="10"/>
    </row>
    <row r="126">
      <c r="D126" s="6" t="s">
        <v>104</v>
      </c>
      <c r="E126" s="10">
        <v>1.0</v>
      </c>
      <c r="G126" s="6" t="s">
        <v>4882</v>
      </c>
      <c r="H126" s="10">
        <v>1.0</v>
      </c>
      <c r="J126" s="6" t="s">
        <v>7496</v>
      </c>
      <c r="K126" s="10">
        <v>1.0</v>
      </c>
      <c r="M126" s="6" t="s">
        <v>524</v>
      </c>
      <c r="N126" s="10">
        <v>1.0</v>
      </c>
      <c r="P126" s="6" t="s">
        <v>898</v>
      </c>
      <c r="Q126" s="10">
        <v>1.0</v>
      </c>
      <c r="R126" s="10"/>
    </row>
    <row r="127">
      <c r="D127" s="6" t="s">
        <v>135</v>
      </c>
      <c r="E127" s="10">
        <v>1.0</v>
      </c>
      <c r="F127" s="5" t="s">
        <v>13038</v>
      </c>
      <c r="G127" s="6" t="s">
        <v>4880</v>
      </c>
      <c r="H127" s="10">
        <v>1.0</v>
      </c>
      <c r="J127" s="6" t="s">
        <v>7497</v>
      </c>
      <c r="K127" s="10">
        <v>1.0</v>
      </c>
      <c r="M127" s="6" t="s">
        <v>147</v>
      </c>
      <c r="N127" s="10">
        <v>1.0</v>
      </c>
      <c r="P127" s="6" t="s">
        <v>74</v>
      </c>
      <c r="Q127" s="10">
        <v>1.0</v>
      </c>
      <c r="R127" s="10"/>
    </row>
    <row r="128">
      <c r="D128" s="6" t="s">
        <v>111</v>
      </c>
      <c r="E128" s="10">
        <v>1.0</v>
      </c>
      <c r="G128" s="6" t="s">
        <v>4881</v>
      </c>
      <c r="H128" s="10">
        <v>1.0</v>
      </c>
      <c r="J128" s="6" t="s">
        <v>7498</v>
      </c>
      <c r="K128" s="10">
        <v>1.0</v>
      </c>
      <c r="M128" s="6" t="s">
        <v>5433</v>
      </c>
      <c r="N128" s="10">
        <v>1.0</v>
      </c>
      <c r="O128" s="5" t="s">
        <v>13038</v>
      </c>
      <c r="P128" s="6" t="s">
        <v>8021</v>
      </c>
      <c r="Q128" s="10">
        <v>1.0</v>
      </c>
      <c r="R128" s="10"/>
    </row>
    <row r="129">
      <c r="D129" s="6" t="s">
        <v>110</v>
      </c>
      <c r="E129" s="10">
        <v>1.0</v>
      </c>
      <c r="G129" s="6" t="s">
        <v>570</v>
      </c>
      <c r="H129" s="10">
        <v>1.0</v>
      </c>
      <c r="J129" s="6" t="s">
        <v>551</v>
      </c>
      <c r="K129" s="10">
        <v>1.0</v>
      </c>
      <c r="M129" s="6" t="s">
        <v>94</v>
      </c>
      <c r="N129" s="10">
        <v>1.0</v>
      </c>
      <c r="P129" s="6" t="s">
        <v>8022</v>
      </c>
      <c r="Q129" s="10">
        <v>1.0</v>
      </c>
      <c r="R129" s="10"/>
    </row>
    <row r="130">
      <c r="D130" s="6" t="s">
        <v>47</v>
      </c>
      <c r="E130" s="10">
        <v>1.0</v>
      </c>
      <c r="F130" s="5" t="s">
        <v>13038</v>
      </c>
      <c r="G130" s="6" t="s">
        <v>128</v>
      </c>
      <c r="H130" s="10">
        <v>1.0</v>
      </c>
      <c r="J130" s="6" t="s">
        <v>53</v>
      </c>
      <c r="K130" s="10">
        <v>1.0</v>
      </c>
      <c r="M130" s="6" t="s">
        <v>5435</v>
      </c>
      <c r="N130" s="10">
        <v>1.0</v>
      </c>
      <c r="P130" s="6" t="s">
        <v>1227</v>
      </c>
      <c r="Q130" s="10">
        <v>1.0</v>
      </c>
      <c r="R130" s="10"/>
    </row>
    <row r="131">
      <c r="D131" s="6" t="s">
        <v>49</v>
      </c>
      <c r="E131" s="10">
        <v>1.0</v>
      </c>
      <c r="G131" s="6" t="s">
        <v>4883</v>
      </c>
      <c r="H131" s="10">
        <v>1.0</v>
      </c>
      <c r="J131" s="6" t="s">
        <v>2604</v>
      </c>
      <c r="K131" s="10">
        <v>1.0</v>
      </c>
      <c r="M131" s="6" t="s">
        <v>901</v>
      </c>
      <c r="N131" s="10">
        <v>1.0</v>
      </c>
      <c r="P131" s="6" t="s">
        <v>8023</v>
      </c>
      <c r="Q131" s="10">
        <v>1.0</v>
      </c>
      <c r="R131" s="7" t="s">
        <v>13038</v>
      </c>
    </row>
    <row r="132">
      <c r="D132" s="6" t="s">
        <v>4472</v>
      </c>
      <c r="E132" s="10">
        <v>1.0</v>
      </c>
      <c r="G132" s="6" t="s">
        <v>521</v>
      </c>
      <c r="H132" s="10">
        <v>1.0</v>
      </c>
      <c r="J132" s="6" t="s">
        <v>4862</v>
      </c>
      <c r="K132" s="10">
        <v>1.0</v>
      </c>
      <c r="M132" s="6" t="s">
        <v>5438</v>
      </c>
      <c r="N132" s="10">
        <v>1.0</v>
      </c>
      <c r="O132" s="5" t="s">
        <v>13038</v>
      </c>
      <c r="P132" s="6" t="s">
        <v>8025</v>
      </c>
      <c r="Q132" s="10">
        <v>1.0</v>
      </c>
      <c r="R132" s="7" t="s">
        <v>13038</v>
      </c>
    </row>
    <row r="133">
      <c r="D133" s="6" t="s">
        <v>4473</v>
      </c>
      <c r="E133" s="10">
        <v>1.0</v>
      </c>
      <c r="G133" s="6" t="s">
        <v>4884</v>
      </c>
      <c r="H133" s="10">
        <v>1.0</v>
      </c>
      <c r="J133" s="6" t="s">
        <v>498</v>
      </c>
      <c r="K133" s="10">
        <v>1.0</v>
      </c>
      <c r="M133" s="6" t="s">
        <v>5436</v>
      </c>
      <c r="N133" s="10">
        <v>1.0</v>
      </c>
      <c r="P133" s="6" t="s">
        <v>887</v>
      </c>
      <c r="Q133" s="10">
        <v>1.0</v>
      </c>
      <c r="R133" s="10"/>
    </row>
    <row r="134">
      <c r="G134" s="6" t="s">
        <v>4885</v>
      </c>
      <c r="H134" s="10">
        <v>1.0</v>
      </c>
      <c r="J134" s="6" t="s">
        <v>947</v>
      </c>
      <c r="K134" s="10">
        <v>1.0</v>
      </c>
      <c r="M134" s="6" t="s">
        <v>3831</v>
      </c>
      <c r="N134" s="10">
        <v>1.0</v>
      </c>
      <c r="P134" s="6" t="s">
        <v>512</v>
      </c>
      <c r="Q134" s="10">
        <v>1.0</v>
      </c>
      <c r="R134" s="10"/>
    </row>
    <row r="135">
      <c r="G135" s="6" t="s">
        <v>4886</v>
      </c>
      <c r="H135" s="10">
        <v>1.0</v>
      </c>
      <c r="J135" s="6" t="s">
        <v>57</v>
      </c>
      <c r="K135" s="10">
        <v>1.0</v>
      </c>
      <c r="M135" s="6" t="s">
        <v>929</v>
      </c>
      <c r="N135" s="10">
        <v>1.0</v>
      </c>
      <c r="O135" s="5" t="s">
        <v>13038</v>
      </c>
      <c r="P135" s="6" t="s">
        <v>868</v>
      </c>
      <c r="Q135" s="10">
        <v>1.0</v>
      </c>
      <c r="R135" s="7" t="s">
        <v>13038</v>
      </c>
    </row>
    <row r="136">
      <c r="G136" s="6" t="s">
        <v>4887</v>
      </c>
      <c r="H136" s="10">
        <v>1.0</v>
      </c>
      <c r="I136" s="5" t="s">
        <v>13038</v>
      </c>
      <c r="M136" s="6" t="s">
        <v>3803</v>
      </c>
      <c r="N136" s="10">
        <v>1.0</v>
      </c>
      <c r="P136" s="6" t="s">
        <v>120</v>
      </c>
      <c r="Q136" s="10">
        <v>1.0</v>
      </c>
      <c r="R136" s="10"/>
    </row>
    <row r="137">
      <c r="G137" s="6" t="s">
        <v>68</v>
      </c>
      <c r="H137" s="10">
        <v>1.0</v>
      </c>
      <c r="M137" s="6" t="s">
        <v>5437</v>
      </c>
      <c r="N137" s="10">
        <v>1.0</v>
      </c>
      <c r="O137" s="5" t="s">
        <v>13038</v>
      </c>
      <c r="P137" s="6" t="s">
        <v>8024</v>
      </c>
      <c r="Q137" s="10">
        <v>1.0</v>
      </c>
      <c r="R137" s="7" t="s">
        <v>13038</v>
      </c>
    </row>
    <row r="138">
      <c r="G138" s="6" t="s">
        <v>3786</v>
      </c>
      <c r="H138" s="10">
        <v>1.0</v>
      </c>
      <c r="M138" s="6" t="s">
        <v>954</v>
      </c>
      <c r="N138" s="10">
        <v>1.0</v>
      </c>
      <c r="P138" s="6" t="s">
        <v>8027</v>
      </c>
      <c r="Q138" s="10">
        <v>1.0</v>
      </c>
      <c r="R138" s="10"/>
    </row>
    <row r="139">
      <c r="G139" s="6" t="s">
        <v>105</v>
      </c>
      <c r="H139" s="10">
        <v>1.0</v>
      </c>
      <c r="M139" s="6" t="s">
        <v>1539</v>
      </c>
      <c r="N139" s="10">
        <v>1.0</v>
      </c>
      <c r="P139" s="6" t="s">
        <v>8026</v>
      </c>
      <c r="Q139" s="10">
        <v>1.0</v>
      </c>
      <c r="R139" s="10"/>
    </row>
    <row r="140">
      <c r="G140" s="6" t="s">
        <v>1218</v>
      </c>
      <c r="H140" s="10">
        <v>1.0</v>
      </c>
      <c r="M140" s="6" t="s">
        <v>5439</v>
      </c>
      <c r="N140" s="10">
        <v>1.0</v>
      </c>
      <c r="P140" s="6" t="s">
        <v>8029</v>
      </c>
      <c r="Q140" s="10">
        <v>1.0</v>
      </c>
      <c r="R140" s="10"/>
    </row>
    <row r="141">
      <c r="G141" s="6" t="s">
        <v>131</v>
      </c>
      <c r="H141" s="10">
        <v>1.0</v>
      </c>
      <c r="M141" s="6" t="s">
        <v>972</v>
      </c>
      <c r="N141" s="10">
        <v>1.0</v>
      </c>
      <c r="P141" s="6" t="s">
        <v>1524</v>
      </c>
      <c r="Q141" s="10">
        <v>1.0</v>
      </c>
      <c r="R141" s="10"/>
    </row>
    <row r="142">
      <c r="G142" s="6" t="s">
        <v>874</v>
      </c>
      <c r="H142" s="10">
        <v>1.0</v>
      </c>
      <c r="M142" s="6" t="s">
        <v>917</v>
      </c>
      <c r="N142" s="10">
        <v>1.0</v>
      </c>
      <c r="P142" s="6" t="s">
        <v>8028</v>
      </c>
      <c r="Q142" s="10">
        <v>1.0</v>
      </c>
      <c r="R142" s="10"/>
    </row>
    <row r="143">
      <c r="G143" s="6" t="s">
        <v>534</v>
      </c>
      <c r="H143" s="10">
        <v>1.0</v>
      </c>
      <c r="M143" s="6" t="s">
        <v>516</v>
      </c>
      <c r="N143" s="10">
        <v>1.0</v>
      </c>
      <c r="P143" s="6" t="s">
        <v>3301</v>
      </c>
      <c r="Q143" s="10">
        <v>1.0</v>
      </c>
      <c r="R143" s="10"/>
    </row>
    <row r="144">
      <c r="G144" s="6" t="s">
        <v>1223</v>
      </c>
      <c r="H144" s="10">
        <v>1.0</v>
      </c>
      <c r="M144" s="6" t="s">
        <v>5440</v>
      </c>
      <c r="N144" s="10">
        <v>1.0</v>
      </c>
      <c r="P144" s="6" t="s">
        <v>8031</v>
      </c>
      <c r="Q144" s="10">
        <v>1.0</v>
      </c>
      <c r="R144" s="10"/>
    </row>
    <row r="145">
      <c r="M145" s="6" t="s">
        <v>5441</v>
      </c>
      <c r="N145" s="10">
        <v>1.0</v>
      </c>
      <c r="P145" s="6" t="s">
        <v>8030</v>
      </c>
      <c r="Q145" s="10">
        <v>1.0</v>
      </c>
      <c r="R145" s="10"/>
    </row>
    <row r="146">
      <c r="M146" s="6" t="s">
        <v>500</v>
      </c>
      <c r="N146" s="10">
        <v>1.0</v>
      </c>
      <c r="P146" s="6" t="s">
        <v>919</v>
      </c>
      <c r="Q146" s="10">
        <v>1.0</v>
      </c>
      <c r="R146" s="10"/>
    </row>
    <row r="147">
      <c r="M147" s="6" t="s">
        <v>878</v>
      </c>
      <c r="N147" s="10">
        <v>1.0</v>
      </c>
      <c r="P147" s="6" t="s">
        <v>160</v>
      </c>
      <c r="Q147" s="10">
        <v>1.0</v>
      </c>
      <c r="R147" s="10"/>
    </row>
    <row r="148">
      <c r="M148" s="6" t="s">
        <v>879</v>
      </c>
      <c r="N148" s="10">
        <v>1.0</v>
      </c>
      <c r="P148" s="6" t="s">
        <v>43</v>
      </c>
      <c r="Q148" s="10">
        <v>1.0</v>
      </c>
      <c r="R148" s="10"/>
    </row>
    <row r="149">
      <c r="M149" s="6" t="s">
        <v>5442</v>
      </c>
      <c r="N149" s="10">
        <v>1.0</v>
      </c>
      <c r="P149" s="6" t="s">
        <v>5418</v>
      </c>
      <c r="Q149" s="10">
        <v>1.0</v>
      </c>
      <c r="R149" s="10"/>
    </row>
    <row r="150">
      <c r="M150" s="6" t="s">
        <v>509</v>
      </c>
      <c r="N150" s="10">
        <v>1.0</v>
      </c>
      <c r="P150" s="6" t="s">
        <v>935</v>
      </c>
      <c r="Q150" s="10">
        <v>1.0</v>
      </c>
      <c r="R150" s="10"/>
    </row>
    <row r="151">
      <c r="M151" s="6" t="s">
        <v>122</v>
      </c>
      <c r="N151" s="10">
        <v>1.0</v>
      </c>
      <c r="P151" s="6" t="s">
        <v>1367</v>
      </c>
      <c r="Q151" s="10">
        <v>1.0</v>
      </c>
      <c r="R151" s="10"/>
    </row>
    <row r="152">
      <c r="M152" s="6" t="s">
        <v>3794</v>
      </c>
      <c r="N152" s="10">
        <v>1.0</v>
      </c>
      <c r="O152" s="5" t="s">
        <v>13038</v>
      </c>
      <c r="P152" s="6" t="s">
        <v>979</v>
      </c>
      <c r="Q152" s="10">
        <v>1.0</v>
      </c>
      <c r="R152" s="10"/>
    </row>
    <row r="153">
      <c r="M153" s="6" t="s">
        <v>166</v>
      </c>
      <c r="N153" s="10">
        <v>1.0</v>
      </c>
      <c r="P153" s="6" t="s">
        <v>8032</v>
      </c>
      <c r="Q153" s="10">
        <v>1.0</v>
      </c>
      <c r="R153" s="10"/>
    </row>
    <row r="154">
      <c r="M154" s="6" t="s">
        <v>5443</v>
      </c>
      <c r="N154" s="10">
        <v>1.0</v>
      </c>
      <c r="P154" s="6" t="s">
        <v>8035</v>
      </c>
      <c r="Q154" s="10">
        <v>1.0</v>
      </c>
      <c r="R154" s="10"/>
    </row>
    <row r="155">
      <c r="M155" s="6" t="s">
        <v>5444</v>
      </c>
      <c r="N155" s="10">
        <v>1.0</v>
      </c>
      <c r="P155" s="6" t="s">
        <v>8034</v>
      </c>
      <c r="Q155" s="10">
        <v>1.0</v>
      </c>
      <c r="R155" s="10"/>
    </row>
    <row r="156">
      <c r="M156" s="6" t="s">
        <v>5445</v>
      </c>
      <c r="N156" s="10">
        <v>1.0</v>
      </c>
      <c r="O156" s="5" t="s">
        <v>13038</v>
      </c>
      <c r="P156" s="6" t="s">
        <v>8036</v>
      </c>
      <c r="Q156" s="10">
        <v>1.0</v>
      </c>
      <c r="R156" s="10"/>
    </row>
    <row r="157">
      <c r="M157" s="6" t="s">
        <v>3818</v>
      </c>
      <c r="N157" s="10">
        <v>1.0</v>
      </c>
      <c r="P157" s="6" t="s">
        <v>8037</v>
      </c>
      <c r="Q157" s="10">
        <v>1.0</v>
      </c>
      <c r="R157" s="10"/>
    </row>
    <row r="158">
      <c r="M158" s="6" t="s">
        <v>957</v>
      </c>
      <c r="N158" s="10">
        <v>1.0</v>
      </c>
      <c r="P158" s="6" t="s">
        <v>84</v>
      </c>
      <c r="Q158" s="10">
        <v>1.0</v>
      </c>
      <c r="R158" s="10"/>
    </row>
    <row r="159">
      <c r="M159" s="6" t="s">
        <v>5447</v>
      </c>
      <c r="N159" s="10">
        <v>1.0</v>
      </c>
      <c r="P159" s="6" t="s">
        <v>8033</v>
      </c>
      <c r="Q159" s="10">
        <v>1.0</v>
      </c>
      <c r="R159" s="10"/>
    </row>
    <row r="160">
      <c r="M160" s="6" t="s">
        <v>946</v>
      </c>
      <c r="N160" s="10">
        <v>1.0</v>
      </c>
      <c r="P160" s="6" t="s">
        <v>8039</v>
      </c>
      <c r="Q160" s="10">
        <v>1.0</v>
      </c>
      <c r="R160" s="10"/>
    </row>
    <row r="161">
      <c r="M161" s="6" t="s">
        <v>108</v>
      </c>
      <c r="N161" s="10">
        <v>1.0</v>
      </c>
      <c r="O161" s="5" t="s">
        <v>13038</v>
      </c>
      <c r="P161" s="6" t="s">
        <v>8038</v>
      </c>
      <c r="Q161" s="10">
        <v>1.0</v>
      </c>
      <c r="R161" s="7" t="s">
        <v>13038</v>
      </c>
    </row>
    <row r="162">
      <c r="M162" s="6" t="s">
        <v>5446</v>
      </c>
      <c r="N162" s="10">
        <v>1.0</v>
      </c>
      <c r="P162" s="6" t="s">
        <v>111</v>
      </c>
      <c r="Q162" s="10">
        <v>1.0</v>
      </c>
      <c r="R162" s="10"/>
    </row>
    <row r="163">
      <c r="M163" s="6" t="s">
        <v>549</v>
      </c>
      <c r="N163" s="10">
        <v>1.0</v>
      </c>
      <c r="O163" s="5" t="s">
        <v>13038</v>
      </c>
      <c r="P163" s="6" t="s">
        <v>8040</v>
      </c>
      <c r="Q163" s="10">
        <v>1.0</v>
      </c>
      <c r="R163" s="7" t="s">
        <v>13038</v>
      </c>
    </row>
    <row r="164">
      <c r="M164" s="6" t="s">
        <v>1246</v>
      </c>
      <c r="N164" s="10">
        <v>1.0</v>
      </c>
      <c r="P164" s="6" t="s">
        <v>110</v>
      </c>
      <c r="Q164" s="10">
        <v>1.0</v>
      </c>
      <c r="R164" s="10"/>
    </row>
    <row r="165">
      <c r="M165" s="6" t="s">
        <v>967</v>
      </c>
      <c r="N165" s="10">
        <v>1.0</v>
      </c>
      <c r="P165" s="6" t="s">
        <v>5427</v>
      </c>
      <c r="Q165" s="10">
        <v>1.0</v>
      </c>
      <c r="R165" s="10"/>
    </row>
    <row r="166">
      <c r="M166" s="6" t="s">
        <v>1367</v>
      </c>
      <c r="N166" s="10">
        <v>1.0</v>
      </c>
      <c r="P166" s="6" t="s">
        <v>8041</v>
      </c>
      <c r="Q166" s="10">
        <v>1.0</v>
      </c>
      <c r="R166" s="10"/>
    </row>
    <row r="167">
      <c r="M167" s="6" t="s">
        <v>5448</v>
      </c>
      <c r="N167" s="10">
        <v>1.0</v>
      </c>
      <c r="P167" s="6" t="s">
        <v>126</v>
      </c>
      <c r="Q167" s="10">
        <v>1.0</v>
      </c>
      <c r="R167" s="10"/>
    </row>
    <row r="168">
      <c r="M168" s="6" t="s">
        <v>1514</v>
      </c>
      <c r="N168" s="10">
        <v>1.0</v>
      </c>
      <c r="P168" s="6" t="s">
        <v>4861</v>
      </c>
      <c r="Q168" s="10">
        <v>1.0</v>
      </c>
      <c r="R168" s="10"/>
    </row>
    <row r="169">
      <c r="M169" s="6" t="s">
        <v>150</v>
      </c>
      <c r="N169" s="10">
        <v>1.0</v>
      </c>
      <c r="P169" s="6" t="s">
        <v>8042</v>
      </c>
      <c r="Q169" s="10">
        <v>1.0</v>
      </c>
      <c r="R169" s="10"/>
    </row>
    <row r="170">
      <c r="M170" s="6" t="s">
        <v>1377</v>
      </c>
      <c r="N170" s="10">
        <v>1.0</v>
      </c>
      <c r="P170" s="6" t="s">
        <v>1241</v>
      </c>
      <c r="Q170" s="10">
        <v>1.0</v>
      </c>
      <c r="R170" s="10"/>
    </row>
    <row r="171">
      <c r="M171" s="6" t="s">
        <v>526</v>
      </c>
      <c r="N171" s="10">
        <v>1.0</v>
      </c>
      <c r="P171" s="6" t="s">
        <v>520</v>
      </c>
      <c r="Q171" s="10">
        <v>1.0</v>
      </c>
      <c r="R171" s="10"/>
    </row>
    <row r="172">
      <c r="M172" s="6" t="s">
        <v>519</v>
      </c>
      <c r="N172" s="10">
        <v>1.0</v>
      </c>
      <c r="P172" s="6" t="s">
        <v>3269</v>
      </c>
      <c r="Q172" s="10">
        <v>1.0</v>
      </c>
      <c r="R172" s="10"/>
    </row>
    <row r="173">
      <c r="M173" s="6" t="s">
        <v>5452</v>
      </c>
      <c r="N173" s="10">
        <v>1.0</v>
      </c>
      <c r="O173" s="5" t="s">
        <v>13038</v>
      </c>
      <c r="P173" s="6" t="s">
        <v>3794</v>
      </c>
      <c r="Q173" s="10">
        <v>1.0</v>
      </c>
      <c r="R173" s="7" t="s">
        <v>13038</v>
      </c>
    </row>
    <row r="174">
      <c r="M174" s="6" t="s">
        <v>2614</v>
      </c>
      <c r="N174" s="10">
        <v>1.0</v>
      </c>
      <c r="P174" s="6" t="s">
        <v>921</v>
      </c>
      <c r="Q174" s="10">
        <v>1.0</v>
      </c>
      <c r="R174" s="10"/>
    </row>
    <row r="175">
      <c r="M175" s="6" t="s">
        <v>522</v>
      </c>
      <c r="N175" s="10">
        <v>1.0</v>
      </c>
      <c r="P175" s="6" t="s">
        <v>1506</v>
      </c>
      <c r="Q175" s="10">
        <v>1.0</v>
      </c>
      <c r="R175" s="10"/>
    </row>
    <row r="176">
      <c r="M176" s="6" t="s">
        <v>5450</v>
      </c>
      <c r="N176" s="10">
        <v>1.0</v>
      </c>
      <c r="P176" s="6" t="s">
        <v>8043</v>
      </c>
      <c r="Q176" s="10">
        <v>1.0</v>
      </c>
      <c r="R176" s="10"/>
    </row>
    <row r="177">
      <c r="M177" s="6" t="s">
        <v>5451</v>
      </c>
      <c r="N177" s="10">
        <v>1.0</v>
      </c>
      <c r="P177" s="6" t="s">
        <v>899</v>
      </c>
      <c r="Q177" s="10">
        <v>1.0</v>
      </c>
      <c r="R177" s="10"/>
    </row>
    <row r="178">
      <c r="M178" s="6" t="s">
        <v>63</v>
      </c>
      <c r="N178" s="10">
        <v>1.0</v>
      </c>
      <c r="P178" s="6" t="s">
        <v>562</v>
      </c>
      <c r="Q178" s="10">
        <v>1.0</v>
      </c>
      <c r="R178" s="10"/>
    </row>
    <row r="179">
      <c r="M179" s="6" t="s">
        <v>5449</v>
      </c>
      <c r="N179" s="10">
        <v>1.0</v>
      </c>
      <c r="P179" s="6" t="s">
        <v>972</v>
      </c>
      <c r="Q179" s="10">
        <v>1.0</v>
      </c>
      <c r="R179" s="10"/>
    </row>
    <row r="180">
      <c r="M180" s="6" t="s">
        <v>5454</v>
      </c>
      <c r="N180" s="10">
        <v>1.0</v>
      </c>
      <c r="P180" s="6" t="s">
        <v>8044</v>
      </c>
      <c r="Q180" s="10">
        <v>1.0</v>
      </c>
      <c r="R180" s="10"/>
    </row>
    <row r="181">
      <c r="M181" s="6" t="s">
        <v>941</v>
      </c>
      <c r="N181" s="10">
        <v>1.0</v>
      </c>
      <c r="P181" s="6" t="s">
        <v>8045</v>
      </c>
      <c r="Q181" s="10">
        <v>1.0</v>
      </c>
      <c r="R181" s="10"/>
    </row>
    <row r="182">
      <c r="M182" s="6" t="s">
        <v>1523</v>
      </c>
      <c r="N182" s="10">
        <v>1.0</v>
      </c>
      <c r="P182" s="6" t="s">
        <v>8046</v>
      </c>
      <c r="Q182" s="10">
        <v>1.0</v>
      </c>
      <c r="R182" s="10"/>
    </row>
    <row r="183">
      <c r="M183" s="6" t="s">
        <v>5456</v>
      </c>
      <c r="N183" s="10">
        <v>1.0</v>
      </c>
      <c r="P183" s="6" t="s">
        <v>933</v>
      </c>
      <c r="Q183" s="10">
        <v>1.0</v>
      </c>
      <c r="R183" s="10"/>
    </row>
    <row r="184">
      <c r="M184" s="6" t="s">
        <v>5455</v>
      </c>
      <c r="N184" s="10">
        <v>1.0</v>
      </c>
      <c r="P184" s="6" t="s">
        <v>3300</v>
      </c>
      <c r="Q184" s="10">
        <v>1.0</v>
      </c>
      <c r="R184" s="10"/>
    </row>
    <row r="185">
      <c r="M185" s="6" t="s">
        <v>5458</v>
      </c>
      <c r="N185" s="10">
        <v>1.0</v>
      </c>
      <c r="P185" s="6" t="s">
        <v>543</v>
      </c>
      <c r="Q185" s="10">
        <v>1.0</v>
      </c>
      <c r="R185" s="10"/>
    </row>
    <row r="186">
      <c r="M186" s="6" t="s">
        <v>3815</v>
      </c>
      <c r="N186" s="10">
        <v>1.0</v>
      </c>
      <c r="P186" s="6" t="s">
        <v>7030</v>
      </c>
      <c r="Q186" s="10">
        <v>1.0</v>
      </c>
      <c r="R186" s="10"/>
    </row>
    <row r="187">
      <c r="M187" s="6" t="s">
        <v>5459</v>
      </c>
      <c r="N187" s="10">
        <v>1.0</v>
      </c>
      <c r="P187" s="6" t="s">
        <v>1363</v>
      </c>
      <c r="Q187" s="10">
        <v>1.0</v>
      </c>
      <c r="R187" s="10"/>
    </row>
    <row r="188">
      <c r="M188" s="6" t="s">
        <v>1356</v>
      </c>
      <c r="N188" s="10">
        <v>1.0</v>
      </c>
      <c r="P188" s="6" t="s">
        <v>959</v>
      </c>
      <c r="Q188" s="10">
        <v>1.0</v>
      </c>
      <c r="R188" s="10"/>
    </row>
    <row r="189">
      <c r="C189" s="36" t="s">
        <v>13027</v>
      </c>
      <c r="D189" s="36" t="s">
        <v>13028</v>
      </c>
      <c r="E189" s="36" t="s">
        <v>13029</v>
      </c>
      <c r="M189" s="6" t="s">
        <v>5457</v>
      </c>
      <c r="N189" s="10">
        <v>1.0</v>
      </c>
      <c r="O189" s="5" t="s">
        <v>13038</v>
      </c>
      <c r="P189" s="6" t="s">
        <v>1356</v>
      </c>
      <c r="Q189" s="10">
        <v>1.0</v>
      </c>
      <c r="R189" s="10"/>
    </row>
    <row r="190">
      <c r="B190" s="30" t="s">
        <v>13039</v>
      </c>
      <c r="C190" s="35">
        <f>18/771</f>
        <v>0.0233463035</v>
      </c>
      <c r="D190" s="35">
        <f>13/927</f>
        <v>0.01402373247</v>
      </c>
      <c r="E190" s="35">
        <f>24/922</f>
        <v>0.02603036876</v>
      </c>
      <c r="M190" s="6" t="s">
        <v>3286</v>
      </c>
      <c r="N190" s="10">
        <v>1.0</v>
      </c>
      <c r="P190" s="6" t="s">
        <v>929</v>
      </c>
      <c r="Q190" s="10">
        <v>1.0</v>
      </c>
      <c r="R190" s="10"/>
    </row>
    <row r="191">
      <c r="B191" s="39" t="s">
        <v>13040</v>
      </c>
      <c r="C191" s="34">
        <f>39/100</f>
        <v>0.39</v>
      </c>
      <c r="D191" s="34">
        <f>24/100</f>
        <v>0.24</v>
      </c>
      <c r="E191" s="34">
        <f>51/100</f>
        <v>0.51</v>
      </c>
      <c r="M191" s="6" t="s">
        <v>1491</v>
      </c>
      <c r="N191" s="10">
        <v>1.0</v>
      </c>
      <c r="P191" s="6" t="s">
        <v>1391</v>
      </c>
      <c r="Q191" s="10">
        <v>1.0</v>
      </c>
      <c r="R191" s="10"/>
    </row>
    <row r="192">
      <c r="M192" s="6" t="s">
        <v>5460</v>
      </c>
      <c r="N192" s="10">
        <v>1.0</v>
      </c>
      <c r="P192" s="6" t="s">
        <v>8047</v>
      </c>
      <c r="Q192" s="10">
        <v>1.0</v>
      </c>
      <c r="R192" s="10"/>
    </row>
    <row r="193">
      <c r="M193" s="6" t="s">
        <v>4871</v>
      </c>
      <c r="N193" s="10">
        <v>1.0</v>
      </c>
      <c r="O193" s="5" t="s">
        <v>13038</v>
      </c>
      <c r="P193" s="6" t="s">
        <v>8048</v>
      </c>
      <c r="Q193" s="10">
        <v>1.0</v>
      </c>
      <c r="R193" s="7" t="s">
        <v>13038</v>
      </c>
    </row>
    <row r="194">
      <c r="M194" s="6" t="s">
        <v>50</v>
      </c>
      <c r="N194" s="10">
        <v>1.0</v>
      </c>
      <c r="P194" s="6" t="s">
        <v>978</v>
      </c>
      <c r="Q194" s="10">
        <v>1.0</v>
      </c>
      <c r="R194" s="10"/>
    </row>
    <row r="195">
      <c r="M195" s="6" t="s">
        <v>5462</v>
      </c>
      <c r="N195" s="10">
        <v>1.0</v>
      </c>
      <c r="P195" s="6" t="s">
        <v>1510</v>
      </c>
      <c r="Q195" s="10">
        <v>1.0</v>
      </c>
      <c r="R195" s="10"/>
    </row>
    <row r="196">
      <c r="M196" s="6" t="s">
        <v>544</v>
      </c>
      <c r="N196" s="10">
        <v>1.0</v>
      </c>
      <c r="P196" s="6" t="s">
        <v>8049</v>
      </c>
      <c r="Q196" s="10">
        <v>1.0</v>
      </c>
      <c r="R196" s="10"/>
    </row>
    <row r="197">
      <c r="M197" s="6" t="s">
        <v>5463</v>
      </c>
      <c r="N197" s="10">
        <v>1.0</v>
      </c>
      <c r="O197" s="5" t="s">
        <v>13038</v>
      </c>
      <c r="P197" s="6" t="s">
        <v>8050</v>
      </c>
      <c r="Q197" s="10">
        <v>1.0</v>
      </c>
      <c r="R197" s="10"/>
    </row>
    <row r="198">
      <c r="M198" s="6" t="s">
        <v>1366</v>
      </c>
      <c r="N198" s="10">
        <v>1.0</v>
      </c>
      <c r="P198" s="6" t="s">
        <v>99</v>
      </c>
      <c r="Q198" s="10">
        <v>1.0</v>
      </c>
      <c r="R198" s="10"/>
    </row>
    <row r="199">
      <c r="M199" s="6" t="s">
        <v>887</v>
      </c>
      <c r="N199" s="10">
        <v>1.0</v>
      </c>
      <c r="P199" s="6" t="s">
        <v>8051</v>
      </c>
      <c r="Q199" s="10">
        <v>1.0</v>
      </c>
      <c r="R199" s="10"/>
    </row>
    <row r="200">
      <c r="M200" s="6" t="s">
        <v>1530</v>
      </c>
      <c r="N200" s="10">
        <v>1.0</v>
      </c>
      <c r="P200" s="6" t="s">
        <v>516</v>
      </c>
      <c r="Q200" s="10">
        <v>1.0</v>
      </c>
      <c r="R200" s="10"/>
    </row>
    <row r="201">
      <c r="M201" s="6" t="s">
        <v>5461</v>
      </c>
      <c r="N201" s="10">
        <v>1.0</v>
      </c>
      <c r="P201" s="6" t="s">
        <v>2604</v>
      </c>
      <c r="Q201" s="10">
        <v>1.0</v>
      </c>
      <c r="R201" s="10"/>
    </row>
    <row r="202">
      <c r="M202" s="6" t="s">
        <v>1496</v>
      </c>
      <c r="N202" s="10">
        <v>1.0</v>
      </c>
      <c r="P202" s="6" t="s">
        <v>1505</v>
      </c>
      <c r="Q202" s="10">
        <v>1.0</v>
      </c>
      <c r="R202" s="10"/>
    </row>
    <row r="203">
      <c r="M203" s="6" t="s">
        <v>3268</v>
      </c>
      <c r="N203" s="10">
        <v>1.0</v>
      </c>
      <c r="P203" s="6" t="s">
        <v>8052</v>
      </c>
      <c r="Q203" s="10">
        <v>1.0</v>
      </c>
      <c r="R203" s="10"/>
    </row>
    <row r="204">
      <c r="M204" s="6" t="s">
        <v>547</v>
      </c>
      <c r="N204" s="10">
        <v>1.0</v>
      </c>
      <c r="P204" s="6" t="s">
        <v>8053</v>
      </c>
      <c r="Q204" s="10">
        <v>1.0</v>
      </c>
      <c r="R204" s="10"/>
    </row>
    <row r="205">
      <c r="M205" s="6" t="s">
        <v>923</v>
      </c>
      <c r="N205" s="10">
        <v>1.0</v>
      </c>
      <c r="P205" s="6" t="s">
        <v>938</v>
      </c>
      <c r="Q205" s="10">
        <v>1.0</v>
      </c>
      <c r="R205" s="10"/>
    </row>
    <row r="206">
      <c r="M206" s="6" t="s">
        <v>5464</v>
      </c>
      <c r="N206" s="10">
        <v>1.0</v>
      </c>
      <c r="P206" s="6" t="s">
        <v>874</v>
      </c>
      <c r="Q206" s="10">
        <v>1.0</v>
      </c>
      <c r="R206" s="10"/>
    </row>
    <row r="207">
      <c r="M207" s="6" t="s">
        <v>5465</v>
      </c>
      <c r="N207" s="10">
        <v>1.0</v>
      </c>
      <c r="P207" s="6" t="s">
        <v>116</v>
      </c>
      <c r="Q207" s="10">
        <v>1.0</v>
      </c>
      <c r="R207" s="10"/>
    </row>
    <row r="208">
      <c r="M208" s="6" t="s">
        <v>514</v>
      </c>
      <c r="N208" s="10">
        <v>1.0</v>
      </c>
      <c r="P208" s="6" t="s">
        <v>8054</v>
      </c>
      <c r="Q208" s="10">
        <v>1.0</v>
      </c>
      <c r="R208" s="10"/>
    </row>
    <row r="209">
      <c r="M209" s="6" t="s">
        <v>96</v>
      </c>
      <c r="N209" s="10">
        <v>1.0</v>
      </c>
      <c r="O209" s="5" t="s">
        <v>13038</v>
      </c>
      <c r="P209" s="6" t="s">
        <v>8055</v>
      </c>
      <c r="Q209" s="10">
        <v>1.0</v>
      </c>
      <c r="R209" s="7" t="s">
        <v>13038</v>
      </c>
    </row>
    <row r="210">
      <c r="M210" s="6" t="s">
        <v>5466</v>
      </c>
      <c r="N210" s="10">
        <v>1.0</v>
      </c>
      <c r="O210" s="5" t="s">
        <v>13038</v>
      </c>
      <c r="P210" s="6" t="s">
        <v>895</v>
      </c>
      <c r="Q210" s="10">
        <v>1.0</v>
      </c>
      <c r="R210" s="10"/>
    </row>
    <row r="211">
      <c r="M211" s="6" t="s">
        <v>5467</v>
      </c>
      <c r="N211" s="10">
        <v>1.0</v>
      </c>
      <c r="P211" s="6" t="s">
        <v>121</v>
      </c>
      <c r="Q211" s="10">
        <v>1.0</v>
      </c>
      <c r="R211" s="10"/>
    </row>
    <row r="212">
      <c r="M212" s="6" t="s">
        <v>3682</v>
      </c>
      <c r="N212" s="10">
        <v>1.0</v>
      </c>
    </row>
  </sheetData>
  <autoFilter ref="$P$5:$Q$211">
    <sortState ref="P5:Q211">
      <sortCondition descending="1" ref="Q5:Q211"/>
    </sortState>
  </autoFilter>
  <drawing r:id="rId1"/>
</worksheet>
</file>